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43" documentId="13_ncr:1_{B2DCFD60-F9C3-4ADF-BF58-7246FAE449AA}" xr6:coauthVersionLast="47" xr6:coauthVersionMax="47" xr10:uidLastSave="{8F4940F6-6324-42CA-BB87-2E98566DDDCB}"/>
  <bookViews>
    <workbookView xWindow="28680" yWindow="-120" windowWidth="29040" windowHeight="15840" firstSheet="1" activeTab="31" xr2:uid="{9E0C19E7-BBC5-4B81-A60B-D78D7BBE03B6}"/>
  </bookViews>
  <sheets>
    <sheet name="2022 Load Forecast Bridge Year" sheetId="46" r:id="rId1"/>
    <sheet name="2023 Load Forecast Test Year" sheetId="9" r:id="rId2"/>
    <sheet name="Customers" sheetId="3" r:id="rId3"/>
    <sheet name="kWh Blocks by Rate Category" sheetId="64" r:id="rId4"/>
    <sheet name="kWh_Streetlight Data" sheetId="67" r:id="rId5"/>
    <sheet name="Armstrong" sheetId="10" r:id="rId6"/>
    <sheet name="Biscotasing" sheetId="12" r:id="rId7"/>
    <sheet name="Gull Bay" sheetId="15" r:id="rId8"/>
    <sheet name="Hillsport" sheetId="16" r:id="rId9"/>
    <sheet name="Oba" sheetId="21" r:id="rId10"/>
    <sheet name="Sultan" sheetId="24" r:id="rId11"/>
    <sheet name="Fort Severn" sheetId="14" r:id="rId12"/>
    <sheet name="Lansdowne" sheetId="19" r:id="rId13"/>
    <sheet name="Marten Falls" sheetId="20" r:id="rId14"/>
    <sheet name="Webequie" sheetId="27" r:id="rId15"/>
    <sheet name="Bearskin Lake" sheetId="11" r:id="rId16"/>
    <sheet name="Deer Lake" sheetId="13" r:id="rId17"/>
    <sheet name="Kingfisher" sheetId="18" r:id="rId18"/>
    <sheet name="Muskrat Dam" sheetId="37" r:id="rId19"/>
    <sheet name="North Spirit" sheetId="35" r:id="rId20"/>
    <sheet name="Pikangikum" sheetId="29" r:id="rId21"/>
    <sheet name="Poplar Hill" sheetId="31" r:id="rId22"/>
    <sheet name="Sandy Lake" sheetId="23" r:id="rId23"/>
    <sheet name="Weagamow" sheetId="26" r:id="rId24"/>
    <sheet name="Wawakepewin" sheetId="39" r:id="rId25"/>
    <sheet name="Wunnumin" sheetId="38" r:id="rId26"/>
    <sheet name="Big Trout Lake" sheetId="30" r:id="rId27"/>
    <sheet name="Cat Lake" sheetId="28" r:id="rId28"/>
    <sheet name="Keewaywin" sheetId="36" r:id="rId29"/>
    <sheet name="Kasabonika" sheetId="17" r:id="rId30"/>
    <sheet name="Sachigo" sheetId="22" r:id="rId31"/>
    <sheet name="Wapekeka" sheetId="25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</externalReferences>
  <definedNames>
    <definedName name="\p" localSheetId="28">#REF!</definedName>
    <definedName name="\p" localSheetId="18">#REF!</definedName>
    <definedName name="\p" localSheetId="19">#REF!</definedName>
    <definedName name="\p" localSheetId="24">#REF!</definedName>
    <definedName name="\p" localSheetId="25">#REF!</definedName>
    <definedName name="\p">#REF!</definedName>
    <definedName name="\s" localSheetId="28">#REF!</definedName>
    <definedName name="\s" localSheetId="18">#REF!</definedName>
    <definedName name="\s" localSheetId="19">#REF!</definedName>
    <definedName name="\s" localSheetId="24">#REF!</definedName>
    <definedName name="\s" localSheetId="25">#REF!</definedName>
    <definedName name="\s">#REF!</definedName>
    <definedName name="_FilA" localSheetId="28" hidden="1">#REF!</definedName>
    <definedName name="_FilA" localSheetId="18" hidden="1">#REF!</definedName>
    <definedName name="_FilA" localSheetId="19" hidden="1">#REF!</definedName>
    <definedName name="_FilA" localSheetId="24" hidden="1">#REF!</definedName>
    <definedName name="_FilA" localSheetId="25" hidden="1">#REF!</definedName>
    <definedName name="_FilA" hidden="1">#REF!</definedName>
    <definedName name="_Fill" localSheetId="28" hidden="1">#REF!</definedName>
    <definedName name="_Fill" localSheetId="18" hidden="1">#REF!</definedName>
    <definedName name="_Fill" localSheetId="19" hidden="1">#REF!</definedName>
    <definedName name="_Fill" localSheetId="24" hidden="1">#REF!</definedName>
    <definedName name="_Fill" localSheetId="25" hidden="1">#REF!</definedName>
    <definedName name="_Fill" hidden="1">#REF!</definedName>
    <definedName name="_Fill2" localSheetId="28" hidden="1">#REF!</definedName>
    <definedName name="_Fill2" localSheetId="18" hidden="1">#REF!</definedName>
    <definedName name="_Fill2" localSheetId="19" hidden="1">#REF!</definedName>
    <definedName name="_Fill2" localSheetId="24" hidden="1">#REF!</definedName>
    <definedName name="_Fill2" localSheetId="25" hidden="1">#REF!</definedName>
    <definedName name="_Fill2" hidden="1">#REF!</definedName>
    <definedName name="_xlnm._FilterDatabase" localSheetId="4" hidden="1">'kWh_Streetlight Data'!$B$5:$B$224</definedName>
    <definedName name="_SCH10">'[1]SCH 10 - LABOUR RATES'!$A$1:$AU$65536</definedName>
    <definedName name="_SCH11">'[2]SCH 11 - LOAD BY RES'!$A$1:$Q$65536</definedName>
    <definedName name="_SCH5">'[2]SCH 5 - PAY RATES'!$A$1:$P$65536</definedName>
    <definedName name="_SCH8">'[2]SCH 8 - DOWN'!$A$1:$AF$65536</definedName>
    <definedName name="_Sort" localSheetId="28" hidden="1">#REF!</definedName>
    <definedName name="_Sort" localSheetId="18" hidden="1">#REF!</definedName>
    <definedName name="_Sort" localSheetId="19" hidden="1">#REF!</definedName>
    <definedName name="_Sort" localSheetId="24" hidden="1">#REF!</definedName>
    <definedName name="_Sort" localSheetId="25" hidden="1">#REF!</definedName>
    <definedName name="_Sort" hidden="1">#REF!</definedName>
    <definedName name="a" localSheetId="28">'[3]13. Headcount Forecast'!#REF!</definedName>
    <definedName name="a" localSheetId="18">'[3]13. Headcount Forecast'!#REF!</definedName>
    <definedName name="a" localSheetId="19">'[3]13. Headcount Forecast'!#REF!</definedName>
    <definedName name="a" localSheetId="24">'[3]13. Headcount Forecast'!#REF!</definedName>
    <definedName name="a" localSheetId="25">'[3]13. Headcount Forecast'!#REF!</definedName>
    <definedName name="a">'[3]13. Headcount Forecast'!#REF!</definedName>
    <definedName name="aa" localSheetId="28">'[3]13. Headcount Forecast'!#REF!</definedName>
    <definedName name="aa" localSheetId="18">'[3]13. Headcount Forecast'!#REF!</definedName>
    <definedName name="aa" localSheetId="19">'[3]13. Headcount Forecast'!#REF!</definedName>
    <definedName name="aa" localSheetId="24">'[3]13. Headcount Forecast'!#REF!</definedName>
    <definedName name="aa" localSheetId="25">'[3]13. Headcount Forecast'!#REF!</definedName>
    <definedName name="aa">'[3]13. Headcount Forecast'!#REF!</definedName>
    <definedName name="aaa" localSheetId="28">'[3]13. Headcount Forecast'!#REF!</definedName>
    <definedName name="aaa" localSheetId="18">'[3]13. Headcount Forecast'!#REF!</definedName>
    <definedName name="aaa" localSheetId="19">'[3]13. Headcount Forecast'!#REF!</definedName>
    <definedName name="aaa" localSheetId="24">'[3]13. Headcount Forecast'!#REF!</definedName>
    <definedName name="aaa" localSheetId="25">'[3]13. Headcount Forecast'!#REF!</definedName>
    <definedName name="aaa">'[3]13. Headcount Forecast'!#REF!</definedName>
    <definedName name="aaaaaa" localSheetId="28">'[3]13. Headcount Forecast'!#REF!</definedName>
    <definedName name="aaaaaa" localSheetId="18">'[3]13. Headcount Forecast'!#REF!</definedName>
    <definedName name="aaaaaa" localSheetId="19">'[3]13. Headcount Forecast'!#REF!</definedName>
    <definedName name="aaaaaa" localSheetId="24">'[3]13. Headcount Forecast'!#REF!</definedName>
    <definedName name="aaaaaa" localSheetId="25">'[3]13. Headcount Forecast'!#REF!</definedName>
    <definedName name="aaaaaa">'[3]13. Headcount Forecast'!#REF!</definedName>
    <definedName name="AB" localSheetId="28">#REF!</definedName>
    <definedName name="AB" localSheetId="18">#REF!</definedName>
    <definedName name="AB" localSheetId="19">#REF!</definedName>
    <definedName name="AB" localSheetId="24">#REF!</definedName>
    <definedName name="AB" localSheetId="25">#REF!</definedName>
    <definedName name="AB">#REF!</definedName>
    <definedName name="ACBAL" localSheetId="28">'[4]GL BAL JAN 31, 2007 sum'!#REF!</definedName>
    <definedName name="ACBAL" localSheetId="18">'[4]GL BAL JAN 31, 2007 sum'!#REF!</definedName>
    <definedName name="ACBAL" localSheetId="19">'[4]GL BAL JAN 31, 2007 sum'!#REF!</definedName>
    <definedName name="ACBAL" localSheetId="24">'[4]GL BAL JAN 31, 2007 sum'!#REF!</definedName>
    <definedName name="ACBAL" localSheetId="25">'[4]GL BAL JAN 31, 2007 sum'!#REF!</definedName>
    <definedName name="ACBAL">'[4]GL BAL JAN 31, 2007 sum'!#REF!</definedName>
    <definedName name="Acc_Dep_CA">'[5]MAY 2006 FA GRP CONTNUITY SCHED'!$D$24:$K$38</definedName>
    <definedName name="Acc_Dep_MJR_Minor_NORMAL_Special_RET_CA" localSheetId="28">#REF!</definedName>
    <definedName name="Acc_Dep_MJR_Minor_NORMAL_Special_RET_CA" localSheetId="18">#REF!</definedName>
    <definedName name="Acc_Dep_MJR_Minor_NORMAL_Special_RET_CA" localSheetId="19">#REF!</definedName>
    <definedName name="Acc_Dep_MJR_Minor_NORMAL_Special_RET_CA" localSheetId="24">#REF!</definedName>
    <definedName name="Acc_Dep_MJR_Minor_NORMAL_Special_RET_CA" localSheetId="25">#REF!</definedName>
    <definedName name="Acc_Dep_MJR_Minor_NORMAL_Special_RET_CA">#REF!</definedName>
    <definedName name="Account" localSheetId="28">#REF!</definedName>
    <definedName name="Account" localSheetId="18">#REF!</definedName>
    <definedName name="Account" localSheetId="19">#REF!</definedName>
    <definedName name="Account" localSheetId="24">#REF!</definedName>
    <definedName name="Account" localSheetId="25">#REF!</definedName>
    <definedName name="Account">#REF!</definedName>
    <definedName name="Account2">'[6]Query 1'!$A$1:$B$201</definedName>
    <definedName name="AccountCM">'[7]Query 8'!$A$2:$B$198</definedName>
    <definedName name="AccountCM2">'[6]Query 8'!$A$2:$B$184</definedName>
    <definedName name="AccountD">'[8]Query 1'!$A$1:$B$195</definedName>
    <definedName name="AccountDescription" localSheetId="28">#REF!</definedName>
    <definedName name="AccountDescription" localSheetId="18">#REF!</definedName>
    <definedName name="AccountDescription" localSheetId="19">#REF!</definedName>
    <definedName name="AccountDescription" localSheetId="24">#REF!</definedName>
    <definedName name="AccountDescription" localSheetId="25">#REF!</definedName>
    <definedName name="AccountDescription">#REF!</definedName>
    <definedName name="AccountDM">'[9]Query 8'!$A$2:$B$197</definedName>
    <definedName name="accrange" localSheetId="28">#REF!</definedName>
    <definedName name="accrange" localSheetId="18">#REF!</definedName>
    <definedName name="accrange" localSheetId="19">#REF!</definedName>
    <definedName name="accrange" localSheetId="24">#REF!</definedName>
    <definedName name="accrange" localSheetId="25">#REF!</definedName>
    <definedName name="accrange">#REF!</definedName>
    <definedName name="acct_name" localSheetId="28">#REF!</definedName>
    <definedName name="acct_name" localSheetId="18">#REF!</definedName>
    <definedName name="acct_name" localSheetId="19">#REF!</definedName>
    <definedName name="acct_name" localSheetId="24">#REF!</definedName>
    <definedName name="acct_name" localSheetId="25">#REF!</definedName>
    <definedName name="acct_name">#REF!</definedName>
    <definedName name="accum_depr">'[10]for vlookup'!$A$23:$D$42</definedName>
    <definedName name="ActCumOU">[11]Actuals!$A$289:$N$301</definedName>
    <definedName name="ActiveGLI_Cumactualtotal" localSheetId="28">'[12]Active GLI'!#REF!</definedName>
    <definedName name="ActiveGLI_Cumactualtotal" localSheetId="18">'[12]Active GLI'!#REF!</definedName>
    <definedName name="ActiveGLI_Cumactualtotal" localSheetId="19">'[12]Active GLI'!#REF!</definedName>
    <definedName name="ActiveGLI_Cumactualtotal" localSheetId="24">'[12]Active GLI'!#REF!</definedName>
    <definedName name="ActiveGLI_Cumactualtotal" localSheetId="25">'[12]Active GLI'!#REF!</definedName>
    <definedName name="ActiveGLI_Cumactualtotal">'[12]Active GLI'!#REF!</definedName>
    <definedName name="ActiveGLI_Cumpayment" localSheetId="28">'[12]Active GLI'!#REF!</definedName>
    <definedName name="ActiveGLI_Cumpayment" localSheetId="18">'[12]Active GLI'!#REF!</definedName>
    <definedName name="ActiveGLI_Cumpayment" localSheetId="19">'[12]Active GLI'!#REF!</definedName>
    <definedName name="ActiveGLI_Cumpayment" localSheetId="24">'[12]Active GLI'!#REF!</definedName>
    <definedName name="ActiveGLI_Cumpayment" localSheetId="25">'[12]Active GLI'!#REF!</definedName>
    <definedName name="ActiveGLI_Cumpayment">'[12]Active GLI'!#REF!</definedName>
    <definedName name="AHEMC_03">'[13]5. Escalators'!$I$11</definedName>
    <definedName name="AHEMC_04">'[13]5. Escalators'!$I$12</definedName>
    <definedName name="AHEMC_05">'[13]5. Escalators'!$I$13</definedName>
    <definedName name="AHEMC_06">'[13]5. Escalators'!$I$14</definedName>
    <definedName name="AHEMC_07">'[13]5. Escalators'!$I$15</definedName>
    <definedName name="AHEMC_08">'[13]5. Escalators'!$I$16</definedName>
    <definedName name="AHEMC_09">'[13]5. Escalators'!$I$17</definedName>
    <definedName name="AHEMO_03">'[13]5. Escalators'!$D$11</definedName>
    <definedName name="AHEMO_04">'[13]5. Escalators'!$D$12</definedName>
    <definedName name="AHEMO_05">'[13]5. Escalators'!$D$13</definedName>
    <definedName name="AHEMO_06">'[13]5. Escalators'!$D$14</definedName>
    <definedName name="AHEMO_07">'[13]5. Escalators'!$D$15</definedName>
    <definedName name="AHEMO_08">'[13]5. Escalators'!$D$16</definedName>
    <definedName name="AHEMO_09">'[13]5. Escalators'!$D$17</definedName>
    <definedName name="Alloc0" localSheetId="28">#REF!</definedName>
    <definedName name="Alloc0" localSheetId="18">#REF!</definedName>
    <definedName name="Alloc0" localSheetId="19">#REF!</definedName>
    <definedName name="Alloc0" localSheetId="24">#REF!</definedName>
    <definedName name="Alloc0" localSheetId="25">#REF!</definedName>
    <definedName name="Alloc0">#REF!</definedName>
    <definedName name="AllocAssets0" localSheetId="28">#REF!</definedName>
    <definedName name="AllocAssets0" localSheetId="18">#REF!</definedName>
    <definedName name="AllocAssets0" localSheetId="19">#REF!</definedName>
    <definedName name="AllocAssets0" localSheetId="24">#REF!</definedName>
    <definedName name="AllocAssets0" localSheetId="25">#REF!</definedName>
    <definedName name="AllocAssets0">#REF!</definedName>
    <definedName name="AllocAssetsNames" localSheetId="28">#REF!</definedName>
    <definedName name="AllocAssetsNames" localSheetId="18">#REF!</definedName>
    <definedName name="AllocAssetsNames" localSheetId="19">#REF!</definedName>
    <definedName name="AllocAssetsNames" localSheetId="24">#REF!</definedName>
    <definedName name="AllocAssetsNames" localSheetId="25">#REF!</definedName>
    <definedName name="AllocAssetsNames">#REF!</definedName>
    <definedName name="AllocNames">'[14]CCCM-Drivers'!$A$4:$A$84</definedName>
    <definedName name="AM_ACDEPN_CONT_SCHED">'[15]SUPPORT 1B - PIVOT PSAM CONT  '!$B$71:$O$129</definedName>
    <definedName name="am_cost_cont_sched">'[15]SUPPORT 1B - PIVOT PSAM CONT  '!$B$3:$O$69</definedName>
    <definedName name="am_cost_cont_sched_TXDX" localSheetId="28">#REF!</definedName>
    <definedName name="am_cost_cont_sched_TXDX" localSheetId="18">#REF!</definedName>
    <definedName name="am_cost_cont_sched_TXDX" localSheetId="19">#REF!</definedName>
    <definedName name="am_cost_cont_sched_TXDX" localSheetId="24">#REF!</definedName>
    <definedName name="am_cost_cont_sched_TXDX" localSheetId="25">#REF!</definedName>
    <definedName name="am_cost_cont_sched_TXDX">#REF!</definedName>
    <definedName name="Amounts" localSheetId="28">#REF!</definedName>
    <definedName name="Amounts" localSheetId="18">#REF!</definedName>
    <definedName name="Amounts" localSheetId="19">#REF!</definedName>
    <definedName name="Amounts" localSheetId="24">#REF!</definedName>
    <definedName name="Amounts" localSheetId="25">#REF!</definedName>
    <definedName name="Amounts">#REF!</definedName>
    <definedName name="ANALYSIS_TYPES" localSheetId="28">#REF!</definedName>
    <definedName name="ANALYSIS_TYPES" localSheetId="18">#REF!</definedName>
    <definedName name="ANALYSIS_TYPES" localSheetId="19">#REF!</definedName>
    <definedName name="ANALYSIS_TYPES" localSheetId="24">#REF!</definedName>
    <definedName name="ANALYSIS_TYPES" localSheetId="25">#REF!</definedName>
    <definedName name="ANALYSIS_TYPES">#REF!</definedName>
    <definedName name="Annual_Budegt2" localSheetId="28">#REF!</definedName>
    <definedName name="Annual_Budegt2" localSheetId="18">#REF!</definedName>
    <definedName name="Annual_Budegt2" localSheetId="19">#REF!</definedName>
    <definedName name="Annual_Budegt2" localSheetId="24">#REF!</definedName>
    <definedName name="Annual_Budegt2" localSheetId="25">#REF!</definedName>
    <definedName name="Annual_Budegt2">#REF!</definedName>
    <definedName name="Annual_Budget" localSheetId="28">#REF!</definedName>
    <definedName name="Annual_Budget" localSheetId="18">#REF!</definedName>
    <definedName name="Annual_Budget" localSheetId="19">#REF!</definedName>
    <definedName name="Annual_Budget" localSheetId="24">#REF!</definedName>
    <definedName name="Annual_Budget" localSheetId="25">#REF!</definedName>
    <definedName name="Annual_Budget">#REF!</definedName>
    <definedName name="APN" localSheetId="28">#REF!</definedName>
    <definedName name="APN" localSheetId="18">#REF!</definedName>
    <definedName name="APN" localSheetId="19">#REF!</definedName>
    <definedName name="APN" localSheetId="24">#REF!</definedName>
    <definedName name="APN" localSheetId="25">#REF!</definedName>
    <definedName name="APN">#REF!</definedName>
    <definedName name="APR" localSheetId="28">#REF!</definedName>
    <definedName name="APR" localSheetId="18">#REF!</definedName>
    <definedName name="APR" localSheetId="19">#REF!</definedName>
    <definedName name="APR" localSheetId="24">#REF!</definedName>
    <definedName name="APR" localSheetId="25">#REF!</definedName>
    <definedName name="APR">#REF!</definedName>
    <definedName name="ASD" localSheetId="28">#REF!</definedName>
    <definedName name="ASD" localSheetId="18">#REF!</definedName>
    <definedName name="ASD" localSheetId="19">#REF!</definedName>
    <definedName name="ASD" localSheetId="24">#REF!</definedName>
    <definedName name="ASD" localSheetId="25">#REF!</definedName>
    <definedName name="ASD">#REF!</definedName>
    <definedName name="ASOFDATE" localSheetId="28">#REF!</definedName>
    <definedName name="ASOFDATE" localSheetId="18">#REF!</definedName>
    <definedName name="ASOFDATE" localSheetId="19">#REF!</definedName>
    <definedName name="ASOFDATE" localSheetId="24">#REF!</definedName>
    <definedName name="ASOFDATE" localSheetId="25">#REF!</definedName>
    <definedName name="ASOFDATE">#REF!</definedName>
    <definedName name="ATS_Table" localSheetId="28">#REF!</definedName>
    <definedName name="ATS_Table" localSheetId="18">#REF!</definedName>
    <definedName name="ATS_Table" localSheetId="19">#REF!</definedName>
    <definedName name="ATS_Table" localSheetId="24">#REF!</definedName>
    <definedName name="ATS_Table" localSheetId="25">#REF!</definedName>
    <definedName name="ATS_Table">#REF!</definedName>
    <definedName name="AUG" localSheetId="28">#REF!</definedName>
    <definedName name="AUG" localSheetId="18">#REF!</definedName>
    <definedName name="AUG" localSheetId="19">#REF!</definedName>
    <definedName name="AUG" localSheetId="24">#REF!</definedName>
    <definedName name="AUG" localSheetId="25">#REF!</definedName>
    <definedName name="AUG">#REF!</definedName>
    <definedName name="aug05data" localSheetId="28">#REF!</definedName>
    <definedName name="aug05data" localSheetId="18">#REF!</definedName>
    <definedName name="aug05data" localSheetId="19">#REF!</definedName>
    <definedName name="aug05data" localSheetId="24">#REF!</definedName>
    <definedName name="aug05data" localSheetId="25">#REF!</definedName>
    <definedName name="aug05data">#REF!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yr">'[13]2. Index'!$M$3</definedName>
    <definedName name="baseyr1">'[16]2. Index'!$M$3</definedName>
    <definedName name="bbbb" localSheetId="28">'[3]13. Headcount Forecast'!#REF!</definedName>
    <definedName name="bbbb" localSheetId="18">'[3]13. Headcount Forecast'!#REF!</definedName>
    <definedName name="bbbb" localSheetId="19">'[3]13. Headcount Forecast'!#REF!</definedName>
    <definedName name="bbbb" localSheetId="24">'[3]13. Headcount Forecast'!#REF!</definedName>
    <definedName name="bbbb" localSheetId="25">'[3]13. Headcount Forecast'!#REF!</definedName>
    <definedName name="bbbb">'[3]13. Headcount Forecast'!#REF!</definedName>
    <definedName name="bbbbb" localSheetId="28">'[3]13. Headcount Forecast'!#REF!</definedName>
    <definedName name="bbbbb" localSheetId="18">'[3]13. Headcount Forecast'!#REF!</definedName>
    <definedName name="bbbbb" localSheetId="19">'[3]13. Headcount Forecast'!#REF!</definedName>
    <definedName name="bbbbb" localSheetId="24">'[3]13. Headcount Forecast'!#REF!</definedName>
    <definedName name="bbbbb" localSheetId="25">'[3]13. Headcount Forecast'!#REF!</definedName>
    <definedName name="bbbbb">'[3]13. Headcount Forecast'!#REF!</definedName>
    <definedName name="BPE_CUM_N" localSheetId="28">#REF!</definedName>
    <definedName name="BPE_CUM_N" localSheetId="18">#REF!</definedName>
    <definedName name="BPE_CUM_N" localSheetId="19">#REF!</definedName>
    <definedName name="BPE_CUM_N" localSheetId="24">#REF!</definedName>
    <definedName name="BPE_CUM_N" localSheetId="25">#REF!</definedName>
    <definedName name="BPE_CUM_N">#REF!</definedName>
    <definedName name="BPE_Red_Ratio_Yr1">'[13]18. Compens &amp; EHT- HOI'!$X$200</definedName>
    <definedName name="BPE_Red_Ratio_Yr2">'[13]18. Compens &amp; EHT- HOI'!$X$201</definedName>
    <definedName name="BPE_Red_Ratio_Yr3">'[13]18. Compens &amp; EHT- HOI'!$X$202</definedName>
    <definedName name="BPE_Red_Ratio_Yr4">'[13]18. Compens &amp; EHT- HOI'!$X$203</definedName>
    <definedName name="BPE_Red_Ratio_Yr5">'[13]18. Compens &amp; EHT- HOI'!$X$204</definedName>
    <definedName name="BPE_Red_Ratio_Yr6">'[13]18. Compens &amp; EHT- HOI'!$X$205</definedName>
    <definedName name="BPE_Red_Ratio_Yr7">'[13]18. Compens &amp; EHT- HOI'!$X$206</definedName>
    <definedName name="BRAMPTON_GLBAL_LOOKUP" localSheetId="28">'[15]SUPPORT 6 - GL ACCOUNT BALANCES'!#REF!</definedName>
    <definedName name="BRAMPTON_GLBAL_LOOKUP" localSheetId="18">'[15]SUPPORT 6 - GL ACCOUNT BALANCES'!#REF!</definedName>
    <definedName name="BRAMPTON_GLBAL_LOOKUP" localSheetId="19">'[15]SUPPORT 6 - GL ACCOUNT BALANCES'!#REF!</definedName>
    <definedName name="BRAMPTON_GLBAL_LOOKUP" localSheetId="24">'[15]SUPPORT 6 - GL ACCOUNT BALANCES'!#REF!</definedName>
    <definedName name="BRAMPTON_GLBAL_LOOKUP" localSheetId="25">'[15]SUPPORT 6 - GL ACCOUNT BALANCES'!#REF!</definedName>
    <definedName name="BRAMPTON_GLBAL_LOOKUP">'[15]SUPPORT 6 - GL ACCOUNT BALANCES'!#REF!</definedName>
    <definedName name="BridgeYear">'[17]LDC Info'!$E$26</definedName>
    <definedName name="BU" localSheetId="28">#REF!</definedName>
    <definedName name="BU" localSheetId="18">#REF!</definedName>
    <definedName name="BU" localSheetId="19">#REF!</definedName>
    <definedName name="BU" localSheetId="24">#REF!</definedName>
    <definedName name="BU" localSheetId="25">#REF!</definedName>
    <definedName name="BU">#REF!</definedName>
    <definedName name="bu200dept" localSheetId="28">#REF!</definedName>
    <definedName name="bu200dept" localSheetId="18">#REF!</definedName>
    <definedName name="bu200dept" localSheetId="19">#REF!</definedName>
    <definedName name="bu200dept" localSheetId="24">#REF!</definedName>
    <definedName name="bu200dept" localSheetId="25">#REF!</definedName>
    <definedName name="bu200dept">#REF!</definedName>
    <definedName name="BU300_GL_ACCOUNTS" localSheetId="28">'[15]TXDX Support 1- Continuity'!#REF!</definedName>
    <definedName name="BU300_GL_ACCOUNTS" localSheetId="18">'[15]TXDX Support 1- Continuity'!#REF!</definedName>
    <definedName name="BU300_GL_ACCOUNTS" localSheetId="19">'[15]TXDX Support 1- Continuity'!#REF!</definedName>
    <definedName name="BU300_GL_ACCOUNTS" localSheetId="24">'[15]TXDX Support 1- Continuity'!#REF!</definedName>
    <definedName name="BU300_GL_ACCOUNTS" localSheetId="25">'[15]TXDX Support 1- Continuity'!#REF!</definedName>
    <definedName name="BU300_GL_ACCOUNTS">'[15]TXDX Support 1- Continuity'!#REF!</definedName>
    <definedName name="BU300_GL_CATEGORY" localSheetId="28">'[15]TXDX Support 1- Continuity'!#REF!</definedName>
    <definedName name="BU300_GL_CATEGORY" localSheetId="18">'[15]TXDX Support 1- Continuity'!#REF!</definedName>
    <definedName name="BU300_GL_CATEGORY" localSheetId="19">'[15]TXDX Support 1- Continuity'!#REF!</definedName>
    <definedName name="BU300_GL_CATEGORY" localSheetId="24">'[15]TXDX Support 1- Continuity'!#REF!</definedName>
    <definedName name="BU300_GL_CATEGORY" localSheetId="25">'[15]TXDX Support 1- Continuity'!#REF!</definedName>
    <definedName name="BU300_GL_CATEGORY">'[15]TXDX Support 1- Continuity'!#REF!</definedName>
    <definedName name="BudCumOU">[11]Budget!$A$289:$N$301</definedName>
    <definedName name="Budget">[18]Budget!$E$1:$R$112</definedName>
    <definedName name="BUSINESS_UNIT" localSheetId="28">'[19]SUPPORT 6 - GL ACCOUNT BALANCES'!#REF!,'[19]SUPPORT 6 - GL ACCOUNT BALANCES'!#REF!</definedName>
    <definedName name="BUSINESS_UNIT" localSheetId="18">'[19]SUPPORT 6 - GL ACCOUNT BALANCES'!#REF!,'[19]SUPPORT 6 - GL ACCOUNT BALANCES'!#REF!</definedName>
    <definedName name="BUSINESS_UNIT" localSheetId="19">'[19]SUPPORT 6 - GL ACCOUNT BALANCES'!#REF!,'[19]SUPPORT 6 - GL ACCOUNT BALANCES'!#REF!</definedName>
    <definedName name="BUSINESS_UNIT" localSheetId="24">'[19]SUPPORT 6 - GL ACCOUNT BALANCES'!#REF!,'[19]SUPPORT 6 - GL ACCOUNT BALANCES'!#REF!</definedName>
    <definedName name="BUSINESS_UNIT" localSheetId="25">'[19]SUPPORT 6 - GL ACCOUNT BALANCES'!#REF!,'[19]SUPPORT 6 - GL ACCOUNT BALANCES'!#REF!</definedName>
    <definedName name="BUSINESS_UNIT">'[19]SUPPORT 6 - GL ACCOUNT BALANCES'!#REF!,'[19]SUPPORT 6 - GL ACCOUNT BALANCES'!#REF!</definedName>
    <definedName name="BUV" localSheetId="28">#REF!</definedName>
    <definedName name="BUV" localSheetId="18">#REF!</definedName>
    <definedName name="BUV" localSheetId="19">#REF!</definedName>
    <definedName name="BUV" localSheetId="24">#REF!</definedName>
    <definedName name="BUV" localSheetId="25">#REF!</definedName>
    <definedName name="BUV">#REF!</definedName>
    <definedName name="CAD" localSheetId="28">#REF!</definedName>
    <definedName name="CAD" localSheetId="18">#REF!</definedName>
    <definedName name="CAD" localSheetId="19">#REF!</definedName>
    <definedName name="CAD" localSheetId="24">#REF!</definedName>
    <definedName name="CAD" localSheetId="25">#REF!</definedName>
    <definedName name="CAD">#REF!</definedName>
    <definedName name="CapAdv2">'[6]Query 7'!$A$2:$F$200</definedName>
    <definedName name="capex_inserv_print" localSheetId="28">#REF!</definedName>
    <definedName name="capex_inserv_print" localSheetId="18">#REF!</definedName>
    <definedName name="capex_inserv_print" localSheetId="19">#REF!</definedName>
    <definedName name="capex_inserv_print" localSheetId="24">#REF!</definedName>
    <definedName name="capex_inserv_print" localSheetId="25">#REF!</definedName>
    <definedName name="capex_inserv_print">#REF!</definedName>
    <definedName name="capex_lookup">'[19] SUPPORT 3 - CIP CONT  DETAIL '!$E$18:$O$26</definedName>
    <definedName name="CapitalADVREM">'[7]Query 7'!$A$2:$F$200</definedName>
    <definedName name="cate" localSheetId="28">#REF!</definedName>
    <definedName name="cate" localSheetId="18">#REF!</definedName>
    <definedName name="cate" localSheetId="19">#REF!</definedName>
    <definedName name="cate" localSheetId="24">#REF!</definedName>
    <definedName name="cate" localSheetId="25">#REF!</definedName>
    <definedName name="cate">#REF!</definedName>
    <definedName name="Categ">'[20]account names '!$G$1:$I$12</definedName>
    <definedName name="cccc" localSheetId="28">'[3]13. Headcount Forecast'!#REF!</definedName>
    <definedName name="cccc" localSheetId="18">'[3]13. Headcount Forecast'!#REF!</definedName>
    <definedName name="cccc" localSheetId="19">'[3]13. Headcount Forecast'!#REF!</definedName>
    <definedName name="cccc" localSheetId="24">'[3]13. Headcount Forecast'!#REF!</definedName>
    <definedName name="cccc" localSheetId="25">'[3]13. Headcount Forecast'!#REF!</definedName>
    <definedName name="cccc">'[3]13. Headcount Forecast'!#REF!</definedName>
    <definedName name="ccccc" localSheetId="28">'[3]13. Headcount Forecast'!#REF!</definedName>
    <definedName name="ccccc" localSheetId="18">'[3]13. Headcount Forecast'!#REF!</definedName>
    <definedName name="ccccc" localSheetId="19">'[3]13. Headcount Forecast'!#REF!</definedName>
    <definedName name="ccccc" localSheetId="24">'[3]13. Headcount Forecast'!#REF!</definedName>
    <definedName name="ccccc" localSheetId="25">'[3]13. Headcount Forecast'!#REF!</definedName>
    <definedName name="ccccc">'[3]13. Headcount Forecast'!#REF!</definedName>
    <definedName name="checks_bal_fa_grp" localSheetId="28">#REF!</definedName>
    <definedName name="checks_bal_fa_grp" localSheetId="18">#REF!</definedName>
    <definedName name="checks_bal_fa_grp" localSheetId="19">#REF!</definedName>
    <definedName name="checks_bal_fa_grp" localSheetId="24">#REF!</definedName>
    <definedName name="checks_bal_fa_grp" localSheetId="25">#REF!</definedName>
    <definedName name="checks_bal_fa_grp">#REF!</definedName>
    <definedName name="CIP">'[10]for vlookup'!$A$43:$D$62</definedName>
    <definedName name="CIP_CA">'[5]MAY 2006 FA GRP CONTNUITY SCHED'!$D$47:$M$60</definedName>
    <definedName name="CIP_CONTROL_CLSFY">'[15]CIP SUPPORT - C1e_FDM FOR CIP  '!$A$54:$I$69</definedName>
    <definedName name="CIP_LTD_GLBAL" localSheetId="28">'[15]CIP SUPPORT - C1e_FDM FOR CIP  '!#REF!</definedName>
    <definedName name="CIP_LTD_GLBAL" localSheetId="18">'[15]CIP SUPPORT - C1e_FDM FOR CIP  '!#REF!</definedName>
    <definedName name="CIP_LTD_GLBAL" localSheetId="19">'[15]CIP SUPPORT - C1e_FDM FOR CIP  '!#REF!</definedName>
    <definedName name="CIP_LTD_GLBAL" localSheetId="24">'[15]CIP SUPPORT - C1e_FDM FOR CIP  '!#REF!</definedName>
    <definedName name="CIP_LTD_GLBAL" localSheetId="25">'[15]CIP SUPPORT - C1e_FDM FOR CIP  '!#REF!</definedName>
    <definedName name="CIP_LTD_GLBAL">'[15]CIP SUPPORT - C1e_FDM FOR CIP  '!#REF!</definedName>
    <definedName name="CIP_OTHER_LOOKUP" localSheetId="28">#REF!</definedName>
    <definedName name="CIP_OTHER_LOOKUP" localSheetId="18">#REF!</definedName>
    <definedName name="CIP_OTHER_LOOKUP" localSheetId="19">#REF!</definedName>
    <definedName name="CIP_OTHER_LOOKUP" localSheetId="24">#REF!</definedName>
    <definedName name="CIP_OTHER_LOOKUP" localSheetId="25">#REF!</definedName>
    <definedName name="CIP_OTHER_LOOKUP">#REF!</definedName>
    <definedName name="CIP_SUSP_CLSFY">'[15]CIP SUPPORT - C1e_FDM FOR CIP  '!$A$74:$N$89</definedName>
    <definedName name="CL">[21]PL1!$K$1</definedName>
    <definedName name="CN">[22]Sheet1!$C$1</definedName>
    <definedName name="cntl_mgr" localSheetId="28">#REF!</definedName>
    <definedName name="cntl_mgr" localSheetId="18">#REF!</definedName>
    <definedName name="cntl_mgr" localSheetId="19">#REF!</definedName>
    <definedName name="cntl_mgr" localSheetId="24">#REF!</definedName>
    <definedName name="cntl_mgr" localSheetId="25">#REF!</definedName>
    <definedName name="cntl_mgr">#REF!</definedName>
    <definedName name="code_lookup" localSheetId="28">#REF!</definedName>
    <definedName name="code_lookup" localSheetId="18">#REF!</definedName>
    <definedName name="code_lookup" localSheetId="19">#REF!</definedName>
    <definedName name="code_lookup" localSheetId="24">#REF!</definedName>
    <definedName name="code_lookup" localSheetId="25">#REF!</definedName>
    <definedName name="code_lookup">#REF!</definedName>
    <definedName name="colActv">'[23]CCCM-Time'!$D$1:$D$65536</definedName>
    <definedName name="colActv0" localSheetId="28">'[24]General HOI-T&amp;D Study'!#REF!</definedName>
    <definedName name="colActv0" localSheetId="18">'[24]General HOI-T&amp;D Study'!#REF!</definedName>
    <definedName name="colActv0" localSheetId="19">'[24]General HOI-T&amp;D Study'!#REF!</definedName>
    <definedName name="colActv0" localSheetId="24">'[24]General HOI-T&amp;D Study'!#REF!</definedName>
    <definedName name="colActv0" localSheetId="25">'[24]General HOI-T&amp;D Study'!#REF!</definedName>
    <definedName name="colActv0">'[24]General HOI-T&amp;D Study'!#REF!</definedName>
    <definedName name="colActvYr1">'[14]CCCM-Yr1'!$F$1:$F$65536</definedName>
    <definedName name="colD1" localSheetId="28">'[24]General HOI-T&amp;D Study'!#REF!</definedName>
    <definedName name="colD1" localSheetId="18">'[24]General HOI-T&amp;D Study'!#REF!</definedName>
    <definedName name="colD1" localSheetId="19">'[24]General HOI-T&amp;D Study'!#REF!</definedName>
    <definedName name="colD1" localSheetId="24">'[24]General HOI-T&amp;D Study'!#REF!</definedName>
    <definedName name="colD1" localSheetId="25">'[24]General HOI-T&amp;D Study'!#REF!</definedName>
    <definedName name="colD1">'[24]General HOI-T&amp;D Study'!#REF!</definedName>
    <definedName name="colDept">'[23]CCCM-Time'!$A$1:$A$65536</definedName>
    <definedName name="colDriver" localSheetId="28">'[24]General HOI-T&amp;D Study'!#REF!</definedName>
    <definedName name="colDriver" localSheetId="18">'[24]General HOI-T&amp;D Study'!#REF!</definedName>
    <definedName name="colDriver" localSheetId="19">'[24]General HOI-T&amp;D Study'!#REF!</definedName>
    <definedName name="colDriver" localSheetId="24">'[24]General HOI-T&amp;D Study'!#REF!</definedName>
    <definedName name="colDriver" localSheetId="25">'[24]General HOI-T&amp;D Study'!#REF!</definedName>
    <definedName name="colDriver">'[24]General HOI-T&amp;D Study'!#REF!</definedName>
    <definedName name="colPctSvc" localSheetId="28">'[24]General HOI-T&amp;D Study'!#REF!</definedName>
    <definedName name="colPctSvc" localSheetId="18">'[24]General HOI-T&amp;D Study'!#REF!</definedName>
    <definedName name="colPctSvc" localSheetId="19">'[24]General HOI-T&amp;D Study'!#REF!</definedName>
    <definedName name="colPctSvc" localSheetId="24">'[24]General HOI-T&amp;D Study'!#REF!</definedName>
    <definedName name="colPctSvc" localSheetId="25">'[24]General HOI-T&amp;D Study'!#REF!</definedName>
    <definedName name="colPctSvc">'[24]General HOI-T&amp;D Study'!#REF!</definedName>
    <definedName name="colSvc">'[23]CCCM-Time'!$B$1:$B$65536</definedName>
    <definedName name="colType">'[23]CCCM-Time'!$C$1:$C$65536</definedName>
    <definedName name="Consolidated" localSheetId="28">'[25]14. CY Actual Summary Results'!#REF!</definedName>
    <definedName name="Consolidated" localSheetId="18">'[25]14. CY Actual Summary Results'!#REF!</definedName>
    <definedName name="Consolidated" localSheetId="19">'[25]14. CY Actual Summary Results'!#REF!</definedName>
    <definedName name="Consolidated" localSheetId="24">'[25]14. CY Actual Summary Results'!#REF!</definedName>
    <definedName name="Consolidated" localSheetId="25">'[25]14. CY Actual Summary Results'!#REF!</definedName>
    <definedName name="Consolidated">'[25]14. CY Actual Summary Results'!#REF!</definedName>
    <definedName name="cont_sched_fa_grp" localSheetId="28">#REF!</definedName>
    <definedName name="cont_sched_fa_grp" localSheetId="18">#REF!</definedName>
    <definedName name="cont_sched_fa_grp" localSheetId="19">#REF!</definedName>
    <definedName name="cont_sched_fa_grp" localSheetId="24">#REF!</definedName>
    <definedName name="cont_sched_fa_grp" localSheetId="25">#REF!</definedName>
    <definedName name="cont_sched_fa_grp">#REF!</definedName>
    <definedName name="CONTINUITY" localSheetId="28">#REF!</definedName>
    <definedName name="CONTINUITY" localSheetId="18">#REF!</definedName>
    <definedName name="CONTINUITY" localSheetId="19">#REF!</definedName>
    <definedName name="CONTINUITY" localSheetId="24">#REF!</definedName>
    <definedName name="CONTINUITY" localSheetId="25">#REF!</definedName>
    <definedName name="CONTINUITY">#REF!</definedName>
    <definedName name="CPI_02">'[13]5. Escalators'!$C$10</definedName>
    <definedName name="CPI_03">'[13]5. Escalators'!$C$11</definedName>
    <definedName name="CPI_04">'[13]5. Escalators'!$C$12</definedName>
    <definedName name="CPI_05">'[13]5. Escalators'!$C$13</definedName>
    <definedName name="CPI_06">'[13]5. Escalators'!$C$14</definedName>
    <definedName name="CPI_07">'[13]5. Escalators'!$C$15</definedName>
    <definedName name="CPI_08">'[13]5. Escalators'!$C$16</definedName>
    <definedName name="CPI_09">'[13]5. Escalators'!$C$17</definedName>
    <definedName name="cxl_lookup" localSheetId="28">#REF!</definedName>
    <definedName name="cxl_lookup" localSheetId="18">#REF!</definedName>
    <definedName name="cxl_lookup" localSheetId="19">#REF!</definedName>
    <definedName name="cxl_lookup" localSheetId="24">#REF!</definedName>
    <definedName name="cxl_lookup" localSheetId="25">#REF!</definedName>
    <definedName name="cxl_lookup">#REF!</definedName>
    <definedName name="CXL_XCC_LOOKUP">'[19] SUPPORT 3 - CIP CONT  DETAIL '!$B$40:$S$48</definedName>
    <definedName name="d" localSheetId="28">'[3]13. Headcount Forecast'!#REF!</definedName>
    <definedName name="d" localSheetId="18">'[3]13. Headcount Forecast'!#REF!</definedName>
    <definedName name="d" localSheetId="19">'[3]13. Headcount Forecast'!#REF!</definedName>
    <definedName name="d" localSheetId="24">'[3]13. Headcount Forecast'!#REF!</definedName>
    <definedName name="d" localSheetId="25">'[3]13. Headcount Forecast'!#REF!</definedName>
    <definedName name="d">'[3]13. Headcount Forecast'!#REF!</definedName>
    <definedName name="DATA1" localSheetId="28">'[26]acct changes Remotes'!#REF!</definedName>
    <definedName name="DATA1" localSheetId="18">'[26]acct changes Remotes'!#REF!</definedName>
    <definedName name="DATA1" localSheetId="19">'[26]acct changes Remotes'!#REF!</definedName>
    <definedName name="DATA1" localSheetId="24">'[26]acct changes Remotes'!#REF!</definedName>
    <definedName name="DATA1" localSheetId="25">'[26]acct changes Remotes'!#REF!</definedName>
    <definedName name="DATA1">'[26]acct changes Remotes'!#REF!</definedName>
    <definedName name="DATA2" localSheetId="28">#REF!</definedName>
    <definedName name="DATA2" localSheetId="18">#REF!</definedName>
    <definedName name="DATA2" localSheetId="19">#REF!</definedName>
    <definedName name="DATA2" localSheetId="24">#REF!</definedName>
    <definedName name="DATA2" localSheetId="25">#REF!</definedName>
    <definedName name="DATA2">#REF!</definedName>
    <definedName name="data3">[27]data2!$B$1:$C$1420</definedName>
    <definedName name="_xlnm.Database" localSheetId="28">#REF!</definedName>
    <definedName name="_xlnm.Database" localSheetId="18">#REF!</definedName>
    <definedName name="_xlnm.Database" localSheetId="19">#REF!</definedName>
    <definedName name="_xlnm.Database" localSheetId="24">#REF!</definedName>
    <definedName name="_xlnm.Database" localSheetId="25">#REF!</definedName>
    <definedName name="_xlnm.Database">#REF!</definedName>
    <definedName name="date" localSheetId="28">'[28]Without Subledger'!#REF!</definedName>
    <definedName name="date" localSheetId="18">'[28]Without Subledger'!#REF!</definedName>
    <definedName name="date" localSheetId="19">'[28]Without Subledger'!#REF!</definedName>
    <definedName name="date" localSheetId="24">'[28]Without Subledger'!#REF!</definedName>
    <definedName name="date" localSheetId="25">'[28]Without Subledger'!#REF!</definedName>
    <definedName name="date">'[28]Without Subledger'!#REF!</definedName>
    <definedName name="DATEINC">[22]Sheet1!$C$2</definedName>
    <definedName name="dd" localSheetId="28">'[29]13. Headcount Forecast'!#REF!</definedName>
    <definedName name="dd" localSheetId="18">'[29]13. Headcount Forecast'!#REF!</definedName>
    <definedName name="dd" localSheetId="19">'[29]13. Headcount Forecast'!#REF!</definedName>
    <definedName name="dd" localSheetId="24">'[29]13. Headcount Forecast'!#REF!</definedName>
    <definedName name="dd" localSheetId="25">'[29]13. Headcount Forecast'!#REF!</definedName>
    <definedName name="dd">'[29]13. Headcount Forecast'!#REF!</definedName>
    <definedName name="ddd" localSheetId="28">'[3]13. Headcount Forecast'!#REF!</definedName>
    <definedName name="ddd" localSheetId="18">'[3]13. Headcount Forecast'!#REF!</definedName>
    <definedName name="ddd" localSheetId="19">'[3]13. Headcount Forecast'!#REF!</definedName>
    <definedName name="ddd" localSheetId="24">'[3]13. Headcount Forecast'!#REF!</definedName>
    <definedName name="ddd" localSheetId="25">'[3]13. Headcount Forecast'!#REF!</definedName>
    <definedName name="ddd">'[3]13. Headcount Forecast'!#REF!</definedName>
    <definedName name="dddd" localSheetId="28">'[3]13. Headcount Forecast'!#REF!</definedName>
    <definedName name="dddd" localSheetId="18">'[3]13. Headcount Forecast'!#REF!</definedName>
    <definedName name="dddd" localSheetId="19">'[3]13. Headcount Forecast'!#REF!</definedName>
    <definedName name="dddd" localSheetId="24">'[3]13. Headcount Forecast'!#REF!</definedName>
    <definedName name="dddd" localSheetId="25">'[3]13. Headcount Forecast'!#REF!</definedName>
    <definedName name="dddd">'[3]13. Headcount Forecast'!#REF!</definedName>
    <definedName name="DEC" localSheetId="28">#REF!</definedName>
    <definedName name="DEC" localSheetId="18">#REF!</definedName>
    <definedName name="DEC" localSheetId="19">#REF!</definedName>
    <definedName name="DEC" localSheetId="24">#REF!</definedName>
    <definedName name="DEC" localSheetId="25">#REF!</definedName>
    <definedName name="DEC">#REF!</definedName>
    <definedName name="Dental_Esc_02">'[13]5. Escalators'!$J$25</definedName>
    <definedName name="Dental_Esc_03">'[13]5. Escalators'!$J$26</definedName>
    <definedName name="Dental_Esc_04">'[13]5. Escalators'!$J$27</definedName>
    <definedName name="Dental_Esc_05">'[13]5. Escalators'!$J$28</definedName>
    <definedName name="Dental_Esc_06">'[13]5. Escalators'!$J$29</definedName>
    <definedName name="Dental_Esc_07">'[13]5. Escalators'!$J$30</definedName>
    <definedName name="Dental_Esc_08">'[13]5. Escalators'!$J$31</definedName>
    <definedName name="Dental_Esc_09">'[13]5. Escalators'!$J$32</definedName>
    <definedName name="Dental_Esc_Rate">'[13]5. Escalators'!$J$23</definedName>
    <definedName name="Desc" localSheetId="28">#REF!</definedName>
    <definedName name="Desc" localSheetId="18">#REF!</definedName>
    <definedName name="Desc" localSheetId="19">#REF!</definedName>
    <definedName name="Desc" localSheetId="24">#REF!</definedName>
    <definedName name="Desc" localSheetId="25">#REF!</definedName>
    <definedName name="Desc">#REF!</definedName>
    <definedName name="Descr" localSheetId="28">#REF!</definedName>
    <definedName name="Descr" localSheetId="18">#REF!</definedName>
    <definedName name="Descr" localSheetId="19">#REF!</definedName>
    <definedName name="Descr" localSheetId="24">#REF!</definedName>
    <definedName name="Descr" localSheetId="25">#REF!</definedName>
    <definedName name="Descr">#REF!</definedName>
    <definedName name="discount" localSheetId="28">#REF!</definedName>
    <definedName name="discount" localSheetId="18">#REF!</definedName>
    <definedName name="discount" localSheetId="19">#REF!</definedName>
    <definedName name="discount" localSheetId="24">#REF!</definedName>
    <definedName name="discount" localSheetId="25">#REF!</definedName>
    <definedName name="discount">#REF!</definedName>
    <definedName name="DollarFormat" localSheetId="28">#REF!</definedName>
    <definedName name="DollarFormat" localSheetId="18">#REF!</definedName>
    <definedName name="DollarFormat" localSheetId="19">#REF!</definedName>
    <definedName name="DollarFormat" localSheetId="24">#REF!</definedName>
    <definedName name="DollarFormat" localSheetId="25">#REF!</definedName>
    <definedName name="DollarFormat">#REF!</definedName>
    <definedName name="DollarFormat_Area" localSheetId="28">#REF!</definedName>
    <definedName name="DollarFormat_Area" localSheetId="18">#REF!</definedName>
    <definedName name="DollarFormat_Area" localSheetId="19">#REF!</definedName>
    <definedName name="DollarFormat_Area" localSheetId="24">#REF!</definedName>
    <definedName name="DollarFormat_Area" localSheetId="25">#REF!</definedName>
    <definedName name="DollarFormat_Area">#REF!</definedName>
    <definedName name="download">'[30]Download by month'!$A$3:$R$141</definedName>
    <definedName name="e" localSheetId="28">'[3]13. Headcount Forecast'!#REF!</definedName>
    <definedName name="e" localSheetId="18">'[3]13. Headcount Forecast'!#REF!</definedName>
    <definedName name="e" localSheetId="19">'[3]13. Headcount Forecast'!#REF!</definedName>
    <definedName name="e" localSheetId="24">'[3]13. Headcount Forecast'!#REF!</definedName>
    <definedName name="e" localSheetId="25">'[3]13. Headcount Forecast'!#REF!</definedName>
    <definedName name="e">'[3]13. Headcount Forecast'!#REF!</definedName>
    <definedName name="EBNUMBER">'[17]LDC Info'!$E$16</definedName>
    <definedName name="ee" localSheetId="28">'[29]13. Headcount Forecast'!#REF!</definedName>
    <definedName name="ee" localSheetId="18">'[29]13. Headcount Forecast'!#REF!</definedName>
    <definedName name="ee" localSheetId="19">'[29]13. Headcount Forecast'!#REF!</definedName>
    <definedName name="ee" localSheetId="24">'[29]13. Headcount Forecast'!#REF!</definedName>
    <definedName name="ee" localSheetId="25">'[29]13. Headcount Forecast'!#REF!</definedName>
    <definedName name="ee">'[29]13. Headcount Forecast'!#REF!</definedName>
    <definedName name="eee" localSheetId="28">'[3]13. Headcount Forecast'!#REF!</definedName>
    <definedName name="eee" localSheetId="18">'[3]13. Headcount Forecast'!#REF!</definedName>
    <definedName name="eee" localSheetId="19">'[3]13. Headcount Forecast'!#REF!</definedName>
    <definedName name="eee" localSheetId="24">'[3]13. Headcount Forecast'!#REF!</definedName>
    <definedName name="eee" localSheetId="25">'[3]13. Headcount Forecast'!#REF!</definedName>
    <definedName name="eee">'[3]13. Headcount Forecast'!#REF!</definedName>
    <definedName name="eeeeee" localSheetId="28">'[3]13. Headcount Forecast'!#REF!</definedName>
    <definedName name="eeeeee" localSheetId="18">'[3]13. Headcount Forecast'!#REF!</definedName>
    <definedName name="eeeeee" localSheetId="19">'[3]13. Headcount Forecast'!#REF!</definedName>
    <definedName name="eeeeee" localSheetId="24">'[3]13. Headcount Forecast'!#REF!</definedName>
    <definedName name="eeeeee" localSheetId="25">'[3]13. Headcount Forecast'!#REF!</definedName>
    <definedName name="eeeeee">'[3]13. Headcount Forecast'!#REF!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xclude" localSheetId="28">#REF!</definedName>
    <definedName name="exclude" localSheetId="18">#REF!</definedName>
    <definedName name="exclude" localSheetId="19">#REF!</definedName>
    <definedName name="exclude" localSheetId="24">#REF!</definedName>
    <definedName name="exclude" localSheetId="25">#REF!</definedName>
    <definedName name="exclude">#REF!</definedName>
    <definedName name="f" localSheetId="28">'[3]13. Headcount Forecast'!#REF!</definedName>
    <definedName name="f" localSheetId="18">'[3]13. Headcount Forecast'!#REF!</definedName>
    <definedName name="f" localSheetId="19">'[3]13. Headcount Forecast'!#REF!</definedName>
    <definedName name="f" localSheetId="24">'[3]13. Headcount Forecast'!#REF!</definedName>
    <definedName name="f" localSheetId="25">'[3]13. Headcount Forecast'!#REF!</definedName>
    <definedName name="f">'[3]13. Headcount Forecast'!#REF!</definedName>
    <definedName name="FA_AccDep_Reconciliations_CA" localSheetId="28">#REF!</definedName>
    <definedName name="FA_AccDep_Reconciliations_CA" localSheetId="18">#REF!</definedName>
    <definedName name="FA_AccDep_Reconciliations_CA" localSheetId="19">#REF!</definedName>
    <definedName name="FA_AccDep_Reconciliations_CA" localSheetId="24">#REF!</definedName>
    <definedName name="FA_AccDep_Reconciliations_CA" localSheetId="25">#REF!</definedName>
    <definedName name="FA_AccDep_Reconciliations_CA">#REF!</definedName>
    <definedName name="FA_CA">'[5]MAY 2006 FA GRP CONTNUITY SCHED'!$D$5:$Q$15</definedName>
    <definedName name="FA_GL_lookup" localSheetId="28">#REF!</definedName>
    <definedName name="FA_GL_lookup" localSheetId="18">#REF!</definedName>
    <definedName name="FA_GL_lookup" localSheetId="19">#REF!</definedName>
    <definedName name="FA_GL_lookup" localSheetId="24">#REF!</definedName>
    <definedName name="FA_GL_lookup" localSheetId="25">#REF!</definedName>
    <definedName name="FA_GL_lookup">#REF!</definedName>
    <definedName name="FA_MJR_Minor_NORMAL_Special_RET_CA" localSheetId="28">#REF!</definedName>
    <definedName name="FA_MJR_Minor_NORMAL_Special_RET_CA" localSheetId="18">#REF!</definedName>
    <definedName name="FA_MJR_Minor_NORMAL_Special_RET_CA" localSheetId="19">#REF!</definedName>
    <definedName name="FA_MJR_Minor_NORMAL_Special_RET_CA" localSheetId="24">#REF!</definedName>
    <definedName name="FA_MJR_Minor_NORMAL_Special_RET_CA" localSheetId="25">#REF!</definedName>
    <definedName name="FA_MJR_Minor_NORMAL_Special_RET_CA">#REF!</definedName>
    <definedName name="FA_PSOFT_AM_ACCDEPN" localSheetId="28">#REF!</definedName>
    <definedName name="FA_PSOFT_AM_ACCDEPN" localSheetId="18">#REF!</definedName>
    <definedName name="FA_PSOFT_AM_ACCDEPN" localSheetId="19">#REF!</definedName>
    <definedName name="FA_PSOFT_AM_ACCDEPN" localSheetId="24">#REF!</definedName>
    <definedName name="FA_PSOFT_AM_ACCDEPN" localSheetId="25">#REF!</definedName>
    <definedName name="FA_PSOFT_AM_ACCDEPN">#REF!</definedName>
    <definedName name="FA2a_lookup">'[19] SUPPORT 2 -FA CONT GROUP SCHD '!$C$42:$K$56</definedName>
    <definedName name="FA2c_lookup">'[19] SUPPORT 2 -FA CONT GROUP SCHD '!$C$23:$J$35</definedName>
    <definedName name="FA2c1_GLBAL_LOOKUP" localSheetId="28">'[15]SUPPORT 6 - GL ACCOUNT BALANCES'!#REF!</definedName>
    <definedName name="FA2c1_GLBAL_LOOKUP" localSheetId="18">'[15]SUPPORT 6 - GL ACCOUNT BALANCES'!#REF!</definedName>
    <definedName name="FA2c1_GLBAL_LOOKUP" localSheetId="19">'[15]SUPPORT 6 - GL ACCOUNT BALANCES'!#REF!</definedName>
    <definedName name="FA2c1_GLBAL_LOOKUP" localSheetId="24">'[15]SUPPORT 6 - GL ACCOUNT BALANCES'!#REF!</definedName>
    <definedName name="FA2c1_GLBAL_LOOKUP" localSheetId="25">'[15]SUPPORT 6 - GL ACCOUNT BALANCES'!#REF!</definedName>
    <definedName name="FA2c1_GLBAL_LOOKUP">'[15]SUPPORT 6 - GL ACCOUNT BALANCES'!#REF!</definedName>
    <definedName name="FA2d_accdep_lookup">'[19] SUPPORT 2 -FA CONT GROUP SCHD '!$C$64:$H$75</definedName>
    <definedName name="FA2d_COST_lookup">'[19] SUPPORT 2 -FA CONT GROUP SCHD '!$C$4:$M$15</definedName>
    <definedName name="FA2d_lookup" localSheetId="28">#REF!</definedName>
    <definedName name="FA2d_lookup" localSheetId="18">#REF!</definedName>
    <definedName name="FA2d_lookup" localSheetId="19">#REF!</definedName>
    <definedName name="FA2d_lookup" localSheetId="24">#REF!</definedName>
    <definedName name="FA2d_lookup" localSheetId="25">#REF!</definedName>
    <definedName name="FA2d_lookup">#REF!</definedName>
    <definedName name="FA2e_lookup" localSheetId="28">#REF!</definedName>
    <definedName name="FA2e_lookup" localSheetId="18">#REF!</definedName>
    <definedName name="FA2e_lookup" localSheetId="19">#REF!</definedName>
    <definedName name="FA2e_lookup" localSheetId="24">#REF!</definedName>
    <definedName name="FA2e_lookup" localSheetId="25">#REF!</definedName>
    <definedName name="FA2e_lookup">#REF!</definedName>
    <definedName name="FDMbudget">'[30]budget - FDM'!$A$19:$M$34</definedName>
    <definedName name="FEB" localSheetId="28">#REF!</definedName>
    <definedName name="FEB" localSheetId="18">#REF!</definedName>
    <definedName name="FEB" localSheetId="19">#REF!</definedName>
    <definedName name="FEB" localSheetId="24">#REF!</definedName>
    <definedName name="FEB" localSheetId="25">#REF!</definedName>
    <definedName name="FEB">#REF!</definedName>
    <definedName name="feb_lookup" localSheetId="28">#REF!</definedName>
    <definedName name="feb_lookup" localSheetId="18">#REF!</definedName>
    <definedName name="feb_lookup" localSheetId="19">#REF!</definedName>
    <definedName name="feb_lookup" localSheetId="24">#REF!</definedName>
    <definedName name="feb_lookup" localSheetId="25">#REF!</definedName>
    <definedName name="feb_lookup">#REF!</definedName>
    <definedName name="ff" localSheetId="28">'[29]13. Headcount Forecast'!#REF!</definedName>
    <definedName name="ff" localSheetId="18">'[29]13. Headcount Forecast'!#REF!</definedName>
    <definedName name="ff" localSheetId="19">'[29]13. Headcount Forecast'!#REF!</definedName>
    <definedName name="ff" localSheetId="24">'[29]13. Headcount Forecast'!#REF!</definedName>
    <definedName name="ff" localSheetId="25">'[29]13. Headcount Forecast'!#REF!</definedName>
    <definedName name="ff">'[29]13. Headcount Forecast'!#REF!</definedName>
    <definedName name="fff" localSheetId="28">'[3]13. Headcount Forecast'!#REF!</definedName>
    <definedName name="fff" localSheetId="18">'[3]13. Headcount Forecast'!#REF!</definedName>
    <definedName name="fff" localSheetId="19">'[3]13. Headcount Forecast'!#REF!</definedName>
    <definedName name="fff" localSheetId="24">'[3]13. Headcount Forecast'!#REF!</definedName>
    <definedName name="fff" localSheetId="25">'[3]13. Headcount Forecast'!#REF!</definedName>
    <definedName name="fff">'[3]13. Headcount Forecast'!#REF!</definedName>
    <definedName name="ffff" localSheetId="28">'[3]13. Headcount Forecast'!#REF!</definedName>
    <definedName name="ffff" localSheetId="18">'[3]13. Headcount Forecast'!#REF!</definedName>
    <definedName name="ffff" localSheetId="19">'[3]13. Headcount Forecast'!#REF!</definedName>
    <definedName name="ffff" localSheetId="24">'[3]13. Headcount Forecast'!#REF!</definedName>
    <definedName name="ffff" localSheetId="25">'[3]13. Headcount Forecast'!#REF!</definedName>
    <definedName name="ffff">'[3]13. Headcount Forecast'!#REF!</definedName>
    <definedName name="first" localSheetId="28">#REF!</definedName>
    <definedName name="first" localSheetId="18">#REF!</definedName>
    <definedName name="first" localSheetId="19">#REF!</definedName>
    <definedName name="first" localSheetId="24">#REF!</definedName>
    <definedName name="first" localSheetId="25">#REF!</definedName>
    <definedName name="first">#REF!</definedName>
    <definedName name="First_Page" localSheetId="28">#REF!</definedName>
    <definedName name="First_Page" localSheetId="18">#REF!</definedName>
    <definedName name="First_Page" localSheetId="19">#REF!</definedName>
    <definedName name="First_Page" localSheetId="24">#REF!</definedName>
    <definedName name="First_Page" localSheetId="25">#REF!</definedName>
    <definedName name="First_Page">#REF!</definedName>
    <definedName name="fixed_assets">'[10]for vlookup'!$A$3:$D$22</definedName>
    <definedName name="Footer" localSheetId="28">#REF!</definedName>
    <definedName name="Footer" localSheetId="18">#REF!</definedName>
    <definedName name="Footer" localSheetId="19">#REF!</definedName>
    <definedName name="Footer" localSheetId="24">#REF!</definedName>
    <definedName name="Footer" localSheetId="25">#REF!</definedName>
    <definedName name="Footer">#REF!</definedName>
    <definedName name="ForCumOU">[11]Forecast!$A$289:$N$301</definedName>
    <definedName name="Formulas" localSheetId="28">'[25]14. CY Actual Summary Results'!#REF!</definedName>
    <definedName name="Formulas" localSheetId="18">'[25]14. CY Actual Summary Results'!#REF!</definedName>
    <definedName name="Formulas" localSheetId="19">'[25]14. CY Actual Summary Results'!#REF!</definedName>
    <definedName name="Formulas" localSheetId="24">'[25]14. CY Actual Summary Results'!#REF!</definedName>
    <definedName name="Formulas" localSheetId="25">'[25]14. CY Actual Summary Results'!#REF!</definedName>
    <definedName name="Formulas">'[25]14. CY Actual Summary Results'!#REF!</definedName>
    <definedName name="ForYEOU">'[11]Forecast YE'!$A$274:$N$286</definedName>
    <definedName name="FVRate0">'[31]Input - Proj Info'!$K$113</definedName>
    <definedName name="FVRate1">'[31]Input - Proj Info'!$K$114</definedName>
    <definedName name="FVRate2">'[31]Input - Proj Info'!$K$115</definedName>
    <definedName name="FVRate3">'[31]Input - Proj Info'!$K$116</definedName>
    <definedName name="FVRate4">'[31]Input - Proj Info'!$K$117</definedName>
    <definedName name="FY4nv" localSheetId="28">#REF!</definedName>
    <definedName name="FY4nv" localSheetId="18">#REF!</definedName>
    <definedName name="FY4nv" localSheetId="19">#REF!</definedName>
    <definedName name="FY4nv" localSheetId="24">#REF!</definedName>
    <definedName name="FY4nv" localSheetId="25">#REF!</definedName>
    <definedName name="FY4nv">#REF!</definedName>
    <definedName name="g" localSheetId="28">'[3]13. Headcount Forecast'!#REF!</definedName>
    <definedName name="g" localSheetId="18">'[3]13. Headcount Forecast'!#REF!</definedName>
    <definedName name="g" localSheetId="19">'[3]13. Headcount Forecast'!#REF!</definedName>
    <definedName name="g" localSheetId="24">'[3]13. Headcount Forecast'!#REF!</definedName>
    <definedName name="g" localSheetId="25">'[3]13. Headcount Forecast'!#REF!</definedName>
    <definedName name="g">'[3]13. Headcount Forecast'!#REF!</definedName>
    <definedName name="ggg" localSheetId="28">'[3]13. Headcount Forecast'!#REF!</definedName>
    <definedName name="ggg" localSheetId="18">'[3]13. Headcount Forecast'!#REF!</definedName>
    <definedName name="ggg" localSheetId="19">'[3]13. Headcount Forecast'!#REF!</definedName>
    <definedName name="ggg" localSheetId="24">'[3]13. Headcount Forecast'!#REF!</definedName>
    <definedName name="ggg" localSheetId="25">'[3]13. Headcount Forecast'!#REF!</definedName>
    <definedName name="ggg">'[3]13. Headcount Forecast'!#REF!</definedName>
    <definedName name="gggg" localSheetId="28">'[3]13. Headcount Forecast'!#REF!</definedName>
    <definedName name="gggg" localSheetId="18">'[3]13. Headcount Forecast'!#REF!</definedName>
    <definedName name="gggg" localSheetId="19">'[3]13. Headcount Forecast'!#REF!</definedName>
    <definedName name="gggg" localSheetId="24">'[3]13. Headcount Forecast'!#REF!</definedName>
    <definedName name="gggg" localSheetId="25">'[3]13. Headcount Forecast'!#REF!</definedName>
    <definedName name="gggg">'[3]13. Headcount Forecast'!#REF!</definedName>
    <definedName name="GL">'[18]GL Input'!$A$9:$N$91</definedName>
    <definedName name="GL_ACCDEPN_LOOKUP">'[32]SUPPORT 6A - LEDGER BAL CONTROL'!$J$1:$O$55</definedName>
    <definedName name="gl_acdepn_susp">'[15]SUPPORT 6B - LEDGER BAL SUSP'!$S$1:$AF$56</definedName>
    <definedName name="GL_BAL_ALLBU_LOOKUP">'[15]SUPPORT 6 - GL ACCOUNT BALANCES'!$M$8:$Z$500</definedName>
    <definedName name="GL_Bal_summary" localSheetId="28">#REF!</definedName>
    <definedName name="GL_Bal_summary" localSheetId="18">#REF!</definedName>
    <definedName name="GL_Bal_summary" localSheetId="19">#REF!</definedName>
    <definedName name="GL_Bal_summary" localSheetId="24">#REF!</definedName>
    <definedName name="GL_Bal_summary" localSheetId="25">#REF!</definedName>
    <definedName name="GL_Bal_summary">#REF!</definedName>
    <definedName name="GL_COLUMN_NBR" localSheetId="28">'[15]SUPPORT 6 - GL ACCOUNT BALANCES'!#REF!</definedName>
    <definedName name="GL_COLUMN_NBR" localSheetId="18">'[15]SUPPORT 6 - GL ACCOUNT BALANCES'!#REF!</definedName>
    <definedName name="GL_COLUMN_NBR" localSheetId="19">'[15]SUPPORT 6 - GL ACCOUNT BALANCES'!#REF!</definedName>
    <definedName name="GL_COLUMN_NBR" localSheetId="24">'[15]SUPPORT 6 - GL ACCOUNT BALANCES'!#REF!</definedName>
    <definedName name="GL_COLUMN_NBR" localSheetId="25">'[15]SUPPORT 6 - GL ACCOUNT BALANCES'!#REF!</definedName>
    <definedName name="GL_COLUMN_NBR">'[15]SUPPORT 6 - GL ACCOUNT BALANCES'!#REF!</definedName>
    <definedName name="GL_cost_susp">'[15]SUPPORT 6B - LEDGER BAL SUSP'!$B$1:$P$91</definedName>
    <definedName name="GL_Prior_Year">'[33]2004GL Input'!$A$7:$N$81</definedName>
    <definedName name="gl_txdx_amort_bal" localSheetId="28">#REF!</definedName>
    <definedName name="gl_txdx_amort_bal" localSheetId="18">#REF!</definedName>
    <definedName name="gl_txdx_amort_bal" localSheetId="19">#REF!</definedName>
    <definedName name="gl_txdx_amort_bal" localSheetId="24">#REF!</definedName>
    <definedName name="gl_txdx_amort_bal" localSheetId="25">#REF!</definedName>
    <definedName name="gl_txdx_amort_bal">#REF!</definedName>
    <definedName name="GL_TXDX_BAL" localSheetId="28">#REF!</definedName>
    <definedName name="GL_TXDX_BAL" localSheetId="18">#REF!</definedName>
    <definedName name="GL_TXDX_BAL" localSheetId="19">#REF!</definedName>
    <definedName name="GL_TXDX_BAL" localSheetId="24">#REF!</definedName>
    <definedName name="GL_TXDX_BAL" localSheetId="25">#REF!</definedName>
    <definedName name="GL_TXDX_BAL">#REF!</definedName>
    <definedName name="glbal_accdep" localSheetId="28">#REF!</definedName>
    <definedName name="glbal_accdep" localSheetId="18">#REF!</definedName>
    <definedName name="glbal_accdep" localSheetId="19">#REF!</definedName>
    <definedName name="glbal_accdep" localSheetId="24">#REF!</definedName>
    <definedName name="glbal_accdep" localSheetId="25">#REF!</definedName>
    <definedName name="glbal_accdep">#REF!</definedName>
    <definedName name="glbal_cip" localSheetId="28">#REF!</definedName>
    <definedName name="glbal_cip" localSheetId="18">#REF!</definedName>
    <definedName name="glbal_cip" localSheetId="19">#REF!</definedName>
    <definedName name="glbal_cip" localSheetId="24">#REF!</definedName>
    <definedName name="glbal_cip" localSheetId="25">#REF!</definedName>
    <definedName name="glbal_cip">#REF!</definedName>
    <definedName name="glbal_fixedassets" localSheetId="28">#REF!</definedName>
    <definedName name="glbal_fixedassets" localSheetId="18">#REF!</definedName>
    <definedName name="glbal_fixedassets" localSheetId="19">#REF!</definedName>
    <definedName name="glbal_fixedassets" localSheetId="24">#REF!</definedName>
    <definedName name="glbal_fixedassets" localSheetId="25">#REF!</definedName>
    <definedName name="glbal_fixedassets">#REF!</definedName>
    <definedName name="Group">[34]Accumulator!$B$2:$C$16</definedName>
    <definedName name="h" localSheetId="28">'[3]13. Headcount Forecast'!#REF!</definedName>
    <definedName name="h" localSheetId="18">'[3]13. Headcount Forecast'!#REF!</definedName>
    <definedName name="h" localSheetId="19">'[3]13. Headcount Forecast'!#REF!</definedName>
    <definedName name="h" localSheetId="24">'[3]13. Headcount Forecast'!#REF!</definedName>
    <definedName name="h" localSheetId="25">'[3]13. Headcount Forecast'!#REF!</definedName>
    <definedName name="h">'[3]13. Headcount Forecast'!#REF!</definedName>
    <definedName name="H1_consol" localSheetId="28">'[35]6 Other_Continuity'!#REF!</definedName>
    <definedName name="H1_consol" localSheetId="18">'[35]6 Other_Continuity'!#REF!</definedName>
    <definedName name="H1_consol" localSheetId="19">'[35]6 Other_Continuity'!#REF!</definedName>
    <definedName name="H1_consol" localSheetId="24">'[35]6 Other_Continuity'!#REF!</definedName>
    <definedName name="H1_consol" localSheetId="25">'[35]6 Other_Continuity'!#REF!</definedName>
    <definedName name="H1_consol">'[35]6 Other_Continuity'!#REF!</definedName>
    <definedName name="H1_dx" localSheetId="28">'[35]6 Other_Continuity'!#REF!</definedName>
    <definedName name="H1_dx" localSheetId="18">'[35]6 Other_Continuity'!#REF!</definedName>
    <definedName name="H1_dx" localSheetId="19">'[35]6 Other_Continuity'!#REF!</definedName>
    <definedName name="H1_dx" localSheetId="24">'[35]6 Other_Continuity'!#REF!</definedName>
    <definedName name="H1_dx" localSheetId="25">'[35]6 Other_Continuity'!#REF!</definedName>
    <definedName name="H1_dx">'[35]6 Other_Continuity'!#REF!</definedName>
    <definedName name="H1_networks" localSheetId="28">'[35]6 Other_Continuity'!#REF!</definedName>
    <definedName name="H1_networks" localSheetId="18">'[35]6 Other_Continuity'!#REF!</definedName>
    <definedName name="H1_networks" localSheetId="19">'[35]6 Other_Continuity'!#REF!</definedName>
    <definedName name="H1_networks" localSheetId="24">'[35]6 Other_Continuity'!#REF!</definedName>
    <definedName name="H1_networks" localSheetId="25">'[35]6 Other_Continuity'!#REF!</definedName>
    <definedName name="H1_networks">'[35]6 Other_Continuity'!#REF!</definedName>
    <definedName name="H1_other" localSheetId="28">'[35]6 Other_Continuity'!#REF!</definedName>
    <definedName name="H1_other" localSheetId="18">'[35]6 Other_Continuity'!#REF!</definedName>
    <definedName name="H1_other" localSheetId="19">'[35]6 Other_Continuity'!#REF!</definedName>
    <definedName name="H1_other" localSheetId="24">'[35]6 Other_Continuity'!#REF!</definedName>
    <definedName name="H1_other" localSheetId="25">'[35]6 Other_Continuity'!#REF!</definedName>
    <definedName name="H1_other">'[35]6 Other_Continuity'!#REF!</definedName>
    <definedName name="H1_tx" localSheetId="28">'[35]6 Other_Continuity'!#REF!</definedName>
    <definedName name="H1_tx" localSheetId="18">'[35]6 Other_Continuity'!#REF!</definedName>
    <definedName name="H1_tx" localSheetId="19">'[35]6 Other_Continuity'!#REF!</definedName>
    <definedName name="H1_tx" localSheetId="24">'[35]6 Other_Continuity'!#REF!</definedName>
    <definedName name="H1_tx" localSheetId="25">'[35]6 Other_Continuity'!#REF!</definedName>
    <definedName name="H1_tx">'[35]6 Other_Continuity'!#REF!</definedName>
    <definedName name="HEADER1">[22]Sheet1!$A$4</definedName>
    <definedName name="Health_Esc_02">'[13]5. Escalators'!$I$25</definedName>
    <definedName name="Health_Esc_03">'[13]5. Escalators'!$I$26</definedName>
    <definedName name="Health_Esc_04">'[13]5. Escalators'!$I$27</definedName>
    <definedName name="Health_Esc_05">'[13]5. Escalators'!$I$28</definedName>
    <definedName name="Health_Esc_06">'[13]5. Escalators'!$I$29</definedName>
    <definedName name="Health_Esc_07">'[13]5. Escalators'!$I$30</definedName>
    <definedName name="Health_Esc_08">'[13]5. Escalators'!$I$31</definedName>
    <definedName name="Health_esc_09">'[13]5. Escalators'!$I$32</definedName>
    <definedName name="Health_Esc_Rate">'[13]5. Escalators'!$I$23</definedName>
    <definedName name="hhh" localSheetId="28">'[3]13. Headcount Forecast'!#REF!</definedName>
    <definedName name="hhh" localSheetId="18">'[3]13. Headcount Forecast'!#REF!</definedName>
    <definedName name="hhh" localSheetId="19">'[3]13. Headcount Forecast'!#REF!</definedName>
    <definedName name="hhh" localSheetId="24">'[3]13. Headcount Forecast'!#REF!</definedName>
    <definedName name="hhh" localSheetId="25">'[3]13. Headcount Forecast'!#REF!</definedName>
    <definedName name="hhh">'[3]13. Headcount Forecast'!#REF!</definedName>
    <definedName name="hhhh" localSheetId="28">'[3]13. Headcount Forecast'!#REF!</definedName>
    <definedName name="hhhh" localSheetId="18">'[3]13. Headcount Forecast'!#REF!</definedName>
    <definedName name="hhhh" localSheetId="19">'[3]13. Headcount Forecast'!#REF!</definedName>
    <definedName name="hhhh" localSheetId="24">'[3]13. Headcount Forecast'!#REF!</definedName>
    <definedName name="hhhh" localSheetId="25">'[3]13. Headcount Forecast'!#REF!</definedName>
    <definedName name="hhhh">'[3]13. Headcount Forecast'!#REF!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_Brampton_Inc." localSheetId="28">'[25]14. CY Actual Summary Results'!#REF!</definedName>
    <definedName name="Hydro_One_Brampton_Inc." localSheetId="18">'[25]14. CY Actual Summary Results'!#REF!</definedName>
    <definedName name="Hydro_One_Brampton_Inc." localSheetId="19">'[25]14. CY Actual Summary Results'!#REF!</definedName>
    <definedName name="Hydro_One_Brampton_Inc." localSheetId="24">'[25]14. CY Actual Summary Results'!#REF!</definedName>
    <definedName name="Hydro_One_Brampton_Inc." localSheetId="25">'[25]14. CY Actual Summary Results'!#REF!</definedName>
    <definedName name="Hydro_One_Brampton_Inc.">'[25]14. CY Actual Summary Results'!#REF!</definedName>
    <definedName name="Hydro_One_Remote_Communities_Inc." localSheetId="28">'[25]14. CY Actual Summary Results'!#REF!</definedName>
    <definedName name="Hydro_One_Remote_Communities_Inc." localSheetId="18">'[25]14. CY Actual Summary Results'!#REF!</definedName>
    <definedName name="Hydro_One_Remote_Communities_Inc." localSheetId="19">'[25]14. CY Actual Summary Results'!#REF!</definedName>
    <definedName name="Hydro_One_Remote_Communities_Inc." localSheetId="24">'[25]14. CY Actual Summary Results'!#REF!</definedName>
    <definedName name="Hydro_One_Remote_Communities_Inc." localSheetId="25">'[25]14. CY Actual Summary Results'!#REF!</definedName>
    <definedName name="Hydro_One_Remote_Communities_Inc.">'[25]14. CY Actual Summary Results'!#REF!</definedName>
    <definedName name="Hydro_One_Telecom_Inc." localSheetId="28">'[25]14. CY Actual Summary Results'!#REF!</definedName>
    <definedName name="Hydro_One_Telecom_Inc." localSheetId="18">'[25]14. CY Actual Summary Results'!#REF!</definedName>
    <definedName name="Hydro_One_Telecom_Inc." localSheetId="19">'[25]14. CY Actual Summary Results'!#REF!</definedName>
    <definedName name="Hydro_One_Telecom_Inc." localSheetId="24">'[25]14. CY Actual Summary Results'!#REF!</definedName>
    <definedName name="Hydro_One_Telecom_Inc." localSheetId="25">'[25]14. CY Actual Summary Results'!#REF!</definedName>
    <definedName name="Hydro_One_Telecom_Inc.">'[25]14. CY Actual Summary Results'!#REF!</definedName>
    <definedName name="i" localSheetId="28">'[3]13. Headcount Forecast'!#REF!</definedName>
    <definedName name="i" localSheetId="18">'[3]13. Headcount Forecast'!#REF!</definedName>
    <definedName name="i" localSheetId="19">'[3]13. Headcount Forecast'!#REF!</definedName>
    <definedName name="i" localSheetId="24">'[3]13. Headcount Forecast'!#REF!</definedName>
    <definedName name="i" localSheetId="25">'[3]13. Headcount Forecast'!#REF!</definedName>
    <definedName name="i">'[3]13. Headcount Forecast'!#REF!</definedName>
    <definedName name="ii" localSheetId="28">'[29]13. Headcount Forecast'!#REF!</definedName>
    <definedName name="ii" localSheetId="18">'[29]13. Headcount Forecast'!#REF!</definedName>
    <definedName name="ii" localSheetId="19">'[29]13. Headcount Forecast'!#REF!</definedName>
    <definedName name="ii" localSheetId="24">'[29]13. Headcount Forecast'!#REF!</definedName>
    <definedName name="ii" localSheetId="25">'[29]13. Headcount Forecast'!#REF!</definedName>
    <definedName name="ii">'[29]13. Headcount Forecast'!#REF!</definedName>
    <definedName name="iii" localSheetId="28">'[3]13. Headcount Forecast'!#REF!</definedName>
    <definedName name="iii" localSheetId="18">'[3]13. Headcount Forecast'!#REF!</definedName>
    <definedName name="iii" localSheetId="19">'[3]13. Headcount Forecast'!#REF!</definedName>
    <definedName name="iii" localSheetId="24">'[3]13. Headcount Forecast'!#REF!</definedName>
    <definedName name="iii" localSheetId="25">'[3]13. Headcount Forecast'!#REF!</definedName>
    <definedName name="iii">'[3]13. Headcount Forecast'!#REF!</definedName>
    <definedName name="iiiiii" localSheetId="28">'[3]13. Headcount Forecast'!#REF!</definedName>
    <definedName name="iiiiii" localSheetId="18">'[3]13. Headcount Forecast'!#REF!</definedName>
    <definedName name="iiiiii" localSheetId="19">'[3]13. Headcount Forecast'!#REF!</definedName>
    <definedName name="iiiiii" localSheetId="24">'[3]13. Headcount Forecast'!#REF!</definedName>
    <definedName name="iiiiii" localSheetId="25">'[3]13. Headcount Forecast'!#REF!</definedName>
    <definedName name="iiiiii">'[3]13. Headcount Forecast'!#REF!</definedName>
    <definedName name="IN_SERVICE_ADDS" localSheetId="28">#REF!</definedName>
    <definedName name="IN_SERVICE_ADDS" localSheetId="18">#REF!</definedName>
    <definedName name="IN_SERVICE_ADDS" localSheetId="19">#REF!</definedName>
    <definedName name="IN_SERVICE_ADDS" localSheetId="24">#REF!</definedName>
    <definedName name="IN_SERVICE_ADDS" localSheetId="25">#REF!</definedName>
    <definedName name="IN_SERVICE_ADDS">#REF!</definedName>
    <definedName name="InergiTitle">[36]INInrCSO!$B$2</definedName>
    <definedName name="INSERV_LOOKUP">'[19] SUPPORT 3 - CIP CONT  DETAIL '!$B$29:$S$37</definedName>
    <definedName name="inservice_lookup" localSheetId="28">#REF!</definedName>
    <definedName name="inservice_lookup" localSheetId="18">#REF!</definedName>
    <definedName name="inservice_lookup" localSheetId="19">#REF!</definedName>
    <definedName name="inservice_lookup" localSheetId="24">#REF!</definedName>
    <definedName name="inservice_lookup" localSheetId="25">#REF!</definedName>
    <definedName name="inservice_lookup">#REF!</definedName>
    <definedName name="j" localSheetId="28">'[3]13. Headcount Forecast'!#REF!</definedName>
    <definedName name="j" localSheetId="18">'[3]13. Headcount Forecast'!#REF!</definedName>
    <definedName name="j" localSheetId="19">'[3]13. Headcount Forecast'!#REF!</definedName>
    <definedName name="j" localSheetId="24">'[3]13. Headcount Forecast'!#REF!</definedName>
    <definedName name="j" localSheetId="25">'[3]13. Headcount Forecast'!#REF!</definedName>
    <definedName name="j">'[3]13. Headcount Forecast'!#REF!</definedName>
    <definedName name="JAN" localSheetId="28">#REF!</definedName>
    <definedName name="JAN" localSheetId="18">#REF!</definedName>
    <definedName name="JAN" localSheetId="19">#REF!</definedName>
    <definedName name="JAN" localSheetId="24">#REF!</definedName>
    <definedName name="JAN" localSheetId="25">#REF!</definedName>
    <definedName name="JAN">#REF!</definedName>
    <definedName name="jj" localSheetId="28">'[29]13. Headcount Forecast'!#REF!</definedName>
    <definedName name="jj" localSheetId="18">'[29]13. Headcount Forecast'!#REF!</definedName>
    <definedName name="jj" localSheetId="19">'[29]13. Headcount Forecast'!#REF!</definedName>
    <definedName name="jj" localSheetId="24">'[29]13. Headcount Forecast'!#REF!</definedName>
    <definedName name="jj" localSheetId="25">'[29]13. Headcount Forecast'!#REF!</definedName>
    <definedName name="jj">'[29]13. Headcount Forecast'!#REF!</definedName>
    <definedName name="jjj" localSheetId="28">#REF!</definedName>
    <definedName name="jjj" localSheetId="18">#REF!</definedName>
    <definedName name="jjj" localSheetId="19">#REF!</definedName>
    <definedName name="jjj" localSheetId="24">#REF!</definedName>
    <definedName name="jjj" localSheetId="25">#REF!</definedName>
    <definedName name="jjj">#REF!</definedName>
    <definedName name="jjjj" localSheetId="28">'[3]13. Headcount Forecast'!#REF!</definedName>
    <definedName name="jjjj" localSheetId="18">'[3]13. Headcount Forecast'!#REF!</definedName>
    <definedName name="jjjj" localSheetId="19">'[3]13. Headcount Forecast'!#REF!</definedName>
    <definedName name="jjjj" localSheetId="24">'[3]13. Headcount Forecast'!#REF!</definedName>
    <definedName name="jjjj" localSheetId="25">'[3]13. Headcount Forecast'!#REF!</definedName>
    <definedName name="jjjj">'[3]13. Headcount Forecast'!#REF!</definedName>
    <definedName name="JUL" localSheetId="28">#REF!</definedName>
    <definedName name="JUL" localSheetId="18">#REF!</definedName>
    <definedName name="JUL" localSheetId="19">#REF!</definedName>
    <definedName name="JUL" localSheetId="24">#REF!</definedName>
    <definedName name="JUL" localSheetId="25">#REF!</definedName>
    <definedName name="JUL">#REF!</definedName>
    <definedName name="JUN" localSheetId="28">#REF!</definedName>
    <definedName name="JUN" localSheetId="18">#REF!</definedName>
    <definedName name="JUN" localSheetId="19">#REF!</definedName>
    <definedName name="JUN" localSheetId="24">#REF!</definedName>
    <definedName name="JUN" localSheetId="25">#REF!</definedName>
    <definedName name="JUN">#REF!</definedName>
    <definedName name="k" localSheetId="28">'[3]13. Headcount Forecast'!#REF!</definedName>
    <definedName name="k" localSheetId="18">'[3]13. Headcount Forecast'!#REF!</definedName>
    <definedName name="k" localSheetId="19">'[3]13. Headcount Forecast'!#REF!</definedName>
    <definedName name="k" localSheetId="24">'[3]13. Headcount Forecast'!#REF!</definedName>
    <definedName name="k" localSheetId="25">'[3]13. Headcount Forecast'!#REF!</definedName>
    <definedName name="k">'[3]13. Headcount Forecast'!#REF!</definedName>
    <definedName name="kk" localSheetId="28">'[29]13. Headcount Forecast'!#REF!</definedName>
    <definedName name="kk" localSheetId="18">'[29]13. Headcount Forecast'!#REF!</definedName>
    <definedName name="kk" localSheetId="19">'[29]13. Headcount Forecast'!#REF!</definedName>
    <definedName name="kk" localSheetId="24">'[29]13. Headcount Forecast'!#REF!</definedName>
    <definedName name="kk" localSheetId="25">'[29]13. Headcount Forecast'!#REF!</definedName>
    <definedName name="kk">'[29]13. Headcount Forecast'!#REF!</definedName>
    <definedName name="kkk" localSheetId="28">'[3]13. Headcount Forecast'!#REF!</definedName>
    <definedName name="kkk" localSheetId="18">'[3]13. Headcount Forecast'!#REF!</definedName>
    <definedName name="kkk" localSheetId="19">'[3]13. Headcount Forecast'!#REF!</definedName>
    <definedName name="kkk" localSheetId="24">'[3]13. Headcount Forecast'!#REF!</definedName>
    <definedName name="kkk" localSheetId="25">'[3]13. Headcount Forecast'!#REF!</definedName>
    <definedName name="kkk">'[3]13. Headcount Forecast'!#REF!</definedName>
    <definedName name="kkkk" localSheetId="28">'[3]13. Headcount Forecast'!#REF!</definedName>
    <definedName name="kkkk" localSheetId="18">'[3]13. Headcount Forecast'!#REF!</definedName>
    <definedName name="kkkk" localSheetId="19">'[3]13. Headcount Forecast'!#REF!</definedName>
    <definedName name="kkkk" localSheetId="24">'[3]13. Headcount Forecast'!#REF!</definedName>
    <definedName name="kkkk" localSheetId="25">'[3]13. Headcount Forecast'!#REF!</definedName>
    <definedName name="kkkk">'[3]13. Headcount Forecast'!#REF!</definedName>
    <definedName name="l" localSheetId="28">'[3]13. Headcount Forecast'!#REF!</definedName>
    <definedName name="l" localSheetId="18">'[3]13. Headcount Forecast'!#REF!</definedName>
    <definedName name="l" localSheetId="19">'[3]13. Headcount Forecast'!#REF!</definedName>
    <definedName name="l" localSheetId="24">'[3]13. Headcount Forecast'!#REF!</definedName>
    <definedName name="l" localSheetId="25">'[3]13. Headcount Forecast'!#REF!</definedName>
    <definedName name="l">'[3]13. Headcount Forecast'!#REF!</definedName>
    <definedName name="Labour_Esc_02">'[13]5. Escalators'!$B$25</definedName>
    <definedName name="Labour_Esc_03">'[13]5. Escalators'!$B$26</definedName>
    <definedName name="Labour_Esc_04">'[13]5. Escalators'!$B$27</definedName>
    <definedName name="Labour_Esc_05">'[13]5. Escalators'!$B$28</definedName>
    <definedName name="Labour_Esc_06">'[13]5. Escalators'!$B$29</definedName>
    <definedName name="Labour_Esc_07">'[13]5. Escalators'!$B$30</definedName>
    <definedName name="Labour_Esc_08">'[13]5. Escalators'!$B$31</definedName>
    <definedName name="Labour_Esc_09">'[13]5. Escalators'!$B$32</definedName>
    <definedName name="LAR" localSheetId="28">#REF!</definedName>
    <definedName name="LAR" localSheetId="18">#REF!</definedName>
    <definedName name="LAR" localSheetId="19">#REF!</definedName>
    <definedName name="LAR" localSheetId="24">#REF!</definedName>
    <definedName name="LAR" localSheetId="25">#REF!</definedName>
    <definedName name="LAR">#REF!</definedName>
    <definedName name="LEDGER" localSheetId="28">#REF!</definedName>
    <definedName name="LEDGER" localSheetId="18">#REF!</definedName>
    <definedName name="LEDGER" localSheetId="19">#REF!</definedName>
    <definedName name="LEDGER" localSheetId="24">#REF!</definedName>
    <definedName name="LEDGER" localSheetId="25">#REF!</definedName>
    <definedName name="LEDGER">#REF!</definedName>
    <definedName name="ll" localSheetId="28">'[29]13. Headcount Forecast'!#REF!</definedName>
    <definedName name="ll" localSheetId="18">'[29]13. Headcount Forecast'!#REF!</definedName>
    <definedName name="ll" localSheetId="19">'[29]13. Headcount Forecast'!#REF!</definedName>
    <definedName name="ll" localSheetId="24">'[29]13. Headcount Forecast'!#REF!</definedName>
    <definedName name="ll" localSheetId="25">'[29]13. Headcount Forecast'!#REF!</definedName>
    <definedName name="ll">'[29]13. Headcount Forecast'!#REF!</definedName>
    <definedName name="llll" localSheetId="28">'[3]13. Headcount Forecast'!#REF!</definedName>
    <definedName name="llll" localSheetId="18">'[3]13. Headcount Forecast'!#REF!</definedName>
    <definedName name="llll" localSheetId="19">'[3]13. Headcount Forecast'!#REF!</definedName>
    <definedName name="llll" localSheetId="24">'[3]13. Headcount Forecast'!#REF!</definedName>
    <definedName name="llll" localSheetId="25">'[3]13. Headcount Forecast'!#REF!</definedName>
    <definedName name="llll">'[3]13. Headcount Forecast'!#REF!</definedName>
    <definedName name="lookup" localSheetId="28">#REF!</definedName>
    <definedName name="lookup" localSheetId="18">#REF!</definedName>
    <definedName name="lookup" localSheetId="19">#REF!</definedName>
    <definedName name="lookup" localSheetId="24">#REF!</definedName>
    <definedName name="lookup" localSheetId="25">#REF!</definedName>
    <definedName name="lookup">#REF!</definedName>
    <definedName name="lookup_1110190" localSheetId="28">#REF!</definedName>
    <definedName name="lookup_1110190" localSheetId="18">#REF!</definedName>
    <definedName name="lookup_1110190" localSheetId="19">#REF!</definedName>
    <definedName name="lookup_1110190" localSheetId="24">#REF!</definedName>
    <definedName name="lookup_1110190" localSheetId="25">#REF!</definedName>
    <definedName name="lookup_1110190">#REF!</definedName>
    <definedName name="lookup_bu" localSheetId="28">#REF!</definedName>
    <definedName name="lookup_bu" localSheetId="18">#REF!</definedName>
    <definedName name="lookup_bu" localSheetId="19">#REF!</definedName>
    <definedName name="lookup_bu" localSheetId="24">#REF!</definedName>
    <definedName name="lookup_bu" localSheetId="25">#REF!</definedName>
    <definedName name="lookup_bu">#REF!</definedName>
    <definedName name="lookup_class" localSheetId="28">#REF!</definedName>
    <definedName name="lookup_class" localSheetId="18">#REF!</definedName>
    <definedName name="lookup_class" localSheetId="19">#REF!</definedName>
    <definedName name="lookup_class" localSheetId="24">#REF!</definedName>
    <definedName name="lookup_class" localSheetId="25">#REF!</definedName>
    <definedName name="lookup_class">#REF!</definedName>
    <definedName name="LYN" localSheetId="28">#REF!</definedName>
    <definedName name="LYN" localSheetId="18">#REF!</definedName>
    <definedName name="LYN" localSheetId="19">#REF!</definedName>
    <definedName name="LYN" localSheetId="24">#REF!</definedName>
    <definedName name="LYN" localSheetId="25">#REF!</definedName>
    <definedName name="LYN">#REF!</definedName>
    <definedName name="MACRO" localSheetId="28">#REF!</definedName>
    <definedName name="MACRO" localSheetId="18">#REF!</definedName>
    <definedName name="MACRO" localSheetId="19">#REF!</definedName>
    <definedName name="MACRO" localSheetId="24">#REF!</definedName>
    <definedName name="MACRO" localSheetId="25">#REF!</definedName>
    <definedName name="MACRO">#REF!</definedName>
    <definedName name="MACROS" localSheetId="28">'[37]01TAXREG'!#REF!</definedName>
    <definedName name="MACROS" localSheetId="18">'[37]01TAXREG'!#REF!</definedName>
    <definedName name="MACROS" localSheetId="19">'[37]01TAXREG'!#REF!</definedName>
    <definedName name="MACROS" localSheetId="24">'[37]01TAXREG'!#REF!</definedName>
    <definedName name="MACROS" localSheetId="25">'[37]01TAXREG'!#REF!</definedName>
    <definedName name="MACROS">'[37]01TAXREG'!#REF!</definedName>
    <definedName name="MAJOR_CONT_AM_LOOKUP" localSheetId="28">#REF!</definedName>
    <definedName name="MAJOR_CONT_AM_LOOKUP" localSheetId="18">#REF!</definedName>
    <definedName name="MAJOR_CONT_AM_LOOKUP" localSheetId="19">#REF!</definedName>
    <definedName name="MAJOR_CONT_AM_LOOKUP" localSheetId="24">#REF!</definedName>
    <definedName name="MAJOR_CONT_AM_LOOKUP" localSheetId="25">#REF!</definedName>
    <definedName name="MAJOR_CONT_AM_LOOKUP">#REF!</definedName>
    <definedName name="Manual">'[18]Manual Input'!$A$7:$N$24</definedName>
    <definedName name="Manual_Prior_Year">'[33]2004Manual Input'!$A$8:$N$34</definedName>
    <definedName name="MAR" localSheetId="28">#REF!</definedName>
    <definedName name="MAR" localSheetId="18">#REF!</definedName>
    <definedName name="MAR" localSheetId="19">#REF!</definedName>
    <definedName name="MAR" localSheetId="24">#REF!</definedName>
    <definedName name="MAR" localSheetId="25">#REF!</definedName>
    <definedName name="MAR">#REF!</definedName>
    <definedName name="march" localSheetId="28">#REF!</definedName>
    <definedName name="march" localSheetId="18">#REF!</definedName>
    <definedName name="march" localSheetId="19">#REF!</definedName>
    <definedName name="march" localSheetId="24">#REF!</definedName>
    <definedName name="march" localSheetId="25">#REF!</definedName>
    <definedName name="march">#REF!</definedName>
    <definedName name="MARCOS" localSheetId="28">'[37]01CPPTMP'!#REF!</definedName>
    <definedName name="MARCOS" localSheetId="18">'[37]01CPPTMP'!#REF!</definedName>
    <definedName name="MARCOS" localSheetId="19">'[37]01CPPTMP'!#REF!</definedName>
    <definedName name="MARCOS" localSheetId="24">'[37]01CPPTMP'!#REF!</definedName>
    <definedName name="MARCOS" localSheetId="25">'[37]01CPPTMP'!#REF!</definedName>
    <definedName name="MARCOS">'[37]01CPPTMP'!#REF!</definedName>
    <definedName name="mast" localSheetId="28">#REF!</definedName>
    <definedName name="mast" localSheetId="18">#REF!</definedName>
    <definedName name="mast" localSheetId="19">#REF!</definedName>
    <definedName name="mast" localSheetId="24">#REF!</definedName>
    <definedName name="mast" localSheetId="25">#REF!</definedName>
    <definedName name="mast">#REF!</definedName>
    <definedName name="Match" localSheetId="28">#REF!</definedName>
    <definedName name="Match" localSheetId="18">#REF!</definedName>
    <definedName name="Match" localSheetId="19">#REF!</definedName>
    <definedName name="Match" localSheetId="24">#REF!</definedName>
    <definedName name="Match" localSheetId="25">#REF!</definedName>
    <definedName name="Match">#REF!</definedName>
    <definedName name="Max_Mat" localSheetId="28">#REF!</definedName>
    <definedName name="Max_Mat" localSheetId="18">#REF!</definedName>
    <definedName name="Max_Mat" localSheetId="19">#REF!</definedName>
    <definedName name="Max_Mat" localSheetId="24">#REF!</definedName>
    <definedName name="Max_Mat" localSheetId="25">#REF!</definedName>
    <definedName name="Max_Mat">#REF!</definedName>
    <definedName name="MAY" localSheetId="28">#REF!</definedName>
    <definedName name="MAY" localSheetId="18">#REF!</definedName>
    <definedName name="MAY" localSheetId="19">#REF!</definedName>
    <definedName name="MAY" localSheetId="24">#REF!</definedName>
    <definedName name="MAY" localSheetId="25">#REF!</definedName>
    <definedName name="MAY">#REF!</definedName>
    <definedName name="MFA_BU_CATG_LOOKUP" localSheetId="28">#REF!</definedName>
    <definedName name="MFA_BU_CATG_LOOKUP" localSheetId="18">#REF!</definedName>
    <definedName name="MFA_BU_CATG_LOOKUP" localSheetId="19">#REF!</definedName>
    <definedName name="MFA_BU_CATG_LOOKUP" localSheetId="24">#REF!</definedName>
    <definedName name="MFA_BU_CATG_LOOKUP" localSheetId="25">#REF!</definedName>
    <definedName name="MFA_BU_CATG_LOOKUP">#REF!</definedName>
    <definedName name="mgr" localSheetId="28">#REF!</definedName>
    <definedName name="mgr" localSheetId="18">#REF!</definedName>
    <definedName name="mgr" localSheetId="19">#REF!</definedName>
    <definedName name="mgr" localSheetId="24">#REF!</definedName>
    <definedName name="mgr" localSheetId="25">#REF!</definedName>
    <definedName name="mgr">#REF!</definedName>
    <definedName name="MINOR_CONT_AM_LOOKUP" localSheetId="28">#REF!</definedName>
    <definedName name="MINOR_CONT_AM_LOOKUP" localSheetId="18">#REF!</definedName>
    <definedName name="MINOR_CONT_AM_LOOKUP" localSheetId="19">#REF!</definedName>
    <definedName name="MINOR_CONT_AM_LOOKUP" localSheetId="24">#REF!</definedName>
    <definedName name="MINOR_CONT_AM_LOOKUP" localSheetId="25">#REF!</definedName>
    <definedName name="MINOR_CONT_AM_LOOKUP">#REF!</definedName>
    <definedName name="mmmm" localSheetId="28">'[3]13. Headcount Forecast'!#REF!</definedName>
    <definedName name="mmmm" localSheetId="18">'[3]13. Headcount Forecast'!#REF!</definedName>
    <definedName name="mmmm" localSheetId="19">'[3]13. Headcount Forecast'!#REF!</definedName>
    <definedName name="mmmm" localSheetId="24">'[3]13. Headcount Forecast'!#REF!</definedName>
    <definedName name="mmmm" localSheetId="25">'[3]13. Headcount Forecast'!#REF!</definedName>
    <definedName name="mmmm">'[3]13. Headcount Forecast'!#REF!</definedName>
    <definedName name="mmmmm" localSheetId="28">'[3]13. Headcount Forecast'!#REF!</definedName>
    <definedName name="mmmmm" localSheetId="18">'[3]13. Headcount Forecast'!#REF!</definedName>
    <definedName name="mmmmm" localSheetId="19">'[3]13. Headcount Forecast'!#REF!</definedName>
    <definedName name="mmmmm" localSheetId="24">'[3]13. Headcount Forecast'!#REF!</definedName>
    <definedName name="mmmmm" localSheetId="25">'[3]13. Headcount Forecast'!#REF!</definedName>
    <definedName name="mmmmm">'[3]13. Headcount Forecast'!#REF!</definedName>
    <definedName name="Month">[18]Month!$B$1</definedName>
    <definedName name="Month_Prior" localSheetId="28">[22]Dx!#REF!</definedName>
    <definedName name="Month_Prior" localSheetId="18">[22]Dx!#REF!</definedName>
    <definedName name="Month_Prior" localSheetId="19">[22]Dx!#REF!</definedName>
    <definedName name="Month_Prior" localSheetId="24">[22]Dx!#REF!</definedName>
    <definedName name="Month_Prior" localSheetId="25">[22]Dx!#REF!</definedName>
    <definedName name="Month_Prior">[22]Dx!#REF!</definedName>
    <definedName name="MONTHS" localSheetId="28">#REF!</definedName>
    <definedName name="MONTHS" localSheetId="18">#REF!</definedName>
    <definedName name="MONTHS" localSheetId="19">#REF!</definedName>
    <definedName name="MONTHS" localSheetId="24">#REF!</definedName>
    <definedName name="MONTHS" localSheetId="25">#REF!</definedName>
    <definedName name="MONTHS">#REF!</definedName>
    <definedName name="mrr" localSheetId="28">#REF!</definedName>
    <definedName name="mrr" localSheetId="18">#REF!</definedName>
    <definedName name="mrr" localSheetId="19">#REF!</definedName>
    <definedName name="mrr" localSheetId="24">#REF!</definedName>
    <definedName name="mrr" localSheetId="25">#REF!</definedName>
    <definedName name="mrr">#REF!</definedName>
    <definedName name="N" localSheetId="28">#REF!</definedName>
    <definedName name="N" localSheetId="18">#REF!</definedName>
    <definedName name="N" localSheetId="19">#REF!</definedName>
    <definedName name="N" localSheetId="24">#REF!</definedName>
    <definedName name="N" localSheetId="25">#REF!</definedName>
    <definedName name="N">#REF!</definedName>
    <definedName name="name" localSheetId="28">#REF!</definedName>
    <definedName name="name" localSheetId="18">#REF!</definedName>
    <definedName name="name" localSheetId="19">#REF!</definedName>
    <definedName name="name" localSheetId="24">#REF!</definedName>
    <definedName name="name" localSheetId="25">#REF!</definedName>
    <definedName name="name">#REF!</definedName>
    <definedName name="new" localSheetId="28">#REF!</definedName>
    <definedName name="new" localSheetId="18">#REF!</definedName>
    <definedName name="new" localSheetId="19">#REF!</definedName>
    <definedName name="new" localSheetId="24">#REF!</definedName>
    <definedName name="new" localSheetId="25">#REF!</definedName>
    <definedName name="new">#REF!</definedName>
    <definedName name="NewPensionBPERatio">'[13]30. OPRB, OPRB, LTD, SPP, RPP'!$AC$7</definedName>
    <definedName name="nnnn" localSheetId="28">'[3]13. Headcount Forecast'!#REF!</definedName>
    <definedName name="nnnn" localSheetId="18">'[3]13. Headcount Forecast'!#REF!</definedName>
    <definedName name="nnnn" localSheetId="19">'[3]13. Headcount Forecast'!#REF!</definedName>
    <definedName name="nnnn" localSheetId="24">'[3]13. Headcount Forecast'!#REF!</definedName>
    <definedName name="nnnn" localSheetId="25">'[3]13. Headcount Forecast'!#REF!</definedName>
    <definedName name="nnnn">'[3]13. Headcount Forecast'!#REF!</definedName>
    <definedName name="nnnnn" localSheetId="28">'[3]13. Headcount Forecast'!#REF!</definedName>
    <definedName name="nnnnn" localSheetId="18">'[3]13. Headcount Forecast'!#REF!</definedName>
    <definedName name="nnnnn" localSheetId="19">'[3]13. Headcount Forecast'!#REF!</definedName>
    <definedName name="nnnnn" localSheetId="24">'[3]13. Headcount Forecast'!#REF!</definedName>
    <definedName name="nnnnn" localSheetId="25">'[3]13. Headcount Forecast'!#REF!</definedName>
    <definedName name="nnnnn">'[3]13. Headcount Forecast'!#REF!</definedName>
    <definedName name="NO" localSheetId="28">#REF!</definedName>
    <definedName name="NO" localSheetId="18">#REF!</definedName>
    <definedName name="NO" localSheetId="19">#REF!</definedName>
    <definedName name="NO" localSheetId="24">#REF!</definedName>
    <definedName name="NO" localSheetId="25">#REF!</definedName>
    <definedName name="NO">#REF!</definedName>
    <definedName name="NonLabourDollars" localSheetId="28">#REF!</definedName>
    <definedName name="NonLabourDollars" localSheetId="18">#REF!</definedName>
    <definedName name="NonLabourDollars" localSheetId="19">#REF!</definedName>
    <definedName name="NonLabourDollars" localSheetId="24">#REF!</definedName>
    <definedName name="NonLabourDollars" localSheetId="25">#REF!</definedName>
    <definedName name="NonLabourDollars">#REF!</definedName>
    <definedName name="NOV" localSheetId="28">#REF!</definedName>
    <definedName name="NOV" localSheetId="18">#REF!</definedName>
    <definedName name="NOV" localSheetId="19">#REF!</definedName>
    <definedName name="NOV" localSheetId="24">#REF!</definedName>
    <definedName name="NOV" localSheetId="25">#REF!</definedName>
    <definedName name="NOV">#REF!</definedName>
    <definedName name="NR_RPY_CI_HOI_02">'[13]10. Headcount Forecast'!$O$7</definedName>
    <definedName name="NR_RPY_CI_HOI_03">'[13]10. Headcount Forecast'!$O$8</definedName>
    <definedName name="NR_RPY_CI_HOI_04">'[13]10. Headcount Forecast'!$O$9</definedName>
    <definedName name="NR_RPY_CI_HOI_05">'[13]10. Headcount Forecast'!$O$10</definedName>
    <definedName name="NR_RPY_CI_HOI_06">'[13]10. Headcount Forecast'!$O$11</definedName>
    <definedName name="NR_RPY_CI_HOI_07">'[13]10. Headcount Forecast'!$O$12</definedName>
    <definedName name="NR_RPY_CI_HOI_08">'[13]10. Headcount Forecast'!$O$13</definedName>
    <definedName name="NR_RPY_CI_HOI_09">'[13]10. Headcount Forecast'!$O$14</definedName>
    <definedName name="NR_RPY_CI_Mkt_02" localSheetId="28">'[13]10. Headcount Forecast'!#REF!</definedName>
    <definedName name="NR_RPY_CI_Mkt_02" localSheetId="18">'[13]10. Headcount Forecast'!#REF!</definedName>
    <definedName name="NR_RPY_CI_Mkt_02" localSheetId="19">'[13]10. Headcount Forecast'!#REF!</definedName>
    <definedName name="NR_RPY_CI_Mkt_02" localSheetId="24">'[13]10. Headcount Forecast'!#REF!</definedName>
    <definedName name="NR_RPY_CI_Mkt_02" localSheetId="25">'[13]10. Headcount Forecast'!#REF!</definedName>
    <definedName name="NR_RPY_CI_Mkt_02">'[13]10. Headcount Forecast'!#REF!</definedName>
    <definedName name="NR_RPY_CI_Mkt_03" localSheetId="28">'[13]10. Headcount Forecast'!#REF!</definedName>
    <definedName name="NR_RPY_CI_Mkt_03" localSheetId="18">'[13]10. Headcount Forecast'!#REF!</definedName>
    <definedName name="NR_RPY_CI_Mkt_03" localSheetId="19">'[13]10. Headcount Forecast'!#REF!</definedName>
    <definedName name="NR_RPY_CI_Mkt_03" localSheetId="24">'[13]10. Headcount Forecast'!#REF!</definedName>
    <definedName name="NR_RPY_CI_Mkt_03" localSheetId="25">'[13]10. Headcount Forecast'!#REF!</definedName>
    <definedName name="NR_RPY_CI_Mkt_03">'[13]10. Headcount Forecast'!#REF!</definedName>
    <definedName name="NR_RPY_CI_Ntw_02">'[13]10. Headcount Forecast'!$O$16</definedName>
    <definedName name="NR_RPY_CI_Ntw_03">'[13]10. Headcount Forecast'!$O$17</definedName>
    <definedName name="NR_RPY_CI_Ntw_04">'[13]10. Headcount Forecast'!$O$18</definedName>
    <definedName name="NR_RPY_CI_Ntw_05">'[13]10. Headcount Forecast'!$O$19</definedName>
    <definedName name="NR_RPY_CI_Ntw_06">'[13]10. Headcount Forecast'!$O$20</definedName>
    <definedName name="NR_RPY_CI_Ntw_07">'[13]10. Headcount Forecast'!$O$21</definedName>
    <definedName name="NR_RPY_CI_Ntw_08">'[13]10. Headcount Forecast'!$O$22</definedName>
    <definedName name="NR_RPY_CI_Ntw_09">'[13]10. Headcount Forecast'!$O$23</definedName>
    <definedName name="NR_RPY_CI_OHE_02" localSheetId="28">'[13]10. Headcount Forecast'!#REF!</definedName>
    <definedName name="NR_RPY_CI_OHE_02" localSheetId="18">'[13]10. Headcount Forecast'!#REF!</definedName>
    <definedName name="NR_RPY_CI_OHE_02" localSheetId="19">'[13]10. Headcount Forecast'!#REF!</definedName>
    <definedName name="NR_RPY_CI_OHE_02" localSheetId="24">'[13]10. Headcount Forecast'!#REF!</definedName>
    <definedName name="NR_RPY_CI_OHE_02" localSheetId="25">'[13]10. Headcount Forecast'!#REF!</definedName>
    <definedName name="NR_RPY_CI_OHE_02">'[13]10. Headcount Forecast'!#REF!</definedName>
    <definedName name="NR_RPY_CI_OHE_03" localSheetId="28">'[13]10. Headcount Forecast'!#REF!</definedName>
    <definedName name="NR_RPY_CI_OHE_03" localSheetId="18">'[13]10. Headcount Forecast'!#REF!</definedName>
    <definedName name="NR_RPY_CI_OHE_03" localSheetId="19">'[13]10. Headcount Forecast'!#REF!</definedName>
    <definedName name="NR_RPY_CI_OHE_03" localSheetId="24">'[13]10. Headcount Forecast'!#REF!</definedName>
    <definedName name="NR_RPY_CI_OHE_03" localSheetId="25">'[13]10. Headcount Forecast'!#REF!</definedName>
    <definedName name="NR_RPY_CI_OHE_03">'[13]10. Headcount Forecast'!#REF!</definedName>
    <definedName name="NR_RPY_CI_OHE_04" localSheetId="28">'[13]10. Headcount Forecast'!#REF!</definedName>
    <definedName name="NR_RPY_CI_OHE_04" localSheetId="18">'[13]10. Headcount Forecast'!#REF!</definedName>
    <definedName name="NR_RPY_CI_OHE_04" localSheetId="19">'[13]10. Headcount Forecast'!#REF!</definedName>
    <definedName name="NR_RPY_CI_OHE_04" localSheetId="24">'[13]10. Headcount Forecast'!#REF!</definedName>
    <definedName name="NR_RPY_CI_OHE_04" localSheetId="25">'[13]10. Headcount Forecast'!#REF!</definedName>
    <definedName name="NR_RPY_CI_OHE_04">'[13]10. Headcount Forecast'!#REF!</definedName>
    <definedName name="NR_RPY_CI_OHE_05" localSheetId="28">'[13]10. Headcount Forecast'!#REF!</definedName>
    <definedName name="NR_RPY_CI_OHE_05" localSheetId="18">'[13]10. Headcount Forecast'!#REF!</definedName>
    <definedName name="NR_RPY_CI_OHE_05" localSheetId="19">'[13]10. Headcount Forecast'!#REF!</definedName>
    <definedName name="NR_RPY_CI_OHE_05" localSheetId="24">'[13]10. Headcount Forecast'!#REF!</definedName>
    <definedName name="NR_RPY_CI_OHE_05" localSheetId="25">'[13]10. Headcount Forecast'!#REF!</definedName>
    <definedName name="NR_RPY_CI_OHE_05">'[13]10. Headcount Forecast'!#REF!</definedName>
    <definedName name="NR_RPY_CI_OHE_06" localSheetId="28">'[13]10. Headcount Forecast'!#REF!</definedName>
    <definedName name="NR_RPY_CI_OHE_06" localSheetId="18">'[13]10. Headcount Forecast'!#REF!</definedName>
    <definedName name="NR_RPY_CI_OHE_06" localSheetId="19">'[13]10. Headcount Forecast'!#REF!</definedName>
    <definedName name="NR_RPY_CI_OHE_06" localSheetId="24">'[13]10. Headcount Forecast'!#REF!</definedName>
    <definedName name="NR_RPY_CI_OHE_06" localSheetId="25">'[13]10. Headcount Forecast'!#REF!</definedName>
    <definedName name="NR_RPY_CI_OHE_06">'[13]10. Headcount Forecast'!#REF!</definedName>
    <definedName name="NR_RPY_CI_OHE_07" localSheetId="28">'[13]10. Headcount Forecast'!#REF!</definedName>
    <definedName name="NR_RPY_CI_OHE_07" localSheetId="18">'[13]10. Headcount Forecast'!#REF!</definedName>
    <definedName name="NR_RPY_CI_OHE_07" localSheetId="19">'[13]10. Headcount Forecast'!#REF!</definedName>
    <definedName name="NR_RPY_CI_OHE_07" localSheetId="24">'[13]10. Headcount Forecast'!#REF!</definedName>
    <definedName name="NR_RPY_CI_OHE_07" localSheetId="25">'[13]10. Headcount Forecast'!#REF!</definedName>
    <definedName name="NR_RPY_CI_OHE_07">'[13]10. Headcount Forecast'!#REF!</definedName>
    <definedName name="NR_RPY_CI_OHE_08" localSheetId="28">'[13]10. Headcount Forecast'!#REF!</definedName>
    <definedName name="NR_RPY_CI_OHE_08" localSheetId="18">'[13]10. Headcount Forecast'!#REF!</definedName>
    <definedName name="NR_RPY_CI_OHE_08" localSheetId="19">'[13]10. Headcount Forecast'!#REF!</definedName>
    <definedName name="NR_RPY_CI_OHE_08" localSheetId="24">'[13]10. Headcount Forecast'!#REF!</definedName>
    <definedName name="NR_RPY_CI_OHE_08" localSheetId="25">'[13]10. Headcount Forecast'!#REF!</definedName>
    <definedName name="NR_RPY_CI_OHE_08">'[13]10. Headcount Forecast'!#REF!</definedName>
    <definedName name="NR_RPY_CI_RC_02">'[13]10. Headcount Forecast'!$O$25</definedName>
    <definedName name="NR_RPY_CI_RC_03">'[13]10. Headcount Forecast'!$O$26</definedName>
    <definedName name="NR_RPY_CI_RC_04">'[13]10. Headcount Forecast'!$O$27</definedName>
    <definedName name="NR_RPY_CI_RC_05">'[13]10. Headcount Forecast'!$O$28</definedName>
    <definedName name="NR_RPY_CI_RC_06">'[13]10. Headcount Forecast'!$O$29</definedName>
    <definedName name="NR_RPY_CI_RC_07">'[13]10. Headcount Forecast'!$O$30</definedName>
    <definedName name="NR_RPY_CI_RC_08">'[13]10. Headcount Forecast'!$O$31</definedName>
    <definedName name="NR_RPY_CI_RC_09">'[13]10. Headcount Forecast'!$O$32</definedName>
    <definedName name="NR_RPY_CI_Tel_02">'[13]10. Headcount Forecast'!$O$34</definedName>
    <definedName name="NR_RPY_CI_Tel_03">'[13]10. Headcount Forecast'!$O$35</definedName>
    <definedName name="NR_RPY_CI_Tel_04">'[13]10. Headcount Forecast'!$O$36</definedName>
    <definedName name="NR_RPY_CI_Tel_05">'[13]10. Headcount Forecast'!$O$37</definedName>
    <definedName name="NR_RPY_CI_Tel_06">'[13]10. Headcount Forecast'!$O$38</definedName>
    <definedName name="NR_RPY_CI_Tel_07">'[13]10. Headcount Forecast'!$O$39</definedName>
    <definedName name="NR_RPY_CI_Tel_08">'[13]10. Headcount Forecast'!$O$40</definedName>
    <definedName name="NR_RPY_CI_Tel_09">'[13]10. Headcount Forecast'!$O$41</definedName>
    <definedName name="NvsAnswerCol">"[Drill1]JRNLLAYOUT!$A$4:$A$79"</definedName>
    <definedName name="NvsASD">"V2005-12-30"</definedName>
    <definedName name="NvsAutoDrillOk">"VN"</definedName>
    <definedName name="NvsDateToNumber">"Y"</definedName>
    <definedName name="NvsElapsedTime">0.00070601851621177</definedName>
    <definedName name="NvsEndTime">38735.7282175926</definedName>
    <definedName name="NvsInstLang">"VENG"</definedName>
    <definedName name="NvsInstSpec">"%,FBUSINESS_UNIT,TOHSC_CONSOLIDATED1,NOHSC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eqBU">"V900"</definedName>
    <definedName name="NvsReqBUOnly">"VN"</definedName>
    <definedName name="NvsTransLed">"VN"</definedName>
    <definedName name="NvsTreeASD">"V2005-12-30"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" localSheetId="28">'[3]13. Headcount Forecast'!#REF!</definedName>
    <definedName name="o" localSheetId="18">'[3]13. Headcount Forecast'!#REF!</definedName>
    <definedName name="o" localSheetId="19">'[3]13. Headcount Forecast'!#REF!</definedName>
    <definedName name="o" localSheetId="24">'[3]13. Headcount Forecast'!#REF!</definedName>
    <definedName name="o" localSheetId="25">'[3]13. Headcount Forecast'!#REF!</definedName>
    <definedName name="o">'[3]13. Headcount Forecast'!#REF!</definedName>
    <definedName name="OCT" localSheetId="28">#REF!</definedName>
    <definedName name="OCT" localSheetId="18">#REF!</definedName>
    <definedName name="OCT" localSheetId="19">#REF!</definedName>
    <definedName name="OCT" localSheetId="24">#REF!</definedName>
    <definedName name="OCT" localSheetId="25">#REF!</definedName>
    <definedName name="OCT">#REF!</definedName>
    <definedName name="OHSC_GC_S_BOARD_OF_DIRECTORS" localSheetId="28">#REF!</definedName>
    <definedName name="OHSC_GC_S_BOARD_OF_DIRECTORS" localSheetId="18">#REF!</definedName>
    <definedName name="OHSC_GC_S_BOARD_OF_DIRECTORS" localSheetId="19">#REF!</definedName>
    <definedName name="OHSC_GC_S_BOARD_OF_DIRECTORS" localSheetId="24">#REF!</definedName>
    <definedName name="OHSC_GC_S_BOARD_OF_DIRECTORS" localSheetId="25">#REF!</definedName>
    <definedName name="OHSC_GC_S_BOARD_OF_DIRECTORS">#REF!</definedName>
    <definedName name="OK" hidden="1">{"'2003 05 15'!$W$11:$AI$18","'2003 05 15'!$A$1:$V$30"}</definedName>
    <definedName name="oo" localSheetId="28">'[29]13. Headcount Forecast'!#REF!</definedName>
    <definedName name="oo" localSheetId="18">'[29]13. Headcount Forecast'!#REF!</definedName>
    <definedName name="oo" localSheetId="19">'[29]13. Headcount Forecast'!#REF!</definedName>
    <definedName name="oo" localSheetId="24">'[29]13. Headcount Forecast'!#REF!</definedName>
    <definedName name="oo" localSheetId="25">'[29]13. Headcount Forecast'!#REF!</definedName>
    <definedName name="oo">'[29]13. Headcount Forecast'!#REF!</definedName>
    <definedName name="ooo" localSheetId="28">'[3]13. Headcount Forecast'!#REF!</definedName>
    <definedName name="ooo" localSheetId="18">'[3]13. Headcount Forecast'!#REF!</definedName>
    <definedName name="ooo" localSheetId="19">'[3]13. Headcount Forecast'!#REF!</definedName>
    <definedName name="ooo" localSheetId="24">'[3]13. Headcount Forecast'!#REF!</definedName>
    <definedName name="ooo" localSheetId="25">'[3]13. Headcount Forecast'!#REF!</definedName>
    <definedName name="ooo">'[3]13. Headcount Forecast'!#REF!</definedName>
    <definedName name="oooooo" localSheetId="28">'[3]13. Headcount Forecast'!#REF!</definedName>
    <definedName name="oooooo" localSheetId="18">'[3]13. Headcount Forecast'!#REF!</definedName>
    <definedName name="oooooo" localSheetId="19">'[3]13. Headcount Forecast'!#REF!</definedName>
    <definedName name="oooooo" localSheetId="24">'[3]13. Headcount Forecast'!#REF!</definedName>
    <definedName name="oooooo" localSheetId="25">'[3]13. Headcount Forecast'!#REF!</definedName>
    <definedName name="oooooo">'[3]13. Headcount Forecast'!#REF!</definedName>
    <definedName name="OPRB_Cum_Plan" localSheetId="28">#REF!</definedName>
    <definedName name="OPRB_Cum_Plan" localSheetId="18">#REF!</definedName>
    <definedName name="OPRB_Cum_Plan" localSheetId="19">#REF!</definedName>
    <definedName name="OPRB_Cum_Plan" localSheetId="24">#REF!</definedName>
    <definedName name="OPRB_Cum_Plan" localSheetId="25">#REF!</definedName>
    <definedName name="OPRB_Cum_Plan">#REF!</definedName>
    <definedName name="OPRB_Plan" localSheetId="28">#REF!</definedName>
    <definedName name="OPRB_Plan" localSheetId="18">#REF!</definedName>
    <definedName name="OPRB_Plan" localSheetId="19">#REF!</definedName>
    <definedName name="OPRB_Plan" localSheetId="24">#REF!</definedName>
    <definedName name="OPRB_Plan" localSheetId="25">#REF!</definedName>
    <definedName name="OPRB_Plan">#REF!</definedName>
    <definedName name="Others" localSheetId="28">'[25]14. CY Actual Summary Results'!#REF!</definedName>
    <definedName name="Others" localSheetId="18">'[25]14. CY Actual Summary Results'!#REF!</definedName>
    <definedName name="Others" localSheetId="19">'[25]14. CY Actual Summary Results'!#REF!</definedName>
    <definedName name="Others" localSheetId="24">'[25]14. CY Actual Summary Results'!#REF!</definedName>
    <definedName name="Others" localSheetId="25">'[25]14. CY Actual Summary Results'!#REF!</definedName>
    <definedName name="Others">'[25]14. CY Actual Summary Results'!#REF!</definedName>
    <definedName name="overhead">'[31]Input - Proj Info'!$I$148</definedName>
    <definedName name="p" localSheetId="28">'[3]13. Headcount Forecast'!#REF!</definedName>
    <definedName name="p" localSheetId="18">'[3]13. Headcount Forecast'!#REF!</definedName>
    <definedName name="p" localSheetId="19">'[3]13. Headcount Forecast'!#REF!</definedName>
    <definedName name="p" localSheetId="24">'[3]13. Headcount Forecast'!#REF!</definedName>
    <definedName name="p" localSheetId="25">'[3]13. Headcount Forecast'!#REF!</definedName>
    <definedName name="p">'[3]13. Headcount Forecast'!#REF!</definedName>
    <definedName name="Page_Count" localSheetId="28">#REF!</definedName>
    <definedName name="Page_Count" localSheetId="18">#REF!</definedName>
    <definedName name="Page_Count" localSheetId="19">#REF!</definedName>
    <definedName name="Page_Count" localSheetId="24">#REF!</definedName>
    <definedName name="Page_Count" localSheetId="25">#REF!</definedName>
    <definedName name="Page_Count">#REF!</definedName>
    <definedName name="PAGE1" localSheetId="28">#REF!</definedName>
    <definedName name="PAGE1" localSheetId="18">#REF!</definedName>
    <definedName name="PAGE1" localSheetId="19">#REF!</definedName>
    <definedName name="PAGE1" localSheetId="24">#REF!</definedName>
    <definedName name="PAGE1" localSheetId="25">#REF!</definedName>
    <definedName name="PAGE1">#REF!</definedName>
    <definedName name="PC">'[18]PC Input'!$A$9:$N$38</definedName>
    <definedName name="PC_Prior_Year">'[33]2004PC Input'!$A$8:$N$116</definedName>
    <definedName name="Percent_Area">[38]INCOME!$I$15:$I$50,[38]INCOME!$N$15:$N$50,[38]INCOME!$X$15:$X$50,[38]INCOME!$AC$15:$AC$50</definedName>
    <definedName name="pivot" localSheetId="28">#REF!</definedName>
    <definedName name="pivot" localSheetId="18">#REF!</definedName>
    <definedName name="pivot" localSheetId="19">#REF!</definedName>
    <definedName name="pivot" localSheetId="24">#REF!</definedName>
    <definedName name="pivot" localSheetId="25">#REF!</definedName>
    <definedName name="pivot">#REF!</definedName>
    <definedName name="pivot_110190" localSheetId="28">#REF!</definedName>
    <definedName name="pivot_110190" localSheetId="18">#REF!</definedName>
    <definedName name="pivot_110190" localSheetId="19">#REF!</definedName>
    <definedName name="pivot_110190" localSheetId="24">#REF!</definedName>
    <definedName name="pivot_110190" localSheetId="25">#REF!</definedName>
    <definedName name="pivot_110190">#REF!</definedName>
    <definedName name="pivot_174090" localSheetId="28">#REF!</definedName>
    <definedName name="pivot_174090" localSheetId="18">#REF!</definedName>
    <definedName name="pivot_174090" localSheetId="19">#REF!</definedName>
    <definedName name="pivot_174090" localSheetId="24">#REF!</definedName>
    <definedName name="pivot_174090" localSheetId="25">#REF!</definedName>
    <definedName name="pivot_174090">#REF!</definedName>
    <definedName name="pp" localSheetId="28">'[29]13. Headcount Forecast'!#REF!</definedName>
    <definedName name="pp" localSheetId="18">'[29]13. Headcount Forecast'!#REF!</definedName>
    <definedName name="pp" localSheetId="19">'[29]13. Headcount Forecast'!#REF!</definedName>
    <definedName name="pp" localSheetId="24">'[29]13. Headcount Forecast'!#REF!</definedName>
    <definedName name="pp" localSheetId="25">'[29]13. Headcount Forecast'!#REF!</definedName>
    <definedName name="pp">'[29]13. Headcount Forecast'!#REF!</definedName>
    <definedName name="ppp" localSheetId="28">'[3]13. Headcount Forecast'!#REF!</definedName>
    <definedName name="ppp" localSheetId="18">'[3]13. Headcount Forecast'!#REF!</definedName>
    <definedName name="ppp" localSheetId="19">'[3]13. Headcount Forecast'!#REF!</definedName>
    <definedName name="ppp" localSheetId="24">'[3]13. Headcount Forecast'!#REF!</definedName>
    <definedName name="ppp" localSheetId="25">'[3]13. Headcount Forecast'!#REF!</definedName>
    <definedName name="ppp">'[3]13. Headcount Forecast'!#REF!</definedName>
    <definedName name="pppppp" localSheetId="28">'[3]13. Headcount Forecast'!#REF!</definedName>
    <definedName name="pppppp" localSheetId="18">'[3]13. Headcount Forecast'!#REF!</definedName>
    <definedName name="pppppp" localSheetId="19">'[3]13. Headcount Forecast'!#REF!</definedName>
    <definedName name="pppppp" localSheetId="24">'[3]13. Headcount Forecast'!#REF!</definedName>
    <definedName name="pppppp" localSheetId="25">'[3]13. Headcount Forecast'!#REF!</definedName>
    <definedName name="pppppp">'[3]13. Headcount Forecast'!#REF!</definedName>
    <definedName name="Prescribed_Option" localSheetId="28">#REF!</definedName>
    <definedName name="Prescribed_Option" localSheetId="18">#REF!</definedName>
    <definedName name="Prescribed_Option" localSheetId="19">#REF!</definedName>
    <definedName name="Prescribed_Option" localSheetId="24">#REF!</definedName>
    <definedName name="Prescribed_Option" localSheetId="25">#REF!</definedName>
    <definedName name="Prescribed_Option">#REF!</definedName>
    <definedName name="Prescribed_Table" localSheetId="28">#REF!</definedName>
    <definedName name="Prescribed_Table" localSheetId="18">#REF!</definedName>
    <definedName name="Prescribed_Table" localSheetId="19">#REF!</definedName>
    <definedName name="Prescribed_Table" localSheetId="24">#REF!</definedName>
    <definedName name="Prescribed_Table" localSheetId="25">#REF!</definedName>
    <definedName name="Prescribed_Table">#REF!</definedName>
    <definedName name="_xlnm.Print_Area" localSheetId="1">'2023 Load Forecast Test Year'!$A$1:$A$127</definedName>
    <definedName name="_xlnm.Print_Area" localSheetId="5">Armstrong!$A$1:$A$133</definedName>
    <definedName name="_xlnm.Print_Area" localSheetId="15">'Bearskin Lake'!$A$1:$A$133</definedName>
    <definedName name="_xlnm.Print_Area" localSheetId="26">'Big Trout Lake'!$A$1:$A$133</definedName>
    <definedName name="_xlnm.Print_Area" localSheetId="6">Biscotasing!$A$1:$A$133</definedName>
    <definedName name="_xlnm.Print_Area" localSheetId="27">'Cat Lake'!$A$1:$A$133</definedName>
    <definedName name="_xlnm.Print_Area" localSheetId="2">Customers!$C$3:$K$17</definedName>
    <definedName name="_xlnm.Print_Area" localSheetId="16">'Deer Lake'!$A$1:$A$133</definedName>
    <definedName name="_xlnm.Print_Area" localSheetId="11">'Fort Severn'!$A$1:$A$133</definedName>
    <definedName name="_xlnm.Print_Area" localSheetId="7">'Gull Bay'!$A$1:$A$133</definedName>
    <definedName name="_xlnm.Print_Area" localSheetId="8">Hillsport!$A$1:$A$133</definedName>
    <definedName name="_xlnm.Print_Area" localSheetId="29">Kasabonika!$A$1:$A$133</definedName>
    <definedName name="_xlnm.Print_Area" localSheetId="28">Keewaywin!$A$1:$A$133</definedName>
    <definedName name="_xlnm.Print_Area" localSheetId="17">Kingfisher!$A$1:$A$133</definedName>
    <definedName name="_xlnm.Print_Area" localSheetId="12">Lansdowne!$A$1:$A$133</definedName>
    <definedName name="_xlnm.Print_Area" localSheetId="13">'Marten Falls'!$A$1:$A$133</definedName>
    <definedName name="_xlnm.Print_Area" localSheetId="18">'Muskrat Dam'!$A$1:$A$133</definedName>
    <definedName name="_xlnm.Print_Area" localSheetId="19">'North Spirit'!$A$1:$A$133</definedName>
    <definedName name="_xlnm.Print_Area" localSheetId="9">Oba!$A$1:$A$133</definedName>
    <definedName name="_xlnm.Print_Area" localSheetId="20">Pikangikum!$A$1:$A$133</definedName>
    <definedName name="_xlnm.Print_Area" localSheetId="21">'Poplar Hill'!$A$1:$A$133</definedName>
    <definedName name="_xlnm.Print_Area" localSheetId="30">Sachigo!$A$1:$A$133</definedName>
    <definedName name="_xlnm.Print_Area" localSheetId="22">'Sandy Lake'!$A$1:$A$133</definedName>
    <definedName name="_xlnm.Print_Area" localSheetId="10">Sultan!$A$1:$A$133</definedName>
    <definedName name="_xlnm.Print_Area" localSheetId="31">Wapekeka!$A$1:$A$133</definedName>
    <definedName name="_xlnm.Print_Area" localSheetId="24">Wawakepewin!$A$1:$A$133</definedName>
    <definedName name="_xlnm.Print_Area" localSheetId="23">Weagamow!$A$1:$A$133</definedName>
    <definedName name="_xlnm.Print_Area" localSheetId="14">Webequie!$A$1:$A$133</definedName>
    <definedName name="_xlnm.Print_Area" localSheetId="25">Wunnumin!$A$1:$A$133</definedName>
    <definedName name="_xlnm.Print_Area">#REF!</definedName>
    <definedName name="PRINT_BDCOMMSEC" localSheetId="28">#REF!</definedName>
    <definedName name="PRINT_BDCOMMSEC" localSheetId="18">#REF!</definedName>
    <definedName name="PRINT_BDCOMMSEC" localSheetId="19">#REF!</definedName>
    <definedName name="PRINT_BDCOMMSEC" localSheetId="24">#REF!</definedName>
    <definedName name="PRINT_BDCOMMSEC" localSheetId="25">#REF!</definedName>
    <definedName name="PRINT_BDCOMMSEC">#REF!</definedName>
    <definedName name="PRINT_DIRECTORATE" localSheetId="28">#REF!</definedName>
    <definedName name="PRINT_DIRECTORATE" localSheetId="18">#REF!</definedName>
    <definedName name="PRINT_DIRECTORATE" localSheetId="19">#REF!</definedName>
    <definedName name="PRINT_DIRECTORATE" localSheetId="24">#REF!</definedName>
    <definedName name="PRINT_DIRECTORATE" localSheetId="25">#REF!</definedName>
    <definedName name="PRINT_DIRECTORATE">#REF!</definedName>
    <definedName name="Print_EO_Consolid" localSheetId="28">#REF!</definedName>
    <definedName name="Print_EO_Consolid" localSheetId="18">#REF!</definedName>
    <definedName name="Print_EO_Consolid" localSheetId="19">#REF!</definedName>
    <definedName name="Print_EO_Consolid" localSheetId="24">#REF!</definedName>
    <definedName name="Print_EO_Consolid" localSheetId="25">#REF!</definedName>
    <definedName name="Print_EO_Consolid">#REF!</definedName>
    <definedName name="PRINT_EXEC.SUPP." localSheetId="28">#REF!</definedName>
    <definedName name="PRINT_EXEC.SUPP." localSheetId="18">#REF!</definedName>
    <definedName name="PRINT_EXEC.SUPP." localSheetId="19">#REF!</definedName>
    <definedName name="PRINT_EXEC.SUPP." localSheetId="24">#REF!</definedName>
    <definedName name="PRINT_EXEC.SUPP." localSheetId="25">#REF!</definedName>
    <definedName name="PRINT_EXEC.SUPP.">#REF!</definedName>
    <definedName name="PRINT_LEGAL" localSheetId="28">#REF!</definedName>
    <definedName name="PRINT_LEGAL" localSheetId="18">#REF!</definedName>
    <definedName name="PRINT_LEGAL" localSheetId="19">#REF!</definedName>
    <definedName name="PRINT_LEGAL" localSheetId="24">#REF!</definedName>
    <definedName name="PRINT_LEGAL" localSheetId="25">#REF!</definedName>
    <definedName name="PRINT_LEGAL">#REF!</definedName>
    <definedName name="Print_List" localSheetId="28">#REF!</definedName>
    <definedName name="Print_List" localSheetId="18">#REF!</definedName>
    <definedName name="Print_List" localSheetId="19">#REF!</definedName>
    <definedName name="Print_List" localSheetId="24">#REF!</definedName>
    <definedName name="Print_List" localSheetId="25">#REF!</definedName>
    <definedName name="Print_List">#REF!</definedName>
    <definedName name="PRINT_OPTIONS" localSheetId="28">#REF!</definedName>
    <definedName name="PRINT_OPTIONS" localSheetId="18">#REF!</definedName>
    <definedName name="PRINT_OPTIONS" localSheetId="19">#REF!</definedName>
    <definedName name="PRINT_OPTIONS" localSheetId="24">#REF!</definedName>
    <definedName name="PRINT_OPTIONS" localSheetId="25">#REF!</definedName>
    <definedName name="PRINT_OPTIONS">#REF!</definedName>
    <definedName name="Print_Preview" localSheetId="28">#REF!</definedName>
    <definedName name="Print_Preview" localSheetId="18">#REF!</definedName>
    <definedName name="Print_Preview" localSheetId="19">#REF!</definedName>
    <definedName name="Print_Preview" localSheetId="24">#REF!</definedName>
    <definedName name="Print_Preview" localSheetId="25">#REF!</definedName>
    <definedName name="Print_Preview">#REF!</definedName>
    <definedName name="PRINT_RECORDS" localSheetId="28">#REF!</definedName>
    <definedName name="PRINT_RECORDS" localSheetId="18">#REF!</definedName>
    <definedName name="PRINT_RECORDS" localSheetId="19">#REF!</definedName>
    <definedName name="PRINT_RECORDS" localSheetId="24">#REF!</definedName>
    <definedName name="PRINT_RECORDS" localSheetId="25">#REF!</definedName>
    <definedName name="PRINT_RECORDS">#REF!</definedName>
    <definedName name="PRINT_SEC_EXCL_CA" localSheetId="28">#REF!</definedName>
    <definedName name="PRINT_SEC_EXCL_CA" localSheetId="18">#REF!</definedName>
    <definedName name="PRINT_SEC_EXCL_CA" localSheetId="19">#REF!</definedName>
    <definedName name="PRINT_SEC_EXCL_CA" localSheetId="24">#REF!</definedName>
    <definedName name="PRINT_SEC_EXCL_CA" localSheetId="25">#REF!</definedName>
    <definedName name="PRINT_SEC_EXCL_CA">#REF!</definedName>
    <definedName name="PRINT_SECURITY" localSheetId="28">#REF!</definedName>
    <definedName name="PRINT_SECURITY" localSheetId="18">#REF!</definedName>
    <definedName name="PRINT_SECURITY" localSheetId="19">#REF!</definedName>
    <definedName name="PRINT_SECURITY" localSheetId="24">#REF!</definedName>
    <definedName name="PRINT_SECURITY" localSheetId="25">#REF!</definedName>
    <definedName name="PRINT_SECURITY">#REF!</definedName>
    <definedName name="PRINT_SUMMARIZED_WORKSHEET" localSheetId="28">#REF!</definedName>
    <definedName name="PRINT_SUMMARIZED_WORKSHEET" localSheetId="18">#REF!</definedName>
    <definedName name="PRINT_SUMMARIZED_WORKSHEET" localSheetId="19">#REF!</definedName>
    <definedName name="PRINT_SUMMARIZED_WORKSHEET" localSheetId="24">#REF!</definedName>
    <definedName name="PRINT_SUMMARIZED_WORKSHEET" localSheetId="25">#REF!</definedName>
    <definedName name="PRINT_SUMMARIZED_WORKSHEET">#REF!</definedName>
    <definedName name="PRINT_SUMMARY" localSheetId="28">#REF!</definedName>
    <definedName name="PRINT_SUMMARY" localSheetId="18">#REF!</definedName>
    <definedName name="PRINT_SUMMARY" localSheetId="19">#REF!</definedName>
    <definedName name="PRINT_SUMMARY" localSheetId="24">#REF!</definedName>
    <definedName name="PRINT_SUMMARY" localSheetId="25">#REF!</definedName>
    <definedName name="PRINT_SUMMARY">#REF!</definedName>
    <definedName name="_xlnm.Print_Titles" localSheetId="1">'2023 Load Forecast Test Year'!$3:$5</definedName>
    <definedName name="_xlnm.Print_Titles" localSheetId="5">Armstrong!$3:$5</definedName>
    <definedName name="_xlnm.Print_Titles" localSheetId="15">'Bearskin Lake'!$3:$5</definedName>
    <definedName name="_xlnm.Print_Titles" localSheetId="26">'Big Trout Lake'!$3:$5</definedName>
    <definedName name="_xlnm.Print_Titles" localSheetId="6">Biscotasing!$3:$5</definedName>
    <definedName name="_xlnm.Print_Titles" localSheetId="27">'Cat Lake'!$3:$5</definedName>
    <definedName name="_xlnm.Print_Titles" localSheetId="16">'Deer Lake'!$3:$5</definedName>
    <definedName name="_xlnm.Print_Titles" localSheetId="11">'Fort Severn'!$3:$5</definedName>
    <definedName name="_xlnm.Print_Titles" localSheetId="7">'Gull Bay'!$3:$5</definedName>
    <definedName name="_xlnm.Print_Titles" localSheetId="8">Hillsport!$3:$5</definedName>
    <definedName name="_xlnm.Print_Titles" localSheetId="29">Kasabonika!$3:$5</definedName>
    <definedName name="_xlnm.Print_Titles" localSheetId="28">Keewaywin!$3:$5</definedName>
    <definedName name="_xlnm.Print_Titles" localSheetId="17">Kingfisher!$3:$5</definedName>
    <definedName name="_xlnm.Print_Titles" localSheetId="12">Lansdowne!$3:$5</definedName>
    <definedName name="_xlnm.Print_Titles" localSheetId="13">'Marten Falls'!$3:$5</definedName>
    <definedName name="_xlnm.Print_Titles" localSheetId="18">'Muskrat Dam'!$3:$5</definedName>
    <definedName name="_xlnm.Print_Titles" localSheetId="19">'North Spirit'!$3:$5</definedName>
    <definedName name="_xlnm.Print_Titles" localSheetId="9">Oba!$3:$5</definedName>
    <definedName name="_xlnm.Print_Titles" localSheetId="20">Pikangikum!$3:$5</definedName>
    <definedName name="_xlnm.Print_Titles" localSheetId="21">'Poplar Hill'!$3:$5</definedName>
    <definedName name="_xlnm.Print_Titles" localSheetId="30">Sachigo!$3:$5</definedName>
    <definedName name="_xlnm.Print_Titles" localSheetId="22">'Sandy Lake'!$3:$5</definedName>
    <definedName name="_xlnm.Print_Titles" localSheetId="10">Sultan!$3:$5</definedName>
    <definedName name="_xlnm.Print_Titles" localSheetId="31">Wapekeka!$3:$5</definedName>
    <definedName name="_xlnm.Print_Titles" localSheetId="24">Wawakepewin!$3:$5</definedName>
    <definedName name="_xlnm.Print_Titles" localSheetId="23">Weagamow!$3:$5</definedName>
    <definedName name="_xlnm.Print_Titles" localSheetId="14">Webequie!$3:$5</definedName>
    <definedName name="_xlnm.Print_Titles" localSheetId="25">Wunnumin!$3:$5</definedName>
    <definedName name="Print_VPs_Monthlyflows" localSheetId="28">#REF!</definedName>
    <definedName name="Print_VPs_Monthlyflows" localSheetId="18">#REF!</definedName>
    <definedName name="Print_VPs_Monthlyflows" localSheetId="19">#REF!</definedName>
    <definedName name="Print_VPs_Monthlyflows" localSheetId="24">#REF!</definedName>
    <definedName name="Print_VPs_Monthlyflows" localSheetId="25">#REF!</definedName>
    <definedName name="Print_VPs_Monthlyflows">#REF!</definedName>
    <definedName name="Procedure" localSheetId="28">#REF!</definedName>
    <definedName name="Procedure" localSheetId="18">#REF!</definedName>
    <definedName name="Procedure" localSheetId="19">#REF!</definedName>
    <definedName name="Procedure" localSheetId="24">#REF!</definedName>
    <definedName name="Procedure" localSheetId="25">#REF!</definedName>
    <definedName name="Procedure">#REF!</definedName>
    <definedName name="Procedure_ID" localSheetId="28">#REF!</definedName>
    <definedName name="Procedure_ID" localSheetId="18">#REF!</definedName>
    <definedName name="Procedure_ID" localSheetId="19">#REF!</definedName>
    <definedName name="Procedure_ID" localSheetId="24">#REF!</definedName>
    <definedName name="Procedure_ID" localSheetId="25">#REF!</definedName>
    <definedName name="Procedure_ID">#REF!</definedName>
    <definedName name="Procedure_Table" localSheetId="28">#REF!</definedName>
    <definedName name="Procedure_Table" localSheetId="18">#REF!</definedName>
    <definedName name="Procedure_Table" localSheetId="19">#REF!</definedName>
    <definedName name="Procedure_Table" localSheetId="24">#REF!</definedName>
    <definedName name="Procedure_Table" localSheetId="25">#REF!</definedName>
    <definedName name="Procedure_Table">#REF!</definedName>
    <definedName name="Proj" localSheetId="28">#REF!</definedName>
    <definedName name="Proj" localSheetId="18">#REF!</definedName>
    <definedName name="Proj" localSheetId="19">#REF!</definedName>
    <definedName name="Proj" localSheetId="24">#REF!</definedName>
    <definedName name="Proj" localSheetId="25">#REF!</definedName>
    <definedName name="Proj">#REF!</definedName>
    <definedName name="PROJECT_ID" localSheetId="28">#REF!</definedName>
    <definedName name="PROJECT_ID" localSheetId="18">#REF!</definedName>
    <definedName name="PROJECT_ID" localSheetId="19">#REF!</definedName>
    <definedName name="PROJECT_ID" localSheetId="24">#REF!</definedName>
    <definedName name="PROJECT_ID" localSheetId="25">#REF!</definedName>
    <definedName name="PROJECT_ID">#REF!</definedName>
    <definedName name="Project_Subtotals">'[39]Query 3'!$A$1:$G$478</definedName>
    <definedName name="PrSu2">'[40]Query 3'!$A$1:$G$479</definedName>
    <definedName name="q" localSheetId="28">'[3]13. Headcount Forecast'!#REF!</definedName>
    <definedName name="q" localSheetId="18">'[3]13. Headcount Forecast'!#REF!</definedName>
    <definedName name="q" localSheetId="19">'[3]13. Headcount Forecast'!#REF!</definedName>
    <definedName name="q" localSheetId="24">'[3]13. Headcount Forecast'!#REF!</definedName>
    <definedName name="q" localSheetId="25">'[3]13. Headcount Forecast'!#REF!</definedName>
    <definedName name="q">'[3]13. Headcount Forecast'!#REF!</definedName>
    <definedName name="q1bpe">'[41]q1 2002'!$A$15:$F$21</definedName>
    <definedName name="qq" localSheetId="28">'[29]13. Headcount Forecast'!#REF!</definedName>
    <definedName name="qq" localSheetId="18">'[29]13. Headcount Forecast'!#REF!</definedName>
    <definedName name="qq" localSheetId="19">'[29]13. Headcount Forecast'!#REF!</definedName>
    <definedName name="qq" localSheetId="24">'[29]13. Headcount Forecast'!#REF!</definedName>
    <definedName name="qq" localSheetId="25">'[29]13. Headcount Forecast'!#REF!</definedName>
    <definedName name="qq">'[29]13. Headcount Forecast'!#REF!</definedName>
    <definedName name="qqq" localSheetId="28">'[3]13. Headcount Forecast'!#REF!</definedName>
    <definedName name="qqq" localSheetId="18">'[3]13. Headcount Forecast'!#REF!</definedName>
    <definedName name="qqq" localSheetId="19">'[3]13. Headcount Forecast'!#REF!</definedName>
    <definedName name="qqq" localSheetId="24">'[3]13. Headcount Forecast'!#REF!</definedName>
    <definedName name="qqq" localSheetId="25">'[3]13. Headcount Forecast'!#REF!</definedName>
    <definedName name="qqq">'[3]13. Headcount Forecast'!#REF!</definedName>
    <definedName name="qqqq" localSheetId="28">'[3]13. Headcount Forecast'!#REF!</definedName>
    <definedName name="qqqq" localSheetId="18">'[3]13. Headcount Forecast'!#REF!</definedName>
    <definedName name="qqqq" localSheetId="19">'[3]13. Headcount Forecast'!#REF!</definedName>
    <definedName name="qqqq" localSheetId="24">'[3]13. Headcount Forecast'!#REF!</definedName>
    <definedName name="qqqq" localSheetId="25">'[3]13. Headcount Forecast'!#REF!</definedName>
    <definedName name="qqqq">'[3]13. Headcount Forecast'!#REF!</definedName>
    <definedName name="qqqqqq" localSheetId="28">'[3]13. Headcount Forecast'!#REF!</definedName>
    <definedName name="qqqqqq" localSheetId="18">'[3]13. Headcount Forecast'!#REF!</definedName>
    <definedName name="qqqqqq" localSheetId="19">'[3]13. Headcount Forecast'!#REF!</definedName>
    <definedName name="qqqqqq" localSheetId="24">'[3]13. Headcount Forecast'!#REF!</definedName>
    <definedName name="qqqqqq" localSheetId="25">'[3]13. Headcount Forecast'!#REF!</definedName>
    <definedName name="qqqqqq">'[3]13. Headcount Forecast'!#REF!</definedName>
    <definedName name="R_GL_AD_N">'[42]SUPPORT 1B - PIVOT PSAM ACDEPN'!$B$199:$H$220</definedName>
    <definedName name="R_GL_AD_R">'[42]SUPPORT 1B - PIVOT PSAM ACDEPN'!$B$228:$I$238</definedName>
    <definedName name="R_GL_AD_S">'[42]SUPPORT 1B - PIVOT PSAM ACDEPN'!$B$246:$H$265</definedName>
    <definedName name="R_GL_COST_ACCT_TYPE">'[42]SUPPORT 1B - PIVOT PSAM COST'!$B$169:$V$450</definedName>
    <definedName name="Range_name__gl_accdepn_lookup_txdx">"1.'SUPPORT 6A - LEDGER BAL CONTROL'!$I$1:$P$55"</definedName>
    <definedName name="Range_name__Subledger_bal_by_bu___a9_to_f33" localSheetId="28">#REF!</definedName>
    <definedName name="Range_name__Subledger_bal_by_bu___a9_to_f33" localSheetId="18">#REF!</definedName>
    <definedName name="Range_name__Subledger_bal_by_bu___a9_to_f33" localSheetId="19">#REF!</definedName>
    <definedName name="Range_name__Subledger_bal_by_bu___a9_to_f33" localSheetId="24">#REF!</definedName>
    <definedName name="Range_name__Subledger_bal_by_bu___a9_to_f33" localSheetId="25">#REF!</definedName>
    <definedName name="Range_name__Subledger_bal_by_bu___a9_to_f33">#REF!</definedName>
    <definedName name="rate">'[43]7.71%'!$E$3</definedName>
    <definedName name="RBN" localSheetId="28">#REF!</definedName>
    <definedName name="RBN" localSheetId="18">#REF!</definedName>
    <definedName name="RBN" localSheetId="19">#REF!</definedName>
    <definedName name="RBN" localSheetId="24">#REF!</definedName>
    <definedName name="RBN" localSheetId="25">#REF!</definedName>
    <definedName name="RBN">#REF!</definedName>
    <definedName name="RBU" localSheetId="28">#REF!</definedName>
    <definedName name="RBU" localSheetId="18">#REF!</definedName>
    <definedName name="RBU" localSheetId="19">#REF!</definedName>
    <definedName name="RBU" localSheetId="24">#REF!</definedName>
    <definedName name="RBU" localSheetId="25">#REF!</definedName>
    <definedName name="RBU">#REF!</definedName>
    <definedName name="Recalculation_Flag" localSheetId="28">#REF!</definedName>
    <definedName name="Recalculation_Flag" localSheetId="18">#REF!</definedName>
    <definedName name="Recalculation_Flag" localSheetId="19">#REF!</definedName>
    <definedName name="Recalculation_Flag" localSheetId="24">#REF!</definedName>
    <definedName name="Recalculation_Flag" localSheetId="25">#REF!</definedName>
    <definedName name="Recalculation_Flag">#REF!</definedName>
    <definedName name="RecdTbl">'[44]TS Received Table'!$A$6:$Z$494</definedName>
    <definedName name="Redistribution" localSheetId="28">#REF!</definedName>
    <definedName name="Redistribution" localSheetId="18">#REF!</definedName>
    <definedName name="Redistribution" localSheetId="19">#REF!</definedName>
    <definedName name="Redistribution" localSheetId="24">#REF!</definedName>
    <definedName name="Redistribution" localSheetId="25">#REF!</definedName>
    <definedName name="Redistribution">#REF!</definedName>
    <definedName name="Redistribution_Table" localSheetId="28">#REF!</definedName>
    <definedName name="Redistribution_Table" localSheetId="18">#REF!</definedName>
    <definedName name="Redistribution_Table" localSheetId="19">#REF!</definedName>
    <definedName name="Redistribution_Table" localSheetId="24">#REF!</definedName>
    <definedName name="Redistribution_Table" localSheetId="25">#REF!</definedName>
    <definedName name="Redistribution_Table">#REF!</definedName>
    <definedName name="REM_Inventory" localSheetId="28">#REF!</definedName>
    <definedName name="REM_Inventory" localSheetId="18">#REF!</definedName>
    <definedName name="REM_Inventory" localSheetId="19">#REF!</definedName>
    <definedName name="REM_Inventory" localSheetId="24">#REF!</definedName>
    <definedName name="REM_Inventory" localSheetId="25">#REF!</definedName>
    <definedName name="REM_Inventory">#REF!</definedName>
    <definedName name="res" localSheetId="28">#REF!</definedName>
    <definedName name="res" localSheetId="18">#REF!</definedName>
    <definedName name="res" localSheetId="19">#REF!</definedName>
    <definedName name="res" localSheetId="24">#REF!</definedName>
    <definedName name="res" localSheetId="25">#REF!</definedName>
    <definedName name="res">#REF!</definedName>
    <definedName name="RES_CAT" localSheetId="28">#REF!</definedName>
    <definedName name="RES_CAT" localSheetId="18">#REF!</definedName>
    <definedName name="RES_CAT" localSheetId="19">#REF!</definedName>
    <definedName name="RES_CAT" localSheetId="24">#REF!</definedName>
    <definedName name="RES_CAT" localSheetId="25">#REF!</definedName>
    <definedName name="RES_CAT">#REF!</definedName>
    <definedName name="RES_SUB_CAT" localSheetId="28">#REF!</definedName>
    <definedName name="RES_SUB_CAT" localSheetId="18">#REF!</definedName>
    <definedName name="RES_SUB_CAT" localSheetId="19">#REF!</definedName>
    <definedName name="RES_SUB_CAT" localSheetId="24">#REF!</definedName>
    <definedName name="RES_SUB_CAT" localSheetId="25">#REF!</definedName>
    <definedName name="RES_SUB_CAT">#REF!</definedName>
    <definedName name="RES_TYPE" localSheetId="28">#REF!</definedName>
    <definedName name="RES_TYPE" localSheetId="18">#REF!</definedName>
    <definedName name="RES_TYPE" localSheetId="19">#REF!</definedName>
    <definedName name="RES_TYPE" localSheetId="24">#REF!</definedName>
    <definedName name="RES_TYPE" localSheetId="25">#REF!</definedName>
    <definedName name="RES_TYPE">#REF!</definedName>
    <definedName name="resource" localSheetId="28">#REF!</definedName>
    <definedName name="resource" localSheetId="18">#REF!</definedName>
    <definedName name="resource" localSheetId="19">#REF!</definedName>
    <definedName name="resource" localSheetId="24">#REF!</definedName>
    <definedName name="resource" localSheetId="25">#REF!</definedName>
    <definedName name="resource">#REF!</definedName>
    <definedName name="ResultsData">'[44]TS Results Summ 2a'!$A$6:$O$494</definedName>
    <definedName name="REVERSAL_VAL">'[45]valid values'!$AB$2:$AB$3</definedName>
    <definedName name="RID" localSheetId="28">[38]INCOME!#REF!</definedName>
    <definedName name="RID" localSheetId="18">[38]INCOME!#REF!</definedName>
    <definedName name="RID" localSheetId="19">[38]INCOME!#REF!</definedName>
    <definedName name="RID" localSheetId="24">[38]INCOME!#REF!</definedName>
    <definedName name="RID" localSheetId="25">[38]INCOME!#REF!</definedName>
    <definedName name="RID">[38]INCOME!#REF!</definedName>
    <definedName name="rollup_code" localSheetId="28">#REF!</definedName>
    <definedName name="rollup_code" localSheetId="18">#REF!</definedName>
    <definedName name="rollup_code" localSheetId="19">#REF!</definedName>
    <definedName name="rollup_code" localSheetId="24">#REF!</definedName>
    <definedName name="rollup_code" localSheetId="25">#REF!</definedName>
    <definedName name="rollup_code">#REF!</definedName>
    <definedName name="RPY_CI_Reg_HOI_02">'[13]10. Headcount Forecast'!$I$7</definedName>
    <definedName name="RPY_CI_Reg_HOI_03">'[13]10. Headcount Forecast'!$I$8</definedName>
    <definedName name="RPY_CI_Reg_HOI_04">'[13]10. Headcount Forecast'!$I$9</definedName>
    <definedName name="RPY_CI_Reg_HOI_05">'[13]10. Headcount Forecast'!$I$10</definedName>
    <definedName name="RPY_CI_Reg_HOI_06">'[13]10. Headcount Forecast'!$I$11</definedName>
    <definedName name="RPY_CI_Reg_HOI_07">'[13]10. Headcount Forecast'!$I$12</definedName>
    <definedName name="RPY_CI_Reg_HOI_08">'[13]10. Headcount Forecast'!$I$13</definedName>
    <definedName name="RPY_CI_Reg_HOI_09">'[13]10. Headcount Forecast'!$I$14</definedName>
    <definedName name="RPY_CI_Reg_Mkt_02" localSheetId="28">'[13]10. Headcount Forecast'!#REF!</definedName>
    <definedName name="RPY_CI_Reg_Mkt_02" localSheetId="18">'[13]10. Headcount Forecast'!#REF!</definedName>
    <definedName name="RPY_CI_Reg_Mkt_02" localSheetId="19">'[13]10. Headcount Forecast'!#REF!</definedName>
    <definedName name="RPY_CI_Reg_Mkt_02" localSheetId="24">'[13]10. Headcount Forecast'!#REF!</definedName>
    <definedName name="RPY_CI_Reg_Mkt_02" localSheetId="25">'[13]10. Headcount Forecast'!#REF!</definedName>
    <definedName name="RPY_CI_Reg_Mkt_02">'[13]10. Headcount Forecast'!#REF!</definedName>
    <definedName name="RPY_CI_Reg_Mkt_03" localSheetId="28">'[13]10. Headcount Forecast'!#REF!</definedName>
    <definedName name="RPY_CI_Reg_Mkt_03" localSheetId="18">'[13]10. Headcount Forecast'!#REF!</definedName>
    <definedName name="RPY_CI_Reg_Mkt_03" localSheetId="19">'[13]10. Headcount Forecast'!#REF!</definedName>
    <definedName name="RPY_CI_Reg_Mkt_03" localSheetId="24">'[13]10. Headcount Forecast'!#REF!</definedName>
    <definedName name="RPY_CI_Reg_Mkt_03" localSheetId="25">'[13]10. Headcount Forecast'!#REF!</definedName>
    <definedName name="RPY_CI_Reg_Mkt_03">'[13]10. Headcount Forecast'!#REF!</definedName>
    <definedName name="RPY_CI_Reg_Ntw_02">'[13]10. Headcount Forecast'!$I$16</definedName>
    <definedName name="RPY_CI_Reg_Ntw_03">'[13]10. Headcount Forecast'!$I$17</definedName>
    <definedName name="RPY_CI_Reg_Ntw_04">'[13]10. Headcount Forecast'!$I$18</definedName>
    <definedName name="RPY_CI_Reg_Ntw_05">'[13]10. Headcount Forecast'!$I$19</definedName>
    <definedName name="RPY_CI_Reg_Ntw_06">'[13]10. Headcount Forecast'!$I$20</definedName>
    <definedName name="RPY_CI_Reg_Ntw_07">'[13]10. Headcount Forecast'!$I$21</definedName>
    <definedName name="RPY_CI_Reg_Ntw_08">'[13]10. Headcount Forecast'!$I$22</definedName>
    <definedName name="RPY_CI_Reg_Ntw_09">'[13]10. Headcount Forecast'!$I$23</definedName>
    <definedName name="RPY_CI_Reg_OHE_02" localSheetId="28">'[13]10. Headcount Forecast'!#REF!</definedName>
    <definedName name="RPY_CI_Reg_OHE_02" localSheetId="18">'[13]10. Headcount Forecast'!#REF!</definedName>
    <definedName name="RPY_CI_Reg_OHE_02" localSheetId="19">'[13]10. Headcount Forecast'!#REF!</definedName>
    <definedName name="RPY_CI_Reg_OHE_02" localSheetId="24">'[13]10. Headcount Forecast'!#REF!</definedName>
    <definedName name="RPY_CI_Reg_OHE_02" localSheetId="25">'[13]10. Headcount Forecast'!#REF!</definedName>
    <definedName name="RPY_CI_Reg_OHE_02">'[13]10. Headcount Forecast'!#REF!</definedName>
    <definedName name="RPY_CI_Reg_OHE_03" localSheetId="28">'[13]10. Headcount Forecast'!#REF!</definedName>
    <definedName name="RPY_CI_Reg_OHE_03" localSheetId="18">'[13]10. Headcount Forecast'!#REF!</definedName>
    <definedName name="RPY_CI_Reg_OHE_03" localSheetId="19">'[13]10. Headcount Forecast'!#REF!</definedName>
    <definedName name="RPY_CI_Reg_OHE_03" localSheetId="24">'[13]10. Headcount Forecast'!#REF!</definedName>
    <definedName name="RPY_CI_Reg_OHE_03" localSheetId="25">'[13]10. Headcount Forecast'!#REF!</definedName>
    <definedName name="RPY_CI_Reg_OHE_03">'[13]10. Headcount Forecast'!#REF!</definedName>
    <definedName name="RPY_CI_Reg_OHE_04" localSheetId="28">'[13]10. Headcount Forecast'!#REF!</definedName>
    <definedName name="RPY_CI_Reg_OHE_04" localSheetId="18">'[13]10. Headcount Forecast'!#REF!</definedName>
    <definedName name="RPY_CI_Reg_OHE_04" localSheetId="19">'[13]10. Headcount Forecast'!#REF!</definedName>
    <definedName name="RPY_CI_Reg_OHE_04" localSheetId="24">'[13]10. Headcount Forecast'!#REF!</definedName>
    <definedName name="RPY_CI_Reg_OHE_04" localSheetId="25">'[13]10. Headcount Forecast'!#REF!</definedName>
    <definedName name="RPY_CI_Reg_OHE_04">'[13]10. Headcount Forecast'!#REF!</definedName>
    <definedName name="RPY_CI_Reg_OHE_05" localSheetId="28">'[13]10. Headcount Forecast'!#REF!</definedName>
    <definedName name="RPY_CI_Reg_OHE_05" localSheetId="18">'[13]10. Headcount Forecast'!#REF!</definedName>
    <definedName name="RPY_CI_Reg_OHE_05" localSheetId="19">'[13]10. Headcount Forecast'!#REF!</definedName>
    <definedName name="RPY_CI_Reg_OHE_05" localSheetId="24">'[13]10. Headcount Forecast'!#REF!</definedName>
    <definedName name="RPY_CI_Reg_OHE_05" localSheetId="25">'[13]10. Headcount Forecast'!#REF!</definedName>
    <definedName name="RPY_CI_Reg_OHE_05">'[13]10. Headcount Forecast'!#REF!</definedName>
    <definedName name="RPY_CI_Reg_OHE_06" localSheetId="28">'[13]10. Headcount Forecast'!#REF!</definedName>
    <definedName name="RPY_CI_Reg_OHE_06" localSheetId="18">'[13]10. Headcount Forecast'!#REF!</definedName>
    <definedName name="RPY_CI_Reg_OHE_06" localSheetId="19">'[13]10. Headcount Forecast'!#REF!</definedName>
    <definedName name="RPY_CI_Reg_OHE_06" localSheetId="24">'[13]10. Headcount Forecast'!#REF!</definedName>
    <definedName name="RPY_CI_Reg_OHE_06" localSheetId="25">'[13]10. Headcount Forecast'!#REF!</definedName>
    <definedName name="RPY_CI_Reg_OHE_06">'[13]10. Headcount Forecast'!#REF!</definedName>
    <definedName name="RPY_CI_Reg_OHE_07" localSheetId="28">'[13]10. Headcount Forecast'!#REF!</definedName>
    <definedName name="RPY_CI_Reg_OHE_07" localSheetId="18">'[13]10. Headcount Forecast'!#REF!</definedName>
    <definedName name="RPY_CI_Reg_OHE_07" localSheetId="19">'[13]10. Headcount Forecast'!#REF!</definedName>
    <definedName name="RPY_CI_Reg_OHE_07" localSheetId="24">'[13]10. Headcount Forecast'!#REF!</definedName>
    <definedName name="RPY_CI_Reg_OHE_07" localSheetId="25">'[13]10. Headcount Forecast'!#REF!</definedName>
    <definedName name="RPY_CI_Reg_OHE_07">'[13]10. Headcount Forecast'!#REF!</definedName>
    <definedName name="RPY_CI_Reg_OHE_08" localSheetId="28">'[13]10. Headcount Forecast'!#REF!</definedName>
    <definedName name="RPY_CI_Reg_OHE_08" localSheetId="18">'[13]10. Headcount Forecast'!#REF!</definedName>
    <definedName name="RPY_CI_Reg_OHE_08" localSheetId="19">'[13]10. Headcount Forecast'!#REF!</definedName>
    <definedName name="RPY_CI_Reg_OHE_08" localSheetId="24">'[13]10. Headcount Forecast'!#REF!</definedName>
    <definedName name="RPY_CI_Reg_OHE_08" localSheetId="25">'[13]10. Headcount Forecast'!#REF!</definedName>
    <definedName name="RPY_CI_Reg_OHE_08">'[13]10. Headcount Forecast'!#REF!</definedName>
    <definedName name="RPY_CI_Reg_RC_02">'[13]10. Headcount Forecast'!$I$25</definedName>
    <definedName name="RPY_CI_Reg_RC_03">'[13]10. Headcount Forecast'!$I$26</definedName>
    <definedName name="RPY_CI_Reg_RC_04">'[13]10. Headcount Forecast'!$I$27</definedName>
    <definedName name="RPY_CI_Reg_RC_05">'[13]10. Headcount Forecast'!$I$28</definedName>
    <definedName name="RPY_CI_Reg_RC_06">'[13]10. Headcount Forecast'!$I$29</definedName>
    <definedName name="RPY_CI_Reg_RC_07">'[13]10. Headcount Forecast'!$I$30</definedName>
    <definedName name="RPY_CI_Reg_RC_08">'[13]10. Headcount Forecast'!$I$31</definedName>
    <definedName name="RPY_CI_Reg_RC_09">'[13]10. Headcount Forecast'!$I$32</definedName>
    <definedName name="RPY_CI_Reg_Tel_02">'[13]10. Headcount Forecast'!$I$34</definedName>
    <definedName name="RPY_CI_Reg_Tel_03">'[13]10. Headcount Forecast'!$I$35</definedName>
    <definedName name="RPY_CI_Reg_Tel_04">'[13]10. Headcount Forecast'!$I$36</definedName>
    <definedName name="RPY_CI_Reg_Tel_05">'[13]10. Headcount Forecast'!$I$37</definedName>
    <definedName name="RPY_CI_Reg_Tel_06">'[13]10. Headcount Forecast'!$I$38</definedName>
    <definedName name="RPY_CI_Reg_Tel_07">'[13]10. Headcount Forecast'!$I$39</definedName>
    <definedName name="RPY_CI_Reg_Tel_08">'[13]10. Headcount Forecast'!$I$40</definedName>
    <definedName name="RPY_CI_Reg_Tel_09">'[13]10. Headcount Forecast'!$I$41</definedName>
    <definedName name="rr" localSheetId="28">'[29]13. Headcount Forecast'!#REF!</definedName>
    <definedName name="rr" localSheetId="18">'[29]13. Headcount Forecast'!#REF!</definedName>
    <definedName name="rr" localSheetId="19">'[29]13. Headcount Forecast'!#REF!</definedName>
    <definedName name="rr" localSheetId="24">'[29]13. Headcount Forecast'!#REF!</definedName>
    <definedName name="rr" localSheetId="25">'[29]13. Headcount Forecast'!#REF!</definedName>
    <definedName name="rr">'[29]13. Headcount Forecast'!#REF!</definedName>
    <definedName name="rrr" localSheetId="28">'[3]13. Headcount Forecast'!#REF!</definedName>
    <definedName name="rrr" localSheetId="18">'[3]13. Headcount Forecast'!#REF!</definedName>
    <definedName name="rrr" localSheetId="19">'[3]13. Headcount Forecast'!#REF!</definedName>
    <definedName name="rrr" localSheetId="24">'[3]13. Headcount Forecast'!#REF!</definedName>
    <definedName name="rrr" localSheetId="25">'[3]13. Headcount Forecast'!#REF!</definedName>
    <definedName name="rrr">'[3]13. Headcount Forecast'!#REF!</definedName>
    <definedName name="rrrrrr" localSheetId="28">'[3]13. Headcount Forecast'!#REF!</definedName>
    <definedName name="rrrrrr" localSheetId="18">'[3]13. Headcount Forecast'!#REF!</definedName>
    <definedName name="rrrrrr" localSheetId="19">'[3]13. Headcount Forecast'!#REF!</definedName>
    <definedName name="rrrrrr" localSheetId="24">'[3]13. Headcount Forecast'!#REF!</definedName>
    <definedName name="rrrrrr" localSheetId="25">'[3]13. Headcount Forecast'!#REF!</definedName>
    <definedName name="rrrrrr">'[3]13. Headcount Forecast'!#REF!</definedName>
    <definedName name="RTT" localSheetId="28">#REF!</definedName>
    <definedName name="RTT" localSheetId="18">#REF!</definedName>
    <definedName name="RTT" localSheetId="19">#REF!</definedName>
    <definedName name="RTT" localSheetId="24">#REF!</definedName>
    <definedName name="RTT" localSheetId="25">#REF!</definedName>
    <definedName name="RTT">#REF!</definedName>
    <definedName name="rundate" localSheetId="28">#REF!</definedName>
    <definedName name="rundate" localSheetId="18">#REF!</definedName>
    <definedName name="rundate" localSheetId="19">#REF!</definedName>
    <definedName name="rundate" localSheetId="24">#REF!</definedName>
    <definedName name="rundate" localSheetId="25">#REF!</definedName>
    <definedName name="rundate">#REF!</definedName>
    <definedName name="s" localSheetId="28">'[3]13. Headcount Forecast'!#REF!</definedName>
    <definedName name="s" localSheetId="18">'[3]13. Headcount Forecast'!#REF!</definedName>
    <definedName name="s" localSheetId="19">'[3]13. Headcount Forecast'!#REF!</definedName>
    <definedName name="s" localSheetId="24">'[3]13. Headcount Forecast'!#REF!</definedName>
    <definedName name="s" localSheetId="25">'[3]13. Headcount Forecast'!#REF!</definedName>
    <definedName name="s">'[3]13. Headcount Forecast'!#REF!</definedName>
    <definedName name="Salvage_Option" localSheetId="28">#REF!</definedName>
    <definedName name="Salvage_Option" localSheetId="18">#REF!</definedName>
    <definedName name="Salvage_Option" localSheetId="19">#REF!</definedName>
    <definedName name="Salvage_Option" localSheetId="24">#REF!</definedName>
    <definedName name="Salvage_Option" localSheetId="25">#REF!</definedName>
    <definedName name="Salvage_Option">#REF!</definedName>
    <definedName name="Salvage_Switch" localSheetId="28">'[46]Net Salvage'!#REF!</definedName>
    <definedName name="Salvage_Switch" localSheetId="18">'[46]Net Salvage'!#REF!</definedName>
    <definedName name="Salvage_Switch" localSheetId="19">'[46]Net Salvage'!#REF!</definedName>
    <definedName name="Salvage_Switch" localSheetId="24">'[46]Net Salvage'!#REF!</definedName>
    <definedName name="Salvage_Switch" localSheetId="25">'[46]Net Salvage'!#REF!</definedName>
    <definedName name="Salvage_Switch">'[46]Net Salvage'!#REF!</definedName>
    <definedName name="Salvage_Table" localSheetId="28">#REF!</definedName>
    <definedName name="Salvage_Table" localSheetId="18">#REF!</definedName>
    <definedName name="Salvage_Table" localSheetId="19">#REF!</definedName>
    <definedName name="Salvage_Table" localSheetId="24">#REF!</definedName>
    <definedName name="Salvage_Table" localSheetId="25">#REF!</definedName>
    <definedName name="Salvage_Table">#REF!</definedName>
    <definedName name="SCH3Construction">'[2]SCH 3 - CONSTR'!$A$1:$AD$65536</definedName>
    <definedName name="SCH3Engineering">'[2]SCH 3 - ENG'!$A$1:$AD$65536</definedName>
    <definedName name="SCH3FLEET">'[47]SCH 3 - FLEET'!$A$1:$I$65536</definedName>
    <definedName name="SCH3Forestry">'[2]SCH 3 - FOR'!$A$1:$AD$65536</definedName>
    <definedName name="SCH3Lines">'[2]SCH 3 - LINES'!$A$1:$AD$65536</definedName>
    <definedName name="SCH3SCS">'[48]SCH 3 - SCS'!$A$1:$AD$65536</definedName>
    <definedName name="SCH3Stations">'[2]SCH 3 - STA'!$A$1:$AD$65536</definedName>
    <definedName name="SCH9FIXED">'[2]SCH 9 - FIXED'!$A$1:$AM$65536</definedName>
    <definedName name="SCH9FLEET" localSheetId="28">#REF!</definedName>
    <definedName name="SCH9FLEET" localSheetId="18">#REF!</definedName>
    <definedName name="SCH9FLEET" localSheetId="19">#REF!</definedName>
    <definedName name="SCH9FLEET" localSheetId="24">#REF!</definedName>
    <definedName name="SCH9FLEET" localSheetId="25">#REF!</definedName>
    <definedName name="SCH9FLEET">#REF!</definedName>
    <definedName name="SCH9SCS" localSheetId="28">#REF!</definedName>
    <definedName name="SCH9SCS" localSheetId="18">#REF!</definedName>
    <definedName name="SCH9SCS" localSheetId="19">#REF!</definedName>
    <definedName name="SCH9SCS" localSheetId="24">#REF!</definedName>
    <definedName name="SCH9SCS" localSheetId="25">#REF!</definedName>
    <definedName name="SCH9SCS">#REF!</definedName>
    <definedName name="SCN" localSheetId="28">#REF!</definedName>
    <definedName name="SCN" localSheetId="18">#REF!</definedName>
    <definedName name="SCN" localSheetId="19">#REF!</definedName>
    <definedName name="SCN" localSheetId="24">#REF!</definedName>
    <definedName name="SCN" localSheetId="25">#REF!</definedName>
    <definedName name="SCN">#REF!</definedName>
    <definedName name="SEP" localSheetId="28">#REF!</definedName>
    <definedName name="SEP" localSheetId="18">#REF!</definedName>
    <definedName name="SEP" localSheetId="19">#REF!</definedName>
    <definedName name="SEP" localSheetId="24">#REF!</definedName>
    <definedName name="SEP" localSheetId="25">#REF!</definedName>
    <definedName name="SEP">#REF!</definedName>
    <definedName name="servco_switch" localSheetId="28">#REF!</definedName>
    <definedName name="servco_switch" localSheetId="18">#REF!</definedName>
    <definedName name="servco_switch" localSheetId="19">#REF!</definedName>
    <definedName name="servco_switch" localSheetId="24">#REF!</definedName>
    <definedName name="servco_switch" localSheetId="25">#REF!</definedName>
    <definedName name="servco_switch">#REF!</definedName>
    <definedName name="set_hdr_dates" localSheetId="28">'[49]Change Monthly hding labels'!#REF!</definedName>
    <definedName name="set_hdr_dates" localSheetId="18">'[49]Change Monthly hding labels'!#REF!</definedName>
    <definedName name="set_hdr_dates" localSheetId="19">'[49]Change Monthly hding labels'!#REF!</definedName>
    <definedName name="set_hdr_dates" localSheetId="24">'[49]Change Monthly hding labels'!#REF!</definedName>
    <definedName name="set_hdr_dates" localSheetId="25">'[49]Change Monthly hding labels'!#REF!</definedName>
    <definedName name="set_hdr_dates">'[49]Change Monthly hding labels'!#REF!</definedName>
    <definedName name="SFD" localSheetId="28">#REF!</definedName>
    <definedName name="SFD" localSheetId="18">#REF!</definedName>
    <definedName name="SFD" localSheetId="19">#REF!</definedName>
    <definedName name="SFD" localSheetId="24">#REF!</definedName>
    <definedName name="SFD" localSheetId="25">#REF!</definedName>
    <definedName name="SFD">#REF!</definedName>
    <definedName name="SFV" localSheetId="28">#REF!</definedName>
    <definedName name="SFV" localSheetId="18">#REF!</definedName>
    <definedName name="SFV" localSheetId="19">#REF!</definedName>
    <definedName name="SFV" localSheetId="24">#REF!</definedName>
    <definedName name="SFV" localSheetId="25">#REF!</definedName>
    <definedName name="SFV">#REF!</definedName>
    <definedName name="source" localSheetId="28">#REF!</definedName>
    <definedName name="source" localSheetId="18">#REF!</definedName>
    <definedName name="source" localSheetId="19">#REF!</definedName>
    <definedName name="source" localSheetId="24">#REF!</definedName>
    <definedName name="source" localSheetId="25">#REF!</definedName>
    <definedName name="source">#REF!</definedName>
    <definedName name="ss" localSheetId="28">'[29]13. Headcount Forecast'!#REF!</definedName>
    <definedName name="ss" localSheetId="18">'[29]13. Headcount Forecast'!#REF!</definedName>
    <definedName name="ss" localSheetId="19">'[29]13. Headcount Forecast'!#REF!</definedName>
    <definedName name="ss" localSheetId="24">'[29]13. Headcount Forecast'!#REF!</definedName>
    <definedName name="ss" localSheetId="25">'[29]13. Headcount Forecast'!#REF!</definedName>
    <definedName name="ss">'[29]13. Headcount Forecast'!#REF!</definedName>
    <definedName name="sss" localSheetId="28">'[3]13. Headcount Forecast'!#REF!</definedName>
    <definedName name="sss" localSheetId="18">'[3]13. Headcount Forecast'!#REF!</definedName>
    <definedName name="sss" localSheetId="19">'[3]13. Headcount Forecast'!#REF!</definedName>
    <definedName name="sss" localSheetId="24">'[3]13. Headcount Forecast'!#REF!</definedName>
    <definedName name="sss" localSheetId="25">'[3]13. Headcount Forecast'!#REF!</definedName>
    <definedName name="sss">'[3]13. Headcount Forecast'!#REF!</definedName>
    <definedName name="ssss" localSheetId="28">'[3]13. Headcount Forecast'!#REF!</definedName>
    <definedName name="ssss" localSheetId="18">'[3]13. Headcount Forecast'!#REF!</definedName>
    <definedName name="ssss" localSheetId="19">'[3]13. Headcount Forecast'!#REF!</definedName>
    <definedName name="ssss" localSheetId="24">'[3]13. Headcount Forecast'!#REF!</definedName>
    <definedName name="ssss" localSheetId="25">'[3]13. Headcount Forecast'!#REF!</definedName>
    <definedName name="ssss">'[3]13. Headcount Forecast'!#REF!</definedName>
    <definedName name="START_YR">'[31]Input - Proj Info'!$M$27</definedName>
    <definedName name="STAT_CODE" localSheetId="28">#REF!</definedName>
    <definedName name="STAT_CODE" localSheetId="18">#REF!</definedName>
    <definedName name="STAT_CODE" localSheetId="19">#REF!</definedName>
    <definedName name="STAT_CODE" localSheetId="24">#REF!</definedName>
    <definedName name="STAT_CODE" localSheetId="25">#REF!</definedName>
    <definedName name="STAT_CODE">#REF!</definedName>
    <definedName name="Std_Assumptions">'[2]SCH 1 - Assumptions'!$B$5:$L$12</definedName>
    <definedName name="Subledger_bal_110100" localSheetId="28">#REF!</definedName>
    <definedName name="Subledger_bal_110100" localSheetId="18">#REF!</definedName>
    <definedName name="Subledger_bal_110100" localSheetId="19">#REF!</definedName>
    <definedName name="Subledger_bal_110100" localSheetId="24">#REF!</definedName>
    <definedName name="Subledger_bal_110100" localSheetId="25">#REF!</definedName>
    <definedName name="Subledger_bal_110100">#REF!</definedName>
    <definedName name="Subledger_bal_110200" localSheetId="28">#REF!</definedName>
    <definedName name="Subledger_bal_110200" localSheetId="18">#REF!</definedName>
    <definedName name="Subledger_bal_110200" localSheetId="19">#REF!</definedName>
    <definedName name="Subledger_bal_110200" localSheetId="24">#REF!</definedName>
    <definedName name="Subledger_bal_110200" localSheetId="25">#REF!</definedName>
    <definedName name="Subledger_bal_110200">#REF!</definedName>
    <definedName name="Subledger_bal_110300" localSheetId="28">#REF!</definedName>
    <definedName name="Subledger_bal_110300" localSheetId="18">#REF!</definedName>
    <definedName name="Subledger_bal_110300" localSheetId="19">#REF!</definedName>
    <definedName name="Subledger_bal_110300" localSheetId="24">#REF!</definedName>
    <definedName name="Subledger_bal_110300" localSheetId="25">#REF!</definedName>
    <definedName name="Subledger_bal_110300">#REF!</definedName>
    <definedName name="Subledger_bal_110400" localSheetId="28">#REF!</definedName>
    <definedName name="Subledger_bal_110400" localSheetId="18">#REF!</definedName>
    <definedName name="Subledger_bal_110400" localSheetId="19">#REF!</definedName>
    <definedName name="Subledger_bal_110400" localSheetId="24">#REF!</definedName>
    <definedName name="Subledger_bal_110400" localSheetId="25">#REF!</definedName>
    <definedName name="Subledger_bal_110400">#REF!</definedName>
    <definedName name="Subledger_bal_140100" localSheetId="28">#REF!</definedName>
    <definedName name="Subledger_bal_140100" localSheetId="18">#REF!</definedName>
    <definedName name="Subledger_bal_140100" localSheetId="19">#REF!</definedName>
    <definedName name="Subledger_bal_140100" localSheetId="24">#REF!</definedName>
    <definedName name="Subledger_bal_140100" localSheetId="25">#REF!</definedName>
    <definedName name="Subledger_bal_140100">#REF!</definedName>
    <definedName name="Subledger_bal_140200" localSheetId="28">#REF!</definedName>
    <definedName name="Subledger_bal_140200" localSheetId="18">#REF!</definedName>
    <definedName name="Subledger_bal_140200" localSheetId="19">#REF!</definedName>
    <definedName name="Subledger_bal_140200" localSheetId="24">#REF!</definedName>
    <definedName name="Subledger_bal_140200" localSheetId="25">#REF!</definedName>
    <definedName name="Subledger_bal_140200">#REF!</definedName>
    <definedName name="Subledger_bal_140300" localSheetId="28">#REF!</definedName>
    <definedName name="Subledger_bal_140300" localSheetId="18">#REF!</definedName>
    <definedName name="Subledger_bal_140300" localSheetId="19">#REF!</definedName>
    <definedName name="Subledger_bal_140300" localSheetId="24">#REF!</definedName>
    <definedName name="Subledger_bal_140300" localSheetId="25">#REF!</definedName>
    <definedName name="Subledger_bal_140300">#REF!</definedName>
    <definedName name="Subledger_bal_140400" localSheetId="28">#REF!</definedName>
    <definedName name="Subledger_bal_140400" localSheetId="18">#REF!</definedName>
    <definedName name="Subledger_bal_140400" localSheetId="19">#REF!</definedName>
    <definedName name="Subledger_bal_140400" localSheetId="24">#REF!</definedName>
    <definedName name="Subledger_bal_140400" localSheetId="25">#REF!</definedName>
    <definedName name="Subledger_bal_140400">#REF!</definedName>
    <definedName name="Subledger_bal_by_bu" localSheetId="28">#REF!</definedName>
    <definedName name="Subledger_bal_by_bu" localSheetId="18">#REF!</definedName>
    <definedName name="Subledger_bal_by_bu" localSheetId="19">#REF!</definedName>
    <definedName name="Subledger_bal_by_bu" localSheetId="24">#REF!</definedName>
    <definedName name="Subledger_bal_by_bu" localSheetId="25">#REF!</definedName>
    <definedName name="Subledger_bal_by_bu">#REF!</definedName>
    <definedName name="susp_name" localSheetId="28">'[50]account names '!#REF!</definedName>
    <definedName name="susp_name" localSheetId="18">'[50]account names '!#REF!</definedName>
    <definedName name="susp_name" localSheetId="19">'[50]account names '!#REF!</definedName>
    <definedName name="susp_name" localSheetId="24">'[50]account names '!#REF!</definedName>
    <definedName name="susp_name" localSheetId="25">'[50]account names '!#REF!</definedName>
    <definedName name="susp_name">'[50]account names '!#REF!</definedName>
    <definedName name="SYSTEM">'[51]Validation Lists'!$B$4:$B$20</definedName>
    <definedName name="t" localSheetId="28">'[3]13. Headcount Forecast'!#REF!</definedName>
    <definedName name="t" localSheetId="18">'[3]13. Headcount Forecast'!#REF!</definedName>
    <definedName name="t" localSheetId="19">'[3]13. Headcount Forecast'!#REF!</definedName>
    <definedName name="t" localSheetId="24">'[3]13. Headcount Forecast'!#REF!</definedName>
    <definedName name="t" localSheetId="25">'[3]13. Headcount Forecast'!#REF!</definedName>
    <definedName name="t">'[3]13. Headcount Forecast'!#REF!</definedName>
    <definedName name="Tax" localSheetId="28">#REF!</definedName>
    <definedName name="Tax" localSheetId="18">#REF!</definedName>
    <definedName name="Tax" localSheetId="19">#REF!</definedName>
    <definedName name="Tax" localSheetId="24">#REF!</definedName>
    <definedName name="Tax" localSheetId="25">#REF!</definedName>
    <definedName name="Tax">#REF!</definedName>
    <definedName name="Tax_Provision" localSheetId="28">#REF!</definedName>
    <definedName name="Tax_Provision" localSheetId="18">#REF!</definedName>
    <definedName name="Tax_Provision" localSheetId="19">#REF!</definedName>
    <definedName name="Tax_Provision" localSheetId="24">#REF!</definedName>
    <definedName name="Tax_Provision" localSheetId="25">#REF!</definedName>
    <definedName name="Tax_Provision">#REF!</definedName>
    <definedName name="TB">[52]Trial_Balance!$A$7:$CZ$530</definedName>
    <definedName name="tb_data">'[53]Trial_Balance-Dec 05'!$B$420:$AE$941</definedName>
    <definedName name="tb_data_dec_04">'[54]Trial_Balance-Dec 04'!$B$410:$CI$914</definedName>
    <definedName name="tb_data_dec_05">'[54]Trial_Balance-Dec 05'!$B$420:$AE$941</definedName>
    <definedName name="tb_data_mar_06">'[54]Trial_Balance_Mar 06'!$B$383:$CI$899</definedName>
    <definedName name="tb_data_sep_05">'[53]Trial_Balance-Sep 05'!$B$13:$CI$918</definedName>
    <definedName name="TEST0" localSheetId="28">#REF!</definedName>
    <definedName name="TEST0" localSheetId="18">#REF!</definedName>
    <definedName name="TEST0" localSheetId="19">#REF!</definedName>
    <definedName name="TEST0" localSheetId="24">#REF!</definedName>
    <definedName name="TEST0" localSheetId="25">#REF!</definedName>
    <definedName name="TEST0">#REF!</definedName>
    <definedName name="TESTHKEY" localSheetId="28">#REF!</definedName>
    <definedName name="TESTHKEY" localSheetId="18">#REF!</definedName>
    <definedName name="TESTHKEY" localSheetId="19">#REF!</definedName>
    <definedName name="TESTHKEY" localSheetId="24">#REF!</definedName>
    <definedName name="TESTHKEY" localSheetId="25">#REF!</definedName>
    <definedName name="TESTHKEY">#REF!</definedName>
    <definedName name="TESTKEYS" localSheetId="28">#REF!</definedName>
    <definedName name="TESTKEYS" localSheetId="18">#REF!</definedName>
    <definedName name="TESTKEYS" localSheetId="19">#REF!</definedName>
    <definedName name="TESTKEYS" localSheetId="24">#REF!</definedName>
    <definedName name="TESTKEYS" localSheetId="25">#REF!</definedName>
    <definedName name="TESTKEYS">#REF!</definedName>
    <definedName name="TESTVKEY" localSheetId="28">#REF!</definedName>
    <definedName name="TESTVKEY" localSheetId="18">#REF!</definedName>
    <definedName name="TESTVKEY" localSheetId="19">#REF!</definedName>
    <definedName name="TESTVKEY" localSheetId="24">#REF!</definedName>
    <definedName name="TESTVKEY" localSheetId="25">#REF!</definedName>
    <definedName name="TESTVKEY">#REF!</definedName>
    <definedName name="TestYear">'[17]LDC Info'!$E$24</definedName>
    <definedName name="Tier2_Lookup" localSheetId="28">#REF!</definedName>
    <definedName name="Tier2_Lookup" localSheetId="18">#REF!</definedName>
    <definedName name="Tier2_Lookup" localSheetId="19">#REF!</definedName>
    <definedName name="Tier2_Lookup" localSheetId="24">#REF!</definedName>
    <definedName name="Tier2_Lookup" localSheetId="25">#REF!</definedName>
    <definedName name="Tier2_Lookup">#REF!</definedName>
    <definedName name="Tier2_reference" localSheetId="28">#REF!</definedName>
    <definedName name="Tier2_reference" localSheetId="18">#REF!</definedName>
    <definedName name="Tier2_reference" localSheetId="19">#REF!</definedName>
    <definedName name="Tier2_reference" localSheetId="24">#REF!</definedName>
    <definedName name="Tier2_reference" localSheetId="25">#REF!</definedName>
    <definedName name="Tier2_reference">#REF!</definedName>
    <definedName name="Title">[55]Index!$B$4</definedName>
    <definedName name="Title1" localSheetId="28">#REF!</definedName>
    <definedName name="Title1" localSheetId="18">#REF!</definedName>
    <definedName name="Title1" localSheetId="19">#REF!</definedName>
    <definedName name="Title1" localSheetId="24">#REF!</definedName>
    <definedName name="Title1" localSheetId="25">#REF!</definedName>
    <definedName name="Title1">#REF!</definedName>
    <definedName name="Title2" localSheetId="28">#REF!</definedName>
    <definedName name="Title2" localSheetId="18">#REF!</definedName>
    <definedName name="Title2" localSheetId="19">#REF!</definedName>
    <definedName name="Title2" localSheetId="24">#REF!</definedName>
    <definedName name="Title2" localSheetId="25">#REF!</definedName>
    <definedName name="Title2">#REF!</definedName>
    <definedName name="Title3" localSheetId="28">#REF!</definedName>
    <definedName name="Title3" localSheetId="18">#REF!</definedName>
    <definedName name="Title3" localSheetId="19">#REF!</definedName>
    <definedName name="Title3" localSheetId="24">#REF!</definedName>
    <definedName name="Title3" localSheetId="25">#REF!</definedName>
    <definedName name="Title3">#REF!</definedName>
    <definedName name="TOTAL" localSheetId="28">'[19]SUPPORT 6 - GL ACCOUNT BALANCES'!#REF!</definedName>
    <definedName name="TOTAL" localSheetId="18">'[19]SUPPORT 6 - GL ACCOUNT BALANCES'!#REF!</definedName>
    <definedName name="TOTAL" localSheetId="19">'[19]SUPPORT 6 - GL ACCOUNT BALANCES'!#REF!</definedName>
    <definedName name="TOTAL" localSheetId="24">'[19]SUPPORT 6 - GL ACCOUNT BALANCES'!#REF!</definedName>
    <definedName name="TOTAL" localSheetId="25">'[19]SUPPORT 6 - GL ACCOUNT BALANCES'!#REF!</definedName>
    <definedName name="TOTAL">'[19]SUPPORT 6 - GL ACCOUNT BALANCES'!#REF!</definedName>
    <definedName name="trans_clsfy_110190" localSheetId="28">#REF!</definedName>
    <definedName name="trans_clsfy_110190" localSheetId="18">#REF!</definedName>
    <definedName name="trans_clsfy_110190" localSheetId="19">#REF!</definedName>
    <definedName name="trans_clsfy_110190" localSheetId="24">#REF!</definedName>
    <definedName name="trans_clsfy_110190" localSheetId="25">#REF!</definedName>
    <definedName name="trans_clsfy_110190">#REF!</definedName>
    <definedName name="TREND" localSheetId="28">#REF!</definedName>
    <definedName name="TREND" localSheetId="18">#REF!</definedName>
    <definedName name="TREND" localSheetId="19">#REF!</definedName>
    <definedName name="TREND" localSheetId="24">#REF!</definedName>
    <definedName name="TREND" localSheetId="25">#REF!</definedName>
    <definedName name="TREND">#REF!</definedName>
    <definedName name="Trend_Factors">'[56]Trend Factors'!$B$2:$O$200</definedName>
    <definedName name="Trend2">'[40]Trend Factors'!$B$2:$O$200</definedName>
    <definedName name="Trends">'[57]Trend Data'!$P$1:$AA$84</definedName>
    <definedName name="Trial" localSheetId="28">#REF!</definedName>
    <definedName name="Trial" localSheetId="18">#REF!</definedName>
    <definedName name="Trial" localSheetId="19">#REF!</definedName>
    <definedName name="Trial" localSheetId="24">#REF!</definedName>
    <definedName name="Trial" localSheetId="25">#REF!</definedName>
    <definedName name="Trial">#REF!</definedName>
    <definedName name="Trial1" localSheetId="28">#REF!</definedName>
    <definedName name="Trial1" localSheetId="18">#REF!</definedName>
    <definedName name="Trial1" localSheetId="19">#REF!</definedName>
    <definedName name="Trial1" localSheetId="24">#REF!</definedName>
    <definedName name="Trial1" localSheetId="25">#REF!</definedName>
    <definedName name="Trial1">#REF!</definedName>
    <definedName name="Trial3" localSheetId="28">#REF!</definedName>
    <definedName name="Trial3" localSheetId="18">#REF!</definedName>
    <definedName name="Trial3" localSheetId="19">#REF!</definedName>
    <definedName name="Trial3" localSheetId="24">#REF!</definedName>
    <definedName name="Trial3" localSheetId="25">#REF!</definedName>
    <definedName name="Trial3">#REF!</definedName>
    <definedName name="Trial4" localSheetId="28">#REF!</definedName>
    <definedName name="Trial4" localSheetId="18">#REF!</definedName>
    <definedName name="Trial4" localSheetId="19">#REF!</definedName>
    <definedName name="Trial4" localSheetId="24">#REF!</definedName>
    <definedName name="Trial4" localSheetId="25">#REF!</definedName>
    <definedName name="Trial4">#REF!</definedName>
    <definedName name="tt" localSheetId="28">'[29]13. Headcount Forecast'!#REF!</definedName>
    <definedName name="tt" localSheetId="18">'[29]13. Headcount Forecast'!#REF!</definedName>
    <definedName name="tt" localSheetId="19">'[29]13. Headcount Forecast'!#REF!</definedName>
    <definedName name="tt" localSheetId="24">'[29]13. Headcount Forecast'!#REF!</definedName>
    <definedName name="tt" localSheetId="25">'[29]13. Headcount Forecast'!#REF!</definedName>
    <definedName name="tt">'[29]13. Headcount Forecast'!#REF!</definedName>
    <definedName name="ttt" localSheetId="28">'[3]13. Headcount Forecast'!#REF!</definedName>
    <definedName name="ttt" localSheetId="18">'[3]13. Headcount Forecast'!#REF!</definedName>
    <definedName name="ttt" localSheetId="19">'[3]13. Headcount Forecast'!#REF!</definedName>
    <definedName name="ttt" localSheetId="24">'[3]13. Headcount Forecast'!#REF!</definedName>
    <definedName name="ttt" localSheetId="25">'[3]13. Headcount Forecast'!#REF!</definedName>
    <definedName name="ttt">'[3]13. Headcount Forecast'!#REF!</definedName>
    <definedName name="tttttt" localSheetId="28">'[3]13. Headcount Forecast'!#REF!</definedName>
    <definedName name="tttttt" localSheetId="18">'[3]13. Headcount Forecast'!#REF!</definedName>
    <definedName name="tttttt" localSheetId="19">'[3]13. Headcount Forecast'!#REF!</definedName>
    <definedName name="tttttt" localSheetId="24">'[3]13. Headcount Forecast'!#REF!</definedName>
    <definedName name="tttttt" localSheetId="25">'[3]13. Headcount Forecast'!#REF!</definedName>
    <definedName name="tttttt">'[3]13. Headcount Forecast'!#REF!</definedName>
    <definedName name="TWE_adds__fr_MFA_worksheet" localSheetId="28">#REF!</definedName>
    <definedName name="TWE_adds__fr_MFA_worksheet" localSheetId="18">#REF!</definedName>
    <definedName name="TWE_adds__fr_MFA_worksheet" localSheetId="19">#REF!</definedName>
    <definedName name="TWE_adds__fr_MFA_worksheet" localSheetId="24">#REF!</definedName>
    <definedName name="TWE_adds__fr_MFA_worksheet" localSheetId="25">#REF!</definedName>
    <definedName name="TWE_adds__fr_MFA_worksheet">#REF!</definedName>
    <definedName name="txdx_acdepn_cont_sched">'[15]TXDX Support 1- Continuity'!$A$213+'[15]TXDX Support 1- Continuity'!$A$213:$Q$239:'[15]TXDX Support 1- Continuity'!$P$121</definedName>
    <definedName name="txdx_cip_cont_sched_LTD2006" localSheetId="28">'[15]CIP SUPPORT - C1e_FDM FOR CIP  '!#REF!</definedName>
    <definedName name="txdx_cip_cont_sched_LTD2006" localSheetId="18">'[15]CIP SUPPORT - C1e_FDM FOR CIP  '!#REF!</definedName>
    <definedName name="txdx_cip_cont_sched_LTD2006" localSheetId="19">'[15]CIP SUPPORT - C1e_FDM FOR CIP  '!#REF!</definedName>
    <definedName name="txdx_cip_cont_sched_LTD2006" localSheetId="24">'[15]CIP SUPPORT - C1e_FDM FOR CIP  '!#REF!</definedName>
    <definedName name="txdx_cip_cont_sched_LTD2006" localSheetId="25">'[15]CIP SUPPORT - C1e_FDM FOR CIP  '!#REF!</definedName>
    <definedName name="txdx_cip_cont_sched_LTD2006">'[15]CIP SUPPORT - C1e_FDM FOR CIP  '!#REF!</definedName>
    <definedName name="TXDX_CIP_CONT_SCHED_YTD" localSheetId="28">'[15]CIP SUPPORT - C1e_FDM FOR CIP  '!#REF!</definedName>
    <definedName name="TXDX_CIP_CONT_SCHED_YTD" localSheetId="18">'[15]CIP SUPPORT - C1e_FDM FOR CIP  '!#REF!</definedName>
    <definedName name="TXDX_CIP_CONT_SCHED_YTD" localSheetId="19">'[15]CIP SUPPORT - C1e_FDM FOR CIP  '!#REF!</definedName>
    <definedName name="TXDX_CIP_CONT_SCHED_YTD" localSheetId="24">'[15]CIP SUPPORT - C1e_FDM FOR CIP  '!#REF!</definedName>
    <definedName name="TXDX_CIP_CONT_SCHED_YTD" localSheetId="25">'[15]CIP SUPPORT - C1e_FDM FOR CIP  '!#REF!</definedName>
    <definedName name="TXDX_CIP_CONT_SCHED_YTD">'[15]CIP SUPPORT - C1e_FDM FOR CIP  '!#REF!</definedName>
    <definedName name="TXDX_CONT_LOOKUP" localSheetId="28">#REF!</definedName>
    <definedName name="TXDX_CONT_LOOKUP" localSheetId="18">#REF!</definedName>
    <definedName name="TXDX_CONT_LOOKUP" localSheetId="19">#REF!</definedName>
    <definedName name="TXDX_CONT_LOOKUP" localSheetId="24">#REF!</definedName>
    <definedName name="TXDX_CONT_LOOKUP" localSheetId="25">#REF!</definedName>
    <definedName name="TXDX_CONT_LOOKUP">#REF!</definedName>
    <definedName name="txdx_cost_cont" localSheetId="28">#REF!</definedName>
    <definedName name="txdx_cost_cont" localSheetId="18">#REF!</definedName>
    <definedName name="txdx_cost_cont" localSheetId="19">#REF!</definedName>
    <definedName name="txdx_cost_cont" localSheetId="24">#REF!</definedName>
    <definedName name="txdx_cost_cont" localSheetId="25">#REF!</definedName>
    <definedName name="txdx_cost_cont">#REF!</definedName>
    <definedName name="txdx_cost_cont300" localSheetId="28">#REF!</definedName>
    <definedName name="txdx_cost_cont300" localSheetId="18">#REF!</definedName>
    <definedName name="txdx_cost_cont300" localSheetId="19">#REF!</definedName>
    <definedName name="txdx_cost_cont300" localSheetId="24">#REF!</definedName>
    <definedName name="txdx_cost_cont300" localSheetId="25">#REF!</definedName>
    <definedName name="txdx_cost_cont300">#REF!</definedName>
    <definedName name="u" localSheetId="28">'[3]13. Headcount Forecast'!#REF!</definedName>
    <definedName name="u" localSheetId="18">'[3]13. Headcount Forecast'!#REF!</definedName>
    <definedName name="u" localSheetId="19">'[3]13. Headcount Forecast'!#REF!</definedName>
    <definedName name="u" localSheetId="24">'[3]13. Headcount Forecast'!#REF!</definedName>
    <definedName name="u" localSheetId="25">'[3]13. Headcount Forecast'!#REF!</definedName>
    <definedName name="u">'[3]13. Headcount Forecast'!#REF!</definedName>
    <definedName name="unassigned">[52]Unassigned!$D$3:$P$213</definedName>
    <definedName name="Update_Date">'[13]2. Index'!$M$2</definedName>
    <definedName name="uu" localSheetId="28">'[29]13. Headcount Forecast'!#REF!</definedName>
    <definedName name="uu" localSheetId="18">'[29]13. Headcount Forecast'!#REF!</definedName>
    <definedName name="uu" localSheetId="19">'[29]13. Headcount Forecast'!#REF!</definedName>
    <definedName name="uu" localSheetId="24">'[29]13. Headcount Forecast'!#REF!</definedName>
    <definedName name="uu" localSheetId="25">'[29]13. Headcount Forecast'!#REF!</definedName>
    <definedName name="uu">'[29]13. Headcount Forecast'!#REF!</definedName>
    <definedName name="uuu" localSheetId="28">'[3]13. Headcount Forecast'!#REF!</definedName>
    <definedName name="uuu" localSheetId="18">'[3]13. Headcount Forecast'!#REF!</definedName>
    <definedName name="uuu" localSheetId="19">'[3]13. Headcount Forecast'!#REF!</definedName>
    <definedName name="uuu" localSheetId="24">'[3]13. Headcount Forecast'!#REF!</definedName>
    <definedName name="uuu" localSheetId="25">'[3]13. Headcount Forecast'!#REF!</definedName>
    <definedName name="uuu">'[3]13. Headcount Forecast'!#REF!</definedName>
    <definedName name="uuuuuu" localSheetId="28">'[3]13. Headcount Forecast'!#REF!</definedName>
    <definedName name="uuuuuu" localSheetId="18">'[3]13. Headcount Forecast'!#REF!</definedName>
    <definedName name="uuuuuu" localSheetId="19">'[3]13. Headcount Forecast'!#REF!</definedName>
    <definedName name="uuuuuu" localSheetId="24">'[3]13. Headcount Forecast'!#REF!</definedName>
    <definedName name="uuuuuu" localSheetId="25">'[3]13. Headcount Forecast'!#REF!</definedName>
    <definedName name="uuuuuu">'[3]13. Headcount Forecast'!#REF!</definedName>
    <definedName name="vvvv" localSheetId="28">'[3]13. Headcount Forecast'!#REF!</definedName>
    <definedName name="vvvv" localSheetId="18">'[3]13. Headcount Forecast'!#REF!</definedName>
    <definedName name="vvvv" localSheetId="19">'[3]13. Headcount Forecast'!#REF!</definedName>
    <definedName name="vvvv" localSheetId="24">'[3]13. Headcount Forecast'!#REF!</definedName>
    <definedName name="vvvv" localSheetId="25">'[3]13. Headcount Forecast'!#REF!</definedName>
    <definedName name="vvvv">'[3]13. Headcount Forecast'!#REF!</definedName>
    <definedName name="vvvvv" localSheetId="28">'[3]13. Headcount Forecast'!#REF!</definedName>
    <definedName name="vvvvv" localSheetId="18">'[3]13. Headcount Forecast'!#REF!</definedName>
    <definedName name="vvvvv" localSheetId="19">'[3]13. Headcount Forecast'!#REF!</definedName>
    <definedName name="vvvvv" localSheetId="24">'[3]13. Headcount Forecast'!#REF!</definedName>
    <definedName name="vvvvv" localSheetId="25">'[3]13. Headcount Forecast'!#REF!</definedName>
    <definedName name="vvvvv">'[3]13. Headcount Forecast'!#REF!</definedName>
    <definedName name="w" localSheetId="28">'[3]13. Headcount Forecast'!#REF!</definedName>
    <definedName name="w" localSheetId="18">'[3]13. Headcount Forecast'!#REF!</definedName>
    <definedName name="w" localSheetId="19">'[3]13. Headcount Forecast'!#REF!</definedName>
    <definedName name="w" localSheetId="24">'[3]13. Headcount Forecast'!#REF!</definedName>
    <definedName name="w" localSheetId="25">'[3]13. Headcount Forecast'!#REF!</definedName>
    <definedName name="w">'[3]13. Headcount Forecast'!#REF!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w" localSheetId="28">'[29]13. Headcount Forecast'!#REF!</definedName>
    <definedName name="ww" localSheetId="18">'[29]13. Headcount Forecast'!#REF!</definedName>
    <definedName name="ww" localSheetId="19">'[29]13. Headcount Forecast'!#REF!</definedName>
    <definedName name="ww" localSheetId="24">'[29]13. Headcount Forecast'!#REF!</definedName>
    <definedName name="ww" localSheetId="25">'[29]13. Headcount Forecast'!#REF!</definedName>
    <definedName name="ww">'[29]13. Headcount Forecast'!#REF!</definedName>
    <definedName name="www" localSheetId="28">'[3]13. Headcount Forecast'!#REF!</definedName>
    <definedName name="www" localSheetId="18">'[3]13. Headcount Forecast'!#REF!</definedName>
    <definedName name="www" localSheetId="19">'[3]13. Headcount Forecast'!#REF!</definedName>
    <definedName name="www" localSheetId="24">'[3]13. Headcount Forecast'!#REF!</definedName>
    <definedName name="www" localSheetId="25">'[3]13. Headcount Forecast'!#REF!</definedName>
    <definedName name="www">'[3]13. Headcount Forecast'!#REF!</definedName>
    <definedName name="wwww" localSheetId="28">'[3]13. Headcount Forecast'!#REF!</definedName>
    <definedName name="wwww" localSheetId="18">'[3]13. Headcount Forecast'!#REF!</definedName>
    <definedName name="wwww" localSheetId="19">'[3]13. Headcount Forecast'!#REF!</definedName>
    <definedName name="wwww" localSheetId="24">'[3]13. Headcount Forecast'!#REF!</definedName>
    <definedName name="wwww" localSheetId="25">'[3]13. Headcount Forecast'!#REF!</definedName>
    <definedName name="wwww">'[3]13. Headcount Forecast'!#REF!</definedName>
    <definedName name="wwwwww" localSheetId="28">'[3]13. Headcount Forecast'!#REF!</definedName>
    <definedName name="wwwwww" localSheetId="18">'[3]13. Headcount Forecast'!#REF!</definedName>
    <definedName name="wwwwww" localSheetId="19">'[3]13. Headcount Forecast'!#REF!</definedName>
    <definedName name="wwwwww" localSheetId="24">'[3]13. Headcount Forecast'!#REF!</definedName>
    <definedName name="wwwwww" localSheetId="25">'[3]13. Headcount Forecast'!#REF!</definedName>
    <definedName name="wwwwww">'[3]13. Headcount Forecast'!#REF!</definedName>
    <definedName name="x">0.000416666662204079</definedName>
    <definedName name="xx" localSheetId="28">'[29]13. Headcount Forecast'!#REF!</definedName>
    <definedName name="xx" localSheetId="18">'[29]13. Headcount Forecast'!#REF!</definedName>
    <definedName name="xx" localSheetId="19">'[29]13. Headcount Forecast'!#REF!</definedName>
    <definedName name="xx" localSheetId="24">'[29]13. Headcount Forecast'!#REF!</definedName>
    <definedName name="xx" localSheetId="25">'[29]13. Headcount Forecast'!#REF!</definedName>
    <definedName name="xx">'[29]13. Headcount Forecast'!#REF!</definedName>
    <definedName name="xxxx" localSheetId="28">'[3]13. Headcount Forecast'!#REF!</definedName>
    <definedName name="xxxx" localSheetId="18">'[3]13. Headcount Forecast'!#REF!</definedName>
    <definedName name="xxxx" localSheetId="19">'[3]13. Headcount Forecast'!#REF!</definedName>
    <definedName name="xxxx" localSheetId="24">'[3]13. Headcount Forecast'!#REF!</definedName>
    <definedName name="xxxx" localSheetId="25">'[3]13. Headcount Forecast'!#REF!</definedName>
    <definedName name="xxxx">'[3]13. Headcount Forecast'!#REF!</definedName>
    <definedName name="xxxxx" localSheetId="28">'[3]13. Headcount Forecast'!#REF!</definedName>
    <definedName name="xxxxx" localSheetId="18">'[3]13. Headcount Forecast'!#REF!</definedName>
    <definedName name="xxxxx" localSheetId="19">'[3]13. Headcount Forecast'!#REF!</definedName>
    <definedName name="xxxxx" localSheetId="24">'[3]13. Headcount Forecast'!#REF!</definedName>
    <definedName name="xxxxx" localSheetId="25">'[3]13. Headcount Forecast'!#REF!</definedName>
    <definedName name="xxxxx">'[3]13. Headcount Forecast'!#REF!</definedName>
    <definedName name="y" localSheetId="28">'[3]13. Headcount Forecast'!#REF!</definedName>
    <definedName name="y" localSheetId="18">'[3]13. Headcount Forecast'!#REF!</definedName>
    <definedName name="y" localSheetId="19">'[3]13. Headcount Forecast'!#REF!</definedName>
    <definedName name="y" localSheetId="24">'[3]13. Headcount Forecast'!#REF!</definedName>
    <definedName name="y" localSheetId="25">'[3]13. Headcount Forecast'!#REF!</definedName>
    <definedName name="y">'[3]13. Headcount Forecast'!#REF!</definedName>
    <definedName name="Year">'[1]SCH 1 - Assumptions'!$N$1</definedName>
    <definedName name="yy" localSheetId="28">'[29]13. Headcount Forecast'!#REF!</definedName>
    <definedName name="yy" localSheetId="18">'[29]13. Headcount Forecast'!#REF!</definedName>
    <definedName name="yy" localSheetId="19">'[29]13. Headcount Forecast'!#REF!</definedName>
    <definedName name="yy" localSheetId="24">'[29]13. Headcount Forecast'!#REF!</definedName>
    <definedName name="yy" localSheetId="25">'[29]13. Headcount Forecast'!#REF!</definedName>
    <definedName name="yy">'[29]13. Headcount Forecast'!#REF!</definedName>
    <definedName name="yyy" localSheetId="28">'[3]13. Headcount Forecast'!#REF!</definedName>
    <definedName name="yyy" localSheetId="18">'[3]13. Headcount Forecast'!#REF!</definedName>
    <definedName name="yyy" localSheetId="19">'[3]13. Headcount Forecast'!#REF!</definedName>
    <definedName name="yyy" localSheetId="24">'[3]13. Headcount Forecast'!#REF!</definedName>
    <definedName name="yyy" localSheetId="25">'[3]13. Headcount Forecast'!#REF!</definedName>
    <definedName name="yyy">'[3]13. Headcount Forecast'!#REF!</definedName>
    <definedName name="yyyyyy" localSheetId="28">'[3]13. Headcount Forecast'!#REF!</definedName>
    <definedName name="yyyyyy" localSheetId="18">'[3]13. Headcount Forecast'!#REF!</definedName>
    <definedName name="yyyyyy" localSheetId="19">'[3]13. Headcount Forecast'!#REF!</definedName>
    <definedName name="yyyyyy" localSheetId="24">'[3]13. Headcount Forecast'!#REF!</definedName>
    <definedName name="yyyyyy" localSheetId="25">'[3]13. Headcount Forecast'!#REF!</definedName>
    <definedName name="yyyyyy">'[3]13. Headcount Forecast'!#REF!</definedName>
    <definedName name="zz" localSheetId="28">'[29]13. Headcount Forecast'!#REF!</definedName>
    <definedName name="zz" localSheetId="18">'[29]13. Headcount Forecast'!#REF!</definedName>
    <definedName name="zz" localSheetId="19">'[29]13. Headcount Forecast'!#REF!</definedName>
    <definedName name="zz" localSheetId="24">'[29]13. Headcount Forecast'!#REF!</definedName>
    <definedName name="zz" localSheetId="25">'[29]13. Headcount Forecast'!#REF!</definedName>
    <definedName name="zz">'[29]13. Headcount Forecast'!#REF!</definedName>
    <definedName name="zzzz" localSheetId="28">'[3]13. Headcount Forecast'!#REF!</definedName>
    <definedName name="zzzz" localSheetId="18">'[3]13. Headcount Forecast'!#REF!</definedName>
    <definedName name="zzzz" localSheetId="19">'[3]13. Headcount Forecast'!#REF!</definedName>
    <definedName name="zzzz" localSheetId="24">'[3]13. Headcount Forecast'!#REF!</definedName>
    <definedName name="zzzz" localSheetId="25">'[3]13. Headcount Forecast'!#REF!</definedName>
    <definedName name="zzzz">'[3]13. Headcount Forecast'!#REF!</definedName>
    <definedName name="zzzzz" localSheetId="28">'[3]13. Headcount Forecast'!#REF!</definedName>
    <definedName name="zzzzz" localSheetId="18">'[3]13. Headcount Forecast'!#REF!</definedName>
    <definedName name="zzzzz" localSheetId="19">'[3]13. Headcount Forecast'!#REF!</definedName>
    <definedName name="zzzzz" localSheetId="24">'[3]13. Headcount Forecast'!#REF!</definedName>
    <definedName name="zzzzz" localSheetId="25">'[3]13. Headcount Forecast'!#REF!</definedName>
    <definedName name="zzzzz">'[3]13. Headcount Forecast'!#REF!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40" i="30" l="1"/>
  <c r="BR54" i="30" s="1"/>
  <c r="BU88" i="18"/>
  <c r="CC4" i="67"/>
  <c r="BP4" i="67"/>
  <c r="BC4" i="67"/>
  <c r="E7" i="9" l="1"/>
  <c r="E8" i="9"/>
  <c r="E9" i="9"/>
  <c r="E10" i="9"/>
  <c r="E11" i="9"/>
  <c r="E13" i="9"/>
  <c r="E14" i="9"/>
  <c r="E15" i="9"/>
  <c r="E16" i="9"/>
  <c r="D105" i="9"/>
  <c r="E17" i="9"/>
  <c r="E20" i="9"/>
  <c r="E21" i="9"/>
  <c r="E22" i="9"/>
  <c r="E23" i="9"/>
  <c r="E24" i="9"/>
  <c r="G24" i="9"/>
  <c r="I24" i="9"/>
  <c r="J24" i="9"/>
  <c r="E27" i="9"/>
  <c r="E28" i="9"/>
  <c r="E29" i="9"/>
  <c r="E30" i="9"/>
  <c r="B101" i="9"/>
  <c r="E31" i="9"/>
  <c r="E34" i="9"/>
  <c r="E35" i="9"/>
  <c r="E36" i="9"/>
  <c r="E37" i="9"/>
  <c r="E38" i="9"/>
  <c r="D91" i="9"/>
  <c r="E41" i="9"/>
  <c r="E42" i="9"/>
  <c r="E43" i="9"/>
  <c r="E44" i="9"/>
  <c r="E45" i="9"/>
  <c r="C95" i="9"/>
  <c r="E48" i="9"/>
  <c r="E49" i="9"/>
  <c r="E50" i="9"/>
  <c r="F50" i="9"/>
  <c r="G50" i="9"/>
  <c r="E51" i="9"/>
  <c r="F51" i="9"/>
  <c r="G51" i="9"/>
  <c r="E52" i="9"/>
  <c r="B92" i="9"/>
  <c r="E55" i="9"/>
  <c r="E92" i="9" s="1"/>
  <c r="E56" i="9"/>
  <c r="E102" i="9" s="1"/>
  <c r="E59" i="9"/>
  <c r="E96" i="9" s="1"/>
  <c r="F59" i="9"/>
  <c r="F96" i="9" s="1"/>
  <c r="G59" i="9"/>
  <c r="G96" i="9" s="1"/>
  <c r="C106" i="9"/>
  <c r="E60" i="9"/>
  <c r="E106" i="9" s="1"/>
  <c r="F60" i="9"/>
  <c r="F106" i="9" s="1"/>
  <c r="G60" i="9"/>
  <c r="G106" i="9" s="1"/>
  <c r="E63" i="9"/>
  <c r="E64" i="9"/>
  <c r="E65" i="9"/>
  <c r="E66" i="9"/>
  <c r="B93" i="9"/>
  <c r="E69" i="9"/>
  <c r="E70" i="9"/>
  <c r="E71" i="9"/>
  <c r="C103" i="9"/>
  <c r="E72" i="9"/>
  <c r="E75" i="9"/>
  <c r="E76" i="9"/>
  <c r="D93" i="9"/>
  <c r="E80" i="9"/>
  <c r="E81" i="9"/>
  <c r="E85" i="9"/>
  <c r="E97" i="9" s="1"/>
  <c r="E86" i="9"/>
  <c r="E107" i="9" s="1"/>
  <c r="B91" i="9"/>
  <c r="C91" i="9"/>
  <c r="C92" i="9"/>
  <c r="D92" i="9"/>
  <c r="C93" i="9"/>
  <c r="B95" i="9"/>
  <c r="D95" i="9"/>
  <c r="D98" i="9" s="1"/>
  <c r="B96" i="9"/>
  <c r="C96" i="9"/>
  <c r="D96" i="9"/>
  <c r="B97" i="9"/>
  <c r="C97" i="9"/>
  <c r="D97" i="9"/>
  <c r="C101" i="9"/>
  <c r="D101" i="9"/>
  <c r="D104" i="9" s="1"/>
  <c r="B102" i="9"/>
  <c r="C102" i="9"/>
  <c r="D102" i="9"/>
  <c r="B103" i="9"/>
  <c r="D103" i="9"/>
  <c r="B105" i="9"/>
  <c r="C105" i="9"/>
  <c r="B106" i="9"/>
  <c r="D106" i="9"/>
  <c r="B107" i="9"/>
  <c r="C107" i="9"/>
  <c r="D107" i="9"/>
  <c r="E112" i="9"/>
  <c r="B132" i="9"/>
  <c r="E113" i="9"/>
  <c r="E114" i="9"/>
  <c r="C132" i="9"/>
  <c r="E115" i="9"/>
  <c r="E116" i="9"/>
  <c r="B133" i="9"/>
  <c r="E118" i="9"/>
  <c r="N118" i="9"/>
  <c r="D134" i="9"/>
  <c r="E119" i="9"/>
  <c r="N119" i="9"/>
  <c r="E120" i="9"/>
  <c r="E133" i="9" s="1"/>
  <c r="N120" i="9"/>
  <c r="B134" i="9"/>
  <c r="E121" i="9"/>
  <c r="N121" i="9"/>
  <c r="E122" i="9"/>
  <c r="E124" i="9"/>
  <c r="B130" i="9"/>
  <c r="C130" i="9"/>
  <c r="D130" i="9"/>
  <c r="N131" i="9"/>
  <c r="D132" i="9"/>
  <c r="C133" i="9"/>
  <c r="D133" i="9"/>
  <c r="C134" i="9"/>
  <c r="B98" i="9" l="1"/>
  <c r="B108" i="9"/>
  <c r="E105" i="9"/>
  <c r="E108" i="9" s="1"/>
  <c r="E134" i="9"/>
  <c r="E130" i="9"/>
  <c r="E132" i="9"/>
  <c r="E103" i="9"/>
  <c r="E93" i="9"/>
  <c r="E91" i="9"/>
  <c r="E95" i="9"/>
  <c r="E98" i="9" s="1"/>
  <c r="E101" i="9"/>
  <c r="D135" i="9"/>
  <c r="C98" i="9"/>
  <c r="B104" i="9"/>
  <c r="C108" i="9"/>
  <c r="C94" i="9"/>
  <c r="D108" i="9"/>
  <c r="D109" i="9" s="1"/>
  <c r="B135" i="9"/>
  <c r="B94" i="9"/>
  <c r="D94" i="9"/>
  <c r="D99" i="9" s="1"/>
  <c r="C104" i="9"/>
  <c r="C135" i="9"/>
  <c r="N93" i="3"/>
  <c r="N128" i="3"/>
  <c r="N139" i="3"/>
  <c r="N194" i="3"/>
  <c r="N206" i="3"/>
  <c r="C109" i="9" l="1"/>
  <c r="C138" i="9" s="1"/>
  <c r="B99" i="9"/>
  <c r="B109" i="9"/>
  <c r="B138" i="9" s="1"/>
  <c r="C99" i="9"/>
  <c r="E104" i="9"/>
  <c r="E109" i="9" s="1"/>
  <c r="E94" i="9"/>
  <c r="E99" i="9" s="1"/>
  <c r="E135" i="9"/>
  <c r="D138" i="9"/>
  <c r="E6" i="46"/>
  <c r="E138" i="9" l="1"/>
  <c r="D6" i="46"/>
  <c r="C6" i="46"/>
  <c r="D116" i="3" l="1"/>
  <c r="E116" i="3"/>
  <c r="F116" i="3"/>
  <c r="G116" i="3"/>
  <c r="H116" i="3"/>
  <c r="I116" i="3"/>
  <c r="J116" i="3"/>
  <c r="K116" i="3"/>
  <c r="L116" i="3"/>
  <c r="C116" i="3"/>
  <c r="L274" i="3" l="1"/>
  <c r="L206" i="3"/>
  <c r="K206" i="3"/>
  <c r="D206" i="3"/>
  <c r="E206" i="3"/>
  <c r="F206" i="3"/>
  <c r="G206" i="3"/>
  <c r="H206" i="3"/>
  <c r="I206" i="3"/>
  <c r="J206" i="3"/>
  <c r="C206" i="3"/>
  <c r="L194" i="3"/>
  <c r="K194" i="3"/>
  <c r="D194" i="3"/>
  <c r="E194" i="3"/>
  <c r="F194" i="3"/>
  <c r="G194" i="3"/>
  <c r="H194" i="3"/>
  <c r="I194" i="3"/>
  <c r="J194" i="3"/>
  <c r="C194" i="3"/>
  <c r="AN94" i="36" l="1"/>
  <c r="AM94" i="36"/>
  <c r="AL94" i="36"/>
  <c r="AK94" i="36"/>
  <c r="AJ94" i="36"/>
  <c r="AI94" i="36"/>
  <c r="AH94" i="36"/>
  <c r="AG94" i="36"/>
  <c r="AF94" i="36"/>
  <c r="AE94" i="36"/>
  <c r="AD94" i="36"/>
  <c r="AC94" i="36"/>
  <c r="AB94" i="36"/>
  <c r="AA94" i="36"/>
  <c r="Z94" i="36"/>
  <c r="Y94" i="36"/>
  <c r="X94" i="36"/>
  <c r="W94" i="36"/>
  <c r="V94" i="36"/>
  <c r="U94" i="36"/>
  <c r="T94" i="36"/>
  <c r="S94" i="36"/>
  <c r="R94" i="36"/>
  <c r="Q94" i="36"/>
  <c r="P94" i="36"/>
  <c r="O94" i="36"/>
  <c r="N94" i="36"/>
  <c r="M94" i="36"/>
  <c r="L94" i="36"/>
  <c r="K94" i="36"/>
  <c r="J94" i="36"/>
  <c r="I94" i="36"/>
  <c r="H94" i="36"/>
  <c r="G94" i="36"/>
  <c r="F94" i="36"/>
  <c r="E94" i="36"/>
  <c r="D94" i="36"/>
  <c r="C94" i="36"/>
  <c r="B94" i="36"/>
  <c r="AN88" i="36"/>
  <c r="AM88" i="36"/>
  <c r="AL88" i="36"/>
  <c r="AK88" i="36"/>
  <c r="AJ88" i="36"/>
  <c r="AI88" i="36"/>
  <c r="AH88" i="36"/>
  <c r="AG88" i="36"/>
  <c r="AF88" i="36"/>
  <c r="AE88" i="36"/>
  <c r="AD88" i="36"/>
  <c r="AC88" i="36"/>
  <c r="AB88" i="36"/>
  <c r="AA88" i="36"/>
  <c r="Z88" i="36"/>
  <c r="Y88" i="36"/>
  <c r="X88" i="36"/>
  <c r="W88" i="36"/>
  <c r="V88" i="36"/>
  <c r="U88" i="36"/>
  <c r="T88" i="36"/>
  <c r="S88" i="36"/>
  <c r="R88" i="36"/>
  <c r="Q88" i="36"/>
  <c r="P88" i="36"/>
  <c r="O88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B88" i="36"/>
  <c r="AN83" i="36"/>
  <c r="AM83" i="36"/>
  <c r="AL83" i="36"/>
  <c r="AK83" i="36"/>
  <c r="AJ83" i="36"/>
  <c r="AI83" i="36"/>
  <c r="AH83" i="36"/>
  <c r="AG83" i="36"/>
  <c r="AF83" i="36"/>
  <c r="AE83" i="36"/>
  <c r="AD83" i="36"/>
  <c r="AC83" i="36"/>
  <c r="AB83" i="36"/>
  <c r="AA83" i="36"/>
  <c r="Z83" i="36"/>
  <c r="Y83" i="36"/>
  <c r="X83" i="36"/>
  <c r="W83" i="36"/>
  <c r="V83" i="36"/>
  <c r="U83" i="36"/>
  <c r="T83" i="36"/>
  <c r="S83" i="36"/>
  <c r="R83" i="36"/>
  <c r="Q83" i="36"/>
  <c r="P83" i="36"/>
  <c r="O83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B83" i="36"/>
  <c r="AN79" i="36"/>
  <c r="AM79" i="36"/>
  <c r="AL79" i="36"/>
  <c r="AK79" i="36"/>
  <c r="AJ79" i="36"/>
  <c r="AI79" i="36"/>
  <c r="AH79" i="36"/>
  <c r="AG79" i="36"/>
  <c r="AF79" i="36"/>
  <c r="AE79" i="36"/>
  <c r="AD79" i="36"/>
  <c r="AC79" i="36"/>
  <c r="AB79" i="36"/>
  <c r="AA79" i="36"/>
  <c r="Z79" i="36"/>
  <c r="Y79" i="36"/>
  <c r="X79" i="36"/>
  <c r="W79" i="36"/>
  <c r="V79" i="36"/>
  <c r="U79" i="36"/>
  <c r="T79" i="36"/>
  <c r="S79" i="36"/>
  <c r="R79" i="36"/>
  <c r="Q79" i="36"/>
  <c r="P79" i="36"/>
  <c r="O79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B79" i="36"/>
  <c r="AN69" i="36"/>
  <c r="AM69" i="36"/>
  <c r="AL69" i="36"/>
  <c r="AK69" i="36"/>
  <c r="AJ69" i="36"/>
  <c r="AI69" i="36"/>
  <c r="AH69" i="36"/>
  <c r="AG69" i="36"/>
  <c r="AF69" i="36"/>
  <c r="AE69" i="36"/>
  <c r="AD69" i="36"/>
  <c r="AC69" i="36"/>
  <c r="AB69" i="36"/>
  <c r="AA69" i="36"/>
  <c r="Z69" i="36"/>
  <c r="Y69" i="36"/>
  <c r="X69" i="36"/>
  <c r="W69" i="36"/>
  <c r="V69" i="36"/>
  <c r="U69" i="36"/>
  <c r="T69" i="36"/>
  <c r="S69" i="36"/>
  <c r="R69" i="36"/>
  <c r="Q69" i="36"/>
  <c r="P69" i="36"/>
  <c r="O69" i="36"/>
  <c r="N69" i="36"/>
  <c r="M69" i="36"/>
  <c r="L69" i="36"/>
  <c r="K69" i="36"/>
  <c r="J69" i="36"/>
  <c r="I69" i="36"/>
  <c r="H69" i="36"/>
  <c r="G69" i="36"/>
  <c r="F69" i="36"/>
  <c r="E69" i="36"/>
  <c r="D69" i="36"/>
  <c r="C69" i="36"/>
  <c r="B69" i="36"/>
  <c r="AN58" i="36"/>
  <c r="AM58" i="36"/>
  <c r="AL58" i="36"/>
  <c r="AK58" i="36"/>
  <c r="AJ58" i="36"/>
  <c r="AI58" i="36"/>
  <c r="AH58" i="36"/>
  <c r="AG58" i="36"/>
  <c r="AF58" i="36"/>
  <c r="AE58" i="36"/>
  <c r="AD58" i="36"/>
  <c r="AC58" i="36"/>
  <c r="AB58" i="36"/>
  <c r="AA58" i="36"/>
  <c r="Z58" i="36"/>
  <c r="Y58" i="36"/>
  <c r="X58" i="36"/>
  <c r="W58" i="36"/>
  <c r="V58" i="36"/>
  <c r="U58" i="36"/>
  <c r="T58" i="36"/>
  <c r="S58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C58" i="36"/>
  <c r="B58" i="36"/>
  <c r="AN48" i="36"/>
  <c r="AM48" i="36"/>
  <c r="AL48" i="36"/>
  <c r="AK48" i="36"/>
  <c r="AJ48" i="36"/>
  <c r="AI48" i="36"/>
  <c r="AH48" i="36"/>
  <c r="AG48" i="36"/>
  <c r="AF48" i="36"/>
  <c r="AE48" i="36"/>
  <c r="AD48" i="36"/>
  <c r="AC48" i="36"/>
  <c r="AB48" i="36"/>
  <c r="AA48" i="36"/>
  <c r="Z48" i="36"/>
  <c r="Y48" i="36"/>
  <c r="X48" i="36"/>
  <c r="W48" i="36"/>
  <c r="V48" i="36"/>
  <c r="U48" i="36"/>
  <c r="T48" i="36"/>
  <c r="S48" i="36"/>
  <c r="R48" i="36"/>
  <c r="Q48" i="36"/>
  <c r="P48" i="36"/>
  <c r="O48" i="36"/>
  <c r="N48" i="36"/>
  <c r="M48" i="36"/>
  <c r="L48" i="36"/>
  <c r="K48" i="36"/>
  <c r="J48" i="36"/>
  <c r="I48" i="36"/>
  <c r="H48" i="36"/>
  <c r="G48" i="36"/>
  <c r="F48" i="36"/>
  <c r="E48" i="36"/>
  <c r="D48" i="36"/>
  <c r="C48" i="36"/>
  <c r="B48" i="36"/>
  <c r="AN34" i="36"/>
  <c r="AM34" i="36"/>
  <c r="AL34" i="36"/>
  <c r="AK34" i="36"/>
  <c r="AJ34" i="36"/>
  <c r="AI34" i="36"/>
  <c r="AH34" i="36"/>
  <c r="AG34" i="36"/>
  <c r="AF34" i="36"/>
  <c r="AE34" i="36"/>
  <c r="AD34" i="36"/>
  <c r="AC34" i="36"/>
  <c r="AB34" i="36"/>
  <c r="AA34" i="36"/>
  <c r="Z34" i="36"/>
  <c r="Y34" i="36"/>
  <c r="X34" i="36"/>
  <c r="W34" i="36"/>
  <c r="V34" i="36"/>
  <c r="U34" i="36"/>
  <c r="T34" i="36"/>
  <c r="S34" i="36"/>
  <c r="R34" i="36"/>
  <c r="Q34" i="36"/>
  <c r="P34" i="36"/>
  <c r="O34" i="36"/>
  <c r="N34" i="36"/>
  <c r="M34" i="36"/>
  <c r="L34" i="36"/>
  <c r="K34" i="36"/>
  <c r="J34" i="36"/>
  <c r="I34" i="36"/>
  <c r="H34" i="36"/>
  <c r="G34" i="36"/>
  <c r="F34" i="36"/>
  <c r="E34" i="36"/>
  <c r="D34" i="36"/>
  <c r="C34" i="36"/>
  <c r="B34" i="36"/>
  <c r="AN27" i="36"/>
  <c r="AM27" i="36"/>
  <c r="AL27" i="36"/>
  <c r="AK27" i="36"/>
  <c r="AJ27" i="36"/>
  <c r="AI27" i="36"/>
  <c r="AH27" i="36"/>
  <c r="AG27" i="36"/>
  <c r="AF27" i="36"/>
  <c r="AE27" i="36"/>
  <c r="AD27" i="36"/>
  <c r="AC27" i="36"/>
  <c r="AB27" i="36"/>
  <c r="AA27" i="36"/>
  <c r="Z27" i="36"/>
  <c r="Y27" i="36"/>
  <c r="X27" i="36"/>
  <c r="W27" i="36"/>
  <c r="V27" i="36"/>
  <c r="U27" i="36"/>
  <c r="T27" i="36"/>
  <c r="S27" i="36"/>
  <c r="R27" i="36"/>
  <c r="Q27" i="36"/>
  <c r="P27" i="36"/>
  <c r="O27" i="36"/>
  <c r="N27" i="36"/>
  <c r="M27" i="36"/>
  <c r="L27" i="36"/>
  <c r="K27" i="36"/>
  <c r="J27" i="36"/>
  <c r="I27" i="36"/>
  <c r="H27" i="36"/>
  <c r="G27" i="36"/>
  <c r="F27" i="36"/>
  <c r="E27" i="36"/>
  <c r="D27" i="36"/>
  <c r="C27" i="36"/>
  <c r="B27" i="36"/>
  <c r="AN12" i="36"/>
  <c r="AM12" i="36"/>
  <c r="AL12" i="36"/>
  <c r="AK12" i="36"/>
  <c r="AJ12" i="36"/>
  <c r="AI12" i="36"/>
  <c r="AH12" i="36"/>
  <c r="AG12" i="36"/>
  <c r="AF12" i="36"/>
  <c r="AE12" i="36"/>
  <c r="AD12" i="36"/>
  <c r="AC12" i="36"/>
  <c r="AB12" i="36"/>
  <c r="AA12" i="36"/>
  <c r="Z12" i="36"/>
  <c r="Y12" i="36"/>
  <c r="X12" i="36"/>
  <c r="W12" i="36"/>
  <c r="V12" i="36"/>
  <c r="U12" i="36"/>
  <c r="T12" i="36"/>
  <c r="S12" i="36"/>
  <c r="R12" i="36"/>
  <c r="Q12" i="36"/>
  <c r="P12" i="36"/>
  <c r="O12" i="36"/>
  <c r="N12" i="36"/>
  <c r="M12" i="36"/>
  <c r="L12" i="36"/>
  <c r="K12" i="36"/>
  <c r="J12" i="36"/>
  <c r="I12" i="36"/>
  <c r="H12" i="36"/>
  <c r="G12" i="36"/>
  <c r="F12" i="36"/>
  <c r="E12" i="36"/>
  <c r="D12" i="36"/>
  <c r="C12" i="36"/>
  <c r="B12" i="36"/>
  <c r="AN94" i="38"/>
  <c r="AM94" i="38"/>
  <c r="AL94" i="38"/>
  <c r="AK94" i="38"/>
  <c r="AJ94" i="38"/>
  <c r="AI94" i="38"/>
  <c r="AH94" i="38"/>
  <c r="AG94" i="38"/>
  <c r="AF94" i="38"/>
  <c r="AE94" i="38"/>
  <c r="AD94" i="38"/>
  <c r="AC94" i="38"/>
  <c r="AB94" i="38"/>
  <c r="AA94" i="38"/>
  <c r="Z94" i="38"/>
  <c r="Y94" i="38"/>
  <c r="X94" i="38"/>
  <c r="W94" i="38"/>
  <c r="V94" i="38"/>
  <c r="U94" i="38"/>
  <c r="T94" i="38"/>
  <c r="S94" i="38"/>
  <c r="R94" i="38"/>
  <c r="Q94" i="38"/>
  <c r="P94" i="38"/>
  <c r="O94" i="38"/>
  <c r="N94" i="38"/>
  <c r="M94" i="38"/>
  <c r="L94" i="38"/>
  <c r="K94" i="38"/>
  <c r="J94" i="38"/>
  <c r="I94" i="38"/>
  <c r="H94" i="38"/>
  <c r="G94" i="38"/>
  <c r="F94" i="38"/>
  <c r="E94" i="38"/>
  <c r="D94" i="38"/>
  <c r="C94" i="38"/>
  <c r="B94" i="38"/>
  <c r="AN88" i="38"/>
  <c r="AM88" i="38"/>
  <c r="AL88" i="38"/>
  <c r="AK88" i="38"/>
  <c r="AJ88" i="38"/>
  <c r="AI88" i="38"/>
  <c r="AH88" i="38"/>
  <c r="AG88" i="38"/>
  <c r="AF88" i="38"/>
  <c r="AE88" i="38"/>
  <c r="AD88" i="38"/>
  <c r="AC88" i="38"/>
  <c r="AB88" i="38"/>
  <c r="AA88" i="38"/>
  <c r="Z88" i="38"/>
  <c r="Y88" i="38"/>
  <c r="X88" i="38"/>
  <c r="W88" i="38"/>
  <c r="V88" i="38"/>
  <c r="U88" i="38"/>
  <c r="T88" i="38"/>
  <c r="S88" i="38"/>
  <c r="R88" i="38"/>
  <c r="Q88" i="38"/>
  <c r="P88" i="38"/>
  <c r="O88" i="38"/>
  <c r="N88" i="38"/>
  <c r="M88" i="38"/>
  <c r="L88" i="38"/>
  <c r="K88" i="38"/>
  <c r="J88" i="38"/>
  <c r="I88" i="38"/>
  <c r="H88" i="38"/>
  <c r="G88" i="38"/>
  <c r="F88" i="38"/>
  <c r="E88" i="38"/>
  <c r="D88" i="38"/>
  <c r="C88" i="38"/>
  <c r="B88" i="38"/>
  <c r="AN83" i="38"/>
  <c r="AM83" i="38"/>
  <c r="AL83" i="38"/>
  <c r="AK83" i="38"/>
  <c r="AJ83" i="38"/>
  <c r="AI83" i="38"/>
  <c r="AH83" i="38"/>
  <c r="AG83" i="38"/>
  <c r="AF83" i="38"/>
  <c r="AE83" i="38"/>
  <c r="AD83" i="38"/>
  <c r="AC83" i="38"/>
  <c r="AB83" i="38"/>
  <c r="AA83" i="38"/>
  <c r="Z83" i="38"/>
  <c r="Y83" i="38"/>
  <c r="X83" i="38"/>
  <c r="W83" i="38"/>
  <c r="V83" i="38"/>
  <c r="U83" i="38"/>
  <c r="T83" i="38"/>
  <c r="S83" i="38"/>
  <c r="R83" i="38"/>
  <c r="Q83" i="38"/>
  <c r="P83" i="38"/>
  <c r="O83" i="38"/>
  <c r="N83" i="38"/>
  <c r="M83" i="38"/>
  <c r="L83" i="38"/>
  <c r="K83" i="38"/>
  <c r="J83" i="38"/>
  <c r="I83" i="38"/>
  <c r="H83" i="38"/>
  <c r="G83" i="38"/>
  <c r="F83" i="38"/>
  <c r="E83" i="38"/>
  <c r="D83" i="38"/>
  <c r="C83" i="38"/>
  <c r="B83" i="38"/>
  <c r="AN79" i="38"/>
  <c r="AM79" i="38"/>
  <c r="AL79" i="38"/>
  <c r="AK79" i="38"/>
  <c r="AJ79" i="38"/>
  <c r="AI79" i="38"/>
  <c r="AH79" i="38"/>
  <c r="AG79" i="38"/>
  <c r="AF79" i="38"/>
  <c r="AE79" i="38"/>
  <c r="AD79" i="38"/>
  <c r="AC79" i="38"/>
  <c r="AB79" i="38"/>
  <c r="AA79" i="38"/>
  <c r="Z79" i="38"/>
  <c r="Y79" i="38"/>
  <c r="X79" i="38"/>
  <c r="W79" i="38"/>
  <c r="V79" i="38"/>
  <c r="U79" i="38"/>
  <c r="T79" i="38"/>
  <c r="S79" i="38"/>
  <c r="R79" i="38"/>
  <c r="Q79" i="38"/>
  <c r="P79" i="38"/>
  <c r="O79" i="38"/>
  <c r="N79" i="38"/>
  <c r="M79" i="38"/>
  <c r="L79" i="38"/>
  <c r="K79" i="38"/>
  <c r="J79" i="38"/>
  <c r="I79" i="38"/>
  <c r="H79" i="38"/>
  <c r="G79" i="38"/>
  <c r="F79" i="38"/>
  <c r="E79" i="38"/>
  <c r="D79" i="38"/>
  <c r="C79" i="38"/>
  <c r="B79" i="38"/>
  <c r="AN69" i="38"/>
  <c r="AM69" i="38"/>
  <c r="AL69" i="38"/>
  <c r="AK69" i="38"/>
  <c r="AJ69" i="38"/>
  <c r="AI69" i="38"/>
  <c r="AH69" i="38"/>
  <c r="AG69" i="38"/>
  <c r="AF69" i="38"/>
  <c r="AE69" i="38"/>
  <c r="AD69" i="38"/>
  <c r="AC69" i="38"/>
  <c r="AB69" i="38"/>
  <c r="AA69" i="38"/>
  <c r="Z69" i="38"/>
  <c r="Y69" i="38"/>
  <c r="X69" i="38"/>
  <c r="W69" i="38"/>
  <c r="V69" i="38"/>
  <c r="U69" i="38"/>
  <c r="T69" i="38"/>
  <c r="S69" i="38"/>
  <c r="R69" i="38"/>
  <c r="Q69" i="38"/>
  <c r="P69" i="38"/>
  <c r="O69" i="38"/>
  <c r="N69" i="38"/>
  <c r="M69" i="38"/>
  <c r="L69" i="38"/>
  <c r="K69" i="38"/>
  <c r="J69" i="38"/>
  <c r="I69" i="38"/>
  <c r="H69" i="38"/>
  <c r="G69" i="38"/>
  <c r="F69" i="38"/>
  <c r="E69" i="38"/>
  <c r="D69" i="38"/>
  <c r="C69" i="38"/>
  <c r="B69" i="38"/>
  <c r="AN58" i="38"/>
  <c r="AM58" i="38"/>
  <c r="AL58" i="38"/>
  <c r="AK58" i="38"/>
  <c r="AJ58" i="38"/>
  <c r="AI58" i="38"/>
  <c r="AH58" i="38"/>
  <c r="AG58" i="38"/>
  <c r="AF58" i="38"/>
  <c r="AE58" i="38"/>
  <c r="AD58" i="38"/>
  <c r="AC58" i="38"/>
  <c r="AB58" i="38"/>
  <c r="AA58" i="38"/>
  <c r="Z58" i="38"/>
  <c r="Y58" i="38"/>
  <c r="X58" i="38"/>
  <c r="W58" i="38"/>
  <c r="V58" i="38"/>
  <c r="U58" i="38"/>
  <c r="T58" i="38"/>
  <c r="S58" i="38"/>
  <c r="R58" i="38"/>
  <c r="Q58" i="38"/>
  <c r="P58" i="38"/>
  <c r="O58" i="38"/>
  <c r="N58" i="38"/>
  <c r="M58" i="38"/>
  <c r="L58" i="38"/>
  <c r="K58" i="38"/>
  <c r="J58" i="38"/>
  <c r="I58" i="38"/>
  <c r="H58" i="38"/>
  <c r="G58" i="38"/>
  <c r="F58" i="38"/>
  <c r="E58" i="38"/>
  <c r="D58" i="38"/>
  <c r="C58" i="38"/>
  <c r="B58" i="38"/>
  <c r="AN48" i="38"/>
  <c r="AM48" i="38"/>
  <c r="AL48" i="38"/>
  <c r="AK48" i="38"/>
  <c r="AJ48" i="38"/>
  <c r="AI48" i="38"/>
  <c r="AH48" i="38"/>
  <c r="AG48" i="38"/>
  <c r="AF48" i="38"/>
  <c r="AE48" i="38"/>
  <c r="AD48" i="38"/>
  <c r="AC48" i="38"/>
  <c r="AB48" i="38"/>
  <c r="AA48" i="38"/>
  <c r="Z48" i="38"/>
  <c r="Y48" i="38"/>
  <c r="X48" i="38"/>
  <c r="W48" i="38"/>
  <c r="V48" i="38"/>
  <c r="U48" i="38"/>
  <c r="T48" i="38"/>
  <c r="S48" i="38"/>
  <c r="R48" i="38"/>
  <c r="Q48" i="38"/>
  <c r="P48" i="38"/>
  <c r="O48" i="38"/>
  <c r="N48" i="38"/>
  <c r="M48" i="38"/>
  <c r="L48" i="38"/>
  <c r="K48" i="38"/>
  <c r="J48" i="38"/>
  <c r="I48" i="38"/>
  <c r="H48" i="38"/>
  <c r="G48" i="38"/>
  <c r="F48" i="38"/>
  <c r="E48" i="38"/>
  <c r="D48" i="38"/>
  <c r="C48" i="38"/>
  <c r="B48" i="38"/>
  <c r="AN34" i="38"/>
  <c r="AM34" i="38"/>
  <c r="AL34" i="38"/>
  <c r="AK34" i="38"/>
  <c r="AJ34" i="38"/>
  <c r="AI34" i="38"/>
  <c r="AH34" i="38"/>
  <c r="AG34" i="38"/>
  <c r="AF34" i="38"/>
  <c r="AE34" i="38"/>
  <c r="AD34" i="38"/>
  <c r="AC34" i="38"/>
  <c r="AB34" i="38"/>
  <c r="AA34" i="38"/>
  <c r="Z34" i="38"/>
  <c r="Y34" i="38"/>
  <c r="X34" i="38"/>
  <c r="W34" i="38"/>
  <c r="V34" i="38"/>
  <c r="U34" i="38"/>
  <c r="T34" i="38"/>
  <c r="S34" i="38"/>
  <c r="R34" i="38"/>
  <c r="Q34" i="38"/>
  <c r="P34" i="38"/>
  <c r="O34" i="38"/>
  <c r="N34" i="38"/>
  <c r="M34" i="38"/>
  <c r="L34" i="38"/>
  <c r="K34" i="38"/>
  <c r="J34" i="38"/>
  <c r="I34" i="38"/>
  <c r="H34" i="38"/>
  <c r="G34" i="38"/>
  <c r="F34" i="38"/>
  <c r="E34" i="38"/>
  <c r="D34" i="38"/>
  <c r="C34" i="38"/>
  <c r="B34" i="38"/>
  <c r="AN27" i="38"/>
  <c r="AM27" i="38"/>
  <c r="AL27" i="38"/>
  <c r="AK27" i="38"/>
  <c r="AJ27" i="38"/>
  <c r="AI27" i="38"/>
  <c r="AH27" i="38"/>
  <c r="AG27" i="38"/>
  <c r="AF27" i="38"/>
  <c r="AE27" i="38"/>
  <c r="AD27" i="38"/>
  <c r="AC27" i="38"/>
  <c r="AB27" i="38"/>
  <c r="AA27" i="38"/>
  <c r="Z27" i="38"/>
  <c r="Y27" i="38"/>
  <c r="X27" i="38"/>
  <c r="W27" i="38"/>
  <c r="V27" i="38"/>
  <c r="U27" i="38"/>
  <c r="T27" i="38"/>
  <c r="S27" i="38"/>
  <c r="R27" i="38"/>
  <c r="Q27" i="38"/>
  <c r="P27" i="38"/>
  <c r="O27" i="38"/>
  <c r="N27" i="38"/>
  <c r="M27" i="38"/>
  <c r="L27" i="38"/>
  <c r="K27" i="38"/>
  <c r="J27" i="38"/>
  <c r="I27" i="38"/>
  <c r="H27" i="38"/>
  <c r="G27" i="38"/>
  <c r="F27" i="38"/>
  <c r="E27" i="38"/>
  <c r="D27" i="38"/>
  <c r="C27" i="38"/>
  <c r="B27" i="38"/>
  <c r="AN12" i="38"/>
  <c r="AM12" i="38"/>
  <c r="AL12" i="38"/>
  <c r="AK12" i="38"/>
  <c r="AJ12" i="38"/>
  <c r="AI12" i="38"/>
  <c r="AH12" i="38"/>
  <c r="AG12" i="38"/>
  <c r="AF12" i="38"/>
  <c r="AE12" i="38"/>
  <c r="AD12" i="38"/>
  <c r="AC12" i="38"/>
  <c r="AB12" i="38"/>
  <c r="AA12" i="38"/>
  <c r="Z12" i="38"/>
  <c r="Y12" i="38"/>
  <c r="X12" i="38"/>
  <c r="W12" i="38"/>
  <c r="V12" i="38"/>
  <c r="U12" i="38"/>
  <c r="T12" i="38"/>
  <c r="S12" i="38"/>
  <c r="R12" i="38"/>
  <c r="Q12" i="38"/>
  <c r="P12" i="38"/>
  <c r="O12" i="38"/>
  <c r="N12" i="38"/>
  <c r="M12" i="38"/>
  <c r="L12" i="38"/>
  <c r="K12" i="38"/>
  <c r="J12" i="38"/>
  <c r="I12" i="38"/>
  <c r="H12" i="38"/>
  <c r="G12" i="38"/>
  <c r="F12" i="38"/>
  <c r="E12" i="38"/>
  <c r="D12" i="38"/>
  <c r="C12" i="38"/>
  <c r="B12" i="38"/>
  <c r="AN94" i="39"/>
  <c r="AM94" i="39"/>
  <c r="AL94" i="39"/>
  <c r="AK94" i="39"/>
  <c r="AJ94" i="39"/>
  <c r="AI94" i="39"/>
  <c r="AH94" i="39"/>
  <c r="AG94" i="39"/>
  <c r="AF94" i="39"/>
  <c r="AE94" i="39"/>
  <c r="AD94" i="39"/>
  <c r="AC94" i="39"/>
  <c r="AB94" i="39"/>
  <c r="AA94" i="39"/>
  <c r="Z94" i="39"/>
  <c r="Y94" i="39"/>
  <c r="X94" i="39"/>
  <c r="W94" i="39"/>
  <c r="V94" i="39"/>
  <c r="U94" i="39"/>
  <c r="T94" i="39"/>
  <c r="S94" i="39"/>
  <c r="R94" i="39"/>
  <c r="Q94" i="39"/>
  <c r="P94" i="39"/>
  <c r="O94" i="39"/>
  <c r="N94" i="39"/>
  <c r="M94" i="39"/>
  <c r="L94" i="39"/>
  <c r="K94" i="39"/>
  <c r="J94" i="39"/>
  <c r="I94" i="39"/>
  <c r="H94" i="39"/>
  <c r="G94" i="39"/>
  <c r="F94" i="39"/>
  <c r="E94" i="39"/>
  <c r="D94" i="39"/>
  <c r="C94" i="39"/>
  <c r="B94" i="39"/>
  <c r="AN88" i="39"/>
  <c r="AM88" i="39"/>
  <c r="AL88" i="39"/>
  <c r="AK88" i="39"/>
  <c r="AJ88" i="39"/>
  <c r="AI88" i="39"/>
  <c r="AH88" i="39"/>
  <c r="AG88" i="39"/>
  <c r="AF88" i="39"/>
  <c r="AE88" i="39"/>
  <c r="AD88" i="39"/>
  <c r="AC88" i="39"/>
  <c r="AB88" i="39"/>
  <c r="AA88" i="39"/>
  <c r="Z88" i="39"/>
  <c r="Y88" i="39"/>
  <c r="X88" i="39"/>
  <c r="W88" i="39"/>
  <c r="V88" i="39"/>
  <c r="U88" i="39"/>
  <c r="T88" i="39"/>
  <c r="S88" i="39"/>
  <c r="R88" i="39"/>
  <c r="Q88" i="39"/>
  <c r="P88" i="39"/>
  <c r="O88" i="39"/>
  <c r="N88" i="39"/>
  <c r="M88" i="39"/>
  <c r="L88" i="39"/>
  <c r="K88" i="39"/>
  <c r="J88" i="39"/>
  <c r="I88" i="39"/>
  <c r="H88" i="39"/>
  <c r="G88" i="39"/>
  <c r="F88" i="39"/>
  <c r="E88" i="39"/>
  <c r="D88" i="39"/>
  <c r="C88" i="39"/>
  <c r="B88" i="39"/>
  <c r="AN83" i="39"/>
  <c r="AM83" i="39"/>
  <c r="AL83" i="39"/>
  <c r="AK83" i="39"/>
  <c r="AJ83" i="39"/>
  <c r="AI83" i="39"/>
  <c r="AH83" i="39"/>
  <c r="AG83" i="39"/>
  <c r="AF83" i="39"/>
  <c r="AE83" i="39"/>
  <c r="AD83" i="39"/>
  <c r="AC83" i="39"/>
  <c r="AB83" i="39"/>
  <c r="AA83" i="39"/>
  <c r="Z83" i="39"/>
  <c r="Y83" i="39"/>
  <c r="X83" i="39"/>
  <c r="W83" i="39"/>
  <c r="V83" i="39"/>
  <c r="U83" i="39"/>
  <c r="T83" i="39"/>
  <c r="S83" i="39"/>
  <c r="R83" i="39"/>
  <c r="Q83" i="39"/>
  <c r="P83" i="39"/>
  <c r="O83" i="39"/>
  <c r="N83" i="39"/>
  <c r="M83" i="39"/>
  <c r="L83" i="39"/>
  <c r="K83" i="39"/>
  <c r="J83" i="39"/>
  <c r="I83" i="39"/>
  <c r="H83" i="39"/>
  <c r="G83" i="39"/>
  <c r="F83" i="39"/>
  <c r="E83" i="39"/>
  <c r="D83" i="39"/>
  <c r="C83" i="39"/>
  <c r="B83" i="39"/>
  <c r="AN79" i="39"/>
  <c r="AM79" i="39"/>
  <c r="AL79" i="39"/>
  <c r="AK79" i="39"/>
  <c r="AJ79" i="39"/>
  <c r="AI79" i="39"/>
  <c r="AH79" i="39"/>
  <c r="AG79" i="39"/>
  <c r="AF79" i="39"/>
  <c r="AE79" i="39"/>
  <c r="AD79" i="39"/>
  <c r="AC79" i="39"/>
  <c r="AB79" i="39"/>
  <c r="AA79" i="39"/>
  <c r="Z79" i="39"/>
  <c r="Y79" i="39"/>
  <c r="X79" i="39"/>
  <c r="W79" i="39"/>
  <c r="V79" i="39"/>
  <c r="U79" i="39"/>
  <c r="T79" i="39"/>
  <c r="S79" i="39"/>
  <c r="R79" i="39"/>
  <c r="Q79" i="39"/>
  <c r="P79" i="39"/>
  <c r="O79" i="39"/>
  <c r="N79" i="39"/>
  <c r="M79" i="39"/>
  <c r="L79" i="39"/>
  <c r="K79" i="39"/>
  <c r="J79" i="39"/>
  <c r="I79" i="39"/>
  <c r="H79" i="39"/>
  <c r="G79" i="39"/>
  <c r="F79" i="39"/>
  <c r="E79" i="39"/>
  <c r="D79" i="39"/>
  <c r="C79" i="39"/>
  <c r="B79" i="39"/>
  <c r="AN69" i="39"/>
  <c r="AM69" i="39"/>
  <c r="AL69" i="39"/>
  <c r="AK69" i="39"/>
  <c r="AJ69" i="39"/>
  <c r="AI69" i="39"/>
  <c r="AH69" i="39"/>
  <c r="AG69" i="39"/>
  <c r="AF69" i="39"/>
  <c r="AE69" i="39"/>
  <c r="AD69" i="39"/>
  <c r="AC69" i="39"/>
  <c r="AB69" i="39"/>
  <c r="AA69" i="39"/>
  <c r="Z69" i="39"/>
  <c r="Y69" i="39"/>
  <c r="X69" i="39"/>
  <c r="W69" i="39"/>
  <c r="V69" i="39"/>
  <c r="U69" i="39"/>
  <c r="T69" i="39"/>
  <c r="S69" i="39"/>
  <c r="R69" i="39"/>
  <c r="Q69" i="39"/>
  <c r="P69" i="39"/>
  <c r="O69" i="39"/>
  <c r="N69" i="39"/>
  <c r="M69" i="39"/>
  <c r="L69" i="39"/>
  <c r="K69" i="39"/>
  <c r="J69" i="39"/>
  <c r="I69" i="39"/>
  <c r="H69" i="39"/>
  <c r="G69" i="39"/>
  <c r="F69" i="39"/>
  <c r="E69" i="39"/>
  <c r="D69" i="39"/>
  <c r="C69" i="39"/>
  <c r="B69" i="39"/>
  <c r="AN58" i="39"/>
  <c r="AM58" i="39"/>
  <c r="AL58" i="39"/>
  <c r="AK58" i="39"/>
  <c r="AJ58" i="39"/>
  <c r="AI58" i="39"/>
  <c r="AH58" i="39"/>
  <c r="AG58" i="39"/>
  <c r="AF58" i="39"/>
  <c r="AE58" i="39"/>
  <c r="AD58" i="39"/>
  <c r="AC58" i="39"/>
  <c r="AB58" i="39"/>
  <c r="AA58" i="39"/>
  <c r="Z58" i="39"/>
  <c r="Y58" i="39"/>
  <c r="X58" i="39"/>
  <c r="W58" i="39"/>
  <c r="V58" i="39"/>
  <c r="U58" i="39"/>
  <c r="T58" i="39"/>
  <c r="S58" i="39"/>
  <c r="R58" i="39"/>
  <c r="Q58" i="39"/>
  <c r="P58" i="39"/>
  <c r="O58" i="39"/>
  <c r="N58" i="39"/>
  <c r="M58" i="39"/>
  <c r="L58" i="39"/>
  <c r="K58" i="39"/>
  <c r="J58" i="39"/>
  <c r="I58" i="39"/>
  <c r="H58" i="39"/>
  <c r="G58" i="39"/>
  <c r="F58" i="39"/>
  <c r="E58" i="39"/>
  <c r="D58" i="39"/>
  <c r="C58" i="39"/>
  <c r="B58" i="39"/>
  <c r="AN48" i="39"/>
  <c r="AM48" i="39"/>
  <c r="AL48" i="39"/>
  <c r="AK48" i="39"/>
  <c r="AJ48" i="39"/>
  <c r="AI48" i="39"/>
  <c r="AH48" i="39"/>
  <c r="AG48" i="39"/>
  <c r="AF48" i="39"/>
  <c r="AE48" i="39"/>
  <c r="AD48" i="39"/>
  <c r="AC48" i="39"/>
  <c r="AB48" i="39"/>
  <c r="AA48" i="39"/>
  <c r="Z48" i="39"/>
  <c r="Y48" i="39"/>
  <c r="X48" i="39"/>
  <c r="W48" i="39"/>
  <c r="V48" i="39"/>
  <c r="U48" i="39"/>
  <c r="T48" i="39"/>
  <c r="S48" i="39"/>
  <c r="R48" i="39"/>
  <c r="Q48" i="39"/>
  <c r="P48" i="39"/>
  <c r="O48" i="39"/>
  <c r="N48" i="39"/>
  <c r="M48" i="39"/>
  <c r="L48" i="39"/>
  <c r="K48" i="39"/>
  <c r="J48" i="39"/>
  <c r="I48" i="39"/>
  <c r="H48" i="39"/>
  <c r="G48" i="39"/>
  <c r="F48" i="39"/>
  <c r="E48" i="39"/>
  <c r="D48" i="39"/>
  <c r="C48" i="39"/>
  <c r="B48" i="39"/>
  <c r="AN34" i="39"/>
  <c r="AM34" i="39"/>
  <c r="AL34" i="39"/>
  <c r="AK34" i="39"/>
  <c r="AJ34" i="39"/>
  <c r="AI34" i="39"/>
  <c r="AH34" i="39"/>
  <c r="AG34" i="39"/>
  <c r="AF34" i="39"/>
  <c r="AE34" i="39"/>
  <c r="AD34" i="39"/>
  <c r="AC34" i="39"/>
  <c r="AB34" i="39"/>
  <c r="AA34" i="39"/>
  <c r="Z34" i="39"/>
  <c r="Y34" i="39"/>
  <c r="X34" i="39"/>
  <c r="W34" i="39"/>
  <c r="V34" i="39"/>
  <c r="U34" i="39"/>
  <c r="T34" i="39"/>
  <c r="S34" i="39"/>
  <c r="R34" i="39"/>
  <c r="Q34" i="39"/>
  <c r="P34" i="39"/>
  <c r="O34" i="39"/>
  <c r="N34" i="39"/>
  <c r="M34" i="39"/>
  <c r="L34" i="39"/>
  <c r="K34" i="39"/>
  <c r="J34" i="39"/>
  <c r="I34" i="39"/>
  <c r="H34" i="39"/>
  <c r="G34" i="39"/>
  <c r="F34" i="39"/>
  <c r="E34" i="39"/>
  <c r="D34" i="39"/>
  <c r="C34" i="39"/>
  <c r="B34" i="39"/>
  <c r="AN27" i="39"/>
  <c r="AM27" i="39"/>
  <c r="AL27" i="39"/>
  <c r="AK27" i="39"/>
  <c r="AJ27" i="39"/>
  <c r="AI27" i="39"/>
  <c r="AH27" i="39"/>
  <c r="AG27" i="39"/>
  <c r="AF27" i="39"/>
  <c r="AE27" i="39"/>
  <c r="AD27" i="39"/>
  <c r="AC27" i="39"/>
  <c r="AB27" i="39"/>
  <c r="AA27" i="39"/>
  <c r="Z27" i="39"/>
  <c r="Y27" i="39"/>
  <c r="X27" i="39"/>
  <c r="W27" i="39"/>
  <c r="V27" i="39"/>
  <c r="U27" i="39"/>
  <c r="T27" i="39"/>
  <c r="S27" i="39"/>
  <c r="R27" i="39"/>
  <c r="Q27" i="39"/>
  <c r="P27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B27" i="39"/>
  <c r="AN12" i="39"/>
  <c r="AM12" i="39"/>
  <c r="AL12" i="39"/>
  <c r="AK12" i="39"/>
  <c r="AJ12" i="39"/>
  <c r="AI12" i="39"/>
  <c r="AH12" i="39"/>
  <c r="AG12" i="39"/>
  <c r="AF12" i="39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R12" i="39"/>
  <c r="Q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C12" i="39"/>
  <c r="B12" i="39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F94" i="31"/>
  <c r="E94" i="31"/>
  <c r="D94" i="31"/>
  <c r="C94" i="31"/>
  <c r="B94" i="31"/>
  <c r="AN88" i="31"/>
  <c r="AM88" i="31"/>
  <c r="AL88" i="31"/>
  <c r="AK88" i="31"/>
  <c r="AJ88" i="31"/>
  <c r="AI88" i="31"/>
  <c r="AH88" i="31"/>
  <c r="AG88" i="31"/>
  <c r="AF88" i="31"/>
  <c r="AE88" i="31"/>
  <c r="AD88" i="31"/>
  <c r="AC88" i="31"/>
  <c r="AB88" i="31"/>
  <c r="AA88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B88" i="31"/>
  <c r="AN83" i="31"/>
  <c r="AM83" i="31"/>
  <c r="AL83" i="31"/>
  <c r="AK83" i="31"/>
  <c r="AJ83" i="31"/>
  <c r="AI83" i="31"/>
  <c r="AH83" i="31"/>
  <c r="AG83" i="31"/>
  <c r="AF83" i="31"/>
  <c r="AE83" i="31"/>
  <c r="AD83" i="31"/>
  <c r="AC83" i="31"/>
  <c r="AB83" i="31"/>
  <c r="AA83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B83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Y79" i="31"/>
  <c r="X79" i="31"/>
  <c r="W79" i="31"/>
  <c r="V79" i="31"/>
  <c r="U79" i="31"/>
  <c r="T79" i="31"/>
  <c r="S79" i="31"/>
  <c r="R79" i="31"/>
  <c r="Q79" i="31"/>
  <c r="P79" i="31"/>
  <c r="O79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B79" i="31"/>
  <c r="AN69" i="31"/>
  <c r="AM69" i="31"/>
  <c r="AL69" i="31"/>
  <c r="AK69" i="31"/>
  <c r="AJ69" i="31"/>
  <c r="AI69" i="31"/>
  <c r="AH69" i="31"/>
  <c r="AG69" i="31"/>
  <c r="AF69" i="31"/>
  <c r="AE69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F69" i="31"/>
  <c r="E69" i="31"/>
  <c r="D69" i="31"/>
  <c r="C69" i="31"/>
  <c r="B69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Y58" i="31"/>
  <c r="X58" i="31"/>
  <c r="W58" i="31"/>
  <c r="V58" i="31"/>
  <c r="U58" i="31"/>
  <c r="T58" i="31"/>
  <c r="S58" i="31"/>
  <c r="R58" i="31"/>
  <c r="Q58" i="31"/>
  <c r="P58" i="31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B5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Y48" i="31"/>
  <c r="X48" i="31"/>
  <c r="W48" i="31"/>
  <c r="V48" i="31"/>
  <c r="U48" i="31"/>
  <c r="T48" i="31"/>
  <c r="S48" i="31"/>
  <c r="R48" i="31"/>
  <c r="Q48" i="31"/>
  <c r="P48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Y34" i="31"/>
  <c r="X34" i="31"/>
  <c r="W34" i="31"/>
  <c r="V34" i="31"/>
  <c r="U34" i="31"/>
  <c r="T34" i="31"/>
  <c r="S34" i="31"/>
  <c r="R34" i="31"/>
  <c r="Q34" i="31"/>
  <c r="P34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B34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Y27" i="31"/>
  <c r="X27" i="31"/>
  <c r="W27" i="31"/>
  <c r="V27" i="31"/>
  <c r="U27" i="31"/>
  <c r="T27" i="31"/>
  <c r="S27" i="31"/>
  <c r="R27" i="31"/>
  <c r="Q27" i="31"/>
  <c r="P27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B27" i="31"/>
  <c r="AN12" i="31"/>
  <c r="AM12" i="31"/>
  <c r="AL12" i="31"/>
  <c r="AK12" i="31"/>
  <c r="AJ12" i="31"/>
  <c r="AI12" i="31"/>
  <c r="AH12" i="31"/>
  <c r="AG12" i="31"/>
  <c r="AF12" i="31"/>
  <c r="AE12" i="31"/>
  <c r="AD12" i="31"/>
  <c r="AC12" i="31"/>
  <c r="AB12" i="31"/>
  <c r="AA12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B12" i="31"/>
  <c r="AN94" i="35"/>
  <c r="AM94" i="35"/>
  <c r="AL94" i="35"/>
  <c r="AK94" i="35"/>
  <c r="AJ94" i="35"/>
  <c r="AI94" i="35"/>
  <c r="AH94" i="35"/>
  <c r="AG94" i="35"/>
  <c r="AF94" i="35"/>
  <c r="AE94" i="35"/>
  <c r="AD94" i="35"/>
  <c r="AC94" i="35"/>
  <c r="AB94" i="35"/>
  <c r="AA94" i="35"/>
  <c r="Z94" i="35"/>
  <c r="Y94" i="35"/>
  <c r="X94" i="35"/>
  <c r="W94" i="35"/>
  <c r="V94" i="35"/>
  <c r="U94" i="35"/>
  <c r="T94" i="35"/>
  <c r="S94" i="35"/>
  <c r="R94" i="35"/>
  <c r="Q94" i="35"/>
  <c r="P94" i="35"/>
  <c r="O94" i="35"/>
  <c r="N94" i="35"/>
  <c r="M94" i="35"/>
  <c r="L94" i="35"/>
  <c r="K94" i="35"/>
  <c r="J94" i="35"/>
  <c r="I94" i="35"/>
  <c r="H94" i="35"/>
  <c r="G94" i="35"/>
  <c r="F94" i="35"/>
  <c r="E94" i="35"/>
  <c r="D94" i="35"/>
  <c r="C94" i="35"/>
  <c r="B94" i="35"/>
  <c r="AN88" i="35"/>
  <c r="AM88" i="35"/>
  <c r="AL88" i="35"/>
  <c r="AK88" i="35"/>
  <c r="AJ88" i="35"/>
  <c r="AI88" i="35"/>
  <c r="AH88" i="35"/>
  <c r="AG88" i="35"/>
  <c r="AF88" i="35"/>
  <c r="AE88" i="35"/>
  <c r="AD88" i="35"/>
  <c r="AC88" i="35"/>
  <c r="AB88" i="35"/>
  <c r="AA88" i="35"/>
  <c r="Z88" i="35"/>
  <c r="Y88" i="35"/>
  <c r="X88" i="35"/>
  <c r="W88" i="35"/>
  <c r="V88" i="35"/>
  <c r="U88" i="35"/>
  <c r="T88" i="35"/>
  <c r="S88" i="35"/>
  <c r="R88" i="35"/>
  <c r="Q88" i="35"/>
  <c r="P88" i="35"/>
  <c r="O88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B88" i="35"/>
  <c r="AN83" i="35"/>
  <c r="AM83" i="35"/>
  <c r="AL83" i="35"/>
  <c r="AK83" i="35"/>
  <c r="AJ83" i="35"/>
  <c r="AI83" i="35"/>
  <c r="AH83" i="35"/>
  <c r="AG83" i="35"/>
  <c r="AF83" i="35"/>
  <c r="AE83" i="35"/>
  <c r="AD83" i="35"/>
  <c r="AC83" i="35"/>
  <c r="AB83" i="35"/>
  <c r="AA83" i="35"/>
  <c r="Z83" i="35"/>
  <c r="Y83" i="35"/>
  <c r="X83" i="35"/>
  <c r="W83" i="35"/>
  <c r="V83" i="35"/>
  <c r="U83" i="35"/>
  <c r="T83" i="35"/>
  <c r="S83" i="35"/>
  <c r="R83" i="35"/>
  <c r="Q83" i="35"/>
  <c r="P83" i="35"/>
  <c r="O83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B83" i="35"/>
  <c r="AN79" i="35"/>
  <c r="AM79" i="35"/>
  <c r="AL79" i="35"/>
  <c r="AK79" i="35"/>
  <c r="AJ79" i="35"/>
  <c r="AI79" i="35"/>
  <c r="AH79" i="35"/>
  <c r="AG79" i="35"/>
  <c r="AF79" i="35"/>
  <c r="AE79" i="35"/>
  <c r="AD79" i="35"/>
  <c r="AC79" i="35"/>
  <c r="AB79" i="35"/>
  <c r="AA79" i="35"/>
  <c r="Z79" i="35"/>
  <c r="Y79" i="35"/>
  <c r="X79" i="35"/>
  <c r="W79" i="35"/>
  <c r="V79" i="35"/>
  <c r="U79" i="35"/>
  <c r="T79" i="35"/>
  <c r="S79" i="35"/>
  <c r="R79" i="35"/>
  <c r="Q79" i="35"/>
  <c r="P79" i="35"/>
  <c r="O79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B79" i="35"/>
  <c r="AN69" i="35"/>
  <c r="AM69" i="35"/>
  <c r="AL69" i="35"/>
  <c r="AK69" i="35"/>
  <c r="AJ69" i="35"/>
  <c r="AI69" i="35"/>
  <c r="AH69" i="35"/>
  <c r="AG69" i="35"/>
  <c r="AF69" i="35"/>
  <c r="AE69" i="35"/>
  <c r="AD69" i="35"/>
  <c r="AC69" i="35"/>
  <c r="AB69" i="35"/>
  <c r="AA69" i="35"/>
  <c r="Z69" i="35"/>
  <c r="Y69" i="35"/>
  <c r="X69" i="35"/>
  <c r="W69" i="35"/>
  <c r="V69" i="35"/>
  <c r="U69" i="35"/>
  <c r="T69" i="35"/>
  <c r="S69" i="35"/>
  <c r="R69" i="35"/>
  <c r="Q69" i="35"/>
  <c r="P69" i="35"/>
  <c r="O69" i="35"/>
  <c r="N69" i="35"/>
  <c r="M69" i="35"/>
  <c r="L69" i="35"/>
  <c r="K69" i="35"/>
  <c r="J69" i="35"/>
  <c r="I69" i="35"/>
  <c r="H69" i="35"/>
  <c r="G69" i="35"/>
  <c r="F69" i="35"/>
  <c r="E69" i="35"/>
  <c r="D69" i="35"/>
  <c r="C69" i="35"/>
  <c r="B69" i="35"/>
  <c r="AN58" i="35"/>
  <c r="AM58" i="35"/>
  <c r="AL58" i="35"/>
  <c r="AK58" i="35"/>
  <c r="AJ58" i="35"/>
  <c r="AI58" i="35"/>
  <c r="AH58" i="35"/>
  <c r="AG58" i="35"/>
  <c r="AF58" i="35"/>
  <c r="AE58" i="35"/>
  <c r="AD58" i="35"/>
  <c r="AC58" i="35"/>
  <c r="AB58" i="35"/>
  <c r="AA58" i="35"/>
  <c r="Z58" i="35"/>
  <c r="Y58" i="35"/>
  <c r="X58" i="35"/>
  <c r="W58" i="35"/>
  <c r="V58" i="35"/>
  <c r="U58" i="35"/>
  <c r="T58" i="35"/>
  <c r="S58" i="35"/>
  <c r="R58" i="35"/>
  <c r="Q58" i="35"/>
  <c r="P58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B58" i="35"/>
  <c r="AN48" i="35"/>
  <c r="AM48" i="35"/>
  <c r="AL48" i="35"/>
  <c r="AK48" i="35"/>
  <c r="AJ48" i="35"/>
  <c r="AI48" i="35"/>
  <c r="AH48" i="35"/>
  <c r="AG48" i="35"/>
  <c r="AF48" i="35"/>
  <c r="AE48" i="35"/>
  <c r="AD48" i="35"/>
  <c r="AC48" i="35"/>
  <c r="AB48" i="35"/>
  <c r="AA48" i="35"/>
  <c r="Z48" i="35"/>
  <c r="Y48" i="35"/>
  <c r="X48" i="35"/>
  <c r="W48" i="35"/>
  <c r="V48" i="35"/>
  <c r="U48" i="35"/>
  <c r="T48" i="35"/>
  <c r="S48" i="35"/>
  <c r="R48" i="35"/>
  <c r="Q48" i="35"/>
  <c r="P48" i="35"/>
  <c r="O48" i="35"/>
  <c r="N48" i="35"/>
  <c r="M48" i="35"/>
  <c r="L48" i="35"/>
  <c r="K48" i="35"/>
  <c r="J48" i="35"/>
  <c r="I48" i="35"/>
  <c r="H48" i="35"/>
  <c r="G48" i="35"/>
  <c r="F48" i="35"/>
  <c r="E48" i="35"/>
  <c r="D48" i="35"/>
  <c r="C48" i="35"/>
  <c r="B48" i="35"/>
  <c r="AN34" i="35"/>
  <c r="AM34" i="35"/>
  <c r="AL34" i="35"/>
  <c r="AK34" i="35"/>
  <c r="AJ34" i="35"/>
  <c r="AI34" i="35"/>
  <c r="AH34" i="35"/>
  <c r="AG34" i="35"/>
  <c r="AF34" i="35"/>
  <c r="AE34" i="35"/>
  <c r="AD34" i="35"/>
  <c r="AC34" i="35"/>
  <c r="AB34" i="35"/>
  <c r="AA34" i="35"/>
  <c r="Z34" i="35"/>
  <c r="Y34" i="35"/>
  <c r="X34" i="35"/>
  <c r="W34" i="35"/>
  <c r="V34" i="35"/>
  <c r="U34" i="35"/>
  <c r="T34" i="35"/>
  <c r="S34" i="35"/>
  <c r="R34" i="35"/>
  <c r="Q34" i="35"/>
  <c r="P34" i="35"/>
  <c r="O34" i="35"/>
  <c r="N34" i="35"/>
  <c r="M34" i="35"/>
  <c r="L34" i="35"/>
  <c r="K34" i="35"/>
  <c r="J34" i="35"/>
  <c r="I34" i="35"/>
  <c r="H34" i="35"/>
  <c r="G34" i="35"/>
  <c r="F34" i="35"/>
  <c r="E34" i="35"/>
  <c r="D34" i="35"/>
  <c r="C34" i="35"/>
  <c r="B34" i="35"/>
  <c r="AN27" i="35"/>
  <c r="AM27" i="35"/>
  <c r="AL27" i="35"/>
  <c r="AK27" i="35"/>
  <c r="AJ27" i="35"/>
  <c r="AI27" i="35"/>
  <c r="AH27" i="35"/>
  <c r="AG27" i="35"/>
  <c r="AF27" i="35"/>
  <c r="AE27" i="35"/>
  <c r="AD27" i="35"/>
  <c r="AC27" i="35"/>
  <c r="AB27" i="35"/>
  <c r="AA27" i="35"/>
  <c r="Z27" i="35"/>
  <c r="Y27" i="35"/>
  <c r="X27" i="35"/>
  <c r="W27" i="35"/>
  <c r="V27" i="35"/>
  <c r="U27" i="35"/>
  <c r="T27" i="35"/>
  <c r="S27" i="35"/>
  <c r="R27" i="35"/>
  <c r="Q27" i="35"/>
  <c r="P27" i="35"/>
  <c r="O27" i="35"/>
  <c r="N27" i="35"/>
  <c r="M27" i="35"/>
  <c r="L27" i="35"/>
  <c r="K27" i="35"/>
  <c r="J27" i="35"/>
  <c r="I27" i="35"/>
  <c r="H27" i="35"/>
  <c r="G27" i="35"/>
  <c r="F27" i="35"/>
  <c r="E27" i="35"/>
  <c r="D27" i="35"/>
  <c r="C27" i="35"/>
  <c r="B27" i="35"/>
  <c r="AN12" i="35"/>
  <c r="AM12" i="35"/>
  <c r="AL12" i="35"/>
  <c r="AK12" i="35"/>
  <c r="AJ12" i="35"/>
  <c r="AI12" i="35"/>
  <c r="AH12" i="35"/>
  <c r="AG12" i="35"/>
  <c r="AF12" i="35"/>
  <c r="AE12" i="35"/>
  <c r="AD12" i="35"/>
  <c r="AC12" i="35"/>
  <c r="AB12" i="35"/>
  <c r="AA12" i="35"/>
  <c r="Z12" i="35"/>
  <c r="Y12" i="35"/>
  <c r="X12" i="35"/>
  <c r="W12" i="35"/>
  <c r="V12" i="35"/>
  <c r="U12" i="35"/>
  <c r="T12" i="35"/>
  <c r="S12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B12" i="35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AN88" i="28"/>
  <c r="AM88" i="28"/>
  <c r="AL88" i="28"/>
  <c r="AK88" i="28"/>
  <c r="AJ88" i="28"/>
  <c r="AI88" i="28"/>
  <c r="AH88" i="28"/>
  <c r="AG88" i="28"/>
  <c r="AF88" i="28"/>
  <c r="AE88" i="28"/>
  <c r="AD88" i="28"/>
  <c r="AC88" i="28"/>
  <c r="AB88" i="28"/>
  <c r="AA88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AN83" i="28"/>
  <c r="AM83" i="28"/>
  <c r="AL83" i="28"/>
  <c r="AK83" i="28"/>
  <c r="AJ83" i="28"/>
  <c r="AI83" i="28"/>
  <c r="AH83" i="28"/>
  <c r="AG83" i="28"/>
  <c r="AF83" i="28"/>
  <c r="AE83" i="28"/>
  <c r="AD83" i="28"/>
  <c r="AC83" i="28"/>
  <c r="AB83" i="28"/>
  <c r="AA83" i="28"/>
  <c r="Z83" i="28"/>
  <c r="Y83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D83" i="28"/>
  <c r="C83" i="28"/>
  <c r="B83" i="28"/>
  <c r="AN79" i="28"/>
  <c r="AM79" i="28"/>
  <c r="AL79" i="28"/>
  <c r="AK79" i="28"/>
  <c r="AJ79" i="28"/>
  <c r="AI79" i="28"/>
  <c r="AH79" i="28"/>
  <c r="AG79" i="28"/>
  <c r="AF79" i="28"/>
  <c r="AE79" i="28"/>
  <c r="AD79" i="28"/>
  <c r="AC79" i="28"/>
  <c r="AB79" i="28"/>
  <c r="AA79" i="28"/>
  <c r="Z79" i="28"/>
  <c r="Y79" i="28"/>
  <c r="X79" i="28"/>
  <c r="W79" i="28"/>
  <c r="V79" i="28"/>
  <c r="U79" i="28"/>
  <c r="T79" i="28"/>
  <c r="S79" i="28"/>
  <c r="R79" i="28"/>
  <c r="Q79" i="28"/>
  <c r="P79" i="28"/>
  <c r="O79" i="28"/>
  <c r="N79" i="28"/>
  <c r="M79" i="28"/>
  <c r="L79" i="28"/>
  <c r="K79" i="28"/>
  <c r="J79" i="28"/>
  <c r="I79" i="28"/>
  <c r="H79" i="28"/>
  <c r="G79" i="28"/>
  <c r="F79" i="28"/>
  <c r="E79" i="28"/>
  <c r="D79" i="28"/>
  <c r="C79" i="28"/>
  <c r="B79" i="28"/>
  <c r="AN48" i="28"/>
  <c r="AM48" i="28"/>
  <c r="AL48" i="28"/>
  <c r="AK48" i="28"/>
  <c r="AJ48" i="28"/>
  <c r="AI48" i="28"/>
  <c r="AH48" i="28"/>
  <c r="AG48" i="28"/>
  <c r="AF48" i="28"/>
  <c r="AE48" i="28"/>
  <c r="AD48" i="28"/>
  <c r="AC48" i="28"/>
  <c r="AB48" i="28"/>
  <c r="AA48" i="28"/>
  <c r="Z48" i="28"/>
  <c r="Y48" i="28"/>
  <c r="X48" i="28"/>
  <c r="W48" i="28"/>
  <c r="V48" i="28"/>
  <c r="U48" i="28"/>
  <c r="T48" i="28"/>
  <c r="S48" i="28"/>
  <c r="R48" i="28"/>
  <c r="Q48" i="28"/>
  <c r="P48" i="28"/>
  <c r="O48" i="28"/>
  <c r="N48" i="28"/>
  <c r="M48" i="28"/>
  <c r="L48" i="28"/>
  <c r="K48" i="28"/>
  <c r="J48" i="28"/>
  <c r="I48" i="28"/>
  <c r="H48" i="28"/>
  <c r="G48" i="28"/>
  <c r="F48" i="28"/>
  <c r="E48" i="28"/>
  <c r="D48" i="28"/>
  <c r="C48" i="28"/>
  <c r="B48" i="28"/>
  <c r="AN34" i="28"/>
  <c r="AM34" i="28"/>
  <c r="AL34" i="28"/>
  <c r="AK34" i="28"/>
  <c r="AJ34" i="28"/>
  <c r="AI34" i="28"/>
  <c r="AH34" i="28"/>
  <c r="AG34" i="28"/>
  <c r="AF34" i="28"/>
  <c r="AE34" i="28"/>
  <c r="AD34" i="28"/>
  <c r="AC34" i="28"/>
  <c r="AB34" i="28"/>
  <c r="AA34" i="28"/>
  <c r="Z34" i="28"/>
  <c r="Y34" i="28"/>
  <c r="X34" i="28"/>
  <c r="W34" i="28"/>
  <c r="V34" i="28"/>
  <c r="U34" i="28"/>
  <c r="T34" i="28"/>
  <c r="S34" i="28"/>
  <c r="R34" i="28"/>
  <c r="Q34" i="28"/>
  <c r="P34" i="28"/>
  <c r="O34" i="28"/>
  <c r="N34" i="28"/>
  <c r="M34" i="28"/>
  <c r="L34" i="28"/>
  <c r="K34" i="28"/>
  <c r="J34" i="28"/>
  <c r="I34" i="28"/>
  <c r="H34" i="28"/>
  <c r="G34" i="28"/>
  <c r="F34" i="28"/>
  <c r="E34" i="28"/>
  <c r="D34" i="28"/>
  <c r="C34" i="28"/>
  <c r="B34" i="28"/>
  <c r="AN12" i="28"/>
  <c r="AM12" i="28"/>
  <c r="AL12" i="28"/>
  <c r="AK12" i="28"/>
  <c r="AJ12" i="28"/>
  <c r="AI12" i="28"/>
  <c r="AH12" i="28"/>
  <c r="AG12" i="28"/>
  <c r="AF12" i="28"/>
  <c r="AE12" i="28"/>
  <c r="AD12" i="28"/>
  <c r="AC12" i="28"/>
  <c r="AB12" i="28"/>
  <c r="AA12" i="28"/>
  <c r="Z12" i="28"/>
  <c r="Y12" i="28"/>
  <c r="X12" i="28"/>
  <c r="W12" i="28"/>
  <c r="V12" i="28"/>
  <c r="U12" i="28"/>
  <c r="T12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B12" i="28"/>
  <c r="AO231" i="67" l="1"/>
  <c r="AO232" i="67"/>
  <c r="AO233" i="67"/>
  <c r="AO234" i="67"/>
  <c r="AO235" i="67"/>
  <c r="AO236" i="67"/>
  <c r="AO237" i="67"/>
  <c r="AO238" i="67"/>
  <c r="AO239" i="67"/>
  <c r="AO240" i="67"/>
  <c r="AO241" i="67"/>
  <c r="AO242" i="67"/>
  <c r="AO243" i="67"/>
  <c r="AO244" i="67"/>
  <c r="AO245" i="67"/>
  <c r="AO246" i="67"/>
  <c r="AO247" i="67"/>
  <c r="AO248" i="67"/>
  <c r="AO249" i="67"/>
  <c r="AO230" i="67"/>
  <c r="AN231" i="67"/>
  <c r="AN232" i="67"/>
  <c r="AN233" i="67"/>
  <c r="AN234" i="67"/>
  <c r="AN235" i="67"/>
  <c r="AN236" i="67"/>
  <c r="AN237" i="67"/>
  <c r="AN238" i="67"/>
  <c r="AN239" i="67"/>
  <c r="AN240" i="67"/>
  <c r="AN241" i="67"/>
  <c r="AN242" i="67"/>
  <c r="AN243" i="67"/>
  <c r="AN244" i="67"/>
  <c r="AN245" i="67"/>
  <c r="AN246" i="67"/>
  <c r="AN247" i="67"/>
  <c r="AN248" i="67"/>
  <c r="AN249" i="67"/>
  <c r="AN230" i="67"/>
  <c r="AN58" i="25" l="1"/>
  <c r="AM58" i="25"/>
  <c r="AL58" i="25"/>
  <c r="AK58" i="25"/>
  <c r="AJ58" i="25"/>
  <c r="AI58" i="25"/>
  <c r="AH58" i="25"/>
  <c r="AG58" i="25"/>
  <c r="AF58" i="25"/>
  <c r="AE58" i="25"/>
  <c r="AD58" i="25"/>
  <c r="AC58" i="25"/>
  <c r="AB58" i="25"/>
  <c r="AA58" i="25"/>
  <c r="Z58" i="25"/>
  <c r="Y58" i="25"/>
  <c r="X58" i="25"/>
  <c r="W58" i="25"/>
  <c r="V58" i="25"/>
  <c r="U58" i="25"/>
  <c r="T58" i="25"/>
  <c r="S58" i="25"/>
  <c r="R58" i="25"/>
  <c r="Q58" i="25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C58" i="25"/>
  <c r="B58" i="25"/>
  <c r="AN58" i="22"/>
  <c r="AM58" i="22"/>
  <c r="AL58" i="22"/>
  <c r="AK58" i="22"/>
  <c r="AJ58" i="22"/>
  <c r="AI58" i="22"/>
  <c r="AH58" i="22"/>
  <c r="AG58" i="22"/>
  <c r="AF58" i="22"/>
  <c r="AE58" i="22"/>
  <c r="AD58" i="22"/>
  <c r="AC58" i="22"/>
  <c r="AB58" i="22"/>
  <c r="AA58" i="22"/>
  <c r="Z58" i="22"/>
  <c r="Y58" i="22"/>
  <c r="X58" i="22"/>
  <c r="W58" i="22"/>
  <c r="V58" i="22"/>
  <c r="U58" i="22"/>
  <c r="T58" i="22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B58" i="22"/>
  <c r="AN58" i="17"/>
  <c r="AM58" i="17"/>
  <c r="AL58" i="17"/>
  <c r="AK58" i="17"/>
  <c r="AJ58" i="17"/>
  <c r="AI58" i="17"/>
  <c r="AH58" i="17"/>
  <c r="AG58" i="17"/>
  <c r="AF58" i="17"/>
  <c r="AE58" i="17"/>
  <c r="AD58" i="17"/>
  <c r="AC58" i="17"/>
  <c r="AB58" i="17"/>
  <c r="AA58" i="17"/>
  <c r="Z58" i="17"/>
  <c r="Y58" i="17"/>
  <c r="X58" i="17"/>
  <c r="W58" i="17"/>
  <c r="V58" i="17"/>
  <c r="U58" i="17"/>
  <c r="T58" i="17"/>
  <c r="S58" i="17"/>
  <c r="R58" i="17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B58" i="17"/>
  <c r="AN58" i="30"/>
  <c r="AM58" i="30"/>
  <c r="AL58" i="30"/>
  <c r="AK58" i="30"/>
  <c r="AJ58" i="30"/>
  <c r="AI58" i="30"/>
  <c r="AH58" i="30"/>
  <c r="AG58" i="30"/>
  <c r="AF58" i="30"/>
  <c r="AE58" i="30"/>
  <c r="AD58" i="30"/>
  <c r="AC58" i="30"/>
  <c r="AB58" i="30"/>
  <c r="AA58" i="30"/>
  <c r="Z58" i="30"/>
  <c r="Y58" i="30"/>
  <c r="X58" i="30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B58" i="30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AN58" i="23"/>
  <c r="AM58" i="23"/>
  <c r="AL58" i="23"/>
  <c r="AK58" i="23"/>
  <c r="AJ58" i="23"/>
  <c r="AI58" i="23"/>
  <c r="AH58" i="23"/>
  <c r="AG58" i="23"/>
  <c r="AF58" i="23"/>
  <c r="AE58" i="23"/>
  <c r="AD58" i="23"/>
  <c r="AC58" i="23"/>
  <c r="AB58" i="23"/>
  <c r="AA58" i="23"/>
  <c r="Z58" i="23"/>
  <c r="Y58" i="23"/>
  <c r="X58" i="23"/>
  <c r="W58" i="23"/>
  <c r="V58" i="23"/>
  <c r="U58" i="23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G58" i="23"/>
  <c r="F58" i="23"/>
  <c r="E58" i="23"/>
  <c r="D58" i="23"/>
  <c r="C58" i="23"/>
  <c r="B58" i="23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AN58" i="13"/>
  <c r="AM58" i="13"/>
  <c r="AL58" i="13"/>
  <c r="AK58" i="13"/>
  <c r="AJ58" i="13"/>
  <c r="AI58" i="13"/>
  <c r="AH58" i="13"/>
  <c r="AG58" i="13"/>
  <c r="AF58" i="13"/>
  <c r="AE58" i="13"/>
  <c r="AD58" i="13"/>
  <c r="AC58" i="13"/>
  <c r="AB58" i="13"/>
  <c r="AA58" i="13"/>
  <c r="Z58" i="13"/>
  <c r="Y58" i="13"/>
  <c r="X58" i="13"/>
  <c r="W58" i="13"/>
  <c r="V58" i="13"/>
  <c r="U58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B58" i="13"/>
  <c r="AN58" i="11"/>
  <c r="AM58" i="11"/>
  <c r="AL58" i="11"/>
  <c r="AK58" i="11"/>
  <c r="AJ58" i="11"/>
  <c r="AI58" i="11"/>
  <c r="AH58" i="11"/>
  <c r="AG58" i="11"/>
  <c r="AF58" i="11"/>
  <c r="AE58" i="11"/>
  <c r="AD58" i="11"/>
  <c r="AC58" i="11"/>
  <c r="AB58" i="11"/>
  <c r="AA58" i="11"/>
  <c r="Z58" i="11"/>
  <c r="Y58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B58" i="11"/>
  <c r="AN58" i="20"/>
  <c r="AM58" i="20"/>
  <c r="AL58" i="20"/>
  <c r="AK58" i="20"/>
  <c r="AJ58" i="20"/>
  <c r="AI58" i="20"/>
  <c r="AH58" i="20"/>
  <c r="AG58" i="20"/>
  <c r="AF58" i="20"/>
  <c r="AE58" i="20"/>
  <c r="AD58" i="20"/>
  <c r="AC58" i="20"/>
  <c r="AB58" i="20"/>
  <c r="AA58" i="20"/>
  <c r="Z58" i="20"/>
  <c r="Y58" i="20"/>
  <c r="X58" i="20"/>
  <c r="W58" i="20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B58" i="20"/>
  <c r="AN58" i="27"/>
  <c r="AM58" i="27"/>
  <c r="AL58" i="27"/>
  <c r="AK58" i="27"/>
  <c r="AJ58" i="27"/>
  <c r="AI58" i="27"/>
  <c r="AH58" i="27"/>
  <c r="AG58" i="27"/>
  <c r="AF58" i="27"/>
  <c r="AE58" i="27"/>
  <c r="AD58" i="27"/>
  <c r="AC58" i="27"/>
  <c r="AB58" i="27"/>
  <c r="AA58" i="27"/>
  <c r="Z58" i="27"/>
  <c r="Y58" i="27"/>
  <c r="X58" i="27"/>
  <c r="W58" i="27"/>
  <c r="V58" i="27"/>
  <c r="U58" i="27"/>
  <c r="T58" i="27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B58" i="27"/>
  <c r="AN58" i="19"/>
  <c r="AM58" i="19"/>
  <c r="AL58" i="19"/>
  <c r="AK58" i="19"/>
  <c r="AJ58" i="19"/>
  <c r="AI58" i="19"/>
  <c r="AH58" i="19"/>
  <c r="AG58" i="19"/>
  <c r="AF58" i="19"/>
  <c r="AE58" i="19"/>
  <c r="AD58" i="19"/>
  <c r="AC58" i="19"/>
  <c r="AB58" i="19"/>
  <c r="AA58" i="19"/>
  <c r="Z58" i="19"/>
  <c r="Y58" i="19"/>
  <c r="X58" i="19"/>
  <c r="W58" i="19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B58" i="19"/>
  <c r="AN58" i="14"/>
  <c r="AM58" i="14"/>
  <c r="AL58" i="14"/>
  <c r="AK58" i="14"/>
  <c r="AJ58" i="14"/>
  <c r="AI58" i="14"/>
  <c r="AH58" i="14"/>
  <c r="AG58" i="14"/>
  <c r="AF58" i="14"/>
  <c r="AE58" i="14"/>
  <c r="AD58" i="14"/>
  <c r="AC58" i="14"/>
  <c r="AB58" i="14"/>
  <c r="AA58" i="14"/>
  <c r="Z58" i="14"/>
  <c r="Y58" i="14"/>
  <c r="X58" i="14"/>
  <c r="W58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B58" i="14"/>
  <c r="AN58" i="24" l="1"/>
  <c r="AM58" i="24"/>
  <c r="AL58" i="24"/>
  <c r="AK58" i="24"/>
  <c r="AJ58" i="24"/>
  <c r="AI58" i="24"/>
  <c r="AH58" i="24"/>
  <c r="AG58" i="24"/>
  <c r="AF58" i="24"/>
  <c r="AE58" i="24"/>
  <c r="AD58" i="24"/>
  <c r="AC58" i="24"/>
  <c r="AB58" i="24"/>
  <c r="AA58" i="24"/>
  <c r="Z58" i="24"/>
  <c r="Y58" i="24"/>
  <c r="X58" i="24"/>
  <c r="W58" i="24"/>
  <c r="V58" i="24"/>
  <c r="U58" i="24"/>
  <c r="T58" i="24"/>
  <c r="S58" i="24"/>
  <c r="R58" i="24"/>
  <c r="Q58" i="24"/>
  <c r="P58" i="24"/>
  <c r="O58" i="24"/>
  <c r="N58" i="24"/>
  <c r="M58" i="24"/>
  <c r="L58" i="24"/>
  <c r="K58" i="24"/>
  <c r="J58" i="24"/>
  <c r="I58" i="24"/>
  <c r="H58" i="24"/>
  <c r="G58" i="24"/>
  <c r="F58" i="24"/>
  <c r="E58" i="24"/>
  <c r="D58" i="24"/>
  <c r="C58" i="24"/>
  <c r="B58" i="24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B58" i="16"/>
  <c r="AN58" i="15"/>
  <c r="AM58" i="15"/>
  <c r="AL58" i="15"/>
  <c r="AK58" i="15"/>
  <c r="AJ58" i="15"/>
  <c r="AI58" i="15"/>
  <c r="AH58" i="15"/>
  <c r="AG58" i="15"/>
  <c r="AF58" i="15"/>
  <c r="AE58" i="15"/>
  <c r="AD58" i="15"/>
  <c r="AC58" i="15"/>
  <c r="AB58" i="15"/>
  <c r="AA58" i="15"/>
  <c r="Z58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B58" i="15"/>
  <c r="AN58" i="12" l="1"/>
  <c r="AM58" i="12"/>
  <c r="AL58" i="12"/>
  <c r="AK58" i="12"/>
  <c r="AJ58" i="12"/>
  <c r="AI58" i="12"/>
  <c r="AH58" i="12"/>
  <c r="AG58" i="12"/>
  <c r="AF58" i="12"/>
  <c r="AE58" i="12"/>
  <c r="AD58" i="12"/>
  <c r="AC58" i="12"/>
  <c r="AB58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AC249" i="67"/>
  <c r="AB249" i="67"/>
  <c r="AB248" i="67"/>
  <c r="AC247" i="67"/>
  <c r="AB247" i="67"/>
  <c r="AC246" i="67"/>
  <c r="AB246" i="67"/>
  <c r="AB245" i="67"/>
  <c r="AB244" i="67"/>
  <c r="AC243" i="67"/>
  <c r="AB243" i="67"/>
  <c r="AC242" i="67"/>
  <c r="AB242" i="67"/>
  <c r="AC241" i="67"/>
  <c r="AB241" i="67"/>
  <c r="AB240" i="67"/>
  <c r="AB239" i="67"/>
  <c r="AC238" i="67"/>
  <c r="AB238" i="67"/>
  <c r="AC237" i="67"/>
  <c r="AB237" i="67"/>
  <c r="AC236" i="67"/>
  <c r="AB236" i="67"/>
  <c r="AB235" i="67"/>
  <c r="AC234" i="67"/>
  <c r="AB234" i="67"/>
  <c r="AC233" i="67"/>
  <c r="AB233" i="67"/>
  <c r="AC232" i="67"/>
  <c r="AB232" i="67"/>
  <c r="AC231" i="67"/>
  <c r="AB231" i="67"/>
  <c r="AC230" i="67"/>
  <c r="AB230" i="67"/>
  <c r="O231" i="67"/>
  <c r="P231" i="67"/>
  <c r="O232" i="67"/>
  <c r="P232" i="67"/>
  <c r="O233" i="67"/>
  <c r="P233" i="67"/>
  <c r="O234" i="67"/>
  <c r="P234" i="67"/>
  <c r="O235" i="67"/>
  <c r="P235" i="67"/>
  <c r="O236" i="67"/>
  <c r="P236" i="67"/>
  <c r="O237" i="67"/>
  <c r="P237" i="67"/>
  <c r="O238" i="67"/>
  <c r="P238" i="67"/>
  <c r="O239" i="67"/>
  <c r="P239" i="67"/>
  <c r="O240" i="67"/>
  <c r="P240" i="67"/>
  <c r="O241" i="67"/>
  <c r="P241" i="67"/>
  <c r="O242" i="67"/>
  <c r="P242" i="67"/>
  <c r="O243" i="67"/>
  <c r="P243" i="67"/>
  <c r="O244" i="67"/>
  <c r="P244" i="67"/>
  <c r="O245" i="67"/>
  <c r="P245" i="67"/>
  <c r="O246" i="67"/>
  <c r="P246" i="67"/>
  <c r="O247" i="67"/>
  <c r="P247" i="67"/>
  <c r="O248" i="67"/>
  <c r="P248" i="67"/>
  <c r="O249" i="67"/>
  <c r="P249" i="67"/>
  <c r="P230" i="67"/>
  <c r="O230" i="67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D231" i="67"/>
  <c r="E231" i="67"/>
  <c r="F231" i="67" s="1"/>
  <c r="G231" i="67" s="1"/>
  <c r="H231" i="67" s="1"/>
  <c r="I231" i="67" s="1"/>
  <c r="J231" i="67" s="1"/>
  <c r="K231" i="67" s="1"/>
  <c r="L231" i="67" s="1"/>
  <c r="M231" i="67" s="1"/>
  <c r="N231" i="67" s="1"/>
  <c r="D232" i="67"/>
  <c r="E232" i="67"/>
  <c r="F232" i="67" s="1"/>
  <c r="G232" i="67" s="1"/>
  <c r="H232" i="67" s="1"/>
  <c r="I232" i="67" s="1"/>
  <c r="J232" i="67" s="1"/>
  <c r="K232" i="67" s="1"/>
  <c r="L232" i="67" s="1"/>
  <c r="M232" i="67" s="1"/>
  <c r="N232" i="67" s="1"/>
  <c r="Q232" i="67" s="1"/>
  <c r="R232" i="67" s="1"/>
  <c r="S232" i="67" s="1"/>
  <c r="T232" i="67" s="1"/>
  <c r="U232" i="67" s="1"/>
  <c r="V232" i="67" s="1"/>
  <c r="W232" i="67" s="1"/>
  <c r="X232" i="67" s="1"/>
  <c r="Y232" i="67" s="1"/>
  <c r="Z232" i="67" s="1"/>
  <c r="AA232" i="67" s="1"/>
  <c r="AD232" i="67" s="1"/>
  <c r="AE232" i="67" s="1"/>
  <c r="AF232" i="67" s="1"/>
  <c r="AG232" i="67" s="1"/>
  <c r="AH232" i="67" s="1"/>
  <c r="AI232" i="67" s="1"/>
  <c r="AJ232" i="67" s="1"/>
  <c r="AK232" i="67" s="1"/>
  <c r="AL232" i="67" s="1"/>
  <c r="AM232" i="67" s="1"/>
  <c r="D233" i="67"/>
  <c r="E233" i="67"/>
  <c r="F233" i="67" s="1"/>
  <c r="G233" i="67" s="1"/>
  <c r="H233" i="67" s="1"/>
  <c r="I233" i="67" s="1"/>
  <c r="J233" i="67" s="1"/>
  <c r="K233" i="67" s="1"/>
  <c r="L233" i="67" s="1"/>
  <c r="M233" i="67" s="1"/>
  <c r="N233" i="67" s="1"/>
  <c r="D234" i="67"/>
  <c r="E234" i="67"/>
  <c r="F234" i="67" s="1"/>
  <c r="G234" i="67" s="1"/>
  <c r="H234" i="67" s="1"/>
  <c r="I234" i="67" s="1"/>
  <c r="J234" i="67" s="1"/>
  <c r="K234" i="67" s="1"/>
  <c r="L234" i="67" s="1"/>
  <c r="M234" i="67" s="1"/>
  <c r="N234" i="67" s="1"/>
  <c r="Q234" i="67" s="1"/>
  <c r="R234" i="67" s="1"/>
  <c r="S234" i="67" s="1"/>
  <c r="T234" i="67" s="1"/>
  <c r="U234" i="67" s="1"/>
  <c r="V234" i="67" s="1"/>
  <c r="W234" i="67" s="1"/>
  <c r="X234" i="67" s="1"/>
  <c r="Y234" i="67" s="1"/>
  <c r="Z234" i="67" s="1"/>
  <c r="AA234" i="67" s="1"/>
  <c r="D235" i="67"/>
  <c r="E235" i="67"/>
  <c r="F235" i="67" s="1"/>
  <c r="G235" i="67"/>
  <c r="H235" i="67" s="1"/>
  <c r="I235" i="67" s="1"/>
  <c r="J235" i="67" s="1"/>
  <c r="K235" i="67" s="1"/>
  <c r="L235" i="67" s="1"/>
  <c r="M235" i="67" s="1"/>
  <c r="N235" i="67" s="1"/>
  <c r="D236" i="67"/>
  <c r="E236" i="67"/>
  <c r="F236" i="67" s="1"/>
  <c r="G236" i="67" s="1"/>
  <c r="H236" i="67" s="1"/>
  <c r="I236" i="67" s="1"/>
  <c r="J236" i="67" s="1"/>
  <c r="K236" i="67" s="1"/>
  <c r="L236" i="67" s="1"/>
  <c r="M236" i="67" s="1"/>
  <c r="N236" i="67" s="1"/>
  <c r="Q236" i="67" s="1"/>
  <c r="R236" i="67" s="1"/>
  <c r="S236" i="67" s="1"/>
  <c r="T236" i="67" s="1"/>
  <c r="U236" i="67" s="1"/>
  <c r="V236" i="67" s="1"/>
  <c r="W236" i="67" s="1"/>
  <c r="X236" i="67" s="1"/>
  <c r="Y236" i="67" s="1"/>
  <c r="Z236" i="67" s="1"/>
  <c r="AA236" i="67" s="1"/>
  <c r="AD236" i="67" s="1"/>
  <c r="AE236" i="67" s="1"/>
  <c r="AF236" i="67" s="1"/>
  <c r="AG236" i="67" s="1"/>
  <c r="AH236" i="67" s="1"/>
  <c r="AI236" i="67" s="1"/>
  <c r="AJ236" i="67" s="1"/>
  <c r="AK236" i="67" s="1"/>
  <c r="AL236" i="67" s="1"/>
  <c r="AM236" i="67" s="1"/>
  <c r="D237" i="67"/>
  <c r="E237" i="67"/>
  <c r="F237" i="67" s="1"/>
  <c r="G237" i="67" s="1"/>
  <c r="H237" i="67" s="1"/>
  <c r="I237" i="67" s="1"/>
  <c r="J237" i="67" s="1"/>
  <c r="K237" i="67" s="1"/>
  <c r="L237" i="67" s="1"/>
  <c r="M237" i="67" s="1"/>
  <c r="N237" i="67" s="1"/>
  <c r="D238" i="67"/>
  <c r="E238" i="67"/>
  <c r="F238" i="67" s="1"/>
  <c r="G238" i="67" s="1"/>
  <c r="H238" i="67" s="1"/>
  <c r="I238" i="67" s="1"/>
  <c r="J238" i="67" s="1"/>
  <c r="K238" i="67" s="1"/>
  <c r="L238" i="67" s="1"/>
  <c r="M238" i="67" s="1"/>
  <c r="N238" i="67" s="1"/>
  <c r="Q238" i="67" s="1"/>
  <c r="R238" i="67" s="1"/>
  <c r="S238" i="67" s="1"/>
  <c r="T238" i="67" s="1"/>
  <c r="U238" i="67" s="1"/>
  <c r="V238" i="67" s="1"/>
  <c r="W238" i="67" s="1"/>
  <c r="X238" i="67" s="1"/>
  <c r="Y238" i="67" s="1"/>
  <c r="Z238" i="67" s="1"/>
  <c r="AA238" i="67" s="1"/>
  <c r="AD238" i="67" s="1"/>
  <c r="AE238" i="67" s="1"/>
  <c r="AF238" i="67" s="1"/>
  <c r="AG238" i="67" s="1"/>
  <c r="AH238" i="67" s="1"/>
  <c r="AI238" i="67" s="1"/>
  <c r="AJ238" i="67" s="1"/>
  <c r="AK238" i="67" s="1"/>
  <c r="AL238" i="67" s="1"/>
  <c r="AM238" i="67" s="1"/>
  <c r="D239" i="67"/>
  <c r="E239" i="67"/>
  <c r="F239" i="67" s="1"/>
  <c r="G239" i="67"/>
  <c r="H239" i="67" s="1"/>
  <c r="I239" i="67" s="1"/>
  <c r="J239" i="67" s="1"/>
  <c r="K239" i="67" s="1"/>
  <c r="L239" i="67" s="1"/>
  <c r="M239" i="67" s="1"/>
  <c r="N239" i="67" s="1"/>
  <c r="D240" i="67"/>
  <c r="E240" i="67"/>
  <c r="F240" i="67" s="1"/>
  <c r="G240" i="67"/>
  <c r="H240" i="67" s="1"/>
  <c r="I240" i="67"/>
  <c r="J240" i="67" s="1"/>
  <c r="K240" i="67" s="1"/>
  <c r="L240" i="67" s="1"/>
  <c r="M240" i="67" s="1"/>
  <c r="N240" i="67" s="1"/>
  <c r="Q240" i="67" s="1"/>
  <c r="R240" i="67" s="1"/>
  <c r="S240" i="67" s="1"/>
  <c r="T240" i="67" s="1"/>
  <c r="U240" i="67" s="1"/>
  <c r="V240" i="67" s="1"/>
  <c r="W240" i="67" s="1"/>
  <c r="X240" i="67" s="1"/>
  <c r="Y240" i="67" s="1"/>
  <c r="Z240" i="67" s="1"/>
  <c r="AA240" i="67" s="1"/>
  <c r="AD240" i="67" s="1"/>
  <c r="AE240" i="67" s="1"/>
  <c r="AF240" i="67" s="1"/>
  <c r="AG240" i="67" s="1"/>
  <c r="AH240" i="67" s="1"/>
  <c r="AI240" i="67" s="1"/>
  <c r="AJ240" i="67" s="1"/>
  <c r="AK240" i="67" s="1"/>
  <c r="AL240" i="67" s="1"/>
  <c r="AM240" i="67" s="1"/>
  <c r="D241" i="67"/>
  <c r="E241" i="67"/>
  <c r="F241" i="67" s="1"/>
  <c r="G241" i="67"/>
  <c r="H241" i="67" s="1"/>
  <c r="I241" i="67"/>
  <c r="J241" i="67" s="1"/>
  <c r="K241" i="67" s="1"/>
  <c r="L241" i="67" s="1"/>
  <c r="M241" i="67" s="1"/>
  <c r="N241" i="67" s="1"/>
  <c r="Q241" i="67" s="1"/>
  <c r="R241" i="67" s="1"/>
  <c r="S241" i="67" s="1"/>
  <c r="T241" i="67" s="1"/>
  <c r="U241" i="67" s="1"/>
  <c r="V241" i="67" s="1"/>
  <c r="W241" i="67" s="1"/>
  <c r="X241" i="67" s="1"/>
  <c r="Y241" i="67" s="1"/>
  <c r="Z241" i="67" s="1"/>
  <c r="AA241" i="67" s="1"/>
  <c r="AD241" i="67" s="1"/>
  <c r="AE241" i="67" s="1"/>
  <c r="AF241" i="67" s="1"/>
  <c r="AG241" i="67" s="1"/>
  <c r="AH241" i="67" s="1"/>
  <c r="AI241" i="67" s="1"/>
  <c r="AJ241" i="67" s="1"/>
  <c r="AK241" i="67" s="1"/>
  <c r="AL241" i="67" s="1"/>
  <c r="AM241" i="67" s="1"/>
  <c r="D242" i="67"/>
  <c r="E242" i="67"/>
  <c r="F242" i="67" s="1"/>
  <c r="G242" i="67" s="1"/>
  <c r="H242" i="67" s="1"/>
  <c r="I242" i="67"/>
  <c r="J242" i="67" s="1"/>
  <c r="K242" i="67"/>
  <c r="L242" i="67" s="1"/>
  <c r="M242" i="67" s="1"/>
  <c r="N242" i="67" s="1"/>
  <c r="Q242" i="67" s="1"/>
  <c r="R242" i="67" s="1"/>
  <c r="S242" i="67" s="1"/>
  <c r="T242" i="67" s="1"/>
  <c r="U242" i="67" s="1"/>
  <c r="V242" i="67" s="1"/>
  <c r="W242" i="67" s="1"/>
  <c r="X242" i="67" s="1"/>
  <c r="Y242" i="67" s="1"/>
  <c r="Z242" i="67" s="1"/>
  <c r="AA242" i="67" s="1"/>
  <c r="AD242" i="67" s="1"/>
  <c r="AE242" i="67" s="1"/>
  <c r="AF242" i="67" s="1"/>
  <c r="AG242" i="67" s="1"/>
  <c r="AH242" i="67" s="1"/>
  <c r="AI242" i="67" s="1"/>
  <c r="AJ242" i="67" s="1"/>
  <c r="AK242" i="67" s="1"/>
  <c r="AL242" i="67" s="1"/>
  <c r="AM242" i="67" s="1"/>
  <c r="D243" i="67"/>
  <c r="E243" i="67"/>
  <c r="F243" i="67" s="1"/>
  <c r="G243" i="67"/>
  <c r="H243" i="67" s="1"/>
  <c r="I243" i="67" s="1"/>
  <c r="J243" i="67" s="1"/>
  <c r="K243" i="67"/>
  <c r="L243" i="67" s="1"/>
  <c r="M243" i="67"/>
  <c r="N243" i="67" s="1"/>
  <c r="Q243" i="67" s="1"/>
  <c r="R243" i="67" s="1"/>
  <c r="S243" i="67" s="1"/>
  <c r="T243" i="67" s="1"/>
  <c r="U243" i="67" s="1"/>
  <c r="V243" i="67" s="1"/>
  <c r="W243" i="67" s="1"/>
  <c r="X243" i="67" s="1"/>
  <c r="Y243" i="67" s="1"/>
  <c r="Z243" i="67" s="1"/>
  <c r="AA243" i="67" s="1"/>
  <c r="AD243" i="67" s="1"/>
  <c r="AE243" i="67" s="1"/>
  <c r="AF243" i="67" s="1"/>
  <c r="AG243" i="67" s="1"/>
  <c r="AH243" i="67" s="1"/>
  <c r="AI243" i="67" s="1"/>
  <c r="AJ243" i="67" s="1"/>
  <c r="AK243" i="67" s="1"/>
  <c r="AL243" i="67" s="1"/>
  <c r="AM243" i="67" s="1"/>
  <c r="D244" i="67"/>
  <c r="E244" i="67"/>
  <c r="F244" i="67" s="1"/>
  <c r="G244" i="67" s="1"/>
  <c r="H244" i="67" s="1"/>
  <c r="I244" i="67" s="1"/>
  <c r="J244" i="67" s="1"/>
  <c r="K244" i="67" s="1"/>
  <c r="L244" i="67" s="1"/>
  <c r="M244" i="67" s="1"/>
  <c r="N244" i="67" s="1"/>
  <c r="Q244" i="67" s="1"/>
  <c r="R244" i="67" s="1"/>
  <c r="S244" i="67" s="1"/>
  <c r="T244" i="67" s="1"/>
  <c r="U244" i="67" s="1"/>
  <c r="V244" i="67" s="1"/>
  <c r="W244" i="67" s="1"/>
  <c r="X244" i="67" s="1"/>
  <c r="Y244" i="67" s="1"/>
  <c r="Z244" i="67" s="1"/>
  <c r="AA244" i="67" s="1"/>
  <c r="AD244" i="67" s="1"/>
  <c r="AE244" i="67" s="1"/>
  <c r="AF244" i="67" s="1"/>
  <c r="AG244" i="67" s="1"/>
  <c r="AH244" i="67" s="1"/>
  <c r="AI244" i="67" s="1"/>
  <c r="AJ244" i="67" s="1"/>
  <c r="AK244" i="67" s="1"/>
  <c r="AL244" i="67" s="1"/>
  <c r="AM244" i="67" s="1"/>
  <c r="D245" i="67"/>
  <c r="E245" i="67"/>
  <c r="F245" i="67" s="1"/>
  <c r="G245" i="67" s="1"/>
  <c r="H245" i="67" s="1"/>
  <c r="I245" i="67" s="1"/>
  <c r="J245" i="67" s="1"/>
  <c r="K245" i="67" s="1"/>
  <c r="L245" i="67" s="1"/>
  <c r="M245" i="67" s="1"/>
  <c r="N245" i="67" s="1"/>
  <c r="Q245" i="67" s="1"/>
  <c r="R245" i="67" s="1"/>
  <c r="S245" i="67" s="1"/>
  <c r="T245" i="67" s="1"/>
  <c r="U245" i="67" s="1"/>
  <c r="V245" i="67" s="1"/>
  <c r="W245" i="67" s="1"/>
  <c r="X245" i="67" s="1"/>
  <c r="Y245" i="67" s="1"/>
  <c r="Z245" i="67" s="1"/>
  <c r="AA245" i="67" s="1"/>
  <c r="AD245" i="67" s="1"/>
  <c r="AE245" i="67" s="1"/>
  <c r="AF245" i="67" s="1"/>
  <c r="AG245" i="67" s="1"/>
  <c r="AH245" i="67" s="1"/>
  <c r="AI245" i="67" s="1"/>
  <c r="AJ245" i="67" s="1"/>
  <c r="AK245" i="67" s="1"/>
  <c r="AL245" i="67" s="1"/>
  <c r="AM245" i="67" s="1"/>
  <c r="D246" i="67"/>
  <c r="E246" i="67"/>
  <c r="F246" i="67" s="1"/>
  <c r="G246" i="67" s="1"/>
  <c r="H246" i="67" s="1"/>
  <c r="I246" i="67" s="1"/>
  <c r="J246" i="67" s="1"/>
  <c r="K246" i="67" s="1"/>
  <c r="L246" i="67" s="1"/>
  <c r="M246" i="67" s="1"/>
  <c r="N246" i="67" s="1"/>
  <c r="Q246" i="67" s="1"/>
  <c r="R246" i="67" s="1"/>
  <c r="S246" i="67" s="1"/>
  <c r="T246" i="67" s="1"/>
  <c r="U246" i="67" s="1"/>
  <c r="V246" i="67" s="1"/>
  <c r="W246" i="67" s="1"/>
  <c r="X246" i="67" s="1"/>
  <c r="Y246" i="67" s="1"/>
  <c r="Z246" i="67" s="1"/>
  <c r="AA246" i="67" s="1"/>
  <c r="AD246" i="67" s="1"/>
  <c r="AE246" i="67" s="1"/>
  <c r="AF246" i="67" s="1"/>
  <c r="AG246" i="67" s="1"/>
  <c r="AH246" i="67" s="1"/>
  <c r="AI246" i="67" s="1"/>
  <c r="AJ246" i="67" s="1"/>
  <c r="AK246" i="67" s="1"/>
  <c r="AL246" i="67" s="1"/>
  <c r="AM246" i="67" s="1"/>
  <c r="D247" i="67"/>
  <c r="E247" i="67"/>
  <c r="F247" i="67" s="1"/>
  <c r="G247" i="67"/>
  <c r="H247" i="67" s="1"/>
  <c r="I247" i="67" s="1"/>
  <c r="J247" i="67" s="1"/>
  <c r="K247" i="67" s="1"/>
  <c r="L247" i="67" s="1"/>
  <c r="M247" i="67" s="1"/>
  <c r="N247" i="67" s="1"/>
  <c r="D248" i="67"/>
  <c r="E248" i="67"/>
  <c r="F248" i="67" s="1"/>
  <c r="G248" i="67" s="1"/>
  <c r="H248" i="67" s="1"/>
  <c r="I248" i="67" s="1"/>
  <c r="J248" i="67" s="1"/>
  <c r="K248" i="67" s="1"/>
  <c r="L248" i="67" s="1"/>
  <c r="M248" i="67" s="1"/>
  <c r="N248" i="67" s="1"/>
  <c r="Q248" i="67" s="1"/>
  <c r="R248" i="67" s="1"/>
  <c r="S248" i="67" s="1"/>
  <c r="T248" i="67" s="1"/>
  <c r="U248" i="67" s="1"/>
  <c r="V248" i="67" s="1"/>
  <c r="W248" i="67" s="1"/>
  <c r="X248" i="67" s="1"/>
  <c r="Y248" i="67" s="1"/>
  <c r="Z248" i="67" s="1"/>
  <c r="AA248" i="67" s="1"/>
  <c r="AD248" i="67" s="1"/>
  <c r="AE248" i="67" s="1"/>
  <c r="AF248" i="67" s="1"/>
  <c r="AG248" i="67" s="1"/>
  <c r="AH248" i="67" s="1"/>
  <c r="AI248" i="67" s="1"/>
  <c r="AJ248" i="67" s="1"/>
  <c r="AK248" i="67" s="1"/>
  <c r="AL248" i="67" s="1"/>
  <c r="AM248" i="67" s="1"/>
  <c r="D249" i="67"/>
  <c r="E249" i="67"/>
  <c r="F249" i="67" s="1"/>
  <c r="G249" i="67" s="1"/>
  <c r="H249" i="67" s="1"/>
  <c r="I249" i="67" s="1"/>
  <c r="J249" i="67" s="1"/>
  <c r="K249" i="67" s="1"/>
  <c r="L249" i="67" s="1"/>
  <c r="M249" i="67" s="1"/>
  <c r="N249" i="67" s="1"/>
  <c r="E230" i="67"/>
  <c r="F230" i="67" s="1"/>
  <c r="G230" i="67" s="1"/>
  <c r="H230" i="67" s="1"/>
  <c r="I230" i="67" s="1"/>
  <c r="J230" i="67" s="1"/>
  <c r="K230" i="67" s="1"/>
  <c r="L230" i="67" s="1"/>
  <c r="M230" i="67" s="1"/>
  <c r="N230" i="67" s="1"/>
  <c r="D230" i="67"/>
  <c r="C228" i="67"/>
  <c r="O228" i="67" s="1"/>
  <c r="AO228" i="67"/>
  <c r="AB228" i="67"/>
  <c r="AD234" i="67" l="1"/>
  <c r="AE234" i="67" s="1"/>
  <c r="AF234" i="67" s="1"/>
  <c r="AG234" i="67" s="1"/>
  <c r="AH234" i="67" s="1"/>
  <c r="AI234" i="67" s="1"/>
  <c r="AJ234" i="67" s="1"/>
  <c r="AK234" i="67" s="1"/>
  <c r="AL234" i="67" s="1"/>
  <c r="AM234" i="67" s="1"/>
  <c r="Q235" i="67"/>
  <c r="R235" i="67" s="1"/>
  <c r="S235" i="67" s="1"/>
  <c r="T235" i="67" s="1"/>
  <c r="U235" i="67" s="1"/>
  <c r="V235" i="67" s="1"/>
  <c r="W235" i="67" s="1"/>
  <c r="X235" i="67" s="1"/>
  <c r="Y235" i="67" s="1"/>
  <c r="Z235" i="67" s="1"/>
  <c r="AA235" i="67" s="1"/>
  <c r="AD235" i="67" s="1"/>
  <c r="Q249" i="67"/>
  <c r="R249" i="67" s="1"/>
  <c r="S249" i="67" s="1"/>
  <c r="T249" i="67" s="1"/>
  <c r="U249" i="67" s="1"/>
  <c r="V249" i="67" s="1"/>
  <c r="W249" i="67" s="1"/>
  <c r="X249" i="67" s="1"/>
  <c r="Y249" i="67" s="1"/>
  <c r="Z249" i="67" s="1"/>
  <c r="AA249" i="67" s="1"/>
  <c r="AD249" i="67" s="1"/>
  <c r="AE249" i="67" s="1"/>
  <c r="AF249" i="67" s="1"/>
  <c r="AG249" i="67" s="1"/>
  <c r="AH249" i="67" s="1"/>
  <c r="AI249" i="67" s="1"/>
  <c r="AJ249" i="67" s="1"/>
  <c r="AK249" i="67" s="1"/>
  <c r="AL249" i="67" s="1"/>
  <c r="AM249" i="67" s="1"/>
  <c r="Q231" i="67"/>
  <c r="R231" i="67" s="1"/>
  <c r="S231" i="67" s="1"/>
  <c r="T231" i="67" s="1"/>
  <c r="U231" i="67" s="1"/>
  <c r="V231" i="67" s="1"/>
  <c r="W231" i="67" s="1"/>
  <c r="X231" i="67" s="1"/>
  <c r="Y231" i="67" s="1"/>
  <c r="Z231" i="67" s="1"/>
  <c r="AA231" i="67" s="1"/>
  <c r="AD231" i="67" s="1"/>
  <c r="AE231" i="67" s="1"/>
  <c r="AF231" i="67" s="1"/>
  <c r="AG231" i="67" s="1"/>
  <c r="AH231" i="67" s="1"/>
  <c r="AI231" i="67" s="1"/>
  <c r="AJ231" i="67" s="1"/>
  <c r="AK231" i="67" s="1"/>
  <c r="AL231" i="67" s="1"/>
  <c r="AM231" i="67" s="1"/>
  <c r="Q237" i="67"/>
  <c r="R237" i="67" s="1"/>
  <c r="S237" i="67" s="1"/>
  <c r="T237" i="67" s="1"/>
  <c r="U237" i="67" s="1"/>
  <c r="V237" i="67" s="1"/>
  <c r="W237" i="67" s="1"/>
  <c r="X237" i="67" s="1"/>
  <c r="Y237" i="67" s="1"/>
  <c r="Z237" i="67" s="1"/>
  <c r="AA237" i="67" s="1"/>
  <c r="AD237" i="67" s="1"/>
  <c r="AE237" i="67" s="1"/>
  <c r="AF237" i="67" s="1"/>
  <c r="AG237" i="67" s="1"/>
  <c r="AH237" i="67" s="1"/>
  <c r="AI237" i="67" s="1"/>
  <c r="AJ237" i="67" s="1"/>
  <c r="AK237" i="67" s="1"/>
  <c r="AL237" i="67" s="1"/>
  <c r="AM237" i="67" s="1"/>
  <c r="Q247" i="67"/>
  <c r="R247" i="67" s="1"/>
  <c r="S247" i="67" s="1"/>
  <c r="T247" i="67" s="1"/>
  <c r="U247" i="67" s="1"/>
  <c r="V247" i="67" s="1"/>
  <c r="W247" i="67" s="1"/>
  <c r="X247" i="67" s="1"/>
  <c r="Y247" i="67" s="1"/>
  <c r="Z247" i="67" s="1"/>
  <c r="AA247" i="67" s="1"/>
  <c r="AD247" i="67" s="1"/>
  <c r="AE247" i="67" s="1"/>
  <c r="AF247" i="67" s="1"/>
  <c r="AG247" i="67" s="1"/>
  <c r="AH247" i="67" s="1"/>
  <c r="AI247" i="67" s="1"/>
  <c r="AJ247" i="67" s="1"/>
  <c r="AK247" i="67" s="1"/>
  <c r="AL247" i="67" s="1"/>
  <c r="AM247" i="67" s="1"/>
  <c r="Q233" i="67"/>
  <c r="R233" i="67" s="1"/>
  <c r="S233" i="67" s="1"/>
  <c r="T233" i="67" s="1"/>
  <c r="U233" i="67" s="1"/>
  <c r="V233" i="67" s="1"/>
  <c r="W233" i="67" s="1"/>
  <c r="X233" i="67" s="1"/>
  <c r="Y233" i="67" s="1"/>
  <c r="Z233" i="67" s="1"/>
  <c r="AA233" i="67" s="1"/>
  <c r="AD233" i="67" s="1"/>
  <c r="AE233" i="67" s="1"/>
  <c r="AF233" i="67" s="1"/>
  <c r="AG233" i="67" s="1"/>
  <c r="AH233" i="67" s="1"/>
  <c r="AI233" i="67" s="1"/>
  <c r="AJ233" i="67" s="1"/>
  <c r="AK233" i="67" s="1"/>
  <c r="AL233" i="67" s="1"/>
  <c r="AM233" i="67" s="1"/>
  <c r="Q239" i="67"/>
  <c r="R239" i="67" s="1"/>
  <c r="S239" i="67" s="1"/>
  <c r="T239" i="67" s="1"/>
  <c r="U239" i="67" s="1"/>
  <c r="V239" i="67" s="1"/>
  <c r="W239" i="67" s="1"/>
  <c r="X239" i="67" s="1"/>
  <c r="Y239" i="67" s="1"/>
  <c r="Z239" i="67" s="1"/>
  <c r="AA239" i="67" s="1"/>
  <c r="AD239" i="67" s="1"/>
  <c r="Q230" i="67"/>
  <c r="R230" i="67" s="1"/>
  <c r="S230" i="67" s="1"/>
  <c r="O58" i="10"/>
  <c r="P58" i="10"/>
  <c r="AE239" i="67" l="1"/>
  <c r="AF239" i="67" s="1"/>
  <c r="AG239" i="67" s="1"/>
  <c r="AH239" i="67" s="1"/>
  <c r="AI239" i="67" s="1"/>
  <c r="AJ239" i="67" s="1"/>
  <c r="AK239" i="67" s="1"/>
  <c r="AL239" i="67" s="1"/>
  <c r="AM239" i="67" s="1"/>
  <c r="AE235" i="67"/>
  <c r="AF235" i="67" s="1"/>
  <c r="AG235" i="67" s="1"/>
  <c r="AH235" i="67" s="1"/>
  <c r="AI235" i="67" s="1"/>
  <c r="AJ235" i="67" s="1"/>
  <c r="AK235" i="67" s="1"/>
  <c r="AL235" i="67" s="1"/>
  <c r="AM235" i="67" s="1"/>
  <c r="T230" i="67"/>
  <c r="R58" i="10"/>
  <c r="Q58" i="10"/>
  <c r="U230" i="67" l="1"/>
  <c r="S58" i="10"/>
  <c r="V230" i="67" l="1"/>
  <c r="T58" i="10"/>
  <c r="W230" i="67" l="1"/>
  <c r="U58" i="10"/>
  <c r="X230" i="67" l="1"/>
  <c r="V58" i="10"/>
  <c r="Y230" i="67" l="1"/>
  <c r="W58" i="10"/>
  <c r="Z230" i="67" l="1"/>
  <c r="X58" i="10"/>
  <c r="AA230" i="67" l="1"/>
  <c r="Y58" i="10"/>
  <c r="O140" i="67"/>
  <c r="AB140" i="67"/>
  <c r="AO140" i="67"/>
  <c r="Z58" i="10" l="1"/>
  <c r="AA58" i="10"/>
  <c r="AD230" i="67" l="1"/>
  <c r="AB58" i="10"/>
  <c r="AE230" i="67" l="1"/>
  <c r="AC58" i="10"/>
  <c r="AF230" i="67" l="1"/>
  <c r="AD58" i="10"/>
  <c r="AG230" i="67" l="1"/>
  <c r="AE58" i="10"/>
  <c r="AH230" i="67" l="1"/>
  <c r="AF58" i="10"/>
  <c r="AI230" i="67" l="1"/>
  <c r="AG58" i="10"/>
  <c r="AJ230" i="67" l="1"/>
  <c r="AH58" i="10"/>
  <c r="AK230" i="67" l="1"/>
  <c r="AI58" i="10"/>
  <c r="AL230" i="67" l="1"/>
  <c r="AJ58" i="10"/>
  <c r="AM230" i="67" l="1"/>
  <c r="AK58" i="10"/>
  <c r="AL58" i="10" l="1"/>
  <c r="AM58" i="10" l="1"/>
  <c r="AN58" i="10"/>
  <c r="C76" i="67" l="1"/>
  <c r="B48" i="15" s="1"/>
  <c r="D76" i="67"/>
  <c r="C48" i="15" s="1"/>
  <c r="E76" i="67"/>
  <c r="D48" i="15" s="1"/>
  <c r="F76" i="67"/>
  <c r="E48" i="15" s="1"/>
  <c r="G76" i="67"/>
  <c r="F48" i="15" s="1"/>
  <c r="H76" i="67"/>
  <c r="G48" i="15" s="1"/>
  <c r="I76" i="67"/>
  <c r="H48" i="15" s="1"/>
  <c r="J76" i="67"/>
  <c r="I48" i="15" s="1"/>
  <c r="K76" i="67"/>
  <c r="J48" i="15" s="1"/>
  <c r="L76" i="67"/>
  <c r="K48" i="15" s="1"/>
  <c r="M76" i="67"/>
  <c r="L48" i="15" s="1"/>
  <c r="N76" i="67"/>
  <c r="M48" i="15" s="1"/>
  <c r="O76" i="67"/>
  <c r="N48" i="15" s="1"/>
  <c r="AB158" i="67" l="1"/>
  <c r="AA94" i="29" s="1"/>
  <c r="AA158" i="67"/>
  <c r="Z94" i="29" s="1"/>
  <c r="Z158" i="67"/>
  <c r="Y94" i="29" s="1"/>
  <c r="Y158" i="67"/>
  <c r="X94" i="29" s="1"/>
  <c r="Y153" i="67"/>
  <c r="X55" i="29" s="1"/>
  <c r="Z153" i="67"/>
  <c r="Y55" i="29" s="1"/>
  <c r="AA153" i="67"/>
  <c r="Z55" i="29" s="1"/>
  <c r="AB153" i="67"/>
  <c r="AA55" i="29" s="1"/>
  <c r="AB152" i="67"/>
  <c r="AA41" i="29" s="1"/>
  <c r="AA152" i="67"/>
  <c r="Z41" i="29" s="1"/>
  <c r="Z152" i="67"/>
  <c r="Y41" i="29" s="1"/>
  <c r="Y152" i="67"/>
  <c r="X41" i="29" s="1"/>
  <c r="X152" i="67"/>
  <c r="W41" i="29" s="1"/>
  <c r="Y150" i="67"/>
  <c r="X20" i="29" s="1"/>
  <c r="Z150" i="67"/>
  <c r="Y20" i="29" s="1"/>
  <c r="AA150" i="67"/>
  <c r="Z20" i="29" s="1"/>
  <c r="AB150" i="67"/>
  <c r="AA20" i="29" s="1"/>
  <c r="X150" i="67"/>
  <c r="W20" i="29" s="1"/>
  <c r="AO184" i="67"/>
  <c r="AN27" i="24" s="1"/>
  <c r="AB184" i="67"/>
  <c r="AA27" i="24" s="1"/>
  <c r="R76" i="67"/>
  <c r="Q48" i="15" s="1"/>
  <c r="P76" i="67"/>
  <c r="O48" i="15" s="1"/>
  <c r="Z184" i="67" l="1"/>
  <c r="Y27" i="24" s="1"/>
  <c r="X184" i="67"/>
  <c r="W27" i="24" s="1"/>
  <c r="W184" i="67"/>
  <c r="V27" i="24" s="1"/>
  <c r="AN27" i="21"/>
  <c r="AF140" i="67"/>
  <c r="AE27" i="21" s="1"/>
  <c r="AD140" i="67"/>
  <c r="AC27" i="21" s="1"/>
  <c r="AE140" i="67"/>
  <c r="AD27" i="21" s="1"/>
  <c r="AA27" i="21"/>
  <c r="N27" i="21"/>
  <c r="AA140" i="67"/>
  <c r="Z27" i="21" s="1"/>
  <c r="AM41" i="67"/>
  <c r="AL27" i="12" s="1"/>
  <c r="X41" i="67"/>
  <c r="W27" i="12" s="1"/>
  <c r="W41" i="67"/>
  <c r="V27" i="12" s="1"/>
  <c r="K41" i="67"/>
  <c r="J27" i="12" s="1"/>
  <c r="X140" i="67"/>
  <c r="W27" i="21" s="1"/>
  <c r="W140" i="67"/>
  <c r="V27" i="21" s="1"/>
  <c r="Q41" i="67"/>
  <c r="P27" i="12" s="1"/>
  <c r="U140" i="67"/>
  <c r="T27" i="21" s="1"/>
  <c r="M184" i="67"/>
  <c r="L27" i="24" s="1"/>
  <c r="J140" i="67"/>
  <c r="I27" i="21" s="1"/>
  <c r="H140" i="67"/>
  <c r="G27" i="21" s="1"/>
  <c r="G140" i="67"/>
  <c r="F27" i="21" s="1"/>
  <c r="G41" i="67"/>
  <c r="F27" i="12" s="1"/>
  <c r="AF8" i="67"/>
  <c r="AE27" i="10" s="1"/>
  <c r="AN8" i="67"/>
  <c r="AM27" i="10" s="1"/>
  <c r="AM8" i="67"/>
  <c r="AL27" i="10" s="1"/>
  <c r="AK8" i="67"/>
  <c r="AJ27" i="10" s="1"/>
  <c r="AJ8" i="67"/>
  <c r="AI27" i="10" s="1"/>
  <c r="AH8" i="67"/>
  <c r="AG27" i="10" s="1"/>
  <c r="AE8" i="67"/>
  <c r="AD27" i="10" s="1"/>
  <c r="AD8" i="67"/>
  <c r="AC27" i="10" s="1"/>
  <c r="AC8" i="67"/>
  <c r="AB27" i="10" s="1"/>
  <c r="AI8" i="67"/>
  <c r="AH27" i="10" s="1"/>
  <c r="X8" i="67"/>
  <c r="W27" i="10" s="1"/>
  <c r="AA8" i="67"/>
  <c r="Z27" i="10" s="1"/>
  <c r="Z8" i="67"/>
  <c r="Y27" i="10" s="1"/>
  <c r="W8" i="67"/>
  <c r="V27" i="10" s="1"/>
  <c r="G8" i="67"/>
  <c r="F27" i="10" s="1"/>
  <c r="C8" i="67"/>
  <c r="B27" i="10" s="1"/>
  <c r="C9" i="67"/>
  <c r="B34" i="10" s="1"/>
  <c r="C10" i="67"/>
  <c r="B48" i="10" s="1"/>
  <c r="C11" i="67"/>
  <c r="B69" i="10" s="1"/>
  <c r="C12" i="67"/>
  <c r="B79" i="10" s="1"/>
  <c r="C13" i="67"/>
  <c r="B83" i="10" s="1"/>
  <c r="C14" i="67"/>
  <c r="B88" i="10" s="1"/>
  <c r="C15" i="67"/>
  <c r="B94" i="10" s="1"/>
  <c r="C18" i="67"/>
  <c r="B12" i="11" s="1"/>
  <c r="C19" i="67"/>
  <c r="B27" i="11" s="1"/>
  <c r="C20" i="67"/>
  <c r="B34" i="11" s="1"/>
  <c r="C21" i="67"/>
  <c r="B48" i="11" s="1"/>
  <c r="C22" i="67"/>
  <c r="B69" i="11" s="1"/>
  <c r="C23" i="67"/>
  <c r="B79" i="11" s="1"/>
  <c r="C24" i="67"/>
  <c r="B83" i="11" s="1"/>
  <c r="C25" i="67"/>
  <c r="B88" i="11" s="1"/>
  <c r="C26" i="67"/>
  <c r="B94" i="11" s="1"/>
  <c r="C29" i="67"/>
  <c r="B12" i="30" s="1"/>
  <c r="C30" i="67"/>
  <c r="B27" i="30" s="1"/>
  <c r="C31" i="67"/>
  <c r="B34" i="30" s="1"/>
  <c r="C32" i="67"/>
  <c r="B48" i="30" s="1"/>
  <c r="C33" i="67"/>
  <c r="B69" i="30" s="1"/>
  <c r="C34" i="67"/>
  <c r="B79" i="30" s="1"/>
  <c r="C35" i="67"/>
  <c r="B83" i="30" s="1"/>
  <c r="C36" i="67"/>
  <c r="B88" i="30" s="1"/>
  <c r="C37" i="67"/>
  <c r="B94" i="30" s="1"/>
  <c r="C40" i="67"/>
  <c r="B12" i="12" s="1"/>
  <c r="C41" i="67"/>
  <c r="B27" i="12" s="1"/>
  <c r="C42" i="67"/>
  <c r="B34" i="12" s="1"/>
  <c r="C43" i="67"/>
  <c r="B48" i="12" s="1"/>
  <c r="C44" i="67"/>
  <c r="B69" i="12" s="1"/>
  <c r="C45" i="67"/>
  <c r="B79" i="12" s="1"/>
  <c r="C46" i="67"/>
  <c r="B83" i="12" s="1"/>
  <c r="C47" i="67"/>
  <c r="B88" i="12" s="1"/>
  <c r="C48" i="67"/>
  <c r="B94" i="12" s="1"/>
  <c r="C51" i="67"/>
  <c r="B12" i="13" s="1"/>
  <c r="C52" i="67"/>
  <c r="B27" i="13" s="1"/>
  <c r="C53" i="67"/>
  <c r="B34" i="13" s="1"/>
  <c r="C54" i="67"/>
  <c r="B48" i="13" s="1"/>
  <c r="C55" i="67"/>
  <c r="B69" i="13" s="1"/>
  <c r="C56" i="67"/>
  <c r="B79" i="13" s="1"/>
  <c r="C57" i="67"/>
  <c r="B83" i="13" s="1"/>
  <c r="C58" i="67"/>
  <c r="B88" i="13" s="1"/>
  <c r="C59" i="67"/>
  <c r="B94" i="13" s="1"/>
  <c r="C62" i="67"/>
  <c r="B12" i="14" s="1"/>
  <c r="C63" i="67"/>
  <c r="B27" i="14" s="1"/>
  <c r="C64" i="67"/>
  <c r="B34" i="14" s="1"/>
  <c r="C65" i="67"/>
  <c r="B48" i="14" s="1"/>
  <c r="C66" i="67"/>
  <c r="B69" i="14" s="1"/>
  <c r="C67" i="67"/>
  <c r="B79" i="14" s="1"/>
  <c r="C68" i="67"/>
  <c r="B83" i="14" s="1"/>
  <c r="C69" i="67"/>
  <c r="B88" i="14" s="1"/>
  <c r="C70" i="67"/>
  <c r="B94" i="14" s="1"/>
  <c r="C73" i="67"/>
  <c r="B12" i="15" s="1"/>
  <c r="C74" i="67"/>
  <c r="B27" i="15" s="1"/>
  <c r="C75" i="67"/>
  <c r="B34" i="15" s="1"/>
  <c r="C77" i="67"/>
  <c r="B69" i="15" s="1"/>
  <c r="C78" i="67"/>
  <c r="B79" i="15" s="1"/>
  <c r="C79" i="67"/>
  <c r="B83" i="15" s="1"/>
  <c r="C80" i="67"/>
  <c r="B88" i="15" s="1"/>
  <c r="C81" i="67"/>
  <c r="B94" i="15" s="1"/>
  <c r="C84" i="67"/>
  <c r="B12" i="16" s="1"/>
  <c r="C85" i="67"/>
  <c r="B27" i="16" s="1"/>
  <c r="C86" i="67"/>
  <c r="B34" i="16" s="1"/>
  <c r="C87" i="67"/>
  <c r="B48" i="16" s="1"/>
  <c r="C88" i="67"/>
  <c r="B69" i="16" s="1"/>
  <c r="C89" i="67"/>
  <c r="B79" i="16" s="1"/>
  <c r="C90" i="67"/>
  <c r="B83" i="16" s="1"/>
  <c r="C91" i="67"/>
  <c r="B88" i="16" s="1"/>
  <c r="C92" i="67"/>
  <c r="B94" i="16" s="1"/>
  <c r="C95" i="67"/>
  <c r="B12" i="17" s="1"/>
  <c r="C96" i="67"/>
  <c r="B27" i="17" s="1"/>
  <c r="C97" i="67"/>
  <c r="B34" i="17" s="1"/>
  <c r="C98" i="67"/>
  <c r="B48" i="17" s="1"/>
  <c r="C99" i="67"/>
  <c r="B69" i="17" s="1"/>
  <c r="C100" i="67"/>
  <c r="B79" i="17" s="1"/>
  <c r="C101" i="67"/>
  <c r="B83" i="17" s="1"/>
  <c r="C102" i="67"/>
  <c r="B88" i="17" s="1"/>
  <c r="C103" i="67"/>
  <c r="B94" i="17" s="1"/>
  <c r="C106" i="67"/>
  <c r="B12" i="18" s="1"/>
  <c r="C107" i="67"/>
  <c r="B27" i="18" s="1"/>
  <c r="C108" i="67"/>
  <c r="B34" i="18" s="1"/>
  <c r="C109" i="67"/>
  <c r="B48" i="18" s="1"/>
  <c r="C110" i="67"/>
  <c r="B69" i="18" s="1"/>
  <c r="C111" i="67"/>
  <c r="B79" i="18" s="1"/>
  <c r="C112" i="67"/>
  <c r="B83" i="18" s="1"/>
  <c r="C113" i="67"/>
  <c r="B88" i="18" s="1"/>
  <c r="C114" i="67"/>
  <c r="B94" i="18" s="1"/>
  <c r="C117" i="67"/>
  <c r="B12" i="19" s="1"/>
  <c r="C118" i="67"/>
  <c r="B27" i="19" s="1"/>
  <c r="C119" i="67"/>
  <c r="B34" i="19" s="1"/>
  <c r="C120" i="67"/>
  <c r="B48" i="19" s="1"/>
  <c r="C121" i="67"/>
  <c r="B69" i="19" s="1"/>
  <c r="C122" i="67"/>
  <c r="B79" i="19" s="1"/>
  <c r="C123" i="67"/>
  <c r="B83" i="19" s="1"/>
  <c r="C124" i="67"/>
  <c r="B88" i="19" s="1"/>
  <c r="C125" i="67"/>
  <c r="B94" i="19" s="1"/>
  <c r="C128" i="67"/>
  <c r="B12" i="20" s="1"/>
  <c r="C129" i="67"/>
  <c r="B27" i="20" s="1"/>
  <c r="C130" i="67"/>
  <c r="B34" i="20" s="1"/>
  <c r="C131" i="67"/>
  <c r="B48" i="20" s="1"/>
  <c r="C132" i="67"/>
  <c r="B69" i="20" s="1"/>
  <c r="C133" i="67"/>
  <c r="B79" i="20" s="1"/>
  <c r="C134" i="67"/>
  <c r="B83" i="20" s="1"/>
  <c r="C135" i="67"/>
  <c r="B88" i="20" s="1"/>
  <c r="C136" i="67"/>
  <c r="B94" i="20" s="1"/>
  <c r="C139" i="67"/>
  <c r="B12" i="21" s="1"/>
  <c r="C140" i="67"/>
  <c r="B27" i="21" s="1"/>
  <c r="C141" i="67"/>
  <c r="B34" i="21" s="1"/>
  <c r="C142" i="67"/>
  <c r="B48" i="21" s="1"/>
  <c r="C143" i="67"/>
  <c r="B69" i="21" s="1"/>
  <c r="C144" i="67"/>
  <c r="B79" i="21" s="1"/>
  <c r="C145" i="67"/>
  <c r="B83" i="21" s="1"/>
  <c r="C146" i="67"/>
  <c r="B88" i="21" s="1"/>
  <c r="C147" i="67"/>
  <c r="B94" i="21" s="1"/>
  <c r="C150" i="67"/>
  <c r="B20" i="29" s="1"/>
  <c r="C151" i="67"/>
  <c r="C152" i="67"/>
  <c r="B41" i="29" s="1"/>
  <c r="C153" i="67"/>
  <c r="B55" i="29" s="1"/>
  <c r="C154" i="67"/>
  <c r="C155" i="67"/>
  <c r="C156" i="67"/>
  <c r="C157" i="67"/>
  <c r="C158" i="67"/>
  <c r="B94" i="29" s="1"/>
  <c r="C161" i="67"/>
  <c r="B12" i="22" s="1"/>
  <c r="C162" i="67"/>
  <c r="B27" i="22" s="1"/>
  <c r="C163" i="67"/>
  <c r="B34" i="22" s="1"/>
  <c r="C164" i="67"/>
  <c r="B48" i="22" s="1"/>
  <c r="C165" i="67"/>
  <c r="B69" i="22" s="1"/>
  <c r="C166" i="67"/>
  <c r="B79" i="22" s="1"/>
  <c r="C167" i="67"/>
  <c r="B83" i="22" s="1"/>
  <c r="C168" i="67"/>
  <c r="B88" i="22" s="1"/>
  <c r="C169" i="67"/>
  <c r="B94" i="22" s="1"/>
  <c r="C172" i="67"/>
  <c r="B12" i="23" s="1"/>
  <c r="C173" i="67"/>
  <c r="B27" i="23" s="1"/>
  <c r="C174" i="67"/>
  <c r="B34" i="23" s="1"/>
  <c r="C175" i="67"/>
  <c r="B48" i="23" s="1"/>
  <c r="C176" i="67"/>
  <c r="B69" i="23" s="1"/>
  <c r="C177" i="67"/>
  <c r="B79" i="23" s="1"/>
  <c r="C178" i="67"/>
  <c r="B83" i="23" s="1"/>
  <c r="C179" i="67"/>
  <c r="B88" i="23" s="1"/>
  <c r="C180" i="67"/>
  <c r="B94" i="23" s="1"/>
  <c r="C183" i="67"/>
  <c r="B12" i="24" s="1"/>
  <c r="C184" i="67"/>
  <c r="B27" i="24" s="1"/>
  <c r="C185" i="67"/>
  <c r="B34" i="24" s="1"/>
  <c r="C186" i="67"/>
  <c r="B48" i="24" s="1"/>
  <c r="C187" i="67"/>
  <c r="B69" i="24" s="1"/>
  <c r="C188" i="67"/>
  <c r="B79" i="24" s="1"/>
  <c r="C189" i="67"/>
  <c r="B83" i="24" s="1"/>
  <c r="C190" i="67"/>
  <c r="B88" i="24" s="1"/>
  <c r="C191" i="67"/>
  <c r="B94" i="24" s="1"/>
  <c r="C194" i="67"/>
  <c r="B12" i="25" s="1"/>
  <c r="C195" i="67"/>
  <c r="B27" i="25" s="1"/>
  <c r="C196" i="67"/>
  <c r="B34" i="25" s="1"/>
  <c r="C197" i="67"/>
  <c r="B48" i="25" s="1"/>
  <c r="C198" i="67"/>
  <c r="B69" i="25" s="1"/>
  <c r="C199" i="67"/>
  <c r="B79" i="25" s="1"/>
  <c r="C200" i="67"/>
  <c r="B83" i="25" s="1"/>
  <c r="C201" i="67"/>
  <c r="B88" i="25" s="1"/>
  <c r="C202" i="67"/>
  <c r="B94" i="25" s="1"/>
  <c r="C205" i="67"/>
  <c r="B12" i="26" s="1"/>
  <c r="C206" i="67"/>
  <c r="B27" i="26" s="1"/>
  <c r="C207" i="67"/>
  <c r="B34" i="26" s="1"/>
  <c r="C208" i="67"/>
  <c r="B48" i="26" s="1"/>
  <c r="C209" i="67"/>
  <c r="B69" i="26" s="1"/>
  <c r="C210" i="67"/>
  <c r="B79" i="26" s="1"/>
  <c r="C211" i="67"/>
  <c r="B83" i="26" s="1"/>
  <c r="C212" i="67"/>
  <c r="B88" i="26" s="1"/>
  <c r="C213" i="67"/>
  <c r="B94" i="26" s="1"/>
  <c r="C216" i="67"/>
  <c r="B12" i="27" s="1"/>
  <c r="C217" i="67"/>
  <c r="B27" i="27" s="1"/>
  <c r="C218" i="67"/>
  <c r="B34" i="27" s="1"/>
  <c r="C219" i="67"/>
  <c r="B48" i="27" s="1"/>
  <c r="C220" i="67"/>
  <c r="B69" i="27" s="1"/>
  <c r="C221" i="67"/>
  <c r="B79" i="27" s="1"/>
  <c r="C222" i="67"/>
  <c r="B83" i="27" s="1"/>
  <c r="C223" i="67"/>
  <c r="B88" i="27" s="1"/>
  <c r="C224" i="67"/>
  <c r="B94" i="27" s="1"/>
  <c r="D8" i="67"/>
  <c r="C27" i="10" s="1"/>
  <c r="E8" i="67"/>
  <c r="D27" i="10" s="1"/>
  <c r="F8" i="67"/>
  <c r="E27" i="10" s="1"/>
  <c r="H8" i="67"/>
  <c r="G27" i="10" s="1"/>
  <c r="I8" i="67"/>
  <c r="H27" i="10" s="1"/>
  <c r="J8" i="67"/>
  <c r="I27" i="10" s="1"/>
  <c r="K8" i="67"/>
  <c r="J27" i="10" s="1"/>
  <c r="L8" i="67"/>
  <c r="K27" i="10" s="1"/>
  <c r="M8" i="67"/>
  <c r="L27" i="10" s="1"/>
  <c r="N8" i="67"/>
  <c r="M27" i="10" s="1"/>
  <c r="O8" i="67"/>
  <c r="N27" i="10" s="1"/>
  <c r="P8" i="67"/>
  <c r="O27" i="10" s="1"/>
  <c r="Q8" i="67"/>
  <c r="P27" i="10" s="1"/>
  <c r="R8" i="67"/>
  <c r="Q27" i="10" s="1"/>
  <c r="S8" i="67"/>
  <c r="R27" i="10" s="1"/>
  <c r="T8" i="67"/>
  <c r="S27" i="10" s="1"/>
  <c r="U8" i="67"/>
  <c r="T27" i="10" s="1"/>
  <c r="V8" i="67"/>
  <c r="U27" i="10" s="1"/>
  <c r="Y8" i="67"/>
  <c r="X27" i="10" s="1"/>
  <c r="AB8" i="67"/>
  <c r="AA27" i="10" s="1"/>
  <c r="AG8" i="67"/>
  <c r="AF27" i="10" s="1"/>
  <c r="AL8" i="67"/>
  <c r="AK27" i="10" s="1"/>
  <c r="AO8" i="67"/>
  <c r="AN27" i="10" s="1"/>
  <c r="D9" i="67"/>
  <c r="C34" i="10" s="1"/>
  <c r="E9" i="67"/>
  <c r="D34" i="10" s="1"/>
  <c r="F9" i="67"/>
  <c r="E34" i="10" s="1"/>
  <c r="G9" i="67"/>
  <c r="F34" i="10" s="1"/>
  <c r="H9" i="67"/>
  <c r="G34" i="10" s="1"/>
  <c r="I9" i="67"/>
  <c r="H34" i="10" s="1"/>
  <c r="J9" i="67"/>
  <c r="I34" i="10" s="1"/>
  <c r="K9" i="67"/>
  <c r="J34" i="10" s="1"/>
  <c r="L9" i="67"/>
  <c r="K34" i="10" s="1"/>
  <c r="M9" i="67"/>
  <c r="L34" i="10" s="1"/>
  <c r="N9" i="67"/>
  <c r="M34" i="10" s="1"/>
  <c r="O9" i="67"/>
  <c r="N34" i="10" s="1"/>
  <c r="P9" i="67"/>
  <c r="O34" i="10" s="1"/>
  <c r="Q9" i="67"/>
  <c r="P34" i="10" s="1"/>
  <c r="R9" i="67"/>
  <c r="Q34" i="10" s="1"/>
  <c r="S9" i="67"/>
  <c r="R34" i="10" s="1"/>
  <c r="T9" i="67"/>
  <c r="S34" i="10" s="1"/>
  <c r="U9" i="67"/>
  <c r="T34" i="10" s="1"/>
  <c r="V9" i="67"/>
  <c r="U34" i="10" s="1"/>
  <c r="W9" i="67"/>
  <c r="V34" i="10" s="1"/>
  <c r="X9" i="67"/>
  <c r="W34" i="10" s="1"/>
  <c r="Y9" i="67"/>
  <c r="X34" i="10" s="1"/>
  <c r="Z9" i="67"/>
  <c r="Y34" i="10" s="1"/>
  <c r="AA9" i="67"/>
  <c r="Z34" i="10" s="1"/>
  <c r="AB9" i="67"/>
  <c r="AA34" i="10" s="1"/>
  <c r="AC9" i="67"/>
  <c r="AB34" i="10" s="1"/>
  <c r="AD9" i="67"/>
  <c r="AC34" i="10" s="1"/>
  <c r="AE9" i="67"/>
  <c r="AD34" i="10" s="1"/>
  <c r="AF9" i="67"/>
  <c r="AE34" i="10" s="1"/>
  <c r="AG9" i="67"/>
  <c r="AF34" i="10" s="1"/>
  <c r="AH9" i="67"/>
  <c r="AG34" i="10" s="1"/>
  <c r="AI9" i="67"/>
  <c r="AH34" i="10" s="1"/>
  <c r="AJ9" i="67"/>
  <c r="AI34" i="10" s="1"/>
  <c r="AK9" i="67"/>
  <c r="AJ34" i="10" s="1"/>
  <c r="AL9" i="67"/>
  <c r="AK34" i="10" s="1"/>
  <c r="AM9" i="67"/>
  <c r="AL34" i="10" s="1"/>
  <c r="AN9" i="67"/>
  <c r="AM34" i="10" s="1"/>
  <c r="AO9" i="67"/>
  <c r="AN34" i="10" s="1"/>
  <c r="D10" i="67"/>
  <c r="C48" i="10" s="1"/>
  <c r="E10" i="67"/>
  <c r="D48" i="10" s="1"/>
  <c r="F10" i="67"/>
  <c r="E48" i="10" s="1"/>
  <c r="G10" i="67"/>
  <c r="F48" i="10" s="1"/>
  <c r="H10" i="67"/>
  <c r="G48" i="10" s="1"/>
  <c r="I10" i="67"/>
  <c r="H48" i="10" s="1"/>
  <c r="J10" i="67"/>
  <c r="I48" i="10" s="1"/>
  <c r="K10" i="67"/>
  <c r="J48" i="10" s="1"/>
  <c r="L10" i="67"/>
  <c r="K48" i="10" s="1"/>
  <c r="M10" i="67"/>
  <c r="L48" i="10" s="1"/>
  <c r="N10" i="67"/>
  <c r="M48" i="10" s="1"/>
  <c r="O10" i="67"/>
  <c r="N48" i="10" s="1"/>
  <c r="P10" i="67"/>
  <c r="O48" i="10" s="1"/>
  <c r="Q10" i="67"/>
  <c r="P48" i="10" s="1"/>
  <c r="R10" i="67"/>
  <c r="Q48" i="10" s="1"/>
  <c r="S10" i="67"/>
  <c r="R48" i="10" s="1"/>
  <c r="T10" i="67"/>
  <c r="S48" i="10" s="1"/>
  <c r="U10" i="67"/>
  <c r="T48" i="10" s="1"/>
  <c r="V10" i="67"/>
  <c r="U48" i="10" s="1"/>
  <c r="W10" i="67"/>
  <c r="V48" i="10" s="1"/>
  <c r="X10" i="67"/>
  <c r="W48" i="10" s="1"/>
  <c r="Y10" i="67"/>
  <c r="X48" i="10" s="1"/>
  <c r="Z10" i="67"/>
  <c r="Y48" i="10" s="1"/>
  <c r="AA10" i="67"/>
  <c r="Z48" i="10" s="1"/>
  <c r="AB10" i="67"/>
  <c r="AA48" i="10" s="1"/>
  <c r="AC10" i="67"/>
  <c r="AB48" i="10" s="1"/>
  <c r="AD10" i="67"/>
  <c r="AC48" i="10" s="1"/>
  <c r="AE10" i="67"/>
  <c r="AD48" i="10" s="1"/>
  <c r="AF10" i="67"/>
  <c r="AE48" i="10" s="1"/>
  <c r="AG10" i="67"/>
  <c r="AF48" i="10" s="1"/>
  <c r="AH10" i="67"/>
  <c r="AG48" i="10" s="1"/>
  <c r="AI10" i="67"/>
  <c r="AH48" i="10" s="1"/>
  <c r="AJ10" i="67"/>
  <c r="AI48" i="10" s="1"/>
  <c r="AK10" i="67"/>
  <c r="AJ48" i="10" s="1"/>
  <c r="AL10" i="67"/>
  <c r="AK48" i="10" s="1"/>
  <c r="AM10" i="67"/>
  <c r="AL48" i="10" s="1"/>
  <c r="AN10" i="67"/>
  <c r="AM48" i="10" s="1"/>
  <c r="AO10" i="67"/>
  <c r="AN48" i="10" s="1"/>
  <c r="D11" i="67"/>
  <c r="C69" i="10" s="1"/>
  <c r="E11" i="67"/>
  <c r="D69" i="10" s="1"/>
  <c r="F11" i="67"/>
  <c r="E69" i="10" s="1"/>
  <c r="G11" i="67"/>
  <c r="F69" i="10" s="1"/>
  <c r="H11" i="67"/>
  <c r="G69" i="10" s="1"/>
  <c r="I11" i="67"/>
  <c r="H69" i="10" s="1"/>
  <c r="J11" i="67"/>
  <c r="I69" i="10" s="1"/>
  <c r="K11" i="67"/>
  <c r="J69" i="10" s="1"/>
  <c r="L11" i="67"/>
  <c r="K69" i="10" s="1"/>
  <c r="M11" i="67"/>
  <c r="L69" i="10" s="1"/>
  <c r="N11" i="67"/>
  <c r="M69" i="10" s="1"/>
  <c r="O11" i="67"/>
  <c r="N69" i="10" s="1"/>
  <c r="P11" i="67"/>
  <c r="O69" i="10" s="1"/>
  <c r="Q11" i="67"/>
  <c r="P69" i="10" s="1"/>
  <c r="R11" i="67"/>
  <c r="Q69" i="10" s="1"/>
  <c r="S11" i="67"/>
  <c r="R69" i="10" s="1"/>
  <c r="T11" i="67"/>
  <c r="S69" i="10" s="1"/>
  <c r="U11" i="67"/>
  <c r="T69" i="10" s="1"/>
  <c r="V11" i="67"/>
  <c r="U69" i="10" s="1"/>
  <c r="W11" i="67"/>
  <c r="V69" i="10" s="1"/>
  <c r="X11" i="67"/>
  <c r="W69" i="10" s="1"/>
  <c r="Y11" i="67"/>
  <c r="X69" i="10" s="1"/>
  <c r="Z11" i="67"/>
  <c r="Y69" i="10" s="1"/>
  <c r="AA11" i="67"/>
  <c r="Z69" i="10" s="1"/>
  <c r="AB11" i="67"/>
  <c r="AA69" i="10" s="1"/>
  <c r="AC11" i="67"/>
  <c r="AB69" i="10" s="1"/>
  <c r="AD11" i="67"/>
  <c r="AC69" i="10" s="1"/>
  <c r="AE11" i="67"/>
  <c r="AD69" i="10" s="1"/>
  <c r="AF11" i="67"/>
  <c r="AE69" i="10" s="1"/>
  <c r="AG11" i="67"/>
  <c r="AF69" i="10" s="1"/>
  <c r="AH11" i="67"/>
  <c r="AG69" i="10" s="1"/>
  <c r="AI11" i="67"/>
  <c r="AH69" i="10" s="1"/>
  <c r="AJ11" i="67"/>
  <c r="AI69" i="10" s="1"/>
  <c r="AK11" i="67"/>
  <c r="AJ69" i="10" s="1"/>
  <c r="AL11" i="67"/>
  <c r="AK69" i="10" s="1"/>
  <c r="AM11" i="67"/>
  <c r="AL69" i="10" s="1"/>
  <c r="AN11" i="67"/>
  <c r="AM69" i="10" s="1"/>
  <c r="AO11" i="67"/>
  <c r="AN69" i="10" s="1"/>
  <c r="D12" i="67"/>
  <c r="C79" i="10" s="1"/>
  <c r="E12" i="67"/>
  <c r="D79" i="10" s="1"/>
  <c r="F12" i="67"/>
  <c r="E79" i="10" s="1"/>
  <c r="G12" i="67"/>
  <c r="F79" i="10" s="1"/>
  <c r="H12" i="67"/>
  <c r="G79" i="10" s="1"/>
  <c r="I12" i="67"/>
  <c r="H79" i="10" s="1"/>
  <c r="J12" i="67"/>
  <c r="I79" i="10" s="1"/>
  <c r="K12" i="67"/>
  <c r="J79" i="10" s="1"/>
  <c r="L12" i="67"/>
  <c r="K79" i="10" s="1"/>
  <c r="M12" i="67"/>
  <c r="L79" i="10" s="1"/>
  <c r="N12" i="67"/>
  <c r="M79" i="10" s="1"/>
  <c r="O12" i="67"/>
  <c r="N79" i="10" s="1"/>
  <c r="P12" i="67"/>
  <c r="O79" i="10" s="1"/>
  <c r="Q12" i="67"/>
  <c r="P79" i="10" s="1"/>
  <c r="R12" i="67"/>
  <c r="Q79" i="10" s="1"/>
  <c r="S12" i="67"/>
  <c r="R79" i="10" s="1"/>
  <c r="T12" i="67"/>
  <c r="S79" i="10" s="1"/>
  <c r="U12" i="67"/>
  <c r="T79" i="10" s="1"/>
  <c r="V12" i="67"/>
  <c r="U79" i="10" s="1"/>
  <c r="W12" i="67"/>
  <c r="V79" i="10" s="1"/>
  <c r="X12" i="67"/>
  <c r="W79" i="10" s="1"/>
  <c r="Y12" i="67"/>
  <c r="X79" i="10" s="1"/>
  <c r="Z12" i="67"/>
  <c r="Y79" i="10" s="1"/>
  <c r="AA12" i="67"/>
  <c r="Z79" i="10" s="1"/>
  <c r="AB12" i="67"/>
  <c r="AA79" i="10" s="1"/>
  <c r="AC12" i="67"/>
  <c r="AB79" i="10" s="1"/>
  <c r="AD12" i="67"/>
  <c r="AC79" i="10" s="1"/>
  <c r="AE12" i="67"/>
  <c r="AD79" i="10" s="1"/>
  <c r="AF12" i="67"/>
  <c r="AE79" i="10" s="1"/>
  <c r="AG12" i="67"/>
  <c r="AF79" i="10" s="1"/>
  <c r="AH12" i="67"/>
  <c r="AG79" i="10" s="1"/>
  <c r="AI12" i="67"/>
  <c r="AH79" i="10" s="1"/>
  <c r="AJ12" i="67"/>
  <c r="AI79" i="10" s="1"/>
  <c r="AK12" i="67"/>
  <c r="AJ79" i="10" s="1"/>
  <c r="AL12" i="67"/>
  <c r="AK79" i="10" s="1"/>
  <c r="AM12" i="67"/>
  <c r="AL79" i="10" s="1"/>
  <c r="AN12" i="67"/>
  <c r="AM79" i="10" s="1"/>
  <c r="AO12" i="67"/>
  <c r="AN79" i="10" s="1"/>
  <c r="D13" i="67"/>
  <c r="C83" i="10" s="1"/>
  <c r="E13" i="67"/>
  <c r="D83" i="10" s="1"/>
  <c r="F13" i="67"/>
  <c r="E83" i="10" s="1"/>
  <c r="G13" i="67"/>
  <c r="F83" i="10" s="1"/>
  <c r="H13" i="67"/>
  <c r="G83" i="10" s="1"/>
  <c r="I13" i="67"/>
  <c r="H83" i="10" s="1"/>
  <c r="J13" i="67"/>
  <c r="I83" i="10" s="1"/>
  <c r="K13" i="67"/>
  <c r="J83" i="10" s="1"/>
  <c r="L13" i="67"/>
  <c r="K83" i="10" s="1"/>
  <c r="M13" i="67"/>
  <c r="L83" i="10" s="1"/>
  <c r="N13" i="67"/>
  <c r="M83" i="10" s="1"/>
  <c r="O13" i="67"/>
  <c r="N83" i="10" s="1"/>
  <c r="P13" i="67"/>
  <c r="O83" i="10" s="1"/>
  <c r="Q13" i="67"/>
  <c r="P83" i="10" s="1"/>
  <c r="R13" i="67"/>
  <c r="Q83" i="10" s="1"/>
  <c r="S13" i="67"/>
  <c r="R83" i="10" s="1"/>
  <c r="T13" i="67"/>
  <c r="S83" i="10" s="1"/>
  <c r="U13" i="67"/>
  <c r="T83" i="10" s="1"/>
  <c r="V13" i="67"/>
  <c r="U83" i="10" s="1"/>
  <c r="W13" i="67"/>
  <c r="V83" i="10" s="1"/>
  <c r="X13" i="67"/>
  <c r="W83" i="10" s="1"/>
  <c r="Y13" i="67"/>
  <c r="X83" i="10" s="1"/>
  <c r="Z13" i="67"/>
  <c r="Y83" i="10" s="1"/>
  <c r="AA13" i="67"/>
  <c r="Z83" i="10" s="1"/>
  <c r="AB13" i="67"/>
  <c r="AA83" i="10" s="1"/>
  <c r="AC13" i="67"/>
  <c r="AB83" i="10" s="1"/>
  <c r="AD13" i="67"/>
  <c r="AC83" i="10" s="1"/>
  <c r="AE13" i="67"/>
  <c r="AD83" i="10" s="1"/>
  <c r="AF13" i="67"/>
  <c r="AE83" i="10" s="1"/>
  <c r="AG13" i="67"/>
  <c r="AF83" i="10" s="1"/>
  <c r="AH13" i="67"/>
  <c r="AG83" i="10" s="1"/>
  <c r="AI13" i="67"/>
  <c r="AH83" i="10" s="1"/>
  <c r="AJ13" i="67"/>
  <c r="AI83" i="10" s="1"/>
  <c r="AK13" i="67"/>
  <c r="AJ83" i="10" s="1"/>
  <c r="AL13" i="67"/>
  <c r="AK83" i="10" s="1"/>
  <c r="AM13" i="67"/>
  <c r="AL83" i="10" s="1"/>
  <c r="AN13" i="67"/>
  <c r="AM83" i="10" s="1"/>
  <c r="AO13" i="67"/>
  <c r="AN83" i="10" s="1"/>
  <c r="D14" i="67"/>
  <c r="C88" i="10" s="1"/>
  <c r="E14" i="67"/>
  <c r="D88" i="10" s="1"/>
  <c r="F14" i="67"/>
  <c r="E88" i="10" s="1"/>
  <c r="G14" i="67"/>
  <c r="F88" i="10" s="1"/>
  <c r="H14" i="67"/>
  <c r="G88" i="10" s="1"/>
  <c r="I14" i="67"/>
  <c r="H88" i="10" s="1"/>
  <c r="J14" i="67"/>
  <c r="I88" i="10" s="1"/>
  <c r="K14" i="67"/>
  <c r="J88" i="10" s="1"/>
  <c r="L14" i="67"/>
  <c r="K88" i="10" s="1"/>
  <c r="M14" i="67"/>
  <c r="L88" i="10" s="1"/>
  <c r="N14" i="67"/>
  <c r="M88" i="10" s="1"/>
  <c r="O14" i="67"/>
  <c r="N88" i="10" s="1"/>
  <c r="P14" i="67"/>
  <c r="O88" i="10" s="1"/>
  <c r="Q14" i="67"/>
  <c r="P88" i="10" s="1"/>
  <c r="R14" i="67"/>
  <c r="Q88" i="10" s="1"/>
  <c r="S14" i="67"/>
  <c r="R88" i="10" s="1"/>
  <c r="T14" i="67"/>
  <c r="S88" i="10" s="1"/>
  <c r="U14" i="67"/>
  <c r="T88" i="10" s="1"/>
  <c r="V14" i="67"/>
  <c r="U88" i="10" s="1"/>
  <c r="W14" i="67"/>
  <c r="V88" i="10" s="1"/>
  <c r="X14" i="67"/>
  <c r="W88" i="10" s="1"/>
  <c r="Y14" i="67"/>
  <c r="X88" i="10" s="1"/>
  <c r="Z14" i="67"/>
  <c r="Y88" i="10" s="1"/>
  <c r="AA14" i="67"/>
  <c r="Z88" i="10" s="1"/>
  <c r="AB14" i="67"/>
  <c r="AA88" i="10" s="1"/>
  <c r="AC14" i="67"/>
  <c r="AB88" i="10" s="1"/>
  <c r="AD14" i="67"/>
  <c r="AC88" i="10" s="1"/>
  <c r="AE14" i="67"/>
  <c r="AD88" i="10" s="1"/>
  <c r="AF14" i="67"/>
  <c r="AE88" i="10" s="1"/>
  <c r="AG14" i="67"/>
  <c r="AF88" i="10" s="1"/>
  <c r="AH14" i="67"/>
  <c r="AG88" i="10" s="1"/>
  <c r="AI14" i="67"/>
  <c r="AH88" i="10" s="1"/>
  <c r="AJ14" i="67"/>
  <c r="AI88" i="10" s="1"/>
  <c r="AK14" i="67"/>
  <c r="AJ88" i="10" s="1"/>
  <c r="AL14" i="67"/>
  <c r="AK88" i="10" s="1"/>
  <c r="AM14" i="67"/>
  <c r="AL88" i="10" s="1"/>
  <c r="AN14" i="67"/>
  <c r="AM88" i="10" s="1"/>
  <c r="AO14" i="67"/>
  <c r="AN88" i="10" s="1"/>
  <c r="D15" i="67"/>
  <c r="C94" i="10" s="1"/>
  <c r="E15" i="67"/>
  <c r="D94" i="10" s="1"/>
  <c r="F15" i="67"/>
  <c r="E94" i="10" s="1"/>
  <c r="G15" i="67"/>
  <c r="F94" i="10" s="1"/>
  <c r="H15" i="67"/>
  <c r="G94" i="10" s="1"/>
  <c r="I15" i="67"/>
  <c r="H94" i="10" s="1"/>
  <c r="J15" i="67"/>
  <c r="I94" i="10" s="1"/>
  <c r="K15" i="67"/>
  <c r="J94" i="10" s="1"/>
  <c r="L15" i="67"/>
  <c r="K94" i="10" s="1"/>
  <c r="M15" i="67"/>
  <c r="L94" i="10" s="1"/>
  <c r="N15" i="67"/>
  <c r="M94" i="10" s="1"/>
  <c r="O15" i="67"/>
  <c r="N94" i="10" s="1"/>
  <c r="P15" i="67"/>
  <c r="O94" i="10" s="1"/>
  <c r="Q15" i="67"/>
  <c r="P94" i="10" s="1"/>
  <c r="R15" i="67"/>
  <c r="Q94" i="10" s="1"/>
  <c r="S15" i="67"/>
  <c r="R94" i="10" s="1"/>
  <c r="T15" i="67"/>
  <c r="S94" i="10" s="1"/>
  <c r="U15" i="67"/>
  <c r="T94" i="10" s="1"/>
  <c r="V15" i="67"/>
  <c r="U94" i="10" s="1"/>
  <c r="W15" i="67"/>
  <c r="V94" i="10" s="1"/>
  <c r="X15" i="67"/>
  <c r="W94" i="10" s="1"/>
  <c r="Y15" i="67"/>
  <c r="X94" i="10" s="1"/>
  <c r="Z15" i="67"/>
  <c r="Y94" i="10" s="1"/>
  <c r="AA15" i="67"/>
  <c r="Z94" i="10" s="1"/>
  <c r="AB15" i="67"/>
  <c r="AA94" i="10" s="1"/>
  <c r="AC15" i="67"/>
  <c r="AB94" i="10" s="1"/>
  <c r="AD15" i="67"/>
  <c r="AC94" i="10" s="1"/>
  <c r="AE15" i="67"/>
  <c r="AD94" i="10" s="1"/>
  <c r="AF15" i="67"/>
  <c r="AE94" i="10" s="1"/>
  <c r="AG15" i="67"/>
  <c r="AF94" i="10" s="1"/>
  <c r="AH15" i="67"/>
  <c r="AG94" i="10" s="1"/>
  <c r="AI15" i="67"/>
  <c r="AH94" i="10" s="1"/>
  <c r="AJ15" i="67"/>
  <c r="AI94" i="10" s="1"/>
  <c r="AK15" i="67"/>
  <c r="AJ94" i="10" s="1"/>
  <c r="AL15" i="67"/>
  <c r="AK94" i="10" s="1"/>
  <c r="AM15" i="67"/>
  <c r="AL94" i="10" s="1"/>
  <c r="AN15" i="67"/>
  <c r="AM94" i="10" s="1"/>
  <c r="AO15" i="67"/>
  <c r="AN94" i="10" s="1"/>
  <c r="D18" i="67"/>
  <c r="C12" i="11" s="1"/>
  <c r="E18" i="67"/>
  <c r="D12" i="11" s="1"/>
  <c r="F18" i="67"/>
  <c r="E12" i="11" s="1"/>
  <c r="G18" i="67"/>
  <c r="F12" i="11" s="1"/>
  <c r="H18" i="67"/>
  <c r="G12" i="11" s="1"/>
  <c r="I18" i="67"/>
  <c r="H12" i="11" s="1"/>
  <c r="J18" i="67"/>
  <c r="I12" i="11" s="1"/>
  <c r="K18" i="67"/>
  <c r="J12" i="11" s="1"/>
  <c r="L18" i="67"/>
  <c r="K12" i="11" s="1"/>
  <c r="M18" i="67"/>
  <c r="L12" i="11" s="1"/>
  <c r="N18" i="67"/>
  <c r="M12" i="11" s="1"/>
  <c r="O18" i="67"/>
  <c r="N12" i="11" s="1"/>
  <c r="P18" i="67"/>
  <c r="O12" i="11" s="1"/>
  <c r="Q18" i="67"/>
  <c r="P12" i="11" s="1"/>
  <c r="R18" i="67"/>
  <c r="Q12" i="11" s="1"/>
  <c r="S18" i="67"/>
  <c r="R12" i="11" s="1"/>
  <c r="T18" i="67"/>
  <c r="S12" i="11" s="1"/>
  <c r="U18" i="67"/>
  <c r="T12" i="11" s="1"/>
  <c r="V18" i="67"/>
  <c r="U12" i="11" s="1"/>
  <c r="W18" i="67"/>
  <c r="V12" i="11" s="1"/>
  <c r="X18" i="67"/>
  <c r="W12" i="11" s="1"/>
  <c r="Y18" i="67"/>
  <c r="X12" i="11" s="1"/>
  <c r="Z18" i="67"/>
  <c r="Y12" i="11" s="1"/>
  <c r="AA18" i="67"/>
  <c r="Z12" i="11" s="1"/>
  <c r="AB18" i="67"/>
  <c r="AA12" i="11" s="1"/>
  <c r="AC18" i="67"/>
  <c r="AB12" i="11" s="1"/>
  <c r="AD18" i="67"/>
  <c r="AC12" i="11" s="1"/>
  <c r="AE18" i="67"/>
  <c r="AD12" i="11" s="1"/>
  <c r="AF18" i="67"/>
  <c r="AE12" i="11" s="1"/>
  <c r="AG18" i="67"/>
  <c r="AF12" i="11" s="1"/>
  <c r="AH18" i="67"/>
  <c r="AG12" i="11" s="1"/>
  <c r="AI18" i="67"/>
  <c r="AH12" i="11" s="1"/>
  <c r="AJ18" i="67"/>
  <c r="AI12" i="11" s="1"/>
  <c r="AK18" i="67"/>
  <c r="AJ12" i="11" s="1"/>
  <c r="AL18" i="67"/>
  <c r="AK12" i="11" s="1"/>
  <c r="AM18" i="67"/>
  <c r="AL12" i="11" s="1"/>
  <c r="AN18" i="67"/>
  <c r="AM12" i="11" s="1"/>
  <c r="AO18" i="67"/>
  <c r="AN12" i="11" s="1"/>
  <c r="D19" i="67"/>
  <c r="C27" i="11" s="1"/>
  <c r="E19" i="67"/>
  <c r="D27" i="11" s="1"/>
  <c r="F19" i="67"/>
  <c r="E27" i="11" s="1"/>
  <c r="G19" i="67"/>
  <c r="F27" i="11" s="1"/>
  <c r="H19" i="67"/>
  <c r="G27" i="11" s="1"/>
  <c r="I19" i="67"/>
  <c r="H27" i="11" s="1"/>
  <c r="J19" i="67"/>
  <c r="I27" i="11" s="1"/>
  <c r="K19" i="67"/>
  <c r="J27" i="11" s="1"/>
  <c r="L19" i="67"/>
  <c r="K27" i="11" s="1"/>
  <c r="M19" i="67"/>
  <c r="L27" i="11" s="1"/>
  <c r="N19" i="67"/>
  <c r="M27" i="11" s="1"/>
  <c r="O19" i="67"/>
  <c r="N27" i="11" s="1"/>
  <c r="P19" i="67"/>
  <c r="O27" i="11" s="1"/>
  <c r="Q19" i="67"/>
  <c r="P27" i="11" s="1"/>
  <c r="R19" i="67"/>
  <c r="Q27" i="11" s="1"/>
  <c r="S19" i="67"/>
  <c r="R27" i="11" s="1"/>
  <c r="T19" i="67"/>
  <c r="S27" i="11" s="1"/>
  <c r="U19" i="67"/>
  <c r="T27" i="11" s="1"/>
  <c r="V19" i="67"/>
  <c r="U27" i="11" s="1"/>
  <c r="W19" i="67"/>
  <c r="V27" i="11" s="1"/>
  <c r="X19" i="67"/>
  <c r="W27" i="11" s="1"/>
  <c r="Y19" i="67"/>
  <c r="X27" i="11" s="1"/>
  <c r="Z19" i="67"/>
  <c r="Y27" i="11" s="1"/>
  <c r="AA19" i="67"/>
  <c r="Z27" i="11" s="1"/>
  <c r="AB19" i="67"/>
  <c r="AA27" i="11" s="1"/>
  <c r="AC19" i="67"/>
  <c r="AB27" i="11" s="1"/>
  <c r="AD19" i="67"/>
  <c r="AC27" i="11" s="1"/>
  <c r="AE19" i="67"/>
  <c r="AD27" i="11" s="1"/>
  <c r="AF19" i="67"/>
  <c r="AE27" i="11" s="1"/>
  <c r="AG19" i="67"/>
  <c r="AF27" i="11" s="1"/>
  <c r="AH19" i="67"/>
  <c r="AG27" i="11" s="1"/>
  <c r="AI19" i="67"/>
  <c r="AH27" i="11" s="1"/>
  <c r="AJ19" i="67"/>
  <c r="AI27" i="11" s="1"/>
  <c r="AK19" i="67"/>
  <c r="AJ27" i="11" s="1"/>
  <c r="AL19" i="67"/>
  <c r="AK27" i="11" s="1"/>
  <c r="AM19" i="67"/>
  <c r="AL27" i="11" s="1"/>
  <c r="AN19" i="67"/>
  <c r="AM27" i="11" s="1"/>
  <c r="AO19" i="67"/>
  <c r="AN27" i="11" s="1"/>
  <c r="D20" i="67"/>
  <c r="C34" i="11" s="1"/>
  <c r="E20" i="67"/>
  <c r="D34" i="11" s="1"/>
  <c r="F20" i="67"/>
  <c r="E34" i="11" s="1"/>
  <c r="G20" i="67"/>
  <c r="F34" i="11" s="1"/>
  <c r="H20" i="67"/>
  <c r="G34" i="11" s="1"/>
  <c r="I20" i="67"/>
  <c r="H34" i="11" s="1"/>
  <c r="J20" i="67"/>
  <c r="I34" i="11" s="1"/>
  <c r="K20" i="67"/>
  <c r="J34" i="11" s="1"/>
  <c r="L20" i="67"/>
  <c r="K34" i="11" s="1"/>
  <c r="M20" i="67"/>
  <c r="L34" i="11" s="1"/>
  <c r="N20" i="67"/>
  <c r="M34" i="11" s="1"/>
  <c r="O20" i="67"/>
  <c r="N34" i="11" s="1"/>
  <c r="P20" i="67"/>
  <c r="O34" i="11" s="1"/>
  <c r="Q20" i="67"/>
  <c r="P34" i="11" s="1"/>
  <c r="R20" i="67"/>
  <c r="Q34" i="11" s="1"/>
  <c r="S20" i="67"/>
  <c r="R34" i="11" s="1"/>
  <c r="T20" i="67"/>
  <c r="S34" i="11" s="1"/>
  <c r="U20" i="67"/>
  <c r="T34" i="11" s="1"/>
  <c r="V20" i="67"/>
  <c r="U34" i="11" s="1"/>
  <c r="W20" i="67"/>
  <c r="V34" i="11" s="1"/>
  <c r="X20" i="67"/>
  <c r="W34" i="11" s="1"/>
  <c r="Y20" i="67"/>
  <c r="X34" i="11" s="1"/>
  <c r="Z20" i="67"/>
  <c r="Y34" i="11" s="1"/>
  <c r="AA20" i="67"/>
  <c r="Z34" i="11" s="1"/>
  <c r="AB20" i="67"/>
  <c r="AA34" i="11" s="1"/>
  <c r="AC20" i="67"/>
  <c r="AB34" i="11" s="1"/>
  <c r="AD20" i="67"/>
  <c r="AC34" i="11" s="1"/>
  <c r="AE20" i="67"/>
  <c r="AD34" i="11" s="1"/>
  <c r="AF20" i="67"/>
  <c r="AE34" i="11" s="1"/>
  <c r="AG20" i="67"/>
  <c r="AF34" i="11" s="1"/>
  <c r="AH20" i="67"/>
  <c r="AG34" i="11" s="1"/>
  <c r="AI20" i="67"/>
  <c r="AH34" i="11" s="1"/>
  <c r="AJ20" i="67"/>
  <c r="AI34" i="11" s="1"/>
  <c r="AK20" i="67"/>
  <c r="AJ34" i="11" s="1"/>
  <c r="AL20" i="67"/>
  <c r="AK34" i="11" s="1"/>
  <c r="AM20" i="67"/>
  <c r="AL34" i="11" s="1"/>
  <c r="AN20" i="67"/>
  <c r="AM34" i="11" s="1"/>
  <c r="AO20" i="67"/>
  <c r="AN34" i="11" s="1"/>
  <c r="D21" i="67"/>
  <c r="C48" i="11" s="1"/>
  <c r="E21" i="67"/>
  <c r="D48" i="11" s="1"/>
  <c r="F21" i="67"/>
  <c r="E48" i="11" s="1"/>
  <c r="G21" i="67"/>
  <c r="F48" i="11" s="1"/>
  <c r="H21" i="67"/>
  <c r="G48" i="11" s="1"/>
  <c r="I21" i="67"/>
  <c r="H48" i="11" s="1"/>
  <c r="J21" i="67"/>
  <c r="I48" i="11" s="1"/>
  <c r="K21" i="67"/>
  <c r="J48" i="11" s="1"/>
  <c r="L21" i="67"/>
  <c r="K48" i="11" s="1"/>
  <c r="M21" i="67"/>
  <c r="L48" i="11" s="1"/>
  <c r="N21" i="67"/>
  <c r="M48" i="11" s="1"/>
  <c r="O21" i="67"/>
  <c r="N48" i="11" s="1"/>
  <c r="P21" i="67"/>
  <c r="O48" i="11" s="1"/>
  <c r="Q21" i="67"/>
  <c r="P48" i="11" s="1"/>
  <c r="R21" i="67"/>
  <c r="Q48" i="11" s="1"/>
  <c r="S21" i="67"/>
  <c r="R48" i="11" s="1"/>
  <c r="T21" i="67"/>
  <c r="S48" i="11" s="1"/>
  <c r="U21" i="67"/>
  <c r="T48" i="11" s="1"/>
  <c r="V21" i="67"/>
  <c r="U48" i="11" s="1"/>
  <c r="W21" i="67"/>
  <c r="V48" i="11" s="1"/>
  <c r="X21" i="67"/>
  <c r="W48" i="11" s="1"/>
  <c r="Y21" i="67"/>
  <c r="X48" i="11" s="1"/>
  <c r="Z21" i="67"/>
  <c r="Y48" i="11" s="1"/>
  <c r="AA21" i="67"/>
  <c r="Z48" i="11" s="1"/>
  <c r="AB21" i="67"/>
  <c r="AA48" i="11" s="1"/>
  <c r="AC21" i="67"/>
  <c r="AB48" i="11" s="1"/>
  <c r="AD21" i="67"/>
  <c r="AC48" i="11" s="1"/>
  <c r="AE21" i="67"/>
  <c r="AD48" i="11" s="1"/>
  <c r="AF21" i="67"/>
  <c r="AE48" i="11" s="1"/>
  <c r="AG21" i="67"/>
  <c r="AF48" i="11" s="1"/>
  <c r="AH21" i="67"/>
  <c r="AG48" i="11" s="1"/>
  <c r="AI21" i="67"/>
  <c r="AH48" i="11" s="1"/>
  <c r="AJ21" i="67"/>
  <c r="AI48" i="11" s="1"/>
  <c r="AK21" i="67"/>
  <c r="AJ48" i="11" s="1"/>
  <c r="AL21" i="67"/>
  <c r="AK48" i="11" s="1"/>
  <c r="AM21" i="67"/>
  <c r="AL48" i="11" s="1"/>
  <c r="AN21" i="67"/>
  <c r="AM48" i="11" s="1"/>
  <c r="AO21" i="67"/>
  <c r="AN48" i="11" s="1"/>
  <c r="D22" i="67"/>
  <c r="C69" i="11" s="1"/>
  <c r="E22" i="67"/>
  <c r="D69" i="11" s="1"/>
  <c r="F22" i="67"/>
  <c r="E69" i="11" s="1"/>
  <c r="G22" i="67"/>
  <c r="F69" i="11" s="1"/>
  <c r="H22" i="67"/>
  <c r="G69" i="11" s="1"/>
  <c r="I22" i="67"/>
  <c r="H69" i="11" s="1"/>
  <c r="J22" i="67"/>
  <c r="I69" i="11" s="1"/>
  <c r="K22" i="67"/>
  <c r="J69" i="11" s="1"/>
  <c r="L22" i="67"/>
  <c r="K69" i="11" s="1"/>
  <c r="M22" i="67"/>
  <c r="L69" i="11" s="1"/>
  <c r="N22" i="67"/>
  <c r="M69" i="11" s="1"/>
  <c r="O22" i="67"/>
  <c r="N69" i="11" s="1"/>
  <c r="P22" i="67"/>
  <c r="O69" i="11" s="1"/>
  <c r="Q22" i="67"/>
  <c r="P69" i="11" s="1"/>
  <c r="R22" i="67"/>
  <c r="Q69" i="11" s="1"/>
  <c r="S22" i="67"/>
  <c r="R69" i="11" s="1"/>
  <c r="T22" i="67"/>
  <c r="S69" i="11" s="1"/>
  <c r="U22" i="67"/>
  <c r="T69" i="11" s="1"/>
  <c r="V22" i="67"/>
  <c r="U69" i="11" s="1"/>
  <c r="W22" i="67"/>
  <c r="V69" i="11" s="1"/>
  <c r="X22" i="67"/>
  <c r="W69" i="11" s="1"/>
  <c r="Y22" i="67"/>
  <c r="X69" i="11" s="1"/>
  <c r="Z22" i="67"/>
  <c r="Y69" i="11" s="1"/>
  <c r="AA22" i="67"/>
  <c r="Z69" i="11" s="1"/>
  <c r="AB22" i="67"/>
  <c r="AA69" i="11" s="1"/>
  <c r="AC22" i="67"/>
  <c r="AB69" i="11" s="1"/>
  <c r="AD22" i="67"/>
  <c r="AC69" i="11" s="1"/>
  <c r="AE22" i="67"/>
  <c r="AD69" i="11" s="1"/>
  <c r="AF22" i="67"/>
  <c r="AE69" i="11" s="1"/>
  <c r="AG22" i="67"/>
  <c r="AF69" i="11" s="1"/>
  <c r="AH22" i="67"/>
  <c r="AG69" i="11" s="1"/>
  <c r="AI22" i="67"/>
  <c r="AH69" i="11" s="1"/>
  <c r="AJ22" i="67"/>
  <c r="AI69" i="11" s="1"/>
  <c r="AK22" i="67"/>
  <c r="AJ69" i="11" s="1"/>
  <c r="AL22" i="67"/>
  <c r="AK69" i="11" s="1"/>
  <c r="AM22" i="67"/>
  <c r="AL69" i="11" s="1"/>
  <c r="AN22" i="67"/>
  <c r="AM69" i="11" s="1"/>
  <c r="AO22" i="67"/>
  <c r="AN69" i="11" s="1"/>
  <c r="D23" i="67"/>
  <c r="C79" i="11" s="1"/>
  <c r="E23" i="67"/>
  <c r="D79" i="11" s="1"/>
  <c r="F23" i="67"/>
  <c r="E79" i="11" s="1"/>
  <c r="G23" i="67"/>
  <c r="F79" i="11" s="1"/>
  <c r="H23" i="67"/>
  <c r="G79" i="11" s="1"/>
  <c r="I23" i="67"/>
  <c r="H79" i="11" s="1"/>
  <c r="J23" i="67"/>
  <c r="I79" i="11" s="1"/>
  <c r="K23" i="67"/>
  <c r="J79" i="11" s="1"/>
  <c r="L23" i="67"/>
  <c r="K79" i="11" s="1"/>
  <c r="M23" i="67"/>
  <c r="L79" i="11" s="1"/>
  <c r="N23" i="67"/>
  <c r="M79" i="11" s="1"/>
  <c r="O23" i="67"/>
  <c r="N79" i="11" s="1"/>
  <c r="P23" i="67"/>
  <c r="O79" i="11" s="1"/>
  <c r="Q23" i="67"/>
  <c r="P79" i="11" s="1"/>
  <c r="R23" i="67"/>
  <c r="Q79" i="11" s="1"/>
  <c r="S23" i="67"/>
  <c r="R79" i="11" s="1"/>
  <c r="T23" i="67"/>
  <c r="S79" i="11" s="1"/>
  <c r="U23" i="67"/>
  <c r="T79" i="11" s="1"/>
  <c r="V23" i="67"/>
  <c r="U79" i="11" s="1"/>
  <c r="W23" i="67"/>
  <c r="V79" i="11" s="1"/>
  <c r="X23" i="67"/>
  <c r="W79" i="11" s="1"/>
  <c r="Y23" i="67"/>
  <c r="X79" i="11" s="1"/>
  <c r="Z23" i="67"/>
  <c r="Y79" i="11" s="1"/>
  <c r="AA23" i="67"/>
  <c r="Z79" i="11" s="1"/>
  <c r="AB23" i="67"/>
  <c r="AA79" i="11" s="1"/>
  <c r="AC23" i="67"/>
  <c r="AB79" i="11" s="1"/>
  <c r="AD23" i="67"/>
  <c r="AC79" i="11" s="1"/>
  <c r="AE23" i="67"/>
  <c r="AD79" i="11" s="1"/>
  <c r="AF23" i="67"/>
  <c r="AE79" i="11" s="1"/>
  <c r="AG23" i="67"/>
  <c r="AF79" i="11" s="1"/>
  <c r="AH23" i="67"/>
  <c r="AG79" i="11" s="1"/>
  <c r="AI23" i="67"/>
  <c r="AH79" i="11" s="1"/>
  <c r="AJ23" i="67"/>
  <c r="AI79" i="11" s="1"/>
  <c r="AK23" i="67"/>
  <c r="AJ79" i="11" s="1"/>
  <c r="AL23" i="67"/>
  <c r="AK79" i="11" s="1"/>
  <c r="AM23" i="67"/>
  <c r="AL79" i="11" s="1"/>
  <c r="AN23" i="67"/>
  <c r="AM79" i="11" s="1"/>
  <c r="AO23" i="67"/>
  <c r="AN79" i="11" s="1"/>
  <c r="D24" i="67"/>
  <c r="C83" i="11" s="1"/>
  <c r="E24" i="67"/>
  <c r="D83" i="11" s="1"/>
  <c r="F24" i="67"/>
  <c r="E83" i="11" s="1"/>
  <c r="G24" i="67"/>
  <c r="F83" i="11" s="1"/>
  <c r="H24" i="67"/>
  <c r="G83" i="11" s="1"/>
  <c r="I24" i="67"/>
  <c r="H83" i="11" s="1"/>
  <c r="J24" i="67"/>
  <c r="I83" i="11" s="1"/>
  <c r="K24" i="67"/>
  <c r="J83" i="11" s="1"/>
  <c r="L24" i="67"/>
  <c r="K83" i="11" s="1"/>
  <c r="M24" i="67"/>
  <c r="L83" i="11" s="1"/>
  <c r="N24" i="67"/>
  <c r="M83" i="11" s="1"/>
  <c r="O24" i="67"/>
  <c r="N83" i="11" s="1"/>
  <c r="P24" i="67"/>
  <c r="O83" i="11" s="1"/>
  <c r="Q24" i="67"/>
  <c r="P83" i="11" s="1"/>
  <c r="R24" i="67"/>
  <c r="Q83" i="11" s="1"/>
  <c r="S24" i="67"/>
  <c r="R83" i="11" s="1"/>
  <c r="T24" i="67"/>
  <c r="S83" i="11" s="1"/>
  <c r="U24" i="67"/>
  <c r="T83" i="11" s="1"/>
  <c r="V24" i="67"/>
  <c r="U83" i="11" s="1"/>
  <c r="W24" i="67"/>
  <c r="V83" i="11" s="1"/>
  <c r="X24" i="67"/>
  <c r="W83" i="11" s="1"/>
  <c r="Y24" i="67"/>
  <c r="X83" i="11" s="1"/>
  <c r="Z24" i="67"/>
  <c r="Y83" i="11" s="1"/>
  <c r="AA24" i="67"/>
  <c r="Z83" i="11" s="1"/>
  <c r="AB24" i="67"/>
  <c r="AA83" i="11" s="1"/>
  <c r="AC24" i="67"/>
  <c r="AB83" i="11" s="1"/>
  <c r="AD24" i="67"/>
  <c r="AC83" i="11" s="1"/>
  <c r="AE24" i="67"/>
  <c r="AD83" i="11" s="1"/>
  <c r="AF24" i="67"/>
  <c r="AE83" i="11" s="1"/>
  <c r="AG24" i="67"/>
  <c r="AF83" i="11" s="1"/>
  <c r="AH24" i="67"/>
  <c r="AG83" i="11" s="1"/>
  <c r="AI24" i="67"/>
  <c r="AH83" i="11" s="1"/>
  <c r="AJ24" i="67"/>
  <c r="AI83" i="11" s="1"/>
  <c r="AK24" i="67"/>
  <c r="AJ83" i="11" s="1"/>
  <c r="AL24" i="67"/>
  <c r="AK83" i="11" s="1"/>
  <c r="AM24" i="67"/>
  <c r="AL83" i="11" s="1"/>
  <c r="AN24" i="67"/>
  <c r="AM83" i="11" s="1"/>
  <c r="AO24" i="67"/>
  <c r="AN83" i="11" s="1"/>
  <c r="D25" i="67"/>
  <c r="C88" i="11" s="1"/>
  <c r="E25" i="67"/>
  <c r="D88" i="11" s="1"/>
  <c r="F25" i="67"/>
  <c r="E88" i="11" s="1"/>
  <c r="G25" i="67"/>
  <c r="F88" i="11" s="1"/>
  <c r="H25" i="67"/>
  <c r="G88" i="11" s="1"/>
  <c r="I25" i="67"/>
  <c r="H88" i="11" s="1"/>
  <c r="J25" i="67"/>
  <c r="I88" i="11" s="1"/>
  <c r="K25" i="67"/>
  <c r="J88" i="11" s="1"/>
  <c r="L25" i="67"/>
  <c r="K88" i="11" s="1"/>
  <c r="M25" i="67"/>
  <c r="L88" i="11" s="1"/>
  <c r="N25" i="67"/>
  <c r="M88" i="11" s="1"/>
  <c r="O25" i="67"/>
  <c r="N88" i="11" s="1"/>
  <c r="P25" i="67"/>
  <c r="O88" i="11" s="1"/>
  <c r="Q25" i="67"/>
  <c r="P88" i="11" s="1"/>
  <c r="R25" i="67"/>
  <c r="Q88" i="11" s="1"/>
  <c r="S25" i="67"/>
  <c r="R88" i="11" s="1"/>
  <c r="T25" i="67"/>
  <c r="S88" i="11" s="1"/>
  <c r="U25" i="67"/>
  <c r="T88" i="11" s="1"/>
  <c r="V25" i="67"/>
  <c r="U88" i="11" s="1"/>
  <c r="W25" i="67"/>
  <c r="V88" i="11" s="1"/>
  <c r="X25" i="67"/>
  <c r="W88" i="11" s="1"/>
  <c r="Y25" i="67"/>
  <c r="X88" i="11" s="1"/>
  <c r="Z25" i="67"/>
  <c r="Y88" i="11" s="1"/>
  <c r="AA25" i="67"/>
  <c r="Z88" i="11" s="1"/>
  <c r="AB25" i="67"/>
  <c r="AA88" i="11" s="1"/>
  <c r="AC25" i="67"/>
  <c r="AB88" i="11" s="1"/>
  <c r="AD25" i="67"/>
  <c r="AC88" i="11" s="1"/>
  <c r="AE25" i="67"/>
  <c r="AD88" i="11" s="1"/>
  <c r="AF25" i="67"/>
  <c r="AE88" i="11" s="1"/>
  <c r="AG25" i="67"/>
  <c r="AF88" i="11" s="1"/>
  <c r="AH25" i="67"/>
  <c r="AG88" i="11" s="1"/>
  <c r="AI25" i="67"/>
  <c r="AH88" i="11" s="1"/>
  <c r="AJ25" i="67"/>
  <c r="AI88" i="11" s="1"/>
  <c r="AK25" i="67"/>
  <c r="AJ88" i="11" s="1"/>
  <c r="AL25" i="67"/>
  <c r="AK88" i="11" s="1"/>
  <c r="AM25" i="67"/>
  <c r="AL88" i="11" s="1"/>
  <c r="AN25" i="67"/>
  <c r="AM88" i="11" s="1"/>
  <c r="AO25" i="67"/>
  <c r="AN88" i="11" s="1"/>
  <c r="D26" i="67"/>
  <c r="C94" i="11" s="1"/>
  <c r="E26" i="67"/>
  <c r="D94" i="11" s="1"/>
  <c r="F26" i="67"/>
  <c r="E94" i="11" s="1"/>
  <c r="G26" i="67"/>
  <c r="F94" i="11" s="1"/>
  <c r="H26" i="67"/>
  <c r="G94" i="11" s="1"/>
  <c r="I26" i="67"/>
  <c r="H94" i="11" s="1"/>
  <c r="J26" i="67"/>
  <c r="I94" i="11" s="1"/>
  <c r="K26" i="67"/>
  <c r="J94" i="11" s="1"/>
  <c r="L26" i="67"/>
  <c r="K94" i="11" s="1"/>
  <c r="M26" i="67"/>
  <c r="L94" i="11" s="1"/>
  <c r="N26" i="67"/>
  <c r="M94" i="11" s="1"/>
  <c r="O26" i="67"/>
  <c r="N94" i="11" s="1"/>
  <c r="P26" i="67"/>
  <c r="O94" i="11" s="1"/>
  <c r="Q26" i="67"/>
  <c r="P94" i="11" s="1"/>
  <c r="R26" i="67"/>
  <c r="Q94" i="11" s="1"/>
  <c r="S26" i="67"/>
  <c r="R94" i="11" s="1"/>
  <c r="T26" i="67"/>
  <c r="S94" i="11" s="1"/>
  <c r="U26" i="67"/>
  <c r="T94" i="11" s="1"/>
  <c r="V26" i="67"/>
  <c r="U94" i="11" s="1"/>
  <c r="W26" i="67"/>
  <c r="V94" i="11" s="1"/>
  <c r="X26" i="67"/>
  <c r="W94" i="11" s="1"/>
  <c r="Y26" i="67"/>
  <c r="X94" i="11" s="1"/>
  <c r="Z26" i="67"/>
  <c r="Y94" i="11" s="1"/>
  <c r="AA26" i="67"/>
  <c r="Z94" i="11" s="1"/>
  <c r="AB26" i="67"/>
  <c r="AA94" i="11" s="1"/>
  <c r="AC26" i="67"/>
  <c r="AB94" i="11" s="1"/>
  <c r="AD26" i="67"/>
  <c r="AC94" i="11" s="1"/>
  <c r="AE26" i="67"/>
  <c r="AD94" i="11" s="1"/>
  <c r="AF26" i="67"/>
  <c r="AE94" i="11" s="1"/>
  <c r="AG26" i="67"/>
  <c r="AF94" i="11" s="1"/>
  <c r="AH26" i="67"/>
  <c r="AG94" i="11" s="1"/>
  <c r="AI26" i="67"/>
  <c r="AH94" i="11" s="1"/>
  <c r="AJ26" i="67"/>
  <c r="AI94" i="11" s="1"/>
  <c r="AK26" i="67"/>
  <c r="AJ94" i="11" s="1"/>
  <c r="AL26" i="67"/>
  <c r="AK94" i="11" s="1"/>
  <c r="AM26" i="67"/>
  <c r="AL94" i="11" s="1"/>
  <c r="AN26" i="67"/>
  <c r="AM94" i="11" s="1"/>
  <c r="AO26" i="67"/>
  <c r="AN94" i="11" s="1"/>
  <c r="D29" i="67"/>
  <c r="C12" i="30" s="1"/>
  <c r="E29" i="67"/>
  <c r="D12" i="30" s="1"/>
  <c r="F29" i="67"/>
  <c r="E12" i="30" s="1"/>
  <c r="G29" i="67"/>
  <c r="F12" i="30" s="1"/>
  <c r="H29" i="67"/>
  <c r="G12" i="30" s="1"/>
  <c r="I29" i="67"/>
  <c r="H12" i="30" s="1"/>
  <c r="J29" i="67"/>
  <c r="I12" i="30" s="1"/>
  <c r="K29" i="67"/>
  <c r="J12" i="30" s="1"/>
  <c r="L29" i="67"/>
  <c r="K12" i="30" s="1"/>
  <c r="M29" i="67"/>
  <c r="L12" i="30" s="1"/>
  <c r="N29" i="67"/>
  <c r="M12" i="30" s="1"/>
  <c r="O29" i="67"/>
  <c r="N12" i="30" s="1"/>
  <c r="P29" i="67"/>
  <c r="O12" i="30" s="1"/>
  <c r="Q29" i="67"/>
  <c r="P12" i="30" s="1"/>
  <c r="R29" i="67"/>
  <c r="Q12" i="30" s="1"/>
  <c r="S29" i="67"/>
  <c r="R12" i="30" s="1"/>
  <c r="T29" i="67"/>
  <c r="S12" i="30" s="1"/>
  <c r="U29" i="67"/>
  <c r="T12" i="30" s="1"/>
  <c r="V29" i="67"/>
  <c r="U12" i="30" s="1"/>
  <c r="W29" i="67"/>
  <c r="V12" i="30" s="1"/>
  <c r="X29" i="67"/>
  <c r="W12" i="30" s="1"/>
  <c r="Y29" i="67"/>
  <c r="X12" i="30" s="1"/>
  <c r="Z29" i="67"/>
  <c r="Y12" i="30" s="1"/>
  <c r="AA29" i="67"/>
  <c r="Z12" i="30" s="1"/>
  <c r="AB29" i="67"/>
  <c r="AA12" i="30" s="1"/>
  <c r="AC29" i="67"/>
  <c r="AB12" i="30" s="1"/>
  <c r="AD29" i="67"/>
  <c r="AC12" i="30" s="1"/>
  <c r="AE29" i="67"/>
  <c r="AD12" i="30" s="1"/>
  <c r="AF29" i="67"/>
  <c r="AE12" i="30" s="1"/>
  <c r="AG29" i="67"/>
  <c r="AF12" i="30" s="1"/>
  <c r="AH29" i="67"/>
  <c r="AG12" i="30" s="1"/>
  <c r="AI29" i="67"/>
  <c r="AH12" i="30" s="1"/>
  <c r="AJ29" i="67"/>
  <c r="AI12" i="30" s="1"/>
  <c r="AK29" i="67"/>
  <c r="AJ12" i="30" s="1"/>
  <c r="AL29" i="67"/>
  <c r="AK12" i="30" s="1"/>
  <c r="AM29" i="67"/>
  <c r="AL12" i="30" s="1"/>
  <c r="AN29" i="67"/>
  <c r="AM12" i="30" s="1"/>
  <c r="AO29" i="67"/>
  <c r="AN12" i="30" s="1"/>
  <c r="D30" i="67"/>
  <c r="C27" i="30" s="1"/>
  <c r="E30" i="67"/>
  <c r="D27" i="30" s="1"/>
  <c r="F30" i="67"/>
  <c r="E27" i="30" s="1"/>
  <c r="G30" i="67"/>
  <c r="F27" i="30" s="1"/>
  <c r="H30" i="67"/>
  <c r="G27" i="30" s="1"/>
  <c r="I30" i="67"/>
  <c r="H27" i="30" s="1"/>
  <c r="J30" i="67"/>
  <c r="I27" i="30" s="1"/>
  <c r="K30" i="67"/>
  <c r="J27" i="30" s="1"/>
  <c r="L30" i="67"/>
  <c r="K27" i="30" s="1"/>
  <c r="M30" i="67"/>
  <c r="L27" i="30" s="1"/>
  <c r="N30" i="67"/>
  <c r="M27" i="30" s="1"/>
  <c r="O30" i="67"/>
  <c r="N27" i="30" s="1"/>
  <c r="P30" i="67"/>
  <c r="O27" i="30" s="1"/>
  <c r="Q30" i="67"/>
  <c r="P27" i="30" s="1"/>
  <c r="R30" i="67"/>
  <c r="Q27" i="30" s="1"/>
  <c r="S30" i="67"/>
  <c r="R27" i="30" s="1"/>
  <c r="T30" i="67"/>
  <c r="S27" i="30" s="1"/>
  <c r="U30" i="67"/>
  <c r="T27" i="30" s="1"/>
  <c r="V30" i="67"/>
  <c r="U27" i="30" s="1"/>
  <c r="W30" i="67"/>
  <c r="V27" i="30" s="1"/>
  <c r="X30" i="67"/>
  <c r="W27" i="30" s="1"/>
  <c r="Y30" i="67"/>
  <c r="X27" i="30" s="1"/>
  <c r="Z30" i="67"/>
  <c r="Y27" i="30" s="1"/>
  <c r="AA30" i="67"/>
  <c r="Z27" i="30" s="1"/>
  <c r="AB30" i="67"/>
  <c r="AA27" i="30" s="1"/>
  <c r="AC30" i="67"/>
  <c r="AB27" i="30" s="1"/>
  <c r="AD30" i="67"/>
  <c r="AC27" i="30" s="1"/>
  <c r="AE30" i="67"/>
  <c r="AD27" i="30" s="1"/>
  <c r="AF30" i="67"/>
  <c r="AE27" i="30" s="1"/>
  <c r="AG30" i="67"/>
  <c r="AF27" i="30" s="1"/>
  <c r="AH30" i="67"/>
  <c r="AG27" i="30" s="1"/>
  <c r="AI30" i="67"/>
  <c r="AH27" i="30" s="1"/>
  <c r="AJ30" i="67"/>
  <c r="AI27" i="30" s="1"/>
  <c r="AK30" i="67"/>
  <c r="AJ27" i="30" s="1"/>
  <c r="AL30" i="67"/>
  <c r="AK27" i="30" s="1"/>
  <c r="AM30" i="67"/>
  <c r="AL27" i="30" s="1"/>
  <c r="AN30" i="67"/>
  <c r="AM27" i="30" s="1"/>
  <c r="AO30" i="67"/>
  <c r="AN27" i="30" s="1"/>
  <c r="D31" i="67"/>
  <c r="C34" i="30" s="1"/>
  <c r="E31" i="67"/>
  <c r="D34" i="30" s="1"/>
  <c r="F31" i="67"/>
  <c r="E34" i="30" s="1"/>
  <c r="G31" i="67"/>
  <c r="F34" i="30" s="1"/>
  <c r="H31" i="67"/>
  <c r="G34" i="30" s="1"/>
  <c r="I31" i="67"/>
  <c r="H34" i="30" s="1"/>
  <c r="J31" i="67"/>
  <c r="I34" i="30" s="1"/>
  <c r="K31" i="67"/>
  <c r="J34" i="30" s="1"/>
  <c r="L31" i="67"/>
  <c r="K34" i="30" s="1"/>
  <c r="M31" i="67"/>
  <c r="L34" i="30" s="1"/>
  <c r="N31" i="67"/>
  <c r="M34" i="30" s="1"/>
  <c r="O31" i="67"/>
  <c r="N34" i="30" s="1"/>
  <c r="P31" i="67"/>
  <c r="O34" i="30" s="1"/>
  <c r="Q31" i="67"/>
  <c r="P34" i="30" s="1"/>
  <c r="R31" i="67"/>
  <c r="Q34" i="30" s="1"/>
  <c r="S31" i="67"/>
  <c r="R34" i="30" s="1"/>
  <c r="T31" i="67"/>
  <c r="S34" i="30" s="1"/>
  <c r="U31" i="67"/>
  <c r="T34" i="30" s="1"/>
  <c r="V31" i="67"/>
  <c r="U34" i="30" s="1"/>
  <c r="W31" i="67"/>
  <c r="V34" i="30" s="1"/>
  <c r="X31" i="67"/>
  <c r="W34" i="30" s="1"/>
  <c r="Y31" i="67"/>
  <c r="X34" i="30" s="1"/>
  <c r="Z31" i="67"/>
  <c r="Y34" i="30" s="1"/>
  <c r="AA31" i="67"/>
  <c r="Z34" i="30" s="1"/>
  <c r="AB31" i="67"/>
  <c r="AA34" i="30" s="1"/>
  <c r="AC31" i="67"/>
  <c r="AB34" i="30" s="1"/>
  <c r="AD31" i="67"/>
  <c r="AC34" i="30" s="1"/>
  <c r="AE31" i="67"/>
  <c r="AD34" i="30" s="1"/>
  <c r="AF31" i="67"/>
  <c r="AE34" i="30" s="1"/>
  <c r="AG31" i="67"/>
  <c r="AF34" i="30" s="1"/>
  <c r="AH31" i="67"/>
  <c r="AG34" i="30" s="1"/>
  <c r="AI31" i="67"/>
  <c r="AH34" i="30" s="1"/>
  <c r="AJ31" i="67"/>
  <c r="AI34" i="30" s="1"/>
  <c r="AK31" i="67"/>
  <c r="AJ34" i="30" s="1"/>
  <c r="AL31" i="67"/>
  <c r="AK34" i="30" s="1"/>
  <c r="AM31" i="67"/>
  <c r="AL34" i="30" s="1"/>
  <c r="AN31" i="67"/>
  <c r="AM34" i="30" s="1"/>
  <c r="AO31" i="67"/>
  <c r="AN34" i="30" s="1"/>
  <c r="D32" i="67"/>
  <c r="C48" i="30" s="1"/>
  <c r="E32" i="67"/>
  <c r="D48" i="30" s="1"/>
  <c r="F32" i="67"/>
  <c r="E48" i="30" s="1"/>
  <c r="G32" i="67"/>
  <c r="F48" i="30" s="1"/>
  <c r="H32" i="67"/>
  <c r="G48" i="30" s="1"/>
  <c r="I32" i="67"/>
  <c r="H48" i="30" s="1"/>
  <c r="J32" i="67"/>
  <c r="I48" i="30" s="1"/>
  <c r="K32" i="67"/>
  <c r="J48" i="30" s="1"/>
  <c r="L32" i="67"/>
  <c r="K48" i="30" s="1"/>
  <c r="M32" i="67"/>
  <c r="L48" i="30" s="1"/>
  <c r="N32" i="67"/>
  <c r="M48" i="30" s="1"/>
  <c r="O32" i="67"/>
  <c r="N48" i="30" s="1"/>
  <c r="P32" i="67"/>
  <c r="O48" i="30" s="1"/>
  <c r="Q32" i="67"/>
  <c r="P48" i="30" s="1"/>
  <c r="R32" i="67"/>
  <c r="Q48" i="30" s="1"/>
  <c r="S32" i="67"/>
  <c r="R48" i="30" s="1"/>
  <c r="T32" i="67"/>
  <c r="S48" i="30" s="1"/>
  <c r="U32" i="67"/>
  <c r="T48" i="30" s="1"/>
  <c r="V32" i="67"/>
  <c r="U48" i="30" s="1"/>
  <c r="W32" i="67"/>
  <c r="V48" i="30" s="1"/>
  <c r="X32" i="67"/>
  <c r="W48" i="30" s="1"/>
  <c r="Y32" i="67"/>
  <c r="X48" i="30" s="1"/>
  <c r="Z32" i="67"/>
  <c r="Y48" i="30" s="1"/>
  <c r="AA32" i="67"/>
  <c r="Z48" i="30" s="1"/>
  <c r="AB32" i="67"/>
  <c r="AA48" i="30" s="1"/>
  <c r="AC32" i="67"/>
  <c r="AB48" i="30" s="1"/>
  <c r="AD32" i="67"/>
  <c r="AC48" i="30" s="1"/>
  <c r="AE32" i="67"/>
  <c r="AD48" i="30" s="1"/>
  <c r="AF32" i="67"/>
  <c r="AE48" i="30" s="1"/>
  <c r="AG32" i="67"/>
  <c r="AF48" i="30" s="1"/>
  <c r="AH32" i="67"/>
  <c r="AG48" i="30" s="1"/>
  <c r="AI32" i="67"/>
  <c r="AH48" i="30" s="1"/>
  <c r="AJ32" i="67"/>
  <c r="AI48" i="30" s="1"/>
  <c r="AK32" i="67"/>
  <c r="AJ48" i="30" s="1"/>
  <c r="AL32" i="67"/>
  <c r="AK48" i="30" s="1"/>
  <c r="AM32" i="67"/>
  <c r="AL48" i="30" s="1"/>
  <c r="AN32" i="67"/>
  <c r="AM48" i="30" s="1"/>
  <c r="AO32" i="67"/>
  <c r="AN48" i="30" s="1"/>
  <c r="D33" i="67"/>
  <c r="C69" i="30" s="1"/>
  <c r="E33" i="67"/>
  <c r="D69" i="30" s="1"/>
  <c r="F33" i="67"/>
  <c r="E69" i="30" s="1"/>
  <c r="G33" i="67"/>
  <c r="F69" i="30" s="1"/>
  <c r="H33" i="67"/>
  <c r="G69" i="30" s="1"/>
  <c r="I33" i="67"/>
  <c r="H69" i="30" s="1"/>
  <c r="J33" i="67"/>
  <c r="I69" i="30" s="1"/>
  <c r="K33" i="67"/>
  <c r="J69" i="30" s="1"/>
  <c r="L33" i="67"/>
  <c r="K69" i="30" s="1"/>
  <c r="M33" i="67"/>
  <c r="L69" i="30" s="1"/>
  <c r="N33" i="67"/>
  <c r="M69" i="30" s="1"/>
  <c r="O33" i="67"/>
  <c r="N69" i="30" s="1"/>
  <c r="P33" i="67"/>
  <c r="O69" i="30" s="1"/>
  <c r="Q33" i="67"/>
  <c r="P69" i="30" s="1"/>
  <c r="R33" i="67"/>
  <c r="Q69" i="30" s="1"/>
  <c r="S33" i="67"/>
  <c r="R69" i="30" s="1"/>
  <c r="T33" i="67"/>
  <c r="S69" i="30" s="1"/>
  <c r="U33" i="67"/>
  <c r="T69" i="30" s="1"/>
  <c r="V33" i="67"/>
  <c r="U69" i="30" s="1"/>
  <c r="W33" i="67"/>
  <c r="V69" i="30" s="1"/>
  <c r="X33" i="67"/>
  <c r="W69" i="30" s="1"/>
  <c r="Y33" i="67"/>
  <c r="X69" i="30" s="1"/>
  <c r="Z33" i="67"/>
  <c r="Y69" i="30" s="1"/>
  <c r="AA33" i="67"/>
  <c r="Z69" i="30" s="1"/>
  <c r="AB33" i="67"/>
  <c r="AA69" i="30" s="1"/>
  <c r="AC33" i="67"/>
  <c r="AB69" i="30" s="1"/>
  <c r="AD33" i="67"/>
  <c r="AC69" i="30" s="1"/>
  <c r="AE33" i="67"/>
  <c r="AD69" i="30" s="1"/>
  <c r="AF33" i="67"/>
  <c r="AE69" i="30" s="1"/>
  <c r="AG33" i="67"/>
  <c r="AF69" i="30" s="1"/>
  <c r="AH33" i="67"/>
  <c r="AG69" i="30" s="1"/>
  <c r="AI33" i="67"/>
  <c r="AH69" i="30" s="1"/>
  <c r="AJ33" i="67"/>
  <c r="AI69" i="30" s="1"/>
  <c r="AK33" i="67"/>
  <c r="AJ69" i="30" s="1"/>
  <c r="AL33" i="67"/>
  <c r="AK69" i="30" s="1"/>
  <c r="AM33" i="67"/>
  <c r="AL69" i="30" s="1"/>
  <c r="AN33" i="67"/>
  <c r="AM69" i="30" s="1"/>
  <c r="AO33" i="67"/>
  <c r="AN69" i="30" s="1"/>
  <c r="D34" i="67"/>
  <c r="C79" i="30" s="1"/>
  <c r="E34" i="67"/>
  <c r="D79" i="30" s="1"/>
  <c r="F34" i="67"/>
  <c r="E79" i="30" s="1"/>
  <c r="G34" i="67"/>
  <c r="F79" i="30" s="1"/>
  <c r="H34" i="67"/>
  <c r="G79" i="30" s="1"/>
  <c r="I34" i="67"/>
  <c r="H79" i="30" s="1"/>
  <c r="J34" i="67"/>
  <c r="I79" i="30" s="1"/>
  <c r="K34" i="67"/>
  <c r="J79" i="30" s="1"/>
  <c r="L34" i="67"/>
  <c r="K79" i="30" s="1"/>
  <c r="M34" i="67"/>
  <c r="L79" i="30" s="1"/>
  <c r="N34" i="67"/>
  <c r="M79" i="30" s="1"/>
  <c r="O34" i="67"/>
  <c r="N79" i="30" s="1"/>
  <c r="P34" i="67"/>
  <c r="O79" i="30" s="1"/>
  <c r="Q34" i="67"/>
  <c r="P79" i="30" s="1"/>
  <c r="R34" i="67"/>
  <c r="Q79" i="30" s="1"/>
  <c r="S34" i="67"/>
  <c r="R79" i="30" s="1"/>
  <c r="T34" i="67"/>
  <c r="S79" i="30" s="1"/>
  <c r="U34" i="67"/>
  <c r="T79" i="30" s="1"/>
  <c r="V34" i="67"/>
  <c r="U79" i="30" s="1"/>
  <c r="W34" i="67"/>
  <c r="V79" i="30" s="1"/>
  <c r="X34" i="67"/>
  <c r="W79" i="30" s="1"/>
  <c r="Y34" i="67"/>
  <c r="X79" i="30" s="1"/>
  <c r="Z34" i="67"/>
  <c r="Y79" i="30" s="1"/>
  <c r="AA34" i="67"/>
  <c r="Z79" i="30" s="1"/>
  <c r="AB34" i="67"/>
  <c r="AA79" i="30" s="1"/>
  <c r="AC34" i="67"/>
  <c r="AB79" i="30" s="1"/>
  <c r="AD34" i="67"/>
  <c r="AC79" i="30" s="1"/>
  <c r="AE34" i="67"/>
  <c r="AD79" i="30" s="1"/>
  <c r="AF34" i="67"/>
  <c r="AE79" i="30" s="1"/>
  <c r="AG34" i="67"/>
  <c r="AF79" i="30" s="1"/>
  <c r="AH34" i="67"/>
  <c r="AG79" i="30" s="1"/>
  <c r="AI34" i="67"/>
  <c r="AH79" i="30" s="1"/>
  <c r="AJ34" i="67"/>
  <c r="AI79" i="30" s="1"/>
  <c r="AK34" i="67"/>
  <c r="AJ79" i="30" s="1"/>
  <c r="AL34" i="67"/>
  <c r="AK79" i="30" s="1"/>
  <c r="AM34" i="67"/>
  <c r="AL79" i="30" s="1"/>
  <c r="AN34" i="67"/>
  <c r="AM79" i="30" s="1"/>
  <c r="AO34" i="67"/>
  <c r="AN79" i="30" s="1"/>
  <c r="D35" i="67"/>
  <c r="C83" i="30" s="1"/>
  <c r="E35" i="67"/>
  <c r="D83" i="30" s="1"/>
  <c r="F35" i="67"/>
  <c r="E83" i="30" s="1"/>
  <c r="G35" i="67"/>
  <c r="F83" i="30" s="1"/>
  <c r="H35" i="67"/>
  <c r="G83" i="30" s="1"/>
  <c r="I35" i="67"/>
  <c r="H83" i="30" s="1"/>
  <c r="J35" i="67"/>
  <c r="I83" i="30" s="1"/>
  <c r="K35" i="67"/>
  <c r="J83" i="30" s="1"/>
  <c r="L35" i="67"/>
  <c r="K83" i="30" s="1"/>
  <c r="M35" i="67"/>
  <c r="L83" i="30" s="1"/>
  <c r="N35" i="67"/>
  <c r="M83" i="30" s="1"/>
  <c r="O35" i="67"/>
  <c r="N83" i="30" s="1"/>
  <c r="P35" i="67"/>
  <c r="O83" i="30" s="1"/>
  <c r="Q35" i="67"/>
  <c r="P83" i="30" s="1"/>
  <c r="R35" i="67"/>
  <c r="Q83" i="30" s="1"/>
  <c r="S35" i="67"/>
  <c r="R83" i="30" s="1"/>
  <c r="T35" i="67"/>
  <c r="S83" i="30" s="1"/>
  <c r="U35" i="67"/>
  <c r="T83" i="30" s="1"/>
  <c r="V35" i="67"/>
  <c r="U83" i="30" s="1"/>
  <c r="W35" i="67"/>
  <c r="V83" i="30" s="1"/>
  <c r="X35" i="67"/>
  <c r="W83" i="30" s="1"/>
  <c r="Y35" i="67"/>
  <c r="X83" i="30" s="1"/>
  <c r="Z35" i="67"/>
  <c r="Y83" i="30" s="1"/>
  <c r="AA35" i="67"/>
  <c r="Z83" i="30" s="1"/>
  <c r="AB35" i="67"/>
  <c r="AA83" i="30" s="1"/>
  <c r="AC35" i="67"/>
  <c r="AB83" i="30" s="1"/>
  <c r="AD35" i="67"/>
  <c r="AC83" i="30" s="1"/>
  <c r="AE35" i="67"/>
  <c r="AD83" i="30" s="1"/>
  <c r="AF35" i="67"/>
  <c r="AE83" i="30" s="1"/>
  <c r="AG35" i="67"/>
  <c r="AF83" i="30" s="1"/>
  <c r="AH35" i="67"/>
  <c r="AG83" i="30" s="1"/>
  <c r="AI35" i="67"/>
  <c r="AH83" i="30" s="1"/>
  <c r="AJ35" i="67"/>
  <c r="AI83" i="30" s="1"/>
  <c r="AK35" i="67"/>
  <c r="AJ83" i="30" s="1"/>
  <c r="AL35" i="67"/>
  <c r="AK83" i="30" s="1"/>
  <c r="AM35" i="67"/>
  <c r="AL83" i="30" s="1"/>
  <c r="AN35" i="67"/>
  <c r="AM83" i="30" s="1"/>
  <c r="AO35" i="67"/>
  <c r="AN83" i="30" s="1"/>
  <c r="D36" i="67"/>
  <c r="C88" i="30" s="1"/>
  <c r="E36" i="67"/>
  <c r="D88" i="30" s="1"/>
  <c r="F36" i="67"/>
  <c r="E88" i="30" s="1"/>
  <c r="G36" i="67"/>
  <c r="F88" i="30" s="1"/>
  <c r="H36" i="67"/>
  <c r="G88" i="30" s="1"/>
  <c r="I36" i="67"/>
  <c r="H88" i="30" s="1"/>
  <c r="J36" i="67"/>
  <c r="I88" i="30" s="1"/>
  <c r="K36" i="67"/>
  <c r="J88" i="30" s="1"/>
  <c r="L36" i="67"/>
  <c r="K88" i="30" s="1"/>
  <c r="M36" i="67"/>
  <c r="L88" i="30" s="1"/>
  <c r="N36" i="67"/>
  <c r="M88" i="30" s="1"/>
  <c r="O36" i="67"/>
  <c r="N88" i="30" s="1"/>
  <c r="P36" i="67"/>
  <c r="O88" i="30" s="1"/>
  <c r="Q36" i="67"/>
  <c r="P88" i="30" s="1"/>
  <c r="R36" i="67"/>
  <c r="Q88" i="30" s="1"/>
  <c r="S36" i="67"/>
  <c r="R88" i="30" s="1"/>
  <c r="T36" i="67"/>
  <c r="S88" i="30" s="1"/>
  <c r="U36" i="67"/>
  <c r="T88" i="30" s="1"/>
  <c r="V36" i="67"/>
  <c r="U88" i="30" s="1"/>
  <c r="W36" i="67"/>
  <c r="V88" i="30" s="1"/>
  <c r="X36" i="67"/>
  <c r="W88" i="30" s="1"/>
  <c r="Y36" i="67"/>
  <c r="X88" i="30" s="1"/>
  <c r="Z36" i="67"/>
  <c r="Y88" i="30" s="1"/>
  <c r="AA36" i="67"/>
  <c r="Z88" i="30" s="1"/>
  <c r="AB36" i="67"/>
  <c r="AA88" i="30" s="1"/>
  <c r="AC36" i="67"/>
  <c r="AB88" i="30" s="1"/>
  <c r="AD36" i="67"/>
  <c r="AC88" i="30" s="1"/>
  <c r="AE36" i="67"/>
  <c r="AD88" i="30" s="1"/>
  <c r="AF36" i="67"/>
  <c r="AE88" i="30" s="1"/>
  <c r="AG36" i="67"/>
  <c r="AF88" i="30" s="1"/>
  <c r="AH36" i="67"/>
  <c r="AG88" i="30" s="1"/>
  <c r="AI36" i="67"/>
  <c r="AH88" i="30" s="1"/>
  <c r="AJ36" i="67"/>
  <c r="AI88" i="30" s="1"/>
  <c r="AK36" i="67"/>
  <c r="AJ88" i="30" s="1"/>
  <c r="AL36" i="67"/>
  <c r="AK88" i="30" s="1"/>
  <c r="AM36" i="67"/>
  <c r="AL88" i="30" s="1"/>
  <c r="AN36" i="67"/>
  <c r="AM88" i="30" s="1"/>
  <c r="AO36" i="67"/>
  <c r="AN88" i="30" s="1"/>
  <c r="D37" i="67"/>
  <c r="C94" i="30" s="1"/>
  <c r="E37" i="67"/>
  <c r="D94" i="30" s="1"/>
  <c r="F37" i="67"/>
  <c r="E94" i="30" s="1"/>
  <c r="G37" i="67"/>
  <c r="F94" i="30" s="1"/>
  <c r="H37" i="67"/>
  <c r="G94" i="30" s="1"/>
  <c r="I37" i="67"/>
  <c r="H94" i="30" s="1"/>
  <c r="J37" i="67"/>
  <c r="I94" i="30" s="1"/>
  <c r="K37" i="67"/>
  <c r="J94" i="30" s="1"/>
  <c r="L37" i="67"/>
  <c r="K94" i="30" s="1"/>
  <c r="M37" i="67"/>
  <c r="L94" i="30" s="1"/>
  <c r="N37" i="67"/>
  <c r="M94" i="30" s="1"/>
  <c r="O37" i="67"/>
  <c r="N94" i="30" s="1"/>
  <c r="P37" i="67"/>
  <c r="O94" i="30" s="1"/>
  <c r="Q37" i="67"/>
  <c r="P94" i="30" s="1"/>
  <c r="R37" i="67"/>
  <c r="Q94" i="30" s="1"/>
  <c r="S37" i="67"/>
  <c r="R94" i="30" s="1"/>
  <c r="T37" i="67"/>
  <c r="S94" i="30" s="1"/>
  <c r="U37" i="67"/>
  <c r="T94" i="30" s="1"/>
  <c r="V37" i="67"/>
  <c r="U94" i="30" s="1"/>
  <c r="W37" i="67"/>
  <c r="V94" i="30" s="1"/>
  <c r="X37" i="67"/>
  <c r="W94" i="30" s="1"/>
  <c r="Y37" i="67"/>
  <c r="X94" i="30" s="1"/>
  <c r="Z37" i="67"/>
  <c r="Y94" i="30" s="1"/>
  <c r="AA37" i="67"/>
  <c r="Z94" i="30" s="1"/>
  <c r="AB37" i="67"/>
  <c r="AA94" i="30" s="1"/>
  <c r="AC37" i="67"/>
  <c r="AB94" i="30" s="1"/>
  <c r="AD37" i="67"/>
  <c r="AC94" i="30" s="1"/>
  <c r="AE37" i="67"/>
  <c r="AD94" i="30" s="1"/>
  <c r="AF37" i="67"/>
  <c r="AE94" i="30" s="1"/>
  <c r="AG37" i="67"/>
  <c r="AF94" i="30" s="1"/>
  <c r="AH37" i="67"/>
  <c r="AG94" i="30" s="1"/>
  <c r="AI37" i="67"/>
  <c r="AH94" i="30" s="1"/>
  <c r="AJ37" i="67"/>
  <c r="AI94" i="30" s="1"/>
  <c r="AK37" i="67"/>
  <c r="AJ94" i="30" s="1"/>
  <c r="AL37" i="67"/>
  <c r="AK94" i="30" s="1"/>
  <c r="AM37" i="67"/>
  <c r="AL94" i="30" s="1"/>
  <c r="AN37" i="67"/>
  <c r="AM94" i="30" s="1"/>
  <c r="AO37" i="67"/>
  <c r="AN94" i="30" s="1"/>
  <c r="D40" i="67"/>
  <c r="C12" i="12" s="1"/>
  <c r="E40" i="67"/>
  <c r="D12" i="12" s="1"/>
  <c r="F40" i="67"/>
  <c r="E12" i="12" s="1"/>
  <c r="G40" i="67"/>
  <c r="F12" i="12" s="1"/>
  <c r="H40" i="67"/>
  <c r="G12" i="12" s="1"/>
  <c r="I40" i="67"/>
  <c r="H12" i="12" s="1"/>
  <c r="J40" i="67"/>
  <c r="I12" i="12" s="1"/>
  <c r="K40" i="67"/>
  <c r="J12" i="12" s="1"/>
  <c r="L40" i="67"/>
  <c r="K12" i="12" s="1"/>
  <c r="M40" i="67"/>
  <c r="L12" i="12" s="1"/>
  <c r="N40" i="67"/>
  <c r="M12" i="12" s="1"/>
  <c r="O40" i="67"/>
  <c r="N12" i="12" s="1"/>
  <c r="P40" i="67"/>
  <c r="O12" i="12" s="1"/>
  <c r="Q40" i="67"/>
  <c r="P12" i="12" s="1"/>
  <c r="R40" i="67"/>
  <c r="Q12" i="12" s="1"/>
  <c r="S40" i="67"/>
  <c r="R12" i="12" s="1"/>
  <c r="T40" i="67"/>
  <c r="S12" i="12" s="1"/>
  <c r="U40" i="67"/>
  <c r="T12" i="12" s="1"/>
  <c r="V40" i="67"/>
  <c r="U12" i="12" s="1"/>
  <c r="W40" i="67"/>
  <c r="V12" i="12" s="1"/>
  <c r="X40" i="67"/>
  <c r="W12" i="12" s="1"/>
  <c r="Y40" i="67"/>
  <c r="X12" i="12" s="1"/>
  <c r="Z40" i="67"/>
  <c r="Y12" i="12" s="1"/>
  <c r="AA40" i="67"/>
  <c r="Z12" i="12" s="1"/>
  <c r="AB40" i="67"/>
  <c r="AA12" i="12" s="1"/>
  <c r="AC40" i="67"/>
  <c r="AB12" i="12" s="1"/>
  <c r="AD40" i="67"/>
  <c r="AC12" i="12" s="1"/>
  <c r="AE40" i="67"/>
  <c r="AD12" i="12" s="1"/>
  <c r="AF40" i="67"/>
  <c r="AE12" i="12" s="1"/>
  <c r="AG40" i="67"/>
  <c r="AF12" i="12" s="1"/>
  <c r="AH40" i="67"/>
  <c r="AG12" i="12" s="1"/>
  <c r="AI40" i="67"/>
  <c r="AH12" i="12" s="1"/>
  <c r="AJ40" i="67"/>
  <c r="AI12" i="12" s="1"/>
  <c r="AK40" i="67"/>
  <c r="AJ12" i="12" s="1"/>
  <c r="AL40" i="67"/>
  <c r="AK12" i="12" s="1"/>
  <c r="AM40" i="67"/>
  <c r="AL12" i="12" s="1"/>
  <c r="AN40" i="67"/>
  <c r="AM12" i="12" s="1"/>
  <c r="AO40" i="67"/>
  <c r="AN12" i="12" s="1"/>
  <c r="D41" i="67"/>
  <c r="C27" i="12" s="1"/>
  <c r="E41" i="67"/>
  <c r="D27" i="12" s="1"/>
  <c r="F41" i="67"/>
  <c r="E27" i="12" s="1"/>
  <c r="H41" i="67"/>
  <c r="G27" i="12" s="1"/>
  <c r="I41" i="67"/>
  <c r="H27" i="12" s="1"/>
  <c r="J41" i="67"/>
  <c r="I27" i="12" s="1"/>
  <c r="L41" i="67"/>
  <c r="K27" i="12" s="1"/>
  <c r="M41" i="67"/>
  <c r="L27" i="12" s="1"/>
  <c r="N41" i="67"/>
  <c r="M27" i="12" s="1"/>
  <c r="O41" i="67"/>
  <c r="N27" i="12" s="1"/>
  <c r="P41" i="67"/>
  <c r="O27" i="12" s="1"/>
  <c r="R41" i="67"/>
  <c r="Q27" i="12" s="1"/>
  <c r="S41" i="67"/>
  <c r="R27" i="12" s="1"/>
  <c r="T41" i="67"/>
  <c r="S27" i="12" s="1"/>
  <c r="U41" i="67"/>
  <c r="T27" i="12" s="1"/>
  <c r="V41" i="67"/>
  <c r="U27" i="12" s="1"/>
  <c r="Y41" i="67"/>
  <c r="X27" i="12" s="1"/>
  <c r="Z41" i="67"/>
  <c r="Y27" i="12" s="1"/>
  <c r="AA41" i="67"/>
  <c r="Z27" i="12" s="1"/>
  <c r="AB41" i="67"/>
  <c r="AA27" i="12" s="1"/>
  <c r="AC41" i="67"/>
  <c r="AB27" i="12" s="1"/>
  <c r="AD41" i="67"/>
  <c r="AC27" i="12" s="1"/>
  <c r="AE41" i="67"/>
  <c r="AD27" i="12" s="1"/>
  <c r="AF41" i="67"/>
  <c r="AE27" i="12" s="1"/>
  <c r="AG41" i="67"/>
  <c r="AF27" i="12" s="1"/>
  <c r="AH41" i="67"/>
  <c r="AG27" i="12" s="1"/>
  <c r="AI41" i="67"/>
  <c r="AH27" i="12" s="1"/>
  <c r="AJ41" i="67"/>
  <c r="AI27" i="12" s="1"/>
  <c r="AK41" i="67"/>
  <c r="AJ27" i="12" s="1"/>
  <c r="AL41" i="67"/>
  <c r="AK27" i="12" s="1"/>
  <c r="AN41" i="67"/>
  <c r="AM27" i="12" s="1"/>
  <c r="AO41" i="67"/>
  <c r="AN27" i="12" s="1"/>
  <c r="D42" i="67"/>
  <c r="C34" i="12" s="1"/>
  <c r="E42" i="67"/>
  <c r="D34" i="12" s="1"/>
  <c r="F42" i="67"/>
  <c r="E34" i="12" s="1"/>
  <c r="G42" i="67"/>
  <c r="F34" i="12" s="1"/>
  <c r="H42" i="67"/>
  <c r="G34" i="12" s="1"/>
  <c r="I42" i="67"/>
  <c r="H34" i="12" s="1"/>
  <c r="J42" i="67"/>
  <c r="I34" i="12" s="1"/>
  <c r="K42" i="67"/>
  <c r="J34" i="12" s="1"/>
  <c r="L42" i="67"/>
  <c r="K34" i="12" s="1"/>
  <c r="M42" i="67"/>
  <c r="L34" i="12" s="1"/>
  <c r="N42" i="67"/>
  <c r="M34" i="12" s="1"/>
  <c r="O42" i="67"/>
  <c r="N34" i="12" s="1"/>
  <c r="P42" i="67"/>
  <c r="O34" i="12" s="1"/>
  <c r="Q42" i="67"/>
  <c r="P34" i="12" s="1"/>
  <c r="R42" i="67"/>
  <c r="Q34" i="12" s="1"/>
  <c r="S42" i="67"/>
  <c r="R34" i="12" s="1"/>
  <c r="T42" i="67"/>
  <c r="S34" i="12" s="1"/>
  <c r="U42" i="67"/>
  <c r="T34" i="12" s="1"/>
  <c r="V42" i="67"/>
  <c r="U34" i="12" s="1"/>
  <c r="W42" i="67"/>
  <c r="V34" i="12" s="1"/>
  <c r="X42" i="67"/>
  <c r="W34" i="12" s="1"/>
  <c r="Y42" i="67"/>
  <c r="X34" i="12" s="1"/>
  <c r="Z42" i="67"/>
  <c r="Y34" i="12" s="1"/>
  <c r="AA42" i="67"/>
  <c r="Z34" i="12" s="1"/>
  <c r="AB42" i="67"/>
  <c r="AA34" i="12" s="1"/>
  <c r="AC42" i="67"/>
  <c r="AB34" i="12" s="1"/>
  <c r="AD42" i="67"/>
  <c r="AC34" i="12" s="1"/>
  <c r="AE42" i="67"/>
  <c r="AD34" i="12" s="1"/>
  <c r="AF42" i="67"/>
  <c r="AE34" i="12" s="1"/>
  <c r="AG42" i="67"/>
  <c r="AF34" i="12" s="1"/>
  <c r="AH42" i="67"/>
  <c r="AG34" i="12" s="1"/>
  <c r="AI42" i="67"/>
  <c r="AH34" i="12" s="1"/>
  <c r="AJ42" i="67"/>
  <c r="AI34" i="12" s="1"/>
  <c r="AK42" i="67"/>
  <c r="AJ34" i="12" s="1"/>
  <c r="AL42" i="67"/>
  <c r="AK34" i="12" s="1"/>
  <c r="AM42" i="67"/>
  <c r="AL34" i="12" s="1"/>
  <c r="AN42" i="67"/>
  <c r="AM34" i="12" s="1"/>
  <c r="AO42" i="67"/>
  <c r="AN34" i="12" s="1"/>
  <c r="D43" i="67"/>
  <c r="C48" i="12" s="1"/>
  <c r="E43" i="67"/>
  <c r="D48" i="12" s="1"/>
  <c r="F43" i="67"/>
  <c r="E48" i="12" s="1"/>
  <c r="G43" i="67"/>
  <c r="F48" i="12" s="1"/>
  <c r="H43" i="67"/>
  <c r="G48" i="12" s="1"/>
  <c r="I43" i="67"/>
  <c r="H48" i="12" s="1"/>
  <c r="J43" i="67"/>
  <c r="I48" i="12" s="1"/>
  <c r="K43" i="67"/>
  <c r="J48" i="12" s="1"/>
  <c r="L43" i="67"/>
  <c r="K48" i="12" s="1"/>
  <c r="M43" i="67"/>
  <c r="L48" i="12" s="1"/>
  <c r="N43" i="67"/>
  <c r="M48" i="12" s="1"/>
  <c r="O43" i="67"/>
  <c r="N48" i="12" s="1"/>
  <c r="P43" i="67"/>
  <c r="O48" i="12" s="1"/>
  <c r="Q43" i="67"/>
  <c r="P48" i="12" s="1"/>
  <c r="R43" i="67"/>
  <c r="Q48" i="12" s="1"/>
  <c r="S43" i="67"/>
  <c r="R48" i="12" s="1"/>
  <c r="T43" i="67"/>
  <c r="S48" i="12" s="1"/>
  <c r="U43" i="67"/>
  <c r="T48" i="12" s="1"/>
  <c r="V43" i="67"/>
  <c r="U48" i="12" s="1"/>
  <c r="W43" i="67"/>
  <c r="V48" i="12" s="1"/>
  <c r="X43" i="67"/>
  <c r="W48" i="12" s="1"/>
  <c r="Y43" i="67"/>
  <c r="X48" i="12" s="1"/>
  <c r="Z43" i="67"/>
  <c r="Y48" i="12" s="1"/>
  <c r="AA43" i="67"/>
  <c r="Z48" i="12" s="1"/>
  <c r="AB43" i="67"/>
  <c r="AA48" i="12" s="1"/>
  <c r="AC43" i="67"/>
  <c r="AB48" i="12" s="1"/>
  <c r="AD43" i="67"/>
  <c r="AC48" i="12" s="1"/>
  <c r="AE43" i="67"/>
  <c r="AD48" i="12" s="1"/>
  <c r="AF43" i="67"/>
  <c r="AE48" i="12" s="1"/>
  <c r="AG43" i="67"/>
  <c r="AF48" i="12" s="1"/>
  <c r="AH43" i="67"/>
  <c r="AG48" i="12" s="1"/>
  <c r="AI43" i="67"/>
  <c r="AH48" i="12" s="1"/>
  <c r="AJ43" i="67"/>
  <c r="AI48" i="12" s="1"/>
  <c r="AK43" i="67"/>
  <c r="AJ48" i="12" s="1"/>
  <c r="AL43" i="67"/>
  <c r="AK48" i="12" s="1"/>
  <c r="AM43" i="67"/>
  <c r="AL48" i="12" s="1"/>
  <c r="AN43" i="67"/>
  <c r="AM48" i="12" s="1"/>
  <c r="AO43" i="67"/>
  <c r="AN48" i="12" s="1"/>
  <c r="D44" i="67"/>
  <c r="C69" i="12" s="1"/>
  <c r="E44" i="67"/>
  <c r="D69" i="12" s="1"/>
  <c r="F44" i="67"/>
  <c r="E69" i="12" s="1"/>
  <c r="G44" i="67"/>
  <c r="F69" i="12" s="1"/>
  <c r="H44" i="67"/>
  <c r="G69" i="12" s="1"/>
  <c r="I44" i="67"/>
  <c r="H69" i="12" s="1"/>
  <c r="J44" i="67"/>
  <c r="I69" i="12" s="1"/>
  <c r="K44" i="67"/>
  <c r="J69" i="12" s="1"/>
  <c r="L44" i="67"/>
  <c r="K69" i="12" s="1"/>
  <c r="M44" i="67"/>
  <c r="L69" i="12" s="1"/>
  <c r="N44" i="67"/>
  <c r="M69" i="12" s="1"/>
  <c r="O44" i="67"/>
  <c r="N69" i="12" s="1"/>
  <c r="P44" i="67"/>
  <c r="O69" i="12" s="1"/>
  <c r="Q44" i="67"/>
  <c r="P69" i="12" s="1"/>
  <c r="R44" i="67"/>
  <c r="Q69" i="12" s="1"/>
  <c r="S44" i="67"/>
  <c r="R69" i="12" s="1"/>
  <c r="T44" i="67"/>
  <c r="S69" i="12" s="1"/>
  <c r="U44" i="67"/>
  <c r="T69" i="12" s="1"/>
  <c r="V44" i="67"/>
  <c r="U69" i="12" s="1"/>
  <c r="W44" i="67"/>
  <c r="V69" i="12" s="1"/>
  <c r="X44" i="67"/>
  <c r="W69" i="12" s="1"/>
  <c r="Y44" i="67"/>
  <c r="X69" i="12" s="1"/>
  <c r="Z44" i="67"/>
  <c r="Y69" i="12" s="1"/>
  <c r="AA44" i="67"/>
  <c r="Z69" i="12" s="1"/>
  <c r="AB44" i="67"/>
  <c r="AA69" i="12" s="1"/>
  <c r="AC44" i="67"/>
  <c r="AB69" i="12" s="1"/>
  <c r="AD44" i="67"/>
  <c r="AC69" i="12" s="1"/>
  <c r="AE44" i="67"/>
  <c r="AD69" i="12" s="1"/>
  <c r="AF44" i="67"/>
  <c r="AE69" i="12" s="1"/>
  <c r="AG44" i="67"/>
  <c r="AF69" i="12" s="1"/>
  <c r="AH44" i="67"/>
  <c r="AG69" i="12" s="1"/>
  <c r="AI44" i="67"/>
  <c r="AH69" i="12" s="1"/>
  <c r="AJ44" i="67"/>
  <c r="AI69" i="12" s="1"/>
  <c r="AK44" i="67"/>
  <c r="AJ69" i="12" s="1"/>
  <c r="AL44" i="67"/>
  <c r="AK69" i="12" s="1"/>
  <c r="AM44" i="67"/>
  <c r="AL69" i="12" s="1"/>
  <c r="AN44" i="67"/>
  <c r="AM69" i="12" s="1"/>
  <c r="AO44" i="67"/>
  <c r="AN69" i="12" s="1"/>
  <c r="D45" i="67"/>
  <c r="C79" i="12" s="1"/>
  <c r="E45" i="67"/>
  <c r="D79" i="12" s="1"/>
  <c r="F45" i="67"/>
  <c r="E79" i="12" s="1"/>
  <c r="G45" i="67"/>
  <c r="F79" i="12" s="1"/>
  <c r="H45" i="67"/>
  <c r="G79" i="12" s="1"/>
  <c r="I45" i="67"/>
  <c r="H79" i="12" s="1"/>
  <c r="J45" i="67"/>
  <c r="I79" i="12" s="1"/>
  <c r="K45" i="67"/>
  <c r="J79" i="12" s="1"/>
  <c r="L45" i="67"/>
  <c r="K79" i="12" s="1"/>
  <c r="M45" i="67"/>
  <c r="L79" i="12" s="1"/>
  <c r="N45" i="67"/>
  <c r="M79" i="12" s="1"/>
  <c r="O45" i="67"/>
  <c r="N79" i="12" s="1"/>
  <c r="P45" i="67"/>
  <c r="O79" i="12" s="1"/>
  <c r="Q45" i="67"/>
  <c r="P79" i="12" s="1"/>
  <c r="R45" i="67"/>
  <c r="Q79" i="12" s="1"/>
  <c r="S45" i="67"/>
  <c r="R79" i="12" s="1"/>
  <c r="T45" i="67"/>
  <c r="S79" i="12" s="1"/>
  <c r="U45" i="67"/>
  <c r="T79" i="12" s="1"/>
  <c r="V45" i="67"/>
  <c r="U79" i="12" s="1"/>
  <c r="W45" i="67"/>
  <c r="V79" i="12" s="1"/>
  <c r="X45" i="67"/>
  <c r="W79" i="12" s="1"/>
  <c r="Y45" i="67"/>
  <c r="X79" i="12" s="1"/>
  <c r="Z45" i="67"/>
  <c r="Y79" i="12" s="1"/>
  <c r="AA45" i="67"/>
  <c r="Z79" i="12" s="1"/>
  <c r="AB45" i="67"/>
  <c r="AA79" i="12" s="1"/>
  <c r="AC45" i="67"/>
  <c r="AB79" i="12" s="1"/>
  <c r="AD45" i="67"/>
  <c r="AC79" i="12" s="1"/>
  <c r="AE45" i="67"/>
  <c r="AD79" i="12" s="1"/>
  <c r="AF45" i="67"/>
  <c r="AE79" i="12" s="1"/>
  <c r="AG45" i="67"/>
  <c r="AF79" i="12" s="1"/>
  <c r="AH45" i="67"/>
  <c r="AG79" i="12" s="1"/>
  <c r="AI45" i="67"/>
  <c r="AH79" i="12" s="1"/>
  <c r="AJ45" i="67"/>
  <c r="AI79" i="12" s="1"/>
  <c r="AK45" i="67"/>
  <c r="AJ79" i="12" s="1"/>
  <c r="AL45" i="67"/>
  <c r="AK79" i="12" s="1"/>
  <c r="AM45" i="67"/>
  <c r="AL79" i="12" s="1"/>
  <c r="AN45" i="67"/>
  <c r="AM79" i="12" s="1"/>
  <c r="AO45" i="67"/>
  <c r="AN79" i="12" s="1"/>
  <c r="D46" i="67"/>
  <c r="C83" i="12" s="1"/>
  <c r="E46" i="67"/>
  <c r="D83" i="12" s="1"/>
  <c r="F46" i="67"/>
  <c r="E83" i="12" s="1"/>
  <c r="G46" i="67"/>
  <c r="F83" i="12" s="1"/>
  <c r="H46" i="67"/>
  <c r="G83" i="12" s="1"/>
  <c r="I46" i="67"/>
  <c r="H83" i="12" s="1"/>
  <c r="J46" i="67"/>
  <c r="I83" i="12" s="1"/>
  <c r="K46" i="67"/>
  <c r="J83" i="12" s="1"/>
  <c r="L46" i="67"/>
  <c r="K83" i="12" s="1"/>
  <c r="M46" i="67"/>
  <c r="L83" i="12" s="1"/>
  <c r="N46" i="67"/>
  <c r="M83" i="12" s="1"/>
  <c r="O46" i="67"/>
  <c r="N83" i="12" s="1"/>
  <c r="P46" i="67"/>
  <c r="O83" i="12" s="1"/>
  <c r="Q46" i="67"/>
  <c r="P83" i="12" s="1"/>
  <c r="R46" i="67"/>
  <c r="Q83" i="12" s="1"/>
  <c r="S46" i="67"/>
  <c r="R83" i="12" s="1"/>
  <c r="T46" i="67"/>
  <c r="S83" i="12" s="1"/>
  <c r="U46" i="67"/>
  <c r="T83" i="12" s="1"/>
  <c r="V46" i="67"/>
  <c r="U83" i="12" s="1"/>
  <c r="W46" i="67"/>
  <c r="V83" i="12" s="1"/>
  <c r="X46" i="67"/>
  <c r="W83" i="12" s="1"/>
  <c r="Y46" i="67"/>
  <c r="X83" i="12" s="1"/>
  <c r="Z46" i="67"/>
  <c r="Y83" i="12" s="1"/>
  <c r="AA46" i="67"/>
  <c r="Z83" i="12" s="1"/>
  <c r="AB46" i="67"/>
  <c r="AA83" i="12" s="1"/>
  <c r="AC46" i="67"/>
  <c r="AB83" i="12" s="1"/>
  <c r="AD46" i="67"/>
  <c r="AC83" i="12" s="1"/>
  <c r="AE46" i="67"/>
  <c r="AD83" i="12" s="1"/>
  <c r="AF46" i="67"/>
  <c r="AE83" i="12" s="1"/>
  <c r="AG46" i="67"/>
  <c r="AF83" i="12" s="1"/>
  <c r="AH46" i="67"/>
  <c r="AG83" i="12" s="1"/>
  <c r="AI46" i="67"/>
  <c r="AH83" i="12" s="1"/>
  <c r="AJ46" i="67"/>
  <c r="AI83" i="12" s="1"/>
  <c r="AK46" i="67"/>
  <c r="AJ83" i="12" s="1"/>
  <c r="AL46" i="67"/>
  <c r="AK83" i="12" s="1"/>
  <c r="AM46" i="67"/>
  <c r="AL83" i="12" s="1"/>
  <c r="AN46" i="67"/>
  <c r="AM83" i="12" s="1"/>
  <c r="AO46" i="67"/>
  <c r="AN83" i="12" s="1"/>
  <c r="D47" i="67"/>
  <c r="C88" i="12" s="1"/>
  <c r="E47" i="67"/>
  <c r="D88" i="12" s="1"/>
  <c r="F47" i="67"/>
  <c r="E88" i="12" s="1"/>
  <c r="G47" i="67"/>
  <c r="F88" i="12" s="1"/>
  <c r="H47" i="67"/>
  <c r="G88" i="12" s="1"/>
  <c r="I47" i="67"/>
  <c r="H88" i="12" s="1"/>
  <c r="J47" i="67"/>
  <c r="I88" i="12" s="1"/>
  <c r="K47" i="67"/>
  <c r="J88" i="12" s="1"/>
  <c r="L47" i="67"/>
  <c r="K88" i="12" s="1"/>
  <c r="M47" i="67"/>
  <c r="L88" i="12" s="1"/>
  <c r="N47" i="67"/>
  <c r="M88" i="12" s="1"/>
  <c r="O47" i="67"/>
  <c r="N88" i="12" s="1"/>
  <c r="P47" i="67"/>
  <c r="O88" i="12" s="1"/>
  <c r="Q47" i="67"/>
  <c r="P88" i="12" s="1"/>
  <c r="R47" i="67"/>
  <c r="Q88" i="12" s="1"/>
  <c r="S47" i="67"/>
  <c r="R88" i="12" s="1"/>
  <c r="T47" i="67"/>
  <c r="S88" i="12" s="1"/>
  <c r="U47" i="67"/>
  <c r="T88" i="12" s="1"/>
  <c r="V47" i="67"/>
  <c r="U88" i="12" s="1"/>
  <c r="W47" i="67"/>
  <c r="V88" i="12" s="1"/>
  <c r="X47" i="67"/>
  <c r="W88" i="12" s="1"/>
  <c r="Y47" i="67"/>
  <c r="X88" i="12" s="1"/>
  <c r="Z47" i="67"/>
  <c r="Y88" i="12" s="1"/>
  <c r="AA47" i="67"/>
  <c r="Z88" i="12" s="1"/>
  <c r="AB47" i="67"/>
  <c r="AA88" i="12" s="1"/>
  <c r="AC47" i="67"/>
  <c r="AB88" i="12" s="1"/>
  <c r="AD47" i="67"/>
  <c r="AC88" i="12" s="1"/>
  <c r="AE47" i="67"/>
  <c r="AD88" i="12" s="1"/>
  <c r="AF47" i="67"/>
  <c r="AE88" i="12" s="1"/>
  <c r="AG47" i="67"/>
  <c r="AF88" i="12" s="1"/>
  <c r="AH47" i="67"/>
  <c r="AG88" i="12" s="1"/>
  <c r="AI47" i="67"/>
  <c r="AH88" i="12" s="1"/>
  <c r="AJ47" i="67"/>
  <c r="AI88" i="12" s="1"/>
  <c r="AK47" i="67"/>
  <c r="AJ88" i="12" s="1"/>
  <c r="AL47" i="67"/>
  <c r="AK88" i="12" s="1"/>
  <c r="AM47" i="67"/>
  <c r="AL88" i="12" s="1"/>
  <c r="AN47" i="67"/>
  <c r="AM88" i="12" s="1"/>
  <c r="AO47" i="67"/>
  <c r="AN88" i="12" s="1"/>
  <c r="D48" i="67"/>
  <c r="C94" i="12" s="1"/>
  <c r="E48" i="67"/>
  <c r="D94" i="12" s="1"/>
  <c r="F48" i="67"/>
  <c r="E94" i="12" s="1"/>
  <c r="G48" i="67"/>
  <c r="F94" i="12" s="1"/>
  <c r="H48" i="67"/>
  <c r="G94" i="12" s="1"/>
  <c r="I48" i="67"/>
  <c r="H94" i="12" s="1"/>
  <c r="J48" i="67"/>
  <c r="I94" i="12" s="1"/>
  <c r="K48" i="67"/>
  <c r="J94" i="12" s="1"/>
  <c r="L48" i="67"/>
  <c r="K94" i="12" s="1"/>
  <c r="M48" i="67"/>
  <c r="L94" i="12" s="1"/>
  <c r="N48" i="67"/>
  <c r="M94" i="12" s="1"/>
  <c r="O48" i="67"/>
  <c r="N94" i="12" s="1"/>
  <c r="P48" i="67"/>
  <c r="O94" i="12" s="1"/>
  <c r="Q48" i="67"/>
  <c r="P94" i="12" s="1"/>
  <c r="R48" i="67"/>
  <c r="Q94" i="12" s="1"/>
  <c r="S48" i="67"/>
  <c r="R94" i="12" s="1"/>
  <c r="T48" i="67"/>
  <c r="S94" i="12" s="1"/>
  <c r="U48" i="67"/>
  <c r="T94" i="12" s="1"/>
  <c r="V48" i="67"/>
  <c r="U94" i="12" s="1"/>
  <c r="W48" i="67"/>
  <c r="V94" i="12" s="1"/>
  <c r="X48" i="67"/>
  <c r="W94" i="12" s="1"/>
  <c r="Y48" i="67"/>
  <c r="X94" i="12" s="1"/>
  <c r="Z48" i="67"/>
  <c r="Y94" i="12" s="1"/>
  <c r="AA48" i="67"/>
  <c r="Z94" i="12" s="1"/>
  <c r="AB48" i="67"/>
  <c r="AA94" i="12" s="1"/>
  <c r="AC48" i="67"/>
  <c r="AB94" i="12" s="1"/>
  <c r="AD48" i="67"/>
  <c r="AC94" i="12" s="1"/>
  <c r="AE48" i="67"/>
  <c r="AD94" i="12" s="1"/>
  <c r="AF48" i="67"/>
  <c r="AE94" i="12" s="1"/>
  <c r="AG48" i="67"/>
  <c r="AF94" i="12" s="1"/>
  <c r="AH48" i="67"/>
  <c r="AG94" i="12" s="1"/>
  <c r="AI48" i="67"/>
  <c r="AH94" i="12" s="1"/>
  <c r="AJ48" i="67"/>
  <c r="AI94" i="12" s="1"/>
  <c r="AK48" i="67"/>
  <c r="AJ94" i="12" s="1"/>
  <c r="AL48" i="67"/>
  <c r="AK94" i="12" s="1"/>
  <c r="AM48" i="67"/>
  <c r="AL94" i="12" s="1"/>
  <c r="AN48" i="67"/>
  <c r="AM94" i="12" s="1"/>
  <c r="AO48" i="67"/>
  <c r="AN94" i="12" s="1"/>
  <c r="D51" i="67"/>
  <c r="C12" i="13" s="1"/>
  <c r="E51" i="67"/>
  <c r="D12" i="13" s="1"/>
  <c r="F51" i="67"/>
  <c r="E12" i="13" s="1"/>
  <c r="G51" i="67"/>
  <c r="F12" i="13" s="1"/>
  <c r="H51" i="67"/>
  <c r="G12" i="13" s="1"/>
  <c r="I51" i="67"/>
  <c r="H12" i="13" s="1"/>
  <c r="J51" i="67"/>
  <c r="I12" i="13" s="1"/>
  <c r="K51" i="67"/>
  <c r="J12" i="13" s="1"/>
  <c r="L51" i="67"/>
  <c r="K12" i="13" s="1"/>
  <c r="M51" i="67"/>
  <c r="L12" i="13" s="1"/>
  <c r="N51" i="67"/>
  <c r="M12" i="13" s="1"/>
  <c r="O51" i="67"/>
  <c r="N12" i="13" s="1"/>
  <c r="P51" i="67"/>
  <c r="O12" i="13" s="1"/>
  <c r="Q51" i="67"/>
  <c r="P12" i="13" s="1"/>
  <c r="R51" i="67"/>
  <c r="Q12" i="13" s="1"/>
  <c r="S51" i="67"/>
  <c r="R12" i="13" s="1"/>
  <c r="T51" i="67"/>
  <c r="S12" i="13" s="1"/>
  <c r="U51" i="67"/>
  <c r="T12" i="13" s="1"/>
  <c r="V51" i="67"/>
  <c r="U12" i="13" s="1"/>
  <c r="W51" i="67"/>
  <c r="V12" i="13" s="1"/>
  <c r="X51" i="67"/>
  <c r="W12" i="13" s="1"/>
  <c r="Y51" i="67"/>
  <c r="X12" i="13" s="1"/>
  <c r="Z51" i="67"/>
  <c r="Y12" i="13" s="1"/>
  <c r="AA51" i="67"/>
  <c r="Z12" i="13" s="1"/>
  <c r="AB51" i="67"/>
  <c r="AA12" i="13" s="1"/>
  <c r="AC51" i="67"/>
  <c r="AB12" i="13" s="1"/>
  <c r="AD51" i="67"/>
  <c r="AC12" i="13" s="1"/>
  <c r="AE51" i="67"/>
  <c r="AD12" i="13" s="1"/>
  <c r="AF51" i="67"/>
  <c r="AE12" i="13" s="1"/>
  <c r="AG51" i="67"/>
  <c r="AF12" i="13" s="1"/>
  <c r="AH51" i="67"/>
  <c r="AG12" i="13" s="1"/>
  <c r="AI51" i="67"/>
  <c r="AJ51" i="67"/>
  <c r="AI12" i="13" s="1"/>
  <c r="AK51" i="67"/>
  <c r="AJ12" i="13" s="1"/>
  <c r="AL51" i="67"/>
  <c r="AK12" i="13" s="1"/>
  <c r="AM51" i="67"/>
  <c r="AL12" i="13" s="1"/>
  <c r="AN51" i="67"/>
  <c r="AM12" i="13" s="1"/>
  <c r="AO51" i="67"/>
  <c r="AN12" i="13" s="1"/>
  <c r="D52" i="67"/>
  <c r="C27" i="13" s="1"/>
  <c r="E52" i="67"/>
  <c r="D27" i="13" s="1"/>
  <c r="F52" i="67"/>
  <c r="E27" i="13" s="1"/>
  <c r="G52" i="67"/>
  <c r="F27" i="13" s="1"/>
  <c r="H52" i="67"/>
  <c r="G27" i="13" s="1"/>
  <c r="I52" i="67"/>
  <c r="H27" i="13" s="1"/>
  <c r="J52" i="67"/>
  <c r="I27" i="13" s="1"/>
  <c r="K52" i="67"/>
  <c r="J27" i="13" s="1"/>
  <c r="L52" i="67"/>
  <c r="K27" i="13" s="1"/>
  <c r="M52" i="67"/>
  <c r="L27" i="13" s="1"/>
  <c r="N52" i="67"/>
  <c r="M27" i="13" s="1"/>
  <c r="O52" i="67"/>
  <c r="N27" i="13" s="1"/>
  <c r="P52" i="67"/>
  <c r="O27" i="13" s="1"/>
  <c r="Q52" i="67"/>
  <c r="P27" i="13" s="1"/>
  <c r="R52" i="67"/>
  <c r="Q27" i="13" s="1"/>
  <c r="S52" i="67"/>
  <c r="R27" i="13" s="1"/>
  <c r="T52" i="67"/>
  <c r="S27" i="13" s="1"/>
  <c r="U52" i="67"/>
  <c r="T27" i="13" s="1"/>
  <c r="V52" i="67"/>
  <c r="U27" i="13" s="1"/>
  <c r="W52" i="67"/>
  <c r="V27" i="13" s="1"/>
  <c r="X52" i="67"/>
  <c r="W27" i="13" s="1"/>
  <c r="Y52" i="67"/>
  <c r="X27" i="13" s="1"/>
  <c r="Z52" i="67"/>
  <c r="Y27" i="13" s="1"/>
  <c r="AA52" i="67"/>
  <c r="Z27" i="13" s="1"/>
  <c r="AB52" i="67"/>
  <c r="AA27" i="13" s="1"/>
  <c r="AC52" i="67"/>
  <c r="AB27" i="13" s="1"/>
  <c r="AD52" i="67"/>
  <c r="AC27" i="13" s="1"/>
  <c r="AE52" i="67"/>
  <c r="AD27" i="13" s="1"/>
  <c r="AF52" i="67"/>
  <c r="AE27" i="13" s="1"/>
  <c r="AG52" i="67"/>
  <c r="AF27" i="13" s="1"/>
  <c r="AH52" i="67"/>
  <c r="AG27" i="13" s="1"/>
  <c r="AI52" i="67"/>
  <c r="AH27" i="13" s="1"/>
  <c r="AJ52" i="67"/>
  <c r="AI27" i="13" s="1"/>
  <c r="AK52" i="67"/>
  <c r="AJ27" i="13" s="1"/>
  <c r="AL52" i="67"/>
  <c r="AK27" i="13" s="1"/>
  <c r="AM52" i="67"/>
  <c r="AL27" i="13" s="1"/>
  <c r="AN52" i="67"/>
  <c r="AM27" i="13" s="1"/>
  <c r="AO52" i="67"/>
  <c r="AN27" i="13" s="1"/>
  <c r="D53" i="67"/>
  <c r="C34" i="13" s="1"/>
  <c r="E53" i="67"/>
  <c r="D34" i="13" s="1"/>
  <c r="F53" i="67"/>
  <c r="E34" i="13" s="1"/>
  <c r="G53" i="67"/>
  <c r="F34" i="13" s="1"/>
  <c r="H53" i="67"/>
  <c r="G34" i="13" s="1"/>
  <c r="I53" i="67"/>
  <c r="H34" i="13" s="1"/>
  <c r="J53" i="67"/>
  <c r="I34" i="13" s="1"/>
  <c r="K53" i="67"/>
  <c r="J34" i="13" s="1"/>
  <c r="L53" i="67"/>
  <c r="K34" i="13" s="1"/>
  <c r="M53" i="67"/>
  <c r="L34" i="13" s="1"/>
  <c r="N53" i="67"/>
  <c r="M34" i="13" s="1"/>
  <c r="O53" i="67"/>
  <c r="N34" i="13" s="1"/>
  <c r="P53" i="67"/>
  <c r="O34" i="13" s="1"/>
  <c r="Q53" i="67"/>
  <c r="P34" i="13" s="1"/>
  <c r="R53" i="67"/>
  <c r="Q34" i="13" s="1"/>
  <c r="S53" i="67"/>
  <c r="R34" i="13" s="1"/>
  <c r="T53" i="67"/>
  <c r="S34" i="13" s="1"/>
  <c r="U53" i="67"/>
  <c r="T34" i="13" s="1"/>
  <c r="V53" i="67"/>
  <c r="U34" i="13" s="1"/>
  <c r="W53" i="67"/>
  <c r="V34" i="13" s="1"/>
  <c r="X53" i="67"/>
  <c r="W34" i="13" s="1"/>
  <c r="Y53" i="67"/>
  <c r="X34" i="13" s="1"/>
  <c r="Z53" i="67"/>
  <c r="Y34" i="13" s="1"/>
  <c r="AA53" i="67"/>
  <c r="Z34" i="13" s="1"/>
  <c r="AB53" i="67"/>
  <c r="AA34" i="13" s="1"/>
  <c r="AC53" i="67"/>
  <c r="AB34" i="13" s="1"/>
  <c r="AD53" i="67"/>
  <c r="AC34" i="13" s="1"/>
  <c r="AE53" i="67"/>
  <c r="AD34" i="13" s="1"/>
  <c r="AF53" i="67"/>
  <c r="AE34" i="13" s="1"/>
  <c r="AG53" i="67"/>
  <c r="AF34" i="13" s="1"/>
  <c r="AH53" i="67"/>
  <c r="AG34" i="13" s="1"/>
  <c r="AI53" i="67"/>
  <c r="AH34" i="13" s="1"/>
  <c r="AJ53" i="67"/>
  <c r="AI34" i="13" s="1"/>
  <c r="AK53" i="67"/>
  <c r="AJ34" i="13" s="1"/>
  <c r="AL53" i="67"/>
  <c r="AK34" i="13" s="1"/>
  <c r="AM53" i="67"/>
  <c r="AL34" i="13" s="1"/>
  <c r="AN53" i="67"/>
  <c r="AM34" i="13" s="1"/>
  <c r="AO53" i="67"/>
  <c r="AN34" i="13" s="1"/>
  <c r="D54" i="67"/>
  <c r="C48" i="13" s="1"/>
  <c r="E54" i="67"/>
  <c r="D48" i="13" s="1"/>
  <c r="F54" i="67"/>
  <c r="E48" i="13" s="1"/>
  <c r="G54" i="67"/>
  <c r="F48" i="13" s="1"/>
  <c r="H54" i="67"/>
  <c r="G48" i="13" s="1"/>
  <c r="I54" i="67"/>
  <c r="H48" i="13" s="1"/>
  <c r="J54" i="67"/>
  <c r="I48" i="13" s="1"/>
  <c r="K54" i="67"/>
  <c r="J48" i="13" s="1"/>
  <c r="L54" i="67"/>
  <c r="K48" i="13" s="1"/>
  <c r="M54" i="67"/>
  <c r="L48" i="13" s="1"/>
  <c r="N54" i="67"/>
  <c r="M48" i="13" s="1"/>
  <c r="O54" i="67"/>
  <c r="N48" i="13" s="1"/>
  <c r="P54" i="67"/>
  <c r="O48" i="13" s="1"/>
  <c r="Q54" i="67"/>
  <c r="P48" i="13" s="1"/>
  <c r="R54" i="67"/>
  <c r="Q48" i="13" s="1"/>
  <c r="S54" i="67"/>
  <c r="R48" i="13" s="1"/>
  <c r="T54" i="67"/>
  <c r="S48" i="13" s="1"/>
  <c r="U54" i="67"/>
  <c r="T48" i="13" s="1"/>
  <c r="V54" i="67"/>
  <c r="U48" i="13" s="1"/>
  <c r="W54" i="67"/>
  <c r="V48" i="13" s="1"/>
  <c r="X54" i="67"/>
  <c r="W48" i="13" s="1"/>
  <c r="Y54" i="67"/>
  <c r="X48" i="13" s="1"/>
  <c r="Z54" i="67"/>
  <c r="Y48" i="13" s="1"/>
  <c r="AA54" i="67"/>
  <c r="Z48" i="13" s="1"/>
  <c r="AB54" i="67"/>
  <c r="AA48" i="13" s="1"/>
  <c r="AC54" i="67"/>
  <c r="AB48" i="13" s="1"/>
  <c r="AD54" i="67"/>
  <c r="AC48" i="13" s="1"/>
  <c r="AE54" i="67"/>
  <c r="AD48" i="13" s="1"/>
  <c r="AF54" i="67"/>
  <c r="AE48" i="13" s="1"/>
  <c r="AG54" i="67"/>
  <c r="AF48" i="13" s="1"/>
  <c r="AH54" i="67"/>
  <c r="AG48" i="13" s="1"/>
  <c r="AI54" i="67"/>
  <c r="AH48" i="13" s="1"/>
  <c r="AJ54" i="67"/>
  <c r="AI48" i="13" s="1"/>
  <c r="AK54" i="67"/>
  <c r="AJ48" i="13" s="1"/>
  <c r="AL54" i="67"/>
  <c r="AK48" i="13" s="1"/>
  <c r="AM54" i="67"/>
  <c r="AL48" i="13" s="1"/>
  <c r="AN54" i="67"/>
  <c r="AM48" i="13" s="1"/>
  <c r="AO54" i="67"/>
  <c r="AN48" i="13" s="1"/>
  <c r="D55" i="67"/>
  <c r="C69" i="13" s="1"/>
  <c r="E55" i="67"/>
  <c r="D69" i="13" s="1"/>
  <c r="F55" i="67"/>
  <c r="E69" i="13" s="1"/>
  <c r="G55" i="67"/>
  <c r="F69" i="13" s="1"/>
  <c r="H55" i="67"/>
  <c r="G69" i="13" s="1"/>
  <c r="I55" i="67"/>
  <c r="H69" i="13" s="1"/>
  <c r="J55" i="67"/>
  <c r="I69" i="13" s="1"/>
  <c r="K55" i="67"/>
  <c r="J69" i="13" s="1"/>
  <c r="L55" i="67"/>
  <c r="K69" i="13" s="1"/>
  <c r="M55" i="67"/>
  <c r="L69" i="13" s="1"/>
  <c r="N55" i="67"/>
  <c r="M69" i="13" s="1"/>
  <c r="O55" i="67"/>
  <c r="N69" i="13" s="1"/>
  <c r="P55" i="67"/>
  <c r="O69" i="13" s="1"/>
  <c r="Q55" i="67"/>
  <c r="P69" i="13" s="1"/>
  <c r="R55" i="67"/>
  <c r="Q69" i="13" s="1"/>
  <c r="S55" i="67"/>
  <c r="R69" i="13" s="1"/>
  <c r="T55" i="67"/>
  <c r="S69" i="13" s="1"/>
  <c r="U55" i="67"/>
  <c r="T69" i="13" s="1"/>
  <c r="V55" i="67"/>
  <c r="U69" i="13" s="1"/>
  <c r="W55" i="67"/>
  <c r="V69" i="13" s="1"/>
  <c r="X55" i="67"/>
  <c r="W69" i="13" s="1"/>
  <c r="Y55" i="67"/>
  <c r="X69" i="13" s="1"/>
  <c r="Z55" i="67"/>
  <c r="Y69" i="13" s="1"/>
  <c r="AA55" i="67"/>
  <c r="Z69" i="13" s="1"/>
  <c r="AB55" i="67"/>
  <c r="AA69" i="13" s="1"/>
  <c r="AC55" i="67"/>
  <c r="AB69" i="13" s="1"/>
  <c r="AD55" i="67"/>
  <c r="AC69" i="13" s="1"/>
  <c r="AE55" i="67"/>
  <c r="AD69" i="13" s="1"/>
  <c r="AF55" i="67"/>
  <c r="AE69" i="13" s="1"/>
  <c r="AG55" i="67"/>
  <c r="AF69" i="13" s="1"/>
  <c r="AH55" i="67"/>
  <c r="AG69" i="13" s="1"/>
  <c r="AI55" i="67"/>
  <c r="AH69" i="13" s="1"/>
  <c r="AJ55" i="67"/>
  <c r="AI69" i="13" s="1"/>
  <c r="AK55" i="67"/>
  <c r="AJ69" i="13" s="1"/>
  <c r="AL55" i="67"/>
  <c r="AK69" i="13" s="1"/>
  <c r="AM55" i="67"/>
  <c r="AL69" i="13" s="1"/>
  <c r="AN55" i="67"/>
  <c r="AM69" i="13" s="1"/>
  <c r="AO55" i="67"/>
  <c r="AN69" i="13" s="1"/>
  <c r="D56" i="67"/>
  <c r="C79" i="13" s="1"/>
  <c r="E56" i="67"/>
  <c r="D79" i="13" s="1"/>
  <c r="F56" i="67"/>
  <c r="E79" i="13" s="1"/>
  <c r="G56" i="67"/>
  <c r="F79" i="13" s="1"/>
  <c r="H56" i="67"/>
  <c r="G79" i="13" s="1"/>
  <c r="I56" i="67"/>
  <c r="H79" i="13" s="1"/>
  <c r="J56" i="67"/>
  <c r="I79" i="13" s="1"/>
  <c r="K56" i="67"/>
  <c r="J79" i="13" s="1"/>
  <c r="L56" i="67"/>
  <c r="K79" i="13" s="1"/>
  <c r="M56" i="67"/>
  <c r="L79" i="13" s="1"/>
  <c r="N56" i="67"/>
  <c r="M79" i="13" s="1"/>
  <c r="O56" i="67"/>
  <c r="N79" i="13" s="1"/>
  <c r="P56" i="67"/>
  <c r="O79" i="13" s="1"/>
  <c r="Q56" i="67"/>
  <c r="P79" i="13" s="1"/>
  <c r="R56" i="67"/>
  <c r="Q79" i="13" s="1"/>
  <c r="S56" i="67"/>
  <c r="R79" i="13" s="1"/>
  <c r="T56" i="67"/>
  <c r="S79" i="13" s="1"/>
  <c r="U56" i="67"/>
  <c r="T79" i="13" s="1"/>
  <c r="V56" i="67"/>
  <c r="U79" i="13" s="1"/>
  <c r="W56" i="67"/>
  <c r="V79" i="13" s="1"/>
  <c r="X56" i="67"/>
  <c r="W79" i="13" s="1"/>
  <c r="Y56" i="67"/>
  <c r="X79" i="13" s="1"/>
  <c r="Z56" i="67"/>
  <c r="Y79" i="13" s="1"/>
  <c r="AA56" i="67"/>
  <c r="Z79" i="13" s="1"/>
  <c r="AB56" i="67"/>
  <c r="AA79" i="13" s="1"/>
  <c r="AC56" i="67"/>
  <c r="AB79" i="13" s="1"/>
  <c r="AD56" i="67"/>
  <c r="AC79" i="13" s="1"/>
  <c r="AE56" i="67"/>
  <c r="AD79" i="13" s="1"/>
  <c r="AF56" i="67"/>
  <c r="AE79" i="13" s="1"/>
  <c r="AG56" i="67"/>
  <c r="AF79" i="13" s="1"/>
  <c r="AH56" i="67"/>
  <c r="AG79" i="13" s="1"/>
  <c r="AI56" i="67"/>
  <c r="AH79" i="13" s="1"/>
  <c r="AJ56" i="67"/>
  <c r="AI79" i="13" s="1"/>
  <c r="AK56" i="67"/>
  <c r="AJ79" i="13" s="1"/>
  <c r="AL56" i="67"/>
  <c r="AK79" i="13" s="1"/>
  <c r="AM56" i="67"/>
  <c r="AL79" i="13" s="1"/>
  <c r="AN56" i="67"/>
  <c r="AM79" i="13" s="1"/>
  <c r="AO56" i="67"/>
  <c r="AN79" i="13" s="1"/>
  <c r="D57" i="67"/>
  <c r="C83" i="13" s="1"/>
  <c r="E57" i="67"/>
  <c r="D83" i="13" s="1"/>
  <c r="F57" i="67"/>
  <c r="E83" i="13" s="1"/>
  <c r="G57" i="67"/>
  <c r="F83" i="13" s="1"/>
  <c r="H57" i="67"/>
  <c r="G83" i="13" s="1"/>
  <c r="I57" i="67"/>
  <c r="H83" i="13" s="1"/>
  <c r="J57" i="67"/>
  <c r="I83" i="13" s="1"/>
  <c r="K57" i="67"/>
  <c r="J83" i="13" s="1"/>
  <c r="L57" i="67"/>
  <c r="K83" i="13" s="1"/>
  <c r="M57" i="67"/>
  <c r="L83" i="13" s="1"/>
  <c r="N57" i="67"/>
  <c r="M83" i="13" s="1"/>
  <c r="O57" i="67"/>
  <c r="N83" i="13" s="1"/>
  <c r="P57" i="67"/>
  <c r="O83" i="13" s="1"/>
  <c r="Q57" i="67"/>
  <c r="P83" i="13" s="1"/>
  <c r="R57" i="67"/>
  <c r="Q83" i="13" s="1"/>
  <c r="S57" i="67"/>
  <c r="R83" i="13" s="1"/>
  <c r="T57" i="67"/>
  <c r="S83" i="13" s="1"/>
  <c r="U57" i="67"/>
  <c r="T83" i="13" s="1"/>
  <c r="V57" i="67"/>
  <c r="U83" i="13" s="1"/>
  <c r="W57" i="67"/>
  <c r="V83" i="13" s="1"/>
  <c r="X57" i="67"/>
  <c r="W83" i="13" s="1"/>
  <c r="Y57" i="67"/>
  <c r="X83" i="13" s="1"/>
  <c r="Z57" i="67"/>
  <c r="Y83" i="13" s="1"/>
  <c r="AA57" i="67"/>
  <c r="Z83" i="13" s="1"/>
  <c r="AB57" i="67"/>
  <c r="AA83" i="13" s="1"/>
  <c r="AC57" i="67"/>
  <c r="AB83" i="13" s="1"/>
  <c r="AD57" i="67"/>
  <c r="AC83" i="13" s="1"/>
  <c r="AE57" i="67"/>
  <c r="AD83" i="13" s="1"/>
  <c r="AF57" i="67"/>
  <c r="AE83" i="13" s="1"/>
  <c r="AG57" i="67"/>
  <c r="AF83" i="13" s="1"/>
  <c r="AH57" i="67"/>
  <c r="AG83" i="13" s="1"/>
  <c r="AI57" i="67"/>
  <c r="AH83" i="13" s="1"/>
  <c r="AJ57" i="67"/>
  <c r="AI83" i="13" s="1"/>
  <c r="AK57" i="67"/>
  <c r="AJ83" i="13" s="1"/>
  <c r="AL57" i="67"/>
  <c r="AK83" i="13" s="1"/>
  <c r="AM57" i="67"/>
  <c r="AL83" i="13" s="1"/>
  <c r="AN57" i="67"/>
  <c r="AM83" i="13" s="1"/>
  <c r="AO57" i="67"/>
  <c r="AN83" i="13" s="1"/>
  <c r="D58" i="67"/>
  <c r="C88" i="13" s="1"/>
  <c r="E58" i="67"/>
  <c r="D88" i="13" s="1"/>
  <c r="F58" i="67"/>
  <c r="E88" i="13" s="1"/>
  <c r="G58" i="67"/>
  <c r="F88" i="13" s="1"/>
  <c r="H58" i="67"/>
  <c r="G88" i="13" s="1"/>
  <c r="I58" i="67"/>
  <c r="H88" i="13" s="1"/>
  <c r="J58" i="67"/>
  <c r="I88" i="13" s="1"/>
  <c r="K58" i="67"/>
  <c r="J88" i="13" s="1"/>
  <c r="L58" i="67"/>
  <c r="K88" i="13" s="1"/>
  <c r="M58" i="67"/>
  <c r="L88" i="13" s="1"/>
  <c r="N58" i="67"/>
  <c r="M88" i="13" s="1"/>
  <c r="O58" i="67"/>
  <c r="N88" i="13" s="1"/>
  <c r="P58" i="67"/>
  <c r="O88" i="13" s="1"/>
  <c r="Q58" i="67"/>
  <c r="P88" i="13" s="1"/>
  <c r="R58" i="67"/>
  <c r="Q88" i="13" s="1"/>
  <c r="S58" i="67"/>
  <c r="R88" i="13" s="1"/>
  <c r="T58" i="67"/>
  <c r="S88" i="13" s="1"/>
  <c r="U58" i="67"/>
  <c r="T88" i="13" s="1"/>
  <c r="V58" i="67"/>
  <c r="U88" i="13" s="1"/>
  <c r="W58" i="67"/>
  <c r="V88" i="13" s="1"/>
  <c r="X58" i="67"/>
  <c r="W88" i="13" s="1"/>
  <c r="Y58" i="67"/>
  <c r="X88" i="13" s="1"/>
  <c r="Z58" i="67"/>
  <c r="Y88" i="13" s="1"/>
  <c r="AA58" i="67"/>
  <c r="Z88" i="13" s="1"/>
  <c r="AB58" i="67"/>
  <c r="AA88" i="13" s="1"/>
  <c r="AC58" i="67"/>
  <c r="AB88" i="13" s="1"/>
  <c r="AD58" i="67"/>
  <c r="AC88" i="13" s="1"/>
  <c r="AE58" i="67"/>
  <c r="AD88" i="13" s="1"/>
  <c r="AF58" i="67"/>
  <c r="AE88" i="13" s="1"/>
  <c r="AG58" i="67"/>
  <c r="AF88" i="13" s="1"/>
  <c r="AH58" i="67"/>
  <c r="AG88" i="13" s="1"/>
  <c r="AI58" i="67"/>
  <c r="AH88" i="13" s="1"/>
  <c r="AJ58" i="67"/>
  <c r="AI88" i="13" s="1"/>
  <c r="AK58" i="67"/>
  <c r="AJ88" i="13" s="1"/>
  <c r="AL58" i="67"/>
  <c r="AK88" i="13" s="1"/>
  <c r="AM58" i="67"/>
  <c r="AL88" i="13" s="1"/>
  <c r="AN58" i="67"/>
  <c r="AM88" i="13" s="1"/>
  <c r="AO58" i="67"/>
  <c r="AN88" i="13" s="1"/>
  <c r="D59" i="67"/>
  <c r="C94" i="13" s="1"/>
  <c r="E59" i="67"/>
  <c r="D94" i="13" s="1"/>
  <c r="F59" i="67"/>
  <c r="E94" i="13" s="1"/>
  <c r="G59" i="67"/>
  <c r="F94" i="13" s="1"/>
  <c r="H59" i="67"/>
  <c r="G94" i="13" s="1"/>
  <c r="I59" i="67"/>
  <c r="H94" i="13" s="1"/>
  <c r="J59" i="67"/>
  <c r="I94" i="13" s="1"/>
  <c r="K59" i="67"/>
  <c r="J94" i="13" s="1"/>
  <c r="L59" i="67"/>
  <c r="K94" i="13" s="1"/>
  <c r="M59" i="67"/>
  <c r="L94" i="13" s="1"/>
  <c r="N59" i="67"/>
  <c r="M94" i="13" s="1"/>
  <c r="O59" i="67"/>
  <c r="N94" i="13" s="1"/>
  <c r="P59" i="67"/>
  <c r="O94" i="13" s="1"/>
  <c r="Q59" i="67"/>
  <c r="P94" i="13" s="1"/>
  <c r="R59" i="67"/>
  <c r="Q94" i="13" s="1"/>
  <c r="S59" i="67"/>
  <c r="R94" i="13" s="1"/>
  <c r="T59" i="67"/>
  <c r="S94" i="13" s="1"/>
  <c r="U59" i="67"/>
  <c r="T94" i="13" s="1"/>
  <c r="V59" i="67"/>
  <c r="U94" i="13" s="1"/>
  <c r="W59" i="67"/>
  <c r="V94" i="13" s="1"/>
  <c r="X59" i="67"/>
  <c r="W94" i="13" s="1"/>
  <c r="Y59" i="67"/>
  <c r="X94" i="13" s="1"/>
  <c r="Z59" i="67"/>
  <c r="Y94" i="13" s="1"/>
  <c r="AA59" i="67"/>
  <c r="Z94" i="13" s="1"/>
  <c r="AB59" i="67"/>
  <c r="AA94" i="13" s="1"/>
  <c r="AC59" i="67"/>
  <c r="AB94" i="13" s="1"/>
  <c r="AD59" i="67"/>
  <c r="AC94" i="13" s="1"/>
  <c r="AE59" i="67"/>
  <c r="AD94" i="13" s="1"/>
  <c r="AF59" i="67"/>
  <c r="AE94" i="13" s="1"/>
  <c r="AG59" i="67"/>
  <c r="AF94" i="13" s="1"/>
  <c r="AH59" i="67"/>
  <c r="AG94" i="13" s="1"/>
  <c r="AI59" i="67"/>
  <c r="AH94" i="13" s="1"/>
  <c r="AJ59" i="67"/>
  <c r="AI94" i="13" s="1"/>
  <c r="AK59" i="67"/>
  <c r="AJ94" i="13" s="1"/>
  <c r="AL59" i="67"/>
  <c r="AK94" i="13" s="1"/>
  <c r="AM59" i="67"/>
  <c r="AL94" i="13" s="1"/>
  <c r="AN59" i="67"/>
  <c r="AM94" i="13" s="1"/>
  <c r="AO59" i="67"/>
  <c r="AN94" i="13" s="1"/>
  <c r="D62" i="67"/>
  <c r="C12" i="14" s="1"/>
  <c r="E62" i="67"/>
  <c r="D12" i="14" s="1"/>
  <c r="F62" i="67"/>
  <c r="E12" i="14" s="1"/>
  <c r="G62" i="67"/>
  <c r="F12" i="14" s="1"/>
  <c r="H62" i="67"/>
  <c r="G12" i="14" s="1"/>
  <c r="I62" i="67"/>
  <c r="H12" i="14" s="1"/>
  <c r="J62" i="67"/>
  <c r="I12" i="14" s="1"/>
  <c r="K62" i="67"/>
  <c r="J12" i="14" s="1"/>
  <c r="L62" i="67"/>
  <c r="K12" i="14" s="1"/>
  <c r="M62" i="67"/>
  <c r="L12" i="14" s="1"/>
  <c r="N62" i="67"/>
  <c r="M12" i="14" s="1"/>
  <c r="O62" i="67"/>
  <c r="N12" i="14" s="1"/>
  <c r="P62" i="67"/>
  <c r="O12" i="14" s="1"/>
  <c r="Q62" i="67"/>
  <c r="P12" i="14" s="1"/>
  <c r="R62" i="67"/>
  <c r="Q12" i="14" s="1"/>
  <c r="S62" i="67"/>
  <c r="R12" i="14" s="1"/>
  <c r="T62" i="67"/>
  <c r="S12" i="14" s="1"/>
  <c r="U62" i="67"/>
  <c r="T12" i="14" s="1"/>
  <c r="V62" i="67"/>
  <c r="U12" i="14" s="1"/>
  <c r="W62" i="67"/>
  <c r="V12" i="14" s="1"/>
  <c r="X62" i="67"/>
  <c r="W12" i="14" s="1"/>
  <c r="Y62" i="67"/>
  <c r="X12" i="14" s="1"/>
  <c r="Z62" i="67"/>
  <c r="Y12" i="14" s="1"/>
  <c r="AA62" i="67"/>
  <c r="Z12" i="14" s="1"/>
  <c r="AB62" i="67"/>
  <c r="AA12" i="14" s="1"/>
  <c r="AC62" i="67"/>
  <c r="AB12" i="14" s="1"/>
  <c r="AD62" i="67"/>
  <c r="AC12" i="14" s="1"/>
  <c r="AE62" i="67"/>
  <c r="AD12" i="14" s="1"/>
  <c r="AF62" i="67"/>
  <c r="AE12" i="14" s="1"/>
  <c r="AG62" i="67"/>
  <c r="AF12" i="14" s="1"/>
  <c r="AH62" i="67"/>
  <c r="AG12" i="14" s="1"/>
  <c r="AI62" i="67"/>
  <c r="AJ62" i="67"/>
  <c r="AI12" i="14" s="1"/>
  <c r="AK62" i="67"/>
  <c r="AJ12" i="14" s="1"/>
  <c r="AL62" i="67"/>
  <c r="AK12" i="14" s="1"/>
  <c r="AM62" i="67"/>
  <c r="AL12" i="14" s="1"/>
  <c r="AN62" i="67"/>
  <c r="AM12" i="14" s="1"/>
  <c r="AO62" i="67"/>
  <c r="AN12" i="14" s="1"/>
  <c r="D63" i="67"/>
  <c r="C27" i="14" s="1"/>
  <c r="E63" i="67"/>
  <c r="D27" i="14" s="1"/>
  <c r="F63" i="67"/>
  <c r="E27" i="14" s="1"/>
  <c r="G63" i="67"/>
  <c r="F27" i="14" s="1"/>
  <c r="H63" i="67"/>
  <c r="G27" i="14" s="1"/>
  <c r="I63" i="67"/>
  <c r="H27" i="14" s="1"/>
  <c r="J63" i="67"/>
  <c r="I27" i="14" s="1"/>
  <c r="K63" i="67"/>
  <c r="J27" i="14" s="1"/>
  <c r="L63" i="67"/>
  <c r="K27" i="14" s="1"/>
  <c r="M63" i="67"/>
  <c r="L27" i="14" s="1"/>
  <c r="N63" i="67"/>
  <c r="M27" i="14" s="1"/>
  <c r="O63" i="67"/>
  <c r="N27" i="14" s="1"/>
  <c r="P63" i="67"/>
  <c r="O27" i="14" s="1"/>
  <c r="Q63" i="67"/>
  <c r="P27" i="14" s="1"/>
  <c r="R63" i="67"/>
  <c r="Q27" i="14" s="1"/>
  <c r="S63" i="67"/>
  <c r="R27" i="14" s="1"/>
  <c r="T63" i="67"/>
  <c r="S27" i="14" s="1"/>
  <c r="U63" i="67"/>
  <c r="T27" i="14" s="1"/>
  <c r="V63" i="67"/>
  <c r="U27" i="14" s="1"/>
  <c r="W63" i="67"/>
  <c r="V27" i="14" s="1"/>
  <c r="X63" i="67"/>
  <c r="W27" i="14" s="1"/>
  <c r="Y63" i="67"/>
  <c r="X27" i="14" s="1"/>
  <c r="Z63" i="67"/>
  <c r="Y27" i="14" s="1"/>
  <c r="AA63" i="67"/>
  <c r="Z27" i="14" s="1"/>
  <c r="AB63" i="67"/>
  <c r="AA27" i="14" s="1"/>
  <c r="AC63" i="67"/>
  <c r="AB27" i="14" s="1"/>
  <c r="AD63" i="67"/>
  <c r="AC27" i="14" s="1"/>
  <c r="AE63" i="67"/>
  <c r="AD27" i="14" s="1"/>
  <c r="AF63" i="67"/>
  <c r="AE27" i="14" s="1"/>
  <c r="AG63" i="67"/>
  <c r="AF27" i="14" s="1"/>
  <c r="AH63" i="67"/>
  <c r="AG27" i="14" s="1"/>
  <c r="AI63" i="67"/>
  <c r="AH27" i="14" s="1"/>
  <c r="AJ63" i="67"/>
  <c r="AI27" i="14" s="1"/>
  <c r="AK63" i="67"/>
  <c r="AJ27" i="14" s="1"/>
  <c r="AL63" i="67"/>
  <c r="AK27" i="14" s="1"/>
  <c r="AM63" i="67"/>
  <c r="AL27" i="14" s="1"/>
  <c r="AN63" i="67"/>
  <c r="AM27" i="14" s="1"/>
  <c r="AO63" i="67"/>
  <c r="AN27" i="14" s="1"/>
  <c r="D64" i="67"/>
  <c r="C34" i="14" s="1"/>
  <c r="E64" i="67"/>
  <c r="D34" i="14" s="1"/>
  <c r="F64" i="67"/>
  <c r="E34" i="14" s="1"/>
  <c r="G64" i="67"/>
  <c r="F34" i="14" s="1"/>
  <c r="H64" i="67"/>
  <c r="G34" i="14" s="1"/>
  <c r="I64" i="67"/>
  <c r="H34" i="14" s="1"/>
  <c r="J64" i="67"/>
  <c r="I34" i="14" s="1"/>
  <c r="K64" i="67"/>
  <c r="J34" i="14" s="1"/>
  <c r="L64" i="67"/>
  <c r="K34" i="14" s="1"/>
  <c r="M64" i="67"/>
  <c r="L34" i="14" s="1"/>
  <c r="N64" i="67"/>
  <c r="M34" i="14" s="1"/>
  <c r="O64" i="67"/>
  <c r="N34" i="14" s="1"/>
  <c r="P64" i="67"/>
  <c r="O34" i="14" s="1"/>
  <c r="Q64" i="67"/>
  <c r="P34" i="14" s="1"/>
  <c r="R64" i="67"/>
  <c r="Q34" i="14" s="1"/>
  <c r="S64" i="67"/>
  <c r="R34" i="14" s="1"/>
  <c r="T64" i="67"/>
  <c r="S34" i="14" s="1"/>
  <c r="U64" i="67"/>
  <c r="T34" i="14" s="1"/>
  <c r="V64" i="67"/>
  <c r="U34" i="14" s="1"/>
  <c r="W64" i="67"/>
  <c r="V34" i="14" s="1"/>
  <c r="X64" i="67"/>
  <c r="W34" i="14" s="1"/>
  <c r="Y64" i="67"/>
  <c r="X34" i="14" s="1"/>
  <c r="Z64" i="67"/>
  <c r="Y34" i="14" s="1"/>
  <c r="AA64" i="67"/>
  <c r="Z34" i="14" s="1"/>
  <c r="AB64" i="67"/>
  <c r="AA34" i="14" s="1"/>
  <c r="AC64" i="67"/>
  <c r="AB34" i="14" s="1"/>
  <c r="AD64" i="67"/>
  <c r="AC34" i="14" s="1"/>
  <c r="AE64" i="67"/>
  <c r="AD34" i="14" s="1"/>
  <c r="AF64" i="67"/>
  <c r="AE34" i="14" s="1"/>
  <c r="AG64" i="67"/>
  <c r="AF34" i="14" s="1"/>
  <c r="AH64" i="67"/>
  <c r="AG34" i="14" s="1"/>
  <c r="AI64" i="67"/>
  <c r="AH34" i="14" s="1"/>
  <c r="AJ64" i="67"/>
  <c r="AI34" i="14" s="1"/>
  <c r="AK64" i="67"/>
  <c r="AJ34" i="14" s="1"/>
  <c r="AL64" i="67"/>
  <c r="AK34" i="14" s="1"/>
  <c r="AM64" i="67"/>
  <c r="AL34" i="14" s="1"/>
  <c r="AN64" i="67"/>
  <c r="AM34" i="14" s="1"/>
  <c r="AO64" i="67"/>
  <c r="AN34" i="14" s="1"/>
  <c r="D65" i="67"/>
  <c r="C48" i="14" s="1"/>
  <c r="E65" i="67"/>
  <c r="D48" i="14" s="1"/>
  <c r="F65" i="67"/>
  <c r="E48" i="14" s="1"/>
  <c r="G65" i="67"/>
  <c r="F48" i="14" s="1"/>
  <c r="H65" i="67"/>
  <c r="G48" i="14" s="1"/>
  <c r="I65" i="67"/>
  <c r="H48" i="14" s="1"/>
  <c r="J65" i="67"/>
  <c r="I48" i="14" s="1"/>
  <c r="K65" i="67"/>
  <c r="J48" i="14" s="1"/>
  <c r="L65" i="67"/>
  <c r="K48" i="14" s="1"/>
  <c r="M65" i="67"/>
  <c r="L48" i="14" s="1"/>
  <c r="N65" i="67"/>
  <c r="M48" i="14" s="1"/>
  <c r="O65" i="67"/>
  <c r="N48" i="14" s="1"/>
  <c r="P65" i="67"/>
  <c r="O48" i="14" s="1"/>
  <c r="Q65" i="67"/>
  <c r="P48" i="14" s="1"/>
  <c r="R65" i="67"/>
  <c r="Q48" i="14" s="1"/>
  <c r="S65" i="67"/>
  <c r="R48" i="14" s="1"/>
  <c r="T65" i="67"/>
  <c r="S48" i="14" s="1"/>
  <c r="U65" i="67"/>
  <c r="T48" i="14" s="1"/>
  <c r="V65" i="67"/>
  <c r="U48" i="14" s="1"/>
  <c r="W65" i="67"/>
  <c r="V48" i="14" s="1"/>
  <c r="X65" i="67"/>
  <c r="W48" i="14" s="1"/>
  <c r="Y65" i="67"/>
  <c r="X48" i="14" s="1"/>
  <c r="Z65" i="67"/>
  <c r="Y48" i="14" s="1"/>
  <c r="AA65" i="67"/>
  <c r="Z48" i="14" s="1"/>
  <c r="AB65" i="67"/>
  <c r="AA48" i="14" s="1"/>
  <c r="AC65" i="67"/>
  <c r="AB48" i="14" s="1"/>
  <c r="AD65" i="67"/>
  <c r="AC48" i="14" s="1"/>
  <c r="AE65" i="67"/>
  <c r="AD48" i="14" s="1"/>
  <c r="AF65" i="67"/>
  <c r="AE48" i="14" s="1"/>
  <c r="AG65" i="67"/>
  <c r="AF48" i="14" s="1"/>
  <c r="AH65" i="67"/>
  <c r="AG48" i="14" s="1"/>
  <c r="AI65" i="67"/>
  <c r="AH48" i="14" s="1"/>
  <c r="AJ65" i="67"/>
  <c r="AI48" i="14" s="1"/>
  <c r="AK65" i="67"/>
  <c r="AJ48" i="14" s="1"/>
  <c r="AL65" i="67"/>
  <c r="AK48" i="14" s="1"/>
  <c r="AM65" i="67"/>
  <c r="AL48" i="14" s="1"/>
  <c r="AN65" i="67"/>
  <c r="AM48" i="14" s="1"/>
  <c r="AO65" i="67"/>
  <c r="AN48" i="14" s="1"/>
  <c r="D66" i="67"/>
  <c r="C69" i="14" s="1"/>
  <c r="E66" i="67"/>
  <c r="D69" i="14" s="1"/>
  <c r="F66" i="67"/>
  <c r="E69" i="14" s="1"/>
  <c r="G66" i="67"/>
  <c r="F69" i="14" s="1"/>
  <c r="H66" i="67"/>
  <c r="G69" i="14" s="1"/>
  <c r="I66" i="67"/>
  <c r="H69" i="14" s="1"/>
  <c r="J66" i="67"/>
  <c r="I69" i="14" s="1"/>
  <c r="K66" i="67"/>
  <c r="J69" i="14" s="1"/>
  <c r="L66" i="67"/>
  <c r="K69" i="14" s="1"/>
  <c r="M66" i="67"/>
  <c r="L69" i="14" s="1"/>
  <c r="N66" i="67"/>
  <c r="M69" i="14" s="1"/>
  <c r="O66" i="67"/>
  <c r="N69" i="14" s="1"/>
  <c r="P66" i="67"/>
  <c r="O69" i="14" s="1"/>
  <c r="Q66" i="67"/>
  <c r="P69" i="14" s="1"/>
  <c r="R66" i="67"/>
  <c r="Q69" i="14" s="1"/>
  <c r="S66" i="67"/>
  <c r="R69" i="14" s="1"/>
  <c r="T66" i="67"/>
  <c r="S69" i="14" s="1"/>
  <c r="U66" i="67"/>
  <c r="T69" i="14" s="1"/>
  <c r="V66" i="67"/>
  <c r="U69" i="14" s="1"/>
  <c r="W66" i="67"/>
  <c r="V69" i="14" s="1"/>
  <c r="X66" i="67"/>
  <c r="W69" i="14" s="1"/>
  <c r="Y66" i="67"/>
  <c r="X69" i="14" s="1"/>
  <c r="Z66" i="67"/>
  <c r="Y69" i="14" s="1"/>
  <c r="AA66" i="67"/>
  <c r="Z69" i="14" s="1"/>
  <c r="AB66" i="67"/>
  <c r="AA69" i="14" s="1"/>
  <c r="AC66" i="67"/>
  <c r="AB69" i="14" s="1"/>
  <c r="AD66" i="67"/>
  <c r="AC69" i="14" s="1"/>
  <c r="AE66" i="67"/>
  <c r="AD69" i="14" s="1"/>
  <c r="AF66" i="67"/>
  <c r="AE69" i="14" s="1"/>
  <c r="AG66" i="67"/>
  <c r="AF69" i="14" s="1"/>
  <c r="AH66" i="67"/>
  <c r="AG69" i="14" s="1"/>
  <c r="AI66" i="67"/>
  <c r="AH69" i="14" s="1"/>
  <c r="AJ66" i="67"/>
  <c r="AI69" i="14" s="1"/>
  <c r="AK66" i="67"/>
  <c r="AJ69" i="14" s="1"/>
  <c r="AL66" i="67"/>
  <c r="AK69" i="14" s="1"/>
  <c r="AM66" i="67"/>
  <c r="AL69" i="14" s="1"/>
  <c r="AN66" i="67"/>
  <c r="AM69" i="14" s="1"/>
  <c r="AO66" i="67"/>
  <c r="AN69" i="14" s="1"/>
  <c r="D67" i="67"/>
  <c r="C79" i="14" s="1"/>
  <c r="E67" i="67"/>
  <c r="D79" i="14" s="1"/>
  <c r="F67" i="67"/>
  <c r="E79" i="14" s="1"/>
  <c r="G67" i="67"/>
  <c r="F79" i="14" s="1"/>
  <c r="H67" i="67"/>
  <c r="G79" i="14" s="1"/>
  <c r="I67" i="67"/>
  <c r="H79" i="14" s="1"/>
  <c r="J67" i="67"/>
  <c r="I79" i="14" s="1"/>
  <c r="K67" i="67"/>
  <c r="J79" i="14" s="1"/>
  <c r="L67" i="67"/>
  <c r="K79" i="14" s="1"/>
  <c r="M67" i="67"/>
  <c r="L79" i="14" s="1"/>
  <c r="N67" i="67"/>
  <c r="M79" i="14" s="1"/>
  <c r="O67" i="67"/>
  <c r="N79" i="14" s="1"/>
  <c r="P67" i="67"/>
  <c r="O79" i="14" s="1"/>
  <c r="Q67" i="67"/>
  <c r="P79" i="14" s="1"/>
  <c r="R67" i="67"/>
  <c r="Q79" i="14" s="1"/>
  <c r="S67" i="67"/>
  <c r="R79" i="14" s="1"/>
  <c r="T67" i="67"/>
  <c r="S79" i="14" s="1"/>
  <c r="U67" i="67"/>
  <c r="T79" i="14" s="1"/>
  <c r="V67" i="67"/>
  <c r="U79" i="14" s="1"/>
  <c r="W67" i="67"/>
  <c r="V79" i="14" s="1"/>
  <c r="X67" i="67"/>
  <c r="W79" i="14" s="1"/>
  <c r="Y67" i="67"/>
  <c r="X79" i="14" s="1"/>
  <c r="Z67" i="67"/>
  <c r="Y79" i="14" s="1"/>
  <c r="AA67" i="67"/>
  <c r="Z79" i="14" s="1"/>
  <c r="AB67" i="67"/>
  <c r="AA79" i="14" s="1"/>
  <c r="AC67" i="67"/>
  <c r="AB79" i="14" s="1"/>
  <c r="AD67" i="67"/>
  <c r="AC79" i="14" s="1"/>
  <c r="AE67" i="67"/>
  <c r="AD79" i="14" s="1"/>
  <c r="AF67" i="67"/>
  <c r="AE79" i="14" s="1"/>
  <c r="AG67" i="67"/>
  <c r="AF79" i="14" s="1"/>
  <c r="AH67" i="67"/>
  <c r="AG79" i="14" s="1"/>
  <c r="AI67" i="67"/>
  <c r="AH79" i="14" s="1"/>
  <c r="AJ67" i="67"/>
  <c r="AI79" i="14" s="1"/>
  <c r="AK67" i="67"/>
  <c r="AJ79" i="14" s="1"/>
  <c r="AL67" i="67"/>
  <c r="AK79" i="14" s="1"/>
  <c r="AM67" i="67"/>
  <c r="AL79" i="14" s="1"/>
  <c r="AN67" i="67"/>
  <c r="AM79" i="14" s="1"/>
  <c r="AO67" i="67"/>
  <c r="AN79" i="14" s="1"/>
  <c r="D68" i="67"/>
  <c r="C83" i="14" s="1"/>
  <c r="E68" i="67"/>
  <c r="D83" i="14" s="1"/>
  <c r="F68" i="67"/>
  <c r="E83" i="14" s="1"/>
  <c r="G68" i="67"/>
  <c r="F83" i="14" s="1"/>
  <c r="H68" i="67"/>
  <c r="G83" i="14" s="1"/>
  <c r="I68" i="67"/>
  <c r="H83" i="14" s="1"/>
  <c r="J68" i="67"/>
  <c r="I83" i="14" s="1"/>
  <c r="K68" i="67"/>
  <c r="J83" i="14" s="1"/>
  <c r="L68" i="67"/>
  <c r="K83" i="14" s="1"/>
  <c r="M68" i="67"/>
  <c r="L83" i="14" s="1"/>
  <c r="N68" i="67"/>
  <c r="M83" i="14" s="1"/>
  <c r="O68" i="67"/>
  <c r="N83" i="14" s="1"/>
  <c r="P68" i="67"/>
  <c r="O83" i="14" s="1"/>
  <c r="Q68" i="67"/>
  <c r="P83" i="14" s="1"/>
  <c r="R68" i="67"/>
  <c r="Q83" i="14" s="1"/>
  <c r="S68" i="67"/>
  <c r="R83" i="14" s="1"/>
  <c r="T68" i="67"/>
  <c r="S83" i="14" s="1"/>
  <c r="U68" i="67"/>
  <c r="T83" i="14" s="1"/>
  <c r="V68" i="67"/>
  <c r="U83" i="14" s="1"/>
  <c r="W68" i="67"/>
  <c r="V83" i="14" s="1"/>
  <c r="X68" i="67"/>
  <c r="W83" i="14" s="1"/>
  <c r="Y68" i="67"/>
  <c r="X83" i="14" s="1"/>
  <c r="Z68" i="67"/>
  <c r="Y83" i="14" s="1"/>
  <c r="AA68" i="67"/>
  <c r="Z83" i="14" s="1"/>
  <c r="AB68" i="67"/>
  <c r="AA83" i="14" s="1"/>
  <c r="AC68" i="67"/>
  <c r="AB83" i="14" s="1"/>
  <c r="AD68" i="67"/>
  <c r="AC83" i="14" s="1"/>
  <c r="AE68" i="67"/>
  <c r="AD83" i="14" s="1"/>
  <c r="AF68" i="67"/>
  <c r="AE83" i="14" s="1"/>
  <c r="AG68" i="67"/>
  <c r="AF83" i="14" s="1"/>
  <c r="AH68" i="67"/>
  <c r="AG83" i="14" s="1"/>
  <c r="AI68" i="67"/>
  <c r="AH83" i="14" s="1"/>
  <c r="AJ68" i="67"/>
  <c r="AI83" i="14" s="1"/>
  <c r="AK68" i="67"/>
  <c r="AJ83" i="14" s="1"/>
  <c r="AL68" i="67"/>
  <c r="AK83" i="14" s="1"/>
  <c r="AM68" i="67"/>
  <c r="AL83" i="14" s="1"/>
  <c r="AN68" i="67"/>
  <c r="AM83" i="14" s="1"/>
  <c r="AO68" i="67"/>
  <c r="AN83" i="14" s="1"/>
  <c r="D69" i="67"/>
  <c r="C88" i="14" s="1"/>
  <c r="E69" i="67"/>
  <c r="D88" i="14" s="1"/>
  <c r="F69" i="67"/>
  <c r="E88" i="14" s="1"/>
  <c r="G69" i="67"/>
  <c r="F88" i="14" s="1"/>
  <c r="H69" i="67"/>
  <c r="G88" i="14" s="1"/>
  <c r="I69" i="67"/>
  <c r="H88" i="14" s="1"/>
  <c r="J69" i="67"/>
  <c r="I88" i="14" s="1"/>
  <c r="K69" i="67"/>
  <c r="J88" i="14" s="1"/>
  <c r="L69" i="67"/>
  <c r="K88" i="14" s="1"/>
  <c r="M69" i="67"/>
  <c r="L88" i="14" s="1"/>
  <c r="N69" i="67"/>
  <c r="M88" i="14" s="1"/>
  <c r="O69" i="67"/>
  <c r="N88" i="14" s="1"/>
  <c r="P69" i="67"/>
  <c r="O88" i="14" s="1"/>
  <c r="Q69" i="67"/>
  <c r="P88" i="14" s="1"/>
  <c r="R69" i="67"/>
  <c r="Q88" i="14" s="1"/>
  <c r="S69" i="67"/>
  <c r="R88" i="14" s="1"/>
  <c r="T69" i="67"/>
  <c r="S88" i="14" s="1"/>
  <c r="U69" i="67"/>
  <c r="T88" i="14" s="1"/>
  <c r="V69" i="67"/>
  <c r="U88" i="14" s="1"/>
  <c r="W69" i="67"/>
  <c r="V88" i="14" s="1"/>
  <c r="X69" i="67"/>
  <c r="W88" i="14" s="1"/>
  <c r="Y69" i="67"/>
  <c r="X88" i="14" s="1"/>
  <c r="Z69" i="67"/>
  <c r="Y88" i="14" s="1"/>
  <c r="AA69" i="67"/>
  <c r="Z88" i="14" s="1"/>
  <c r="AB69" i="67"/>
  <c r="AA88" i="14" s="1"/>
  <c r="AC69" i="67"/>
  <c r="AB88" i="14" s="1"/>
  <c r="AD69" i="67"/>
  <c r="AC88" i="14" s="1"/>
  <c r="AE69" i="67"/>
  <c r="AD88" i="14" s="1"/>
  <c r="AF69" i="67"/>
  <c r="AE88" i="14" s="1"/>
  <c r="AG69" i="67"/>
  <c r="AF88" i="14" s="1"/>
  <c r="AH69" i="67"/>
  <c r="AG88" i="14" s="1"/>
  <c r="AI69" i="67"/>
  <c r="AH88" i="14" s="1"/>
  <c r="AJ69" i="67"/>
  <c r="AI88" i="14" s="1"/>
  <c r="AK69" i="67"/>
  <c r="AJ88" i="14" s="1"/>
  <c r="AL69" i="67"/>
  <c r="AK88" i="14" s="1"/>
  <c r="AM69" i="67"/>
  <c r="AL88" i="14" s="1"/>
  <c r="AN69" i="67"/>
  <c r="AM88" i="14" s="1"/>
  <c r="AO69" i="67"/>
  <c r="AN88" i="14" s="1"/>
  <c r="D70" i="67"/>
  <c r="C94" i="14" s="1"/>
  <c r="E70" i="67"/>
  <c r="D94" i="14" s="1"/>
  <c r="F70" i="67"/>
  <c r="E94" i="14" s="1"/>
  <c r="G70" i="67"/>
  <c r="F94" i="14" s="1"/>
  <c r="H70" i="67"/>
  <c r="G94" i="14" s="1"/>
  <c r="I70" i="67"/>
  <c r="H94" i="14" s="1"/>
  <c r="J70" i="67"/>
  <c r="I94" i="14" s="1"/>
  <c r="K70" i="67"/>
  <c r="J94" i="14" s="1"/>
  <c r="L70" i="67"/>
  <c r="K94" i="14" s="1"/>
  <c r="M70" i="67"/>
  <c r="L94" i="14" s="1"/>
  <c r="N70" i="67"/>
  <c r="M94" i="14" s="1"/>
  <c r="O70" i="67"/>
  <c r="N94" i="14" s="1"/>
  <c r="P70" i="67"/>
  <c r="O94" i="14" s="1"/>
  <c r="Q70" i="67"/>
  <c r="P94" i="14" s="1"/>
  <c r="R70" i="67"/>
  <c r="Q94" i="14" s="1"/>
  <c r="S70" i="67"/>
  <c r="R94" i="14" s="1"/>
  <c r="T70" i="67"/>
  <c r="S94" i="14" s="1"/>
  <c r="U70" i="67"/>
  <c r="T94" i="14" s="1"/>
  <c r="V70" i="67"/>
  <c r="U94" i="14" s="1"/>
  <c r="W70" i="67"/>
  <c r="V94" i="14" s="1"/>
  <c r="X70" i="67"/>
  <c r="W94" i="14" s="1"/>
  <c r="Y70" i="67"/>
  <c r="X94" i="14" s="1"/>
  <c r="Z70" i="67"/>
  <c r="Y94" i="14" s="1"/>
  <c r="AA70" i="67"/>
  <c r="Z94" i="14" s="1"/>
  <c r="AB70" i="67"/>
  <c r="AA94" i="14" s="1"/>
  <c r="AC70" i="67"/>
  <c r="AB94" i="14" s="1"/>
  <c r="AD70" i="67"/>
  <c r="AC94" i="14" s="1"/>
  <c r="AE70" i="67"/>
  <c r="AD94" i="14" s="1"/>
  <c r="AF70" i="67"/>
  <c r="AE94" i="14" s="1"/>
  <c r="AG70" i="67"/>
  <c r="AF94" i="14" s="1"/>
  <c r="AH70" i="67"/>
  <c r="AG94" i="14" s="1"/>
  <c r="AI70" i="67"/>
  <c r="AH94" i="14" s="1"/>
  <c r="AJ70" i="67"/>
  <c r="AI94" i="14" s="1"/>
  <c r="AK70" i="67"/>
  <c r="AJ94" i="14" s="1"/>
  <c r="AL70" i="67"/>
  <c r="AK94" i="14" s="1"/>
  <c r="AM70" i="67"/>
  <c r="AL94" i="14" s="1"/>
  <c r="AN70" i="67"/>
  <c r="AM94" i="14" s="1"/>
  <c r="AO70" i="67"/>
  <c r="AN94" i="14" s="1"/>
  <c r="D73" i="67"/>
  <c r="C12" i="15" s="1"/>
  <c r="E73" i="67"/>
  <c r="D12" i="15" s="1"/>
  <c r="F73" i="67"/>
  <c r="E12" i="15" s="1"/>
  <c r="G73" i="67"/>
  <c r="F12" i="15" s="1"/>
  <c r="H73" i="67"/>
  <c r="G12" i="15" s="1"/>
  <c r="I73" i="67"/>
  <c r="H12" i="15" s="1"/>
  <c r="J73" i="67"/>
  <c r="I12" i="15" s="1"/>
  <c r="K73" i="67"/>
  <c r="J12" i="15" s="1"/>
  <c r="L73" i="67"/>
  <c r="K12" i="15" s="1"/>
  <c r="M73" i="67"/>
  <c r="L12" i="15" s="1"/>
  <c r="N73" i="67"/>
  <c r="M12" i="15" s="1"/>
  <c r="O73" i="67"/>
  <c r="N12" i="15" s="1"/>
  <c r="P73" i="67"/>
  <c r="O12" i="15" s="1"/>
  <c r="Q73" i="67"/>
  <c r="P12" i="15" s="1"/>
  <c r="R73" i="67"/>
  <c r="Q12" i="15" s="1"/>
  <c r="S73" i="67"/>
  <c r="R12" i="15" s="1"/>
  <c r="T73" i="67"/>
  <c r="S12" i="15" s="1"/>
  <c r="U73" i="67"/>
  <c r="T12" i="15" s="1"/>
  <c r="V73" i="67"/>
  <c r="U12" i="15" s="1"/>
  <c r="W73" i="67"/>
  <c r="V12" i="15" s="1"/>
  <c r="X73" i="67"/>
  <c r="W12" i="15" s="1"/>
  <c r="Y73" i="67"/>
  <c r="X12" i="15" s="1"/>
  <c r="Z73" i="67"/>
  <c r="Y12" i="15" s="1"/>
  <c r="AA73" i="67"/>
  <c r="Z12" i="15" s="1"/>
  <c r="AB73" i="67"/>
  <c r="AA12" i="15" s="1"/>
  <c r="AC73" i="67"/>
  <c r="AB12" i="15" s="1"/>
  <c r="AD73" i="67"/>
  <c r="AC12" i="15" s="1"/>
  <c r="AE73" i="67"/>
  <c r="AD12" i="15" s="1"/>
  <c r="AF73" i="67"/>
  <c r="AE12" i="15" s="1"/>
  <c r="AG73" i="67"/>
  <c r="AF12" i="15" s="1"/>
  <c r="AH73" i="67"/>
  <c r="AG12" i="15" s="1"/>
  <c r="AI73" i="67"/>
  <c r="AH12" i="15" s="1"/>
  <c r="AJ73" i="67"/>
  <c r="AI12" i="15" s="1"/>
  <c r="AK73" i="67"/>
  <c r="AJ12" i="15" s="1"/>
  <c r="AL73" i="67"/>
  <c r="AK12" i="15" s="1"/>
  <c r="AM73" i="67"/>
  <c r="AL12" i="15" s="1"/>
  <c r="AN73" i="67"/>
  <c r="AM12" i="15" s="1"/>
  <c r="AO73" i="67"/>
  <c r="AN12" i="15" s="1"/>
  <c r="D74" i="67"/>
  <c r="C27" i="15" s="1"/>
  <c r="E74" i="67"/>
  <c r="D27" i="15" s="1"/>
  <c r="F74" i="67"/>
  <c r="E27" i="15" s="1"/>
  <c r="G74" i="67"/>
  <c r="F27" i="15" s="1"/>
  <c r="H74" i="67"/>
  <c r="G27" i="15" s="1"/>
  <c r="I74" i="67"/>
  <c r="H27" i="15" s="1"/>
  <c r="J74" i="67"/>
  <c r="I27" i="15" s="1"/>
  <c r="K74" i="67"/>
  <c r="J27" i="15" s="1"/>
  <c r="L74" i="67"/>
  <c r="K27" i="15" s="1"/>
  <c r="M74" i="67"/>
  <c r="L27" i="15" s="1"/>
  <c r="N74" i="67"/>
  <c r="M27" i="15" s="1"/>
  <c r="O74" i="67"/>
  <c r="N27" i="15" s="1"/>
  <c r="P74" i="67"/>
  <c r="O27" i="15" s="1"/>
  <c r="Q74" i="67"/>
  <c r="P27" i="15" s="1"/>
  <c r="R74" i="67"/>
  <c r="Q27" i="15" s="1"/>
  <c r="S74" i="67"/>
  <c r="R27" i="15" s="1"/>
  <c r="T74" i="67"/>
  <c r="S27" i="15" s="1"/>
  <c r="U74" i="67"/>
  <c r="T27" i="15" s="1"/>
  <c r="V74" i="67"/>
  <c r="U27" i="15" s="1"/>
  <c r="W74" i="67"/>
  <c r="V27" i="15" s="1"/>
  <c r="X74" i="67"/>
  <c r="W27" i="15" s="1"/>
  <c r="Y74" i="67"/>
  <c r="X27" i="15" s="1"/>
  <c r="Z74" i="67"/>
  <c r="Y27" i="15" s="1"/>
  <c r="AA74" i="67"/>
  <c r="Z27" i="15" s="1"/>
  <c r="AB74" i="67"/>
  <c r="AA27" i="15" s="1"/>
  <c r="AC74" i="67"/>
  <c r="AB27" i="15" s="1"/>
  <c r="AD74" i="67"/>
  <c r="AC27" i="15" s="1"/>
  <c r="AE74" i="67"/>
  <c r="AD27" i="15" s="1"/>
  <c r="AF74" i="67"/>
  <c r="AE27" i="15" s="1"/>
  <c r="AG74" i="67"/>
  <c r="AF27" i="15" s="1"/>
  <c r="AH74" i="67"/>
  <c r="AG27" i="15" s="1"/>
  <c r="AI74" i="67"/>
  <c r="AH27" i="15" s="1"/>
  <c r="AJ74" i="67"/>
  <c r="AI27" i="15" s="1"/>
  <c r="AK74" i="67"/>
  <c r="AJ27" i="15" s="1"/>
  <c r="AL74" i="67"/>
  <c r="AK27" i="15" s="1"/>
  <c r="AM74" i="67"/>
  <c r="AL27" i="15" s="1"/>
  <c r="AN74" i="67"/>
  <c r="AM27" i="15" s="1"/>
  <c r="AO74" i="67"/>
  <c r="AN27" i="15" s="1"/>
  <c r="D75" i="67"/>
  <c r="C34" i="15" s="1"/>
  <c r="E75" i="67"/>
  <c r="D34" i="15" s="1"/>
  <c r="F75" i="67"/>
  <c r="E34" i="15" s="1"/>
  <c r="G75" i="67"/>
  <c r="F34" i="15" s="1"/>
  <c r="H75" i="67"/>
  <c r="G34" i="15" s="1"/>
  <c r="I75" i="67"/>
  <c r="H34" i="15" s="1"/>
  <c r="J75" i="67"/>
  <c r="I34" i="15" s="1"/>
  <c r="K75" i="67"/>
  <c r="J34" i="15" s="1"/>
  <c r="L75" i="67"/>
  <c r="K34" i="15" s="1"/>
  <c r="M75" i="67"/>
  <c r="L34" i="15" s="1"/>
  <c r="N75" i="67"/>
  <c r="M34" i="15" s="1"/>
  <c r="O75" i="67"/>
  <c r="N34" i="15" s="1"/>
  <c r="P75" i="67"/>
  <c r="O34" i="15" s="1"/>
  <c r="Q75" i="67"/>
  <c r="P34" i="15" s="1"/>
  <c r="R75" i="67"/>
  <c r="Q34" i="15" s="1"/>
  <c r="S75" i="67"/>
  <c r="R34" i="15" s="1"/>
  <c r="T75" i="67"/>
  <c r="S34" i="15" s="1"/>
  <c r="U75" i="67"/>
  <c r="T34" i="15" s="1"/>
  <c r="V75" i="67"/>
  <c r="U34" i="15" s="1"/>
  <c r="W75" i="67"/>
  <c r="V34" i="15" s="1"/>
  <c r="X75" i="67"/>
  <c r="W34" i="15" s="1"/>
  <c r="Y75" i="67"/>
  <c r="X34" i="15" s="1"/>
  <c r="Z75" i="67"/>
  <c r="Y34" i="15" s="1"/>
  <c r="AA75" i="67"/>
  <c r="Z34" i="15" s="1"/>
  <c r="AB75" i="67"/>
  <c r="AA34" i="15" s="1"/>
  <c r="AC75" i="67"/>
  <c r="AB34" i="15" s="1"/>
  <c r="AD75" i="67"/>
  <c r="AC34" i="15" s="1"/>
  <c r="AE75" i="67"/>
  <c r="AD34" i="15" s="1"/>
  <c r="AF75" i="67"/>
  <c r="AE34" i="15" s="1"/>
  <c r="AG75" i="67"/>
  <c r="AF34" i="15" s="1"/>
  <c r="AH75" i="67"/>
  <c r="AG34" i="15" s="1"/>
  <c r="AI75" i="67"/>
  <c r="AH34" i="15" s="1"/>
  <c r="AJ75" i="67"/>
  <c r="AI34" i="15" s="1"/>
  <c r="AK75" i="67"/>
  <c r="AJ34" i="15" s="1"/>
  <c r="AL75" i="67"/>
  <c r="AK34" i="15" s="1"/>
  <c r="AM75" i="67"/>
  <c r="AL34" i="15" s="1"/>
  <c r="AN75" i="67"/>
  <c r="AM34" i="15" s="1"/>
  <c r="AO75" i="67"/>
  <c r="AN34" i="15" s="1"/>
  <c r="Q76" i="67"/>
  <c r="P48" i="15" s="1"/>
  <c r="S76" i="67"/>
  <c r="R48" i="15" s="1"/>
  <c r="T76" i="67"/>
  <c r="S48" i="15" s="1"/>
  <c r="U76" i="67"/>
  <c r="T48" i="15" s="1"/>
  <c r="V76" i="67"/>
  <c r="U48" i="15" s="1"/>
  <c r="W76" i="67"/>
  <c r="V48" i="15" s="1"/>
  <c r="X76" i="67"/>
  <c r="W48" i="15" s="1"/>
  <c r="Y76" i="67"/>
  <c r="X48" i="15" s="1"/>
  <c r="Z76" i="67"/>
  <c r="Y48" i="15" s="1"/>
  <c r="AA76" i="67"/>
  <c r="Z48" i="15" s="1"/>
  <c r="AB76" i="67"/>
  <c r="AA48" i="15" s="1"/>
  <c r="AC76" i="67"/>
  <c r="AB48" i="15" s="1"/>
  <c r="AD76" i="67"/>
  <c r="AC48" i="15" s="1"/>
  <c r="AE76" i="67"/>
  <c r="AD48" i="15" s="1"/>
  <c r="AF76" i="67"/>
  <c r="AE48" i="15" s="1"/>
  <c r="AG76" i="67"/>
  <c r="AF48" i="15" s="1"/>
  <c r="AH76" i="67"/>
  <c r="AG48" i="15" s="1"/>
  <c r="AI76" i="67"/>
  <c r="AH48" i="15" s="1"/>
  <c r="AJ76" i="67"/>
  <c r="AI48" i="15" s="1"/>
  <c r="AK76" i="67"/>
  <c r="AJ48" i="15" s="1"/>
  <c r="AL76" i="67"/>
  <c r="AK48" i="15" s="1"/>
  <c r="AM76" i="67"/>
  <c r="AL48" i="15" s="1"/>
  <c r="AN76" i="67"/>
  <c r="AM48" i="15" s="1"/>
  <c r="AO76" i="67"/>
  <c r="AN48" i="15" s="1"/>
  <c r="D77" i="67"/>
  <c r="C69" i="15" s="1"/>
  <c r="E77" i="67"/>
  <c r="D69" i="15" s="1"/>
  <c r="F77" i="67"/>
  <c r="E69" i="15" s="1"/>
  <c r="G77" i="67"/>
  <c r="F69" i="15" s="1"/>
  <c r="H77" i="67"/>
  <c r="G69" i="15" s="1"/>
  <c r="I77" i="67"/>
  <c r="H69" i="15" s="1"/>
  <c r="J77" i="67"/>
  <c r="I69" i="15" s="1"/>
  <c r="K77" i="67"/>
  <c r="J69" i="15" s="1"/>
  <c r="L77" i="67"/>
  <c r="K69" i="15" s="1"/>
  <c r="M77" i="67"/>
  <c r="L69" i="15" s="1"/>
  <c r="N77" i="67"/>
  <c r="M69" i="15" s="1"/>
  <c r="O77" i="67"/>
  <c r="N69" i="15" s="1"/>
  <c r="P77" i="67"/>
  <c r="O69" i="15" s="1"/>
  <c r="Q77" i="67"/>
  <c r="P69" i="15" s="1"/>
  <c r="R77" i="67"/>
  <c r="Q69" i="15" s="1"/>
  <c r="S77" i="67"/>
  <c r="R69" i="15" s="1"/>
  <c r="T77" i="67"/>
  <c r="S69" i="15" s="1"/>
  <c r="U77" i="67"/>
  <c r="T69" i="15" s="1"/>
  <c r="V77" i="67"/>
  <c r="U69" i="15" s="1"/>
  <c r="W77" i="67"/>
  <c r="V69" i="15" s="1"/>
  <c r="X77" i="67"/>
  <c r="W69" i="15" s="1"/>
  <c r="Y77" i="67"/>
  <c r="X69" i="15" s="1"/>
  <c r="Z77" i="67"/>
  <c r="Y69" i="15" s="1"/>
  <c r="AA77" i="67"/>
  <c r="Z69" i="15" s="1"/>
  <c r="AB77" i="67"/>
  <c r="AA69" i="15" s="1"/>
  <c r="AC77" i="67"/>
  <c r="AB69" i="15" s="1"/>
  <c r="AD77" i="67"/>
  <c r="AC69" i="15" s="1"/>
  <c r="AE77" i="67"/>
  <c r="AD69" i="15" s="1"/>
  <c r="AF77" i="67"/>
  <c r="AE69" i="15" s="1"/>
  <c r="AG77" i="67"/>
  <c r="AF69" i="15" s="1"/>
  <c r="AH77" i="67"/>
  <c r="AG69" i="15" s="1"/>
  <c r="AI77" i="67"/>
  <c r="AH69" i="15" s="1"/>
  <c r="AJ77" i="67"/>
  <c r="AI69" i="15" s="1"/>
  <c r="AK77" i="67"/>
  <c r="AJ69" i="15" s="1"/>
  <c r="AL77" i="67"/>
  <c r="AK69" i="15" s="1"/>
  <c r="AM77" i="67"/>
  <c r="AL69" i="15" s="1"/>
  <c r="AN77" i="67"/>
  <c r="AM69" i="15" s="1"/>
  <c r="AO77" i="67"/>
  <c r="AN69" i="15" s="1"/>
  <c r="D78" i="67"/>
  <c r="C79" i="15" s="1"/>
  <c r="E78" i="67"/>
  <c r="D79" i="15" s="1"/>
  <c r="F78" i="67"/>
  <c r="E79" i="15" s="1"/>
  <c r="G78" i="67"/>
  <c r="F79" i="15" s="1"/>
  <c r="H78" i="67"/>
  <c r="G79" i="15" s="1"/>
  <c r="I78" i="67"/>
  <c r="H79" i="15" s="1"/>
  <c r="J78" i="67"/>
  <c r="I79" i="15" s="1"/>
  <c r="K78" i="67"/>
  <c r="J79" i="15" s="1"/>
  <c r="L78" i="67"/>
  <c r="K79" i="15" s="1"/>
  <c r="M78" i="67"/>
  <c r="L79" i="15" s="1"/>
  <c r="N78" i="67"/>
  <c r="M79" i="15" s="1"/>
  <c r="O78" i="67"/>
  <c r="N79" i="15" s="1"/>
  <c r="P78" i="67"/>
  <c r="O79" i="15" s="1"/>
  <c r="Q78" i="67"/>
  <c r="P79" i="15" s="1"/>
  <c r="R78" i="67"/>
  <c r="Q79" i="15" s="1"/>
  <c r="S78" i="67"/>
  <c r="R79" i="15" s="1"/>
  <c r="T78" i="67"/>
  <c r="S79" i="15" s="1"/>
  <c r="U78" i="67"/>
  <c r="T79" i="15" s="1"/>
  <c r="V78" i="67"/>
  <c r="U79" i="15" s="1"/>
  <c r="W78" i="67"/>
  <c r="V79" i="15" s="1"/>
  <c r="X78" i="67"/>
  <c r="W79" i="15" s="1"/>
  <c r="Y78" i="67"/>
  <c r="X79" i="15" s="1"/>
  <c r="Z78" i="67"/>
  <c r="Y79" i="15" s="1"/>
  <c r="AA78" i="67"/>
  <c r="Z79" i="15" s="1"/>
  <c r="AB78" i="67"/>
  <c r="AA79" i="15" s="1"/>
  <c r="AC78" i="67"/>
  <c r="AB79" i="15" s="1"/>
  <c r="AD78" i="67"/>
  <c r="AC79" i="15" s="1"/>
  <c r="AE78" i="67"/>
  <c r="AD79" i="15" s="1"/>
  <c r="AF78" i="67"/>
  <c r="AE79" i="15" s="1"/>
  <c r="AG78" i="67"/>
  <c r="AF79" i="15" s="1"/>
  <c r="AH78" i="67"/>
  <c r="AG79" i="15" s="1"/>
  <c r="AI78" i="67"/>
  <c r="AH79" i="15" s="1"/>
  <c r="AJ78" i="67"/>
  <c r="AI79" i="15" s="1"/>
  <c r="AK78" i="67"/>
  <c r="AJ79" i="15" s="1"/>
  <c r="AL78" i="67"/>
  <c r="AK79" i="15" s="1"/>
  <c r="AM78" i="67"/>
  <c r="AL79" i="15" s="1"/>
  <c r="AN78" i="67"/>
  <c r="AM79" i="15" s="1"/>
  <c r="AO78" i="67"/>
  <c r="AN79" i="15" s="1"/>
  <c r="D79" i="67"/>
  <c r="C83" i="15" s="1"/>
  <c r="E79" i="67"/>
  <c r="D83" i="15" s="1"/>
  <c r="F79" i="67"/>
  <c r="E83" i="15" s="1"/>
  <c r="G79" i="67"/>
  <c r="F83" i="15" s="1"/>
  <c r="H79" i="67"/>
  <c r="G83" i="15" s="1"/>
  <c r="I79" i="67"/>
  <c r="H83" i="15" s="1"/>
  <c r="J79" i="67"/>
  <c r="I83" i="15" s="1"/>
  <c r="K79" i="67"/>
  <c r="J83" i="15" s="1"/>
  <c r="L79" i="67"/>
  <c r="K83" i="15" s="1"/>
  <c r="M79" i="67"/>
  <c r="L83" i="15" s="1"/>
  <c r="N79" i="67"/>
  <c r="M83" i="15" s="1"/>
  <c r="O79" i="67"/>
  <c r="N83" i="15" s="1"/>
  <c r="P79" i="67"/>
  <c r="O83" i="15" s="1"/>
  <c r="Q79" i="67"/>
  <c r="P83" i="15" s="1"/>
  <c r="R79" i="67"/>
  <c r="Q83" i="15" s="1"/>
  <c r="S79" i="67"/>
  <c r="R83" i="15" s="1"/>
  <c r="T79" i="67"/>
  <c r="S83" i="15" s="1"/>
  <c r="U79" i="67"/>
  <c r="T83" i="15" s="1"/>
  <c r="V79" i="67"/>
  <c r="U83" i="15" s="1"/>
  <c r="W79" i="67"/>
  <c r="V83" i="15" s="1"/>
  <c r="X79" i="67"/>
  <c r="W83" i="15" s="1"/>
  <c r="Y79" i="67"/>
  <c r="X83" i="15" s="1"/>
  <c r="Z79" i="67"/>
  <c r="Y83" i="15" s="1"/>
  <c r="AA79" i="67"/>
  <c r="Z83" i="15" s="1"/>
  <c r="AB79" i="67"/>
  <c r="AA83" i="15" s="1"/>
  <c r="AC79" i="67"/>
  <c r="AB83" i="15" s="1"/>
  <c r="AD79" i="67"/>
  <c r="AC83" i="15" s="1"/>
  <c r="AE79" i="67"/>
  <c r="AD83" i="15" s="1"/>
  <c r="AF79" i="67"/>
  <c r="AE83" i="15" s="1"/>
  <c r="AG79" i="67"/>
  <c r="AF83" i="15" s="1"/>
  <c r="AH79" i="67"/>
  <c r="AG83" i="15" s="1"/>
  <c r="AI79" i="67"/>
  <c r="AH83" i="15" s="1"/>
  <c r="AJ79" i="67"/>
  <c r="AI83" i="15" s="1"/>
  <c r="AK79" i="67"/>
  <c r="AJ83" i="15" s="1"/>
  <c r="AL79" i="67"/>
  <c r="AK83" i="15" s="1"/>
  <c r="AM79" i="67"/>
  <c r="AL83" i="15" s="1"/>
  <c r="AN79" i="67"/>
  <c r="AM83" i="15" s="1"/>
  <c r="AO79" i="67"/>
  <c r="AN83" i="15" s="1"/>
  <c r="D80" i="67"/>
  <c r="C88" i="15" s="1"/>
  <c r="E80" i="67"/>
  <c r="D88" i="15" s="1"/>
  <c r="F80" i="67"/>
  <c r="E88" i="15" s="1"/>
  <c r="G80" i="67"/>
  <c r="F88" i="15" s="1"/>
  <c r="H80" i="67"/>
  <c r="G88" i="15" s="1"/>
  <c r="I80" i="67"/>
  <c r="H88" i="15" s="1"/>
  <c r="J80" i="67"/>
  <c r="I88" i="15" s="1"/>
  <c r="K80" i="67"/>
  <c r="J88" i="15" s="1"/>
  <c r="L80" i="67"/>
  <c r="K88" i="15" s="1"/>
  <c r="M80" i="67"/>
  <c r="L88" i="15" s="1"/>
  <c r="N80" i="67"/>
  <c r="M88" i="15" s="1"/>
  <c r="O80" i="67"/>
  <c r="N88" i="15" s="1"/>
  <c r="P80" i="67"/>
  <c r="O88" i="15" s="1"/>
  <c r="Q80" i="67"/>
  <c r="P88" i="15" s="1"/>
  <c r="R80" i="67"/>
  <c r="Q88" i="15" s="1"/>
  <c r="S80" i="67"/>
  <c r="R88" i="15" s="1"/>
  <c r="T80" i="67"/>
  <c r="S88" i="15" s="1"/>
  <c r="U80" i="67"/>
  <c r="T88" i="15" s="1"/>
  <c r="V80" i="67"/>
  <c r="U88" i="15" s="1"/>
  <c r="W80" i="67"/>
  <c r="V88" i="15" s="1"/>
  <c r="X80" i="67"/>
  <c r="W88" i="15" s="1"/>
  <c r="Y80" i="67"/>
  <c r="X88" i="15" s="1"/>
  <c r="Z80" i="67"/>
  <c r="Y88" i="15" s="1"/>
  <c r="AA80" i="67"/>
  <c r="Z88" i="15" s="1"/>
  <c r="AB80" i="67"/>
  <c r="AA88" i="15" s="1"/>
  <c r="AC80" i="67"/>
  <c r="AB88" i="15" s="1"/>
  <c r="AD80" i="67"/>
  <c r="AC88" i="15" s="1"/>
  <c r="AE80" i="67"/>
  <c r="AD88" i="15" s="1"/>
  <c r="AF80" i="67"/>
  <c r="AE88" i="15" s="1"/>
  <c r="AG80" i="67"/>
  <c r="AF88" i="15" s="1"/>
  <c r="AH80" i="67"/>
  <c r="AG88" i="15" s="1"/>
  <c r="AI80" i="67"/>
  <c r="AH88" i="15" s="1"/>
  <c r="AJ80" i="67"/>
  <c r="AI88" i="15" s="1"/>
  <c r="AK80" i="67"/>
  <c r="AJ88" i="15" s="1"/>
  <c r="AL80" i="67"/>
  <c r="AK88" i="15" s="1"/>
  <c r="AM80" i="67"/>
  <c r="AL88" i="15" s="1"/>
  <c r="AN80" i="67"/>
  <c r="AM88" i="15" s="1"/>
  <c r="AO80" i="67"/>
  <c r="AN88" i="15" s="1"/>
  <c r="D81" i="67"/>
  <c r="C94" i="15" s="1"/>
  <c r="E81" i="67"/>
  <c r="D94" i="15" s="1"/>
  <c r="F81" i="67"/>
  <c r="E94" i="15" s="1"/>
  <c r="G81" i="67"/>
  <c r="F94" i="15" s="1"/>
  <c r="H81" i="67"/>
  <c r="G94" i="15" s="1"/>
  <c r="I81" i="67"/>
  <c r="H94" i="15" s="1"/>
  <c r="J81" i="67"/>
  <c r="I94" i="15" s="1"/>
  <c r="K81" i="67"/>
  <c r="J94" i="15" s="1"/>
  <c r="L81" i="67"/>
  <c r="K94" i="15" s="1"/>
  <c r="M81" i="67"/>
  <c r="L94" i="15" s="1"/>
  <c r="N81" i="67"/>
  <c r="M94" i="15" s="1"/>
  <c r="O81" i="67"/>
  <c r="N94" i="15" s="1"/>
  <c r="P81" i="67"/>
  <c r="O94" i="15" s="1"/>
  <c r="Q81" i="67"/>
  <c r="P94" i="15" s="1"/>
  <c r="R81" i="67"/>
  <c r="Q94" i="15" s="1"/>
  <c r="S81" i="67"/>
  <c r="R94" i="15" s="1"/>
  <c r="T81" i="67"/>
  <c r="S94" i="15" s="1"/>
  <c r="U81" i="67"/>
  <c r="T94" i="15" s="1"/>
  <c r="V81" i="67"/>
  <c r="U94" i="15" s="1"/>
  <c r="W81" i="67"/>
  <c r="V94" i="15" s="1"/>
  <c r="X81" i="67"/>
  <c r="W94" i="15" s="1"/>
  <c r="Y81" i="67"/>
  <c r="X94" i="15" s="1"/>
  <c r="Z81" i="67"/>
  <c r="Y94" i="15" s="1"/>
  <c r="AA81" i="67"/>
  <c r="Z94" i="15" s="1"/>
  <c r="AB81" i="67"/>
  <c r="AA94" i="15" s="1"/>
  <c r="AC81" i="67"/>
  <c r="AB94" i="15" s="1"/>
  <c r="AD81" i="67"/>
  <c r="AC94" i="15" s="1"/>
  <c r="AE81" i="67"/>
  <c r="AD94" i="15" s="1"/>
  <c r="AF81" i="67"/>
  <c r="AE94" i="15" s="1"/>
  <c r="AG81" i="67"/>
  <c r="AF94" i="15" s="1"/>
  <c r="AH81" i="67"/>
  <c r="AG94" i="15" s="1"/>
  <c r="AI81" i="67"/>
  <c r="AH94" i="15" s="1"/>
  <c r="AJ81" i="67"/>
  <c r="AI94" i="15" s="1"/>
  <c r="AK81" i="67"/>
  <c r="AJ94" i="15" s="1"/>
  <c r="AL81" i="67"/>
  <c r="AK94" i="15" s="1"/>
  <c r="AM81" i="67"/>
  <c r="AL94" i="15" s="1"/>
  <c r="AN81" i="67"/>
  <c r="AM94" i="15" s="1"/>
  <c r="AO81" i="67"/>
  <c r="AN94" i="15" s="1"/>
  <c r="D84" i="67"/>
  <c r="C12" i="16" s="1"/>
  <c r="E84" i="67"/>
  <c r="D12" i="16" s="1"/>
  <c r="F84" i="67"/>
  <c r="E12" i="16" s="1"/>
  <c r="G84" i="67"/>
  <c r="F12" i="16" s="1"/>
  <c r="H84" i="67"/>
  <c r="G12" i="16" s="1"/>
  <c r="I84" i="67"/>
  <c r="H12" i="16" s="1"/>
  <c r="J84" i="67"/>
  <c r="I12" i="16" s="1"/>
  <c r="K84" i="67"/>
  <c r="J12" i="16" s="1"/>
  <c r="L84" i="67"/>
  <c r="K12" i="16" s="1"/>
  <c r="M84" i="67"/>
  <c r="L12" i="16" s="1"/>
  <c r="N84" i="67"/>
  <c r="M12" i="16" s="1"/>
  <c r="O84" i="67"/>
  <c r="N12" i="16" s="1"/>
  <c r="P84" i="67"/>
  <c r="O12" i="16" s="1"/>
  <c r="Q84" i="67"/>
  <c r="P12" i="16" s="1"/>
  <c r="R84" i="67"/>
  <c r="Q12" i="16" s="1"/>
  <c r="S84" i="67"/>
  <c r="R12" i="16" s="1"/>
  <c r="T84" i="67"/>
  <c r="S12" i="16" s="1"/>
  <c r="U84" i="67"/>
  <c r="T12" i="16" s="1"/>
  <c r="V84" i="67"/>
  <c r="U12" i="16" s="1"/>
  <c r="W84" i="67"/>
  <c r="V12" i="16" s="1"/>
  <c r="X84" i="67"/>
  <c r="W12" i="16" s="1"/>
  <c r="Y84" i="67"/>
  <c r="X12" i="16" s="1"/>
  <c r="Z84" i="67"/>
  <c r="Y12" i="16" s="1"/>
  <c r="AA84" i="67"/>
  <c r="Z12" i="16" s="1"/>
  <c r="AB84" i="67"/>
  <c r="AA12" i="16" s="1"/>
  <c r="AC84" i="67"/>
  <c r="AB12" i="16" s="1"/>
  <c r="AD84" i="67"/>
  <c r="AC12" i="16" s="1"/>
  <c r="AE84" i="67"/>
  <c r="AD12" i="16" s="1"/>
  <c r="AF84" i="67"/>
  <c r="AE12" i="16" s="1"/>
  <c r="AG84" i="67"/>
  <c r="AF12" i="16" s="1"/>
  <c r="AH84" i="67"/>
  <c r="AG12" i="16" s="1"/>
  <c r="AI84" i="67"/>
  <c r="AJ84" i="67"/>
  <c r="AI12" i="16" s="1"/>
  <c r="AK84" i="67"/>
  <c r="AJ12" i="16" s="1"/>
  <c r="AL84" i="67"/>
  <c r="AK12" i="16" s="1"/>
  <c r="AM84" i="67"/>
  <c r="AL12" i="16" s="1"/>
  <c r="AN84" i="67"/>
  <c r="AM12" i="16" s="1"/>
  <c r="AO84" i="67"/>
  <c r="AN12" i="16" s="1"/>
  <c r="D85" i="67"/>
  <c r="C27" i="16" s="1"/>
  <c r="E85" i="67"/>
  <c r="D27" i="16" s="1"/>
  <c r="F85" i="67"/>
  <c r="E27" i="16" s="1"/>
  <c r="G85" i="67"/>
  <c r="F27" i="16" s="1"/>
  <c r="H85" i="67"/>
  <c r="G27" i="16" s="1"/>
  <c r="I85" i="67"/>
  <c r="H27" i="16" s="1"/>
  <c r="J85" i="67"/>
  <c r="I27" i="16" s="1"/>
  <c r="K85" i="67"/>
  <c r="J27" i="16" s="1"/>
  <c r="L85" i="67"/>
  <c r="K27" i="16" s="1"/>
  <c r="M85" i="67"/>
  <c r="L27" i="16" s="1"/>
  <c r="N85" i="67"/>
  <c r="M27" i="16" s="1"/>
  <c r="O85" i="67"/>
  <c r="N27" i="16" s="1"/>
  <c r="P85" i="67"/>
  <c r="O27" i="16" s="1"/>
  <c r="Q85" i="67"/>
  <c r="P27" i="16" s="1"/>
  <c r="R85" i="67"/>
  <c r="Q27" i="16" s="1"/>
  <c r="S85" i="67"/>
  <c r="R27" i="16" s="1"/>
  <c r="T85" i="67"/>
  <c r="S27" i="16" s="1"/>
  <c r="U85" i="67"/>
  <c r="T27" i="16" s="1"/>
  <c r="V85" i="67"/>
  <c r="U27" i="16" s="1"/>
  <c r="W85" i="67"/>
  <c r="V27" i="16" s="1"/>
  <c r="X85" i="67"/>
  <c r="W27" i="16" s="1"/>
  <c r="Y85" i="67"/>
  <c r="X27" i="16" s="1"/>
  <c r="Z85" i="67"/>
  <c r="Y27" i="16" s="1"/>
  <c r="AA85" i="67"/>
  <c r="Z27" i="16" s="1"/>
  <c r="AB85" i="67"/>
  <c r="AA27" i="16" s="1"/>
  <c r="AC85" i="67"/>
  <c r="AB27" i="16" s="1"/>
  <c r="AD85" i="67"/>
  <c r="AC27" i="16" s="1"/>
  <c r="AE85" i="67"/>
  <c r="AD27" i="16" s="1"/>
  <c r="AF85" i="67"/>
  <c r="AE27" i="16" s="1"/>
  <c r="AG85" i="67"/>
  <c r="AF27" i="16" s="1"/>
  <c r="AH85" i="67"/>
  <c r="AG27" i="16" s="1"/>
  <c r="AI85" i="67"/>
  <c r="AH27" i="16" s="1"/>
  <c r="AJ85" i="67"/>
  <c r="AI27" i="16" s="1"/>
  <c r="AK85" i="67"/>
  <c r="AJ27" i="16" s="1"/>
  <c r="AL85" i="67"/>
  <c r="AK27" i="16" s="1"/>
  <c r="AM85" i="67"/>
  <c r="AL27" i="16" s="1"/>
  <c r="AN85" i="67"/>
  <c r="AM27" i="16" s="1"/>
  <c r="AO85" i="67"/>
  <c r="AN27" i="16" s="1"/>
  <c r="D86" i="67"/>
  <c r="C34" i="16" s="1"/>
  <c r="E86" i="67"/>
  <c r="D34" i="16" s="1"/>
  <c r="F86" i="67"/>
  <c r="E34" i="16" s="1"/>
  <c r="G86" i="67"/>
  <c r="F34" i="16" s="1"/>
  <c r="H86" i="67"/>
  <c r="G34" i="16" s="1"/>
  <c r="I86" i="67"/>
  <c r="H34" i="16" s="1"/>
  <c r="J86" i="67"/>
  <c r="I34" i="16" s="1"/>
  <c r="K86" i="67"/>
  <c r="J34" i="16" s="1"/>
  <c r="L86" i="67"/>
  <c r="K34" i="16" s="1"/>
  <c r="M86" i="67"/>
  <c r="L34" i="16" s="1"/>
  <c r="N86" i="67"/>
  <c r="M34" i="16" s="1"/>
  <c r="O86" i="67"/>
  <c r="N34" i="16" s="1"/>
  <c r="P86" i="67"/>
  <c r="O34" i="16" s="1"/>
  <c r="Q86" i="67"/>
  <c r="P34" i="16" s="1"/>
  <c r="R86" i="67"/>
  <c r="Q34" i="16" s="1"/>
  <c r="S86" i="67"/>
  <c r="R34" i="16" s="1"/>
  <c r="T86" i="67"/>
  <c r="S34" i="16" s="1"/>
  <c r="U86" i="67"/>
  <c r="T34" i="16" s="1"/>
  <c r="V86" i="67"/>
  <c r="U34" i="16" s="1"/>
  <c r="W86" i="67"/>
  <c r="V34" i="16" s="1"/>
  <c r="X86" i="67"/>
  <c r="W34" i="16" s="1"/>
  <c r="Y86" i="67"/>
  <c r="X34" i="16" s="1"/>
  <c r="Z86" i="67"/>
  <c r="Y34" i="16" s="1"/>
  <c r="AA86" i="67"/>
  <c r="Z34" i="16" s="1"/>
  <c r="AB86" i="67"/>
  <c r="AA34" i="16" s="1"/>
  <c r="AC86" i="67"/>
  <c r="AB34" i="16" s="1"/>
  <c r="AD86" i="67"/>
  <c r="AC34" i="16" s="1"/>
  <c r="AE86" i="67"/>
  <c r="AD34" i="16" s="1"/>
  <c r="AF86" i="67"/>
  <c r="AE34" i="16" s="1"/>
  <c r="AG86" i="67"/>
  <c r="AF34" i="16" s="1"/>
  <c r="AH86" i="67"/>
  <c r="AG34" i="16" s="1"/>
  <c r="AI86" i="67"/>
  <c r="AH34" i="16" s="1"/>
  <c r="AJ86" i="67"/>
  <c r="AI34" i="16" s="1"/>
  <c r="AK86" i="67"/>
  <c r="AJ34" i="16" s="1"/>
  <c r="AL86" i="67"/>
  <c r="AK34" i="16" s="1"/>
  <c r="AM86" i="67"/>
  <c r="AL34" i="16" s="1"/>
  <c r="AN86" i="67"/>
  <c r="AM34" i="16" s="1"/>
  <c r="AO86" i="67"/>
  <c r="AN34" i="16" s="1"/>
  <c r="D87" i="67"/>
  <c r="C48" i="16" s="1"/>
  <c r="E87" i="67"/>
  <c r="D48" i="16" s="1"/>
  <c r="F87" i="67"/>
  <c r="E48" i="16" s="1"/>
  <c r="G87" i="67"/>
  <c r="F48" i="16" s="1"/>
  <c r="H87" i="67"/>
  <c r="G48" i="16" s="1"/>
  <c r="I87" i="67"/>
  <c r="H48" i="16" s="1"/>
  <c r="J87" i="67"/>
  <c r="I48" i="16" s="1"/>
  <c r="K87" i="67"/>
  <c r="J48" i="16" s="1"/>
  <c r="L87" i="67"/>
  <c r="K48" i="16" s="1"/>
  <c r="M87" i="67"/>
  <c r="L48" i="16" s="1"/>
  <c r="N87" i="67"/>
  <c r="M48" i="16" s="1"/>
  <c r="O87" i="67"/>
  <c r="N48" i="16" s="1"/>
  <c r="P87" i="67"/>
  <c r="O48" i="16" s="1"/>
  <c r="Q87" i="67"/>
  <c r="P48" i="16" s="1"/>
  <c r="R87" i="67"/>
  <c r="Q48" i="16" s="1"/>
  <c r="S87" i="67"/>
  <c r="R48" i="16" s="1"/>
  <c r="T87" i="67"/>
  <c r="S48" i="16" s="1"/>
  <c r="U87" i="67"/>
  <c r="T48" i="16" s="1"/>
  <c r="V87" i="67"/>
  <c r="U48" i="16" s="1"/>
  <c r="W87" i="67"/>
  <c r="V48" i="16" s="1"/>
  <c r="X87" i="67"/>
  <c r="W48" i="16" s="1"/>
  <c r="Y87" i="67"/>
  <c r="X48" i="16" s="1"/>
  <c r="Z87" i="67"/>
  <c r="Y48" i="16" s="1"/>
  <c r="AA87" i="67"/>
  <c r="Z48" i="16" s="1"/>
  <c r="AB87" i="67"/>
  <c r="AA48" i="16" s="1"/>
  <c r="AC87" i="67"/>
  <c r="AB48" i="16" s="1"/>
  <c r="AD87" i="67"/>
  <c r="AC48" i="16" s="1"/>
  <c r="AE87" i="67"/>
  <c r="AD48" i="16" s="1"/>
  <c r="AF87" i="67"/>
  <c r="AE48" i="16" s="1"/>
  <c r="AG87" i="67"/>
  <c r="AF48" i="16" s="1"/>
  <c r="AH87" i="67"/>
  <c r="AG48" i="16" s="1"/>
  <c r="AI87" i="67"/>
  <c r="AH48" i="16" s="1"/>
  <c r="AJ87" i="67"/>
  <c r="AI48" i="16" s="1"/>
  <c r="AK87" i="67"/>
  <c r="AJ48" i="16" s="1"/>
  <c r="AL87" i="67"/>
  <c r="AK48" i="16" s="1"/>
  <c r="AM87" i="67"/>
  <c r="AL48" i="16" s="1"/>
  <c r="AN87" i="67"/>
  <c r="AM48" i="16" s="1"/>
  <c r="AO87" i="67"/>
  <c r="AN48" i="16" s="1"/>
  <c r="D88" i="67"/>
  <c r="C69" i="16" s="1"/>
  <c r="E88" i="67"/>
  <c r="D69" i="16" s="1"/>
  <c r="F88" i="67"/>
  <c r="E69" i="16" s="1"/>
  <c r="G88" i="67"/>
  <c r="F69" i="16" s="1"/>
  <c r="H88" i="67"/>
  <c r="G69" i="16" s="1"/>
  <c r="I88" i="67"/>
  <c r="H69" i="16" s="1"/>
  <c r="J88" i="67"/>
  <c r="I69" i="16" s="1"/>
  <c r="K88" i="67"/>
  <c r="J69" i="16" s="1"/>
  <c r="L88" i="67"/>
  <c r="K69" i="16" s="1"/>
  <c r="M88" i="67"/>
  <c r="L69" i="16" s="1"/>
  <c r="N88" i="67"/>
  <c r="M69" i="16" s="1"/>
  <c r="O88" i="67"/>
  <c r="N69" i="16" s="1"/>
  <c r="P88" i="67"/>
  <c r="O69" i="16" s="1"/>
  <c r="Q88" i="67"/>
  <c r="P69" i="16" s="1"/>
  <c r="R88" i="67"/>
  <c r="Q69" i="16" s="1"/>
  <c r="S88" i="67"/>
  <c r="R69" i="16" s="1"/>
  <c r="T88" i="67"/>
  <c r="S69" i="16" s="1"/>
  <c r="U88" i="67"/>
  <c r="T69" i="16" s="1"/>
  <c r="V88" i="67"/>
  <c r="U69" i="16" s="1"/>
  <c r="W88" i="67"/>
  <c r="V69" i="16" s="1"/>
  <c r="X88" i="67"/>
  <c r="W69" i="16" s="1"/>
  <c r="Y88" i="67"/>
  <c r="X69" i="16" s="1"/>
  <c r="Z88" i="67"/>
  <c r="Y69" i="16" s="1"/>
  <c r="AA88" i="67"/>
  <c r="Z69" i="16" s="1"/>
  <c r="AB88" i="67"/>
  <c r="AA69" i="16" s="1"/>
  <c r="AC88" i="67"/>
  <c r="AB69" i="16" s="1"/>
  <c r="AD88" i="67"/>
  <c r="AC69" i="16" s="1"/>
  <c r="AE88" i="67"/>
  <c r="AD69" i="16" s="1"/>
  <c r="AF88" i="67"/>
  <c r="AE69" i="16" s="1"/>
  <c r="AG88" i="67"/>
  <c r="AF69" i="16" s="1"/>
  <c r="AH88" i="67"/>
  <c r="AG69" i="16" s="1"/>
  <c r="AI88" i="67"/>
  <c r="AH69" i="16" s="1"/>
  <c r="AJ88" i="67"/>
  <c r="AI69" i="16" s="1"/>
  <c r="AK88" i="67"/>
  <c r="AJ69" i="16" s="1"/>
  <c r="AL88" i="67"/>
  <c r="AK69" i="16" s="1"/>
  <c r="AM88" i="67"/>
  <c r="AL69" i="16" s="1"/>
  <c r="AN88" i="67"/>
  <c r="AM69" i="16" s="1"/>
  <c r="AO88" i="67"/>
  <c r="AN69" i="16" s="1"/>
  <c r="D89" i="67"/>
  <c r="C79" i="16" s="1"/>
  <c r="E89" i="67"/>
  <c r="D79" i="16" s="1"/>
  <c r="F89" i="67"/>
  <c r="E79" i="16" s="1"/>
  <c r="G89" i="67"/>
  <c r="F79" i="16" s="1"/>
  <c r="H89" i="67"/>
  <c r="G79" i="16" s="1"/>
  <c r="I89" i="67"/>
  <c r="H79" i="16" s="1"/>
  <c r="J89" i="67"/>
  <c r="I79" i="16" s="1"/>
  <c r="K89" i="67"/>
  <c r="J79" i="16" s="1"/>
  <c r="L89" i="67"/>
  <c r="K79" i="16" s="1"/>
  <c r="M89" i="67"/>
  <c r="L79" i="16" s="1"/>
  <c r="N89" i="67"/>
  <c r="M79" i="16" s="1"/>
  <c r="O89" i="67"/>
  <c r="N79" i="16" s="1"/>
  <c r="P89" i="67"/>
  <c r="O79" i="16" s="1"/>
  <c r="Q89" i="67"/>
  <c r="P79" i="16" s="1"/>
  <c r="R89" i="67"/>
  <c r="Q79" i="16" s="1"/>
  <c r="S89" i="67"/>
  <c r="R79" i="16" s="1"/>
  <c r="T89" i="67"/>
  <c r="S79" i="16" s="1"/>
  <c r="U89" i="67"/>
  <c r="T79" i="16" s="1"/>
  <c r="V89" i="67"/>
  <c r="U79" i="16" s="1"/>
  <c r="W89" i="67"/>
  <c r="V79" i="16" s="1"/>
  <c r="X89" i="67"/>
  <c r="W79" i="16" s="1"/>
  <c r="Y89" i="67"/>
  <c r="X79" i="16" s="1"/>
  <c r="Z89" i="67"/>
  <c r="Y79" i="16" s="1"/>
  <c r="AA89" i="67"/>
  <c r="Z79" i="16" s="1"/>
  <c r="AB89" i="67"/>
  <c r="AA79" i="16" s="1"/>
  <c r="AC89" i="67"/>
  <c r="AB79" i="16" s="1"/>
  <c r="AD89" i="67"/>
  <c r="AC79" i="16" s="1"/>
  <c r="AE89" i="67"/>
  <c r="AD79" i="16" s="1"/>
  <c r="AF89" i="67"/>
  <c r="AE79" i="16" s="1"/>
  <c r="AG89" i="67"/>
  <c r="AF79" i="16" s="1"/>
  <c r="AH89" i="67"/>
  <c r="AG79" i="16" s="1"/>
  <c r="AI89" i="67"/>
  <c r="AH79" i="16" s="1"/>
  <c r="AJ89" i="67"/>
  <c r="AI79" i="16" s="1"/>
  <c r="AK89" i="67"/>
  <c r="AJ79" i="16" s="1"/>
  <c r="AL89" i="67"/>
  <c r="AK79" i="16" s="1"/>
  <c r="AM89" i="67"/>
  <c r="AL79" i="16" s="1"/>
  <c r="AN89" i="67"/>
  <c r="AM79" i="16" s="1"/>
  <c r="AO89" i="67"/>
  <c r="AN79" i="16" s="1"/>
  <c r="D90" i="67"/>
  <c r="C83" i="16" s="1"/>
  <c r="E90" i="67"/>
  <c r="D83" i="16" s="1"/>
  <c r="F90" i="67"/>
  <c r="E83" i="16" s="1"/>
  <c r="G90" i="67"/>
  <c r="F83" i="16" s="1"/>
  <c r="H90" i="67"/>
  <c r="G83" i="16" s="1"/>
  <c r="I90" i="67"/>
  <c r="H83" i="16" s="1"/>
  <c r="J90" i="67"/>
  <c r="I83" i="16" s="1"/>
  <c r="K90" i="67"/>
  <c r="J83" i="16" s="1"/>
  <c r="L90" i="67"/>
  <c r="K83" i="16" s="1"/>
  <c r="M90" i="67"/>
  <c r="L83" i="16" s="1"/>
  <c r="N90" i="67"/>
  <c r="M83" i="16" s="1"/>
  <c r="O90" i="67"/>
  <c r="N83" i="16" s="1"/>
  <c r="P90" i="67"/>
  <c r="O83" i="16" s="1"/>
  <c r="Q90" i="67"/>
  <c r="P83" i="16" s="1"/>
  <c r="R90" i="67"/>
  <c r="Q83" i="16" s="1"/>
  <c r="S90" i="67"/>
  <c r="R83" i="16" s="1"/>
  <c r="T90" i="67"/>
  <c r="S83" i="16" s="1"/>
  <c r="U90" i="67"/>
  <c r="T83" i="16" s="1"/>
  <c r="V90" i="67"/>
  <c r="U83" i="16" s="1"/>
  <c r="W90" i="67"/>
  <c r="V83" i="16" s="1"/>
  <c r="X90" i="67"/>
  <c r="W83" i="16" s="1"/>
  <c r="Y90" i="67"/>
  <c r="X83" i="16" s="1"/>
  <c r="Z90" i="67"/>
  <c r="Y83" i="16" s="1"/>
  <c r="AA90" i="67"/>
  <c r="Z83" i="16" s="1"/>
  <c r="AB90" i="67"/>
  <c r="AA83" i="16" s="1"/>
  <c r="AC90" i="67"/>
  <c r="AB83" i="16" s="1"/>
  <c r="AD90" i="67"/>
  <c r="AC83" i="16" s="1"/>
  <c r="AE90" i="67"/>
  <c r="AD83" i="16" s="1"/>
  <c r="AF90" i="67"/>
  <c r="AE83" i="16" s="1"/>
  <c r="AG90" i="67"/>
  <c r="AF83" i="16" s="1"/>
  <c r="AH90" i="67"/>
  <c r="AG83" i="16" s="1"/>
  <c r="AI90" i="67"/>
  <c r="AH83" i="16" s="1"/>
  <c r="AJ90" i="67"/>
  <c r="AI83" i="16" s="1"/>
  <c r="AK90" i="67"/>
  <c r="AJ83" i="16" s="1"/>
  <c r="AL90" i="67"/>
  <c r="AK83" i="16" s="1"/>
  <c r="AM90" i="67"/>
  <c r="AL83" i="16" s="1"/>
  <c r="AN90" i="67"/>
  <c r="AM83" i="16" s="1"/>
  <c r="AO90" i="67"/>
  <c r="AN83" i="16" s="1"/>
  <c r="D91" i="67"/>
  <c r="C88" i="16" s="1"/>
  <c r="E91" i="67"/>
  <c r="D88" i="16" s="1"/>
  <c r="F91" i="67"/>
  <c r="E88" i="16" s="1"/>
  <c r="G91" i="67"/>
  <c r="F88" i="16" s="1"/>
  <c r="H91" i="67"/>
  <c r="G88" i="16" s="1"/>
  <c r="I91" i="67"/>
  <c r="H88" i="16" s="1"/>
  <c r="J91" i="67"/>
  <c r="I88" i="16" s="1"/>
  <c r="K91" i="67"/>
  <c r="J88" i="16" s="1"/>
  <c r="L91" i="67"/>
  <c r="K88" i="16" s="1"/>
  <c r="M91" i="67"/>
  <c r="L88" i="16" s="1"/>
  <c r="N91" i="67"/>
  <c r="M88" i="16" s="1"/>
  <c r="O91" i="67"/>
  <c r="N88" i="16" s="1"/>
  <c r="P91" i="67"/>
  <c r="O88" i="16" s="1"/>
  <c r="Q91" i="67"/>
  <c r="P88" i="16" s="1"/>
  <c r="R91" i="67"/>
  <c r="Q88" i="16" s="1"/>
  <c r="S91" i="67"/>
  <c r="R88" i="16" s="1"/>
  <c r="T91" i="67"/>
  <c r="S88" i="16" s="1"/>
  <c r="U91" i="67"/>
  <c r="T88" i="16" s="1"/>
  <c r="V91" i="67"/>
  <c r="U88" i="16" s="1"/>
  <c r="W91" i="67"/>
  <c r="V88" i="16" s="1"/>
  <c r="X91" i="67"/>
  <c r="W88" i="16" s="1"/>
  <c r="Y91" i="67"/>
  <c r="X88" i="16" s="1"/>
  <c r="Z91" i="67"/>
  <c r="Y88" i="16" s="1"/>
  <c r="AA91" i="67"/>
  <c r="Z88" i="16" s="1"/>
  <c r="AB91" i="67"/>
  <c r="AA88" i="16" s="1"/>
  <c r="AC91" i="67"/>
  <c r="AB88" i="16" s="1"/>
  <c r="AD91" i="67"/>
  <c r="AC88" i="16" s="1"/>
  <c r="AE91" i="67"/>
  <c r="AD88" i="16" s="1"/>
  <c r="AF91" i="67"/>
  <c r="AE88" i="16" s="1"/>
  <c r="AG91" i="67"/>
  <c r="AF88" i="16" s="1"/>
  <c r="AH91" i="67"/>
  <c r="AG88" i="16" s="1"/>
  <c r="AI91" i="67"/>
  <c r="AH88" i="16" s="1"/>
  <c r="AJ91" i="67"/>
  <c r="AI88" i="16" s="1"/>
  <c r="AK91" i="67"/>
  <c r="AJ88" i="16" s="1"/>
  <c r="AL91" i="67"/>
  <c r="AK88" i="16" s="1"/>
  <c r="AM91" i="67"/>
  <c r="AL88" i="16" s="1"/>
  <c r="AN91" i="67"/>
  <c r="AM88" i="16" s="1"/>
  <c r="AO91" i="67"/>
  <c r="AN88" i="16" s="1"/>
  <c r="D92" i="67"/>
  <c r="C94" i="16" s="1"/>
  <c r="E92" i="67"/>
  <c r="D94" i="16" s="1"/>
  <c r="F92" i="67"/>
  <c r="E94" i="16" s="1"/>
  <c r="G92" i="67"/>
  <c r="F94" i="16" s="1"/>
  <c r="H92" i="67"/>
  <c r="G94" i="16" s="1"/>
  <c r="I92" i="67"/>
  <c r="H94" i="16" s="1"/>
  <c r="J92" i="67"/>
  <c r="I94" i="16" s="1"/>
  <c r="K92" i="67"/>
  <c r="J94" i="16" s="1"/>
  <c r="L92" i="67"/>
  <c r="K94" i="16" s="1"/>
  <c r="M92" i="67"/>
  <c r="L94" i="16" s="1"/>
  <c r="N92" i="67"/>
  <c r="M94" i="16" s="1"/>
  <c r="O92" i="67"/>
  <c r="N94" i="16" s="1"/>
  <c r="P92" i="67"/>
  <c r="O94" i="16" s="1"/>
  <c r="Q92" i="67"/>
  <c r="P94" i="16" s="1"/>
  <c r="R92" i="67"/>
  <c r="Q94" i="16" s="1"/>
  <c r="S92" i="67"/>
  <c r="R94" i="16" s="1"/>
  <c r="T92" i="67"/>
  <c r="S94" i="16" s="1"/>
  <c r="U92" i="67"/>
  <c r="T94" i="16" s="1"/>
  <c r="V92" i="67"/>
  <c r="U94" i="16" s="1"/>
  <c r="W92" i="67"/>
  <c r="V94" i="16" s="1"/>
  <c r="X92" i="67"/>
  <c r="W94" i="16" s="1"/>
  <c r="Y92" i="67"/>
  <c r="X94" i="16" s="1"/>
  <c r="Z92" i="67"/>
  <c r="Y94" i="16" s="1"/>
  <c r="AA92" i="67"/>
  <c r="Z94" i="16" s="1"/>
  <c r="AB92" i="67"/>
  <c r="AA94" i="16" s="1"/>
  <c r="AC92" i="67"/>
  <c r="AB94" i="16" s="1"/>
  <c r="AD92" i="67"/>
  <c r="AC94" i="16" s="1"/>
  <c r="AE92" i="67"/>
  <c r="AD94" i="16" s="1"/>
  <c r="AF92" i="67"/>
  <c r="AE94" i="16" s="1"/>
  <c r="AG92" i="67"/>
  <c r="AF94" i="16" s="1"/>
  <c r="AH92" i="67"/>
  <c r="AG94" i="16" s="1"/>
  <c r="AI92" i="67"/>
  <c r="AH94" i="16" s="1"/>
  <c r="AJ92" i="67"/>
  <c r="AI94" i="16" s="1"/>
  <c r="AK92" i="67"/>
  <c r="AJ94" i="16" s="1"/>
  <c r="AL92" i="67"/>
  <c r="AK94" i="16" s="1"/>
  <c r="AM92" i="67"/>
  <c r="AL94" i="16" s="1"/>
  <c r="AN92" i="67"/>
  <c r="AM94" i="16" s="1"/>
  <c r="AO92" i="67"/>
  <c r="AN94" i="16" s="1"/>
  <c r="D95" i="67"/>
  <c r="C12" i="17" s="1"/>
  <c r="E95" i="67"/>
  <c r="D12" i="17" s="1"/>
  <c r="F95" i="67"/>
  <c r="E12" i="17" s="1"/>
  <c r="G95" i="67"/>
  <c r="F12" i="17" s="1"/>
  <c r="H95" i="67"/>
  <c r="G12" i="17" s="1"/>
  <c r="I95" i="67"/>
  <c r="H12" i="17" s="1"/>
  <c r="J95" i="67"/>
  <c r="I12" i="17" s="1"/>
  <c r="K95" i="67"/>
  <c r="J12" i="17" s="1"/>
  <c r="L95" i="67"/>
  <c r="K12" i="17" s="1"/>
  <c r="M95" i="67"/>
  <c r="L12" i="17" s="1"/>
  <c r="N95" i="67"/>
  <c r="M12" i="17" s="1"/>
  <c r="O95" i="67"/>
  <c r="N12" i="17" s="1"/>
  <c r="P95" i="67"/>
  <c r="O12" i="17" s="1"/>
  <c r="Q95" i="67"/>
  <c r="P12" i="17" s="1"/>
  <c r="R95" i="67"/>
  <c r="Q12" i="17" s="1"/>
  <c r="S95" i="67"/>
  <c r="R12" i="17" s="1"/>
  <c r="T95" i="67"/>
  <c r="S12" i="17" s="1"/>
  <c r="U95" i="67"/>
  <c r="T12" i="17" s="1"/>
  <c r="V95" i="67"/>
  <c r="U12" i="17" s="1"/>
  <c r="W95" i="67"/>
  <c r="V12" i="17" s="1"/>
  <c r="X95" i="67"/>
  <c r="W12" i="17" s="1"/>
  <c r="Y95" i="67"/>
  <c r="X12" i="17" s="1"/>
  <c r="Z95" i="67"/>
  <c r="Y12" i="17" s="1"/>
  <c r="AA95" i="67"/>
  <c r="Z12" i="17" s="1"/>
  <c r="AB95" i="67"/>
  <c r="AA12" i="17" s="1"/>
  <c r="AC95" i="67"/>
  <c r="AB12" i="17" s="1"/>
  <c r="AD95" i="67"/>
  <c r="AC12" i="17" s="1"/>
  <c r="AE95" i="67"/>
  <c r="AD12" i="17" s="1"/>
  <c r="AF95" i="67"/>
  <c r="AE12" i="17" s="1"/>
  <c r="AG95" i="67"/>
  <c r="AF12" i="17" s="1"/>
  <c r="AH95" i="67"/>
  <c r="AG12" i="17" s="1"/>
  <c r="AI95" i="67"/>
  <c r="AJ95" i="67"/>
  <c r="AI12" i="17" s="1"/>
  <c r="AK95" i="67"/>
  <c r="AJ12" i="17" s="1"/>
  <c r="AL95" i="67"/>
  <c r="AK12" i="17" s="1"/>
  <c r="AM95" i="67"/>
  <c r="AL12" i="17" s="1"/>
  <c r="AN95" i="67"/>
  <c r="AM12" i="17" s="1"/>
  <c r="AO95" i="67"/>
  <c r="AN12" i="17" s="1"/>
  <c r="D96" i="67"/>
  <c r="C27" i="17" s="1"/>
  <c r="E96" i="67"/>
  <c r="D27" i="17" s="1"/>
  <c r="F96" i="67"/>
  <c r="E27" i="17" s="1"/>
  <c r="G96" i="67"/>
  <c r="F27" i="17" s="1"/>
  <c r="H96" i="67"/>
  <c r="G27" i="17" s="1"/>
  <c r="I96" i="67"/>
  <c r="H27" i="17" s="1"/>
  <c r="J96" i="67"/>
  <c r="I27" i="17" s="1"/>
  <c r="K96" i="67"/>
  <c r="J27" i="17" s="1"/>
  <c r="L96" i="67"/>
  <c r="K27" i="17" s="1"/>
  <c r="M96" i="67"/>
  <c r="L27" i="17" s="1"/>
  <c r="N96" i="67"/>
  <c r="M27" i="17" s="1"/>
  <c r="O96" i="67"/>
  <c r="N27" i="17" s="1"/>
  <c r="P96" i="67"/>
  <c r="O27" i="17" s="1"/>
  <c r="Q96" i="67"/>
  <c r="P27" i="17" s="1"/>
  <c r="R96" i="67"/>
  <c r="Q27" i="17" s="1"/>
  <c r="S96" i="67"/>
  <c r="R27" i="17" s="1"/>
  <c r="T96" i="67"/>
  <c r="S27" i="17" s="1"/>
  <c r="U96" i="67"/>
  <c r="T27" i="17" s="1"/>
  <c r="V96" i="67"/>
  <c r="U27" i="17" s="1"/>
  <c r="W96" i="67"/>
  <c r="V27" i="17" s="1"/>
  <c r="X96" i="67"/>
  <c r="W27" i="17" s="1"/>
  <c r="Y96" i="67"/>
  <c r="X27" i="17" s="1"/>
  <c r="Z96" i="67"/>
  <c r="Y27" i="17" s="1"/>
  <c r="AA96" i="67"/>
  <c r="Z27" i="17" s="1"/>
  <c r="AB96" i="67"/>
  <c r="AA27" i="17" s="1"/>
  <c r="AC96" i="67"/>
  <c r="AB27" i="17" s="1"/>
  <c r="AD96" i="67"/>
  <c r="AC27" i="17" s="1"/>
  <c r="AE96" i="67"/>
  <c r="AD27" i="17" s="1"/>
  <c r="AF96" i="67"/>
  <c r="AE27" i="17" s="1"/>
  <c r="AG96" i="67"/>
  <c r="AF27" i="17" s="1"/>
  <c r="AH96" i="67"/>
  <c r="AG27" i="17" s="1"/>
  <c r="AI96" i="67"/>
  <c r="AH27" i="17" s="1"/>
  <c r="AJ96" i="67"/>
  <c r="AI27" i="17" s="1"/>
  <c r="AK96" i="67"/>
  <c r="AJ27" i="17" s="1"/>
  <c r="AL96" i="67"/>
  <c r="AK27" i="17" s="1"/>
  <c r="AM96" i="67"/>
  <c r="AL27" i="17" s="1"/>
  <c r="AN96" i="67"/>
  <c r="AM27" i="17" s="1"/>
  <c r="AO96" i="67"/>
  <c r="AN27" i="17" s="1"/>
  <c r="D97" i="67"/>
  <c r="C34" i="17" s="1"/>
  <c r="E97" i="67"/>
  <c r="D34" i="17" s="1"/>
  <c r="F97" i="67"/>
  <c r="E34" i="17" s="1"/>
  <c r="G97" i="67"/>
  <c r="F34" i="17" s="1"/>
  <c r="H97" i="67"/>
  <c r="G34" i="17" s="1"/>
  <c r="I97" i="67"/>
  <c r="H34" i="17" s="1"/>
  <c r="J97" i="67"/>
  <c r="I34" i="17" s="1"/>
  <c r="K97" i="67"/>
  <c r="J34" i="17" s="1"/>
  <c r="L97" i="67"/>
  <c r="K34" i="17" s="1"/>
  <c r="M97" i="67"/>
  <c r="L34" i="17" s="1"/>
  <c r="N97" i="67"/>
  <c r="M34" i="17" s="1"/>
  <c r="O97" i="67"/>
  <c r="N34" i="17" s="1"/>
  <c r="P97" i="67"/>
  <c r="O34" i="17" s="1"/>
  <c r="Q97" i="67"/>
  <c r="P34" i="17" s="1"/>
  <c r="R97" i="67"/>
  <c r="Q34" i="17" s="1"/>
  <c r="S97" i="67"/>
  <c r="R34" i="17" s="1"/>
  <c r="T97" i="67"/>
  <c r="S34" i="17" s="1"/>
  <c r="U97" i="67"/>
  <c r="T34" i="17" s="1"/>
  <c r="V97" i="67"/>
  <c r="U34" i="17" s="1"/>
  <c r="W97" i="67"/>
  <c r="V34" i="17" s="1"/>
  <c r="X97" i="67"/>
  <c r="W34" i="17" s="1"/>
  <c r="Y97" i="67"/>
  <c r="X34" i="17" s="1"/>
  <c r="Z97" i="67"/>
  <c r="Y34" i="17" s="1"/>
  <c r="AA97" i="67"/>
  <c r="Z34" i="17" s="1"/>
  <c r="AB97" i="67"/>
  <c r="AA34" i="17" s="1"/>
  <c r="AC97" i="67"/>
  <c r="AB34" i="17" s="1"/>
  <c r="AD97" i="67"/>
  <c r="AC34" i="17" s="1"/>
  <c r="AE97" i="67"/>
  <c r="AD34" i="17" s="1"/>
  <c r="AF97" i="67"/>
  <c r="AE34" i="17" s="1"/>
  <c r="AG97" i="67"/>
  <c r="AF34" i="17" s="1"/>
  <c r="AH97" i="67"/>
  <c r="AG34" i="17" s="1"/>
  <c r="AI97" i="67"/>
  <c r="AH34" i="17" s="1"/>
  <c r="AJ97" i="67"/>
  <c r="AI34" i="17" s="1"/>
  <c r="AK97" i="67"/>
  <c r="AJ34" i="17" s="1"/>
  <c r="AL97" i="67"/>
  <c r="AK34" i="17" s="1"/>
  <c r="AM97" i="67"/>
  <c r="AL34" i="17" s="1"/>
  <c r="AN97" i="67"/>
  <c r="AM34" i="17" s="1"/>
  <c r="AO97" i="67"/>
  <c r="AN34" i="17" s="1"/>
  <c r="D98" i="67"/>
  <c r="C48" i="17" s="1"/>
  <c r="E98" i="67"/>
  <c r="D48" i="17" s="1"/>
  <c r="F98" i="67"/>
  <c r="E48" i="17" s="1"/>
  <c r="G98" i="67"/>
  <c r="F48" i="17" s="1"/>
  <c r="H98" i="67"/>
  <c r="G48" i="17" s="1"/>
  <c r="I98" i="67"/>
  <c r="H48" i="17" s="1"/>
  <c r="J98" i="67"/>
  <c r="I48" i="17" s="1"/>
  <c r="K98" i="67"/>
  <c r="J48" i="17" s="1"/>
  <c r="L98" i="67"/>
  <c r="K48" i="17" s="1"/>
  <c r="M98" i="67"/>
  <c r="L48" i="17" s="1"/>
  <c r="N98" i="67"/>
  <c r="M48" i="17" s="1"/>
  <c r="O98" i="67"/>
  <c r="N48" i="17" s="1"/>
  <c r="P98" i="67"/>
  <c r="O48" i="17" s="1"/>
  <c r="Q98" i="67"/>
  <c r="P48" i="17" s="1"/>
  <c r="R98" i="67"/>
  <c r="Q48" i="17" s="1"/>
  <c r="S98" i="67"/>
  <c r="R48" i="17" s="1"/>
  <c r="T98" i="67"/>
  <c r="S48" i="17" s="1"/>
  <c r="U98" i="67"/>
  <c r="T48" i="17" s="1"/>
  <c r="V98" i="67"/>
  <c r="U48" i="17" s="1"/>
  <c r="W98" i="67"/>
  <c r="V48" i="17" s="1"/>
  <c r="X98" i="67"/>
  <c r="W48" i="17" s="1"/>
  <c r="Y98" i="67"/>
  <c r="X48" i="17" s="1"/>
  <c r="Z98" i="67"/>
  <c r="Y48" i="17" s="1"/>
  <c r="AA98" i="67"/>
  <c r="Z48" i="17" s="1"/>
  <c r="AB98" i="67"/>
  <c r="AA48" i="17" s="1"/>
  <c r="AC98" i="67"/>
  <c r="AB48" i="17" s="1"/>
  <c r="AD98" i="67"/>
  <c r="AC48" i="17" s="1"/>
  <c r="AE98" i="67"/>
  <c r="AD48" i="17" s="1"/>
  <c r="AF98" i="67"/>
  <c r="AE48" i="17" s="1"/>
  <c r="AG98" i="67"/>
  <c r="AF48" i="17" s="1"/>
  <c r="AH98" i="67"/>
  <c r="AG48" i="17" s="1"/>
  <c r="AI98" i="67"/>
  <c r="AH48" i="17" s="1"/>
  <c r="AJ98" i="67"/>
  <c r="AI48" i="17" s="1"/>
  <c r="AK98" i="67"/>
  <c r="AJ48" i="17" s="1"/>
  <c r="AL98" i="67"/>
  <c r="AK48" i="17" s="1"/>
  <c r="AM98" i="67"/>
  <c r="AL48" i="17" s="1"/>
  <c r="AN98" i="67"/>
  <c r="AM48" i="17" s="1"/>
  <c r="AO98" i="67"/>
  <c r="AN48" i="17" s="1"/>
  <c r="D99" i="67"/>
  <c r="C69" i="17" s="1"/>
  <c r="E99" i="67"/>
  <c r="D69" i="17" s="1"/>
  <c r="F99" i="67"/>
  <c r="E69" i="17" s="1"/>
  <c r="G99" i="67"/>
  <c r="F69" i="17" s="1"/>
  <c r="H99" i="67"/>
  <c r="G69" i="17" s="1"/>
  <c r="I99" i="67"/>
  <c r="H69" i="17" s="1"/>
  <c r="J99" i="67"/>
  <c r="I69" i="17" s="1"/>
  <c r="K99" i="67"/>
  <c r="J69" i="17" s="1"/>
  <c r="L99" i="67"/>
  <c r="K69" i="17" s="1"/>
  <c r="M99" i="67"/>
  <c r="L69" i="17" s="1"/>
  <c r="N99" i="67"/>
  <c r="M69" i="17" s="1"/>
  <c r="O99" i="67"/>
  <c r="N69" i="17" s="1"/>
  <c r="P99" i="67"/>
  <c r="O69" i="17" s="1"/>
  <c r="Q99" i="67"/>
  <c r="P69" i="17" s="1"/>
  <c r="R99" i="67"/>
  <c r="Q69" i="17" s="1"/>
  <c r="S99" i="67"/>
  <c r="R69" i="17" s="1"/>
  <c r="T99" i="67"/>
  <c r="S69" i="17" s="1"/>
  <c r="U99" i="67"/>
  <c r="T69" i="17" s="1"/>
  <c r="V99" i="67"/>
  <c r="U69" i="17" s="1"/>
  <c r="W99" i="67"/>
  <c r="V69" i="17" s="1"/>
  <c r="X99" i="67"/>
  <c r="W69" i="17" s="1"/>
  <c r="Y99" i="67"/>
  <c r="X69" i="17" s="1"/>
  <c r="Z99" i="67"/>
  <c r="Y69" i="17" s="1"/>
  <c r="AA99" i="67"/>
  <c r="Z69" i="17" s="1"/>
  <c r="AB99" i="67"/>
  <c r="AA69" i="17" s="1"/>
  <c r="AC99" i="67"/>
  <c r="AB69" i="17" s="1"/>
  <c r="AD99" i="67"/>
  <c r="AC69" i="17" s="1"/>
  <c r="AE99" i="67"/>
  <c r="AD69" i="17" s="1"/>
  <c r="AF99" i="67"/>
  <c r="AE69" i="17" s="1"/>
  <c r="AG99" i="67"/>
  <c r="AF69" i="17" s="1"/>
  <c r="AH99" i="67"/>
  <c r="AG69" i="17" s="1"/>
  <c r="AI99" i="67"/>
  <c r="AH69" i="17" s="1"/>
  <c r="AJ99" i="67"/>
  <c r="AI69" i="17" s="1"/>
  <c r="AK99" i="67"/>
  <c r="AJ69" i="17" s="1"/>
  <c r="AL99" i="67"/>
  <c r="AK69" i="17" s="1"/>
  <c r="AM99" i="67"/>
  <c r="AL69" i="17" s="1"/>
  <c r="AN99" i="67"/>
  <c r="AM69" i="17" s="1"/>
  <c r="AO99" i="67"/>
  <c r="AN69" i="17" s="1"/>
  <c r="D100" i="67"/>
  <c r="C79" i="17" s="1"/>
  <c r="E100" i="67"/>
  <c r="D79" i="17" s="1"/>
  <c r="F100" i="67"/>
  <c r="E79" i="17" s="1"/>
  <c r="G100" i="67"/>
  <c r="F79" i="17" s="1"/>
  <c r="H100" i="67"/>
  <c r="G79" i="17" s="1"/>
  <c r="I100" i="67"/>
  <c r="H79" i="17" s="1"/>
  <c r="J100" i="67"/>
  <c r="I79" i="17" s="1"/>
  <c r="K100" i="67"/>
  <c r="J79" i="17" s="1"/>
  <c r="L100" i="67"/>
  <c r="K79" i="17" s="1"/>
  <c r="M100" i="67"/>
  <c r="L79" i="17" s="1"/>
  <c r="N100" i="67"/>
  <c r="M79" i="17" s="1"/>
  <c r="O100" i="67"/>
  <c r="N79" i="17" s="1"/>
  <c r="P100" i="67"/>
  <c r="O79" i="17" s="1"/>
  <c r="Q100" i="67"/>
  <c r="P79" i="17" s="1"/>
  <c r="R100" i="67"/>
  <c r="Q79" i="17" s="1"/>
  <c r="S100" i="67"/>
  <c r="R79" i="17" s="1"/>
  <c r="T100" i="67"/>
  <c r="S79" i="17" s="1"/>
  <c r="U100" i="67"/>
  <c r="T79" i="17" s="1"/>
  <c r="V100" i="67"/>
  <c r="U79" i="17" s="1"/>
  <c r="W100" i="67"/>
  <c r="V79" i="17" s="1"/>
  <c r="X100" i="67"/>
  <c r="W79" i="17" s="1"/>
  <c r="Y100" i="67"/>
  <c r="X79" i="17" s="1"/>
  <c r="Z100" i="67"/>
  <c r="Y79" i="17" s="1"/>
  <c r="AA100" i="67"/>
  <c r="Z79" i="17" s="1"/>
  <c r="AB100" i="67"/>
  <c r="AA79" i="17" s="1"/>
  <c r="AC100" i="67"/>
  <c r="AB79" i="17" s="1"/>
  <c r="AD100" i="67"/>
  <c r="AC79" i="17" s="1"/>
  <c r="AE100" i="67"/>
  <c r="AD79" i="17" s="1"/>
  <c r="AF100" i="67"/>
  <c r="AE79" i="17" s="1"/>
  <c r="AG100" i="67"/>
  <c r="AF79" i="17" s="1"/>
  <c r="AH100" i="67"/>
  <c r="AG79" i="17" s="1"/>
  <c r="AI100" i="67"/>
  <c r="AH79" i="17" s="1"/>
  <c r="AJ100" i="67"/>
  <c r="AI79" i="17" s="1"/>
  <c r="AK100" i="67"/>
  <c r="AJ79" i="17" s="1"/>
  <c r="AL100" i="67"/>
  <c r="AK79" i="17" s="1"/>
  <c r="AM100" i="67"/>
  <c r="AL79" i="17" s="1"/>
  <c r="AN100" i="67"/>
  <c r="AM79" i="17" s="1"/>
  <c r="AO100" i="67"/>
  <c r="AN79" i="17" s="1"/>
  <c r="D101" i="67"/>
  <c r="C83" i="17" s="1"/>
  <c r="E101" i="67"/>
  <c r="D83" i="17" s="1"/>
  <c r="F101" i="67"/>
  <c r="E83" i="17" s="1"/>
  <c r="G101" i="67"/>
  <c r="F83" i="17" s="1"/>
  <c r="H101" i="67"/>
  <c r="G83" i="17" s="1"/>
  <c r="I101" i="67"/>
  <c r="H83" i="17" s="1"/>
  <c r="J101" i="67"/>
  <c r="I83" i="17" s="1"/>
  <c r="K101" i="67"/>
  <c r="J83" i="17" s="1"/>
  <c r="L101" i="67"/>
  <c r="K83" i="17" s="1"/>
  <c r="M101" i="67"/>
  <c r="L83" i="17" s="1"/>
  <c r="N101" i="67"/>
  <c r="M83" i="17" s="1"/>
  <c r="O101" i="67"/>
  <c r="N83" i="17" s="1"/>
  <c r="P101" i="67"/>
  <c r="O83" i="17" s="1"/>
  <c r="Q101" i="67"/>
  <c r="P83" i="17" s="1"/>
  <c r="R101" i="67"/>
  <c r="Q83" i="17" s="1"/>
  <c r="S101" i="67"/>
  <c r="R83" i="17" s="1"/>
  <c r="T101" i="67"/>
  <c r="S83" i="17" s="1"/>
  <c r="U101" i="67"/>
  <c r="T83" i="17" s="1"/>
  <c r="V101" i="67"/>
  <c r="U83" i="17" s="1"/>
  <c r="W101" i="67"/>
  <c r="V83" i="17" s="1"/>
  <c r="X101" i="67"/>
  <c r="W83" i="17" s="1"/>
  <c r="Y101" i="67"/>
  <c r="X83" i="17" s="1"/>
  <c r="Z101" i="67"/>
  <c r="Y83" i="17" s="1"/>
  <c r="AA101" i="67"/>
  <c r="Z83" i="17" s="1"/>
  <c r="AB101" i="67"/>
  <c r="AA83" i="17" s="1"/>
  <c r="AC101" i="67"/>
  <c r="AB83" i="17" s="1"/>
  <c r="AD101" i="67"/>
  <c r="AC83" i="17" s="1"/>
  <c r="AE101" i="67"/>
  <c r="AD83" i="17" s="1"/>
  <c r="AF101" i="67"/>
  <c r="AE83" i="17" s="1"/>
  <c r="AG101" i="67"/>
  <c r="AF83" i="17" s="1"/>
  <c r="AH101" i="67"/>
  <c r="AG83" i="17" s="1"/>
  <c r="AI101" i="67"/>
  <c r="AH83" i="17" s="1"/>
  <c r="AJ101" i="67"/>
  <c r="AI83" i="17" s="1"/>
  <c r="AK101" i="67"/>
  <c r="AJ83" i="17" s="1"/>
  <c r="AL101" i="67"/>
  <c r="AK83" i="17" s="1"/>
  <c r="AM101" i="67"/>
  <c r="AL83" i="17" s="1"/>
  <c r="AN101" i="67"/>
  <c r="AM83" i="17" s="1"/>
  <c r="AO101" i="67"/>
  <c r="AN83" i="17" s="1"/>
  <c r="D102" i="67"/>
  <c r="C88" i="17" s="1"/>
  <c r="E102" i="67"/>
  <c r="D88" i="17" s="1"/>
  <c r="F102" i="67"/>
  <c r="E88" i="17" s="1"/>
  <c r="G102" i="67"/>
  <c r="F88" i="17" s="1"/>
  <c r="H102" i="67"/>
  <c r="G88" i="17" s="1"/>
  <c r="I102" i="67"/>
  <c r="H88" i="17" s="1"/>
  <c r="J102" i="67"/>
  <c r="I88" i="17" s="1"/>
  <c r="K102" i="67"/>
  <c r="J88" i="17" s="1"/>
  <c r="L102" i="67"/>
  <c r="K88" i="17" s="1"/>
  <c r="M102" i="67"/>
  <c r="L88" i="17" s="1"/>
  <c r="N102" i="67"/>
  <c r="M88" i="17" s="1"/>
  <c r="O102" i="67"/>
  <c r="N88" i="17" s="1"/>
  <c r="P102" i="67"/>
  <c r="O88" i="17" s="1"/>
  <c r="Q102" i="67"/>
  <c r="P88" i="17" s="1"/>
  <c r="R102" i="67"/>
  <c r="Q88" i="17" s="1"/>
  <c r="S102" i="67"/>
  <c r="R88" i="17" s="1"/>
  <c r="T102" i="67"/>
  <c r="S88" i="17" s="1"/>
  <c r="U102" i="67"/>
  <c r="T88" i="17" s="1"/>
  <c r="V102" i="67"/>
  <c r="U88" i="17" s="1"/>
  <c r="W102" i="67"/>
  <c r="V88" i="17" s="1"/>
  <c r="X102" i="67"/>
  <c r="W88" i="17" s="1"/>
  <c r="Y102" i="67"/>
  <c r="X88" i="17" s="1"/>
  <c r="Z102" i="67"/>
  <c r="Y88" i="17" s="1"/>
  <c r="AA102" i="67"/>
  <c r="Z88" i="17" s="1"/>
  <c r="AB102" i="67"/>
  <c r="AA88" i="17" s="1"/>
  <c r="AC102" i="67"/>
  <c r="AB88" i="17" s="1"/>
  <c r="AD102" i="67"/>
  <c r="AC88" i="17" s="1"/>
  <c r="AE102" i="67"/>
  <c r="AD88" i="17" s="1"/>
  <c r="AF102" i="67"/>
  <c r="AE88" i="17" s="1"/>
  <c r="AG102" i="67"/>
  <c r="AF88" i="17" s="1"/>
  <c r="AH102" i="67"/>
  <c r="AG88" i="17" s="1"/>
  <c r="AI102" i="67"/>
  <c r="AH88" i="17" s="1"/>
  <c r="AJ102" i="67"/>
  <c r="AI88" i="17" s="1"/>
  <c r="AK102" i="67"/>
  <c r="AJ88" i="17" s="1"/>
  <c r="AL102" i="67"/>
  <c r="AK88" i="17" s="1"/>
  <c r="AM102" i="67"/>
  <c r="AL88" i="17" s="1"/>
  <c r="AN102" i="67"/>
  <c r="AM88" i="17" s="1"/>
  <c r="AO102" i="67"/>
  <c r="AN88" i="17" s="1"/>
  <c r="D103" i="67"/>
  <c r="C94" i="17" s="1"/>
  <c r="E103" i="67"/>
  <c r="D94" i="17" s="1"/>
  <c r="F103" i="67"/>
  <c r="E94" i="17" s="1"/>
  <c r="G103" i="67"/>
  <c r="F94" i="17" s="1"/>
  <c r="H103" i="67"/>
  <c r="G94" i="17" s="1"/>
  <c r="I103" i="67"/>
  <c r="H94" i="17" s="1"/>
  <c r="J103" i="67"/>
  <c r="I94" i="17" s="1"/>
  <c r="K103" i="67"/>
  <c r="J94" i="17" s="1"/>
  <c r="L103" i="67"/>
  <c r="K94" i="17" s="1"/>
  <c r="M103" i="67"/>
  <c r="L94" i="17" s="1"/>
  <c r="N103" i="67"/>
  <c r="M94" i="17" s="1"/>
  <c r="O103" i="67"/>
  <c r="N94" i="17" s="1"/>
  <c r="P103" i="67"/>
  <c r="O94" i="17" s="1"/>
  <c r="Q103" i="67"/>
  <c r="P94" i="17" s="1"/>
  <c r="R103" i="67"/>
  <c r="Q94" i="17" s="1"/>
  <c r="S103" i="67"/>
  <c r="R94" i="17" s="1"/>
  <c r="T103" i="67"/>
  <c r="S94" i="17" s="1"/>
  <c r="U103" i="67"/>
  <c r="T94" i="17" s="1"/>
  <c r="V103" i="67"/>
  <c r="U94" i="17" s="1"/>
  <c r="W103" i="67"/>
  <c r="V94" i="17" s="1"/>
  <c r="X103" i="67"/>
  <c r="W94" i="17" s="1"/>
  <c r="Y103" i="67"/>
  <c r="X94" i="17" s="1"/>
  <c r="Z103" i="67"/>
  <c r="Y94" i="17" s="1"/>
  <c r="AA103" i="67"/>
  <c r="Z94" i="17" s="1"/>
  <c r="AB103" i="67"/>
  <c r="AA94" i="17" s="1"/>
  <c r="AC103" i="67"/>
  <c r="AB94" i="17" s="1"/>
  <c r="AD103" i="67"/>
  <c r="AC94" i="17" s="1"/>
  <c r="AE103" i="67"/>
  <c r="AD94" i="17" s="1"/>
  <c r="AF103" i="67"/>
  <c r="AE94" i="17" s="1"/>
  <c r="AG103" i="67"/>
  <c r="AF94" i="17" s="1"/>
  <c r="AH103" i="67"/>
  <c r="AG94" i="17" s="1"/>
  <c r="AI103" i="67"/>
  <c r="AH94" i="17" s="1"/>
  <c r="AJ103" i="67"/>
  <c r="AI94" i="17" s="1"/>
  <c r="AK103" i="67"/>
  <c r="AJ94" i="17" s="1"/>
  <c r="AL103" i="67"/>
  <c r="AK94" i="17" s="1"/>
  <c r="AM103" i="67"/>
  <c r="AL94" i="17" s="1"/>
  <c r="AN103" i="67"/>
  <c r="AM94" i="17" s="1"/>
  <c r="AO103" i="67"/>
  <c r="AN94" i="17" s="1"/>
  <c r="D106" i="67"/>
  <c r="C12" i="18" s="1"/>
  <c r="E106" i="67"/>
  <c r="D12" i="18" s="1"/>
  <c r="F106" i="67"/>
  <c r="E12" i="18" s="1"/>
  <c r="G106" i="67"/>
  <c r="F12" i="18" s="1"/>
  <c r="H106" i="67"/>
  <c r="G12" i="18" s="1"/>
  <c r="I106" i="67"/>
  <c r="H12" i="18" s="1"/>
  <c r="J106" i="67"/>
  <c r="I12" i="18" s="1"/>
  <c r="K106" i="67"/>
  <c r="J12" i="18" s="1"/>
  <c r="L106" i="67"/>
  <c r="K12" i="18" s="1"/>
  <c r="M106" i="67"/>
  <c r="L12" i="18" s="1"/>
  <c r="N106" i="67"/>
  <c r="M12" i="18" s="1"/>
  <c r="O106" i="67"/>
  <c r="N12" i="18" s="1"/>
  <c r="P106" i="67"/>
  <c r="O12" i="18" s="1"/>
  <c r="Q106" i="67"/>
  <c r="P12" i="18" s="1"/>
  <c r="R106" i="67"/>
  <c r="Q12" i="18" s="1"/>
  <c r="S106" i="67"/>
  <c r="R12" i="18" s="1"/>
  <c r="T106" i="67"/>
  <c r="S12" i="18" s="1"/>
  <c r="U106" i="67"/>
  <c r="T12" i="18" s="1"/>
  <c r="V106" i="67"/>
  <c r="U12" i="18" s="1"/>
  <c r="W106" i="67"/>
  <c r="V12" i="18" s="1"/>
  <c r="X106" i="67"/>
  <c r="W12" i="18" s="1"/>
  <c r="Y106" i="67"/>
  <c r="X12" i="18" s="1"/>
  <c r="Z106" i="67"/>
  <c r="Y12" i="18" s="1"/>
  <c r="AA106" i="67"/>
  <c r="Z12" i="18" s="1"/>
  <c r="AB106" i="67"/>
  <c r="AA12" i="18" s="1"/>
  <c r="AC106" i="67"/>
  <c r="AB12" i="18" s="1"/>
  <c r="AD106" i="67"/>
  <c r="AC12" i="18" s="1"/>
  <c r="AE106" i="67"/>
  <c r="AD12" i="18" s="1"/>
  <c r="AF106" i="67"/>
  <c r="AE12" i="18" s="1"/>
  <c r="AG106" i="67"/>
  <c r="AF12" i="18" s="1"/>
  <c r="AH106" i="67"/>
  <c r="AG12" i="18" s="1"/>
  <c r="AI106" i="67"/>
  <c r="AH12" i="18" s="1"/>
  <c r="AJ106" i="67"/>
  <c r="AI12" i="18" s="1"/>
  <c r="AK106" i="67"/>
  <c r="AJ12" i="18" s="1"/>
  <c r="AL106" i="67"/>
  <c r="AK12" i="18" s="1"/>
  <c r="AM106" i="67"/>
  <c r="AL12" i="18" s="1"/>
  <c r="AN106" i="67"/>
  <c r="AM12" i="18" s="1"/>
  <c r="AO106" i="67"/>
  <c r="AN12" i="18" s="1"/>
  <c r="D107" i="67"/>
  <c r="C27" i="18" s="1"/>
  <c r="E107" i="67"/>
  <c r="D27" i="18" s="1"/>
  <c r="F107" i="67"/>
  <c r="E27" i="18" s="1"/>
  <c r="G107" i="67"/>
  <c r="F27" i="18" s="1"/>
  <c r="H107" i="67"/>
  <c r="G27" i="18" s="1"/>
  <c r="I107" i="67"/>
  <c r="H27" i="18" s="1"/>
  <c r="J107" i="67"/>
  <c r="I27" i="18" s="1"/>
  <c r="K107" i="67"/>
  <c r="J27" i="18" s="1"/>
  <c r="L107" i="67"/>
  <c r="K27" i="18" s="1"/>
  <c r="M107" i="67"/>
  <c r="L27" i="18" s="1"/>
  <c r="N107" i="67"/>
  <c r="M27" i="18" s="1"/>
  <c r="O107" i="67"/>
  <c r="N27" i="18" s="1"/>
  <c r="P107" i="67"/>
  <c r="O27" i="18" s="1"/>
  <c r="Q107" i="67"/>
  <c r="P27" i="18" s="1"/>
  <c r="R107" i="67"/>
  <c r="Q27" i="18" s="1"/>
  <c r="S107" i="67"/>
  <c r="R27" i="18" s="1"/>
  <c r="T107" i="67"/>
  <c r="S27" i="18" s="1"/>
  <c r="U107" i="67"/>
  <c r="T27" i="18" s="1"/>
  <c r="V107" i="67"/>
  <c r="U27" i="18" s="1"/>
  <c r="W107" i="67"/>
  <c r="V27" i="18" s="1"/>
  <c r="X107" i="67"/>
  <c r="W27" i="18" s="1"/>
  <c r="Y107" i="67"/>
  <c r="X27" i="18" s="1"/>
  <c r="Z107" i="67"/>
  <c r="Y27" i="18" s="1"/>
  <c r="AA107" i="67"/>
  <c r="Z27" i="18" s="1"/>
  <c r="AB107" i="67"/>
  <c r="AA27" i="18" s="1"/>
  <c r="AC107" i="67"/>
  <c r="AB27" i="18" s="1"/>
  <c r="AD107" i="67"/>
  <c r="AC27" i="18" s="1"/>
  <c r="AE107" i="67"/>
  <c r="AD27" i="18" s="1"/>
  <c r="AF107" i="67"/>
  <c r="AE27" i="18" s="1"/>
  <c r="AG107" i="67"/>
  <c r="AF27" i="18" s="1"/>
  <c r="AH107" i="67"/>
  <c r="AG27" i="18" s="1"/>
  <c r="AI107" i="67"/>
  <c r="AH27" i="18" s="1"/>
  <c r="AJ107" i="67"/>
  <c r="AI27" i="18" s="1"/>
  <c r="AK107" i="67"/>
  <c r="AJ27" i="18" s="1"/>
  <c r="AL107" i="67"/>
  <c r="AK27" i="18" s="1"/>
  <c r="AM107" i="67"/>
  <c r="AL27" i="18" s="1"/>
  <c r="AN107" i="67"/>
  <c r="AM27" i="18" s="1"/>
  <c r="AO107" i="67"/>
  <c r="AN27" i="18" s="1"/>
  <c r="D108" i="67"/>
  <c r="C34" i="18" s="1"/>
  <c r="E108" i="67"/>
  <c r="D34" i="18" s="1"/>
  <c r="F108" i="67"/>
  <c r="E34" i="18" s="1"/>
  <c r="G108" i="67"/>
  <c r="F34" i="18" s="1"/>
  <c r="H108" i="67"/>
  <c r="G34" i="18" s="1"/>
  <c r="I108" i="67"/>
  <c r="H34" i="18" s="1"/>
  <c r="J108" i="67"/>
  <c r="I34" i="18" s="1"/>
  <c r="K108" i="67"/>
  <c r="J34" i="18" s="1"/>
  <c r="L108" i="67"/>
  <c r="K34" i="18" s="1"/>
  <c r="M108" i="67"/>
  <c r="L34" i="18" s="1"/>
  <c r="N108" i="67"/>
  <c r="M34" i="18" s="1"/>
  <c r="O108" i="67"/>
  <c r="N34" i="18" s="1"/>
  <c r="P108" i="67"/>
  <c r="O34" i="18" s="1"/>
  <c r="Q108" i="67"/>
  <c r="P34" i="18" s="1"/>
  <c r="R108" i="67"/>
  <c r="Q34" i="18" s="1"/>
  <c r="S108" i="67"/>
  <c r="R34" i="18" s="1"/>
  <c r="T108" i="67"/>
  <c r="S34" i="18" s="1"/>
  <c r="U108" i="67"/>
  <c r="T34" i="18" s="1"/>
  <c r="V108" i="67"/>
  <c r="U34" i="18" s="1"/>
  <c r="W108" i="67"/>
  <c r="V34" i="18" s="1"/>
  <c r="X108" i="67"/>
  <c r="W34" i="18" s="1"/>
  <c r="Y108" i="67"/>
  <c r="X34" i="18" s="1"/>
  <c r="Z108" i="67"/>
  <c r="Y34" i="18" s="1"/>
  <c r="AA108" i="67"/>
  <c r="Z34" i="18" s="1"/>
  <c r="AB108" i="67"/>
  <c r="AA34" i="18" s="1"/>
  <c r="AC108" i="67"/>
  <c r="AB34" i="18" s="1"/>
  <c r="AD108" i="67"/>
  <c r="AC34" i="18" s="1"/>
  <c r="AE108" i="67"/>
  <c r="AD34" i="18" s="1"/>
  <c r="AF108" i="67"/>
  <c r="AE34" i="18" s="1"/>
  <c r="AG108" i="67"/>
  <c r="AF34" i="18" s="1"/>
  <c r="AH108" i="67"/>
  <c r="AG34" i="18" s="1"/>
  <c r="AI108" i="67"/>
  <c r="AH34" i="18" s="1"/>
  <c r="AJ108" i="67"/>
  <c r="AI34" i="18" s="1"/>
  <c r="AK108" i="67"/>
  <c r="AJ34" i="18" s="1"/>
  <c r="AL108" i="67"/>
  <c r="AK34" i="18" s="1"/>
  <c r="AM108" i="67"/>
  <c r="AL34" i="18" s="1"/>
  <c r="AN108" i="67"/>
  <c r="AM34" i="18" s="1"/>
  <c r="AO108" i="67"/>
  <c r="AN34" i="18" s="1"/>
  <c r="D109" i="67"/>
  <c r="C48" i="18" s="1"/>
  <c r="E109" i="67"/>
  <c r="D48" i="18" s="1"/>
  <c r="F109" i="67"/>
  <c r="E48" i="18" s="1"/>
  <c r="G109" i="67"/>
  <c r="F48" i="18" s="1"/>
  <c r="H109" i="67"/>
  <c r="G48" i="18" s="1"/>
  <c r="I109" i="67"/>
  <c r="H48" i="18" s="1"/>
  <c r="J109" i="67"/>
  <c r="I48" i="18" s="1"/>
  <c r="K109" i="67"/>
  <c r="J48" i="18" s="1"/>
  <c r="L109" i="67"/>
  <c r="K48" i="18" s="1"/>
  <c r="M109" i="67"/>
  <c r="L48" i="18" s="1"/>
  <c r="N109" i="67"/>
  <c r="M48" i="18" s="1"/>
  <c r="O109" i="67"/>
  <c r="N48" i="18" s="1"/>
  <c r="P109" i="67"/>
  <c r="O48" i="18" s="1"/>
  <c r="Q109" i="67"/>
  <c r="P48" i="18" s="1"/>
  <c r="R109" i="67"/>
  <c r="Q48" i="18" s="1"/>
  <c r="S109" i="67"/>
  <c r="R48" i="18" s="1"/>
  <c r="T109" i="67"/>
  <c r="S48" i="18" s="1"/>
  <c r="U109" i="67"/>
  <c r="T48" i="18" s="1"/>
  <c r="V109" i="67"/>
  <c r="U48" i="18" s="1"/>
  <c r="W109" i="67"/>
  <c r="V48" i="18" s="1"/>
  <c r="X109" i="67"/>
  <c r="W48" i="18" s="1"/>
  <c r="Y109" i="67"/>
  <c r="X48" i="18" s="1"/>
  <c r="Z109" i="67"/>
  <c r="Y48" i="18" s="1"/>
  <c r="AA109" i="67"/>
  <c r="Z48" i="18" s="1"/>
  <c r="AB109" i="67"/>
  <c r="AA48" i="18" s="1"/>
  <c r="AC109" i="67"/>
  <c r="AB48" i="18" s="1"/>
  <c r="AD109" i="67"/>
  <c r="AC48" i="18" s="1"/>
  <c r="AE109" i="67"/>
  <c r="AD48" i="18" s="1"/>
  <c r="AF109" i="67"/>
  <c r="AE48" i="18" s="1"/>
  <c r="AG109" i="67"/>
  <c r="AF48" i="18" s="1"/>
  <c r="AH109" i="67"/>
  <c r="AG48" i="18" s="1"/>
  <c r="AI109" i="67"/>
  <c r="AH48" i="18" s="1"/>
  <c r="AJ109" i="67"/>
  <c r="AI48" i="18" s="1"/>
  <c r="AK109" i="67"/>
  <c r="AJ48" i="18" s="1"/>
  <c r="AL109" i="67"/>
  <c r="AK48" i="18" s="1"/>
  <c r="AM109" i="67"/>
  <c r="AL48" i="18" s="1"/>
  <c r="AN109" i="67"/>
  <c r="AM48" i="18" s="1"/>
  <c r="AO109" i="67"/>
  <c r="AN48" i="18" s="1"/>
  <c r="D110" i="67"/>
  <c r="C69" i="18" s="1"/>
  <c r="E110" i="67"/>
  <c r="D69" i="18" s="1"/>
  <c r="F110" i="67"/>
  <c r="E69" i="18" s="1"/>
  <c r="G110" i="67"/>
  <c r="F69" i="18" s="1"/>
  <c r="H110" i="67"/>
  <c r="G69" i="18" s="1"/>
  <c r="I110" i="67"/>
  <c r="H69" i="18" s="1"/>
  <c r="J110" i="67"/>
  <c r="I69" i="18" s="1"/>
  <c r="K110" i="67"/>
  <c r="J69" i="18" s="1"/>
  <c r="L110" i="67"/>
  <c r="K69" i="18" s="1"/>
  <c r="M110" i="67"/>
  <c r="L69" i="18" s="1"/>
  <c r="N110" i="67"/>
  <c r="M69" i="18" s="1"/>
  <c r="O110" i="67"/>
  <c r="N69" i="18" s="1"/>
  <c r="P110" i="67"/>
  <c r="O69" i="18" s="1"/>
  <c r="Q110" i="67"/>
  <c r="P69" i="18" s="1"/>
  <c r="R110" i="67"/>
  <c r="Q69" i="18" s="1"/>
  <c r="S110" i="67"/>
  <c r="R69" i="18" s="1"/>
  <c r="T110" i="67"/>
  <c r="S69" i="18" s="1"/>
  <c r="U110" i="67"/>
  <c r="T69" i="18" s="1"/>
  <c r="V110" i="67"/>
  <c r="U69" i="18" s="1"/>
  <c r="W110" i="67"/>
  <c r="V69" i="18" s="1"/>
  <c r="X110" i="67"/>
  <c r="W69" i="18" s="1"/>
  <c r="Y110" i="67"/>
  <c r="X69" i="18" s="1"/>
  <c r="Z110" i="67"/>
  <c r="Y69" i="18" s="1"/>
  <c r="AA110" i="67"/>
  <c r="Z69" i="18" s="1"/>
  <c r="AB110" i="67"/>
  <c r="AA69" i="18" s="1"/>
  <c r="AC110" i="67"/>
  <c r="AB69" i="18" s="1"/>
  <c r="AD110" i="67"/>
  <c r="AC69" i="18" s="1"/>
  <c r="AE110" i="67"/>
  <c r="AD69" i="18" s="1"/>
  <c r="AF110" i="67"/>
  <c r="AE69" i="18" s="1"/>
  <c r="AG110" i="67"/>
  <c r="AF69" i="18" s="1"/>
  <c r="AH110" i="67"/>
  <c r="AG69" i="18" s="1"/>
  <c r="AI110" i="67"/>
  <c r="AH69" i="18" s="1"/>
  <c r="AJ110" i="67"/>
  <c r="AI69" i="18" s="1"/>
  <c r="AK110" i="67"/>
  <c r="AJ69" i="18" s="1"/>
  <c r="AL110" i="67"/>
  <c r="AK69" i="18" s="1"/>
  <c r="AM110" i="67"/>
  <c r="AL69" i="18" s="1"/>
  <c r="AN110" i="67"/>
  <c r="AM69" i="18" s="1"/>
  <c r="AO110" i="67"/>
  <c r="AN69" i="18" s="1"/>
  <c r="D111" i="67"/>
  <c r="C79" i="18" s="1"/>
  <c r="E111" i="67"/>
  <c r="D79" i="18" s="1"/>
  <c r="F111" i="67"/>
  <c r="E79" i="18" s="1"/>
  <c r="G111" i="67"/>
  <c r="F79" i="18" s="1"/>
  <c r="H111" i="67"/>
  <c r="G79" i="18" s="1"/>
  <c r="I111" i="67"/>
  <c r="H79" i="18" s="1"/>
  <c r="J111" i="67"/>
  <c r="I79" i="18" s="1"/>
  <c r="K111" i="67"/>
  <c r="J79" i="18" s="1"/>
  <c r="L111" i="67"/>
  <c r="K79" i="18" s="1"/>
  <c r="M111" i="67"/>
  <c r="L79" i="18" s="1"/>
  <c r="N111" i="67"/>
  <c r="M79" i="18" s="1"/>
  <c r="O111" i="67"/>
  <c r="N79" i="18" s="1"/>
  <c r="P111" i="67"/>
  <c r="O79" i="18" s="1"/>
  <c r="Q111" i="67"/>
  <c r="P79" i="18" s="1"/>
  <c r="R111" i="67"/>
  <c r="Q79" i="18" s="1"/>
  <c r="S111" i="67"/>
  <c r="R79" i="18" s="1"/>
  <c r="T111" i="67"/>
  <c r="S79" i="18" s="1"/>
  <c r="U111" i="67"/>
  <c r="T79" i="18" s="1"/>
  <c r="V111" i="67"/>
  <c r="U79" i="18" s="1"/>
  <c r="W111" i="67"/>
  <c r="V79" i="18" s="1"/>
  <c r="X111" i="67"/>
  <c r="W79" i="18" s="1"/>
  <c r="Y111" i="67"/>
  <c r="X79" i="18" s="1"/>
  <c r="Z111" i="67"/>
  <c r="Y79" i="18" s="1"/>
  <c r="AA111" i="67"/>
  <c r="Z79" i="18" s="1"/>
  <c r="AB111" i="67"/>
  <c r="AA79" i="18" s="1"/>
  <c r="AC111" i="67"/>
  <c r="AB79" i="18" s="1"/>
  <c r="AD111" i="67"/>
  <c r="AC79" i="18" s="1"/>
  <c r="AE111" i="67"/>
  <c r="AD79" i="18" s="1"/>
  <c r="AF111" i="67"/>
  <c r="AE79" i="18" s="1"/>
  <c r="AG111" i="67"/>
  <c r="AF79" i="18" s="1"/>
  <c r="AH111" i="67"/>
  <c r="AG79" i="18" s="1"/>
  <c r="AI111" i="67"/>
  <c r="AH79" i="18" s="1"/>
  <c r="AJ111" i="67"/>
  <c r="AI79" i="18" s="1"/>
  <c r="AK111" i="67"/>
  <c r="AJ79" i="18" s="1"/>
  <c r="AL111" i="67"/>
  <c r="AK79" i="18" s="1"/>
  <c r="AM111" i="67"/>
  <c r="AL79" i="18" s="1"/>
  <c r="AN111" i="67"/>
  <c r="AM79" i="18" s="1"/>
  <c r="AO111" i="67"/>
  <c r="AN79" i="18" s="1"/>
  <c r="D112" i="67"/>
  <c r="C83" i="18" s="1"/>
  <c r="E112" i="67"/>
  <c r="D83" i="18" s="1"/>
  <c r="F112" i="67"/>
  <c r="E83" i="18" s="1"/>
  <c r="G112" i="67"/>
  <c r="F83" i="18" s="1"/>
  <c r="H112" i="67"/>
  <c r="G83" i="18" s="1"/>
  <c r="I112" i="67"/>
  <c r="H83" i="18" s="1"/>
  <c r="J112" i="67"/>
  <c r="I83" i="18" s="1"/>
  <c r="K112" i="67"/>
  <c r="J83" i="18" s="1"/>
  <c r="L112" i="67"/>
  <c r="K83" i="18" s="1"/>
  <c r="M112" i="67"/>
  <c r="L83" i="18" s="1"/>
  <c r="N112" i="67"/>
  <c r="M83" i="18" s="1"/>
  <c r="O112" i="67"/>
  <c r="N83" i="18" s="1"/>
  <c r="P112" i="67"/>
  <c r="O83" i="18" s="1"/>
  <c r="Q112" i="67"/>
  <c r="P83" i="18" s="1"/>
  <c r="R112" i="67"/>
  <c r="Q83" i="18" s="1"/>
  <c r="S112" i="67"/>
  <c r="R83" i="18" s="1"/>
  <c r="T112" i="67"/>
  <c r="S83" i="18" s="1"/>
  <c r="U112" i="67"/>
  <c r="T83" i="18" s="1"/>
  <c r="V112" i="67"/>
  <c r="U83" i="18" s="1"/>
  <c r="W112" i="67"/>
  <c r="V83" i="18" s="1"/>
  <c r="X112" i="67"/>
  <c r="W83" i="18" s="1"/>
  <c r="Y112" i="67"/>
  <c r="X83" i="18" s="1"/>
  <c r="Z112" i="67"/>
  <c r="Y83" i="18" s="1"/>
  <c r="AA112" i="67"/>
  <c r="Z83" i="18" s="1"/>
  <c r="AB112" i="67"/>
  <c r="AA83" i="18" s="1"/>
  <c r="AC112" i="67"/>
  <c r="AB83" i="18" s="1"/>
  <c r="AD112" i="67"/>
  <c r="AC83" i="18" s="1"/>
  <c r="AE112" i="67"/>
  <c r="AD83" i="18" s="1"/>
  <c r="AF112" i="67"/>
  <c r="AE83" i="18" s="1"/>
  <c r="AG112" i="67"/>
  <c r="AF83" i="18" s="1"/>
  <c r="AH112" i="67"/>
  <c r="AG83" i="18" s="1"/>
  <c r="AI112" i="67"/>
  <c r="AH83" i="18" s="1"/>
  <c r="AJ112" i="67"/>
  <c r="AI83" i="18" s="1"/>
  <c r="AK112" i="67"/>
  <c r="AJ83" i="18" s="1"/>
  <c r="AL112" i="67"/>
  <c r="AK83" i="18" s="1"/>
  <c r="AM112" i="67"/>
  <c r="AL83" i="18" s="1"/>
  <c r="AN112" i="67"/>
  <c r="AM83" i="18" s="1"/>
  <c r="AO112" i="67"/>
  <c r="AN83" i="18" s="1"/>
  <c r="D113" i="67"/>
  <c r="C88" i="18" s="1"/>
  <c r="E113" i="67"/>
  <c r="D88" i="18" s="1"/>
  <c r="F113" i="67"/>
  <c r="E88" i="18" s="1"/>
  <c r="G113" i="67"/>
  <c r="F88" i="18" s="1"/>
  <c r="H113" i="67"/>
  <c r="G88" i="18" s="1"/>
  <c r="I113" i="67"/>
  <c r="H88" i="18" s="1"/>
  <c r="J113" i="67"/>
  <c r="I88" i="18" s="1"/>
  <c r="K113" i="67"/>
  <c r="J88" i="18" s="1"/>
  <c r="L113" i="67"/>
  <c r="K88" i="18" s="1"/>
  <c r="M113" i="67"/>
  <c r="L88" i="18" s="1"/>
  <c r="N113" i="67"/>
  <c r="M88" i="18" s="1"/>
  <c r="O113" i="67"/>
  <c r="N88" i="18" s="1"/>
  <c r="P113" i="67"/>
  <c r="O88" i="18" s="1"/>
  <c r="Q113" i="67"/>
  <c r="P88" i="18" s="1"/>
  <c r="R113" i="67"/>
  <c r="Q88" i="18" s="1"/>
  <c r="S113" i="67"/>
  <c r="R88" i="18" s="1"/>
  <c r="T113" i="67"/>
  <c r="S88" i="18" s="1"/>
  <c r="U113" i="67"/>
  <c r="T88" i="18" s="1"/>
  <c r="V113" i="67"/>
  <c r="U88" i="18" s="1"/>
  <c r="W113" i="67"/>
  <c r="V88" i="18" s="1"/>
  <c r="X113" i="67"/>
  <c r="W88" i="18" s="1"/>
  <c r="Y113" i="67"/>
  <c r="X88" i="18" s="1"/>
  <c r="Z113" i="67"/>
  <c r="Y88" i="18" s="1"/>
  <c r="AA113" i="67"/>
  <c r="Z88" i="18" s="1"/>
  <c r="AB113" i="67"/>
  <c r="AA88" i="18" s="1"/>
  <c r="AC113" i="67"/>
  <c r="AB88" i="18" s="1"/>
  <c r="AD113" i="67"/>
  <c r="AC88" i="18" s="1"/>
  <c r="AE113" i="67"/>
  <c r="AD88" i="18" s="1"/>
  <c r="AF113" i="67"/>
  <c r="AE88" i="18" s="1"/>
  <c r="AG113" i="67"/>
  <c r="AF88" i="18" s="1"/>
  <c r="AH113" i="67"/>
  <c r="AG88" i="18" s="1"/>
  <c r="AI113" i="67"/>
  <c r="AH88" i="18" s="1"/>
  <c r="AJ113" i="67"/>
  <c r="AI88" i="18" s="1"/>
  <c r="AK113" i="67"/>
  <c r="AJ88" i="18" s="1"/>
  <c r="AL113" i="67"/>
  <c r="AK88" i="18" s="1"/>
  <c r="AM113" i="67"/>
  <c r="AL88" i="18" s="1"/>
  <c r="AN113" i="67"/>
  <c r="AM88" i="18" s="1"/>
  <c r="AO113" i="67"/>
  <c r="AN88" i="18" s="1"/>
  <c r="D114" i="67"/>
  <c r="C94" i="18" s="1"/>
  <c r="E114" i="67"/>
  <c r="D94" i="18" s="1"/>
  <c r="F114" i="67"/>
  <c r="E94" i="18" s="1"/>
  <c r="G114" i="67"/>
  <c r="F94" i="18" s="1"/>
  <c r="H114" i="67"/>
  <c r="G94" i="18" s="1"/>
  <c r="I114" i="67"/>
  <c r="H94" i="18" s="1"/>
  <c r="J114" i="67"/>
  <c r="I94" i="18" s="1"/>
  <c r="K114" i="67"/>
  <c r="J94" i="18" s="1"/>
  <c r="L114" i="67"/>
  <c r="K94" i="18" s="1"/>
  <c r="M114" i="67"/>
  <c r="L94" i="18" s="1"/>
  <c r="N114" i="67"/>
  <c r="M94" i="18" s="1"/>
  <c r="O114" i="67"/>
  <c r="N94" i="18" s="1"/>
  <c r="P114" i="67"/>
  <c r="O94" i="18" s="1"/>
  <c r="Q114" i="67"/>
  <c r="P94" i="18" s="1"/>
  <c r="R114" i="67"/>
  <c r="Q94" i="18" s="1"/>
  <c r="S114" i="67"/>
  <c r="R94" i="18" s="1"/>
  <c r="T114" i="67"/>
  <c r="S94" i="18" s="1"/>
  <c r="U114" i="67"/>
  <c r="T94" i="18" s="1"/>
  <c r="V114" i="67"/>
  <c r="U94" i="18" s="1"/>
  <c r="W114" i="67"/>
  <c r="V94" i="18" s="1"/>
  <c r="X114" i="67"/>
  <c r="W94" i="18" s="1"/>
  <c r="Y114" i="67"/>
  <c r="X94" i="18" s="1"/>
  <c r="Z114" i="67"/>
  <c r="Y94" i="18" s="1"/>
  <c r="AA114" i="67"/>
  <c r="Z94" i="18" s="1"/>
  <c r="AB114" i="67"/>
  <c r="AA94" i="18" s="1"/>
  <c r="AC114" i="67"/>
  <c r="AB94" i="18" s="1"/>
  <c r="AD114" i="67"/>
  <c r="AC94" i="18" s="1"/>
  <c r="AE114" i="67"/>
  <c r="AD94" i="18" s="1"/>
  <c r="AF114" i="67"/>
  <c r="AE94" i="18" s="1"/>
  <c r="AG114" i="67"/>
  <c r="AF94" i="18" s="1"/>
  <c r="AH114" i="67"/>
  <c r="AG94" i="18" s="1"/>
  <c r="AI114" i="67"/>
  <c r="AH94" i="18" s="1"/>
  <c r="AJ114" i="67"/>
  <c r="AI94" i="18" s="1"/>
  <c r="AK114" i="67"/>
  <c r="AJ94" i="18" s="1"/>
  <c r="AL114" i="67"/>
  <c r="AK94" i="18" s="1"/>
  <c r="AM114" i="67"/>
  <c r="AL94" i="18" s="1"/>
  <c r="AN114" i="67"/>
  <c r="AM94" i="18" s="1"/>
  <c r="AO114" i="67"/>
  <c r="AN94" i="18" s="1"/>
  <c r="D117" i="67"/>
  <c r="C12" i="19" s="1"/>
  <c r="E117" i="67"/>
  <c r="D12" i="19" s="1"/>
  <c r="F117" i="67"/>
  <c r="E12" i="19" s="1"/>
  <c r="G117" i="67"/>
  <c r="F12" i="19" s="1"/>
  <c r="H117" i="67"/>
  <c r="G12" i="19" s="1"/>
  <c r="I117" i="67"/>
  <c r="H12" i="19" s="1"/>
  <c r="J117" i="67"/>
  <c r="I12" i="19" s="1"/>
  <c r="K117" i="67"/>
  <c r="J12" i="19" s="1"/>
  <c r="L117" i="67"/>
  <c r="K12" i="19" s="1"/>
  <c r="M117" i="67"/>
  <c r="L12" i="19" s="1"/>
  <c r="N117" i="67"/>
  <c r="M12" i="19" s="1"/>
  <c r="O117" i="67"/>
  <c r="N12" i="19" s="1"/>
  <c r="P117" i="67"/>
  <c r="O12" i="19" s="1"/>
  <c r="Q117" i="67"/>
  <c r="P12" i="19" s="1"/>
  <c r="R117" i="67"/>
  <c r="Q12" i="19" s="1"/>
  <c r="S117" i="67"/>
  <c r="R12" i="19" s="1"/>
  <c r="T117" i="67"/>
  <c r="S12" i="19" s="1"/>
  <c r="U117" i="67"/>
  <c r="T12" i="19" s="1"/>
  <c r="V117" i="67"/>
  <c r="U12" i="19" s="1"/>
  <c r="W117" i="67"/>
  <c r="V12" i="19" s="1"/>
  <c r="X117" i="67"/>
  <c r="W12" i="19" s="1"/>
  <c r="Y117" i="67"/>
  <c r="X12" i="19" s="1"/>
  <c r="Z117" i="67"/>
  <c r="Y12" i="19" s="1"/>
  <c r="AA117" i="67"/>
  <c r="Z12" i="19" s="1"/>
  <c r="AB117" i="67"/>
  <c r="AA12" i="19" s="1"/>
  <c r="AC117" i="67"/>
  <c r="AB12" i="19" s="1"/>
  <c r="AD117" i="67"/>
  <c r="AC12" i="19" s="1"/>
  <c r="AE117" i="67"/>
  <c r="AD12" i="19" s="1"/>
  <c r="AF117" i="67"/>
  <c r="AE12" i="19" s="1"/>
  <c r="AG117" i="67"/>
  <c r="AF12" i="19" s="1"/>
  <c r="AH117" i="67"/>
  <c r="AG12" i="19" s="1"/>
  <c r="AI117" i="67"/>
  <c r="AH12" i="19" s="1"/>
  <c r="AJ117" i="67"/>
  <c r="AI12" i="19" s="1"/>
  <c r="AK117" i="67"/>
  <c r="AJ12" i="19" s="1"/>
  <c r="AL117" i="67"/>
  <c r="AK12" i="19" s="1"/>
  <c r="AM117" i="67"/>
  <c r="AL12" i="19" s="1"/>
  <c r="AN117" i="67"/>
  <c r="AM12" i="19" s="1"/>
  <c r="AO117" i="67"/>
  <c r="AN12" i="19" s="1"/>
  <c r="D118" i="67"/>
  <c r="C27" i="19" s="1"/>
  <c r="E118" i="67"/>
  <c r="D27" i="19" s="1"/>
  <c r="F118" i="67"/>
  <c r="E27" i="19" s="1"/>
  <c r="G118" i="67"/>
  <c r="F27" i="19" s="1"/>
  <c r="H118" i="67"/>
  <c r="G27" i="19" s="1"/>
  <c r="I118" i="67"/>
  <c r="H27" i="19" s="1"/>
  <c r="J118" i="67"/>
  <c r="I27" i="19" s="1"/>
  <c r="K118" i="67"/>
  <c r="J27" i="19" s="1"/>
  <c r="L118" i="67"/>
  <c r="K27" i="19" s="1"/>
  <c r="M118" i="67"/>
  <c r="L27" i="19" s="1"/>
  <c r="N118" i="67"/>
  <c r="M27" i="19" s="1"/>
  <c r="O118" i="67"/>
  <c r="N27" i="19" s="1"/>
  <c r="P118" i="67"/>
  <c r="O27" i="19" s="1"/>
  <c r="Q118" i="67"/>
  <c r="P27" i="19" s="1"/>
  <c r="R118" i="67"/>
  <c r="Q27" i="19" s="1"/>
  <c r="S118" i="67"/>
  <c r="R27" i="19" s="1"/>
  <c r="T118" i="67"/>
  <c r="S27" i="19" s="1"/>
  <c r="U118" i="67"/>
  <c r="T27" i="19" s="1"/>
  <c r="V118" i="67"/>
  <c r="U27" i="19" s="1"/>
  <c r="W118" i="67"/>
  <c r="V27" i="19" s="1"/>
  <c r="X118" i="67"/>
  <c r="W27" i="19" s="1"/>
  <c r="Y118" i="67"/>
  <c r="X27" i="19" s="1"/>
  <c r="Z118" i="67"/>
  <c r="Y27" i="19" s="1"/>
  <c r="AA118" i="67"/>
  <c r="Z27" i="19" s="1"/>
  <c r="AB118" i="67"/>
  <c r="AA27" i="19" s="1"/>
  <c r="AC118" i="67"/>
  <c r="AB27" i="19" s="1"/>
  <c r="AD118" i="67"/>
  <c r="AC27" i="19" s="1"/>
  <c r="AE118" i="67"/>
  <c r="AD27" i="19" s="1"/>
  <c r="AF118" i="67"/>
  <c r="AE27" i="19" s="1"/>
  <c r="AG118" i="67"/>
  <c r="AF27" i="19" s="1"/>
  <c r="AH118" i="67"/>
  <c r="AG27" i="19" s="1"/>
  <c r="AI118" i="67"/>
  <c r="AH27" i="19" s="1"/>
  <c r="AJ118" i="67"/>
  <c r="AI27" i="19" s="1"/>
  <c r="AK118" i="67"/>
  <c r="AJ27" i="19" s="1"/>
  <c r="AL118" i="67"/>
  <c r="AK27" i="19" s="1"/>
  <c r="AM118" i="67"/>
  <c r="AL27" i="19" s="1"/>
  <c r="AN118" i="67"/>
  <c r="AM27" i="19" s="1"/>
  <c r="AO118" i="67"/>
  <c r="AN27" i="19" s="1"/>
  <c r="D119" i="67"/>
  <c r="C34" i="19" s="1"/>
  <c r="E119" i="67"/>
  <c r="D34" i="19" s="1"/>
  <c r="F119" i="67"/>
  <c r="E34" i="19" s="1"/>
  <c r="G119" i="67"/>
  <c r="F34" i="19" s="1"/>
  <c r="H119" i="67"/>
  <c r="G34" i="19" s="1"/>
  <c r="I119" i="67"/>
  <c r="H34" i="19" s="1"/>
  <c r="J119" i="67"/>
  <c r="I34" i="19" s="1"/>
  <c r="K119" i="67"/>
  <c r="J34" i="19" s="1"/>
  <c r="L119" i="67"/>
  <c r="K34" i="19" s="1"/>
  <c r="M119" i="67"/>
  <c r="L34" i="19" s="1"/>
  <c r="N119" i="67"/>
  <c r="M34" i="19" s="1"/>
  <c r="O119" i="67"/>
  <c r="N34" i="19" s="1"/>
  <c r="P119" i="67"/>
  <c r="O34" i="19" s="1"/>
  <c r="Q119" i="67"/>
  <c r="P34" i="19" s="1"/>
  <c r="R119" i="67"/>
  <c r="Q34" i="19" s="1"/>
  <c r="S119" i="67"/>
  <c r="R34" i="19" s="1"/>
  <c r="T119" i="67"/>
  <c r="S34" i="19" s="1"/>
  <c r="U119" i="67"/>
  <c r="T34" i="19" s="1"/>
  <c r="V119" i="67"/>
  <c r="U34" i="19" s="1"/>
  <c r="W119" i="67"/>
  <c r="V34" i="19" s="1"/>
  <c r="X119" i="67"/>
  <c r="W34" i="19" s="1"/>
  <c r="Y119" i="67"/>
  <c r="X34" i="19" s="1"/>
  <c r="Z119" i="67"/>
  <c r="Y34" i="19" s="1"/>
  <c r="AA119" i="67"/>
  <c r="Z34" i="19" s="1"/>
  <c r="AB119" i="67"/>
  <c r="AA34" i="19" s="1"/>
  <c r="AC119" i="67"/>
  <c r="AB34" i="19" s="1"/>
  <c r="AD119" i="67"/>
  <c r="AC34" i="19" s="1"/>
  <c r="AE119" i="67"/>
  <c r="AD34" i="19" s="1"/>
  <c r="AF119" i="67"/>
  <c r="AE34" i="19" s="1"/>
  <c r="AG119" i="67"/>
  <c r="AF34" i="19" s="1"/>
  <c r="AH119" i="67"/>
  <c r="AG34" i="19" s="1"/>
  <c r="AI119" i="67"/>
  <c r="AH34" i="19" s="1"/>
  <c r="AJ119" i="67"/>
  <c r="AI34" i="19" s="1"/>
  <c r="AK119" i="67"/>
  <c r="AJ34" i="19" s="1"/>
  <c r="AL119" i="67"/>
  <c r="AK34" i="19" s="1"/>
  <c r="AM119" i="67"/>
  <c r="AL34" i="19" s="1"/>
  <c r="AN119" i="67"/>
  <c r="AM34" i="19" s="1"/>
  <c r="AO119" i="67"/>
  <c r="AN34" i="19" s="1"/>
  <c r="D120" i="67"/>
  <c r="C48" i="19" s="1"/>
  <c r="E120" i="67"/>
  <c r="D48" i="19" s="1"/>
  <c r="F120" i="67"/>
  <c r="E48" i="19" s="1"/>
  <c r="G120" i="67"/>
  <c r="F48" i="19" s="1"/>
  <c r="H120" i="67"/>
  <c r="G48" i="19" s="1"/>
  <c r="I120" i="67"/>
  <c r="H48" i="19" s="1"/>
  <c r="J120" i="67"/>
  <c r="I48" i="19" s="1"/>
  <c r="K120" i="67"/>
  <c r="J48" i="19" s="1"/>
  <c r="L120" i="67"/>
  <c r="K48" i="19" s="1"/>
  <c r="M120" i="67"/>
  <c r="L48" i="19" s="1"/>
  <c r="N120" i="67"/>
  <c r="M48" i="19" s="1"/>
  <c r="O120" i="67"/>
  <c r="N48" i="19" s="1"/>
  <c r="P120" i="67"/>
  <c r="O48" i="19" s="1"/>
  <c r="Q120" i="67"/>
  <c r="P48" i="19" s="1"/>
  <c r="R120" i="67"/>
  <c r="Q48" i="19" s="1"/>
  <c r="S120" i="67"/>
  <c r="R48" i="19" s="1"/>
  <c r="T120" i="67"/>
  <c r="S48" i="19" s="1"/>
  <c r="U120" i="67"/>
  <c r="T48" i="19" s="1"/>
  <c r="V120" i="67"/>
  <c r="U48" i="19" s="1"/>
  <c r="W120" i="67"/>
  <c r="V48" i="19" s="1"/>
  <c r="X120" i="67"/>
  <c r="W48" i="19" s="1"/>
  <c r="Y120" i="67"/>
  <c r="X48" i="19" s="1"/>
  <c r="Z120" i="67"/>
  <c r="Y48" i="19" s="1"/>
  <c r="AA120" i="67"/>
  <c r="Z48" i="19" s="1"/>
  <c r="AB120" i="67"/>
  <c r="AA48" i="19" s="1"/>
  <c r="AC120" i="67"/>
  <c r="AB48" i="19" s="1"/>
  <c r="AD120" i="67"/>
  <c r="AC48" i="19" s="1"/>
  <c r="AE120" i="67"/>
  <c r="AD48" i="19" s="1"/>
  <c r="AF120" i="67"/>
  <c r="AE48" i="19" s="1"/>
  <c r="AG120" i="67"/>
  <c r="AF48" i="19" s="1"/>
  <c r="AH120" i="67"/>
  <c r="AG48" i="19" s="1"/>
  <c r="AI120" i="67"/>
  <c r="AH48" i="19" s="1"/>
  <c r="AJ120" i="67"/>
  <c r="AI48" i="19" s="1"/>
  <c r="AK120" i="67"/>
  <c r="AJ48" i="19" s="1"/>
  <c r="AL120" i="67"/>
  <c r="AK48" i="19" s="1"/>
  <c r="AM120" i="67"/>
  <c r="AL48" i="19" s="1"/>
  <c r="AN120" i="67"/>
  <c r="AM48" i="19" s="1"/>
  <c r="AO120" i="67"/>
  <c r="AN48" i="19" s="1"/>
  <c r="D121" i="67"/>
  <c r="C69" i="19" s="1"/>
  <c r="E121" i="67"/>
  <c r="D69" i="19" s="1"/>
  <c r="F121" i="67"/>
  <c r="E69" i="19" s="1"/>
  <c r="G121" i="67"/>
  <c r="F69" i="19" s="1"/>
  <c r="H121" i="67"/>
  <c r="G69" i="19" s="1"/>
  <c r="I121" i="67"/>
  <c r="H69" i="19" s="1"/>
  <c r="J121" i="67"/>
  <c r="I69" i="19" s="1"/>
  <c r="K121" i="67"/>
  <c r="J69" i="19" s="1"/>
  <c r="L121" i="67"/>
  <c r="K69" i="19" s="1"/>
  <c r="M121" i="67"/>
  <c r="L69" i="19" s="1"/>
  <c r="N121" i="67"/>
  <c r="M69" i="19" s="1"/>
  <c r="O121" i="67"/>
  <c r="N69" i="19" s="1"/>
  <c r="P121" i="67"/>
  <c r="O69" i="19" s="1"/>
  <c r="Q121" i="67"/>
  <c r="P69" i="19" s="1"/>
  <c r="R121" i="67"/>
  <c r="Q69" i="19" s="1"/>
  <c r="S121" i="67"/>
  <c r="R69" i="19" s="1"/>
  <c r="T121" i="67"/>
  <c r="S69" i="19" s="1"/>
  <c r="U121" i="67"/>
  <c r="T69" i="19" s="1"/>
  <c r="V121" i="67"/>
  <c r="U69" i="19" s="1"/>
  <c r="W121" i="67"/>
  <c r="V69" i="19" s="1"/>
  <c r="X121" i="67"/>
  <c r="W69" i="19" s="1"/>
  <c r="Y121" i="67"/>
  <c r="X69" i="19" s="1"/>
  <c r="Z121" i="67"/>
  <c r="Y69" i="19" s="1"/>
  <c r="AA121" i="67"/>
  <c r="Z69" i="19" s="1"/>
  <c r="AB121" i="67"/>
  <c r="AA69" i="19" s="1"/>
  <c r="AC121" i="67"/>
  <c r="AB69" i="19" s="1"/>
  <c r="AD121" i="67"/>
  <c r="AC69" i="19" s="1"/>
  <c r="AE121" i="67"/>
  <c r="AD69" i="19" s="1"/>
  <c r="AF121" i="67"/>
  <c r="AE69" i="19" s="1"/>
  <c r="AG121" i="67"/>
  <c r="AF69" i="19" s="1"/>
  <c r="AH121" i="67"/>
  <c r="AG69" i="19" s="1"/>
  <c r="AI121" i="67"/>
  <c r="AH69" i="19" s="1"/>
  <c r="AJ121" i="67"/>
  <c r="AI69" i="19" s="1"/>
  <c r="AK121" i="67"/>
  <c r="AJ69" i="19" s="1"/>
  <c r="AL121" i="67"/>
  <c r="AK69" i="19" s="1"/>
  <c r="AM121" i="67"/>
  <c r="AL69" i="19" s="1"/>
  <c r="AN121" i="67"/>
  <c r="AM69" i="19" s="1"/>
  <c r="AO121" i="67"/>
  <c r="AN69" i="19" s="1"/>
  <c r="D122" i="67"/>
  <c r="C79" i="19" s="1"/>
  <c r="E122" i="67"/>
  <c r="D79" i="19" s="1"/>
  <c r="F122" i="67"/>
  <c r="E79" i="19" s="1"/>
  <c r="G122" i="67"/>
  <c r="F79" i="19" s="1"/>
  <c r="H122" i="67"/>
  <c r="G79" i="19" s="1"/>
  <c r="I122" i="67"/>
  <c r="H79" i="19" s="1"/>
  <c r="J122" i="67"/>
  <c r="I79" i="19" s="1"/>
  <c r="K122" i="67"/>
  <c r="J79" i="19" s="1"/>
  <c r="L122" i="67"/>
  <c r="K79" i="19" s="1"/>
  <c r="M122" i="67"/>
  <c r="L79" i="19" s="1"/>
  <c r="N122" i="67"/>
  <c r="M79" i="19" s="1"/>
  <c r="O122" i="67"/>
  <c r="N79" i="19" s="1"/>
  <c r="P122" i="67"/>
  <c r="O79" i="19" s="1"/>
  <c r="Q122" i="67"/>
  <c r="P79" i="19" s="1"/>
  <c r="R122" i="67"/>
  <c r="Q79" i="19" s="1"/>
  <c r="S122" i="67"/>
  <c r="R79" i="19" s="1"/>
  <c r="T122" i="67"/>
  <c r="S79" i="19" s="1"/>
  <c r="U122" i="67"/>
  <c r="T79" i="19" s="1"/>
  <c r="V122" i="67"/>
  <c r="U79" i="19" s="1"/>
  <c r="W122" i="67"/>
  <c r="V79" i="19" s="1"/>
  <c r="X122" i="67"/>
  <c r="W79" i="19" s="1"/>
  <c r="Y122" i="67"/>
  <c r="X79" i="19" s="1"/>
  <c r="Z122" i="67"/>
  <c r="Y79" i="19" s="1"/>
  <c r="AA122" i="67"/>
  <c r="Z79" i="19" s="1"/>
  <c r="AB122" i="67"/>
  <c r="AA79" i="19" s="1"/>
  <c r="AC122" i="67"/>
  <c r="AB79" i="19" s="1"/>
  <c r="AD122" i="67"/>
  <c r="AC79" i="19" s="1"/>
  <c r="AE122" i="67"/>
  <c r="AD79" i="19" s="1"/>
  <c r="AF122" i="67"/>
  <c r="AE79" i="19" s="1"/>
  <c r="AG122" i="67"/>
  <c r="AF79" i="19" s="1"/>
  <c r="AH122" i="67"/>
  <c r="AG79" i="19" s="1"/>
  <c r="AI122" i="67"/>
  <c r="AH79" i="19" s="1"/>
  <c r="AJ122" i="67"/>
  <c r="AI79" i="19" s="1"/>
  <c r="AK122" i="67"/>
  <c r="AJ79" i="19" s="1"/>
  <c r="AL122" i="67"/>
  <c r="AK79" i="19" s="1"/>
  <c r="AM122" i="67"/>
  <c r="AL79" i="19" s="1"/>
  <c r="AN122" i="67"/>
  <c r="AM79" i="19" s="1"/>
  <c r="AO122" i="67"/>
  <c r="AN79" i="19" s="1"/>
  <c r="D123" i="67"/>
  <c r="C83" i="19" s="1"/>
  <c r="E123" i="67"/>
  <c r="D83" i="19" s="1"/>
  <c r="F123" i="67"/>
  <c r="E83" i="19" s="1"/>
  <c r="G123" i="67"/>
  <c r="F83" i="19" s="1"/>
  <c r="H123" i="67"/>
  <c r="G83" i="19" s="1"/>
  <c r="I123" i="67"/>
  <c r="H83" i="19" s="1"/>
  <c r="J123" i="67"/>
  <c r="I83" i="19" s="1"/>
  <c r="K123" i="67"/>
  <c r="J83" i="19" s="1"/>
  <c r="L123" i="67"/>
  <c r="K83" i="19" s="1"/>
  <c r="M123" i="67"/>
  <c r="L83" i="19" s="1"/>
  <c r="N123" i="67"/>
  <c r="M83" i="19" s="1"/>
  <c r="O123" i="67"/>
  <c r="N83" i="19" s="1"/>
  <c r="P123" i="67"/>
  <c r="O83" i="19" s="1"/>
  <c r="Q123" i="67"/>
  <c r="P83" i="19" s="1"/>
  <c r="R123" i="67"/>
  <c r="Q83" i="19" s="1"/>
  <c r="S123" i="67"/>
  <c r="R83" i="19" s="1"/>
  <c r="T123" i="67"/>
  <c r="S83" i="19" s="1"/>
  <c r="U123" i="67"/>
  <c r="T83" i="19" s="1"/>
  <c r="V123" i="67"/>
  <c r="U83" i="19" s="1"/>
  <c r="W123" i="67"/>
  <c r="V83" i="19" s="1"/>
  <c r="X123" i="67"/>
  <c r="W83" i="19" s="1"/>
  <c r="Y123" i="67"/>
  <c r="X83" i="19" s="1"/>
  <c r="Z123" i="67"/>
  <c r="Y83" i="19" s="1"/>
  <c r="AA123" i="67"/>
  <c r="Z83" i="19" s="1"/>
  <c r="AB123" i="67"/>
  <c r="AA83" i="19" s="1"/>
  <c r="AC123" i="67"/>
  <c r="AB83" i="19" s="1"/>
  <c r="AD123" i="67"/>
  <c r="AC83" i="19" s="1"/>
  <c r="AE123" i="67"/>
  <c r="AD83" i="19" s="1"/>
  <c r="AF123" i="67"/>
  <c r="AE83" i="19" s="1"/>
  <c r="AG123" i="67"/>
  <c r="AF83" i="19" s="1"/>
  <c r="AH123" i="67"/>
  <c r="AG83" i="19" s="1"/>
  <c r="AI123" i="67"/>
  <c r="AH83" i="19" s="1"/>
  <c r="AJ123" i="67"/>
  <c r="AI83" i="19" s="1"/>
  <c r="AK123" i="67"/>
  <c r="AJ83" i="19" s="1"/>
  <c r="AL123" i="67"/>
  <c r="AK83" i="19" s="1"/>
  <c r="AM123" i="67"/>
  <c r="AL83" i="19" s="1"/>
  <c r="AN123" i="67"/>
  <c r="AM83" i="19" s="1"/>
  <c r="AO123" i="67"/>
  <c r="AN83" i="19" s="1"/>
  <c r="D124" i="67"/>
  <c r="C88" i="19" s="1"/>
  <c r="E124" i="67"/>
  <c r="D88" i="19" s="1"/>
  <c r="F124" i="67"/>
  <c r="E88" i="19" s="1"/>
  <c r="G124" i="67"/>
  <c r="F88" i="19" s="1"/>
  <c r="H124" i="67"/>
  <c r="G88" i="19" s="1"/>
  <c r="I124" i="67"/>
  <c r="H88" i="19" s="1"/>
  <c r="J124" i="67"/>
  <c r="I88" i="19" s="1"/>
  <c r="K124" i="67"/>
  <c r="J88" i="19" s="1"/>
  <c r="L124" i="67"/>
  <c r="K88" i="19" s="1"/>
  <c r="M124" i="67"/>
  <c r="L88" i="19" s="1"/>
  <c r="N124" i="67"/>
  <c r="M88" i="19" s="1"/>
  <c r="O124" i="67"/>
  <c r="N88" i="19" s="1"/>
  <c r="P124" i="67"/>
  <c r="O88" i="19" s="1"/>
  <c r="Q124" i="67"/>
  <c r="P88" i="19" s="1"/>
  <c r="R124" i="67"/>
  <c r="Q88" i="19" s="1"/>
  <c r="S124" i="67"/>
  <c r="R88" i="19" s="1"/>
  <c r="T124" i="67"/>
  <c r="S88" i="19" s="1"/>
  <c r="U124" i="67"/>
  <c r="T88" i="19" s="1"/>
  <c r="V124" i="67"/>
  <c r="U88" i="19" s="1"/>
  <c r="W124" i="67"/>
  <c r="V88" i="19" s="1"/>
  <c r="X124" i="67"/>
  <c r="W88" i="19" s="1"/>
  <c r="Y124" i="67"/>
  <c r="X88" i="19" s="1"/>
  <c r="Z124" i="67"/>
  <c r="Y88" i="19" s="1"/>
  <c r="AA124" i="67"/>
  <c r="Z88" i="19" s="1"/>
  <c r="AB124" i="67"/>
  <c r="AA88" i="19" s="1"/>
  <c r="AC124" i="67"/>
  <c r="AB88" i="19" s="1"/>
  <c r="AD124" i="67"/>
  <c r="AC88" i="19" s="1"/>
  <c r="AE124" i="67"/>
  <c r="AD88" i="19" s="1"/>
  <c r="AF124" i="67"/>
  <c r="AE88" i="19" s="1"/>
  <c r="AG124" i="67"/>
  <c r="AF88" i="19" s="1"/>
  <c r="AH124" i="67"/>
  <c r="AG88" i="19" s="1"/>
  <c r="AI124" i="67"/>
  <c r="AH88" i="19" s="1"/>
  <c r="AJ124" i="67"/>
  <c r="AI88" i="19" s="1"/>
  <c r="AK124" i="67"/>
  <c r="AJ88" i="19" s="1"/>
  <c r="AL124" i="67"/>
  <c r="AK88" i="19" s="1"/>
  <c r="AM124" i="67"/>
  <c r="AL88" i="19" s="1"/>
  <c r="AN124" i="67"/>
  <c r="AM88" i="19" s="1"/>
  <c r="AO124" i="67"/>
  <c r="AN88" i="19" s="1"/>
  <c r="D125" i="67"/>
  <c r="C94" i="19" s="1"/>
  <c r="E125" i="67"/>
  <c r="D94" i="19" s="1"/>
  <c r="F125" i="67"/>
  <c r="E94" i="19" s="1"/>
  <c r="G125" i="67"/>
  <c r="F94" i="19" s="1"/>
  <c r="H125" i="67"/>
  <c r="G94" i="19" s="1"/>
  <c r="I125" i="67"/>
  <c r="H94" i="19" s="1"/>
  <c r="J125" i="67"/>
  <c r="I94" i="19" s="1"/>
  <c r="K125" i="67"/>
  <c r="J94" i="19" s="1"/>
  <c r="L125" i="67"/>
  <c r="K94" i="19" s="1"/>
  <c r="M125" i="67"/>
  <c r="L94" i="19" s="1"/>
  <c r="N125" i="67"/>
  <c r="M94" i="19" s="1"/>
  <c r="O125" i="67"/>
  <c r="N94" i="19" s="1"/>
  <c r="P125" i="67"/>
  <c r="O94" i="19" s="1"/>
  <c r="Q125" i="67"/>
  <c r="P94" i="19" s="1"/>
  <c r="R125" i="67"/>
  <c r="Q94" i="19" s="1"/>
  <c r="S125" i="67"/>
  <c r="R94" i="19" s="1"/>
  <c r="T125" i="67"/>
  <c r="S94" i="19" s="1"/>
  <c r="U125" i="67"/>
  <c r="T94" i="19" s="1"/>
  <c r="V125" i="67"/>
  <c r="U94" i="19" s="1"/>
  <c r="W125" i="67"/>
  <c r="V94" i="19" s="1"/>
  <c r="X125" i="67"/>
  <c r="W94" i="19" s="1"/>
  <c r="Y125" i="67"/>
  <c r="X94" i="19" s="1"/>
  <c r="Z125" i="67"/>
  <c r="Y94" i="19" s="1"/>
  <c r="AA125" i="67"/>
  <c r="Z94" i="19" s="1"/>
  <c r="AB125" i="67"/>
  <c r="AA94" i="19" s="1"/>
  <c r="AC125" i="67"/>
  <c r="AB94" i="19" s="1"/>
  <c r="AD125" i="67"/>
  <c r="AC94" i="19" s="1"/>
  <c r="AE125" i="67"/>
  <c r="AD94" i="19" s="1"/>
  <c r="AF125" i="67"/>
  <c r="AE94" i="19" s="1"/>
  <c r="AG125" i="67"/>
  <c r="AF94" i="19" s="1"/>
  <c r="AH125" i="67"/>
  <c r="AG94" i="19" s="1"/>
  <c r="AI125" i="67"/>
  <c r="AH94" i="19" s="1"/>
  <c r="AJ125" i="67"/>
  <c r="AI94" i="19" s="1"/>
  <c r="AK125" i="67"/>
  <c r="AJ94" i="19" s="1"/>
  <c r="AL125" i="67"/>
  <c r="AK94" i="19" s="1"/>
  <c r="AM125" i="67"/>
  <c r="AL94" i="19" s="1"/>
  <c r="AN125" i="67"/>
  <c r="AM94" i="19" s="1"/>
  <c r="AO125" i="67"/>
  <c r="AN94" i="19" s="1"/>
  <c r="D128" i="67"/>
  <c r="C12" i="20" s="1"/>
  <c r="E128" i="67"/>
  <c r="D12" i="20" s="1"/>
  <c r="F128" i="67"/>
  <c r="E12" i="20" s="1"/>
  <c r="G128" i="67"/>
  <c r="F12" i="20" s="1"/>
  <c r="H128" i="67"/>
  <c r="G12" i="20" s="1"/>
  <c r="I128" i="67"/>
  <c r="H12" i="20" s="1"/>
  <c r="J128" i="67"/>
  <c r="I12" i="20" s="1"/>
  <c r="K128" i="67"/>
  <c r="J12" i="20" s="1"/>
  <c r="L128" i="67"/>
  <c r="K12" i="20" s="1"/>
  <c r="M128" i="67"/>
  <c r="L12" i="20" s="1"/>
  <c r="N128" i="67"/>
  <c r="M12" i="20" s="1"/>
  <c r="O128" i="67"/>
  <c r="N12" i="20" s="1"/>
  <c r="P128" i="67"/>
  <c r="O12" i="20" s="1"/>
  <c r="Q128" i="67"/>
  <c r="P12" i="20" s="1"/>
  <c r="R128" i="67"/>
  <c r="Q12" i="20" s="1"/>
  <c r="S128" i="67"/>
  <c r="R12" i="20" s="1"/>
  <c r="T128" i="67"/>
  <c r="S12" i="20" s="1"/>
  <c r="U128" i="67"/>
  <c r="T12" i="20" s="1"/>
  <c r="V128" i="67"/>
  <c r="U12" i="20" s="1"/>
  <c r="W128" i="67"/>
  <c r="V12" i="20" s="1"/>
  <c r="X128" i="67"/>
  <c r="W12" i="20" s="1"/>
  <c r="Y128" i="67"/>
  <c r="X12" i="20" s="1"/>
  <c r="Z128" i="67"/>
  <c r="Y12" i="20" s="1"/>
  <c r="AA128" i="67"/>
  <c r="Z12" i="20" s="1"/>
  <c r="AB128" i="67"/>
  <c r="AA12" i="20" s="1"/>
  <c r="AC128" i="67"/>
  <c r="AB12" i="20" s="1"/>
  <c r="AD128" i="67"/>
  <c r="AC12" i="20" s="1"/>
  <c r="AE128" i="67"/>
  <c r="AD12" i="20" s="1"/>
  <c r="AF128" i="67"/>
  <c r="AE12" i="20" s="1"/>
  <c r="AG128" i="67"/>
  <c r="AF12" i="20" s="1"/>
  <c r="AH128" i="67"/>
  <c r="AG12" i="20" s="1"/>
  <c r="AI128" i="67"/>
  <c r="AJ128" i="67"/>
  <c r="AI12" i="20" s="1"/>
  <c r="AK128" i="67"/>
  <c r="AJ12" i="20" s="1"/>
  <c r="AL128" i="67"/>
  <c r="AK12" i="20" s="1"/>
  <c r="AM128" i="67"/>
  <c r="AL12" i="20" s="1"/>
  <c r="AN128" i="67"/>
  <c r="AM12" i="20" s="1"/>
  <c r="AO128" i="67"/>
  <c r="AN12" i="20" s="1"/>
  <c r="D129" i="67"/>
  <c r="C27" i="20" s="1"/>
  <c r="E129" i="67"/>
  <c r="D27" i="20" s="1"/>
  <c r="F129" i="67"/>
  <c r="E27" i="20" s="1"/>
  <c r="G129" i="67"/>
  <c r="F27" i="20" s="1"/>
  <c r="H129" i="67"/>
  <c r="G27" i="20" s="1"/>
  <c r="I129" i="67"/>
  <c r="H27" i="20" s="1"/>
  <c r="J129" i="67"/>
  <c r="I27" i="20" s="1"/>
  <c r="K129" i="67"/>
  <c r="J27" i="20" s="1"/>
  <c r="L129" i="67"/>
  <c r="K27" i="20" s="1"/>
  <c r="M129" i="67"/>
  <c r="L27" i="20" s="1"/>
  <c r="N129" i="67"/>
  <c r="M27" i="20" s="1"/>
  <c r="O129" i="67"/>
  <c r="N27" i="20" s="1"/>
  <c r="P129" i="67"/>
  <c r="O27" i="20" s="1"/>
  <c r="Q129" i="67"/>
  <c r="P27" i="20" s="1"/>
  <c r="R129" i="67"/>
  <c r="Q27" i="20" s="1"/>
  <c r="S129" i="67"/>
  <c r="R27" i="20" s="1"/>
  <c r="T129" i="67"/>
  <c r="S27" i="20" s="1"/>
  <c r="U129" i="67"/>
  <c r="T27" i="20" s="1"/>
  <c r="V129" i="67"/>
  <c r="U27" i="20" s="1"/>
  <c r="W129" i="67"/>
  <c r="V27" i="20" s="1"/>
  <c r="X129" i="67"/>
  <c r="W27" i="20" s="1"/>
  <c r="Y129" i="67"/>
  <c r="X27" i="20" s="1"/>
  <c r="Z129" i="67"/>
  <c r="Y27" i="20" s="1"/>
  <c r="AA129" i="67"/>
  <c r="Z27" i="20" s="1"/>
  <c r="AB129" i="67"/>
  <c r="AA27" i="20" s="1"/>
  <c r="AC129" i="67"/>
  <c r="AB27" i="20" s="1"/>
  <c r="AD129" i="67"/>
  <c r="AC27" i="20" s="1"/>
  <c r="AE129" i="67"/>
  <c r="AD27" i="20" s="1"/>
  <c r="AF129" i="67"/>
  <c r="AE27" i="20" s="1"/>
  <c r="AG129" i="67"/>
  <c r="AF27" i="20" s="1"/>
  <c r="AH129" i="67"/>
  <c r="AG27" i="20" s="1"/>
  <c r="AI129" i="67"/>
  <c r="AH27" i="20" s="1"/>
  <c r="AJ129" i="67"/>
  <c r="AI27" i="20" s="1"/>
  <c r="AK129" i="67"/>
  <c r="AJ27" i="20" s="1"/>
  <c r="AL129" i="67"/>
  <c r="AK27" i="20" s="1"/>
  <c r="AM129" i="67"/>
  <c r="AL27" i="20" s="1"/>
  <c r="AN129" i="67"/>
  <c r="AM27" i="20" s="1"/>
  <c r="AO129" i="67"/>
  <c r="AN27" i="20" s="1"/>
  <c r="D130" i="67"/>
  <c r="C34" i="20" s="1"/>
  <c r="E130" i="67"/>
  <c r="D34" i="20" s="1"/>
  <c r="F130" i="67"/>
  <c r="E34" i="20" s="1"/>
  <c r="G130" i="67"/>
  <c r="F34" i="20" s="1"/>
  <c r="H130" i="67"/>
  <c r="G34" i="20" s="1"/>
  <c r="I130" i="67"/>
  <c r="H34" i="20" s="1"/>
  <c r="J130" i="67"/>
  <c r="I34" i="20" s="1"/>
  <c r="K130" i="67"/>
  <c r="J34" i="20" s="1"/>
  <c r="L130" i="67"/>
  <c r="K34" i="20" s="1"/>
  <c r="M130" i="67"/>
  <c r="L34" i="20" s="1"/>
  <c r="N130" i="67"/>
  <c r="M34" i="20" s="1"/>
  <c r="O130" i="67"/>
  <c r="N34" i="20" s="1"/>
  <c r="P130" i="67"/>
  <c r="O34" i="20" s="1"/>
  <c r="Q130" i="67"/>
  <c r="P34" i="20" s="1"/>
  <c r="R130" i="67"/>
  <c r="Q34" i="20" s="1"/>
  <c r="S130" i="67"/>
  <c r="R34" i="20" s="1"/>
  <c r="T130" i="67"/>
  <c r="S34" i="20" s="1"/>
  <c r="U130" i="67"/>
  <c r="T34" i="20" s="1"/>
  <c r="V130" i="67"/>
  <c r="U34" i="20" s="1"/>
  <c r="W130" i="67"/>
  <c r="V34" i="20" s="1"/>
  <c r="X130" i="67"/>
  <c r="W34" i="20" s="1"/>
  <c r="Y130" i="67"/>
  <c r="X34" i="20" s="1"/>
  <c r="Z130" i="67"/>
  <c r="Y34" i="20" s="1"/>
  <c r="AA130" i="67"/>
  <c r="Z34" i="20" s="1"/>
  <c r="AB130" i="67"/>
  <c r="AA34" i="20" s="1"/>
  <c r="AC130" i="67"/>
  <c r="AB34" i="20" s="1"/>
  <c r="AD130" i="67"/>
  <c r="AC34" i="20" s="1"/>
  <c r="AE130" i="67"/>
  <c r="AD34" i="20" s="1"/>
  <c r="AF130" i="67"/>
  <c r="AE34" i="20" s="1"/>
  <c r="AG130" i="67"/>
  <c r="AF34" i="20" s="1"/>
  <c r="AH130" i="67"/>
  <c r="AG34" i="20" s="1"/>
  <c r="AI130" i="67"/>
  <c r="AH34" i="20" s="1"/>
  <c r="AJ130" i="67"/>
  <c r="AI34" i="20" s="1"/>
  <c r="AK130" i="67"/>
  <c r="AJ34" i="20" s="1"/>
  <c r="AL130" i="67"/>
  <c r="AK34" i="20" s="1"/>
  <c r="AM130" i="67"/>
  <c r="AL34" i="20" s="1"/>
  <c r="AN130" i="67"/>
  <c r="AM34" i="20" s="1"/>
  <c r="AO130" i="67"/>
  <c r="AN34" i="20" s="1"/>
  <c r="D131" i="67"/>
  <c r="C48" i="20" s="1"/>
  <c r="E131" i="67"/>
  <c r="D48" i="20" s="1"/>
  <c r="F131" i="67"/>
  <c r="E48" i="20" s="1"/>
  <c r="G131" i="67"/>
  <c r="F48" i="20" s="1"/>
  <c r="H131" i="67"/>
  <c r="G48" i="20" s="1"/>
  <c r="I131" i="67"/>
  <c r="H48" i="20" s="1"/>
  <c r="J131" i="67"/>
  <c r="I48" i="20" s="1"/>
  <c r="K131" i="67"/>
  <c r="J48" i="20" s="1"/>
  <c r="L131" i="67"/>
  <c r="K48" i="20" s="1"/>
  <c r="M131" i="67"/>
  <c r="L48" i="20" s="1"/>
  <c r="N131" i="67"/>
  <c r="M48" i="20" s="1"/>
  <c r="O131" i="67"/>
  <c r="N48" i="20" s="1"/>
  <c r="P131" i="67"/>
  <c r="O48" i="20" s="1"/>
  <c r="Q131" i="67"/>
  <c r="P48" i="20" s="1"/>
  <c r="R131" i="67"/>
  <c r="Q48" i="20" s="1"/>
  <c r="S131" i="67"/>
  <c r="R48" i="20" s="1"/>
  <c r="T131" i="67"/>
  <c r="S48" i="20" s="1"/>
  <c r="U131" i="67"/>
  <c r="T48" i="20" s="1"/>
  <c r="V131" i="67"/>
  <c r="U48" i="20" s="1"/>
  <c r="W131" i="67"/>
  <c r="V48" i="20" s="1"/>
  <c r="X131" i="67"/>
  <c r="W48" i="20" s="1"/>
  <c r="Y131" i="67"/>
  <c r="X48" i="20" s="1"/>
  <c r="Z131" i="67"/>
  <c r="Y48" i="20" s="1"/>
  <c r="AA131" i="67"/>
  <c r="Z48" i="20" s="1"/>
  <c r="AB131" i="67"/>
  <c r="AA48" i="20" s="1"/>
  <c r="AC131" i="67"/>
  <c r="AB48" i="20" s="1"/>
  <c r="AD131" i="67"/>
  <c r="AC48" i="20" s="1"/>
  <c r="AE131" i="67"/>
  <c r="AD48" i="20" s="1"/>
  <c r="AF131" i="67"/>
  <c r="AE48" i="20" s="1"/>
  <c r="AG131" i="67"/>
  <c r="AF48" i="20" s="1"/>
  <c r="AH131" i="67"/>
  <c r="AG48" i="20" s="1"/>
  <c r="AI131" i="67"/>
  <c r="AH48" i="20" s="1"/>
  <c r="AJ131" i="67"/>
  <c r="AI48" i="20" s="1"/>
  <c r="AK131" i="67"/>
  <c r="AJ48" i="20" s="1"/>
  <c r="AL131" i="67"/>
  <c r="AK48" i="20" s="1"/>
  <c r="AM131" i="67"/>
  <c r="AL48" i="20" s="1"/>
  <c r="AN131" i="67"/>
  <c r="AM48" i="20" s="1"/>
  <c r="AO131" i="67"/>
  <c r="AN48" i="20" s="1"/>
  <c r="D132" i="67"/>
  <c r="C69" i="20" s="1"/>
  <c r="E132" i="67"/>
  <c r="D69" i="20" s="1"/>
  <c r="F132" i="67"/>
  <c r="E69" i="20" s="1"/>
  <c r="G132" i="67"/>
  <c r="F69" i="20" s="1"/>
  <c r="H132" i="67"/>
  <c r="G69" i="20" s="1"/>
  <c r="I132" i="67"/>
  <c r="H69" i="20" s="1"/>
  <c r="J132" i="67"/>
  <c r="I69" i="20" s="1"/>
  <c r="K132" i="67"/>
  <c r="J69" i="20" s="1"/>
  <c r="L132" i="67"/>
  <c r="K69" i="20" s="1"/>
  <c r="M132" i="67"/>
  <c r="L69" i="20" s="1"/>
  <c r="N132" i="67"/>
  <c r="M69" i="20" s="1"/>
  <c r="O132" i="67"/>
  <c r="N69" i="20" s="1"/>
  <c r="P132" i="67"/>
  <c r="O69" i="20" s="1"/>
  <c r="Q132" i="67"/>
  <c r="P69" i="20" s="1"/>
  <c r="R132" i="67"/>
  <c r="Q69" i="20" s="1"/>
  <c r="S132" i="67"/>
  <c r="R69" i="20" s="1"/>
  <c r="T132" i="67"/>
  <c r="S69" i="20" s="1"/>
  <c r="U132" i="67"/>
  <c r="T69" i="20" s="1"/>
  <c r="V132" i="67"/>
  <c r="U69" i="20" s="1"/>
  <c r="W132" i="67"/>
  <c r="V69" i="20" s="1"/>
  <c r="X132" i="67"/>
  <c r="W69" i="20" s="1"/>
  <c r="Y132" i="67"/>
  <c r="X69" i="20" s="1"/>
  <c r="Z132" i="67"/>
  <c r="Y69" i="20" s="1"/>
  <c r="AA132" i="67"/>
  <c r="Z69" i="20" s="1"/>
  <c r="AB132" i="67"/>
  <c r="AA69" i="20" s="1"/>
  <c r="AC132" i="67"/>
  <c r="AB69" i="20" s="1"/>
  <c r="AD132" i="67"/>
  <c r="AC69" i="20" s="1"/>
  <c r="AE132" i="67"/>
  <c r="AD69" i="20" s="1"/>
  <c r="AF132" i="67"/>
  <c r="AE69" i="20" s="1"/>
  <c r="AG132" i="67"/>
  <c r="AF69" i="20" s="1"/>
  <c r="AH132" i="67"/>
  <c r="AG69" i="20" s="1"/>
  <c r="AI132" i="67"/>
  <c r="AH69" i="20" s="1"/>
  <c r="AJ132" i="67"/>
  <c r="AI69" i="20" s="1"/>
  <c r="AK132" i="67"/>
  <c r="AJ69" i="20" s="1"/>
  <c r="AL132" i="67"/>
  <c r="AK69" i="20" s="1"/>
  <c r="AM132" i="67"/>
  <c r="AL69" i="20" s="1"/>
  <c r="AN132" i="67"/>
  <c r="AM69" i="20" s="1"/>
  <c r="AO132" i="67"/>
  <c r="AN69" i="20" s="1"/>
  <c r="D133" i="67"/>
  <c r="C79" i="20" s="1"/>
  <c r="E133" i="67"/>
  <c r="D79" i="20" s="1"/>
  <c r="F133" i="67"/>
  <c r="E79" i="20" s="1"/>
  <c r="G133" i="67"/>
  <c r="F79" i="20" s="1"/>
  <c r="H133" i="67"/>
  <c r="G79" i="20" s="1"/>
  <c r="I133" i="67"/>
  <c r="H79" i="20" s="1"/>
  <c r="J133" i="67"/>
  <c r="I79" i="20" s="1"/>
  <c r="K133" i="67"/>
  <c r="J79" i="20" s="1"/>
  <c r="L133" i="67"/>
  <c r="K79" i="20" s="1"/>
  <c r="M133" i="67"/>
  <c r="L79" i="20" s="1"/>
  <c r="N133" i="67"/>
  <c r="M79" i="20" s="1"/>
  <c r="O133" i="67"/>
  <c r="N79" i="20" s="1"/>
  <c r="P133" i="67"/>
  <c r="O79" i="20" s="1"/>
  <c r="Q133" i="67"/>
  <c r="P79" i="20" s="1"/>
  <c r="R133" i="67"/>
  <c r="Q79" i="20" s="1"/>
  <c r="S133" i="67"/>
  <c r="R79" i="20" s="1"/>
  <c r="T133" i="67"/>
  <c r="S79" i="20" s="1"/>
  <c r="U133" i="67"/>
  <c r="T79" i="20" s="1"/>
  <c r="V133" i="67"/>
  <c r="U79" i="20" s="1"/>
  <c r="W133" i="67"/>
  <c r="V79" i="20" s="1"/>
  <c r="X133" i="67"/>
  <c r="W79" i="20" s="1"/>
  <c r="Y133" i="67"/>
  <c r="X79" i="20" s="1"/>
  <c r="Z133" i="67"/>
  <c r="Y79" i="20" s="1"/>
  <c r="AA133" i="67"/>
  <c r="Z79" i="20" s="1"/>
  <c r="AB133" i="67"/>
  <c r="AA79" i="20" s="1"/>
  <c r="AC133" i="67"/>
  <c r="AB79" i="20" s="1"/>
  <c r="AD133" i="67"/>
  <c r="AC79" i="20" s="1"/>
  <c r="AE133" i="67"/>
  <c r="AD79" i="20" s="1"/>
  <c r="AF133" i="67"/>
  <c r="AE79" i="20" s="1"/>
  <c r="AG133" i="67"/>
  <c r="AF79" i="20" s="1"/>
  <c r="AH133" i="67"/>
  <c r="AG79" i="20" s="1"/>
  <c r="AI133" i="67"/>
  <c r="AH79" i="20" s="1"/>
  <c r="AJ133" i="67"/>
  <c r="AI79" i="20" s="1"/>
  <c r="AK133" i="67"/>
  <c r="AJ79" i="20" s="1"/>
  <c r="AL133" i="67"/>
  <c r="AK79" i="20" s="1"/>
  <c r="AM133" i="67"/>
  <c r="AL79" i="20" s="1"/>
  <c r="AN133" i="67"/>
  <c r="AM79" i="20" s="1"/>
  <c r="AO133" i="67"/>
  <c r="AN79" i="20" s="1"/>
  <c r="D134" i="67"/>
  <c r="C83" i="20" s="1"/>
  <c r="E134" i="67"/>
  <c r="D83" i="20" s="1"/>
  <c r="F134" i="67"/>
  <c r="E83" i="20" s="1"/>
  <c r="G134" i="67"/>
  <c r="F83" i="20" s="1"/>
  <c r="H134" i="67"/>
  <c r="G83" i="20" s="1"/>
  <c r="I134" i="67"/>
  <c r="H83" i="20" s="1"/>
  <c r="J134" i="67"/>
  <c r="I83" i="20" s="1"/>
  <c r="K134" i="67"/>
  <c r="J83" i="20" s="1"/>
  <c r="L134" i="67"/>
  <c r="K83" i="20" s="1"/>
  <c r="M134" i="67"/>
  <c r="L83" i="20" s="1"/>
  <c r="N134" i="67"/>
  <c r="M83" i="20" s="1"/>
  <c r="O134" i="67"/>
  <c r="N83" i="20" s="1"/>
  <c r="P134" i="67"/>
  <c r="O83" i="20" s="1"/>
  <c r="Q134" i="67"/>
  <c r="P83" i="20" s="1"/>
  <c r="R134" i="67"/>
  <c r="Q83" i="20" s="1"/>
  <c r="S134" i="67"/>
  <c r="R83" i="20" s="1"/>
  <c r="T134" i="67"/>
  <c r="S83" i="20" s="1"/>
  <c r="U134" i="67"/>
  <c r="T83" i="20" s="1"/>
  <c r="V134" i="67"/>
  <c r="U83" i="20" s="1"/>
  <c r="W134" i="67"/>
  <c r="V83" i="20" s="1"/>
  <c r="X134" i="67"/>
  <c r="W83" i="20" s="1"/>
  <c r="Y134" i="67"/>
  <c r="X83" i="20" s="1"/>
  <c r="Z134" i="67"/>
  <c r="Y83" i="20" s="1"/>
  <c r="AA134" i="67"/>
  <c r="Z83" i="20" s="1"/>
  <c r="AB134" i="67"/>
  <c r="AA83" i="20" s="1"/>
  <c r="AC134" i="67"/>
  <c r="AB83" i="20" s="1"/>
  <c r="AD134" i="67"/>
  <c r="AC83" i="20" s="1"/>
  <c r="AE134" i="67"/>
  <c r="AD83" i="20" s="1"/>
  <c r="AF134" i="67"/>
  <c r="AE83" i="20" s="1"/>
  <c r="AG134" i="67"/>
  <c r="AF83" i="20" s="1"/>
  <c r="AH134" i="67"/>
  <c r="AG83" i="20" s="1"/>
  <c r="AI134" i="67"/>
  <c r="AH83" i="20" s="1"/>
  <c r="AJ134" i="67"/>
  <c r="AI83" i="20" s="1"/>
  <c r="AK134" i="67"/>
  <c r="AJ83" i="20" s="1"/>
  <c r="AL134" i="67"/>
  <c r="AK83" i="20" s="1"/>
  <c r="AM134" i="67"/>
  <c r="AL83" i="20" s="1"/>
  <c r="AN134" i="67"/>
  <c r="AM83" i="20" s="1"/>
  <c r="AO134" i="67"/>
  <c r="AN83" i="20" s="1"/>
  <c r="D135" i="67"/>
  <c r="C88" i="20" s="1"/>
  <c r="E135" i="67"/>
  <c r="D88" i="20" s="1"/>
  <c r="F135" i="67"/>
  <c r="E88" i="20" s="1"/>
  <c r="G135" i="67"/>
  <c r="F88" i="20" s="1"/>
  <c r="H135" i="67"/>
  <c r="G88" i="20" s="1"/>
  <c r="I135" i="67"/>
  <c r="H88" i="20" s="1"/>
  <c r="J135" i="67"/>
  <c r="I88" i="20" s="1"/>
  <c r="K135" i="67"/>
  <c r="J88" i="20" s="1"/>
  <c r="L135" i="67"/>
  <c r="K88" i="20" s="1"/>
  <c r="M135" i="67"/>
  <c r="L88" i="20" s="1"/>
  <c r="N135" i="67"/>
  <c r="M88" i="20" s="1"/>
  <c r="O135" i="67"/>
  <c r="N88" i="20" s="1"/>
  <c r="P135" i="67"/>
  <c r="O88" i="20" s="1"/>
  <c r="Q135" i="67"/>
  <c r="P88" i="20" s="1"/>
  <c r="R135" i="67"/>
  <c r="Q88" i="20" s="1"/>
  <c r="S135" i="67"/>
  <c r="R88" i="20" s="1"/>
  <c r="T135" i="67"/>
  <c r="S88" i="20" s="1"/>
  <c r="U135" i="67"/>
  <c r="T88" i="20" s="1"/>
  <c r="V135" i="67"/>
  <c r="U88" i="20" s="1"/>
  <c r="W135" i="67"/>
  <c r="V88" i="20" s="1"/>
  <c r="X135" i="67"/>
  <c r="W88" i="20" s="1"/>
  <c r="Y135" i="67"/>
  <c r="X88" i="20" s="1"/>
  <c r="Z135" i="67"/>
  <c r="Y88" i="20" s="1"/>
  <c r="AA135" i="67"/>
  <c r="Z88" i="20" s="1"/>
  <c r="AB135" i="67"/>
  <c r="AA88" i="20" s="1"/>
  <c r="AC135" i="67"/>
  <c r="AB88" i="20" s="1"/>
  <c r="AD135" i="67"/>
  <c r="AC88" i="20" s="1"/>
  <c r="AE135" i="67"/>
  <c r="AD88" i="20" s="1"/>
  <c r="AF135" i="67"/>
  <c r="AE88" i="20" s="1"/>
  <c r="AG135" i="67"/>
  <c r="AF88" i="20" s="1"/>
  <c r="AH135" i="67"/>
  <c r="AG88" i="20" s="1"/>
  <c r="AI135" i="67"/>
  <c r="AH88" i="20" s="1"/>
  <c r="AJ135" i="67"/>
  <c r="AI88" i="20" s="1"/>
  <c r="AK135" i="67"/>
  <c r="AJ88" i="20" s="1"/>
  <c r="AL135" i="67"/>
  <c r="AK88" i="20" s="1"/>
  <c r="AM135" i="67"/>
  <c r="AL88" i="20" s="1"/>
  <c r="AN135" i="67"/>
  <c r="AM88" i="20" s="1"/>
  <c r="AO135" i="67"/>
  <c r="AN88" i="20" s="1"/>
  <c r="D136" i="67"/>
  <c r="C94" i="20" s="1"/>
  <c r="E136" i="67"/>
  <c r="D94" i="20" s="1"/>
  <c r="F136" i="67"/>
  <c r="E94" i="20" s="1"/>
  <c r="G136" i="67"/>
  <c r="F94" i="20" s="1"/>
  <c r="H136" i="67"/>
  <c r="G94" i="20" s="1"/>
  <c r="I136" i="67"/>
  <c r="H94" i="20" s="1"/>
  <c r="J136" i="67"/>
  <c r="I94" i="20" s="1"/>
  <c r="K136" i="67"/>
  <c r="J94" i="20" s="1"/>
  <c r="L136" i="67"/>
  <c r="K94" i="20" s="1"/>
  <c r="M136" i="67"/>
  <c r="L94" i="20" s="1"/>
  <c r="N136" i="67"/>
  <c r="M94" i="20" s="1"/>
  <c r="O136" i="67"/>
  <c r="N94" i="20" s="1"/>
  <c r="P136" i="67"/>
  <c r="O94" i="20" s="1"/>
  <c r="Q136" i="67"/>
  <c r="P94" i="20" s="1"/>
  <c r="R136" i="67"/>
  <c r="Q94" i="20" s="1"/>
  <c r="S136" i="67"/>
  <c r="R94" i="20" s="1"/>
  <c r="T136" i="67"/>
  <c r="S94" i="20" s="1"/>
  <c r="U136" i="67"/>
  <c r="T94" i="20" s="1"/>
  <c r="V136" i="67"/>
  <c r="U94" i="20" s="1"/>
  <c r="W136" i="67"/>
  <c r="V94" i="20" s="1"/>
  <c r="X136" i="67"/>
  <c r="W94" i="20" s="1"/>
  <c r="Y136" i="67"/>
  <c r="X94" i="20" s="1"/>
  <c r="Z136" i="67"/>
  <c r="Y94" i="20" s="1"/>
  <c r="AA136" i="67"/>
  <c r="Z94" i="20" s="1"/>
  <c r="AB136" i="67"/>
  <c r="AA94" i="20" s="1"/>
  <c r="AC136" i="67"/>
  <c r="AB94" i="20" s="1"/>
  <c r="AD136" i="67"/>
  <c r="AC94" i="20" s="1"/>
  <c r="AE136" i="67"/>
  <c r="AD94" i="20" s="1"/>
  <c r="AF136" i="67"/>
  <c r="AE94" i="20" s="1"/>
  <c r="AG136" i="67"/>
  <c r="AF94" i="20" s="1"/>
  <c r="AH136" i="67"/>
  <c r="AG94" i="20" s="1"/>
  <c r="AI136" i="67"/>
  <c r="AH94" i="20" s="1"/>
  <c r="AJ136" i="67"/>
  <c r="AI94" i="20" s="1"/>
  <c r="AK136" i="67"/>
  <c r="AJ94" i="20" s="1"/>
  <c r="AL136" i="67"/>
  <c r="AK94" i="20" s="1"/>
  <c r="AM136" i="67"/>
  <c r="AL94" i="20" s="1"/>
  <c r="AN136" i="67"/>
  <c r="AM94" i="20" s="1"/>
  <c r="AO136" i="67"/>
  <c r="AN94" i="20" s="1"/>
  <c r="D139" i="67"/>
  <c r="C12" i="21" s="1"/>
  <c r="E139" i="67"/>
  <c r="D12" i="21" s="1"/>
  <c r="F139" i="67"/>
  <c r="E12" i="21" s="1"/>
  <c r="G139" i="67"/>
  <c r="F12" i="21" s="1"/>
  <c r="H139" i="67"/>
  <c r="G12" i="21" s="1"/>
  <c r="I139" i="67"/>
  <c r="H12" i="21" s="1"/>
  <c r="J139" i="67"/>
  <c r="I12" i="21" s="1"/>
  <c r="K139" i="67"/>
  <c r="J12" i="21" s="1"/>
  <c r="L139" i="67"/>
  <c r="K12" i="21" s="1"/>
  <c r="M139" i="67"/>
  <c r="L12" i="21" s="1"/>
  <c r="N139" i="67"/>
  <c r="M12" i="21" s="1"/>
  <c r="O139" i="67"/>
  <c r="N12" i="21" s="1"/>
  <c r="P139" i="67"/>
  <c r="O12" i="21" s="1"/>
  <c r="Q139" i="67"/>
  <c r="P12" i="21" s="1"/>
  <c r="R139" i="67"/>
  <c r="Q12" i="21" s="1"/>
  <c r="S139" i="67"/>
  <c r="R12" i="21" s="1"/>
  <c r="T139" i="67"/>
  <c r="S12" i="21" s="1"/>
  <c r="U139" i="67"/>
  <c r="T12" i="21" s="1"/>
  <c r="V139" i="67"/>
  <c r="U12" i="21" s="1"/>
  <c r="W139" i="67"/>
  <c r="V12" i="21" s="1"/>
  <c r="X139" i="67"/>
  <c r="W12" i="21" s="1"/>
  <c r="Y139" i="67"/>
  <c r="X12" i="21" s="1"/>
  <c r="Z139" i="67"/>
  <c r="Y12" i="21" s="1"/>
  <c r="AA139" i="67"/>
  <c r="Z12" i="21" s="1"/>
  <c r="AB139" i="67"/>
  <c r="AA12" i="21" s="1"/>
  <c r="AC139" i="67"/>
  <c r="AB12" i="21" s="1"/>
  <c r="AD139" i="67"/>
  <c r="AC12" i="21" s="1"/>
  <c r="AE139" i="67"/>
  <c r="AD12" i="21" s="1"/>
  <c r="AF139" i="67"/>
  <c r="AE12" i="21" s="1"/>
  <c r="AG139" i="67"/>
  <c r="AF12" i="21" s="1"/>
  <c r="AH139" i="67"/>
  <c r="AG12" i="21" s="1"/>
  <c r="AI139" i="67"/>
  <c r="AJ139" i="67"/>
  <c r="AI12" i="21" s="1"/>
  <c r="AK139" i="67"/>
  <c r="AJ12" i="21" s="1"/>
  <c r="AL139" i="67"/>
  <c r="AK12" i="21" s="1"/>
  <c r="AM139" i="67"/>
  <c r="AL12" i="21" s="1"/>
  <c r="AN139" i="67"/>
  <c r="AM12" i="21" s="1"/>
  <c r="AO139" i="67"/>
  <c r="AN12" i="21" s="1"/>
  <c r="D140" i="67"/>
  <c r="C27" i="21" s="1"/>
  <c r="E140" i="67"/>
  <c r="D27" i="21" s="1"/>
  <c r="F140" i="67"/>
  <c r="E27" i="21" s="1"/>
  <c r="I140" i="67"/>
  <c r="H27" i="21" s="1"/>
  <c r="K140" i="67"/>
  <c r="J27" i="21" s="1"/>
  <c r="L140" i="67"/>
  <c r="K27" i="21" s="1"/>
  <c r="M140" i="67"/>
  <c r="L27" i="21" s="1"/>
  <c r="N140" i="67"/>
  <c r="M27" i="21" s="1"/>
  <c r="P140" i="67"/>
  <c r="O27" i="21" s="1"/>
  <c r="Q140" i="67"/>
  <c r="P27" i="21" s="1"/>
  <c r="R140" i="67"/>
  <c r="Q27" i="21" s="1"/>
  <c r="S140" i="67"/>
  <c r="R27" i="21" s="1"/>
  <c r="T140" i="67"/>
  <c r="S27" i="21" s="1"/>
  <c r="V140" i="67"/>
  <c r="U27" i="21" s="1"/>
  <c r="Y140" i="67"/>
  <c r="X27" i="21" s="1"/>
  <c r="Z140" i="67"/>
  <c r="Y27" i="21" s="1"/>
  <c r="AC140" i="67"/>
  <c r="AB27" i="21" s="1"/>
  <c r="AG140" i="67"/>
  <c r="AF27" i="21" s="1"/>
  <c r="AH140" i="67"/>
  <c r="AG27" i="21" s="1"/>
  <c r="AI140" i="67"/>
  <c r="AH27" i="21" s="1"/>
  <c r="AJ140" i="67"/>
  <c r="AI27" i="21" s="1"/>
  <c r="AK140" i="67"/>
  <c r="AJ27" i="21" s="1"/>
  <c r="AL140" i="67"/>
  <c r="AK27" i="21" s="1"/>
  <c r="AM140" i="67"/>
  <c r="AL27" i="21" s="1"/>
  <c r="AN140" i="67"/>
  <c r="AM27" i="21" s="1"/>
  <c r="D141" i="67"/>
  <c r="C34" i="21" s="1"/>
  <c r="E141" i="67"/>
  <c r="D34" i="21" s="1"/>
  <c r="F141" i="67"/>
  <c r="E34" i="21" s="1"/>
  <c r="G141" i="67"/>
  <c r="F34" i="21" s="1"/>
  <c r="H141" i="67"/>
  <c r="G34" i="21" s="1"/>
  <c r="I141" i="67"/>
  <c r="H34" i="21" s="1"/>
  <c r="J141" i="67"/>
  <c r="I34" i="21" s="1"/>
  <c r="K141" i="67"/>
  <c r="J34" i="21" s="1"/>
  <c r="L141" i="67"/>
  <c r="K34" i="21" s="1"/>
  <c r="M141" i="67"/>
  <c r="L34" i="21" s="1"/>
  <c r="N141" i="67"/>
  <c r="M34" i="21" s="1"/>
  <c r="O141" i="67"/>
  <c r="N34" i="21" s="1"/>
  <c r="P141" i="67"/>
  <c r="O34" i="21" s="1"/>
  <c r="Q141" i="67"/>
  <c r="P34" i="21" s="1"/>
  <c r="R141" i="67"/>
  <c r="Q34" i="21" s="1"/>
  <c r="S141" i="67"/>
  <c r="R34" i="21" s="1"/>
  <c r="T141" i="67"/>
  <c r="S34" i="21" s="1"/>
  <c r="U141" i="67"/>
  <c r="T34" i="21" s="1"/>
  <c r="V141" i="67"/>
  <c r="U34" i="21" s="1"/>
  <c r="W141" i="67"/>
  <c r="V34" i="21" s="1"/>
  <c r="X141" i="67"/>
  <c r="W34" i="21" s="1"/>
  <c r="Y141" i="67"/>
  <c r="X34" i="21" s="1"/>
  <c r="Z141" i="67"/>
  <c r="Y34" i="21" s="1"/>
  <c r="AA141" i="67"/>
  <c r="Z34" i="21" s="1"/>
  <c r="AB141" i="67"/>
  <c r="AA34" i="21" s="1"/>
  <c r="AC141" i="67"/>
  <c r="AB34" i="21" s="1"/>
  <c r="AD141" i="67"/>
  <c r="AC34" i="21" s="1"/>
  <c r="AE141" i="67"/>
  <c r="AD34" i="21" s="1"/>
  <c r="AF141" i="67"/>
  <c r="AE34" i="21" s="1"/>
  <c r="AG141" i="67"/>
  <c r="AF34" i="21" s="1"/>
  <c r="AH141" i="67"/>
  <c r="AG34" i="21" s="1"/>
  <c r="AI141" i="67"/>
  <c r="AH34" i="21" s="1"/>
  <c r="AJ141" i="67"/>
  <c r="AI34" i="21" s="1"/>
  <c r="AK141" i="67"/>
  <c r="AJ34" i="21" s="1"/>
  <c r="AL141" i="67"/>
  <c r="AK34" i="21" s="1"/>
  <c r="AM141" i="67"/>
  <c r="AL34" i="21" s="1"/>
  <c r="AN141" i="67"/>
  <c r="AM34" i="21" s="1"/>
  <c r="AO141" i="67"/>
  <c r="AN34" i="21" s="1"/>
  <c r="D142" i="67"/>
  <c r="C48" i="21" s="1"/>
  <c r="E142" i="67"/>
  <c r="D48" i="21" s="1"/>
  <c r="F142" i="67"/>
  <c r="E48" i="21" s="1"/>
  <c r="G142" i="67"/>
  <c r="F48" i="21" s="1"/>
  <c r="H142" i="67"/>
  <c r="G48" i="21" s="1"/>
  <c r="I142" i="67"/>
  <c r="H48" i="21" s="1"/>
  <c r="J142" i="67"/>
  <c r="I48" i="21" s="1"/>
  <c r="K142" i="67"/>
  <c r="J48" i="21" s="1"/>
  <c r="L142" i="67"/>
  <c r="K48" i="21" s="1"/>
  <c r="M142" i="67"/>
  <c r="L48" i="21" s="1"/>
  <c r="N142" i="67"/>
  <c r="M48" i="21" s="1"/>
  <c r="O142" i="67"/>
  <c r="N48" i="21" s="1"/>
  <c r="P142" i="67"/>
  <c r="O48" i="21" s="1"/>
  <c r="Q142" i="67"/>
  <c r="P48" i="21" s="1"/>
  <c r="R142" i="67"/>
  <c r="Q48" i="21" s="1"/>
  <c r="S142" i="67"/>
  <c r="R48" i="21" s="1"/>
  <c r="T142" i="67"/>
  <c r="S48" i="21" s="1"/>
  <c r="U142" i="67"/>
  <c r="T48" i="21" s="1"/>
  <c r="V142" i="67"/>
  <c r="U48" i="21" s="1"/>
  <c r="W142" i="67"/>
  <c r="V48" i="21" s="1"/>
  <c r="X142" i="67"/>
  <c r="W48" i="21" s="1"/>
  <c r="Y142" i="67"/>
  <c r="X48" i="21" s="1"/>
  <c r="Z142" i="67"/>
  <c r="Y48" i="21" s="1"/>
  <c r="AA142" i="67"/>
  <c r="Z48" i="21" s="1"/>
  <c r="AB142" i="67"/>
  <c r="AA48" i="21" s="1"/>
  <c r="AC142" i="67"/>
  <c r="AB48" i="21" s="1"/>
  <c r="AD142" i="67"/>
  <c r="AC48" i="21" s="1"/>
  <c r="AE142" i="67"/>
  <c r="AD48" i="21" s="1"/>
  <c r="AF142" i="67"/>
  <c r="AE48" i="21" s="1"/>
  <c r="AG142" i="67"/>
  <c r="AF48" i="21" s="1"/>
  <c r="AH142" i="67"/>
  <c r="AG48" i="21" s="1"/>
  <c r="AI142" i="67"/>
  <c r="AH48" i="21" s="1"/>
  <c r="AJ142" i="67"/>
  <c r="AI48" i="21" s="1"/>
  <c r="AK142" i="67"/>
  <c r="AJ48" i="21" s="1"/>
  <c r="AL142" i="67"/>
  <c r="AK48" i="21" s="1"/>
  <c r="AM142" i="67"/>
  <c r="AL48" i="21" s="1"/>
  <c r="AN142" i="67"/>
  <c r="AM48" i="21" s="1"/>
  <c r="AO142" i="67"/>
  <c r="AN48" i="21" s="1"/>
  <c r="D143" i="67"/>
  <c r="C69" i="21" s="1"/>
  <c r="E143" i="67"/>
  <c r="D69" i="21" s="1"/>
  <c r="F143" i="67"/>
  <c r="E69" i="21" s="1"/>
  <c r="G143" i="67"/>
  <c r="F69" i="21" s="1"/>
  <c r="H143" i="67"/>
  <c r="G69" i="21" s="1"/>
  <c r="I143" i="67"/>
  <c r="H69" i="21" s="1"/>
  <c r="J143" i="67"/>
  <c r="I69" i="21" s="1"/>
  <c r="K143" i="67"/>
  <c r="J69" i="21" s="1"/>
  <c r="L143" i="67"/>
  <c r="K69" i="21" s="1"/>
  <c r="M143" i="67"/>
  <c r="L69" i="21" s="1"/>
  <c r="N143" i="67"/>
  <c r="M69" i="21" s="1"/>
  <c r="O143" i="67"/>
  <c r="N69" i="21" s="1"/>
  <c r="P143" i="67"/>
  <c r="O69" i="21" s="1"/>
  <c r="Q143" i="67"/>
  <c r="P69" i="21" s="1"/>
  <c r="R143" i="67"/>
  <c r="Q69" i="21" s="1"/>
  <c r="S143" i="67"/>
  <c r="R69" i="21" s="1"/>
  <c r="T143" i="67"/>
  <c r="S69" i="21" s="1"/>
  <c r="U143" i="67"/>
  <c r="T69" i="21" s="1"/>
  <c r="V143" i="67"/>
  <c r="U69" i="21" s="1"/>
  <c r="W143" i="67"/>
  <c r="V69" i="21" s="1"/>
  <c r="X143" i="67"/>
  <c r="W69" i="21" s="1"/>
  <c r="Y143" i="67"/>
  <c r="X69" i="21" s="1"/>
  <c r="Z143" i="67"/>
  <c r="Y69" i="21" s="1"/>
  <c r="AA143" i="67"/>
  <c r="Z69" i="21" s="1"/>
  <c r="AB143" i="67"/>
  <c r="AA69" i="21" s="1"/>
  <c r="AC143" i="67"/>
  <c r="AB69" i="21" s="1"/>
  <c r="AD143" i="67"/>
  <c r="AC69" i="21" s="1"/>
  <c r="AE143" i="67"/>
  <c r="AD69" i="21" s="1"/>
  <c r="AF143" i="67"/>
  <c r="AE69" i="21" s="1"/>
  <c r="AG143" i="67"/>
  <c r="AF69" i="21" s="1"/>
  <c r="AH143" i="67"/>
  <c r="AG69" i="21" s="1"/>
  <c r="AI143" i="67"/>
  <c r="AH69" i="21" s="1"/>
  <c r="AJ143" i="67"/>
  <c r="AI69" i="21" s="1"/>
  <c r="AK143" i="67"/>
  <c r="AJ69" i="21" s="1"/>
  <c r="AL143" i="67"/>
  <c r="AK69" i="21" s="1"/>
  <c r="AM143" i="67"/>
  <c r="AL69" i="21" s="1"/>
  <c r="AN143" i="67"/>
  <c r="AM69" i="21" s="1"/>
  <c r="AO143" i="67"/>
  <c r="AN69" i="21" s="1"/>
  <c r="D144" i="67"/>
  <c r="C79" i="21" s="1"/>
  <c r="E144" i="67"/>
  <c r="D79" i="21" s="1"/>
  <c r="F144" i="67"/>
  <c r="E79" i="21" s="1"/>
  <c r="G144" i="67"/>
  <c r="F79" i="21" s="1"/>
  <c r="H144" i="67"/>
  <c r="G79" i="21" s="1"/>
  <c r="I144" i="67"/>
  <c r="H79" i="21" s="1"/>
  <c r="J144" i="67"/>
  <c r="I79" i="21" s="1"/>
  <c r="K144" i="67"/>
  <c r="J79" i="21" s="1"/>
  <c r="L144" i="67"/>
  <c r="K79" i="21" s="1"/>
  <c r="M144" i="67"/>
  <c r="L79" i="21" s="1"/>
  <c r="N144" i="67"/>
  <c r="M79" i="21" s="1"/>
  <c r="O144" i="67"/>
  <c r="N79" i="21" s="1"/>
  <c r="P144" i="67"/>
  <c r="O79" i="21" s="1"/>
  <c r="Q144" i="67"/>
  <c r="P79" i="21" s="1"/>
  <c r="R144" i="67"/>
  <c r="Q79" i="21" s="1"/>
  <c r="S144" i="67"/>
  <c r="R79" i="21" s="1"/>
  <c r="T144" i="67"/>
  <c r="S79" i="21" s="1"/>
  <c r="U144" i="67"/>
  <c r="T79" i="21" s="1"/>
  <c r="V144" i="67"/>
  <c r="U79" i="21" s="1"/>
  <c r="W144" i="67"/>
  <c r="V79" i="21" s="1"/>
  <c r="X144" i="67"/>
  <c r="W79" i="21" s="1"/>
  <c r="Y144" i="67"/>
  <c r="X79" i="21" s="1"/>
  <c r="Z144" i="67"/>
  <c r="Y79" i="21" s="1"/>
  <c r="AA144" i="67"/>
  <c r="Z79" i="21" s="1"/>
  <c r="AB144" i="67"/>
  <c r="AA79" i="21" s="1"/>
  <c r="AC144" i="67"/>
  <c r="AB79" i="21" s="1"/>
  <c r="AD144" i="67"/>
  <c r="AC79" i="21" s="1"/>
  <c r="AE144" i="67"/>
  <c r="AD79" i="21" s="1"/>
  <c r="AF144" i="67"/>
  <c r="AE79" i="21" s="1"/>
  <c r="AG144" i="67"/>
  <c r="AF79" i="21" s="1"/>
  <c r="AH144" i="67"/>
  <c r="AG79" i="21" s="1"/>
  <c r="AI144" i="67"/>
  <c r="AH79" i="21" s="1"/>
  <c r="AJ144" i="67"/>
  <c r="AI79" i="21" s="1"/>
  <c r="AK144" i="67"/>
  <c r="AJ79" i="21" s="1"/>
  <c r="AL144" i="67"/>
  <c r="AK79" i="21" s="1"/>
  <c r="AM144" i="67"/>
  <c r="AL79" i="21" s="1"/>
  <c r="AN144" i="67"/>
  <c r="AM79" i="21" s="1"/>
  <c r="AO144" i="67"/>
  <c r="AN79" i="21" s="1"/>
  <c r="D145" i="67"/>
  <c r="C83" i="21" s="1"/>
  <c r="E145" i="67"/>
  <c r="D83" i="21" s="1"/>
  <c r="F145" i="67"/>
  <c r="E83" i="21" s="1"/>
  <c r="G145" i="67"/>
  <c r="F83" i="21" s="1"/>
  <c r="H145" i="67"/>
  <c r="G83" i="21" s="1"/>
  <c r="I145" i="67"/>
  <c r="H83" i="21" s="1"/>
  <c r="J145" i="67"/>
  <c r="I83" i="21" s="1"/>
  <c r="K145" i="67"/>
  <c r="J83" i="21" s="1"/>
  <c r="L145" i="67"/>
  <c r="K83" i="21" s="1"/>
  <c r="M145" i="67"/>
  <c r="L83" i="21" s="1"/>
  <c r="N145" i="67"/>
  <c r="M83" i="21" s="1"/>
  <c r="O145" i="67"/>
  <c r="N83" i="21" s="1"/>
  <c r="P145" i="67"/>
  <c r="O83" i="21" s="1"/>
  <c r="Q145" i="67"/>
  <c r="P83" i="21" s="1"/>
  <c r="R145" i="67"/>
  <c r="Q83" i="21" s="1"/>
  <c r="S145" i="67"/>
  <c r="R83" i="21" s="1"/>
  <c r="T145" i="67"/>
  <c r="S83" i="21" s="1"/>
  <c r="U145" i="67"/>
  <c r="T83" i="21" s="1"/>
  <c r="V145" i="67"/>
  <c r="U83" i="21" s="1"/>
  <c r="W145" i="67"/>
  <c r="V83" i="21" s="1"/>
  <c r="X145" i="67"/>
  <c r="W83" i="21" s="1"/>
  <c r="Y145" i="67"/>
  <c r="X83" i="21" s="1"/>
  <c r="Z145" i="67"/>
  <c r="Y83" i="21" s="1"/>
  <c r="AA145" i="67"/>
  <c r="Z83" i="21" s="1"/>
  <c r="AB145" i="67"/>
  <c r="AA83" i="21" s="1"/>
  <c r="AC145" i="67"/>
  <c r="AB83" i="21" s="1"/>
  <c r="AD145" i="67"/>
  <c r="AC83" i="21" s="1"/>
  <c r="AE145" i="67"/>
  <c r="AD83" i="21" s="1"/>
  <c r="AF145" i="67"/>
  <c r="AE83" i="21" s="1"/>
  <c r="AG145" i="67"/>
  <c r="AF83" i="21" s="1"/>
  <c r="AH145" i="67"/>
  <c r="AG83" i="21" s="1"/>
  <c r="AI145" i="67"/>
  <c r="AH83" i="21" s="1"/>
  <c r="AJ145" i="67"/>
  <c r="AI83" i="21" s="1"/>
  <c r="AK145" i="67"/>
  <c r="AJ83" i="21" s="1"/>
  <c r="AL145" i="67"/>
  <c r="AK83" i="21" s="1"/>
  <c r="AM145" i="67"/>
  <c r="AL83" i="21" s="1"/>
  <c r="AN145" i="67"/>
  <c r="AM83" i="21" s="1"/>
  <c r="AO145" i="67"/>
  <c r="AN83" i="21" s="1"/>
  <c r="D146" i="67"/>
  <c r="C88" i="21" s="1"/>
  <c r="E146" i="67"/>
  <c r="D88" i="21" s="1"/>
  <c r="F146" i="67"/>
  <c r="E88" i="21" s="1"/>
  <c r="G146" i="67"/>
  <c r="F88" i="21" s="1"/>
  <c r="H146" i="67"/>
  <c r="G88" i="21" s="1"/>
  <c r="I146" i="67"/>
  <c r="H88" i="21" s="1"/>
  <c r="J146" i="67"/>
  <c r="I88" i="21" s="1"/>
  <c r="K146" i="67"/>
  <c r="J88" i="21" s="1"/>
  <c r="L146" i="67"/>
  <c r="K88" i="21" s="1"/>
  <c r="M146" i="67"/>
  <c r="L88" i="21" s="1"/>
  <c r="N146" i="67"/>
  <c r="M88" i="21" s="1"/>
  <c r="O146" i="67"/>
  <c r="N88" i="21" s="1"/>
  <c r="P146" i="67"/>
  <c r="O88" i="21" s="1"/>
  <c r="Q146" i="67"/>
  <c r="P88" i="21" s="1"/>
  <c r="R146" i="67"/>
  <c r="Q88" i="21" s="1"/>
  <c r="S146" i="67"/>
  <c r="R88" i="21" s="1"/>
  <c r="T146" i="67"/>
  <c r="S88" i="21" s="1"/>
  <c r="U146" i="67"/>
  <c r="T88" i="21" s="1"/>
  <c r="V146" i="67"/>
  <c r="U88" i="21" s="1"/>
  <c r="W146" i="67"/>
  <c r="V88" i="21" s="1"/>
  <c r="X146" i="67"/>
  <c r="W88" i="21" s="1"/>
  <c r="Y146" i="67"/>
  <c r="X88" i="21" s="1"/>
  <c r="Z146" i="67"/>
  <c r="Y88" i="21" s="1"/>
  <c r="AA146" i="67"/>
  <c r="Z88" i="21" s="1"/>
  <c r="AB146" i="67"/>
  <c r="AA88" i="21" s="1"/>
  <c r="AC146" i="67"/>
  <c r="AB88" i="21" s="1"/>
  <c r="AD146" i="67"/>
  <c r="AC88" i="21" s="1"/>
  <c r="AE146" i="67"/>
  <c r="AD88" i="21" s="1"/>
  <c r="AF146" i="67"/>
  <c r="AE88" i="21" s="1"/>
  <c r="AG146" i="67"/>
  <c r="AF88" i="21" s="1"/>
  <c r="AH146" i="67"/>
  <c r="AG88" i="21" s="1"/>
  <c r="AI146" i="67"/>
  <c r="AH88" i="21" s="1"/>
  <c r="AJ146" i="67"/>
  <c r="AI88" i="21" s="1"/>
  <c r="AK146" i="67"/>
  <c r="AJ88" i="21" s="1"/>
  <c r="AL146" i="67"/>
  <c r="AK88" i="21" s="1"/>
  <c r="AM146" i="67"/>
  <c r="AL88" i="21" s="1"/>
  <c r="AN146" i="67"/>
  <c r="AM88" i="21" s="1"/>
  <c r="AO146" i="67"/>
  <c r="AN88" i="21" s="1"/>
  <c r="D147" i="67"/>
  <c r="C94" i="21" s="1"/>
  <c r="E147" i="67"/>
  <c r="D94" i="21" s="1"/>
  <c r="F147" i="67"/>
  <c r="E94" i="21" s="1"/>
  <c r="G147" i="67"/>
  <c r="F94" i="21" s="1"/>
  <c r="H147" i="67"/>
  <c r="G94" i="21" s="1"/>
  <c r="I147" i="67"/>
  <c r="H94" i="21" s="1"/>
  <c r="J147" i="67"/>
  <c r="I94" i="21" s="1"/>
  <c r="K147" i="67"/>
  <c r="J94" i="21" s="1"/>
  <c r="L147" i="67"/>
  <c r="K94" i="21" s="1"/>
  <c r="M147" i="67"/>
  <c r="L94" i="21" s="1"/>
  <c r="N147" i="67"/>
  <c r="M94" i="21" s="1"/>
  <c r="O147" i="67"/>
  <c r="N94" i="21" s="1"/>
  <c r="P147" i="67"/>
  <c r="O94" i="21" s="1"/>
  <c r="Q147" i="67"/>
  <c r="P94" i="21" s="1"/>
  <c r="R147" i="67"/>
  <c r="Q94" i="21" s="1"/>
  <c r="S147" i="67"/>
  <c r="R94" i="21" s="1"/>
  <c r="T147" i="67"/>
  <c r="S94" i="21" s="1"/>
  <c r="U147" i="67"/>
  <c r="T94" i="21" s="1"/>
  <c r="V147" i="67"/>
  <c r="U94" i="21" s="1"/>
  <c r="W147" i="67"/>
  <c r="V94" i="21" s="1"/>
  <c r="X147" i="67"/>
  <c r="W94" i="21" s="1"/>
  <c r="Y147" i="67"/>
  <c r="X94" i="21" s="1"/>
  <c r="Z147" i="67"/>
  <c r="Y94" i="21" s="1"/>
  <c r="AA147" i="67"/>
  <c r="Z94" i="21" s="1"/>
  <c r="AB147" i="67"/>
  <c r="AA94" i="21" s="1"/>
  <c r="AC147" i="67"/>
  <c r="AB94" i="21" s="1"/>
  <c r="AD147" i="67"/>
  <c r="AC94" i="21" s="1"/>
  <c r="AE147" i="67"/>
  <c r="AD94" i="21" s="1"/>
  <c r="AF147" i="67"/>
  <c r="AE94" i="21" s="1"/>
  <c r="AG147" i="67"/>
  <c r="AF94" i="21" s="1"/>
  <c r="AH147" i="67"/>
  <c r="AG94" i="21" s="1"/>
  <c r="AI147" i="67"/>
  <c r="AH94" i="21" s="1"/>
  <c r="AJ147" i="67"/>
  <c r="AI94" i="21" s="1"/>
  <c r="AK147" i="67"/>
  <c r="AJ94" i="21" s="1"/>
  <c r="AL147" i="67"/>
  <c r="AK94" i="21" s="1"/>
  <c r="AM147" i="67"/>
  <c r="AL94" i="21" s="1"/>
  <c r="AN147" i="67"/>
  <c r="AM94" i="21" s="1"/>
  <c r="AO147" i="67"/>
  <c r="AN94" i="21" s="1"/>
  <c r="D150" i="67"/>
  <c r="C20" i="29" s="1"/>
  <c r="E150" i="67"/>
  <c r="D20" i="29" s="1"/>
  <c r="F150" i="67"/>
  <c r="E20" i="29" s="1"/>
  <c r="G150" i="67"/>
  <c r="F20" i="29" s="1"/>
  <c r="H150" i="67"/>
  <c r="G20" i="29" s="1"/>
  <c r="I150" i="67"/>
  <c r="H20" i="29" s="1"/>
  <c r="J150" i="67"/>
  <c r="I20" i="29" s="1"/>
  <c r="K150" i="67"/>
  <c r="J20" i="29" s="1"/>
  <c r="L150" i="67"/>
  <c r="K20" i="29" s="1"/>
  <c r="M150" i="67"/>
  <c r="L20" i="29" s="1"/>
  <c r="N150" i="67"/>
  <c r="M20" i="29" s="1"/>
  <c r="O150" i="67"/>
  <c r="N20" i="29" s="1"/>
  <c r="P150" i="67"/>
  <c r="O20" i="29" s="1"/>
  <c r="Q150" i="67"/>
  <c r="P20" i="29" s="1"/>
  <c r="R150" i="67"/>
  <c r="Q20" i="29" s="1"/>
  <c r="S150" i="67"/>
  <c r="R20" i="29" s="1"/>
  <c r="T150" i="67"/>
  <c r="S20" i="29" s="1"/>
  <c r="U150" i="67"/>
  <c r="T20" i="29" s="1"/>
  <c r="V150" i="67"/>
  <c r="U20" i="29" s="1"/>
  <c r="W150" i="67"/>
  <c r="V20" i="29" s="1"/>
  <c r="AC150" i="67"/>
  <c r="AB20" i="29" s="1"/>
  <c r="AD150" i="67"/>
  <c r="AC20" i="29" s="1"/>
  <c r="AE150" i="67"/>
  <c r="AD20" i="29" s="1"/>
  <c r="AF150" i="67"/>
  <c r="AE20" i="29" s="1"/>
  <c r="AG150" i="67"/>
  <c r="AF20" i="29" s="1"/>
  <c r="AH150" i="67"/>
  <c r="AG20" i="29" s="1"/>
  <c r="AI150" i="67"/>
  <c r="AH20" i="29" s="1"/>
  <c r="AJ150" i="67"/>
  <c r="AI20" i="29" s="1"/>
  <c r="AK150" i="67"/>
  <c r="AJ20" i="29" s="1"/>
  <c r="AL150" i="67"/>
  <c r="AK20" i="29" s="1"/>
  <c r="AM150" i="67"/>
  <c r="AL20" i="29" s="1"/>
  <c r="AN150" i="67"/>
  <c r="AM20" i="29" s="1"/>
  <c r="AO150" i="67"/>
  <c r="AN20" i="29" s="1"/>
  <c r="D151" i="67"/>
  <c r="E151" i="67"/>
  <c r="F151" i="67"/>
  <c r="G151" i="67"/>
  <c r="H151" i="67"/>
  <c r="I151" i="67"/>
  <c r="J151" i="67"/>
  <c r="K151" i="67"/>
  <c r="L151" i="67"/>
  <c r="M151" i="67"/>
  <c r="N151" i="67"/>
  <c r="O151" i="67"/>
  <c r="P151" i="67"/>
  <c r="Q151" i="67"/>
  <c r="R151" i="67"/>
  <c r="S151" i="67"/>
  <c r="T151" i="67"/>
  <c r="U151" i="67"/>
  <c r="V151" i="67"/>
  <c r="W151" i="67"/>
  <c r="X151" i="67"/>
  <c r="Y151" i="67"/>
  <c r="Z151" i="67"/>
  <c r="AA151" i="67"/>
  <c r="AB151" i="67"/>
  <c r="AC151" i="67"/>
  <c r="AD151" i="67"/>
  <c r="AE151" i="67"/>
  <c r="AF151" i="67"/>
  <c r="AG151" i="67"/>
  <c r="AH151" i="67"/>
  <c r="AI151" i="67"/>
  <c r="AJ151" i="67"/>
  <c r="AK151" i="67"/>
  <c r="AL151" i="67"/>
  <c r="AM151" i="67"/>
  <c r="AN151" i="67"/>
  <c r="AO151" i="67"/>
  <c r="D152" i="67"/>
  <c r="C41" i="29" s="1"/>
  <c r="E152" i="67"/>
  <c r="D41" i="29" s="1"/>
  <c r="F152" i="67"/>
  <c r="E41" i="29" s="1"/>
  <c r="G152" i="67"/>
  <c r="F41" i="29" s="1"/>
  <c r="H152" i="67"/>
  <c r="G41" i="29" s="1"/>
  <c r="I152" i="67"/>
  <c r="H41" i="29" s="1"/>
  <c r="J152" i="67"/>
  <c r="I41" i="29" s="1"/>
  <c r="K152" i="67"/>
  <c r="J41" i="29" s="1"/>
  <c r="L152" i="67"/>
  <c r="K41" i="29" s="1"/>
  <c r="M152" i="67"/>
  <c r="L41" i="29" s="1"/>
  <c r="N152" i="67"/>
  <c r="M41" i="29" s="1"/>
  <c r="O152" i="67"/>
  <c r="N41" i="29" s="1"/>
  <c r="P152" i="67"/>
  <c r="O41" i="29" s="1"/>
  <c r="Q152" i="67"/>
  <c r="P41" i="29" s="1"/>
  <c r="R152" i="67"/>
  <c r="Q41" i="29" s="1"/>
  <c r="S152" i="67"/>
  <c r="R41" i="29" s="1"/>
  <c r="T152" i="67"/>
  <c r="S41" i="29" s="1"/>
  <c r="U152" i="67"/>
  <c r="T41" i="29" s="1"/>
  <c r="V152" i="67"/>
  <c r="U41" i="29" s="1"/>
  <c r="W152" i="67"/>
  <c r="V41" i="29" s="1"/>
  <c r="AC152" i="67"/>
  <c r="AB41" i="29" s="1"/>
  <c r="AD152" i="67"/>
  <c r="AC41" i="29" s="1"/>
  <c r="AE152" i="67"/>
  <c r="AD41" i="29" s="1"/>
  <c r="AF152" i="67"/>
  <c r="AE41" i="29" s="1"/>
  <c r="AG152" i="67"/>
  <c r="AF41" i="29" s="1"/>
  <c r="AH152" i="67"/>
  <c r="AG41" i="29" s="1"/>
  <c r="AI152" i="67"/>
  <c r="AH41" i="29" s="1"/>
  <c r="AJ152" i="67"/>
  <c r="AI41" i="29" s="1"/>
  <c r="AK152" i="67"/>
  <c r="AJ41" i="29" s="1"/>
  <c r="AL152" i="67"/>
  <c r="AK41" i="29" s="1"/>
  <c r="AM152" i="67"/>
  <c r="AL41" i="29" s="1"/>
  <c r="AN152" i="67"/>
  <c r="AM41" i="29" s="1"/>
  <c r="AO152" i="67"/>
  <c r="AN41" i="29" s="1"/>
  <c r="D153" i="67"/>
  <c r="C55" i="29" s="1"/>
  <c r="E153" i="67"/>
  <c r="D55" i="29" s="1"/>
  <c r="F153" i="67"/>
  <c r="E55" i="29" s="1"/>
  <c r="G153" i="67"/>
  <c r="F55" i="29" s="1"/>
  <c r="H153" i="67"/>
  <c r="G55" i="29" s="1"/>
  <c r="I153" i="67"/>
  <c r="H55" i="29" s="1"/>
  <c r="J153" i="67"/>
  <c r="I55" i="29" s="1"/>
  <c r="K153" i="67"/>
  <c r="J55" i="29" s="1"/>
  <c r="L153" i="67"/>
  <c r="K55" i="29" s="1"/>
  <c r="M153" i="67"/>
  <c r="L55" i="29" s="1"/>
  <c r="N153" i="67"/>
  <c r="M55" i="29" s="1"/>
  <c r="O153" i="67"/>
  <c r="N55" i="29" s="1"/>
  <c r="P153" i="67"/>
  <c r="O55" i="29" s="1"/>
  <c r="Q153" i="67"/>
  <c r="P55" i="29" s="1"/>
  <c r="R153" i="67"/>
  <c r="Q55" i="29" s="1"/>
  <c r="S153" i="67"/>
  <c r="R55" i="29" s="1"/>
  <c r="T153" i="67"/>
  <c r="S55" i="29" s="1"/>
  <c r="U153" i="67"/>
  <c r="T55" i="29" s="1"/>
  <c r="V153" i="67"/>
  <c r="U55" i="29" s="1"/>
  <c r="W153" i="67"/>
  <c r="V55" i="29" s="1"/>
  <c r="X153" i="67"/>
  <c r="W55" i="29" s="1"/>
  <c r="AC153" i="67"/>
  <c r="AB55" i="29" s="1"/>
  <c r="AD153" i="67"/>
  <c r="AC55" i="29" s="1"/>
  <c r="AE153" i="67"/>
  <c r="AD55" i="29" s="1"/>
  <c r="AF153" i="67"/>
  <c r="AE55" i="29" s="1"/>
  <c r="AG153" i="67"/>
  <c r="AF55" i="29" s="1"/>
  <c r="AH153" i="67"/>
  <c r="AG55" i="29" s="1"/>
  <c r="AI153" i="67"/>
  <c r="AH55" i="29" s="1"/>
  <c r="AJ153" i="67"/>
  <c r="AI55" i="29" s="1"/>
  <c r="AK153" i="67"/>
  <c r="AJ55" i="29" s="1"/>
  <c r="AL153" i="67"/>
  <c r="AK55" i="29" s="1"/>
  <c r="AM153" i="67"/>
  <c r="AL55" i="29" s="1"/>
  <c r="AN153" i="67"/>
  <c r="AM55" i="29" s="1"/>
  <c r="AO153" i="67"/>
  <c r="AN55" i="29" s="1"/>
  <c r="D154" i="67"/>
  <c r="E154" i="67"/>
  <c r="F154" i="67"/>
  <c r="G154" i="67"/>
  <c r="H154" i="67"/>
  <c r="I154" i="67"/>
  <c r="J154" i="67"/>
  <c r="K154" i="67"/>
  <c r="L154" i="67"/>
  <c r="M154" i="67"/>
  <c r="N154" i="67"/>
  <c r="O154" i="67"/>
  <c r="P154" i="67"/>
  <c r="Q154" i="67"/>
  <c r="R154" i="67"/>
  <c r="S154" i="67"/>
  <c r="T154" i="67"/>
  <c r="U154" i="67"/>
  <c r="V154" i="67"/>
  <c r="W154" i="67"/>
  <c r="X154" i="67"/>
  <c r="Y154" i="67"/>
  <c r="Z154" i="67"/>
  <c r="AA154" i="67"/>
  <c r="AB154" i="67"/>
  <c r="AC154" i="67"/>
  <c r="AD154" i="67"/>
  <c r="AE154" i="67"/>
  <c r="AF154" i="67"/>
  <c r="AG154" i="67"/>
  <c r="AH154" i="67"/>
  <c r="AI154" i="67"/>
  <c r="AJ154" i="67"/>
  <c r="AK154" i="67"/>
  <c r="AL154" i="67"/>
  <c r="AM154" i="67"/>
  <c r="AN154" i="67"/>
  <c r="AO154" i="67"/>
  <c r="D155" i="67"/>
  <c r="E155" i="67"/>
  <c r="F155" i="67"/>
  <c r="G155" i="67"/>
  <c r="H155" i="67"/>
  <c r="I155" i="67"/>
  <c r="J155" i="67"/>
  <c r="K155" i="67"/>
  <c r="L155" i="67"/>
  <c r="M155" i="67"/>
  <c r="N155" i="67"/>
  <c r="O155" i="67"/>
  <c r="P155" i="67"/>
  <c r="Q155" i="67"/>
  <c r="R155" i="67"/>
  <c r="S155" i="67"/>
  <c r="T155" i="67"/>
  <c r="U155" i="67"/>
  <c r="V155" i="67"/>
  <c r="W155" i="67"/>
  <c r="X155" i="67"/>
  <c r="Y155" i="67"/>
  <c r="Z155" i="67"/>
  <c r="AA155" i="67"/>
  <c r="AB155" i="67"/>
  <c r="AC155" i="67"/>
  <c r="AD155" i="67"/>
  <c r="AE155" i="67"/>
  <c r="AF155" i="67"/>
  <c r="AG155" i="67"/>
  <c r="AH155" i="67"/>
  <c r="AI155" i="67"/>
  <c r="AJ155" i="67"/>
  <c r="AK155" i="67"/>
  <c r="AL155" i="67"/>
  <c r="AM155" i="67"/>
  <c r="AN155" i="67"/>
  <c r="AO155" i="67"/>
  <c r="D156" i="67"/>
  <c r="E156" i="67"/>
  <c r="F156" i="67"/>
  <c r="G156" i="67"/>
  <c r="H156" i="67"/>
  <c r="I156" i="67"/>
  <c r="J156" i="67"/>
  <c r="K156" i="67"/>
  <c r="L156" i="67"/>
  <c r="M156" i="67"/>
  <c r="N156" i="67"/>
  <c r="O156" i="67"/>
  <c r="P156" i="67"/>
  <c r="Q156" i="67"/>
  <c r="R156" i="67"/>
  <c r="S156" i="67"/>
  <c r="T156" i="67"/>
  <c r="U156" i="67"/>
  <c r="V156" i="67"/>
  <c r="W156" i="67"/>
  <c r="X156" i="67"/>
  <c r="Y156" i="67"/>
  <c r="Z156" i="67"/>
  <c r="AA156" i="67"/>
  <c r="AB156" i="67"/>
  <c r="AC156" i="67"/>
  <c r="AD156" i="67"/>
  <c r="AE156" i="67"/>
  <c r="AF156" i="67"/>
  <c r="AG156" i="67"/>
  <c r="AH156" i="67"/>
  <c r="AI156" i="67"/>
  <c r="AJ156" i="67"/>
  <c r="AK156" i="67"/>
  <c r="AL156" i="67"/>
  <c r="AM156" i="67"/>
  <c r="AN156" i="67"/>
  <c r="AO156" i="67"/>
  <c r="D157" i="67"/>
  <c r="E157" i="67"/>
  <c r="F157" i="67"/>
  <c r="G157" i="67"/>
  <c r="H157" i="67"/>
  <c r="I157" i="67"/>
  <c r="J157" i="67"/>
  <c r="K157" i="67"/>
  <c r="L157" i="67"/>
  <c r="M157" i="67"/>
  <c r="N157" i="67"/>
  <c r="O157" i="67"/>
  <c r="P157" i="67"/>
  <c r="Q157" i="67"/>
  <c r="R157" i="67"/>
  <c r="S157" i="67"/>
  <c r="T157" i="67"/>
  <c r="U157" i="67"/>
  <c r="V157" i="67"/>
  <c r="W157" i="67"/>
  <c r="X157" i="67"/>
  <c r="Y157" i="67"/>
  <c r="Z157" i="67"/>
  <c r="AA157" i="67"/>
  <c r="AB157" i="67"/>
  <c r="AC157" i="67"/>
  <c r="AD157" i="67"/>
  <c r="AE157" i="67"/>
  <c r="AF157" i="67"/>
  <c r="AG157" i="67"/>
  <c r="AH157" i="67"/>
  <c r="AI157" i="67"/>
  <c r="AJ157" i="67"/>
  <c r="AK157" i="67"/>
  <c r="AL157" i="67"/>
  <c r="AM157" i="67"/>
  <c r="AN157" i="67"/>
  <c r="AO157" i="67"/>
  <c r="D158" i="67"/>
  <c r="C94" i="29" s="1"/>
  <c r="E158" i="67"/>
  <c r="D94" i="29" s="1"/>
  <c r="F158" i="67"/>
  <c r="E94" i="29" s="1"/>
  <c r="G158" i="67"/>
  <c r="F94" i="29" s="1"/>
  <c r="H158" i="67"/>
  <c r="G94" i="29" s="1"/>
  <c r="I158" i="67"/>
  <c r="H94" i="29" s="1"/>
  <c r="J158" i="67"/>
  <c r="I94" i="29" s="1"/>
  <c r="K158" i="67"/>
  <c r="J94" i="29" s="1"/>
  <c r="L158" i="67"/>
  <c r="K94" i="29" s="1"/>
  <c r="M158" i="67"/>
  <c r="L94" i="29" s="1"/>
  <c r="N158" i="67"/>
  <c r="M94" i="29" s="1"/>
  <c r="O158" i="67"/>
  <c r="N94" i="29" s="1"/>
  <c r="P158" i="67"/>
  <c r="O94" i="29" s="1"/>
  <c r="Q158" i="67"/>
  <c r="P94" i="29" s="1"/>
  <c r="R158" i="67"/>
  <c r="Q94" i="29" s="1"/>
  <c r="S158" i="67"/>
  <c r="R94" i="29" s="1"/>
  <c r="T158" i="67"/>
  <c r="S94" i="29" s="1"/>
  <c r="U158" i="67"/>
  <c r="T94" i="29" s="1"/>
  <c r="V158" i="67"/>
  <c r="U94" i="29" s="1"/>
  <c r="W158" i="67"/>
  <c r="V94" i="29" s="1"/>
  <c r="X158" i="67"/>
  <c r="W94" i="29" s="1"/>
  <c r="AC158" i="67"/>
  <c r="AB94" i="29" s="1"/>
  <c r="AD158" i="67"/>
  <c r="AC94" i="29" s="1"/>
  <c r="AE158" i="67"/>
  <c r="AD94" i="29" s="1"/>
  <c r="AF158" i="67"/>
  <c r="AE94" i="29" s="1"/>
  <c r="AG158" i="67"/>
  <c r="AF94" i="29" s="1"/>
  <c r="AH158" i="67"/>
  <c r="AG94" i="29" s="1"/>
  <c r="AI158" i="67"/>
  <c r="AH94" i="29" s="1"/>
  <c r="AJ158" i="67"/>
  <c r="AI94" i="29" s="1"/>
  <c r="AK158" i="67"/>
  <c r="AJ94" i="29" s="1"/>
  <c r="AL158" i="67"/>
  <c r="AK94" i="29" s="1"/>
  <c r="AM158" i="67"/>
  <c r="AL94" i="29" s="1"/>
  <c r="AN158" i="67"/>
  <c r="AM94" i="29" s="1"/>
  <c r="AO158" i="67"/>
  <c r="AN94" i="29" s="1"/>
  <c r="D161" i="67"/>
  <c r="C12" i="22" s="1"/>
  <c r="E161" i="67"/>
  <c r="D12" i="22" s="1"/>
  <c r="F161" i="67"/>
  <c r="E12" i="22" s="1"/>
  <c r="G161" i="67"/>
  <c r="F12" i="22" s="1"/>
  <c r="H161" i="67"/>
  <c r="G12" i="22" s="1"/>
  <c r="I161" i="67"/>
  <c r="H12" i="22" s="1"/>
  <c r="J161" i="67"/>
  <c r="I12" i="22" s="1"/>
  <c r="K161" i="67"/>
  <c r="J12" i="22" s="1"/>
  <c r="L161" i="67"/>
  <c r="K12" i="22" s="1"/>
  <c r="M161" i="67"/>
  <c r="L12" i="22" s="1"/>
  <c r="N161" i="67"/>
  <c r="M12" i="22" s="1"/>
  <c r="O161" i="67"/>
  <c r="N12" i="22" s="1"/>
  <c r="P161" i="67"/>
  <c r="O12" i="22" s="1"/>
  <c r="Q161" i="67"/>
  <c r="P12" i="22" s="1"/>
  <c r="R161" i="67"/>
  <c r="Q12" i="22" s="1"/>
  <c r="S161" i="67"/>
  <c r="R12" i="22" s="1"/>
  <c r="T161" i="67"/>
  <c r="S12" i="22" s="1"/>
  <c r="U161" i="67"/>
  <c r="T12" i="22" s="1"/>
  <c r="V161" i="67"/>
  <c r="U12" i="22" s="1"/>
  <c r="W161" i="67"/>
  <c r="V12" i="22" s="1"/>
  <c r="X161" i="67"/>
  <c r="W12" i="22" s="1"/>
  <c r="Y161" i="67"/>
  <c r="X12" i="22" s="1"/>
  <c r="Z161" i="67"/>
  <c r="Y12" i="22" s="1"/>
  <c r="AA161" i="67"/>
  <c r="Z12" i="22" s="1"/>
  <c r="AB161" i="67"/>
  <c r="AA12" i="22" s="1"/>
  <c r="AC161" i="67"/>
  <c r="AB12" i="22" s="1"/>
  <c r="AD161" i="67"/>
  <c r="AC12" i="22" s="1"/>
  <c r="AE161" i="67"/>
  <c r="AD12" i="22" s="1"/>
  <c r="AF161" i="67"/>
  <c r="AE12" i="22" s="1"/>
  <c r="AG161" i="67"/>
  <c r="AF12" i="22" s="1"/>
  <c r="AH161" i="67"/>
  <c r="AG12" i="22" s="1"/>
  <c r="AI161" i="67"/>
  <c r="AH12" i="22" s="1"/>
  <c r="AJ161" i="67"/>
  <c r="AI12" i="22" s="1"/>
  <c r="AK161" i="67"/>
  <c r="AJ12" i="22" s="1"/>
  <c r="AL161" i="67"/>
  <c r="AK12" i="22" s="1"/>
  <c r="AM161" i="67"/>
  <c r="AL12" i="22" s="1"/>
  <c r="AN161" i="67"/>
  <c r="AM12" i="22" s="1"/>
  <c r="AO161" i="67"/>
  <c r="AN12" i="22" s="1"/>
  <c r="D162" i="67"/>
  <c r="C27" i="22" s="1"/>
  <c r="E162" i="67"/>
  <c r="D27" i="22" s="1"/>
  <c r="F162" i="67"/>
  <c r="E27" i="22" s="1"/>
  <c r="G162" i="67"/>
  <c r="F27" i="22" s="1"/>
  <c r="H162" i="67"/>
  <c r="G27" i="22" s="1"/>
  <c r="I162" i="67"/>
  <c r="H27" i="22" s="1"/>
  <c r="J162" i="67"/>
  <c r="I27" i="22" s="1"/>
  <c r="K162" i="67"/>
  <c r="J27" i="22" s="1"/>
  <c r="L162" i="67"/>
  <c r="K27" i="22" s="1"/>
  <c r="M162" i="67"/>
  <c r="L27" i="22" s="1"/>
  <c r="N162" i="67"/>
  <c r="M27" i="22" s="1"/>
  <c r="O162" i="67"/>
  <c r="N27" i="22" s="1"/>
  <c r="P162" i="67"/>
  <c r="O27" i="22" s="1"/>
  <c r="Q162" i="67"/>
  <c r="P27" i="22" s="1"/>
  <c r="R162" i="67"/>
  <c r="Q27" i="22" s="1"/>
  <c r="S162" i="67"/>
  <c r="R27" i="22" s="1"/>
  <c r="T162" i="67"/>
  <c r="S27" i="22" s="1"/>
  <c r="U162" i="67"/>
  <c r="T27" i="22" s="1"/>
  <c r="V162" i="67"/>
  <c r="U27" i="22" s="1"/>
  <c r="W162" i="67"/>
  <c r="V27" i="22" s="1"/>
  <c r="X162" i="67"/>
  <c r="W27" i="22" s="1"/>
  <c r="Y162" i="67"/>
  <c r="X27" i="22" s="1"/>
  <c r="Z162" i="67"/>
  <c r="Y27" i="22" s="1"/>
  <c r="AA162" i="67"/>
  <c r="Z27" i="22" s="1"/>
  <c r="AB162" i="67"/>
  <c r="AA27" i="22" s="1"/>
  <c r="AC162" i="67"/>
  <c r="AB27" i="22" s="1"/>
  <c r="AD162" i="67"/>
  <c r="AC27" i="22" s="1"/>
  <c r="AE162" i="67"/>
  <c r="AD27" i="22" s="1"/>
  <c r="AF162" i="67"/>
  <c r="AE27" i="22" s="1"/>
  <c r="AG162" i="67"/>
  <c r="AF27" i="22" s="1"/>
  <c r="AH162" i="67"/>
  <c r="AG27" i="22" s="1"/>
  <c r="AI162" i="67"/>
  <c r="AH27" i="22" s="1"/>
  <c r="AJ162" i="67"/>
  <c r="AI27" i="22" s="1"/>
  <c r="AK162" i="67"/>
  <c r="AJ27" i="22" s="1"/>
  <c r="AL162" i="67"/>
  <c r="AK27" i="22" s="1"/>
  <c r="AM162" i="67"/>
  <c r="AL27" i="22" s="1"/>
  <c r="AN162" i="67"/>
  <c r="AM27" i="22" s="1"/>
  <c r="AO162" i="67"/>
  <c r="AN27" i="22" s="1"/>
  <c r="D163" i="67"/>
  <c r="C34" i="22" s="1"/>
  <c r="E163" i="67"/>
  <c r="D34" i="22" s="1"/>
  <c r="F163" i="67"/>
  <c r="E34" i="22" s="1"/>
  <c r="G163" i="67"/>
  <c r="F34" i="22" s="1"/>
  <c r="H163" i="67"/>
  <c r="G34" i="22" s="1"/>
  <c r="I163" i="67"/>
  <c r="H34" i="22" s="1"/>
  <c r="J163" i="67"/>
  <c r="I34" i="22" s="1"/>
  <c r="K163" i="67"/>
  <c r="J34" i="22" s="1"/>
  <c r="L163" i="67"/>
  <c r="K34" i="22" s="1"/>
  <c r="M163" i="67"/>
  <c r="L34" i="22" s="1"/>
  <c r="N163" i="67"/>
  <c r="M34" i="22" s="1"/>
  <c r="O163" i="67"/>
  <c r="N34" i="22" s="1"/>
  <c r="P163" i="67"/>
  <c r="O34" i="22" s="1"/>
  <c r="Q163" i="67"/>
  <c r="P34" i="22" s="1"/>
  <c r="R163" i="67"/>
  <c r="Q34" i="22" s="1"/>
  <c r="S163" i="67"/>
  <c r="R34" i="22" s="1"/>
  <c r="T163" i="67"/>
  <c r="S34" i="22" s="1"/>
  <c r="U163" i="67"/>
  <c r="T34" i="22" s="1"/>
  <c r="V163" i="67"/>
  <c r="U34" i="22" s="1"/>
  <c r="W163" i="67"/>
  <c r="V34" i="22" s="1"/>
  <c r="X163" i="67"/>
  <c r="W34" i="22" s="1"/>
  <c r="Y163" i="67"/>
  <c r="X34" i="22" s="1"/>
  <c r="Z163" i="67"/>
  <c r="Y34" i="22" s="1"/>
  <c r="AA163" i="67"/>
  <c r="Z34" i="22" s="1"/>
  <c r="AB163" i="67"/>
  <c r="AA34" i="22" s="1"/>
  <c r="AC163" i="67"/>
  <c r="AB34" i="22" s="1"/>
  <c r="AD163" i="67"/>
  <c r="AC34" i="22" s="1"/>
  <c r="AE163" i="67"/>
  <c r="AD34" i="22" s="1"/>
  <c r="AF163" i="67"/>
  <c r="AE34" i="22" s="1"/>
  <c r="AG163" i="67"/>
  <c r="AF34" i="22" s="1"/>
  <c r="AH163" i="67"/>
  <c r="AG34" i="22" s="1"/>
  <c r="AI163" i="67"/>
  <c r="AH34" i="22" s="1"/>
  <c r="AJ163" i="67"/>
  <c r="AI34" i="22" s="1"/>
  <c r="AK163" i="67"/>
  <c r="AJ34" i="22" s="1"/>
  <c r="AL163" i="67"/>
  <c r="AK34" i="22" s="1"/>
  <c r="AM163" i="67"/>
  <c r="AL34" i="22" s="1"/>
  <c r="AN163" i="67"/>
  <c r="AM34" i="22" s="1"/>
  <c r="AO163" i="67"/>
  <c r="AN34" i="22" s="1"/>
  <c r="D164" i="67"/>
  <c r="C48" i="22" s="1"/>
  <c r="E164" i="67"/>
  <c r="D48" i="22" s="1"/>
  <c r="F164" i="67"/>
  <c r="E48" i="22" s="1"/>
  <c r="G164" i="67"/>
  <c r="F48" i="22" s="1"/>
  <c r="H164" i="67"/>
  <c r="G48" i="22" s="1"/>
  <c r="I164" i="67"/>
  <c r="H48" i="22" s="1"/>
  <c r="J164" i="67"/>
  <c r="I48" i="22" s="1"/>
  <c r="K164" i="67"/>
  <c r="J48" i="22" s="1"/>
  <c r="L164" i="67"/>
  <c r="K48" i="22" s="1"/>
  <c r="M164" i="67"/>
  <c r="L48" i="22" s="1"/>
  <c r="N164" i="67"/>
  <c r="M48" i="22" s="1"/>
  <c r="O164" i="67"/>
  <c r="N48" i="22" s="1"/>
  <c r="P164" i="67"/>
  <c r="O48" i="22" s="1"/>
  <c r="Q164" i="67"/>
  <c r="P48" i="22" s="1"/>
  <c r="R164" i="67"/>
  <c r="Q48" i="22" s="1"/>
  <c r="S164" i="67"/>
  <c r="R48" i="22" s="1"/>
  <c r="T164" i="67"/>
  <c r="S48" i="22" s="1"/>
  <c r="U164" i="67"/>
  <c r="T48" i="22" s="1"/>
  <c r="V164" i="67"/>
  <c r="U48" i="22" s="1"/>
  <c r="W164" i="67"/>
  <c r="V48" i="22" s="1"/>
  <c r="X164" i="67"/>
  <c r="W48" i="22" s="1"/>
  <c r="Y164" i="67"/>
  <c r="X48" i="22" s="1"/>
  <c r="Z164" i="67"/>
  <c r="Y48" i="22" s="1"/>
  <c r="AA164" i="67"/>
  <c r="Z48" i="22" s="1"/>
  <c r="AB164" i="67"/>
  <c r="AA48" i="22" s="1"/>
  <c r="AC164" i="67"/>
  <c r="AB48" i="22" s="1"/>
  <c r="AD164" i="67"/>
  <c r="AC48" i="22" s="1"/>
  <c r="AE164" i="67"/>
  <c r="AD48" i="22" s="1"/>
  <c r="AF164" i="67"/>
  <c r="AE48" i="22" s="1"/>
  <c r="AG164" i="67"/>
  <c r="AF48" i="22" s="1"/>
  <c r="AH164" i="67"/>
  <c r="AG48" i="22" s="1"/>
  <c r="AI164" i="67"/>
  <c r="AH48" i="22" s="1"/>
  <c r="AJ164" i="67"/>
  <c r="AI48" i="22" s="1"/>
  <c r="AK164" i="67"/>
  <c r="AJ48" i="22" s="1"/>
  <c r="AL164" i="67"/>
  <c r="AK48" i="22" s="1"/>
  <c r="AM164" i="67"/>
  <c r="AL48" i="22" s="1"/>
  <c r="AN164" i="67"/>
  <c r="AM48" i="22" s="1"/>
  <c r="AO164" i="67"/>
  <c r="AN48" i="22" s="1"/>
  <c r="D165" i="67"/>
  <c r="C69" i="22" s="1"/>
  <c r="E165" i="67"/>
  <c r="D69" i="22" s="1"/>
  <c r="F165" i="67"/>
  <c r="E69" i="22" s="1"/>
  <c r="G165" i="67"/>
  <c r="F69" i="22" s="1"/>
  <c r="H165" i="67"/>
  <c r="G69" i="22" s="1"/>
  <c r="I165" i="67"/>
  <c r="H69" i="22" s="1"/>
  <c r="J165" i="67"/>
  <c r="I69" i="22" s="1"/>
  <c r="K165" i="67"/>
  <c r="J69" i="22" s="1"/>
  <c r="L165" i="67"/>
  <c r="K69" i="22" s="1"/>
  <c r="M165" i="67"/>
  <c r="L69" i="22" s="1"/>
  <c r="N165" i="67"/>
  <c r="M69" i="22" s="1"/>
  <c r="O165" i="67"/>
  <c r="N69" i="22" s="1"/>
  <c r="P165" i="67"/>
  <c r="O69" i="22" s="1"/>
  <c r="Q165" i="67"/>
  <c r="P69" i="22" s="1"/>
  <c r="R165" i="67"/>
  <c r="Q69" i="22" s="1"/>
  <c r="S165" i="67"/>
  <c r="R69" i="22" s="1"/>
  <c r="T165" i="67"/>
  <c r="S69" i="22" s="1"/>
  <c r="U165" i="67"/>
  <c r="T69" i="22" s="1"/>
  <c r="V165" i="67"/>
  <c r="U69" i="22" s="1"/>
  <c r="W165" i="67"/>
  <c r="V69" i="22" s="1"/>
  <c r="X165" i="67"/>
  <c r="W69" i="22" s="1"/>
  <c r="Y165" i="67"/>
  <c r="X69" i="22" s="1"/>
  <c r="Z165" i="67"/>
  <c r="Y69" i="22" s="1"/>
  <c r="AA165" i="67"/>
  <c r="Z69" i="22" s="1"/>
  <c r="AB165" i="67"/>
  <c r="AA69" i="22" s="1"/>
  <c r="AC165" i="67"/>
  <c r="AB69" i="22" s="1"/>
  <c r="AD165" i="67"/>
  <c r="AC69" i="22" s="1"/>
  <c r="AE165" i="67"/>
  <c r="AD69" i="22" s="1"/>
  <c r="AF165" i="67"/>
  <c r="AE69" i="22" s="1"/>
  <c r="AG165" i="67"/>
  <c r="AF69" i="22" s="1"/>
  <c r="AH165" i="67"/>
  <c r="AG69" i="22" s="1"/>
  <c r="AI165" i="67"/>
  <c r="AH69" i="22" s="1"/>
  <c r="AJ165" i="67"/>
  <c r="AI69" i="22" s="1"/>
  <c r="AK165" i="67"/>
  <c r="AJ69" i="22" s="1"/>
  <c r="AL165" i="67"/>
  <c r="AK69" i="22" s="1"/>
  <c r="AM165" i="67"/>
  <c r="AL69" i="22" s="1"/>
  <c r="AN165" i="67"/>
  <c r="AM69" i="22" s="1"/>
  <c r="AO165" i="67"/>
  <c r="AN69" i="22" s="1"/>
  <c r="D166" i="67"/>
  <c r="C79" i="22" s="1"/>
  <c r="E166" i="67"/>
  <c r="D79" i="22" s="1"/>
  <c r="F166" i="67"/>
  <c r="E79" i="22" s="1"/>
  <c r="G166" i="67"/>
  <c r="F79" i="22" s="1"/>
  <c r="H166" i="67"/>
  <c r="G79" i="22" s="1"/>
  <c r="I166" i="67"/>
  <c r="H79" i="22" s="1"/>
  <c r="J166" i="67"/>
  <c r="I79" i="22" s="1"/>
  <c r="K166" i="67"/>
  <c r="J79" i="22" s="1"/>
  <c r="L166" i="67"/>
  <c r="K79" i="22" s="1"/>
  <c r="M166" i="67"/>
  <c r="L79" i="22" s="1"/>
  <c r="N166" i="67"/>
  <c r="M79" i="22" s="1"/>
  <c r="O166" i="67"/>
  <c r="N79" i="22" s="1"/>
  <c r="P166" i="67"/>
  <c r="O79" i="22" s="1"/>
  <c r="Q166" i="67"/>
  <c r="P79" i="22" s="1"/>
  <c r="R166" i="67"/>
  <c r="Q79" i="22" s="1"/>
  <c r="S166" i="67"/>
  <c r="R79" i="22" s="1"/>
  <c r="T166" i="67"/>
  <c r="S79" i="22" s="1"/>
  <c r="U166" i="67"/>
  <c r="T79" i="22" s="1"/>
  <c r="V166" i="67"/>
  <c r="U79" i="22" s="1"/>
  <c r="W166" i="67"/>
  <c r="V79" i="22" s="1"/>
  <c r="X166" i="67"/>
  <c r="W79" i="22" s="1"/>
  <c r="Y166" i="67"/>
  <c r="X79" i="22" s="1"/>
  <c r="Z166" i="67"/>
  <c r="Y79" i="22" s="1"/>
  <c r="AA166" i="67"/>
  <c r="Z79" i="22" s="1"/>
  <c r="AB166" i="67"/>
  <c r="AA79" i="22" s="1"/>
  <c r="AC166" i="67"/>
  <c r="AB79" i="22" s="1"/>
  <c r="AD166" i="67"/>
  <c r="AC79" i="22" s="1"/>
  <c r="AE166" i="67"/>
  <c r="AD79" i="22" s="1"/>
  <c r="AF166" i="67"/>
  <c r="AE79" i="22" s="1"/>
  <c r="AG166" i="67"/>
  <c r="AF79" i="22" s="1"/>
  <c r="AH166" i="67"/>
  <c r="AG79" i="22" s="1"/>
  <c r="AI166" i="67"/>
  <c r="AH79" i="22" s="1"/>
  <c r="AJ166" i="67"/>
  <c r="AI79" i="22" s="1"/>
  <c r="AK166" i="67"/>
  <c r="AJ79" i="22" s="1"/>
  <c r="AL166" i="67"/>
  <c r="AK79" i="22" s="1"/>
  <c r="AM166" i="67"/>
  <c r="AL79" i="22" s="1"/>
  <c r="AN166" i="67"/>
  <c r="AM79" i="22" s="1"/>
  <c r="AO166" i="67"/>
  <c r="AN79" i="22" s="1"/>
  <c r="D167" i="67"/>
  <c r="C83" i="22" s="1"/>
  <c r="E167" i="67"/>
  <c r="D83" i="22" s="1"/>
  <c r="F167" i="67"/>
  <c r="E83" i="22" s="1"/>
  <c r="G167" i="67"/>
  <c r="F83" i="22" s="1"/>
  <c r="H167" i="67"/>
  <c r="G83" i="22" s="1"/>
  <c r="I167" i="67"/>
  <c r="H83" i="22" s="1"/>
  <c r="J167" i="67"/>
  <c r="I83" i="22" s="1"/>
  <c r="K167" i="67"/>
  <c r="J83" i="22" s="1"/>
  <c r="L167" i="67"/>
  <c r="K83" i="22" s="1"/>
  <c r="M167" i="67"/>
  <c r="L83" i="22" s="1"/>
  <c r="N167" i="67"/>
  <c r="M83" i="22" s="1"/>
  <c r="O167" i="67"/>
  <c r="N83" i="22" s="1"/>
  <c r="P167" i="67"/>
  <c r="O83" i="22" s="1"/>
  <c r="Q167" i="67"/>
  <c r="P83" i="22" s="1"/>
  <c r="R167" i="67"/>
  <c r="Q83" i="22" s="1"/>
  <c r="S167" i="67"/>
  <c r="R83" i="22" s="1"/>
  <c r="T167" i="67"/>
  <c r="S83" i="22" s="1"/>
  <c r="U167" i="67"/>
  <c r="T83" i="22" s="1"/>
  <c r="V167" i="67"/>
  <c r="U83" i="22" s="1"/>
  <c r="W167" i="67"/>
  <c r="V83" i="22" s="1"/>
  <c r="X167" i="67"/>
  <c r="W83" i="22" s="1"/>
  <c r="Y167" i="67"/>
  <c r="X83" i="22" s="1"/>
  <c r="Z167" i="67"/>
  <c r="Y83" i="22" s="1"/>
  <c r="AA167" i="67"/>
  <c r="Z83" i="22" s="1"/>
  <c r="AB167" i="67"/>
  <c r="AA83" i="22" s="1"/>
  <c r="AC167" i="67"/>
  <c r="AB83" i="22" s="1"/>
  <c r="AD167" i="67"/>
  <c r="AC83" i="22" s="1"/>
  <c r="AE167" i="67"/>
  <c r="AD83" i="22" s="1"/>
  <c r="AF167" i="67"/>
  <c r="AE83" i="22" s="1"/>
  <c r="AG167" i="67"/>
  <c r="AF83" i="22" s="1"/>
  <c r="AH167" i="67"/>
  <c r="AG83" i="22" s="1"/>
  <c r="AI167" i="67"/>
  <c r="AH83" i="22" s="1"/>
  <c r="AJ167" i="67"/>
  <c r="AI83" i="22" s="1"/>
  <c r="AK167" i="67"/>
  <c r="AJ83" i="22" s="1"/>
  <c r="AL167" i="67"/>
  <c r="AK83" i="22" s="1"/>
  <c r="AM167" i="67"/>
  <c r="AL83" i="22" s="1"/>
  <c r="AN167" i="67"/>
  <c r="AM83" i="22" s="1"/>
  <c r="AO167" i="67"/>
  <c r="AN83" i="22" s="1"/>
  <c r="D168" i="67"/>
  <c r="C88" i="22" s="1"/>
  <c r="E168" i="67"/>
  <c r="D88" i="22" s="1"/>
  <c r="F168" i="67"/>
  <c r="E88" i="22" s="1"/>
  <c r="G168" i="67"/>
  <c r="F88" i="22" s="1"/>
  <c r="H168" i="67"/>
  <c r="G88" i="22" s="1"/>
  <c r="I168" i="67"/>
  <c r="H88" i="22" s="1"/>
  <c r="J168" i="67"/>
  <c r="I88" i="22" s="1"/>
  <c r="K168" i="67"/>
  <c r="J88" i="22" s="1"/>
  <c r="L168" i="67"/>
  <c r="K88" i="22" s="1"/>
  <c r="M168" i="67"/>
  <c r="L88" i="22" s="1"/>
  <c r="N168" i="67"/>
  <c r="M88" i="22" s="1"/>
  <c r="O168" i="67"/>
  <c r="N88" i="22" s="1"/>
  <c r="P168" i="67"/>
  <c r="O88" i="22" s="1"/>
  <c r="Q168" i="67"/>
  <c r="P88" i="22" s="1"/>
  <c r="R168" i="67"/>
  <c r="Q88" i="22" s="1"/>
  <c r="S168" i="67"/>
  <c r="R88" i="22" s="1"/>
  <c r="T168" i="67"/>
  <c r="S88" i="22" s="1"/>
  <c r="U168" i="67"/>
  <c r="T88" i="22" s="1"/>
  <c r="V168" i="67"/>
  <c r="U88" i="22" s="1"/>
  <c r="W168" i="67"/>
  <c r="V88" i="22" s="1"/>
  <c r="X168" i="67"/>
  <c r="W88" i="22" s="1"/>
  <c r="Y168" i="67"/>
  <c r="X88" i="22" s="1"/>
  <c r="Z168" i="67"/>
  <c r="Y88" i="22" s="1"/>
  <c r="AA168" i="67"/>
  <c r="Z88" i="22" s="1"/>
  <c r="AB168" i="67"/>
  <c r="AA88" i="22" s="1"/>
  <c r="AC168" i="67"/>
  <c r="AB88" i="22" s="1"/>
  <c r="AD168" i="67"/>
  <c r="AC88" i="22" s="1"/>
  <c r="AE168" i="67"/>
  <c r="AD88" i="22" s="1"/>
  <c r="AF168" i="67"/>
  <c r="AE88" i="22" s="1"/>
  <c r="AG168" i="67"/>
  <c r="AF88" i="22" s="1"/>
  <c r="AH168" i="67"/>
  <c r="AG88" i="22" s="1"/>
  <c r="AI168" i="67"/>
  <c r="AH88" i="22" s="1"/>
  <c r="AJ168" i="67"/>
  <c r="AI88" i="22" s="1"/>
  <c r="AK168" i="67"/>
  <c r="AJ88" i="22" s="1"/>
  <c r="AL168" i="67"/>
  <c r="AK88" i="22" s="1"/>
  <c r="AM168" i="67"/>
  <c r="AL88" i="22" s="1"/>
  <c r="AN168" i="67"/>
  <c r="AM88" i="22" s="1"/>
  <c r="AO168" i="67"/>
  <c r="AN88" i="22" s="1"/>
  <c r="D169" i="67"/>
  <c r="C94" i="22" s="1"/>
  <c r="E169" i="67"/>
  <c r="D94" i="22" s="1"/>
  <c r="F169" i="67"/>
  <c r="E94" i="22" s="1"/>
  <c r="G169" i="67"/>
  <c r="F94" i="22" s="1"/>
  <c r="H169" i="67"/>
  <c r="G94" i="22" s="1"/>
  <c r="I169" i="67"/>
  <c r="H94" i="22" s="1"/>
  <c r="J169" i="67"/>
  <c r="I94" i="22" s="1"/>
  <c r="K169" i="67"/>
  <c r="J94" i="22" s="1"/>
  <c r="L169" i="67"/>
  <c r="K94" i="22" s="1"/>
  <c r="M169" i="67"/>
  <c r="L94" i="22" s="1"/>
  <c r="N169" i="67"/>
  <c r="M94" i="22" s="1"/>
  <c r="O169" i="67"/>
  <c r="N94" i="22" s="1"/>
  <c r="P169" i="67"/>
  <c r="O94" i="22" s="1"/>
  <c r="Q169" i="67"/>
  <c r="P94" i="22" s="1"/>
  <c r="R169" i="67"/>
  <c r="Q94" i="22" s="1"/>
  <c r="S169" i="67"/>
  <c r="R94" i="22" s="1"/>
  <c r="T169" i="67"/>
  <c r="S94" i="22" s="1"/>
  <c r="U169" i="67"/>
  <c r="T94" i="22" s="1"/>
  <c r="V169" i="67"/>
  <c r="U94" i="22" s="1"/>
  <c r="W169" i="67"/>
  <c r="V94" i="22" s="1"/>
  <c r="X169" i="67"/>
  <c r="W94" i="22" s="1"/>
  <c r="Y169" i="67"/>
  <c r="X94" i="22" s="1"/>
  <c r="Z169" i="67"/>
  <c r="Y94" i="22" s="1"/>
  <c r="AA169" i="67"/>
  <c r="Z94" i="22" s="1"/>
  <c r="AB169" i="67"/>
  <c r="AA94" i="22" s="1"/>
  <c r="AC169" i="67"/>
  <c r="AB94" i="22" s="1"/>
  <c r="AD169" i="67"/>
  <c r="AC94" i="22" s="1"/>
  <c r="AE169" i="67"/>
  <c r="AD94" i="22" s="1"/>
  <c r="AF169" i="67"/>
  <c r="AE94" i="22" s="1"/>
  <c r="AG169" i="67"/>
  <c r="AF94" i="22" s="1"/>
  <c r="AH169" i="67"/>
  <c r="AG94" i="22" s="1"/>
  <c r="AI169" i="67"/>
  <c r="AH94" i="22" s="1"/>
  <c r="AJ169" i="67"/>
  <c r="AI94" i="22" s="1"/>
  <c r="AK169" i="67"/>
  <c r="AJ94" i="22" s="1"/>
  <c r="AL169" i="67"/>
  <c r="AK94" i="22" s="1"/>
  <c r="AM169" i="67"/>
  <c r="AL94" i="22" s="1"/>
  <c r="AN169" i="67"/>
  <c r="AM94" i="22" s="1"/>
  <c r="AO169" i="67"/>
  <c r="AN94" i="22" s="1"/>
  <c r="D172" i="67"/>
  <c r="C12" i="23" s="1"/>
  <c r="E172" i="67"/>
  <c r="D12" i="23" s="1"/>
  <c r="F172" i="67"/>
  <c r="E12" i="23" s="1"/>
  <c r="G172" i="67"/>
  <c r="F12" i="23" s="1"/>
  <c r="H172" i="67"/>
  <c r="G12" i="23" s="1"/>
  <c r="I172" i="67"/>
  <c r="H12" i="23" s="1"/>
  <c r="J172" i="67"/>
  <c r="I12" i="23" s="1"/>
  <c r="K172" i="67"/>
  <c r="J12" i="23" s="1"/>
  <c r="L172" i="67"/>
  <c r="K12" i="23" s="1"/>
  <c r="M172" i="67"/>
  <c r="L12" i="23" s="1"/>
  <c r="N172" i="67"/>
  <c r="M12" i="23" s="1"/>
  <c r="O172" i="67"/>
  <c r="N12" i="23" s="1"/>
  <c r="P172" i="67"/>
  <c r="O12" i="23" s="1"/>
  <c r="Q172" i="67"/>
  <c r="P12" i="23" s="1"/>
  <c r="R172" i="67"/>
  <c r="Q12" i="23" s="1"/>
  <c r="S172" i="67"/>
  <c r="R12" i="23" s="1"/>
  <c r="T172" i="67"/>
  <c r="S12" i="23" s="1"/>
  <c r="U172" i="67"/>
  <c r="T12" i="23" s="1"/>
  <c r="V172" i="67"/>
  <c r="U12" i="23" s="1"/>
  <c r="W172" i="67"/>
  <c r="V12" i="23" s="1"/>
  <c r="X172" i="67"/>
  <c r="W12" i="23" s="1"/>
  <c r="Y172" i="67"/>
  <c r="X12" i="23" s="1"/>
  <c r="Z172" i="67"/>
  <c r="Y12" i="23" s="1"/>
  <c r="AA172" i="67"/>
  <c r="Z12" i="23" s="1"/>
  <c r="AB172" i="67"/>
  <c r="AA12" i="23" s="1"/>
  <c r="AC172" i="67"/>
  <c r="AB12" i="23" s="1"/>
  <c r="AD172" i="67"/>
  <c r="AC12" i="23" s="1"/>
  <c r="AE172" i="67"/>
  <c r="AD12" i="23" s="1"/>
  <c r="AF172" i="67"/>
  <c r="AE12" i="23" s="1"/>
  <c r="AG172" i="67"/>
  <c r="AF12" i="23" s="1"/>
  <c r="AH172" i="67"/>
  <c r="AG12" i="23" s="1"/>
  <c r="AI172" i="67"/>
  <c r="AH12" i="23" s="1"/>
  <c r="AJ172" i="67"/>
  <c r="AI12" i="23" s="1"/>
  <c r="AK172" i="67"/>
  <c r="AJ12" i="23" s="1"/>
  <c r="AL172" i="67"/>
  <c r="AK12" i="23" s="1"/>
  <c r="AM172" i="67"/>
  <c r="AL12" i="23" s="1"/>
  <c r="AN172" i="67"/>
  <c r="AM12" i="23" s="1"/>
  <c r="AO172" i="67"/>
  <c r="AN12" i="23" s="1"/>
  <c r="D173" i="67"/>
  <c r="C27" i="23" s="1"/>
  <c r="E173" i="67"/>
  <c r="D27" i="23" s="1"/>
  <c r="F173" i="67"/>
  <c r="E27" i="23" s="1"/>
  <c r="G173" i="67"/>
  <c r="F27" i="23" s="1"/>
  <c r="H173" i="67"/>
  <c r="G27" i="23" s="1"/>
  <c r="I173" i="67"/>
  <c r="H27" i="23" s="1"/>
  <c r="J173" i="67"/>
  <c r="I27" i="23" s="1"/>
  <c r="K173" i="67"/>
  <c r="J27" i="23" s="1"/>
  <c r="L173" i="67"/>
  <c r="K27" i="23" s="1"/>
  <c r="M173" i="67"/>
  <c r="L27" i="23" s="1"/>
  <c r="N173" i="67"/>
  <c r="M27" i="23" s="1"/>
  <c r="O173" i="67"/>
  <c r="N27" i="23" s="1"/>
  <c r="P173" i="67"/>
  <c r="O27" i="23" s="1"/>
  <c r="Q173" i="67"/>
  <c r="P27" i="23" s="1"/>
  <c r="R173" i="67"/>
  <c r="Q27" i="23" s="1"/>
  <c r="S173" i="67"/>
  <c r="R27" i="23" s="1"/>
  <c r="T173" i="67"/>
  <c r="S27" i="23" s="1"/>
  <c r="U173" i="67"/>
  <c r="T27" i="23" s="1"/>
  <c r="V173" i="67"/>
  <c r="U27" i="23" s="1"/>
  <c r="W173" i="67"/>
  <c r="V27" i="23" s="1"/>
  <c r="X173" i="67"/>
  <c r="W27" i="23" s="1"/>
  <c r="Y173" i="67"/>
  <c r="X27" i="23" s="1"/>
  <c r="Z173" i="67"/>
  <c r="Y27" i="23" s="1"/>
  <c r="AA173" i="67"/>
  <c r="Z27" i="23" s="1"/>
  <c r="AB173" i="67"/>
  <c r="AA27" i="23" s="1"/>
  <c r="AC173" i="67"/>
  <c r="AB27" i="23" s="1"/>
  <c r="AD173" i="67"/>
  <c r="AC27" i="23" s="1"/>
  <c r="AE173" i="67"/>
  <c r="AD27" i="23" s="1"/>
  <c r="AF173" i="67"/>
  <c r="AE27" i="23" s="1"/>
  <c r="AG173" i="67"/>
  <c r="AF27" i="23" s="1"/>
  <c r="AH173" i="67"/>
  <c r="AG27" i="23" s="1"/>
  <c r="AI173" i="67"/>
  <c r="AH27" i="23" s="1"/>
  <c r="AJ173" i="67"/>
  <c r="AI27" i="23" s="1"/>
  <c r="AK173" i="67"/>
  <c r="AJ27" i="23" s="1"/>
  <c r="AL173" i="67"/>
  <c r="AK27" i="23" s="1"/>
  <c r="AM173" i="67"/>
  <c r="AL27" i="23" s="1"/>
  <c r="AN173" i="67"/>
  <c r="AM27" i="23" s="1"/>
  <c r="AO173" i="67"/>
  <c r="AN27" i="23" s="1"/>
  <c r="D174" i="67"/>
  <c r="C34" i="23" s="1"/>
  <c r="E174" i="67"/>
  <c r="D34" i="23" s="1"/>
  <c r="F174" i="67"/>
  <c r="E34" i="23" s="1"/>
  <c r="G174" i="67"/>
  <c r="F34" i="23" s="1"/>
  <c r="H174" i="67"/>
  <c r="G34" i="23" s="1"/>
  <c r="I174" i="67"/>
  <c r="H34" i="23" s="1"/>
  <c r="J174" i="67"/>
  <c r="I34" i="23" s="1"/>
  <c r="K174" i="67"/>
  <c r="J34" i="23" s="1"/>
  <c r="L174" i="67"/>
  <c r="K34" i="23" s="1"/>
  <c r="M174" i="67"/>
  <c r="L34" i="23" s="1"/>
  <c r="N174" i="67"/>
  <c r="M34" i="23" s="1"/>
  <c r="O174" i="67"/>
  <c r="N34" i="23" s="1"/>
  <c r="P174" i="67"/>
  <c r="O34" i="23" s="1"/>
  <c r="Q174" i="67"/>
  <c r="P34" i="23" s="1"/>
  <c r="R174" i="67"/>
  <c r="Q34" i="23" s="1"/>
  <c r="S174" i="67"/>
  <c r="R34" i="23" s="1"/>
  <c r="T174" i="67"/>
  <c r="S34" i="23" s="1"/>
  <c r="U174" i="67"/>
  <c r="T34" i="23" s="1"/>
  <c r="V174" i="67"/>
  <c r="U34" i="23" s="1"/>
  <c r="W174" i="67"/>
  <c r="V34" i="23" s="1"/>
  <c r="X174" i="67"/>
  <c r="W34" i="23" s="1"/>
  <c r="Y174" i="67"/>
  <c r="X34" i="23" s="1"/>
  <c r="Z174" i="67"/>
  <c r="Y34" i="23" s="1"/>
  <c r="AA174" i="67"/>
  <c r="Z34" i="23" s="1"/>
  <c r="AB174" i="67"/>
  <c r="AA34" i="23" s="1"/>
  <c r="AC174" i="67"/>
  <c r="AB34" i="23" s="1"/>
  <c r="AD174" i="67"/>
  <c r="AC34" i="23" s="1"/>
  <c r="AE174" i="67"/>
  <c r="AD34" i="23" s="1"/>
  <c r="AF174" i="67"/>
  <c r="AE34" i="23" s="1"/>
  <c r="AG174" i="67"/>
  <c r="AF34" i="23" s="1"/>
  <c r="AH174" i="67"/>
  <c r="AG34" i="23" s="1"/>
  <c r="AI174" i="67"/>
  <c r="AH34" i="23" s="1"/>
  <c r="AJ174" i="67"/>
  <c r="AI34" i="23" s="1"/>
  <c r="AK174" i="67"/>
  <c r="AJ34" i="23" s="1"/>
  <c r="AL174" i="67"/>
  <c r="AK34" i="23" s="1"/>
  <c r="AM174" i="67"/>
  <c r="AL34" i="23" s="1"/>
  <c r="AN174" i="67"/>
  <c r="AM34" i="23" s="1"/>
  <c r="AO174" i="67"/>
  <c r="AN34" i="23" s="1"/>
  <c r="D175" i="67"/>
  <c r="C48" i="23" s="1"/>
  <c r="E175" i="67"/>
  <c r="D48" i="23" s="1"/>
  <c r="F175" i="67"/>
  <c r="E48" i="23" s="1"/>
  <c r="G175" i="67"/>
  <c r="F48" i="23" s="1"/>
  <c r="H175" i="67"/>
  <c r="G48" i="23" s="1"/>
  <c r="I175" i="67"/>
  <c r="H48" i="23" s="1"/>
  <c r="J175" i="67"/>
  <c r="I48" i="23" s="1"/>
  <c r="K175" i="67"/>
  <c r="J48" i="23" s="1"/>
  <c r="L175" i="67"/>
  <c r="K48" i="23" s="1"/>
  <c r="M175" i="67"/>
  <c r="L48" i="23" s="1"/>
  <c r="N175" i="67"/>
  <c r="M48" i="23" s="1"/>
  <c r="O175" i="67"/>
  <c r="N48" i="23" s="1"/>
  <c r="P175" i="67"/>
  <c r="O48" i="23" s="1"/>
  <c r="Q175" i="67"/>
  <c r="P48" i="23" s="1"/>
  <c r="R175" i="67"/>
  <c r="Q48" i="23" s="1"/>
  <c r="S175" i="67"/>
  <c r="R48" i="23" s="1"/>
  <c r="T175" i="67"/>
  <c r="S48" i="23" s="1"/>
  <c r="U175" i="67"/>
  <c r="T48" i="23" s="1"/>
  <c r="V175" i="67"/>
  <c r="U48" i="23" s="1"/>
  <c r="W175" i="67"/>
  <c r="V48" i="23" s="1"/>
  <c r="X175" i="67"/>
  <c r="W48" i="23" s="1"/>
  <c r="Y175" i="67"/>
  <c r="X48" i="23" s="1"/>
  <c r="Z175" i="67"/>
  <c r="Y48" i="23" s="1"/>
  <c r="AA175" i="67"/>
  <c r="Z48" i="23" s="1"/>
  <c r="AB175" i="67"/>
  <c r="AA48" i="23" s="1"/>
  <c r="AC175" i="67"/>
  <c r="AB48" i="23" s="1"/>
  <c r="AD175" i="67"/>
  <c r="AC48" i="23" s="1"/>
  <c r="AE175" i="67"/>
  <c r="AD48" i="23" s="1"/>
  <c r="AF175" i="67"/>
  <c r="AE48" i="23" s="1"/>
  <c r="AG175" i="67"/>
  <c r="AF48" i="23" s="1"/>
  <c r="AH175" i="67"/>
  <c r="AG48" i="23" s="1"/>
  <c r="AI175" i="67"/>
  <c r="AH48" i="23" s="1"/>
  <c r="AJ175" i="67"/>
  <c r="AI48" i="23" s="1"/>
  <c r="AK175" i="67"/>
  <c r="AJ48" i="23" s="1"/>
  <c r="AL175" i="67"/>
  <c r="AK48" i="23" s="1"/>
  <c r="AM175" i="67"/>
  <c r="AL48" i="23" s="1"/>
  <c r="AN175" i="67"/>
  <c r="AM48" i="23" s="1"/>
  <c r="AO175" i="67"/>
  <c r="AN48" i="23" s="1"/>
  <c r="D176" i="67"/>
  <c r="C69" i="23" s="1"/>
  <c r="E176" i="67"/>
  <c r="D69" i="23" s="1"/>
  <c r="F176" i="67"/>
  <c r="E69" i="23" s="1"/>
  <c r="G176" i="67"/>
  <c r="F69" i="23" s="1"/>
  <c r="H176" i="67"/>
  <c r="G69" i="23" s="1"/>
  <c r="I176" i="67"/>
  <c r="H69" i="23" s="1"/>
  <c r="J176" i="67"/>
  <c r="I69" i="23" s="1"/>
  <c r="K176" i="67"/>
  <c r="J69" i="23" s="1"/>
  <c r="L176" i="67"/>
  <c r="K69" i="23" s="1"/>
  <c r="M176" i="67"/>
  <c r="L69" i="23" s="1"/>
  <c r="N176" i="67"/>
  <c r="M69" i="23" s="1"/>
  <c r="O176" i="67"/>
  <c r="N69" i="23" s="1"/>
  <c r="P176" i="67"/>
  <c r="O69" i="23" s="1"/>
  <c r="Q176" i="67"/>
  <c r="P69" i="23" s="1"/>
  <c r="R176" i="67"/>
  <c r="Q69" i="23" s="1"/>
  <c r="S176" i="67"/>
  <c r="R69" i="23" s="1"/>
  <c r="T176" i="67"/>
  <c r="S69" i="23" s="1"/>
  <c r="U176" i="67"/>
  <c r="T69" i="23" s="1"/>
  <c r="V176" i="67"/>
  <c r="U69" i="23" s="1"/>
  <c r="W176" i="67"/>
  <c r="V69" i="23" s="1"/>
  <c r="X176" i="67"/>
  <c r="W69" i="23" s="1"/>
  <c r="Y176" i="67"/>
  <c r="X69" i="23" s="1"/>
  <c r="Z176" i="67"/>
  <c r="Y69" i="23" s="1"/>
  <c r="AA176" i="67"/>
  <c r="Z69" i="23" s="1"/>
  <c r="AB176" i="67"/>
  <c r="AA69" i="23" s="1"/>
  <c r="AC176" i="67"/>
  <c r="AB69" i="23" s="1"/>
  <c r="AD176" i="67"/>
  <c r="AC69" i="23" s="1"/>
  <c r="AE176" i="67"/>
  <c r="AD69" i="23" s="1"/>
  <c r="AF176" i="67"/>
  <c r="AE69" i="23" s="1"/>
  <c r="AG176" i="67"/>
  <c r="AF69" i="23" s="1"/>
  <c r="AH176" i="67"/>
  <c r="AG69" i="23" s="1"/>
  <c r="AI176" i="67"/>
  <c r="AH69" i="23" s="1"/>
  <c r="AJ176" i="67"/>
  <c r="AI69" i="23" s="1"/>
  <c r="AK176" i="67"/>
  <c r="AJ69" i="23" s="1"/>
  <c r="AL176" i="67"/>
  <c r="AK69" i="23" s="1"/>
  <c r="AM176" i="67"/>
  <c r="AL69" i="23" s="1"/>
  <c r="AN176" i="67"/>
  <c r="AM69" i="23" s="1"/>
  <c r="AO176" i="67"/>
  <c r="AN69" i="23" s="1"/>
  <c r="D177" i="67"/>
  <c r="C79" i="23" s="1"/>
  <c r="E177" i="67"/>
  <c r="D79" i="23" s="1"/>
  <c r="F177" i="67"/>
  <c r="E79" i="23" s="1"/>
  <c r="G177" i="67"/>
  <c r="F79" i="23" s="1"/>
  <c r="H177" i="67"/>
  <c r="G79" i="23" s="1"/>
  <c r="I177" i="67"/>
  <c r="H79" i="23" s="1"/>
  <c r="J177" i="67"/>
  <c r="I79" i="23" s="1"/>
  <c r="K177" i="67"/>
  <c r="J79" i="23" s="1"/>
  <c r="L177" i="67"/>
  <c r="K79" i="23" s="1"/>
  <c r="M177" i="67"/>
  <c r="L79" i="23" s="1"/>
  <c r="N177" i="67"/>
  <c r="M79" i="23" s="1"/>
  <c r="O177" i="67"/>
  <c r="N79" i="23" s="1"/>
  <c r="P177" i="67"/>
  <c r="O79" i="23" s="1"/>
  <c r="Q177" i="67"/>
  <c r="P79" i="23" s="1"/>
  <c r="R177" i="67"/>
  <c r="Q79" i="23" s="1"/>
  <c r="S177" i="67"/>
  <c r="R79" i="23" s="1"/>
  <c r="T177" i="67"/>
  <c r="S79" i="23" s="1"/>
  <c r="U177" i="67"/>
  <c r="T79" i="23" s="1"/>
  <c r="V177" i="67"/>
  <c r="U79" i="23" s="1"/>
  <c r="W177" i="67"/>
  <c r="V79" i="23" s="1"/>
  <c r="X177" i="67"/>
  <c r="W79" i="23" s="1"/>
  <c r="Y177" i="67"/>
  <c r="X79" i="23" s="1"/>
  <c r="Z177" i="67"/>
  <c r="Y79" i="23" s="1"/>
  <c r="AA177" i="67"/>
  <c r="Z79" i="23" s="1"/>
  <c r="AB177" i="67"/>
  <c r="AA79" i="23" s="1"/>
  <c r="AC177" i="67"/>
  <c r="AB79" i="23" s="1"/>
  <c r="AD177" i="67"/>
  <c r="AC79" i="23" s="1"/>
  <c r="AE177" i="67"/>
  <c r="AD79" i="23" s="1"/>
  <c r="AF177" i="67"/>
  <c r="AE79" i="23" s="1"/>
  <c r="AG177" i="67"/>
  <c r="AF79" i="23" s="1"/>
  <c r="AH177" i="67"/>
  <c r="AG79" i="23" s="1"/>
  <c r="AI177" i="67"/>
  <c r="AH79" i="23" s="1"/>
  <c r="AJ177" i="67"/>
  <c r="AI79" i="23" s="1"/>
  <c r="AK177" i="67"/>
  <c r="AJ79" i="23" s="1"/>
  <c r="AL177" i="67"/>
  <c r="AK79" i="23" s="1"/>
  <c r="AM177" i="67"/>
  <c r="AL79" i="23" s="1"/>
  <c r="AN177" i="67"/>
  <c r="AM79" i="23" s="1"/>
  <c r="AO177" i="67"/>
  <c r="AN79" i="23" s="1"/>
  <c r="D178" i="67"/>
  <c r="C83" i="23" s="1"/>
  <c r="E178" i="67"/>
  <c r="D83" i="23" s="1"/>
  <c r="F178" i="67"/>
  <c r="E83" i="23" s="1"/>
  <c r="G178" i="67"/>
  <c r="F83" i="23" s="1"/>
  <c r="H178" i="67"/>
  <c r="G83" i="23" s="1"/>
  <c r="I178" i="67"/>
  <c r="H83" i="23" s="1"/>
  <c r="J178" i="67"/>
  <c r="I83" i="23" s="1"/>
  <c r="K178" i="67"/>
  <c r="J83" i="23" s="1"/>
  <c r="L178" i="67"/>
  <c r="K83" i="23" s="1"/>
  <c r="M178" i="67"/>
  <c r="L83" i="23" s="1"/>
  <c r="N178" i="67"/>
  <c r="M83" i="23" s="1"/>
  <c r="O178" i="67"/>
  <c r="N83" i="23" s="1"/>
  <c r="P178" i="67"/>
  <c r="O83" i="23" s="1"/>
  <c r="Q178" i="67"/>
  <c r="P83" i="23" s="1"/>
  <c r="R178" i="67"/>
  <c r="Q83" i="23" s="1"/>
  <c r="S178" i="67"/>
  <c r="R83" i="23" s="1"/>
  <c r="T178" i="67"/>
  <c r="S83" i="23" s="1"/>
  <c r="U178" i="67"/>
  <c r="T83" i="23" s="1"/>
  <c r="V178" i="67"/>
  <c r="U83" i="23" s="1"/>
  <c r="W178" i="67"/>
  <c r="V83" i="23" s="1"/>
  <c r="X178" i="67"/>
  <c r="W83" i="23" s="1"/>
  <c r="Y178" i="67"/>
  <c r="X83" i="23" s="1"/>
  <c r="Z178" i="67"/>
  <c r="Y83" i="23" s="1"/>
  <c r="AA178" i="67"/>
  <c r="Z83" i="23" s="1"/>
  <c r="AB178" i="67"/>
  <c r="AA83" i="23" s="1"/>
  <c r="AC178" i="67"/>
  <c r="AB83" i="23" s="1"/>
  <c r="AD178" i="67"/>
  <c r="AC83" i="23" s="1"/>
  <c r="AE178" i="67"/>
  <c r="AD83" i="23" s="1"/>
  <c r="AF178" i="67"/>
  <c r="AE83" i="23" s="1"/>
  <c r="AG178" i="67"/>
  <c r="AF83" i="23" s="1"/>
  <c r="AH178" i="67"/>
  <c r="AG83" i="23" s="1"/>
  <c r="AI178" i="67"/>
  <c r="AH83" i="23" s="1"/>
  <c r="AJ178" i="67"/>
  <c r="AI83" i="23" s="1"/>
  <c r="AK178" i="67"/>
  <c r="AJ83" i="23" s="1"/>
  <c r="AL178" i="67"/>
  <c r="AK83" i="23" s="1"/>
  <c r="AM178" i="67"/>
  <c r="AL83" i="23" s="1"/>
  <c r="AN178" i="67"/>
  <c r="AM83" i="23" s="1"/>
  <c r="AO178" i="67"/>
  <c r="AN83" i="23" s="1"/>
  <c r="D179" i="67"/>
  <c r="C88" i="23" s="1"/>
  <c r="E179" i="67"/>
  <c r="D88" i="23" s="1"/>
  <c r="F179" i="67"/>
  <c r="E88" i="23" s="1"/>
  <c r="G179" i="67"/>
  <c r="F88" i="23" s="1"/>
  <c r="H179" i="67"/>
  <c r="G88" i="23" s="1"/>
  <c r="I179" i="67"/>
  <c r="H88" i="23" s="1"/>
  <c r="J179" i="67"/>
  <c r="I88" i="23" s="1"/>
  <c r="K179" i="67"/>
  <c r="J88" i="23" s="1"/>
  <c r="L179" i="67"/>
  <c r="K88" i="23" s="1"/>
  <c r="M179" i="67"/>
  <c r="L88" i="23" s="1"/>
  <c r="N179" i="67"/>
  <c r="M88" i="23" s="1"/>
  <c r="O179" i="67"/>
  <c r="N88" i="23" s="1"/>
  <c r="P179" i="67"/>
  <c r="O88" i="23" s="1"/>
  <c r="Q179" i="67"/>
  <c r="P88" i="23" s="1"/>
  <c r="R179" i="67"/>
  <c r="Q88" i="23" s="1"/>
  <c r="S179" i="67"/>
  <c r="R88" i="23" s="1"/>
  <c r="T179" i="67"/>
  <c r="S88" i="23" s="1"/>
  <c r="U179" i="67"/>
  <c r="T88" i="23" s="1"/>
  <c r="V179" i="67"/>
  <c r="U88" i="23" s="1"/>
  <c r="W179" i="67"/>
  <c r="V88" i="23" s="1"/>
  <c r="X179" i="67"/>
  <c r="W88" i="23" s="1"/>
  <c r="Y179" i="67"/>
  <c r="X88" i="23" s="1"/>
  <c r="Z179" i="67"/>
  <c r="Y88" i="23" s="1"/>
  <c r="AA179" i="67"/>
  <c r="Z88" i="23" s="1"/>
  <c r="AB179" i="67"/>
  <c r="AA88" i="23" s="1"/>
  <c r="AC179" i="67"/>
  <c r="AB88" i="23" s="1"/>
  <c r="AD179" i="67"/>
  <c r="AC88" i="23" s="1"/>
  <c r="AE179" i="67"/>
  <c r="AD88" i="23" s="1"/>
  <c r="AF179" i="67"/>
  <c r="AE88" i="23" s="1"/>
  <c r="AG179" i="67"/>
  <c r="AF88" i="23" s="1"/>
  <c r="AH179" i="67"/>
  <c r="AG88" i="23" s="1"/>
  <c r="AI179" i="67"/>
  <c r="AH88" i="23" s="1"/>
  <c r="AJ179" i="67"/>
  <c r="AI88" i="23" s="1"/>
  <c r="AK179" i="67"/>
  <c r="AJ88" i="23" s="1"/>
  <c r="AL179" i="67"/>
  <c r="AK88" i="23" s="1"/>
  <c r="AM179" i="67"/>
  <c r="AL88" i="23" s="1"/>
  <c r="AN179" i="67"/>
  <c r="AM88" i="23" s="1"/>
  <c r="AO179" i="67"/>
  <c r="AN88" i="23" s="1"/>
  <c r="D180" i="67"/>
  <c r="C94" i="23" s="1"/>
  <c r="E180" i="67"/>
  <c r="D94" i="23" s="1"/>
  <c r="F180" i="67"/>
  <c r="E94" i="23" s="1"/>
  <c r="G180" i="67"/>
  <c r="F94" i="23" s="1"/>
  <c r="H180" i="67"/>
  <c r="G94" i="23" s="1"/>
  <c r="I180" i="67"/>
  <c r="H94" i="23" s="1"/>
  <c r="J180" i="67"/>
  <c r="I94" i="23" s="1"/>
  <c r="K180" i="67"/>
  <c r="J94" i="23" s="1"/>
  <c r="L180" i="67"/>
  <c r="K94" i="23" s="1"/>
  <c r="M180" i="67"/>
  <c r="L94" i="23" s="1"/>
  <c r="N180" i="67"/>
  <c r="M94" i="23" s="1"/>
  <c r="O180" i="67"/>
  <c r="N94" i="23" s="1"/>
  <c r="P180" i="67"/>
  <c r="O94" i="23" s="1"/>
  <c r="Q180" i="67"/>
  <c r="P94" i="23" s="1"/>
  <c r="R180" i="67"/>
  <c r="Q94" i="23" s="1"/>
  <c r="S180" i="67"/>
  <c r="R94" i="23" s="1"/>
  <c r="T180" i="67"/>
  <c r="S94" i="23" s="1"/>
  <c r="U180" i="67"/>
  <c r="T94" i="23" s="1"/>
  <c r="V180" i="67"/>
  <c r="U94" i="23" s="1"/>
  <c r="W180" i="67"/>
  <c r="V94" i="23" s="1"/>
  <c r="X180" i="67"/>
  <c r="W94" i="23" s="1"/>
  <c r="Y180" i="67"/>
  <c r="X94" i="23" s="1"/>
  <c r="Z180" i="67"/>
  <c r="Y94" i="23" s="1"/>
  <c r="AA180" i="67"/>
  <c r="Z94" i="23" s="1"/>
  <c r="AB180" i="67"/>
  <c r="AA94" i="23" s="1"/>
  <c r="AC180" i="67"/>
  <c r="AB94" i="23" s="1"/>
  <c r="AD180" i="67"/>
  <c r="AC94" i="23" s="1"/>
  <c r="AE180" i="67"/>
  <c r="AD94" i="23" s="1"/>
  <c r="AF180" i="67"/>
  <c r="AE94" i="23" s="1"/>
  <c r="AG180" i="67"/>
  <c r="AF94" i="23" s="1"/>
  <c r="AH180" i="67"/>
  <c r="AG94" i="23" s="1"/>
  <c r="AI180" i="67"/>
  <c r="AH94" i="23" s="1"/>
  <c r="AJ180" i="67"/>
  <c r="AI94" i="23" s="1"/>
  <c r="AK180" i="67"/>
  <c r="AJ94" i="23" s="1"/>
  <c r="AL180" i="67"/>
  <c r="AK94" i="23" s="1"/>
  <c r="AM180" i="67"/>
  <c r="AL94" i="23" s="1"/>
  <c r="AN180" i="67"/>
  <c r="AM94" i="23" s="1"/>
  <c r="AO180" i="67"/>
  <c r="AN94" i="23" s="1"/>
  <c r="D183" i="67"/>
  <c r="C12" i="24" s="1"/>
  <c r="E183" i="67"/>
  <c r="D12" i="24" s="1"/>
  <c r="F183" i="67"/>
  <c r="E12" i="24" s="1"/>
  <c r="G183" i="67"/>
  <c r="F12" i="24" s="1"/>
  <c r="H183" i="67"/>
  <c r="G12" i="24" s="1"/>
  <c r="I183" i="67"/>
  <c r="H12" i="24" s="1"/>
  <c r="J183" i="67"/>
  <c r="I12" i="24" s="1"/>
  <c r="K183" i="67"/>
  <c r="J12" i="24" s="1"/>
  <c r="L183" i="67"/>
  <c r="K12" i="24" s="1"/>
  <c r="M183" i="67"/>
  <c r="L12" i="24" s="1"/>
  <c r="N183" i="67"/>
  <c r="M12" i="24" s="1"/>
  <c r="O183" i="67"/>
  <c r="N12" i="24" s="1"/>
  <c r="P183" i="67"/>
  <c r="O12" i="24" s="1"/>
  <c r="Q183" i="67"/>
  <c r="P12" i="24" s="1"/>
  <c r="R183" i="67"/>
  <c r="Q12" i="24" s="1"/>
  <c r="S183" i="67"/>
  <c r="R12" i="24" s="1"/>
  <c r="T183" i="67"/>
  <c r="S12" i="24" s="1"/>
  <c r="U183" i="67"/>
  <c r="T12" i="24" s="1"/>
  <c r="V183" i="67"/>
  <c r="U12" i="24" s="1"/>
  <c r="W183" i="67"/>
  <c r="V12" i="24" s="1"/>
  <c r="X183" i="67"/>
  <c r="W12" i="24" s="1"/>
  <c r="Y183" i="67"/>
  <c r="X12" i="24" s="1"/>
  <c r="Z183" i="67"/>
  <c r="Y12" i="24" s="1"/>
  <c r="AA183" i="67"/>
  <c r="Z12" i="24" s="1"/>
  <c r="AB183" i="67"/>
  <c r="AA12" i="24" s="1"/>
  <c r="AC183" i="67"/>
  <c r="AB12" i="24" s="1"/>
  <c r="AD183" i="67"/>
  <c r="AC12" i="24" s="1"/>
  <c r="AE183" i="67"/>
  <c r="AD12" i="24" s="1"/>
  <c r="AF183" i="67"/>
  <c r="AE12" i="24" s="1"/>
  <c r="AG183" i="67"/>
  <c r="AF12" i="24" s="1"/>
  <c r="AH183" i="67"/>
  <c r="AG12" i="24" s="1"/>
  <c r="AI183" i="67"/>
  <c r="AH12" i="24" s="1"/>
  <c r="AJ183" i="67"/>
  <c r="AI12" i="24" s="1"/>
  <c r="AK183" i="67"/>
  <c r="AJ12" i="24" s="1"/>
  <c r="AL183" i="67"/>
  <c r="AK12" i="24" s="1"/>
  <c r="AM183" i="67"/>
  <c r="AL12" i="24" s="1"/>
  <c r="AN183" i="67"/>
  <c r="AM12" i="24" s="1"/>
  <c r="AO183" i="67"/>
  <c r="AN12" i="24" s="1"/>
  <c r="D184" i="67"/>
  <c r="C27" i="24" s="1"/>
  <c r="E184" i="67"/>
  <c r="D27" i="24" s="1"/>
  <c r="F184" i="67"/>
  <c r="E27" i="24" s="1"/>
  <c r="G184" i="67"/>
  <c r="F27" i="24" s="1"/>
  <c r="H184" i="67"/>
  <c r="G27" i="24" s="1"/>
  <c r="I184" i="67"/>
  <c r="H27" i="24" s="1"/>
  <c r="J184" i="67"/>
  <c r="I27" i="24" s="1"/>
  <c r="K184" i="67"/>
  <c r="J27" i="24" s="1"/>
  <c r="L184" i="67"/>
  <c r="K27" i="24" s="1"/>
  <c r="N184" i="67"/>
  <c r="M27" i="24" s="1"/>
  <c r="O184" i="67"/>
  <c r="N27" i="24" s="1"/>
  <c r="P184" i="67"/>
  <c r="O27" i="24" s="1"/>
  <c r="Q184" i="67"/>
  <c r="P27" i="24" s="1"/>
  <c r="R184" i="67"/>
  <c r="Q27" i="24" s="1"/>
  <c r="S184" i="67"/>
  <c r="R27" i="24" s="1"/>
  <c r="T184" i="67"/>
  <c r="S27" i="24" s="1"/>
  <c r="U184" i="67"/>
  <c r="T27" i="24" s="1"/>
  <c r="V184" i="67"/>
  <c r="U27" i="24" s="1"/>
  <c r="Y184" i="67"/>
  <c r="X27" i="24" s="1"/>
  <c r="AA184" i="67"/>
  <c r="Z27" i="24" s="1"/>
  <c r="AC184" i="67"/>
  <c r="AB27" i="24" s="1"/>
  <c r="AD184" i="67"/>
  <c r="AC27" i="24" s="1"/>
  <c r="AE184" i="67"/>
  <c r="AD27" i="24" s="1"/>
  <c r="AF184" i="67"/>
  <c r="AE27" i="24" s="1"/>
  <c r="AG184" i="67"/>
  <c r="AF27" i="24" s="1"/>
  <c r="AH184" i="67"/>
  <c r="AG27" i="24" s="1"/>
  <c r="AI184" i="67"/>
  <c r="AH27" i="24" s="1"/>
  <c r="AJ184" i="67"/>
  <c r="AI27" i="24" s="1"/>
  <c r="AK184" i="67"/>
  <c r="AJ27" i="24" s="1"/>
  <c r="AL184" i="67"/>
  <c r="AK27" i="24" s="1"/>
  <c r="AM184" i="67"/>
  <c r="AL27" i="24" s="1"/>
  <c r="AN184" i="67"/>
  <c r="AM27" i="24" s="1"/>
  <c r="D185" i="67"/>
  <c r="C34" i="24" s="1"/>
  <c r="E185" i="67"/>
  <c r="D34" i="24" s="1"/>
  <c r="F185" i="67"/>
  <c r="E34" i="24" s="1"/>
  <c r="G185" i="67"/>
  <c r="F34" i="24" s="1"/>
  <c r="H185" i="67"/>
  <c r="G34" i="24" s="1"/>
  <c r="I185" i="67"/>
  <c r="H34" i="24" s="1"/>
  <c r="J185" i="67"/>
  <c r="I34" i="24" s="1"/>
  <c r="K185" i="67"/>
  <c r="J34" i="24" s="1"/>
  <c r="L185" i="67"/>
  <c r="K34" i="24" s="1"/>
  <c r="M185" i="67"/>
  <c r="L34" i="24" s="1"/>
  <c r="N185" i="67"/>
  <c r="M34" i="24" s="1"/>
  <c r="O185" i="67"/>
  <c r="N34" i="24" s="1"/>
  <c r="P185" i="67"/>
  <c r="O34" i="24" s="1"/>
  <c r="Q185" i="67"/>
  <c r="P34" i="24" s="1"/>
  <c r="R185" i="67"/>
  <c r="Q34" i="24" s="1"/>
  <c r="S185" i="67"/>
  <c r="R34" i="24" s="1"/>
  <c r="T185" i="67"/>
  <c r="S34" i="24" s="1"/>
  <c r="U185" i="67"/>
  <c r="T34" i="24" s="1"/>
  <c r="V185" i="67"/>
  <c r="U34" i="24" s="1"/>
  <c r="W185" i="67"/>
  <c r="V34" i="24" s="1"/>
  <c r="X185" i="67"/>
  <c r="W34" i="24" s="1"/>
  <c r="Y185" i="67"/>
  <c r="X34" i="24" s="1"/>
  <c r="Z185" i="67"/>
  <c r="Y34" i="24" s="1"/>
  <c r="AA185" i="67"/>
  <c r="Z34" i="24" s="1"/>
  <c r="AB185" i="67"/>
  <c r="AA34" i="24" s="1"/>
  <c r="AC185" i="67"/>
  <c r="AB34" i="24" s="1"/>
  <c r="AD185" i="67"/>
  <c r="AC34" i="24" s="1"/>
  <c r="AE185" i="67"/>
  <c r="AD34" i="24" s="1"/>
  <c r="AF185" i="67"/>
  <c r="AE34" i="24" s="1"/>
  <c r="AG185" i="67"/>
  <c r="AF34" i="24" s="1"/>
  <c r="AH185" i="67"/>
  <c r="AG34" i="24" s="1"/>
  <c r="AI185" i="67"/>
  <c r="AH34" i="24" s="1"/>
  <c r="AJ185" i="67"/>
  <c r="AI34" i="24" s="1"/>
  <c r="AK185" i="67"/>
  <c r="AJ34" i="24" s="1"/>
  <c r="AL185" i="67"/>
  <c r="AK34" i="24" s="1"/>
  <c r="AM185" i="67"/>
  <c r="AL34" i="24" s="1"/>
  <c r="AN185" i="67"/>
  <c r="AM34" i="24" s="1"/>
  <c r="AO185" i="67"/>
  <c r="AN34" i="24" s="1"/>
  <c r="D186" i="67"/>
  <c r="C48" i="24" s="1"/>
  <c r="E186" i="67"/>
  <c r="D48" i="24" s="1"/>
  <c r="F186" i="67"/>
  <c r="E48" i="24" s="1"/>
  <c r="G186" i="67"/>
  <c r="F48" i="24" s="1"/>
  <c r="H186" i="67"/>
  <c r="G48" i="24" s="1"/>
  <c r="I186" i="67"/>
  <c r="H48" i="24" s="1"/>
  <c r="J186" i="67"/>
  <c r="I48" i="24" s="1"/>
  <c r="K186" i="67"/>
  <c r="J48" i="24" s="1"/>
  <c r="L186" i="67"/>
  <c r="K48" i="24" s="1"/>
  <c r="M186" i="67"/>
  <c r="L48" i="24" s="1"/>
  <c r="N186" i="67"/>
  <c r="M48" i="24" s="1"/>
  <c r="O186" i="67"/>
  <c r="N48" i="24" s="1"/>
  <c r="P186" i="67"/>
  <c r="O48" i="24" s="1"/>
  <c r="Q186" i="67"/>
  <c r="P48" i="24" s="1"/>
  <c r="R186" i="67"/>
  <c r="Q48" i="24" s="1"/>
  <c r="S186" i="67"/>
  <c r="R48" i="24" s="1"/>
  <c r="T186" i="67"/>
  <c r="S48" i="24" s="1"/>
  <c r="U186" i="67"/>
  <c r="T48" i="24" s="1"/>
  <c r="V186" i="67"/>
  <c r="U48" i="24" s="1"/>
  <c r="W186" i="67"/>
  <c r="V48" i="24" s="1"/>
  <c r="X186" i="67"/>
  <c r="W48" i="24" s="1"/>
  <c r="Y186" i="67"/>
  <c r="X48" i="24" s="1"/>
  <c r="Z186" i="67"/>
  <c r="Y48" i="24" s="1"/>
  <c r="AA186" i="67"/>
  <c r="Z48" i="24" s="1"/>
  <c r="AB186" i="67"/>
  <c r="AA48" i="24" s="1"/>
  <c r="AC186" i="67"/>
  <c r="AB48" i="24" s="1"/>
  <c r="AD186" i="67"/>
  <c r="AC48" i="24" s="1"/>
  <c r="AE186" i="67"/>
  <c r="AD48" i="24" s="1"/>
  <c r="AF186" i="67"/>
  <c r="AE48" i="24" s="1"/>
  <c r="AG186" i="67"/>
  <c r="AF48" i="24" s="1"/>
  <c r="AH186" i="67"/>
  <c r="AG48" i="24" s="1"/>
  <c r="AI186" i="67"/>
  <c r="AH48" i="24" s="1"/>
  <c r="AJ186" i="67"/>
  <c r="AI48" i="24" s="1"/>
  <c r="AK186" i="67"/>
  <c r="AJ48" i="24" s="1"/>
  <c r="AL186" i="67"/>
  <c r="AK48" i="24" s="1"/>
  <c r="AM186" i="67"/>
  <c r="AL48" i="24" s="1"/>
  <c r="AN186" i="67"/>
  <c r="AM48" i="24" s="1"/>
  <c r="AO186" i="67"/>
  <c r="AN48" i="24" s="1"/>
  <c r="D187" i="67"/>
  <c r="C69" i="24" s="1"/>
  <c r="E187" i="67"/>
  <c r="D69" i="24" s="1"/>
  <c r="F187" i="67"/>
  <c r="E69" i="24" s="1"/>
  <c r="G187" i="67"/>
  <c r="F69" i="24" s="1"/>
  <c r="H187" i="67"/>
  <c r="G69" i="24" s="1"/>
  <c r="I187" i="67"/>
  <c r="H69" i="24" s="1"/>
  <c r="J187" i="67"/>
  <c r="I69" i="24" s="1"/>
  <c r="K187" i="67"/>
  <c r="J69" i="24" s="1"/>
  <c r="L187" i="67"/>
  <c r="K69" i="24" s="1"/>
  <c r="M187" i="67"/>
  <c r="L69" i="24" s="1"/>
  <c r="N187" i="67"/>
  <c r="M69" i="24" s="1"/>
  <c r="O187" i="67"/>
  <c r="N69" i="24" s="1"/>
  <c r="P187" i="67"/>
  <c r="O69" i="24" s="1"/>
  <c r="Q187" i="67"/>
  <c r="P69" i="24" s="1"/>
  <c r="R187" i="67"/>
  <c r="Q69" i="24" s="1"/>
  <c r="S187" i="67"/>
  <c r="R69" i="24" s="1"/>
  <c r="T187" i="67"/>
  <c r="S69" i="24" s="1"/>
  <c r="U187" i="67"/>
  <c r="T69" i="24" s="1"/>
  <c r="V187" i="67"/>
  <c r="U69" i="24" s="1"/>
  <c r="W187" i="67"/>
  <c r="V69" i="24" s="1"/>
  <c r="X187" i="67"/>
  <c r="W69" i="24" s="1"/>
  <c r="Y187" i="67"/>
  <c r="X69" i="24" s="1"/>
  <c r="Z187" i="67"/>
  <c r="Y69" i="24" s="1"/>
  <c r="AA187" i="67"/>
  <c r="Z69" i="24" s="1"/>
  <c r="AB187" i="67"/>
  <c r="AA69" i="24" s="1"/>
  <c r="AC187" i="67"/>
  <c r="AB69" i="24" s="1"/>
  <c r="AD187" i="67"/>
  <c r="AC69" i="24" s="1"/>
  <c r="AE187" i="67"/>
  <c r="AD69" i="24" s="1"/>
  <c r="AF187" i="67"/>
  <c r="AE69" i="24" s="1"/>
  <c r="AG187" i="67"/>
  <c r="AF69" i="24" s="1"/>
  <c r="AH187" i="67"/>
  <c r="AG69" i="24" s="1"/>
  <c r="AI187" i="67"/>
  <c r="AH69" i="24" s="1"/>
  <c r="AJ187" i="67"/>
  <c r="AI69" i="24" s="1"/>
  <c r="AK187" i="67"/>
  <c r="AJ69" i="24" s="1"/>
  <c r="AL187" i="67"/>
  <c r="AK69" i="24" s="1"/>
  <c r="AM187" i="67"/>
  <c r="AL69" i="24" s="1"/>
  <c r="AN187" i="67"/>
  <c r="AM69" i="24" s="1"/>
  <c r="AO187" i="67"/>
  <c r="AN69" i="24" s="1"/>
  <c r="D188" i="67"/>
  <c r="C79" i="24" s="1"/>
  <c r="E188" i="67"/>
  <c r="D79" i="24" s="1"/>
  <c r="F188" i="67"/>
  <c r="E79" i="24" s="1"/>
  <c r="G188" i="67"/>
  <c r="F79" i="24" s="1"/>
  <c r="H188" i="67"/>
  <c r="G79" i="24" s="1"/>
  <c r="I188" i="67"/>
  <c r="H79" i="24" s="1"/>
  <c r="J188" i="67"/>
  <c r="I79" i="24" s="1"/>
  <c r="K188" i="67"/>
  <c r="J79" i="24" s="1"/>
  <c r="L188" i="67"/>
  <c r="K79" i="24" s="1"/>
  <c r="M188" i="67"/>
  <c r="L79" i="24" s="1"/>
  <c r="N188" i="67"/>
  <c r="M79" i="24" s="1"/>
  <c r="O188" i="67"/>
  <c r="N79" i="24" s="1"/>
  <c r="P188" i="67"/>
  <c r="O79" i="24" s="1"/>
  <c r="Q188" i="67"/>
  <c r="P79" i="24" s="1"/>
  <c r="R188" i="67"/>
  <c r="Q79" i="24" s="1"/>
  <c r="S188" i="67"/>
  <c r="R79" i="24" s="1"/>
  <c r="T188" i="67"/>
  <c r="S79" i="24" s="1"/>
  <c r="U188" i="67"/>
  <c r="T79" i="24" s="1"/>
  <c r="V188" i="67"/>
  <c r="U79" i="24" s="1"/>
  <c r="W188" i="67"/>
  <c r="V79" i="24" s="1"/>
  <c r="X188" i="67"/>
  <c r="W79" i="24" s="1"/>
  <c r="Y188" i="67"/>
  <c r="X79" i="24" s="1"/>
  <c r="Z188" i="67"/>
  <c r="Y79" i="24" s="1"/>
  <c r="AA188" i="67"/>
  <c r="Z79" i="24" s="1"/>
  <c r="AB188" i="67"/>
  <c r="AA79" i="24" s="1"/>
  <c r="AC188" i="67"/>
  <c r="AB79" i="24" s="1"/>
  <c r="AD188" i="67"/>
  <c r="AC79" i="24" s="1"/>
  <c r="AE188" i="67"/>
  <c r="AD79" i="24" s="1"/>
  <c r="AF188" i="67"/>
  <c r="AE79" i="24" s="1"/>
  <c r="AG188" i="67"/>
  <c r="AF79" i="24" s="1"/>
  <c r="AH188" i="67"/>
  <c r="AG79" i="24" s="1"/>
  <c r="AI188" i="67"/>
  <c r="AH79" i="24" s="1"/>
  <c r="AJ188" i="67"/>
  <c r="AI79" i="24" s="1"/>
  <c r="AK188" i="67"/>
  <c r="AJ79" i="24" s="1"/>
  <c r="AL188" i="67"/>
  <c r="AK79" i="24" s="1"/>
  <c r="AM188" i="67"/>
  <c r="AL79" i="24" s="1"/>
  <c r="AN188" i="67"/>
  <c r="AM79" i="24" s="1"/>
  <c r="AO188" i="67"/>
  <c r="AN79" i="24" s="1"/>
  <c r="D189" i="67"/>
  <c r="C83" i="24" s="1"/>
  <c r="E189" i="67"/>
  <c r="D83" i="24" s="1"/>
  <c r="F189" i="67"/>
  <c r="E83" i="24" s="1"/>
  <c r="G189" i="67"/>
  <c r="F83" i="24" s="1"/>
  <c r="H189" i="67"/>
  <c r="G83" i="24" s="1"/>
  <c r="I189" i="67"/>
  <c r="H83" i="24" s="1"/>
  <c r="J189" i="67"/>
  <c r="I83" i="24" s="1"/>
  <c r="K189" i="67"/>
  <c r="J83" i="24" s="1"/>
  <c r="L189" i="67"/>
  <c r="K83" i="24" s="1"/>
  <c r="M189" i="67"/>
  <c r="L83" i="24" s="1"/>
  <c r="N189" i="67"/>
  <c r="M83" i="24" s="1"/>
  <c r="O189" i="67"/>
  <c r="N83" i="24" s="1"/>
  <c r="P189" i="67"/>
  <c r="O83" i="24" s="1"/>
  <c r="Q189" i="67"/>
  <c r="P83" i="24" s="1"/>
  <c r="R189" i="67"/>
  <c r="Q83" i="24" s="1"/>
  <c r="S189" i="67"/>
  <c r="R83" i="24" s="1"/>
  <c r="T189" i="67"/>
  <c r="S83" i="24" s="1"/>
  <c r="U189" i="67"/>
  <c r="T83" i="24" s="1"/>
  <c r="V189" i="67"/>
  <c r="U83" i="24" s="1"/>
  <c r="W189" i="67"/>
  <c r="V83" i="24" s="1"/>
  <c r="X189" i="67"/>
  <c r="W83" i="24" s="1"/>
  <c r="Y189" i="67"/>
  <c r="X83" i="24" s="1"/>
  <c r="Z189" i="67"/>
  <c r="Y83" i="24" s="1"/>
  <c r="AA189" i="67"/>
  <c r="Z83" i="24" s="1"/>
  <c r="AB189" i="67"/>
  <c r="AA83" i="24" s="1"/>
  <c r="AC189" i="67"/>
  <c r="AB83" i="24" s="1"/>
  <c r="AD189" i="67"/>
  <c r="AC83" i="24" s="1"/>
  <c r="AE189" i="67"/>
  <c r="AD83" i="24" s="1"/>
  <c r="AF189" i="67"/>
  <c r="AE83" i="24" s="1"/>
  <c r="AG189" i="67"/>
  <c r="AF83" i="24" s="1"/>
  <c r="AH189" i="67"/>
  <c r="AG83" i="24" s="1"/>
  <c r="AI189" i="67"/>
  <c r="AH83" i="24" s="1"/>
  <c r="AJ189" i="67"/>
  <c r="AI83" i="24" s="1"/>
  <c r="AK189" i="67"/>
  <c r="AJ83" i="24" s="1"/>
  <c r="AL189" i="67"/>
  <c r="AK83" i="24" s="1"/>
  <c r="AM189" i="67"/>
  <c r="AL83" i="24" s="1"/>
  <c r="AN189" i="67"/>
  <c r="AM83" i="24" s="1"/>
  <c r="AO189" i="67"/>
  <c r="AN83" i="24" s="1"/>
  <c r="D190" i="67"/>
  <c r="C88" i="24" s="1"/>
  <c r="E190" i="67"/>
  <c r="D88" i="24" s="1"/>
  <c r="F190" i="67"/>
  <c r="E88" i="24" s="1"/>
  <c r="G190" i="67"/>
  <c r="F88" i="24" s="1"/>
  <c r="H190" i="67"/>
  <c r="G88" i="24" s="1"/>
  <c r="I190" i="67"/>
  <c r="H88" i="24" s="1"/>
  <c r="J190" i="67"/>
  <c r="I88" i="24" s="1"/>
  <c r="K190" i="67"/>
  <c r="J88" i="24" s="1"/>
  <c r="L190" i="67"/>
  <c r="K88" i="24" s="1"/>
  <c r="M190" i="67"/>
  <c r="L88" i="24" s="1"/>
  <c r="N190" i="67"/>
  <c r="M88" i="24" s="1"/>
  <c r="O190" i="67"/>
  <c r="N88" i="24" s="1"/>
  <c r="P190" i="67"/>
  <c r="O88" i="24" s="1"/>
  <c r="Q190" i="67"/>
  <c r="P88" i="24" s="1"/>
  <c r="R190" i="67"/>
  <c r="Q88" i="24" s="1"/>
  <c r="S190" i="67"/>
  <c r="R88" i="24" s="1"/>
  <c r="T190" i="67"/>
  <c r="S88" i="24" s="1"/>
  <c r="U190" i="67"/>
  <c r="T88" i="24" s="1"/>
  <c r="V190" i="67"/>
  <c r="U88" i="24" s="1"/>
  <c r="W190" i="67"/>
  <c r="V88" i="24" s="1"/>
  <c r="X190" i="67"/>
  <c r="W88" i="24" s="1"/>
  <c r="Y190" i="67"/>
  <c r="X88" i="24" s="1"/>
  <c r="Z190" i="67"/>
  <c r="Y88" i="24" s="1"/>
  <c r="AA190" i="67"/>
  <c r="Z88" i="24" s="1"/>
  <c r="AB190" i="67"/>
  <c r="AA88" i="24" s="1"/>
  <c r="AC190" i="67"/>
  <c r="AB88" i="24" s="1"/>
  <c r="AD190" i="67"/>
  <c r="AC88" i="24" s="1"/>
  <c r="AE190" i="67"/>
  <c r="AD88" i="24" s="1"/>
  <c r="AF190" i="67"/>
  <c r="AE88" i="24" s="1"/>
  <c r="AG190" i="67"/>
  <c r="AF88" i="24" s="1"/>
  <c r="AH190" i="67"/>
  <c r="AG88" i="24" s="1"/>
  <c r="AI190" i="67"/>
  <c r="AH88" i="24" s="1"/>
  <c r="AJ190" i="67"/>
  <c r="AI88" i="24" s="1"/>
  <c r="AK190" i="67"/>
  <c r="AJ88" i="24" s="1"/>
  <c r="AL190" i="67"/>
  <c r="AK88" i="24" s="1"/>
  <c r="AM190" i="67"/>
  <c r="AL88" i="24" s="1"/>
  <c r="AN190" i="67"/>
  <c r="AM88" i="24" s="1"/>
  <c r="AO190" i="67"/>
  <c r="AN88" i="24" s="1"/>
  <c r="D191" i="67"/>
  <c r="C94" i="24" s="1"/>
  <c r="E191" i="67"/>
  <c r="D94" i="24" s="1"/>
  <c r="F191" i="67"/>
  <c r="E94" i="24" s="1"/>
  <c r="G191" i="67"/>
  <c r="F94" i="24" s="1"/>
  <c r="H191" i="67"/>
  <c r="G94" i="24" s="1"/>
  <c r="I191" i="67"/>
  <c r="H94" i="24" s="1"/>
  <c r="J191" i="67"/>
  <c r="I94" i="24" s="1"/>
  <c r="K191" i="67"/>
  <c r="J94" i="24" s="1"/>
  <c r="L191" i="67"/>
  <c r="K94" i="24" s="1"/>
  <c r="M191" i="67"/>
  <c r="L94" i="24" s="1"/>
  <c r="N191" i="67"/>
  <c r="M94" i="24" s="1"/>
  <c r="O191" i="67"/>
  <c r="N94" i="24" s="1"/>
  <c r="P191" i="67"/>
  <c r="O94" i="24" s="1"/>
  <c r="Q191" i="67"/>
  <c r="P94" i="24" s="1"/>
  <c r="R191" i="67"/>
  <c r="Q94" i="24" s="1"/>
  <c r="S191" i="67"/>
  <c r="R94" i="24" s="1"/>
  <c r="T191" i="67"/>
  <c r="S94" i="24" s="1"/>
  <c r="U191" i="67"/>
  <c r="T94" i="24" s="1"/>
  <c r="V191" i="67"/>
  <c r="U94" i="24" s="1"/>
  <c r="W191" i="67"/>
  <c r="V94" i="24" s="1"/>
  <c r="X191" i="67"/>
  <c r="W94" i="24" s="1"/>
  <c r="Y191" i="67"/>
  <c r="X94" i="24" s="1"/>
  <c r="Z191" i="67"/>
  <c r="Y94" i="24" s="1"/>
  <c r="AA191" i="67"/>
  <c r="Z94" i="24" s="1"/>
  <c r="AB191" i="67"/>
  <c r="AA94" i="24" s="1"/>
  <c r="AC191" i="67"/>
  <c r="AB94" i="24" s="1"/>
  <c r="AD191" i="67"/>
  <c r="AC94" i="24" s="1"/>
  <c r="AE191" i="67"/>
  <c r="AD94" i="24" s="1"/>
  <c r="AF191" i="67"/>
  <c r="AE94" i="24" s="1"/>
  <c r="AG191" i="67"/>
  <c r="AF94" i="24" s="1"/>
  <c r="AH191" i="67"/>
  <c r="AG94" i="24" s="1"/>
  <c r="AI191" i="67"/>
  <c r="AH94" i="24" s="1"/>
  <c r="AJ191" i="67"/>
  <c r="AI94" i="24" s="1"/>
  <c r="AK191" i="67"/>
  <c r="AJ94" i="24" s="1"/>
  <c r="AL191" i="67"/>
  <c r="AK94" i="24" s="1"/>
  <c r="AM191" i="67"/>
  <c r="AL94" i="24" s="1"/>
  <c r="AN191" i="67"/>
  <c r="AM94" i="24" s="1"/>
  <c r="AO191" i="67"/>
  <c r="AN94" i="24" s="1"/>
  <c r="D194" i="67"/>
  <c r="C12" i="25" s="1"/>
  <c r="E194" i="67"/>
  <c r="D12" i="25" s="1"/>
  <c r="F194" i="67"/>
  <c r="E12" i="25" s="1"/>
  <c r="G194" i="67"/>
  <c r="F12" i="25" s="1"/>
  <c r="H194" i="67"/>
  <c r="G12" i="25" s="1"/>
  <c r="I194" i="67"/>
  <c r="H12" i="25" s="1"/>
  <c r="J194" i="67"/>
  <c r="I12" i="25" s="1"/>
  <c r="K194" i="67"/>
  <c r="J12" i="25" s="1"/>
  <c r="L194" i="67"/>
  <c r="K12" i="25" s="1"/>
  <c r="M194" i="67"/>
  <c r="L12" i="25" s="1"/>
  <c r="N194" i="67"/>
  <c r="M12" i="25" s="1"/>
  <c r="O194" i="67"/>
  <c r="N12" i="25" s="1"/>
  <c r="P194" i="67"/>
  <c r="O12" i="25" s="1"/>
  <c r="Q194" i="67"/>
  <c r="P12" i="25" s="1"/>
  <c r="R194" i="67"/>
  <c r="Q12" i="25" s="1"/>
  <c r="S194" i="67"/>
  <c r="R12" i="25" s="1"/>
  <c r="T194" i="67"/>
  <c r="S12" i="25" s="1"/>
  <c r="U194" i="67"/>
  <c r="T12" i="25" s="1"/>
  <c r="V194" i="67"/>
  <c r="U12" i="25" s="1"/>
  <c r="W194" i="67"/>
  <c r="V12" i="25" s="1"/>
  <c r="X194" i="67"/>
  <c r="W12" i="25" s="1"/>
  <c r="Y194" i="67"/>
  <c r="X12" i="25" s="1"/>
  <c r="Z194" i="67"/>
  <c r="Y12" i="25" s="1"/>
  <c r="AA194" i="67"/>
  <c r="Z12" i="25" s="1"/>
  <c r="AB194" i="67"/>
  <c r="AA12" i="25" s="1"/>
  <c r="AC194" i="67"/>
  <c r="AB12" i="25" s="1"/>
  <c r="AD194" i="67"/>
  <c r="AC12" i="25" s="1"/>
  <c r="AE194" i="67"/>
  <c r="AD12" i="25" s="1"/>
  <c r="AF194" i="67"/>
  <c r="AE12" i="25" s="1"/>
  <c r="AG194" i="67"/>
  <c r="AF12" i="25" s="1"/>
  <c r="AH194" i="67"/>
  <c r="AG12" i="25" s="1"/>
  <c r="AI194" i="67"/>
  <c r="AH12" i="25" s="1"/>
  <c r="AJ194" i="67"/>
  <c r="AI12" i="25" s="1"/>
  <c r="AK194" i="67"/>
  <c r="AJ12" i="25" s="1"/>
  <c r="AL194" i="67"/>
  <c r="AK12" i="25" s="1"/>
  <c r="AM194" i="67"/>
  <c r="AL12" i="25" s="1"/>
  <c r="AN194" i="67"/>
  <c r="AM12" i="25" s="1"/>
  <c r="AO194" i="67"/>
  <c r="AN12" i="25" s="1"/>
  <c r="D195" i="67"/>
  <c r="C27" i="25" s="1"/>
  <c r="E195" i="67"/>
  <c r="D27" i="25" s="1"/>
  <c r="F195" i="67"/>
  <c r="E27" i="25" s="1"/>
  <c r="G195" i="67"/>
  <c r="F27" i="25" s="1"/>
  <c r="H195" i="67"/>
  <c r="G27" i="25" s="1"/>
  <c r="I195" i="67"/>
  <c r="H27" i="25" s="1"/>
  <c r="J195" i="67"/>
  <c r="I27" i="25" s="1"/>
  <c r="K195" i="67"/>
  <c r="J27" i="25" s="1"/>
  <c r="L195" i="67"/>
  <c r="K27" i="25" s="1"/>
  <c r="M195" i="67"/>
  <c r="L27" i="25" s="1"/>
  <c r="N195" i="67"/>
  <c r="M27" i="25" s="1"/>
  <c r="O195" i="67"/>
  <c r="N27" i="25" s="1"/>
  <c r="P195" i="67"/>
  <c r="O27" i="25" s="1"/>
  <c r="Q195" i="67"/>
  <c r="P27" i="25" s="1"/>
  <c r="R195" i="67"/>
  <c r="Q27" i="25" s="1"/>
  <c r="S195" i="67"/>
  <c r="R27" i="25" s="1"/>
  <c r="T195" i="67"/>
  <c r="S27" i="25" s="1"/>
  <c r="U195" i="67"/>
  <c r="T27" i="25" s="1"/>
  <c r="V195" i="67"/>
  <c r="U27" i="25" s="1"/>
  <c r="W195" i="67"/>
  <c r="V27" i="25" s="1"/>
  <c r="X195" i="67"/>
  <c r="W27" i="25" s="1"/>
  <c r="Y195" i="67"/>
  <c r="X27" i="25" s="1"/>
  <c r="Z195" i="67"/>
  <c r="Y27" i="25" s="1"/>
  <c r="AA195" i="67"/>
  <c r="Z27" i="25" s="1"/>
  <c r="AB195" i="67"/>
  <c r="AA27" i="25" s="1"/>
  <c r="AC195" i="67"/>
  <c r="AB27" i="25" s="1"/>
  <c r="AD195" i="67"/>
  <c r="AC27" i="25" s="1"/>
  <c r="AE195" i="67"/>
  <c r="AD27" i="25" s="1"/>
  <c r="AF195" i="67"/>
  <c r="AE27" i="25" s="1"/>
  <c r="AG195" i="67"/>
  <c r="AF27" i="25" s="1"/>
  <c r="AH195" i="67"/>
  <c r="AG27" i="25" s="1"/>
  <c r="AI195" i="67"/>
  <c r="AH27" i="25" s="1"/>
  <c r="AJ195" i="67"/>
  <c r="AI27" i="25" s="1"/>
  <c r="AK195" i="67"/>
  <c r="AJ27" i="25" s="1"/>
  <c r="AL195" i="67"/>
  <c r="AK27" i="25" s="1"/>
  <c r="AM195" i="67"/>
  <c r="AL27" i="25" s="1"/>
  <c r="AN195" i="67"/>
  <c r="AM27" i="25" s="1"/>
  <c r="AO195" i="67"/>
  <c r="AN27" i="25" s="1"/>
  <c r="D196" i="67"/>
  <c r="C34" i="25" s="1"/>
  <c r="E196" i="67"/>
  <c r="D34" i="25" s="1"/>
  <c r="F196" i="67"/>
  <c r="E34" i="25" s="1"/>
  <c r="G196" i="67"/>
  <c r="F34" i="25" s="1"/>
  <c r="H196" i="67"/>
  <c r="G34" i="25" s="1"/>
  <c r="I196" i="67"/>
  <c r="H34" i="25" s="1"/>
  <c r="J196" i="67"/>
  <c r="I34" i="25" s="1"/>
  <c r="K196" i="67"/>
  <c r="J34" i="25" s="1"/>
  <c r="L196" i="67"/>
  <c r="K34" i="25" s="1"/>
  <c r="M196" i="67"/>
  <c r="L34" i="25" s="1"/>
  <c r="N196" i="67"/>
  <c r="M34" i="25" s="1"/>
  <c r="O196" i="67"/>
  <c r="N34" i="25" s="1"/>
  <c r="P196" i="67"/>
  <c r="O34" i="25" s="1"/>
  <c r="Q196" i="67"/>
  <c r="P34" i="25" s="1"/>
  <c r="R196" i="67"/>
  <c r="Q34" i="25" s="1"/>
  <c r="S196" i="67"/>
  <c r="R34" i="25" s="1"/>
  <c r="T196" i="67"/>
  <c r="S34" i="25" s="1"/>
  <c r="U196" i="67"/>
  <c r="T34" i="25" s="1"/>
  <c r="V196" i="67"/>
  <c r="U34" i="25" s="1"/>
  <c r="W196" i="67"/>
  <c r="V34" i="25" s="1"/>
  <c r="X196" i="67"/>
  <c r="W34" i="25" s="1"/>
  <c r="Y196" i="67"/>
  <c r="X34" i="25" s="1"/>
  <c r="Z196" i="67"/>
  <c r="Y34" i="25" s="1"/>
  <c r="AA196" i="67"/>
  <c r="Z34" i="25" s="1"/>
  <c r="AB196" i="67"/>
  <c r="AA34" i="25" s="1"/>
  <c r="AC196" i="67"/>
  <c r="AB34" i="25" s="1"/>
  <c r="AD196" i="67"/>
  <c r="AC34" i="25" s="1"/>
  <c r="AE196" i="67"/>
  <c r="AD34" i="25" s="1"/>
  <c r="AF196" i="67"/>
  <c r="AE34" i="25" s="1"/>
  <c r="AG196" i="67"/>
  <c r="AF34" i="25" s="1"/>
  <c r="AH196" i="67"/>
  <c r="AG34" i="25" s="1"/>
  <c r="AI196" i="67"/>
  <c r="AH34" i="25" s="1"/>
  <c r="AJ196" i="67"/>
  <c r="AI34" i="25" s="1"/>
  <c r="AK196" i="67"/>
  <c r="AJ34" i="25" s="1"/>
  <c r="AL196" i="67"/>
  <c r="AK34" i="25" s="1"/>
  <c r="AM196" i="67"/>
  <c r="AL34" i="25" s="1"/>
  <c r="AN196" i="67"/>
  <c r="AM34" i="25" s="1"/>
  <c r="AO196" i="67"/>
  <c r="AN34" i="25" s="1"/>
  <c r="D197" i="67"/>
  <c r="C48" i="25" s="1"/>
  <c r="E197" i="67"/>
  <c r="D48" i="25" s="1"/>
  <c r="F197" i="67"/>
  <c r="E48" i="25" s="1"/>
  <c r="G197" i="67"/>
  <c r="F48" i="25" s="1"/>
  <c r="H197" i="67"/>
  <c r="G48" i="25" s="1"/>
  <c r="I197" i="67"/>
  <c r="H48" i="25" s="1"/>
  <c r="J197" i="67"/>
  <c r="I48" i="25" s="1"/>
  <c r="K197" i="67"/>
  <c r="J48" i="25" s="1"/>
  <c r="L197" i="67"/>
  <c r="K48" i="25" s="1"/>
  <c r="M197" i="67"/>
  <c r="L48" i="25" s="1"/>
  <c r="N197" i="67"/>
  <c r="M48" i="25" s="1"/>
  <c r="O197" i="67"/>
  <c r="N48" i="25" s="1"/>
  <c r="P197" i="67"/>
  <c r="O48" i="25" s="1"/>
  <c r="Q197" i="67"/>
  <c r="P48" i="25" s="1"/>
  <c r="R197" i="67"/>
  <c r="Q48" i="25" s="1"/>
  <c r="S197" i="67"/>
  <c r="R48" i="25" s="1"/>
  <c r="T197" i="67"/>
  <c r="S48" i="25" s="1"/>
  <c r="U197" i="67"/>
  <c r="T48" i="25" s="1"/>
  <c r="V197" i="67"/>
  <c r="U48" i="25" s="1"/>
  <c r="W197" i="67"/>
  <c r="V48" i="25" s="1"/>
  <c r="X197" i="67"/>
  <c r="W48" i="25" s="1"/>
  <c r="Y197" i="67"/>
  <c r="X48" i="25" s="1"/>
  <c r="Z197" i="67"/>
  <c r="Y48" i="25" s="1"/>
  <c r="AA197" i="67"/>
  <c r="Z48" i="25" s="1"/>
  <c r="AB197" i="67"/>
  <c r="AA48" i="25" s="1"/>
  <c r="AC197" i="67"/>
  <c r="AB48" i="25" s="1"/>
  <c r="AD197" i="67"/>
  <c r="AC48" i="25" s="1"/>
  <c r="AE197" i="67"/>
  <c r="AD48" i="25" s="1"/>
  <c r="AF197" i="67"/>
  <c r="AE48" i="25" s="1"/>
  <c r="AG197" i="67"/>
  <c r="AF48" i="25" s="1"/>
  <c r="AH197" i="67"/>
  <c r="AG48" i="25" s="1"/>
  <c r="AI197" i="67"/>
  <c r="AH48" i="25" s="1"/>
  <c r="AJ197" i="67"/>
  <c r="AI48" i="25" s="1"/>
  <c r="AK197" i="67"/>
  <c r="AJ48" i="25" s="1"/>
  <c r="AL197" i="67"/>
  <c r="AK48" i="25" s="1"/>
  <c r="AM197" i="67"/>
  <c r="AL48" i="25" s="1"/>
  <c r="AN197" i="67"/>
  <c r="AM48" i="25" s="1"/>
  <c r="AO197" i="67"/>
  <c r="AN48" i="25" s="1"/>
  <c r="D198" i="67"/>
  <c r="C69" i="25" s="1"/>
  <c r="E198" i="67"/>
  <c r="D69" i="25" s="1"/>
  <c r="F198" i="67"/>
  <c r="E69" i="25" s="1"/>
  <c r="G198" i="67"/>
  <c r="F69" i="25" s="1"/>
  <c r="H198" i="67"/>
  <c r="G69" i="25" s="1"/>
  <c r="I198" i="67"/>
  <c r="H69" i="25" s="1"/>
  <c r="J198" i="67"/>
  <c r="I69" i="25" s="1"/>
  <c r="K198" i="67"/>
  <c r="J69" i="25" s="1"/>
  <c r="L198" i="67"/>
  <c r="K69" i="25" s="1"/>
  <c r="M198" i="67"/>
  <c r="L69" i="25" s="1"/>
  <c r="N198" i="67"/>
  <c r="M69" i="25" s="1"/>
  <c r="O198" i="67"/>
  <c r="N69" i="25" s="1"/>
  <c r="P198" i="67"/>
  <c r="O69" i="25" s="1"/>
  <c r="Q198" i="67"/>
  <c r="P69" i="25" s="1"/>
  <c r="R198" i="67"/>
  <c r="Q69" i="25" s="1"/>
  <c r="S198" i="67"/>
  <c r="R69" i="25" s="1"/>
  <c r="T198" i="67"/>
  <c r="S69" i="25" s="1"/>
  <c r="U198" i="67"/>
  <c r="T69" i="25" s="1"/>
  <c r="V198" i="67"/>
  <c r="U69" i="25" s="1"/>
  <c r="W198" i="67"/>
  <c r="V69" i="25" s="1"/>
  <c r="X198" i="67"/>
  <c r="W69" i="25" s="1"/>
  <c r="Y198" i="67"/>
  <c r="X69" i="25" s="1"/>
  <c r="Z198" i="67"/>
  <c r="Y69" i="25" s="1"/>
  <c r="AA198" i="67"/>
  <c r="Z69" i="25" s="1"/>
  <c r="AB198" i="67"/>
  <c r="AA69" i="25" s="1"/>
  <c r="AC198" i="67"/>
  <c r="AB69" i="25" s="1"/>
  <c r="AD198" i="67"/>
  <c r="AC69" i="25" s="1"/>
  <c r="AE198" i="67"/>
  <c r="AD69" i="25" s="1"/>
  <c r="AF198" i="67"/>
  <c r="AE69" i="25" s="1"/>
  <c r="AG198" i="67"/>
  <c r="AF69" i="25" s="1"/>
  <c r="AH198" i="67"/>
  <c r="AG69" i="25" s="1"/>
  <c r="AI198" i="67"/>
  <c r="AH69" i="25" s="1"/>
  <c r="AJ198" i="67"/>
  <c r="AI69" i="25" s="1"/>
  <c r="AK198" i="67"/>
  <c r="AJ69" i="25" s="1"/>
  <c r="AL198" i="67"/>
  <c r="AK69" i="25" s="1"/>
  <c r="AM198" i="67"/>
  <c r="AL69" i="25" s="1"/>
  <c r="AN198" i="67"/>
  <c r="AM69" i="25" s="1"/>
  <c r="AO198" i="67"/>
  <c r="AN69" i="25" s="1"/>
  <c r="D199" i="67"/>
  <c r="C79" i="25" s="1"/>
  <c r="E199" i="67"/>
  <c r="D79" i="25" s="1"/>
  <c r="F199" i="67"/>
  <c r="E79" i="25" s="1"/>
  <c r="G199" i="67"/>
  <c r="F79" i="25" s="1"/>
  <c r="H199" i="67"/>
  <c r="G79" i="25" s="1"/>
  <c r="I199" i="67"/>
  <c r="H79" i="25" s="1"/>
  <c r="J199" i="67"/>
  <c r="I79" i="25" s="1"/>
  <c r="K199" i="67"/>
  <c r="J79" i="25" s="1"/>
  <c r="L199" i="67"/>
  <c r="K79" i="25" s="1"/>
  <c r="M199" i="67"/>
  <c r="L79" i="25" s="1"/>
  <c r="N199" i="67"/>
  <c r="M79" i="25" s="1"/>
  <c r="O199" i="67"/>
  <c r="N79" i="25" s="1"/>
  <c r="P199" i="67"/>
  <c r="O79" i="25" s="1"/>
  <c r="Q199" i="67"/>
  <c r="P79" i="25" s="1"/>
  <c r="R199" i="67"/>
  <c r="Q79" i="25" s="1"/>
  <c r="S199" i="67"/>
  <c r="R79" i="25" s="1"/>
  <c r="T199" i="67"/>
  <c r="S79" i="25" s="1"/>
  <c r="U199" i="67"/>
  <c r="T79" i="25" s="1"/>
  <c r="V199" i="67"/>
  <c r="U79" i="25" s="1"/>
  <c r="W199" i="67"/>
  <c r="V79" i="25" s="1"/>
  <c r="X199" i="67"/>
  <c r="W79" i="25" s="1"/>
  <c r="Y199" i="67"/>
  <c r="X79" i="25" s="1"/>
  <c r="Z199" i="67"/>
  <c r="Y79" i="25" s="1"/>
  <c r="AA199" i="67"/>
  <c r="Z79" i="25" s="1"/>
  <c r="AB199" i="67"/>
  <c r="AA79" i="25" s="1"/>
  <c r="AC199" i="67"/>
  <c r="AB79" i="25" s="1"/>
  <c r="AD199" i="67"/>
  <c r="AC79" i="25" s="1"/>
  <c r="AE199" i="67"/>
  <c r="AD79" i="25" s="1"/>
  <c r="AF199" i="67"/>
  <c r="AE79" i="25" s="1"/>
  <c r="AG199" i="67"/>
  <c r="AF79" i="25" s="1"/>
  <c r="AH199" i="67"/>
  <c r="AG79" i="25" s="1"/>
  <c r="AI199" i="67"/>
  <c r="AH79" i="25" s="1"/>
  <c r="AJ199" i="67"/>
  <c r="AI79" i="25" s="1"/>
  <c r="AK199" i="67"/>
  <c r="AJ79" i="25" s="1"/>
  <c r="AL199" i="67"/>
  <c r="AK79" i="25" s="1"/>
  <c r="AM199" i="67"/>
  <c r="AL79" i="25" s="1"/>
  <c r="AN199" i="67"/>
  <c r="AM79" i="25" s="1"/>
  <c r="AO199" i="67"/>
  <c r="AN79" i="25" s="1"/>
  <c r="D200" i="67"/>
  <c r="C83" i="25" s="1"/>
  <c r="E200" i="67"/>
  <c r="D83" i="25" s="1"/>
  <c r="F200" i="67"/>
  <c r="E83" i="25" s="1"/>
  <c r="G200" i="67"/>
  <c r="F83" i="25" s="1"/>
  <c r="H200" i="67"/>
  <c r="G83" i="25" s="1"/>
  <c r="I200" i="67"/>
  <c r="H83" i="25" s="1"/>
  <c r="J200" i="67"/>
  <c r="I83" i="25" s="1"/>
  <c r="K200" i="67"/>
  <c r="J83" i="25" s="1"/>
  <c r="L200" i="67"/>
  <c r="K83" i="25" s="1"/>
  <c r="M200" i="67"/>
  <c r="L83" i="25" s="1"/>
  <c r="N200" i="67"/>
  <c r="M83" i="25" s="1"/>
  <c r="O200" i="67"/>
  <c r="N83" i="25" s="1"/>
  <c r="P200" i="67"/>
  <c r="O83" i="25" s="1"/>
  <c r="Q200" i="67"/>
  <c r="P83" i="25" s="1"/>
  <c r="R200" i="67"/>
  <c r="Q83" i="25" s="1"/>
  <c r="S200" i="67"/>
  <c r="R83" i="25" s="1"/>
  <c r="T200" i="67"/>
  <c r="S83" i="25" s="1"/>
  <c r="U200" i="67"/>
  <c r="T83" i="25" s="1"/>
  <c r="V200" i="67"/>
  <c r="U83" i="25" s="1"/>
  <c r="W200" i="67"/>
  <c r="V83" i="25" s="1"/>
  <c r="X200" i="67"/>
  <c r="W83" i="25" s="1"/>
  <c r="Y200" i="67"/>
  <c r="X83" i="25" s="1"/>
  <c r="Z200" i="67"/>
  <c r="Y83" i="25" s="1"/>
  <c r="AA200" i="67"/>
  <c r="Z83" i="25" s="1"/>
  <c r="AB200" i="67"/>
  <c r="AA83" i="25" s="1"/>
  <c r="AC200" i="67"/>
  <c r="AB83" i="25" s="1"/>
  <c r="AD200" i="67"/>
  <c r="AC83" i="25" s="1"/>
  <c r="AE200" i="67"/>
  <c r="AD83" i="25" s="1"/>
  <c r="AF200" i="67"/>
  <c r="AE83" i="25" s="1"/>
  <c r="AG200" i="67"/>
  <c r="AF83" i="25" s="1"/>
  <c r="AH200" i="67"/>
  <c r="AG83" i="25" s="1"/>
  <c r="AI200" i="67"/>
  <c r="AH83" i="25" s="1"/>
  <c r="AJ200" i="67"/>
  <c r="AI83" i="25" s="1"/>
  <c r="AK200" i="67"/>
  <c r="AJ83" i="25" s="1"/>
  <c r="AL200" i="67"/>
  <c r="AK83" i="25" s="1"/>
  <c r="AM200" i="67"/>
  <c r="AL83" i="25" s="1"/>
  <c r="AN200" i="67"/>
  <c r="AM83" i="25" s="1"/>
  <c r="AO200" i="67"/>
  <c r="AN83" i="25" s="1"/>
  <c r="D201" i="67"/>
  <c r="C88" i="25" s="1"/>
  <c r="E201" i="67"/>
  <c r="D88" i="25" s="1"/>
  <c r="F201" i="67"/>
  <c r="E88" i="25" s="1"/>
  <c r="G201" i="67"/>
  <c r="F88" i="25" s="1"/>
  <c r="H201" i="67"/>
  <c r="G88" i="25" s="1"/>
  <c r="I201" i="67"/>
  <c r="H88" i="25" s="1"/>
  <c r="J201" i="67"/>
  <c r="I88" i="25" s="1"/>
  <c r="K201" i="67"/>
  <c r="J88" i="25" s="1"/>
  <c r="L201" i="67"/>
  <c r="K88" i="25" s="1"/>
  <c r="M201" i="67"/>
  <c r="L88" i="25" s="1"/>
  <c r="N201" i="67"/>
  <c r="M88" i="25" s="1"/>
  <c r="O201" i="67"/>
  <c r="N88" i="25" s="1"/>
  <c r="P201" i="67"/>
  <c r="O88" i="25" s="1"/>
  <c r="Q201" i="67"/>
  <c r="P88" i="25" s="1"/>
  <c r="R201" i="67"/>
  <c r="Q88" i="25" s="1"/>
  <c r="S201" i="67"/>
  <c r="R88" i="25" s="1"/>
  <c r="T201" i="67"/>
  <c r="S88" i="25" s="1"/>
  <c r="U201" i="67"/>
  <c r="T88" i="25" s="1"/>
  <c r="V201" i="67"/>
  <c r="U88" i="25" s="1"/>
  <c r="W201" i="67"/>
  <c r="V88" i="25" s="1"/>
  <c r="X201" i="67"/>
  <c r="W88" i="25" s="1"/>
  <c r="Y201" i="67"/>
  <c r="X88" i="25" s="1"/>
  <c r="Z201" i="67"/>
  <c r="Y88" i="25" s="1"/>
  <c r="AA201" i="67"/>
  <c r="Z88" i="25" s="1"/>
  <c r="AB201" i="67"/>
  <c r="AA88" i="25" s="1"/>
  <c r="AC201" i="67"/>
  <c r="AB88" i="25" s="1"/>
  <c r="AD201" i="67"/>
  <c r="AC88" i="25" s="1"/>
  <c r="AE201" i="67"/>
  <c r="AD88" i="25" s="1"/>
  <c r="AF201" i="67"/>
  <c r="AE88" i="25" s="1"/>
  <c r="AG201" i="67"/>
  <c r="AF88" i="25" s="1"/>
  <c r="AH201" i="67"/>
  <c r="AG88" i="25" s="1"/>
  <c r="AI201" i="67"/>
  <c r="AH88" i="25" s="1"/>
  <c r="AJ201" i="67"/>
  <c r="AI88" i="25" s="1"/>
  <c r="AK201" i="67"/>
  <c r="AJ88" i="25" s="1"/>
  <c r="AL201" i="67"/>
  <c r="AK88" i="25" s="1"/>
  <c r="AM201" i="67"/>
  <c r="AL88" i="25" s="1"/>
  <c r="AN201" i="67"/>
  <c r="AM88" i="25" s="1"/>
  <c r="AO201" i="67"/>
  <c r="AN88" i="25" s="1"/>
  <c r="D202" i="67"/>
  <c r="C94" i="25" s="1"/>
  <c r="E202" i="67"/>
  <c r="D94" i="25" s="1"/>
  <c r="F202" i="67"/>
  <c r="E94" i="25" s="1"/>
  <c r="G202" i="67"/>
  <c r="F94" i="25" s="1"/>
  <c r="H202" i="67"/>
  <c r="G94" i="25" s="1"/>
  <c r="I202" i="67"/>
  <c r="H94" i="25" s="1"/>
  <c r="J202" i="67"/>
  <c r="I94" i="25" s="1"/>
  <c r="K202" i="67"/>
  <c r="J94" i="25" s="1"/>
  <c r="L202" i="67"/>
  <c r="K94" i="25" s="1"/>
  <c r="M202" i="67"/>
  <c r="L94" i="25" s="1"/>
  <c r="N202" i="67"/>
  <c r="M94" i="25" s="1"/>
  <c r="O202" i="67"/>
  <c r="N94" i="25" s="1"/>
  <c r="P202" i="67"/>
  <c r="O94" i="25" s="1"/>
  <c r="Q202" i="67"/>
  <c r="P94" i="25" s="1"/>
  <c r="R202" i="67"/>
  <c r="Q94" i="25" s="1"/>
  <c r="S202" i="67"/>
  <c r="R94" i="25" s="1"/>
  <c r="T202" i="67"/>
  <c r="S94" i="25" s="1"/>
  <c r="U202" i="67"/>
  <c r="T94" i="25" s="1"/>
  <c r="V202" i="67"/>
  <c r="U94" i="25" s="1"/>
  <c r="W202" i="67"/>
  <c r="V94" i="25" s="1"/>
  <c r="X202" i="67"/>
  <c r="W94" i="25" s="1"/>
  <c r="Y202" i="67"/>
  <c r="X94" i="25" s="1"/>
  <c r="Z202" i="67"/>
  <c r="Y94" i="25" s="1"/>
  <c r="AA202" i="67"/>
  <c r="Z94" i="25" s="1"/>
  <c r="AB202" i="67"/>
  <c r="AA94" i="25" s="1"/>
  <c r="AC202" i="67"/>
  <c r="AB94" i="25" s="1"/>
  <c r="AD202" i="67"/>
  <c r="AC94" i="25" s="1"/>
  <c r="AE202" i="67"/>
  <c r="AD94" i="25" s="1"/>
  <c r="AF202" i="67"/>
  <c r="AE94" i="25" s="1"/>
  <c r="AG202" i="67"/>
  <c r="AF94" i="25" s="1"/>
  <c r="AH202" i="67"/>
  <c r="AG94" i="25" s="1"/>
  <c r="AI202" i="67"/>
  <c r="AH94" i="25" s="1"/>
  <c r="AJ202" i="67"/>
  <c r="AI94" i="25" s="1"/>
  <c r="AK202" i="67"/>
  <c r="AJ94" i="25" s="1"/>
  <c r="AL202" i="67"/>
  <c r="AK94" i="25" s="1"/>
  <c r="AM202" i="67"/>
  <c r="AL94" i="25" s="1"/>
  <c r="AN202" i="67"/>
  <c r="AM94" i="25" s="1"/>
  <c r="AO202" i="67"/>
  <c r="AN94" i="25" s="1"/>
  <c r="D205" i="67"/>
  <c r="C12" i="26" s="1"/>
  <c r="E205" i="67"/>
  <c r="D12" i="26" s="1"/>
  <c r="F205" i="67"/>
  <c r="E12" i="26" s="1"/>
  <c r="G205" i="67"/>
  <c r="F12" i="26" s="1"/>
  <c r="H205" i="67"/>
  <c r="G12" i="26" s="1"/>
  <c r="I205" i="67"/>
  <c r="H12" i="26" s="1"/>
  <c r="J205" i="67"/>
  <c r="I12" i="26" s="1"/>
  <c r="K205" i="67"/>
  <c r="J12" i="26" s="1"/>
  <c r="L205" i="67"/>
  <c r="K12" i="26" s="1"/>
  <c r="M205" i="67"/>
  <c r="L12" i="26" s="1"/>
  <c r="N205" i="67"/>
  <c r="M12" i="26" s="1"/>
  <c r="O205" i="67"/>
  <c r="N12" i="26" s="1"/>
  <c r="P205" i="67"/>
  <c r="O12" i="26" s="1"/>
  <c r="Q205" i="67"/>
  <c r="P12" i="26" s="1"/>
  <c r="R205" i="67"/>
  <c r="Q12" i="26" s="1"/>
  <c r="S205" i="67"/>
  <c r="R12" i="26" s="1"/>
  <c r="T205" i="67"/>
  <c r="S12" i="26" s="1"/>
  <c r="U205" i="67"/>
  <c r="T12" i="26" s="1"/>
  <c r="V205" i="67"/>
  <c r="U12" i="26" s="1"/>
  <c r="W205" i="67"/>
  <c r="V12" i="26" s="1"/>
  <c r="X205" i="67"/>
  <c r="W12" i="26" s="1"/>
  <c r="Y205" i="67"/>
  <c r="X12" i="26" s="1"/>
  <c r="Z205" i="67"/>
  <c r="Y12" i="26" s="1"/>
  <c r="AA205" i="67"/>
  <c r="Z12" i="26" s="1"/>
  <c r="AB205" i="67"/>
  <c r="AA12" i="26" s="1"/>
  <c r="AC205" i="67"/>
  <c r="AB12" i="26" s="1"/>
  <c r="AD205" i="67"/>
  <c r="AC12" i="26" s="1"/>
  <c r="AE205" i="67"/>
  <c r="AD12" i="26" s="1"/>
  <c r="AF205" i="67"/>
  <c r="AE12" i="26" s="1"/>
  <c r="AG205" i="67"/>
  <c r="AF12" i="26" s="1"/>
  <c r="AH205" i="67"/>
  <c r="AG12" i="26" s="1"/>
  <c r="AI205" i="67"/>
  <c r="AJ205" i="67"/>
  <c r="AI12" i="26" s="1"/>
  <c r="AK205" i="67"/>
  <c r="AJ12" i="26" s="1"/>
  <c r="AL205" i="67"/>
  <c r="AK12" i="26" s="1"/>
  <c r="AM205" i="67"/>
  <c r="AL12" i="26" s="1"/>
  <c r="AN205" i="67"/>
  <c r="AM12" i="26" s="1"/>
  <c r="AO205" i="67"/>
  <c r="AN12" i="26" s="1"/>
  <c r="D206" i="67"/>
  <c r="C27" i="26" s="1"/>
  <c r="E206" i="67"/>
  <c r="D27" i="26" s="1"/>
  <c r="F206" i="67"/>
  <c r="E27" i="26" s="1"/>
  <c r="G206" i="67"/>
  <c r="F27" i="26" s="1"/>
  <c r="H206" i="67"/>
  <c r="G27" i="26" s="1"/>
  <c r="I206" i="67"/>
  <c r="H27" i="26" s="1"/>
  <c r="J206" i="67"/>
  <c r="I27" i="26" s="1"/>
  <c r="K206" i="67"/>
  <c r="J27" i="26" s="1"/>
  <c r="L206" i="67"/>
  <c r="K27" i="26" s="1"/>
  <c r="M206" i="67"/>
  <c r="L27" i="26" s="1"/>
  <c r="N206" i="67"/>
  <c r="M27" i="26" s="1"/>
  <c r="O206" i="67"/>
  <c r="N27" i="26" s="1"/>
  <c r="P206" i="67"/>
  <c r="O27" i="26" s="1"/>
  <c r="Q206" i="67"/>
  <c r="P27" i="26" s="1"/>
  <c r="R206" i="67"/>
  <c r="Q27" i="26" s="1"/>
  <c r="S206" i="67"/>
  <c r="R27" i="26" s="1"/>
  <c r="T206" i="67"/>
  <c r="S27" i="26" s="1"/>
  <c r="U206" i="67"/>
  <c r="T27" i="26" s="1"/>
  <c r="V206" i="67"/>
  <c r="U27" i="26" s="1"/>
  <c r="W206" i="67"/>
  <c r="V27" i="26" s="1"/>
  <c r="X206" i="67"/>
  <c r="W27" i="26" s="1"/>
  <c r="Y206" i="67"/>
  <c r="X27" i="26" s="1"/>
  <c r="Z206" i="67"/>
  <c r="Y27" i="26" s="1"/>
  <c r="AA206" i="67"/>
  <c r="Z27" i="26" s="1"/>
  <c r="AB206" i="67"/>
  <c r="AA27" i="26" s="1"/>
  <c r="AC206" i="67"/>
  <c r="AB27" i="26" s="1"/>
  <c r="AD206" i="67"/>
  <c r="AC27" i="26" s="1"/>
  <c r="AE206" i="67"/>
  <c r="AD27" i="26" s="1"/>
  <c r="AF206" i="67"/>
  <c r="AE27" i="26" s="1"/>
  <c r="AG206" i="67"/>
  <c r="AF27" i="26" s="1"/>
  <c r="AH206" i="67"/>
  <c r="AG27" i="26" s="1"/>
  <c r="AI206" i="67"/>
  <c r="AH27" i="26" s="1"/>
  <c r="AJ206" i="67"/>
  <c r="AI27" i="26" s="1"/>
  <c r="AK206" i="67"/>
  <c r="AJ27" i="26" s="1"/>
  <c r="AL206" i="67"/>
  <c r="AK27" i="26" s="1"/>
  <c r="AM206" i="67"/>
  <c r="AL27" i="26" s="1"/>
  <c r="AN206" i="67"/>
  <c r="AM27" i="26" s="1"/>
  <c r="AO206" i="67"/>
  <c r="AN27" i="26" s="1"/>
  <c r="D207" i="67"/>
  <c r="C34" i="26" s="1"/>
  <c r="E207" i="67"/>
  <c r="D34" i="26" s="1"/>
  <c r="F207" i="67"/>
  <c r="E34" i="26" s="1"/>
  <c r="G207" i="67"/>
  <c r="F34" i="26" s="1"/>
  <c r="H207" i="67"/>
  <c r="G34" i="26" s="1"/>
  <c r="I207" i="67"/>
  <c r="H34" i="26" s="1"/>
  <c r="J207" i="67"/>
  <c r="I34" i="26" s="1"/>
  <c r="K207" i="67"/>
  <c r="J34" i="26" s="1"/>
  <c r="L207" i="67"/>
  <c r="K34" i="26" s="1"/>
  <c r="M207" i="67"/>
  <c r="L34" i="26" s="1"/>
  <c r="N207" i="67"/>
  <c r="M34" i="26" s="1"/>
  <c r="O207" i="67"/>
  <c r="N34" i="26" s="1"/>
  <c r="P207" i="67"/>
  <c r="O34" i="26" s="1"/>
  <c r="Q207" i="67"/>
  <c r="P34" i="26" s="1"/>
  <c r="R207" i="67"/>
  <c r="Q34" i="26" s="1"/>
  <c r="S207" i="67"/>
  <c r="R34" i="26" s="1"/>
  <c r="T207" i="67"/>
  <c r="S34" i="26" s="1"/>
  <c r="U207" i="67"/>
  <c r="T34" i="26" s="1"/>
  <c r="V207" i="67"/>
  <c r="U34" i="26" s="1"/>
  <c r="W207" i="67"/>
  <c r="V34" i="26" s="1"/>
  <c r="X207" i="67"/>
  <c r="W34" i="26" s="1"/>
  <c r="Y207" i="67"/>
  <c r="X34" i="26" s="1"/>
  <c r="Z207" i="67"/>
  <c r="Y34" i="26" s="1"/>
  <c r="AA207" i="67"/>
  <c r="Z34" i="26" s="1"/>
  <c r="AB207" i="67"/>
  <c r="AA34" i="26" s="1"/>
  <c r="AC207" i="67"/>
  <c r="AB34" i="26" s="1"/>
  <c r="AD207" i="67"/>
  <c r="AC34" i="26" s="1"/>
  <c r="AE207" i="67"/>
  <c r="AD34" i="26" s="1"/>
  <c r="AF207" i="67"/>
  <c r="AE34" i="26" s="1"/>
  <c r="AG207" i="67"/>
  <c r="AF34" i="26" s="1"/>
  <c r="AH207" i="67"/>
  <c r="AG34" i="26" s="1"/>
  <c r="AI207" i="67"/>
  <c r="AH34" i="26" s="1"/>
  <c r="AJ207" i="67"/>
  <c r="AI34" i="26" s="1"/>
  <c r="AK207" i="67"/>
  <c r="AJ34" i="26" s="1"/>
  <c r="AL207" i="67"/>
  <c r="AK34" i="26" s="1"/>
  <c r="AM207" i="67"/>
  <c r="AL34" i="26" s="1"/>
  <c r="AN207" i="67"/>
  <c r="AM34" i="26" s="1"/>
  <c r="AO207" i="67"/>
  <c r="AN34" i="26" s="1"/>
  <c r="D208" i="67"/>
  <c r="C48" i="26" s="1"/>
  <c r="E208" i="67"/>
  <c r="D48" i="26" s="1"/>
  <c r="F208" i="67"/>
  <c r="E48" i="26" s="1"/>
  <c r="G208" i="67"/>
  <c r="F48" i="26" s="1"/>
  <c r="H208" i="67"/>
  <c r="G48" i="26" s="1"/>
  <c r="I208" i="67"/>
  <c r="H48" i="26" s="1"/>
  <c r="J208" i="67"/>
  <c r="I48" i="26" s="1"/>
  <c r="K208" i="67"/>
  <c r="J48" i="26" s="1"/>
  <c r="L208" i="67"/>
  <c r="K48" i="26" s="1"/>
  <c r="M208" i="67"/>
  <c r="L48" i="26" s="1"/>
  <c r="N208" i="67"/>
  <c r="M48" i="26" s="1"/>
  <c r="O208" i="67"/>
  <c r="N48" i="26" s="1"/>
  <c r="P208" i="67"/>
  <c r="O48" i="26" s="1"/>
  <c r="Q208" i="67"/>
  <c r="P48" i="26" s="1"/>
  <c r="R208" i="67"/>
  <c r="Q48" i="26" s="1"/>
  <c r="S208" i="67"/>
  <c r="R48" i="26" s="1"/>
  <c r="T208" i="67"/>
  <c r="S48" i="26" s="1"/>
  <c r="U208" i="67"/>
  <c r="T48" i="26" s="1"/>
  <c r="V208" i="67"/>
  <c r="U48" i="26" s="1"/>
  <c r="W208" i="67"/>
  <c r="V48" i="26" s="1"/>
  <c r="X208" i="67"/>
  <c r="W48" i="26" s="1"/>
  <c r="Y208" i="67"/>
  <c r="X48" i="26" s="1"/>
  <c r="Z208" i="67"/>
  <c r="Y48" i="26" s="1"/>
  <c r="AA208" i="67"/>
  <c r="Z48" i="26" s="1"/>
  <c r="AB208" i="67"/>
  <c r="AA48" i="26" s="1"/>
  <c r="AC208" i="67"/>
  <c r="AB48" i="26" s="1"/>
  <c r="AD208" i="67"/>
  <c r="AC48" i="26" s="1"/>
  <c r="AE208" i="67"/>
  <c r="AD48" i="26" s="1"/>
  <c r="AF208" i="67"/>
  <c r="AE48" i="26" s="1"/>
  <c r="AG208" i="67"/>
  <c r="AF48" i="26" s="1"/>
  <c r="AH208" i="67"/>
  <c r="AG48" i="26" s="1"/>
  <c r="AI208" i="67"/>
  <c r="AH48" i="26" s="1"/>
  <c r="AJ208" i="67"/>
  <c r="AI48" i="26" s="1"/>
  <c r="AK208" i="67"/>
  <c r="AJ48" i="26" s="1"/>
  <c r="AL208" i="67"/>
  <c r="AK48" i="26" s="1"/>
  <c r="AM208" i="67"/>
  <c r="AL48" i="26" s="1"/>
  <c r="AN208" i="67"/>
  <c r="AM48" i="26" s="1"/>
  <c r="AO208" i="67"/>
  <c r="AN48" i="26" s="1"/>
  <c r="D209" i="67"/>
  <c r="C69" i="26" s="1"/>
  <c r="E209" i="67"/>
  <c r="D69" i="26" s="1"/>
  <c r="F209" i="67"/>
  <c r="E69" i="26" s="1"/>
  <c r="G209" i="67"/>
  <c r="F69" i="26" s="1"/>
  <c r="H209" i="67"/>
  <c r="G69" i="26" s="1"/>
  <c r="I209" i="67"/>
  <c r="H69" i="26" s="1"/>
  <c r="J209" i="67"/>
  <c r="I69" i="26" s="1"/>
  <c r="K209" i="67"/>
  <c r="J69" i="26" s="1"/>
  <c r="L209" i="67"/>
  <c r="K69" i="26" s="1"/>
  <c r="M209" i="67"/>
  <c r="L69" i="26" s="1"/>
  <c r="N209" i="67"/>
  <c r="M69" i="26" s="1"/>
  <c r="O209" i="67"/>
  <c r="N69" i="26" s="1"/>
  <c r="P209" i="67"/>
  <c r="O69" i="26" s="1"/>
  <c r="Q209" i="67"/>
  <c r="P69" i="26" s="1"/>
  <c r="R209" i="67"/>
  <c r="Q69" i="26" s="1"/>
  <c r="S209" i="67"/>
  <c r="R69" i="26" s="1"/>
  <c r="T209" i="67"/>
  <c r="S69" i="26" s="1"/>
  <c r="U209" i="67"/>
  <c r="T69" i="26" s="1"/>
  <c r="V209" i="67"/>
  <c r="U69" i="26" s="1"/>
  <c r="W209" i="67"/>
  <c r="V69" i="26" s="1"/>
  <c r="X209" i="67"/>
  <c r="W69" i="26" s="1"/>
  <c r="Y209" i="67"/>
  <c r="X69" i="26" s="1"/>
  <c r="Z209" i="67"/>
  <c r="Y69" i="26" s="1"/>
  <c r="AA209" i="67"/>
  <c r="Z69" i="26" s="1"/>
  <c r="AB209" i="67"/>
  <c r="AA69" i="26" s="1"/>
  <c r="AC209" i="67"/>
  <c r="AB69" i="26" s="1"/>
  <c r="AD209" i="67"/>
  <c r="AC69" i="26" s="1"/>
  <c r="AE209" i="67"/>
  <c r="AD69" i="26" s="1"/>
  <c r="AF209" i="67"/>
  <c r="AE69" i="26" s="1"/>
  <c r="AG209" i="67"/>
  <c r="AF69" i="26" s="1"/>
  <c r="AH209" i="67"/>
  <c r="AG69" i="26" s="1"/>
  <c r="AI209" i="67"/>
  <c r="AH69" i="26" s="1"/>
  <c r="AJ209" i="67"/>
  <c r="AI69" i="26" s="1"/>
  <c r="AK209" i="67"/>
  <c r="AJ69" i="26" s="1"/>
  <c r="AL209" i="67"/>
  <c r="AK69" i="26" s="1"/>
  <c r="AM209" i="67"/>
  <c r="AL69" i="26" s="1"/>
  <c r="AN209" i="67"/>
  <c r="AM69" i="26" s="1"/>
  <c r="AO209" i="67"/>
  <c r="AN69" i="26" s="1"/>
  <c r="D210" i="67"/>
  <c r="C79" i="26" s="1"/>
  <c r="E210" i="67"/>
  <c r="D79" i="26" s="1"/>
  <c r="F210" i="67"/>
  <c r="E79" i="26" s="1"/>
  <c r="G210" i="67"/>
  <c r="F79" i="26" s="1"/>
  <c r="H210" i="67"/>
  <c r="G79" i="26" s="1"/>
  <c r="I210" i="67"/>
  <c r="H79" i="26" s="1"/>
  <c r="J210" i="67"/>
  <c r="I79" i="26" s="1"/>
  <c r="K210" i="67"/>
  <c r="J79" i="26" s="1"/>
  <c r="L210" i="67"/>
  <c r="K79" i="26" s="1"/>
  <c r="M210" i="67"/>
  <c r="L79" i="26" s="1"/>
  <c r="N210" i="67"/>
  <c r="M79" i="26" s="1"/>
  <c r="O210" i="67"/>
  <c r="N79" i="26" s="1"/>
  <c r="P210" i="67"/>
  <c r="O79" i="26" s="1"/>
  <c r="Q210" i="67"/>
  <c r="P79" i="26" s="1"/>
  <c r="R210" i="67"/>
  <c r="Q79" i="26" s="1"/>
  <c r="S210" i="67"/>
  <c r="R79" i="26" s="1"/>
  <c r="T210" i="67"/>
  <c r="S79" i="26" s="1"/>
  <c r="U210" i="67"/>
  <c r="T79" i="26" s="1"/>
  <c r="V210" i="67"/>
  <c r="U79" i="26" s="1"/>
  <c r="W210" i="67"/>
  <c r="V79" i="26" s="1"/>
  <c r="X210" i="67"/>
  <c r="W79" i="26" s="1"/>
  <c r="Y210" i="67"/>
  <c r="X79" i="26" s="1"/>
  <c r="Z210" i="67"/>
  <c r="Y79" i="26" s="1"/>
  <c r="AA210" i="67"/>
  <c r="Z79" i="26" s="1"/>
  <c r="AB210" i="67"/>
  <c r="AA79" i="26" s="1"/>
  <c r="AC210" i="67"/>
  <c r="AB79" i="26" s="1"/>
  <c r="AD210" i="67"/>
  <c r="AC79" i="26" s="1"/>
  <c r="AE210" i="67"/>
  <c r="AD79" i="26" s="1"/>
  <c r="AF210" i="67"/>
  <c r="AE79" i="26" s="1"/>
  <c r="AG210" i="67"/>
  <c r="AF79" i="26" s="1"/>
  <c r="AH210" i="67"/>
  <c r="AG79" i="26" s="1"/>
  <c r="AI210" i="67"/>
  <c r="AH79" i="26" s="1"/>
  <c r="AJ210" i="67"/>
  <c r="AI79" i="26" s="1"/>
  <c r="AK210" i="67"/>
  <c r="AJ79" i="26" s="1"/>
  <c r="AL210" i="67"/>
  <c r="AK79" i="26" s="1"/>
  <c r="AM210" i="67"/>
  <c r="AL79" i="26" s="1"/>
  <c r="AN210" i="67"/>
  <c r="AM79" i="26" s="1"/>
  <c r="AO210" i="67"/>
  <c r="AN79" i="26" s="1"/>
  <c r="D211" i="67"/>
  <c r="C83" i="26" s="1"/>
  <c r="E211" i="67"/>
  <c r="D83" i="26" s="1"/>
  <c r="F211" i="67"/>
  <c r="E83" i="26" s="1"/>
  <c r="G211" i="67"/>
  <c r="F83" i="26" s="1"/>
  <c r="H211" i="67"/>
  <c r="G83" i="26" s="1"/>
  <c r="I211" i="67"/>
  <c r="H83" i="26" s="1"/>
  <c r="J211" i="67"/>
  <c r="I83" i="26" s="1"/>
  <c r="K211" i="67"/>
  <c r="J83" i="26" s="1"/>
  <c r="L211" i="67"/>
  <c r="K83" i="26" s="1"/>
  <c r="M211" i="67"/>
  <c r="L83" i="26" s="1"/>
  <c r="N211" i="67"/>
  <c r="M83" i="26" s="1"/>
  <c r="O211" i="67"/>
  <c r="N83" i="26" s="1"/>
  <c r="P211" i="67"/>
  <c r="O83" i="26" s="1"/>
  <c r="Q211" i="67"/>
  <c r="P83" i="26" s="1"/>
  <c r="R211" i="67"/>
  <c r="Q83" i="26" s="1"/>
  <c r="S211" i="67"/>
  <c r="R83" i="26" s="1"/>
  <c r="T211" i="67"/>
  <c r="S83" i="26" s="1"/>
  <c r="U211" i="67"/>
  <c r="T83" i="26" s="1"/>
  <c r="V211" i="67"/>
  <c r="U83" i="26" s="1"/>
  <c r="W211" i="67"/>
  <c r="V83" i="26" s="1"/>
  <c r="X211" i="67"/>
  <c r="W83" i="26" s="1"/>
  <c r="Y211" i="67"/>
  <c r="X83" i="26" s="1"/>
  <c r="Z211" i="67"/>
  <c r="Y83" i="26" s="1"/>
  <c r="AA211" i="67"/>
  <c r="Z83" i="26" s="1"/>
  <c r="AB211" i="67"/>
  <c r="AA83" i="26" s="1"/>
  <c r="AC211" i="67"/>
  <c r="AB83" i="26" s="1"/>
  <c r="AD211" i="67"/>
  <c r="AC83" i="26" s="1"/>
  <c r="AE211" i="67"/>
  <c r="AD83" i="26" s="1"/>
  <c r="AF211" i="67"/>
  <c r="AE83" i="26" s="1"/>
  <c r="AG211" i="67"/>
  <c r="AF83" i="26" s="1"/>
  <c r="AH211" i="67"/>
  <c r="AG83" i="26" s="1"/>
  <c r="AI211" i="67"/>
  <c r="AH83" i="26" s="1"/>
  <c r="AJ211" i="67"/>
  <c r="AI83" i="26" s="1"/>
  <c r="AK211" i="67"/>
  <c r="AJ83" i="26" s="1"/>
  <c r="AL211" i="67"/>
  <c r="AK83" i="26" s="1"/>
  <c r="AM211" i="67"/>
  <c r="AL83" i="26" s="1"/>
  <c r="AN211" i="67"/>
  <c r="AM83" i="26" s="1"/>
  <c r="AO211" i="67"/>
  <c r="AN83" i="26" s="1"/>
  <c r="D212" i="67"/>
  <c r="C88" i="26" s="1"/>
  <c r="E212" i="67"/>
  <c r="D88" i="26" s="1"/>
  <c r="F212" i="67"/>
  <c r="E88" i="26" s="1"/>
  <c r="G212" i="67"/>
  <c r="F88" i="26" s="1"/>
  <c r="H212" i="67"/>
  <c r="G88" i="26" s="1"/>
  <c r="I212" i="67"/>
  <c r="H88" i="26" s="1"/>
  <c r="J212" i="67"/>
  <c r="I88" i="26" s="1"/>
  <c r="K212" i="67"/>
  <c r="J88" i="26" s="1"/>
  <c r="L212" i="67"/>
  <c r="K88" i="26" s="1"/>
  <c r="M212" i="67"/>
  <c r="L88" i="26" s="1"/>
  <c r="N212" i="67"/>
  <c r="M88" i="26" s="1"/>
  <c r="O212" i="67"/>
  <c r="N88" i="26" s="1"/>
  <c r="P212" i="67"/>
  <c r="O88" i="26" s="1"/>
  <c r="Q212" i="67"/>
  <c r="P88" i="26" s="1"/>
  <c r="R212" i="67"/>
  <c r="Q88" i="26" s="1"/>
  <c r="S212" i="67"/>
  <c r="R88" i="26" s="1"/>
  <c r="T212" i="67"/>
  <c r="S88" i="26" s="1"/>
  <c r="U212" i="67"/>
  <c r="T88" i="26" s="1"/>
  <c r="V212" i="67"/>
  <c r="U88" i="26" s="1"/>
  <c r="W212" i="67"/>
  <c r="V88" i="26" s="1"/>
  <c r="X212" i="67"/>
  <c r="W88" i="26" s="1"/>
  <c r="Y212" i="67"/>
  <c r="X88" i="26" s="1"/>
  <c r="Z212" i="67"/>
  <c r="Y88" i="26" s="1"/>
  <c r="AA212" i="67"/>
  <c r="Z88" i="26" s="1"/>
  <c r="AB212" i="67"/>
  <c r="AA88" i="26" s="1"/>
  <c r="AC212" i="67"/>
  <c r="AB88" i="26" s="1"/>
  <c r="AD212" i="67"/>
  <c r="AC88" i="26" s="1"/>
  <c r="AE212" i="67"/>
  <c r="AD88" i="26" s="1"/>
  <c r="AF212" i="67"/>
  <c r="AE88" i="26" s="1"/>
  <c r="AG212" i="67"/>
  <c r="AF88" i="26" s="1"/>
  <c r="AH212" i="67"/>
  <c r="AG88" i="26" s="1"/>
  <c r="AI212" i="67"/>
  <c r="AH88" i="26" s="1"/>
  <c r="AJ212" i="67"/>
  <c r="AI88" i="26" s="1"/>
  <c r="AK212" i="67"/>
  <c r="AJ88" i="26" s="1"/>
  <c r="AL212" i="67"/>
  <c r="AK88" i="26" s="1"/>
  <c r="AM212" i="67"/>
  <c r="AL88" i="26" s="1"/>
  <c r="AN212" i="67"/>
  <c r="AM88" i="26" s="1"/>
  <c r="AO212" i="67"/>
  <c r="AN88" i="26" s="1"/>
  <c r="D213" i="67"/>
  <c r="C94" i="26" s="1"/>
  <c r="E213" i="67"/>
  <c r="D94" i="26" s="1"/>
  <c r="F213" i="67"/>
  <c r="E94" i="26" s="1"/>
  <c r="G213" i="67"/>
  <c r="F94" i="26" s="1"/>
  <c r="H213" i="67"/>
  <c r="G94" i="26" s="1"/>
  <c r="I213" i="67"/>
  <c r="H94" i="26" s="1"/>
  <c r="J213" i="67"/>
  <c r="I94" i="26" s="1"/>
  <c r="K213" i="67"/>
  <c r="J94" i="26" s="1"/>
  <c r="L213" i="67"/>
  <c r="K94" i="26" s="1"/>
  <c r="M213" i="67"/>
  <c r="L94" i="26" s="1"/>
  <c r="N213" i="67"/>
  <c r="M94" i="26" s="1"/>
  <c r="O213" i="67"/>
  <c r="N94" i="26" s="1"/>
  <c r="P213" i="67"/>
  <c r="O94" i="26" s="1"/>
  <c r="Q213" i="67"/>
  <c r="P94" i="26" s="1"/>
  <c r="R213" i="67"/>
  <c r="Q94" i="26" s="1"/>
  <c r="S213" i="67"/>
  <c r="R94" i="26" s="1"/>
  <c r="T213" i="67"/>
  <c r="S94" i="26" s="1"/>
  <c r="U213" i="67"/>
  <c r="T94" i="26" s="1"/>
  <c r="V213" i="67"/>
  <c r="U94" i="26" s="1"/>
  <c r="W213" i="67"/>
  <c r="V94" i="26" s="1"/>
  <c r="X213" i="67"/>
  <c r="W94" i="26" s="1"/>
  <c r="Y213" i="67"/>
  <c r="X94" i="26" s="1"/>
  <c r="Z213" i="67"/>
  <c r="Y94" i="26" s="1"/>
  <c r="AA213" i="67"/>
  <c r="Z94" i="26" s="1"/>
  <c r="AB213" i="67"/>
  <c r="AA94" i="26" s="1"/>
  <c r="AC213" i="67"/>
  <c r="AB94" i="26" s="1"/>
  <c r="AD213" i="67"/>
  <c r="AC94" i="26" s="1"/>
  <c r="AE213" i="67"/>
  <c r="AD94" i="26" s="1"/>
  <c r="AF213" i="67"/>
  <c r="AE94" i="26" s="1"/>
  <c r="AG213" i="67"/>
  <c r="AF94" i="26" s="1"/>
  <c r="AH213" i="67"/>
  <c r="AG94" i="26" s="1"/>
  <c r="AI213" i="67"/>
  <c r="AH94" i="26" s="1"/>
  <c r="AJ213" i="67"/>
  <c r="AI94" i="26" s="1"/>
  <c r="AK213" i="67"/>
  <c r="AJ94" i="26" s="1"/>
  <c r="AL213" i="67"/>
  <c r="AK94" i="26" s="1"/>
  <c r="AM213" i="67"/>
  <c r="AL94" i="26" s="1"/>
  <c r="AN213" i="67"/>
  <c r="AM94" i="26" s="1"/>
  <c r="AO213" i="67"/>
  <c r="AN94" i="26" s="1"/>
  <c r="D216" i="67"/>
  <c r="C12" i="27" s="1"/>
  <c r="E216" i="67"/>
  <c r="D12" i="27" s="1"/>
  <c r="F216" i="67"/>
  <c r="E12" i="27" s="1"/>
  <c r="G216" i="67"/>
  <c r="F12" i="27" s="1"/>
  <c r="H216" i="67"/>
  <c r="G12" i="27" s="1"/>
  <c r="I216" i="67"/>
  <c r="H12" i="27" s="1"/>
  <c r="J216" i="67"/>
  <c r="I12" i="27" s="1"/>
  <c r="K216" i="67"/>
  <c r="J12" i="27" s="1"/>
  <c r="L216" i="67"/>
  <c r="K12" i="27" s="1"/>
  <c r="M216" i="67"/>
  <c r="L12" i="27" s="1"/>
  <c r="N216" i="67"/>
  <c r="M12" i="27" s="1"/>
  <c r="O216" i="67"/>
  <c r="N12" i="27" s="1"/>
  <c r="P216" i="67"/>
  <c r="O12" i="27" s="1"/>
  <c r="Q216" i="67"/>
  <c r="P12" i="27" s="1"/>
  <c r="R216" i="67"/>
  <c r="Q12" i="27" s="1"/>
  <c r="S216" i="67"/>
  <c r="R12" i="27" s="1"/>
  <c r="T216" i="67"/>
  <c r="S12" i="27" s="1"/>
  <c r="U216" i="67"/>
  <c r="T12" i="27" s="1"/>
  <c r="V216" i="67"/>
  <c r="U12" i="27" s="1"/>
  <c r="W216" i="67"/>
  <c r="V12" i="27" s="1"/>
  <c r="X216" i="67"/>
  <c r="W12" i="27" s="1"/>
  <c r="Y216" i="67"/>
  <c r="X12" i="27" s="1"/>
  <c r="Z216" i="67"/>
  <c r="Y12" i="27" s="1"/>
  <c r="AA216" i="67"/>
  <c r="Z12" i="27" s="1"/>
  <c r="AB216" i="67"/>
  <c r="AA12" i="27" s="1"/>
  <c r="AC216" i="67"/>
  <c r="AB12" i="27" s="1"/>
  <c r="AD216" i="67"/>
  <c r="AC12" i="27" s="1"/>
  <c r="AE216" i="67"/>
  <c r="AD12" i="27" s="1"/>
  <c r="AF216" i="67"/>
  <c r="AE12" i="27" s="1"/>
  <c r="AG216" i="67"/>
  <c r="AF12" i="27" s="1"/>
  <c r="AH216" i="67"/>
  <c r="AG12" i="27" s="1"/>
  <c r="AI216" i="67"/>
  <c r="AH12" i="27" s="1"/>
  <c r="AJ216" i="67"/>
  <c r="AI12" i="27" s="1"/>
  <c r="AK216" i="67"/>
  <c r="AJ12" i="27" s="1"/>
  <c r="AL216" i="67"/>
  <c r="AK12" i="27" s="1"/>
  <c r="AM216" i="67"/>
  <c r="AL12" i="27" s="1"/>
  <c r="AN216" i="67"/>
  <c r="AM12" i="27" s="1"/>
  <c r="AO216" i="67"/>
  <c r="AN12" i="27" s="1"/>
  <c r="D217" i="67"/>
  <c r="C27" i="27" s="1"/>
  <c r="E217" i="67"/>
  <c r="D27" i="27" s="1"/>
  <c r="F217" i="67"/>
  <c r="E27" i="27" s="1"/>
  <c r="G217" i="67"/>
  <c r="F27" i="27" s="1"/>
  <c r="H217" i="67"/>
  <c r="G27" i="27" s="1"/>
  <c r="I217" i="67"/>
  <c r="H27" i="27" s="1"/>
  <c r="J217" i="67"/>
  <c r="I27" i="27" s="1"/>
  <c r="K217" i="67"/>
  <c r="J27" i="27" s="1"/>
  <c r="L217" i="67"/>
  <c r="K27" i="27" s="1"/>
  <c r="M217" i="67"/>
  <c r="L27" i="27" s="1"/>
  <c r="N217" i="67"/>
  <c r="M27" i="27" s="1"/>
  <c r="O217" i="67"/>
  <c r="N27" i="27" s="1"/>
  <c r="P217" i="67"/>
  <c r="O27" i="27" s="1"/>
  <c r="Q217" i="67"/>
  <c r="P27" i="27" s="1"/>
  <c r="R217" i="67"/>
  <c r="Q27" i="27" s="1"/>
  <c r="S217" i="67"/>
  <c r="R27" i="27" s="1"/>
  <c r="T217" i="67"/>
  <c r="S27" i="27" s="1"/>
  <c r="U217" i="67"/>
  <c r="T27" i="27" s="1"/>
  <c r="V217" i="67"/>
  <c r="U27" i="27" s="1"/>
  <c r="W217" i="67"/>
  <c r="V27" i="27" s="1"/>
  <c r="X217" i="67"/>
  <c r="W27" i="27" s="1"/>
  <c r="Y217" i="67"/>
  <c r="X27" i="27" s="1"/>
  <c r="Z217" i="67"/>
  <c r="Y27" i="27" s="1"/>
  <c r="AA217" i="67"/>
  <c r="Z27" i="27" s="1"/>
  <c r="AB217" i="67"/>
  <c r="AA27" i="27" s="1"/>
  <c r="AC217" i="67"/>
  <c r="AB27" i="27" s="1"/>
  <c r="AD217" i="67"/>
  <c r="AC27" i="27" s="1"/>
  <c r="AE217" i="67"/>
  <c r="AD27" i="27" s="1"/>
  <c r="AF217" i="67"/>
  <c r="AE27" i="27" s="1"/>
  <c r="AG217" i="67"/>
  <c r="AF27" i="27" s="1"/>
  <c r="AH217" i="67"/>
  <c r="AG27" i="27" s="1"/>
  <c r="AI217" i="67"/>
  <c r="AH27" i="27" s="1"/>
  <c r="AJ217" i="67"/>
  <c r="AI27" i="27" s="1"/>
  <c r="AK217" i="67"/>
  <c r="AJ27" i="27" s="1"/>
  <c r="AL217" i="67"/>
  <c r="AK27" i="27" s="1"/>
  <c r="AM217" i="67"/>
  <c r="AL27" i="27" s="1"/>
  <c r="AN217" i="67"/>
  <c r="AM27" i="27" s="1"/>
  <c r="AO217" i="67"/>
  <c r="AN27" i="27" s="1"/>
  <c r="D218" i="67"/>
  <c r="C34" i="27" s="1"/>
  <c r="E218" i="67"/>
  <c r="D34" i="27" s="1"/>
  <c r="F218" i="67"/>
  <c r="E34" i="27" s="1"/>
  <c r="G218" i="67"/>
  <c r="F34" i="27" s="1"/>
  <c r="H218" i="67"/>
  <c r="G34" i="27" s="1"/>
  <c r="I218" i="67"/>
  <c r="H34" i="27" s="1"/>
  <c r="J218" i="67"/>
  <c r="I34" i="27" s="1"/>
  <c r="K218" i="67"/>
  <c r="J34" i="27" s="1"/>
  <c r="L218" i="67"/>
  <c r="K34" i="27" s="1"/>
  <c r="M218" i="67"/>
  <c r="L34" i="27" s="1"/>
  <c r="N218" i="67"/>
  <c r="M34" i="27" s="1"/>
  <c r="O218" i="67"/>
  <c r="N34" i="27" s="1"/>
  <c r="P218" i="67"/>
  <c r="O34" i="27" s="1"/>
  <c r="Q218" i="67"/>
  <c r="P34" i="27" s="1"/>
  <c r="R218" i="67"/>
  <c r="Q34" i="27" s="1"/>
  <c r="S218" i="67"/>
  <c r="R34" i="27" s="1"/>
  <c r="T218" i="67"/>
  <c r="S34" i="27" s="1"/>
  <c r="U218" i="67"/>
  <c r="T34" i="27" s="1"/>
  <c r="V218" i="67"/>
  <c r="U34" i="27" s="1"/>
  <c r="W218" i="67"/>
  <c r="V34" i="27" s="1"/>
  <c r="X218" i="67"/>
  <c r="W34" i="27" s="1"/>
  <c r="Y218" i="67"/>
  <c r="X34" i="27" s="1"/>
  <c r="Z218" i="67"/>
  <c r="Y34" i="27" s="1"/>
  <c r="AA218" i="67"/>
  <c r="Z34" i="27" s="1"/>
  <c r="AB218" i="67"/>
  <c r="AA34" i="27" s="1"/>
  <c r="AC218" i="67"/>
  <c r="AB34" i="27" s="1"/>
  <c r="AD218" i="67"/>
  <c r="AC34" i="27" s="1"/>
  <c r="AE218" i="67"/>
  <c r="AD34" i="27" s="1"/>
  <c r="AF218" i="67"/>
  <c r="AE34" i="27" s="1"/>
  <c r="AG218" i="67"/>
  <c r="AF34" i="27" s="1"/>
  <c r="AH218" i="67"/>
  <c r="AG34" i="27" s="1"/>
  <c r="AI218" i="67"/>
  <c r="AH34" i="27" s="1"/>
  <c r="AJ218" i="67"/>
  <c r="AI34" i="27" s="1"/>
  <c r="AK218" i="67"/>
  <c r="AJ34" i="27" s="1"/>
  <c r="AL218" i="67"/>
  <c r="AK34" i="27" s="1"/>
  <c r="AM218" i="67"/>
  <c r="AL34" i="27" s="1"/>
  <c r="AN218" i="67"/>
  <c r="AM34" i="27" s="1"/>
  <c r="AO218" i="67"/>
  <c r="AN34" i="27" s="1"/>
  <c r="D219" i="67"/>
  <c r="C48" i="27" s="1"/>
  <c r="E219" i="67"/>
  <c r="D48" i="27" s="1"/>
  <c r="F219" i="67"/>
  <c r="E48" i="27" s="1"/>
  <c r="G219" i="67"/>
  <c r="F48" i="27" s="1"/>
  <c r="H219" i="67"/>
  <c r="G48" i="27" s="1"/>
  <c r="I219" i="67"/>
  <c r="H48" i="27" s="1"/>
  <c r="J219" i="67"/>
  <c r="I48" i="27" s="1"/>
  <c r="K219" i="67"/>
  <c r="J48" i="27" s="1"/>
  <c r="L219" i="67"/>
  <c r="K48" i="27" s="1"/>
  <c r="M219" i="67"/>
  <c r="L48" i="27" s="1"/>
  <c r="N219" i="67"/>
  <c r="M48" i="27" s="1"/>
  <c r="O219" i="67"/>
  <c r="N48" i="27" s="1"/>
  <c r="P219" i="67"/>
  <c r="O48" i="27" s="1"/>
  <c r="Q219" i="67"/>
  <c r="P48" i="27" s="1"/>
  <c r="R219" i="67"/>
  <c r="Q48" i="27" s="1"/>
  <c r="S219" i="67"/>
  <c r="R48" i="27" s="1"/>
  <c r="T219" i="67"/>
  <c r="S48" i="27" s="1"/>
  <c r="U219" i="67"/>
  <c r="T48" i="27" s="1"/>
  <c r="V219" i="67"/>
  <c r="U48" i="27" s="1"/>
  <c r="W219" i="67"/>
  <c r="V48" i="27" s="1"/>
  <c r="X219" i="67"/>
  <c r="W48" i="27" s="1"/>
  <c r="Y219" i="67"/>
  <c r="X48" i="27" s="1"/>
  <c r="Z219" i="67"/>
  <c r="Y48" i="27" s="1"/>
  <c r="AA219" i="67"/>
  <c r="Z48" i="27" s="1"/>
  <c r="AB219" i="67"/>
  <c r="AA48" i="27" s="1"/>
  <c r="AC219" i="67"/>
  <c r="AB48" i="27" s="1"/>
  <c r="AD219" i="67"/>
  <c r="AC48" i="27" s="1"/>
  <c r="AE219" i="67"/>
  <c r="AD48" i="27" s="1"/>
  <c r="AF219" i="67"/>
  <c r="AE48" i="27" s="1"/>
  <c r="AG219" i="67"/>
  <c r="AF48" i="27" s="1"/>
  <c r="AH219" i="67"/>
  <c r="AG48" i="27" s="1"/>
  <c r="AI219" i="67"/>
  <c r="AH48" i="27" s="1"/>
  <c r="AJ219" i="67"/>
  <c r="AI48" i="27" s="1"/>
  <c r="AK219" i="67"/>
  <c r="AJ48" i="27" s="1"/>
  <c r="AL219" i="67"/>
  <c r="AK48" i="27" s="1"/>
  <c r="AM219" i="67"/>
  <c r="AL48" i="27" s="1"/>
  <c r="AN219" i="67"/>
  <c r="AM48" i="27" s="1"/>
  <c r="AO219" i="67"/>
  <c r="AN48" i="27" s="1"/>
  <c r="D220" i="67"/>
  <c r="C69" i="27" s="1"/>
  <c r="E220" i="67"/>
  <c r="D69" i="27" s="1"/>
  <c r="F220" i="67"/>
  <c r="E69" i="27" s="1"/>
  <c r="G220" i="67"/>
  <c r="F69" i="27" s="1"/>
  <c r="H220" i="67"/>
  <c r="G69" i="27" s="1"/>
  <c r="I220" i="67"/>
  <c r="H69" i="27" s="1"/>
  <c r="J220" i="67"/>
  <c r="I69" i="27" s="1"/>
  <c r="K220" i="67"/>
  <c r="J69" i="27" s="1"/>
  <c r="L220" i="67"/>
  <c r="K69" i="27" s="1"/>
  <c r="M220" i="67"/>
  <c r="L69" i="27" s="1"/>
  <c r="N220" i="67"/>
  <c r="M69" i="27" s="1"/>
  <c r="O220" i="67"/>
  <c r="N69" i="27" s="1"/>
  <c r="P220" i="67"/>
  <c r="O69" i="27" s="1"/>
  <c r="Q220" i="67"/>
  <c r="P69" i="27" s="1"/>
  <c r="R220" i="67"/>
  <c r="Q69" i="27" s="1"/>
  <c r="S220" i="67"/>
  <c r="R69" i="27" s="1"/>
  <c r="T220" i="67"/>
  <c r="S69" i="27" s="1"/>
  <c r="U220" i="67"/>
  <c r="T69" i="27" s="1"/>
  <c r="V220" i="67"/>
  <c r="U69" i="27" s="1"/>
  <c r="W220" i="67"/>
  <c r="V69" i="27" s="1"/>
  <c r="X220" i="67"/>
  <c r="W69" i="27" s="1"/>
  <c r="Y220" i="67"/>
  <c r="X69" i="27" s="1"/>
  <c r="Z220" i="67"/>
  <c r="Y69" i="27" s="1"/>
  <c r="AA220" i="67"/>
  <c r="Z69" i="27" s="1"/>
  <c r="AB220" i="67"/>
  <c r="AA69" i="27" s="1"/>
  <c r="AC220" i="67"/>
  <c r="AB69" i="27" s="1"/>
  <c r="AD220" i="67"/>
  <c r="AC69" i="27" s="1"/>
  <c r="AE220" i="67"/>
  <c r="AD69" i="27" s="1"/>
  <c r="AF220" i="67"/>
  <c r="AE69" i="27" s="1"/>
  <c r="AG220" i="67"/>
  <c r="AF69" i="27" s="1"/>
  <c r="AH220" i="67"/>
  <c r="AG69" i="27" s="1"/>
  <c r="AI220" i="67"/>
  <c r="AH69" i="27" s="1"/>
  <c r="AJ220" i="67"/>
  <c r="AI69" i="27" s="1"/>
  <c r="AK220" i="67"/>
  <c r="AJ69" i="27" s="1"/>
  <c r="AL220" i="67"/>
  <c r="AK69" i="27" s="1"/>
  <c r="AM220" i="67"/>
  <c r="AL69" i="27" s="1"/>
  <c r="AN220" i="67"/>
  <c r="AM69" i="27" s="1"/>
  <c r="AO220" i="67"/>
  <c r="AN69" i="27" s="1"/>
  <c r="D221" i="67"/>
  <c r="C79" i="27" s="1"/>
  <c r="E221" i="67"/>
  <c r="D79" i="27" s="1"/>
  <c r="F221" i="67"/>
  <c r="E79" i="27" s="1"/>
  <c r="G221" i="67"/>
  <c r="F79" i="27" s="1"/>
  <c r="H221" i="67"/>
  <c r="G79" i="27" s="1"/>
  <c r="I221" i="67"/>
  <c r="H79" i="27" s="1"/>
  <c r="J221" i="67"/>
  <c r="I79" i="27" s="1"/>
  <c r="K221" i="67"/>
  <c r="J79" i="27" s="1"/>
  <c r="L221" i="67"/>
  <c r="K79" i="27" s="1"/>
  <c r="M221" i="67"/>
  <c r="L79" i="27" s="1"/>
  <c r="N221" i="67"/>
  <c r="M79" i="27" s="1"/>
  <c r="O221" i="67"/>
  <c r="N79" i="27" s="1"/>
  <c r="P221" i="67"/>
  <c r="O79" i="27" s="1"/>
  <c r="Q221" i="67"/>
  <c r="P79" i="27" s="1"/>
  <c r="R221" i="67"/>
  <c r="Q79" i="27" s="1"/>
  <c r="S221" i="67"/>
  <c r="R79" i="27" s="1"/>
  <c r="T221" i="67"/>
  <c r="S79" i="27" s="1"/>
  <c r="U221" i="67"/>
  <c r="T79" i="27" s="1"/>
  <c r="V221" i="67"/>
  <c r="U79" i="27" s="1"/>
  <c r="W221" i="67"/>
  <c r="V79" i="27" s="1"/>
  <c r="X221" i="67"/>
  <c r="W79" i="27" s="1"/>
  <c r="Y221" i="67"/>
  <c r="X79" i="27" s="1"/>
  <c r="Z221" i="67"/>
  <c r="Y79" i="27" s="1"/>
  <c r="AA221" i="67"/>
  <c r="Z79" i="27" s="1"/>
  <c r="AB221" i="67"/>
  <c r="AA79" i="27" s="1"/>
  <c r="AC221" i="67"/>
  <c r="AB79" i="27" s="1"/>
  <c r="AD221" i="67"/>
  <c r="AC79" i="27" s="1"/>
  <c r="AE221" i="67"/>
  <c r="AD79" i="27" s="1"/>
  <c r="AF221" i="67"/>
  <c r="AE79" i="27" s="1"/>
  <c r="AG221" i="67"/>
  <c r="AF79" i="27" s="1"/>
  <c r="AH221" i="67"/>
  <c r="AG79" i="27" s="1"/>
  <c r="AI221" i="67"/>
  <c r="AH79" i="27" s="1"/>
  <c r="AJ221" i="67"/>
  <c r="AI79" i="27" s="1"/>
  <c r="AK221" i="67"/>
  <c r="AJ79" i="27" s="1"/>
  <c r="AL221" i="67"/>
  <c r="AK79" i="27" s="1"/>
  <c r="AM221" i="67"/>
  <c r="AL79" i="27" s="1"/>
  <c r="AN221" i="67"/>
  <c r="AM79" i="27" s="1"/>
  <c r="AO221" i="67"/>
  <c r="AN79" i="27" s="1"/>
  <c r="D222" i="67"/>
  <c r="C83" i="27" s="1"/>
  <c r="E222" i="67"/>
  <c r="D83" i="27" s="1"/>
  <c r="F222" i="67"/>
  <c r="E83" i="27" s="1"/>
  <c r="G222" i="67"/>
  <c r="F83" i="27" s="1"/>
  <c r="H222" i="67"/>
  <c r="G83" i="27" s="1"/>
  <c r="I222" i="67"/>
  <c r="H83" i="27" s="1"/>
  <c r="J222" i="67"/>
  <c r="I83" i="27" s="1"/>
  <c r="K222" i="67"/>
  <c r="J83" i="27" s="1"/>
  <c r="L222" i="67"/>
  <c r="K83" i="27" s="1"/>
  <c r="M222" i="67"/>
  <c r="L83" i="27" s="1"/>
  <c r="N222" i="67"/>
  <c r="M83" i="27" s="1"/>
  <c r="O222" i="67"/>
  <c r="N83" i="27" s="1"/>
  <c r="P222" i="67"/>
  <c r="O83" i="27" s="1"/>
  <c r="Q222" i="67"/>
  <c r="P83" i="27" s="1"/>
  <c r="R222" i="67"/>
  <c r="Q83" i="27" s="1"/>
  <c r="S222" i="67"/>
  <c r="R83" i="27" s="1"/>
  <c r="T222" i="67"/>
  <c r="S83" i="27" s="1"/>
  <c r="U222" i="67"/>
  <c r="T83" i="27" s="1"/>
  <c r="V222" i="67"/>
  <c r="U83" i="27" s="1"/>
  <c r="W222" i="67"/>
  <c r="V83" i="27" s="1"/>
  <c r="X222" i="67"/>
  <c r="W83" i="27" s="1"/>
  <c r="Y222" i="67"/>
  <c r="X83" i="27" s="1"/>
  <c r="Z222" i="67"/>
  <c r="Y83" i="27" s="1"/>
  <c r="AA222" i="67"/>
  <c r="Z83" i="27" s="1"/>
  <c r="AB222" i="67"/>
  <c r="AA83" i="27" s="1"/>
  <c r="AC222" i="67"/>
  <c r="AB83" i="27" s="1"/>
  <c r="AD222" i="67"/>
  <c r="AC83" i="27" s="1"/>
  <c r="AE222" i="67"/>
  <c r="AD83" i="27" s="1"/>
  <c r="AF222" i="67"/>
  <c r="AE83" i="27" s="1"/>
  <c r="AG222" i="67"/>
  <c r="AF83" i="27" s="1"/>
  <c r="AH222" i="67"/>
  <c r="AG83" i="27" s="1"/>
  <c r="AI222" i="67"/>
  <c r="AH83" i="27" s="1"/>
  <c r="AJ222" i="67"/>
  <c r="AI83" i="27" s="1"/>
  <c r="AK222" i="67"/>
  <c r="AJ83" i="27" s="1"/>
  <c r="AL222" i="67"/>
  <c r="AK83" i="27" s="1"/>
  <c r="AM222" i="67"/>
  <c r="AL83" i="27" s="1"/>
  <c r="AN222" i="67"/>
  <c r="AM83" i="27" s="1"/>
  <c r="AO222" i="67"/>
  <c r="AN83" i="27" s="1"/>
  <c r="D223" i="67"/>
  <c r="C88" i="27" s="1"/>
  <c r="E223" i="67"/>
  <c r="D88" i="27" s="1"/>
  <c r="F223" i="67"/>
  <c r="E88" i="27" s="1"/>
  <c r="G223" i="67"/>
  <c r="F88" i="27" s="1"/>
  <c r="H223" i="67"/>
  <c r="G88" i="27" s="1"/>
  <c r="I223" i="67"/>
  <c r="H88" i="27" s="1"/>
  <c r="J223" i="67"/>
  <c r="I88" i="27" s="1"/>
  <c r="K223" i="67"/>
  <c r="J88" i="27" s="1"/>
  <c r="L223" i="67"/>
  <c r="K88" i="27" s="1"/>
  <c r="M223" i="67"/>
  <c r="L88" i="27" s="1"/>
  <c r="N223" i="67"/>
  <c r="M88" i="27" s="1"/>
  <c r="O223" i="67"/>
  <c r="N88" i="27" s="1"/>
  <c r="P223" i="67"/>
  <c r="O88" i="27" s="1"/>
  <c r="Q223" i="67"/>
  <c r="P88" i="27" s="1"/>
  <c r="R223" i="67"/>
  <c r="Q88" i="27" s="1"/>
  <c r="S223" i="67"/>
  <c r="R88" i="27" s="1"/>
  <c r="T223" i="67"/>
  <c r="S88" i="27" s="1"/>
  <c r="U223" i="67"/>
  <c r="T88" i="27" s="1"/>
  <c r="V223" i="67"/>
  <c r="U88" i="27" s="1"/>
  <c r="W223" i="67"/>
  <c r="V88" i="27" s="1"/>
  <c r="X223" i="67"/>
  <c r="W88" i="27" s="1"/>
  <c r="Y223" i="67"/>
  <c r="X88" i="27" s="1"/>
  <c r="Z223" i="67"/>
  <c r="Y88" i="27" s="1"/>
  <c r="AA223" i="67"/>
  <c r="Z88" i="27" s="1"/>
  <c r="AB223" i="67"/>
  <c r="AA88" i="27" s="1"/>
  <c r="AC223" i="67"/>
  <c r="AB88" i="27" s="1"/>
  <c r="AD223" i="67"/>
  <c r="AC88" i="27" s="1"/>
  <c r="AE223" i="67"/>
  <c r="AD88" i="27" s="1"/>
  <c r="AF223" i="67"/>
  <c r="AE88" i="27" s="1"/>
  <c r="AG223" i="67"/>
  <c r="AF88" i="27" s="1"/>
  <c r="AH223" i="67"/>
  <c r="AG88" i="27" s="1"/>
  <c r="AI223" i="67"/>
  <c r="AH88" i="27" s="1"/>
  <c r="AJ223" i="67"/>
  <c r="AI88" i="27" s="1"/>
  <c r="AK223" i="67"/>
  <c r="AJ88" i="27" s="1"/>
  <c r="AL223" i="67"/>
  <c r="AK88" i="27" s="1"/>
  <c r="AM223" i="67"/>
  <c r="AL88" i="27" s="1"/>
  <c r="AN223" i="67"/>
  <c r="AM88" i="27" s="1"/>
  <c r="AO223" i="67"/>
  <c r="AN88" i="27" s="1"/>
  <c r="D224" i="67"/>
  <c r="C94" i="27" s="1"/>
  <c r="E224" i="67"/>
  <c r="D94" i="27" s="1"/>
  <c r="F224" i="67"/>
  <c r="E94" i="27" s="1"/>
  <c r="G224" i="67"/>
  <c r="F94" i="27" s="1"/>
  <c r="H224" i="67"/>
  <c r="G94" i="27" s="1"/>
  <c r="I224" i="67"/>
  <c r="H94" i="27" s="1"/>
  <c r="J224" i="67"/>
  <c r="I94" i="27" s="1"/>
  <c r="K224" i="67"/>
  <c r="J94" i="27" s="1"/>
  <c r="L224" i="67"/>
  <c r="K94" i="27" s="1"/>
  <c r="M224" i="67"/>
  <c r="L94" i="27" s="1"/>
  <c r="N224" i="67"/>
  <c r="M94" i="27" s="1"/>
  <c r="O224" i="67"/>
  <c r="N94" i="27" s="1"/>
  <c r="P224" i="67"/>
  <c r="O94" i="27" s="1"/>
  <c r="Q224" i="67"/>
  <c r="P94" i="27" s="1"/>
  <c r="R224" i="67"/>
  <c r="Q94" i="27" s="1"/>
  <c r="S224" i="67"/>
  <c r="R94" i="27" s="1"/>
  <c r="T224" i="67"/>
  <c r="S94" i="27" s="1"/>
  <c r="U224" i="67"/>
  <c r="T94" i="27" s="1"/>
  <c r="V224" i="67"/>
  <c r="U94" i="27" s="1"/>
  <c r="W224" i="67"/>
  <c r="V94" i="27" s="1"/>
  <c r="X224" i="67"/>
  <c r="W94" i="27" s="1"/>
  <c r="Y224" i="67"/>
  <c r="X94" i="27" s="1"/>
  <c r="Z224" i="67"/>
  <c r="Y94" i="27" s="1"/>
  <c r="AA224" i="67"/>
  <c r="Z94" i="27" s="1"/>
  <c r="AB224" i="67"/>
  <c r="AA94" i="27" s="1"/>
  <c r="AC224" i="67"/>
  <c r="AB94" i="27" s="1"/>
  <c r="AD224" i="67"/>
  <c r="AC94" i="27" s="1"/>
  <c r="AE224" i="67"/>
  <c r="AD94" i="27" s="1"/>
  <c r="AF224" i="67"/>
  <c r="AE94" i="27" s="1"/>
  <c r="AG224" i="67"/>
  <c r="AF94" i="27" s="1"/>
  <c r="AH224" i="67"/>
  <c r="AG94" i="27" s="1"/>
  <c r="AI224" i="67"/>
  <c r="AH94" i="27" s="1"/>
  <c r="AJ224" i="67"/>
  <c r="AI94" i="27" s="1"/>
  <c r="AK224" i="67"/>
  <c r="AJ94" i="27" s="1"/>
  <c r="AL224" i="67"/>
  <c r="AK94" i="27" s="1"/>
  <c r="AM224" i="67"/>
  <c r="AL94" i="27" s="1"/>
  <c r="AN224" i="67"/>
  <c r="AM94" i="27" s="1"/>
  <c r="AO224" i="67"/>
  <c r="AN94" i="27" s="1"/>
  <c r="AO7" i="67"/>
  <c r="AN12" i="10" s="1"/>
  <c r="AN7" i="67"/>
  <c r="AM12" i="10" s="1"/>
  <c r="AM7" i="67"/>
  <c r="AL12" i="10" s="1"/>
  <c r="AL7" i="67"/>
  <c r="AK12" i="10" s="1"/>
  <c r="AK7" i="67"/>
  <c r="AJ12" i="10" s="1"/>
  <c r="AJ7" i="67"/>
  <c r="AI12" i="10" s="1"/>
  <c r="AI7" i="67"/>
  <c r="AH12" i="10" s="1"/>
  <c r="AH7" i="67"/>
  <c r="AG12" i="10" s="1"/>
  <c r="AG7" i="67"/>
  <c r="AF12" i="10" s="1"/>
  <c r="AF7" i="67"/>
  <c r="AE12" i="10" s="1"/>
  <c r="AE7" i="67"/>
  <c r="AD12" i="10" s="1"/>
  <c r="AD7" i="67"/>
  <c r="AC12" i="10" s="1"/>
  <c r="AC7" i="67"/>
  <c r="AB12" i="10" s="1"/>
  <c r="AB7" i="67"/>
  <c r="AA12" i="10" s="1"/>
  <c r="AA7" i="67"/>
  <c r="Z12" i="10" s="1"/>
  <c r="Z7" i="67"/>
  <c r="Y12" i="10" s="1"/>
  <c r="Y7" i="67"/>
  <c r="X12" i="10" s="1"/>
  <c r="X7" i="67"/>
  <c r="W12" i="10" s="1"/>
  <c r="W7" i="67"/>
  <c r="V12" i="10" s="1"/>
  <c r="V7" i="67"/>
  <c r="U12" i="10" s="1"/>
  <c r="U7" i="67"/>
  <c r="T12" i="10" s="1"/>
  <c r="T7" i="67"/>
  <c r="S12" i="10" s="1"/>
  <c r="S7" i="67"/>
  <c r="R12" i="10" s="1"/>
  <c r="R7" i="67"/>
  <c r="Q12" i="10" s="1"/>
  <c r="Q7" i="67"/>
  <c r="P12" i="10" s="1"/>
  <c r="P7" i="67"/>
  <c r="O12" i="10" s="1"/>
  <c r="O7" i="67"/>
  <c r="N12" i="10" s="1"/>
  <c r="N7" i="67"/>
  <c r="M12" i="10" s="1"/>
  <c r="M7" i="67"/>
  <c r="L12" i="10" s="1"/>
  <c r="L7" i="67"/>
  <c r="K12" i="10" s="1"/>
  <c r="K7" i="67"/>
  <c r="J12" i="10" s="1"/>
  <c r="J7" i="67"/>
  <c r="I12" i="10" s="1"/>
  <c r="I7" i="67"/>
  <c r="H12" i="10" s="1"/>
  <c r="H7" i="67"/>
  <c r="G12" i="10" s="1"/>
  <c r="G7" i="67"/>
  <c r="F12" i="10" s="1"/>
  <c r="F7" i="67"/>
  <c r="E12" i="10" s="1"/>
  <c r="E7" i="67"/>
  <c r="D12" i="10" s="1"/>
  <c r="D7" i="67"/>
  <c r="C12" i="10" s="1"/>
  <c r="C7" i="67"/>
  <c r="B12" i="10" s="1"/>
  <c r="AH12" i="17" l="1"/>
  <c r="AU12" i="17" s="1"/>
  <c r="AH12" i="21"/>
  <c r="AU12" i="21" s="1"/>
  <c r="AH12" i="26"/>
  <c r="AU12" i="26" s="1"/>
  <c r="AH12" i="13"/>
  <c r="AU12" i="13" s="1"/>
  <c r="AH12" i="14"/>
  <c r="AU12" i="14" s="1"/>
  <c r="AH12" i="20"/>
  <c r="AU12" i="20" s="1"/>
  <c r="AH12" i="16"/>
  <c r="AU12" i="16" s="1"/>
  <c r="AU12" i="18"/>
  <c r="AU12" i="15"/>
  <c r="AU12" i="11"/>
  <c r="AU12" i="27"/>
  <c r="AU12" i="22"/>
  <c r="AU12" i="19"/>
  <c r="AU12" i="30"/>
  <c r="AU12" i="23"/>
  <c r="AU12" i="12"/>
  <c r="AU12" i="10"/>
  <c r="AU12" i="25"/>
  <c r="AU12" i="24"/>
  <c r="AO4" i="67"/>
  <c r="AB4" i="67"/>
  <c r="O4" i="67"/>
  <c r="D274" i="3"/>
  <c r="E274" i="3"/>
  <c r="F274" i="3"/>
  <c r="G274" i="3"/>
  <c r="H274" i="3"/>
  <c r="I274" i="3"/>
  <c r="J274" i="3"/>
  <c r="K274" i="3"/>
  <c r="C274" i="3"/>
  <c r="BO86" i="23" l="1"/>
  <c r="BO75" i="23"/>
  <c r="BO57" i="23"/>
  <c r="BO43" i="23"/>
  <c r="BO29" i="23"/>
  <c r="BO7" i="23"/>
  <c r="BU87" i="11"/>
  <c r="BT87" i="11"/>
  <c r="BO86" i="13"/>
  <c r="BO75" i="13"/>
  <c r="BO43" i="13"/>
  <c r="BO29" i="13"/>
  <c r="BO7" i="13"/>
  <c r="BV87" i="11" l="1"/>
  <c r="AU7" i="30" l="1"/>
  <c r="AV7" i="30"/>
  <c r="AW7" i="30"/>
  <c r="AX7" i="30"/>
  <c r="AY7" i="30"/>
  <c r="AZ7" i="30"/>
  <c r="AV12" i="30"/>
  <c r="AW12" i="30"/>
  <c r="AX12" i="30"/>
  <c r="AY12" i="30"/>
  <c r="AZ12" i="30"/>
  <c r="AU29" i="30"/>
  <c r="AV29" i="30"/>
  <c r="AW29" i="30"/>
  <c r="AX29" i="30"/>
  <c r="AY29" i="30"/>
  <c r="AZ29" i="30"/>
  <c r="AU34" i="30"/>
  <c r="AV34" i="30"/>
  <c r="AW34" i="30"/>
  <c r="AX34" i="30"/>
  <c r="AY34" i="30"/>
  <c r="AZ34" i="30"/>
  <c r="AU43" i="30"/>
  <c r="AV43" i="30"/>
  <c r="AW43" i="30"/>
  <c r="AX43" i="30"/>
  <c r="AY43" i="30"/>
  <c r="AZ43" i="30"/>
  <c r="BA43" i="30" s="1"/>
  <c r="BA45" i="30"/>
  <c r="BA46" i="30"/>
  <c r="AU48" i="30"/>
  <c r="AV48" i="30"/>
  <c r="AW48" i="30"/>
  <c r="AW47" i="30" s="1"/>
  <c r="AW44" i="30" s="1"/>
  <c r="AX48" i="30"/>
  <c r="AX47" i="30" s="1"/>
  <c r="AX44" i="30" s="1"/>
  <c r="AY48" i="30"/>
  <c r="AY47" i="30" s="1"/>
  <c r="AZ48" i="30"/>
  <c r="AU75" i="30"/>
  <c r="AV75" i="30"/>
  <c r="AW75" i="30"/>
  <c r="AX75" i="30"/>
  <c r="AY75" i="30"/>
  <c r="AZ75" i="30"/>
  <c r="AU79" i="30"/>
  <c r="AV79" i="30"/>
  <c r="AW79" i="30"/>
  <c r="AX79" i="30"/>
  <c r="AY79" i="30"/>
  <c r="AZ79" i="30"/>
  <c r="AU81" i="30"/>
  <c r="AU83" i="30"/>
  <c r="AV83" i="30"/>
  <c r="AW83" i="30"/>
  <c r="AX83" i="30"/>
  <c r="AY83" i="30"/>
  <c r="AZ83" i="30"/>
  <c r="AU86" i="30"/>
  <c r="AV86" i="30"/>
  <c r="AW86" i="30"/>
  <c r="AX86" i="30"/>
  <c r="AY86" i="30"/>
  <c r="AZ86" i="30"/>
  <c r="AU88" i="30"/>
  <c r="AV88" i="30"/>
  <c r="AW88" i="30"/>
  <c r="AX88" i="30"/>
  <c r="AY88" i="30"/>
  <c r="AZ88" i="30"/>
  <c r="BA93" i="30"/>
  <c r="AU94" i="30"/>
  <c r="AV94" i="30"/>
  <c r="AW94" i="30"/>
  <c r="AX94" i="30"/>
  <c r="AY94" i="30"/>
  <c r="AZ94" i="30"/>
  <c r="AU99" i="30"/>
  <c r="AV99" i="30"/>
  <c r="AW99" i="30"/>
  <c r="AX99" i="30"/>
  <c r="AY99" i="30"/>
  <c r="AZ99" i="30"/>
  <c r="BA99" i="30"/>
  <c r="AU102" i="30"/>
  <c r="AV102" i="30"/>
  <c r="AW102" i="30"/>
  <c r="AX102" i="30"/>
  <c r="AY102" i="30"/>
  <c r="AZ102" i="30"/>
  <c r="BA102" i="30"/>
  <c r="AU104" i="30"/>
  <c r="AV104" i="30"/>
  <c r="AW104" i="30"/>
  <c r="AX104" i="30"/>
  <c r="AY104" i="30"/>
  <c r="AZ104" i="30"/>
  <c r="BA104" i="30"/>
  <c r="AU109" i="30"/>
  <c r="AV109" i="30"/>
  <c r="AW109" i="30"/>
  <c r="AX109" i="30"/>
  <c r="AY109" i="30"/>
  <c r="AZ109" i="30"/>
  <c r="BA109" i="30"/>
  <c r="AU112" i="30"/>
  <c r="AV112" i="30"/>
  <c r="AW112" i="30"/>
  <c r="AX112" i="30"/>
  <c r="AY112" i="30"/>
  <c r="AZ112" i="30"/>
  <c r="BA112" i="30"/>
  <c r="AU114" i="30"/>
  <c r="AV114" i="30"/>
  <c r="AW114" i="30"/>
  <c r="AX114" i="30"/>
  <c r="AY114" i="30"/>
  <c r="AZ114" i="30"/>
  <c r="AV119" i="30"/>
  <c r="AW119" i="30" s="1"/>
  <c r="AX119" i="30" s="1"/>
  <c r="AU122" i="30"/>
  <c r="AV122" i="30"/>
  <c r="AU123" i="30"/>
  <c r="AV123" i="30"/>
  <c r="AU125" i="30"/>
  <c r="AV125" i="30" s="1"/>
  <c r="AU128" i="30"/>
  <c r="AU129" i="30"/>
  <c r="AT132" i="30"/>
  <c r="BJ88" i="23"/>
  <c r="BK88" i="23"/>
  <c r="BL88" i="23"/>
  <c r="BM88" i="23"/>
  <c r="BJ79" i="23"/>
  <c r="BK79" i="23"/>
  <c r="BL79" i="23"/>
  <c r="BM79" i="23"/>
  <c r="BJ48" i="23"/>
  <c r="BK48" i="23"/>
  <c r="BL48" i="23"/>
  <c r="BM48" i="23"/>
  <c r="BJ34" i="23"/>
  <c r="BK34" i="23"/>
  <c r="BL34" i="23"/>
  <c r="BM34" i="23"/>
  <c r="BJ12" i="23"/>
  <c r="BK12" i="23"/>
  <c r="BL12" i="23"/>
  <c r="BM12" i="23"/>
  <c r="BG88" i="13"/>
  <c r="BH88" i="13"/>
  <c r="BI88" i="13"/>
  <c r="BJ88" i="13"/>
  <c r="BK88" i="13"/>
  <c r="BL88" i="13"/>
  <c r="BM88" i="13"/>
  <c r="BG79" i="13"/>
  <c r="BH79" i="13"/>
  <c r="BI79" i="13"/>
  <c r="BJ79" i="13"/>
  <c r="BK79" i="13"/>
  <c r="BL79" i="13"/>
  <c r="BM79" i="13"/>
  <c r="BG48" i="13"/>
  <c r="BH48" i="13"/>
  <c r="BI48" i="13"/>
  <c r="BJ48" i="13"/>
  <c r="BK48" i="13"/>
  <c r="BL48" i="13"/>
  <c r="BM48" i="13"/>
  <c r="BG34" i="13"/>
  <c r="BH34" i="13"/>
  <c r="BI34" i="13"/>
  <c r="BJ34" i="13"/>
  <c r="BK34" i="13"/>
  <c r="BL34" i="13"/>
  <c r="BM34" i="13"/>
  <c r="BG12" i="13"/>
  <c r="BH12" i="13"/>
  <c r="BI12" i="13"/>
  <c r="BJ12" i="13"/>
  <c r="BK12" i="13"/>
  <c r="BL12" i="13"/>
  <c r="BM12" i="13"/>
  <c r="BK88" i="11"/>
  <c r="BL88" i="11"/>
  <c r="BM88" i="11"/>
  <c r="BK79" i="11"/>
  <c r="BL79" i="11"/>
  <c r="BM79" i="11"/>
  <c r="BK48" i="11"/>
  <c r="BL48" i="11"/>
  <c r="BM48" i="11"/>
  <c r="BK34" i="11"/>
  <c r="BL34" i="11"/>
  <c r="BM34" i="11"/>
  <c r="BK12" i="11"/>
  <c r="BL12" i="11"/>
  <c r="BM12" i="11"/>
  <c r="AX105" i="30" l="1"/>
  <c r="AU115" i="30"/>
  <c r="AV87" i="30"/>
  <c r="AV89" i="30" s="1"/>
  <c r="AW11" i="30"/>
  <c r="AW9" i="30" s="1"/>
  <c r="AV11" i="30"/>
  <c r="AV8" i="30" s="1"/>
  <c r="AU105" i="30"/>
  <c r="AX33" i="30"/>
  <c r="AX31" i="30" s="1"/>
  <c r="AY33" i="30"/>
  <c r="AY30" i="30" s="1"/>
  <c r="AW105" i="30"/>
  <c r="AV105" i="30"/>
  <c r="AU100" i="30"/>
  <c r="AX11" i="30"/>
  <c r="AX9" i="30" s="1"/>
  <c r="AU98" i="30"/>
  <c r="AW33" i="30"/>
  <c r="AW32" i="30" s="1"/>
  <c r="AU11" i="30"/>
  <c r="AU8" i="30" s="1"/>
  <c r="BA7" i="30"/>
  <c r="AW87" i="30"/>
  <c r="AW89" i="30" s="1"/>
  <c r="AZ78" i="30"/>
  <c r="AZ76" i="30" s="1"/>
  <c r="AZ33" i="30"/>
  <c r="AZ31" i="30" s="1"/>
  <c r="AU78" i="30"/>
  <c r="AU76" i="30" s="1"/>
  <c r="AU77" i="30" s="1"/>
  <c r="AY87" i="30"/>
  <c r="AY89" i="30" s="1"/>
  <c r="AZ11" i="30"/>
  <c r="AZ9" i="30" s="1"/>
  <c r="AX87" i="30"/>
  <c r="AX89" i="30" s="1"/>
  <c r="AY11" i="30"/>
  <c r="AY10" i="30" s="1"/>
  <c r="AU124" i="30"/>
  <c r="AU47" i="30"/>
  <c r="AU44" i="30" s="1"/>
  <c r="AZ115" i="30"/>
  <c r="AY115" i="30"/>
  <c r="AU87" i="30"/>
  <c r="AU89" i="30" s="1"/>
  <c r="BA29" i="30"/>
  <c r="AW78" i="30"/>
  <c r="AV78" i="30"/>
  <c r="AV76" i="30" s="1"/>
  <c r="BA105" i="30"/>
  <c r="AV47" i="30"/>
  <c r="AV44" i="30" s="1"/>
  <c r="AZ105" i="30"/>
  <c r="AY105" i="30"/>
  <c r="AX78" i="30"/>
  <c r="AX76" i="30" s="1"/>
  <c r="AY98" i="30"/>
  <c r="AY78" i="30"/>
  <c r="AY76" i="30" s="1"/>
  <c r="AX115" i="30"/>
  <c r="BA75" i="30"/>
  <c r="AZ47" i="30"/>
  <c r="AZ44" i="30" s="1"/>
  <c r="AV33" i="30"/>
  <c r="AV30" i="30" s="1"/>
  <c r="AW115" i="30"/>
  <c r="AV115" i="30"/>
  <c r="AZ98" i="30"/>
  <c r="AU33" i="30"/>
  <c r="AU30" i="30" s="1"/>
  <c r="AZ87" i="30"/>
  <c r="AZ89" i="30" s="1"/>
  <c r="AX98" i="30"/>
  <c r="AW98" i="30"/>
  <c r="BA86" i="30"/>
  <c r="AX10" i="30"/>
  <c r="BA114" i="30"/>
  <c r="BA115" i="30" s="1"/>
  <c r="AV98" i="30"/>
  <c r="AY44" i="30"/>
  <c r="AV81" i="30"/>
  <c r="AV100" i="30" s="1"/>
  <c r="AW125" i="30"/>
  <c r="AV127" i="30"/>
  <c r="AW129" i="30" s="1"/>
  <c r="AV126" i="30"/>
  <c r="AY119" i="30"/>
  <c r="AU126" i="30"/>
  <c r="AU127" i="30"/>
  <c r="AV129" i="30" s="1"/>
  <c r="AX32" i="30" l="1"/>
  <c r="AV10" i="30"/>
  <c r="AV9" i="30"/>
  <c r="AX30" i="30"/>
  <c r="AU101" i="30"/>
  <c r="AU106" i="30" s="1"/>
  <c r="AY32" i="30"/>
  <c r="AY31" i="30"/>
  <c r="AW10" i="30"/>
  <c r="AW108" i="30"/>
  <c r="AV120" i="30" s="1"/>
  <c r="AW8" i="30"/>
  <c r="AX8" i="30"/>
  <c r="AX108" i="30"/>
  <c r="AW120" i="30" s="1"/>
  <c r="AX122" i="30" s="1"/>
  <c r="AU10" i="30"/>
  <c r="AU9" i="30"/>
  <c r="AZ30" i="30"/>
  <c r="AZ32" i="30"/>
  <c r="BA98" i="30"/>
  <c r="AW110" i="30"/>
  <c r="AV121" i="30" s="1"/>
  <c r="AW123" i="30" s="1"/>
  <c r="AU31" i="30"/>
  <c r="AZ110" i="30"/>
  <c r="AY121" i="30" s="1"/>
  <c r="AZ123" i="30" s="1"/>
  <c r="AW30" i="30"/>
  <c r="AZ10" i="30"/>
  <c r="AW31" i="30"/>
  <c r="AY110" i="30"/>
  <c r="AX121" i="30" s="1"/>
  <c r="AY123" i="30" s="1"/>
  <c r="AZ8" i="30"/>
  <c r="BA78" i="30"/>
  <c r="BA79" i="30" s="1"/>
  <c r="BA94" i="30"/>
  <c r="AV110" i="30"/>
  <c r="AW76" i="30"/>
  <c r="AU32" i="30"/>
  <c r="BA87" i="30"/>
  <c r="BA88" i="30" s="1"/>
  <c r="AU110" i="30"/>
  <c r="BA11" i="30"/>
  <c r="BA12" i="30" s="1"/>
  <c r="AV31" i="30"/>
  <c r="AX110" i="30"/>
  <c r="AW121" i="30" s="1"/>
  <c r="AX123" i="30" s="1"/>
  <c r="AV32" i="30"/>
  <c r="AY9" i="30"/>
  <c r="AY8" i="30"/>
  <c r="AY108" i="30"/>
  <c r="AX120" i="30" s="1"/>
  <c r="AY122" i="30" s="1"/>
  <c r="BA47" i="30"/>
  <c r="BA48" i="30" s="1"/>
  <c r="AZ108" i="30"/>
  <c r="BA33" i="30"/>
  <c r="BA34" i="30" s="1"/>
  <c r="AV108" i="30"/>
  <c r="AU108" i="30"/>
  <c r="AY77" i="30"/>
  <c r="BA44" i="30"/>
  <c r="AW81" i="30"/>
  <c r="AW100" i="30" s="1"/>
  <c r="AV101" i="30"/>
  <c r="AV106" i="30" s="1"/>
  <c r="AX77" i="30"/>
  <c r="AZ77" i="30"/>
  <c r="AV77" i="30"/>
  <c r="AW128" i="30"/>
  <c r="AW126" i="30"/>
  <c r="AX125" i="30"/>
  <c r="AW127" i="30"/>
  <c r="AX129" i="30" s="1"/>
  <c r="AZ119" i="30"/>
  <c r="AV128" i="30"/>
  <c r="AV130" i="30" s="1"/>
  <c r="AU130" i="30"/>
  <c r="BA30" i="30" l="1"/>
  <c r="AW111" i="30"/>
  <c r="AW116" i="30" s="1"/>
  <c r="BA76" i="30"/>
  <c r="BA10" i="30"/>
  <c r="AV124" i="30"/>
  <c r="AZ111" i="30"/>
  <c r="AZ116" i="30" s="1"/>
  <c r="AW77" i="30"/>
  <c r="BA9" i="30"/>
  <c r="BA110" i="30"/>
  <c r="AV111" i="30"/>
  <c r="AV116" i="30" s="1"/>
  <c r="BA31" i="30"/>
  <c r="BA32" i="30"/>
  <c r="AY111" i="30"/>
  <c r="AY116" i="30" s="1"/>
  <c r="AU111" i="30"/>
  <c r="AU132" i="30" s="1"/>
  <c r="AX124" i="30"/>
  <c r="AX111" i="30"/>
  <c r="AX116" i="30" s="1"/>
  <c r="AY120" i="30"/>
  <c r="AZ122" i="30" s="1"/>
  <c r="BA8" i="30"/>
  <c r="AW122" i="30"/>
  <c r="AW124" i="30" s="1"/>
  <c r="BA108" i="30"/>
  <c r="AX81" i="30"/>
  <c r="AX100" i="30" s="1"/>
  <c r="AW101" i="30"/>
  <c r="AW106" i="30" s="1"/>
  <c r="AW130" i="30"/>
  <c r="AX128" i="30"/>
  <c r="AX126" i="30"/>
  <c r="AY125" i="30"/>
  <c r="AX127" i="30"/>
  <c r="AY129" i="30" s="1"/>
  <c r="AW132" i="30" l="1"/>
  <c r="BA77" i="30"/>
  <c r="BA111" i="30"/>
  <c r="BA116" i="30" s="1"/>
  <c r="AX132" i="30"/>
  <c r="AV132" i="30"/>
  <c r="AU116" i="30"/>
  <c r="AY124" i="30"/>
  <c r="AY132" i="30" s="1"/>
  <c r="BA83" i="30"/>
  <c r="AY81" i="30"/>
  <c r="AY100" i="30" s="1"/>
  <c r="AX101" i="30"/>
  <c r="AX106" i="30" s="1"/>
  <c r="AY126" i="30"/>
  <c r="AZ125" i="30"/>
  <c r="AY127" i="30"/>
  <c r="AZ129" i="30" s="1"/>
  <c r="AX130" i="30"/>
  <c r="AY128" i="30"/>
  <c r="AZ81" i="30" l="1"/>
  <c r="AZ100" i="30" s="1"/>
  <c r="AY101" i="30"/>
  <c r="AY106" i="30" s="1"/>
  <c r="AZ127" i="30"/>
  <c r="AZ126" i="30"/>
  <c r="AY130" i="30"/>
  <c r="AZ128" i="30"/>
  <c r="AZ101" i="30" l="1"/>
  <c r="AZ106" i="30" s="1"/>
  <c r="BA81" i="30"/>
  <c r="AZ130" i="30"/>
  <c r="BA100" i="30" l="1"/>
  <c r="BA101" i="30" s="1"/>
  <c r="BA106" i="30" s="1"/>
  <c r="BH27" i="12"/>
  <c r="BK27" i="12"/>
  <c r="BK27" i="21"/>
  <c r="BH27" i="21"/>
  <c r="BK27" i="16"/>
  <c r="BH27" i="16"/>
  <c r="AU27" i="12" l="1"/>
  <c r="AX27" i="12"/>
  <c r="AX27" i="21" l="1"/>
  <c r="D16" i="3" l="1"/>
  <c r="D220" i="3" s="1"/>
  <c r="D276" i="3" s="1"/>
  <c r="E16" i="3"/>
  <c r="E220" i="3" s="1"/>
  <c r="E276" i="3" s="1"/>
  <c r="F16" i="3"/>
  <c r="F220" i="3" s="1"/>
  <c r="F276" i="3" s="1"/>
  <c r="G16" i="3"/>
  <c r="G220" i="3" s="1"/>
  <c r="G276" i="3" s="1"/>
  <c r="H16" i="3"/>
  <c r="H220" i="3" s="1"/>
  <c r="H276" i="3" s="1"/>
  <c r="I16" i="3"/>
  <c r="I220" i="3" s="1"/>
  <c r="I276" i="3" s="1"/>
  <c r="J16" i="3"/>
  <c r="J220" i="3" s="1"/>
  <c r="J276" i="3" s="1"/>
  <c r="K16" i="3"/>
  <c r="K220" i="3" s="1"/>
  <c r="K276" i="3" s="1"/>
  <c r="L16" i="3"/>
  <c r="L220" i="3" s="1"/>
  <c r="L276" i="3" s="1"/>
  <c r="C16" i="3"/>
  <c r="C220" i="3" s="1"/>
  <c r="C276" i="3" s="1"/>
  <c r="AU129" i="29" l="1"/>
  <c r="AU94" i="29" l="1"/>
  <c r="BR88" i="26" l="1"/>
  <c r="BS88" i="26" s="1"/>
  <c r="BT83" i="25"/>
  <c r="BT88" i="25" s="1"/>
  <c r="BT88" i="17"/>
  <c r="BT88" i="26" l="1"/>
  <c r="BU88" i="26" l="1"/>
  <c r="AU88" i="27" l="1"/>
  <c r="AT88" i="27"/>
  <c r="AU79" i="27"/>
  <c r="AT79" i="27"/>
  <c r="AU48" i="27"/>
  <c r="AT48" i="27"/>
  <c r="AU34" i="27"/>
  <c r="AT34" i="27"/>
  <c r="AT12" i="27"/>
  <c r="AT132" i="15" l="1"/>
  <c r="AT132" i="16"/>
  <c r="AT132" i="21"/>
  <c r="AT132" i="24"/>
  <c r="AT132" i="14"/>
  <c r="AT132" i="19"/>
  <c r="AT132" i="20"/>
  <c r="AT132" i="27"/>
  <c r="AT132" i="11"/>
  <c r="AT132" i="13"/>
  <c r="AT132" i="18"/>
  <c r="AT132" i="29"/>
  <c r="AT132" i="31"/>
  <c r="AT132" i="23"/>
  <c r="AT132" i="26"/>
  <c r="BN132" i="28"/>
  <c r="AT132" i="28"/>
  <c r="BN132" i="36"/>
  <c r="AT132" i="36"/>
  <c r="AT132" i="17"/>
  <c r="AT132" i="22"/>
  <c r="AT132" i="25"/>
  <c r="AT132" i="12"/>
  <c r="AU129" i="18" l="1"/>
  <c r="AU128" i="18"/>
  <c r="AU125" i="18"/>
  <c r="AV125" i="18" s="1"/>
  <c r="AU123" i="18"/>
  <c r="AU122" i="18"/>
  <c r="AV123" i="18"/>
  <c r="AV122" i="18"/>
  <c r="AV119" i="18"/>
  <c r="AU128" i="29"/>
  <c r="AV125" i="29"/>
  <c r="AU123" i="29"/>
  <c r="AU122" i="29"/>
  <c r="AV119" i="29"/>
  <c r="AW119" i="29" s="1"/>
  <c r="AU129" i="23"/>
  <c r="AU128" i="23"/>
  <c r="AU125" i="23"/>
  <c r="AV125" i="23" s="1"/>
  <c r="AU123" i="23"/>
  <c r="AU122" i="23"/>
  <c r="AV123" i="23"/>
  <c r="AV122" i="23"/>
  <c r="AV119" i="23"/>
  <c r="AU129" i="26"/>
  <c r="AU128" i="26"/>
  <c r="AU125" i="26"/>
  <c r="AV125" i="26" s="1"/>
  <c r="AU123" i="26"/>
  <c r="AU122" i="26"/>
  <c r="AV123" i="26"/>
  <c r="AV122" i="26"/>
  <c r="AV119" i="26"/>
  <c r="AW119" i="26" s="1"/>
  <c r="AX119" i="26" s="1"/>
  <c r="AU129" i="28"/>
  <c r="AU128" i="28"/>
  <c r="AU125" i="28"/>
  <c r="AV125" i="28" s="1"/>
  <c r="AW125" i="28" s="1"/>
  <c r="AW127" i="28" s="1"/>
  <c r="AX129" i="28" s="1"/>
  <c r="AU123" i="28"/>
  <c r="AU122" i="28"/>
  <c r="AU121" i="28"/>
  <c r="AV123" i="28" s="1"/>
  <c r="AU120" i="28"/>
  <c r="AV119" i="28"/>
  <c r="AW119" i="28" s="1"/>
  <c r="AU129" i="36"/>
  <c r="AU128" i="36"/>
  <c r="AU125" i="36"/>
  <c r="AV125" i="36" s="1"/>
  <c r="AV126" i="36" s="1"/>
  <c r="AW128" i="36" s="1"/>
  <c r="AU123" i="36"/>
  <c r="AU122" i="36"/>
  <c r="AU121" i="36"/>
  <c r="AV123" i="36" s="1"/>
  <c r="AU120" i="36"/>
  <c r="AV122" i="36" s="1"/>
  <c r="AV119" i="36"/>
  <c r="AU129" i="17"/>
  <c r="AU128" i="17"/>
  <c r="AU125" i="17"/>
  <c r="AV125" i="17" s="1"/>
  <c r="AU123" i="17"/>
  <c r="AU122" i="17"/>
  <c r="AV123" i="17"/>
  <c r="AV122" i="17"/>
  <c r="AV119" i="17"/>
  <c r="AW119" i="17" s="1"/>
  <c r="AU129" i="22"/>
  <c r="AU128" i="22"/>
  <c r="AU125" i="22"/>
  <c r="AU123" i="22"/>
  <c r="AU122" i="22"/>
  <c r="AV123" i="22"/>
  <c r="AV119" i="22"/>
  <c r="AW119" i="22" s="1"/>
  <c r="AX119" i="22" s="1"/>
  <c r="AU129" i="25"/>
  <c r="AU128" i="25"/>
  <c r="AU125" i="25"/>
  <c r="AV125" i="25" s="1"/>
  <c r="AU123" i="25"/>
  <c r="AU122" i="25"/>
  <c r="AV123" i="25"/>
  <c r="AV122" i="25"/>
  <c r="AV119" i="25"/>
  <c r="AU129" i="13"/>
  <c r="AU128" i="13"/>
  <c r="AU125" i="13"/>
  <c r="AV125" i="13" s="1"/>
  <c r="AU123" i="13"/>
  <c r="AU122" i="13"/>
  <c r="AV123" i="13"/>
  <c r="AV122" i="13"/>
  <c r="AV119" i="13"/>
  <c r="AW119" i="13" s="1"/>
  <c r="AU125" i="11"/>
  <c r="AU126" i="28" l="1"/>
  <c r="AV128" i="28" s="1"/>
  <c r="AV127" i="28"/>
  <c r="AW129" i="28" s="1"/>
  <c r="AY119" i="22"/>
  <c r="AV125" i="22"/>
  <c r="AU126" i="36"/>
  <c r="AV128" i="36" s="1"/>
  <c r="AV127" i="36"/>
  <c r="AW129" i="36" s="1"/>
  <c r="AV126" i="28"/>
  <c r="AW128" i="28" s="1"/>
  <c r="AU132" i="31"/>
  <c r="AU127" i="28"/>
  <c r="AV129" i="28" s="1"/>
  <c r="AW125" i="25"/>
  <c r="AX125" i="25" s="1"/>
  <c r="AU124" i="25"/>
  <c r="AX119" i="17"/>
  <c r="AY119" i="17" s="1"/>
  <c r="AW125" i="36"/>
  <c r="AX125" i="36" s="1"/>
  <c r="AY125" i="36" s="1"/>
  <c r="AZ125" i="36" s="1"/>
  <c r="AU124" i="26"/>
  <c r="AW125" i="23"/>
  <c r="AU124" i="23"/>
  <c r="AW125" i="29"/>
  <c r="AX119" i="13"/>
  <c r="AY119" i="13" s="1"/>
  <c r="AU124" i="13"/>
  <c r="AW125" i="13"/>
  <c r="AW119" i="36"/>
  <c r="AV120" i="36"/>
  <c r="AV121" i="36"/>
  <c r="AW123" i="36" s="1"/>
  <c r="AV122" i="22"/>
  <c r="AU124" i="22"/>
  <c r="AY125" i="25"/>
  <c r="AX119" i="28"/>
  <c r="AW120" i="28"/>
  <c r="AW121" i="28"/>
  <c r="AX123" i="28" s="1"/>
  <c r="AW119" i="25"/>
  <c r="AZ119" i="22"/>
  <c r="AW125" i="17"/>
  <c r="AU124" i="17"/>
  <c r="AV122" i="28"/>
  <c r="AU124" i="28"/>
  <c r="AU132" i="28" s="1"/>
  <c r="AV121" i="28"/>
  <c r="AW123" i="28" s="1"/>
  <c r="AV120" i="28"/>
  <c r="AU124" i="36"/>
  <c r="AU132" i="36" s="1"/>
  <c r="AX125" i="28"/>
  <c r="AW126" i="28"/>
  <c r="AU127" i="36"/>
  <c r="AV129" i="36" s="1"/>
  <c r="AW125" i="26"/>
  <c r="AY119" i="26"/>
  <c r="AW119" i="23"/>
  <c r="AX119" i="29"/>
  <c r="AV129" i="29"/>
  <c r="AW119" i="18"/>
  <c r="AU124" i="18"/>
  <c r="AW125" i="18"/>
  <c r="AW127" i="36" l="1"/>
  <c r="AX129" i="36" s="1"/>
  <c r="AY127" i="36"/>
  <c r="AZ129" i="36" s="1"/>
  <c r="AY126" i="36"/>
  <c r="AZ128" i="36" s="1"/>
  <c r="AW126" i="36"/>
  <c r="AX127" i="36"/>
  <c r="AY129" i="36" s="1"/>
  <c r="AV130" i="36"/>
  <c r="AV130" i="28"/>
  <c r="AU130" i="28"/>
  <c r="AX126" i="36"/>
  <c r="AY128" i="36" s="1"/>
  <c r="AW125" i="22"/>
  <c r="AX125" i="22" s="1"/>
  <c r="AY125" i="22" s="1"/>
  <c r="AV132" i="31"/>
  <c r="AX125" i="23"/>
  <c r="AY125" i="23" s="1"/>
  <c r="AX125" i="29"/>
  <c r="AW130" i="28"/>
  <c r="AX128" i="28"/>
  <c r="AV124" i="36"/>
  <c r="AV132" i="36" s="1"/>
  <c r="AW122" i="36"/>
  <c r="AX132" i="31"/>
  <c r="AW132" i="31"/>
  <c r="AY125" i="28"/>
  <c r="AX127" i="28"/>
  <c r="AY129" i="28" s="1"/>
  <c r="AX126" i="28"/>
  <c r="AZ127" i="36"/>
  <c r="AZ126" i="36"/>
  <c r="AX119" i="25"/>
  <c r="AX119" i="36"/>
  <c r="AW121" i="36"/>
  <c r="AX123" i="36" s="1"/>
  <c r="AW120" i="36"/>
  <c r="AZ119" i="26"/>
  <c r="AX125" i="26"/>
  <c r="AY119" i="29"/>
  <c r="AX128" i="36"/>
  <c r="AU130" i="36"/>
  <c r="AX125" i="17"/>
  <c r="AX122" i="28"/>
  <c r="AW122" i="28"/>
  <c r="AW124" i="28" s="1"/>
  <c r="AW132" i="28" s="1"/>
  <c r="AV124" i="28"/>
  <c r="AV132" i="28" s="1"/>
  <c r="AZ119" i="17"/>
  <c r="AZ119" i="13"/>
  <c r="AZ125" i="25"/>
  <c r="AX125" i="18"/>
  <c r="AX119" i="18"/>
  <c r="AX119" i="23"/>
  <c r="AY119" i="28"/>
  <c r="AX120" i="28"/>
  <c r="AX121" i="28"/>
  <c r="AY123" i="28" s="1"/>
  <c r="AX125" i="13"/>
  <c r="AW130" i="36" l="1"/>
  <c r="AX130" i="36"/>
  <c r="AY130" i="36"/>
  <c r="AY125" i="29"/>
  <c r="AY119" i="18"/>
  <c r="AY125" i="18"/>
  <c r="AY125" i="26"/>
  <c r="AZ119" i="28"/>
  <c r="AY120" i="28"/>
  <c r="AY121" i="28"/>
  <c r="AZ123" i="28" s="1"/>
  <c r="AY125" i="17"/>
  <c r="AY119" i="25"/>
  <c r="AY125" i="13"/>
  <c r="AX122" i="36"/>
  <c r="AW124" i="36"/>
  <c r="AW132" i="36" s="1"/>
  <c r="AY128" i="28"/>
  <c r="AX130" i="28"/>
  <c r="AY119" i="23"/>
  <c r="AZ125" i="22"/>
  <c r="AX124" i="28"/>
  <c r="AX132" i="28" s="1"/>
  <c r="AY122" i="28"/>
  <c r="AY132" i="31"/>
  <c r="AZ125" i="23"/>
  <c r="AX120" i="36"/>
  <c r="AX121" i="36"/>
  <c r="AY123" i="36" s="1"/>
  <c r="AY119" i="36"/>
  <c r="AY126" i="28"/>
  <c r="AY127" i="28"/>
  <c r="AZ129" i="28" s="1"/>
  <c r="AZ125" i="28"/>
  <c r="AZ119" i="29"/>
  <c r="AZ130" i="36"/>
  <c r="AZ125" i="29" l="1"/>
  <c r="AZ121" i="28"/>
  <c r="AZ120" i="28"/>
  <c r="AZ125" i="26"/>
  <c r="AZ119" i="18"/>
  <c r="AZ126" i="28"/>
  <c r="AZ127" i="28"/>
  <c r="AZ132" i="31"/>
  <c r="BA132" i="31" s="1"/>
  <c r="AZ125" i="13"/>
  <c r="AZ125" i="18"/>
  <c r="AZ128" i="28"/>
  <c r="AY130" i="28"/>
  <c r="AY120" i="36"/>
  <c r="AY121" i="36"/>
  <c r="AZ123" i="36" s="1"/>
  <c r="AZ119" i="36"/>
  <c r="AZ125" i="17"/>
  <c r="AZ119" i="25"/>
  <c r="AZ119" i="23"/>
  <c r="AY122" i="36"/>
  <c r="AX124" i="36"/>
  <c r="AX132" i="36" s="1"/>
  <c r="AZ122" i="28"/>
  <c r="AY124" i="28"/>
  <c r="AY132" i="28" s="1"/>
  <c r="AZ130" i="28" l="1"/>
  <c r="AZ122" i="36"/>
  <c r="AY124" i="36"/>
  <c r="AY132" i="36" s="1"/>
  <c r="AZ121" i="36"/>
  <c r="AZ120" i="36"/>
  <c r="AZ124" i="28"/>
  <c r="AZ132" i="28" s="1"/>
  <c r="BA132" i="28" s="1"/>
  <c r="BF125" i="36" l="1"/>
  <c r="BF129" i="36"/>
  <c r="BF119" i="22"/>
  <c r="AZ124" i="36"/>
  <c r="AZ132" i="36" s="1"/>
  <c r="BA132" i="36" s="1"/>
  <c r="BG119" i="22" l="1"/>
  <c r="BF126" i="36"/>
  <c r="BF127" i="36"/>
  <c r="BG129" i="36" s="1"/>
  <c r="BG125" i="36"/>
  <c r="BF119" i="17"/>
  <c r="BF128" i="36"/>
  <c r="BF125" i="25"/>
  <c r="BF119" i="13"/>
  <c r="BF119" i="26"/>
  <c r="BG119" i="26" l="1"/>
  <c r="BF125" i="23"/>
  <c r="BF125" i="22"/>
  <c r="BG128" i="36"/>
  <c r="BF130" i="36"/>
  <c r="BF119" i="30"/>
  <c r="BG125" i="25"/>
  <c r="BG127" i="36"/>
  <c r="BH129" i="36" s="1"/>
  <c r="BH125" i="36"/>
  <c r="BG126" i="36"/>
  <c r="BF123" i="28"/>
  <c r="BF119" i="28"/>
  <c r="BG119" i="13"/>
  <c r="BF119" i="29"/>
  <c r="BH119" i="22"/>
  <c r="BG119" i="17"/>
  <c r="BF125" i="28"/>
  <c r="BF129" i="28"/>
  <c r="BF125" i="29" l="1"/>
  <c r="BH125" i="25"/>
  <c r="BG125" i="28"/>
  <c r="BF126" i="28"/>
  <c r="BF127" i="28"/>
  <c r="BG129" i="28" s="1"/>
  <c r="BH128" i="36"/>
  <c r="BG130" i="36"/>
  <c r="BF128" i="28"/>
  <c r="BI119" i="22"/>
  <c r="BF125" i="26"/>
  <c r="BG119" i="29"/>
  <c r="BF125" i="17"/>
  <c r="BI125" i="36"/>
  <c r="BH126" i="36"/>
  <c r="BH127" i="36"/>
  <c r="BI129" i="36" s="1"/>
  <c r="BG119" i="30"/>
  <c r="BG125" i="23"/>
  <c r="BF122" i="28"/>
  <c r="BG125" i="22"/>
  <c r="BH119" i="26"/>
  <c r="BF119" i="23"/>
  <c r="BF119" i="25"/>
  <c r="BF125" i="13"/>
  <c r="BF125" i="18"/>
  <c r="BF119" i="18"/>
  <c r="BH119" i="17"/>
  <c r="BH119" i="13"/>
  <c r="BG119" i="28"/>
  <c r="BF121" i="28"/>
  <c r="BG123" i="28" s="1"/>
  <c r="BF120" i="28"/>
  <c r="BF119" i="36"/>
  <c r="BF123" i="36"/>
  <c r="BG125" i="29" l="1"/>
  <c r="BF122" i="36"/>
  <c r="BI125" i="25"/>
  <c r="BG119" i="36"/>
  <c r="BF121" i="36"/>
  <c r="BG123" i="36" s="1"/>
  <c r="BF120" i="36"/>
  <c r="BG125" i="18"/>
  <c r="BF125" i="30"/>
  <c r="BH125" i="22"/>
  <c r="BF124" i="28"/>
  <c r="BF132" i="28" s="1"/>
  <c r="BG122" i="28"/>
  <c r="BG119" i="23"/>
  <c r="BH125" i="23"/>
  <c r="BH130" i="36"/>
  <c r="BI128" i="36"/>
  <c r="BJ119" i="22"/>
  <c r="BF130" i="28"/>
  <c r="BG128" i="28"/>
  <c r="BG125" i="26"/>
  <c r="BI119" i="26"/>
  <c r="BH119" i="30"/>
  <c r="BJ125" i="36"/>
  <c r="BI126" i="36"/>
  <c r="BI127" i="36"/>
  <c r="BJ129" i="36" s="1"/>
  <c r="BG125" i="17"/>
  <c r="BH119" i="29"/>
  <c r="BH125" i="28"/>
  <c r="BG127" i="28"/>
  <c r="BH129" i="28" s="1"/>
  <c r="BG126" i="28"/>
  <c r="BI119" i="17"/>
  <c r="BG125" i="13"/>
  <c r="BG119" i="25"/>
  <c r="BH119" i="28"/>
  <c r="BG120" i="28"/>
  <c r="BG121" i="28"/>
  <c r="BH123" i="28" s="1"/>
  <c r="BI119" i="13"/>
  <c r="BG119" i="18"/>
  <c r="BH125" i="29" l="1"/>
  <c r="BI119" i="30"/>
  <c r="BH125" i="13"/>
  <c r="BH125" i="18"/>
  <c r="BJ125" i="25"/>
  <c r="BH126" i="28"/>
  <c r="BI125" i="28"/>
  <c r="BH127" i="28"/>
  <c r="BI129" i="28" s="1"/>
  <c r="BH119" i="23"/>
  <c r="BG125" i="30"/>
  <c r="BH119" i="25"/>
  <c r="BK119" i="22"/>
  <c r="BG124" i="28"/>
  <c r="BG132" i="28" s="1"/>
  <c r="BH122" i="28"/>
  <c r="BJ119" i="17"/>
  <c r="BI130" i="36"/>
  <c r="BJ128" i="36"/>
  <c r="BJ119" i="26"/>
  <c r="BH125" i="26"/>
  <c r="BH119" i="18"/>
  <c r="BH128" i="28"/>
  <c r="BG130" i="28"/>
  <c r="BJ119" i="13"/>
  <c r="BH125" i="17"/>
  <c r="BI125" i="23"/>
  <c r="BG122" i="36"/>
  <c r="BF124" i="36"/>
  <c r="BI119" i="28"/>
  <c r="BH120" i="28"/>
  <c r="BH121" i="28"/>
  <c r="BI123" i="28" s="1"/>
  <c r="BI119" i="29"/>
  <c r="BJ126" i="36"/>
  <c r="BJ127" i="36"/>
  <c r="BK129" i="36" s="1"/>
  <c r="BK125" i="36"/>
  <c r="BI125" i="22"/>
  <c r="BG120" i="36"/>
  <c r="BH119" i="36"/>
  <c r="BG121" i="36"/>
  <c r="BH123" i="36" s="1"/>
  <c r="BF132" i="36" l="1"/>
  <c r="BI125" i="29"/>
  <c r="BH124" i="28"/>
  <c r="BH132" i="28" s="1"/>
  <c r="BI122" i="28"/>
  <c r="BI119" i="25"/>
  <c r="BJ130" i="36"/>
  <c r="BK128" i="36"/>
  <c r="BJ119" i="28"/>
  <c r="BI121" i="28"/>
  <c r="BJ123" i="28" s="1"/>
  <c r="BI120" i="28"/>
  <c r="BK119" i="17"/>
  <c r="BI126" i="28"/>
  <c r="BI127" i="28"/>
  <c r="BJ129" i="28" s="1"/>
  <c r="BJ125" i="28"/>
  <c r="BJ125" i="23"/>
  <c r="BH125" i="30"/>
  <c r="BK119" i="26"/>
  <c r="BK119" i="13"/>
  <c r="BI119" i="18"/>
  <c r="BH120" i="36"/>
  <c r="BH121" i="36"/>
  <c r="BI123" i="36" s="1"/>
  <c r="BI119" i="36"/>
  <c r="BI119" i="23"/>
  <c r="BI125" i="13"/>
  <c r="BK125" i="25"/>
  <c r="BJ125" i="22"/>
  <c r="BJ119" i="29"/>
  <c r="BH130" i="28"/>
  <c r="BI128" i="28"/>
  <c r="BI125" i="17"/>
  <c r="BG124" i="36"/>
  <c r="BH122" i="36"/>
  <c r="BL125" i="36"/>
  <c r="BK126" i="36"/>
  <c r="BK127" i="36"/>
  <c r="BL129" i="36" s="1"/>
  <c r="BI125" i="26"/>
  <c r="BL119" i="22"/>
  <c r="BI125" i="18"/>
  <c r="BJ119" i="30"/>
  <c r="BG132" i="36" l="1"/>
  <c r="BJ125" i="29"/>
  <c r="BJ125" i="13"/>
  <c r="BJ120" i="28"/>
  <c r="BK119" i="28"/>
  <c r="BJ121" i="28"/>
  <c r="BK123" i="28" s="1"/>
  <c r="BJ125" i="18"/>
  <c r="BJ119" i="18"/>
  <c r="BL119" i="26"/>
  <c r="BI125" i="30"/>
  <c r="BL119" i="17"/>
  <c r="BJ119" i="25"/>
  <c r="BM125" i="36"/>
  <c r="BL127" i="36"/>
  <c r="BM129" i="36" s="1"/>
  <c r="BL126" i="36"/>
  <c r="BK119" i="29"/>
  <c r="BI121" i="36"/>
  <c r="BJ123" i="36" s="1"/>
  <c r="BI120" i="36"/>
  <c r="BJ119" i="36"/>
  <c r="BJ127" i="28"/>
  <c r="BK129" i="28" s="1"/>
  <c r="BK125" i="28"/>
  <c r="BJ126" i="28"/>
  <c r="BL125" i="25"/>
  <c r="BJ119" i="23"/>
  <c r="BL119" i="13"/>
  <c r="BK125" i="23"/>
  <c r="BM119" i="22"/>
  <c r="BI122" i="36"/>
  <c r="BH124" i="36"/>
  <c r="BJ128" i="28"/>
  <c r="BI130" i="28"/>
  <c r="BJ122" i="28"/>
  <c r="BI124" i="28"/>
  <c r="BI132" i="28" s="1"/>
  <c r="BK130" i="36"/>
  <c r="BL128" i="36"/>
  <c r="BJ125" i="26"/>
  <c r="BK119" i="30"/>
  <c r="BJ125" i="17"/>
  <c r="BK125" i="22"/>
  <c r="BH132" i="36" l="1"/>
  <c r="BK125" i="29"/>
  <c r="BK126" i="28"/>
  <c r="BK127" i="28"/>
  <c r="BL129" i="28" s="1"/>
  <c r="BL125" i="28"/>
  <c r="BK119" i="25"/>
  <c r="BM119" i="26"/>
  <c r="BK120" i="28"/>
  <c r="BK121" i="28"/>
  <c r="BL123" i="28" s="1"/>
  <c r="BL119" i="28"/>
  <c r="BK125" i="26"/>
  <c r="BM119" i="17"/>
  <c r="BK122" i="28"/>
  <c r="BJ124" i="28"/>
  <c r="BJ132" i="28" s="1"/>
  <c r="BM119" i="13"/>
  <c r="BK125" i="17"/>
  <c r="BL119" i="30"/>
  <c r="BL125" i="23"/>
  <c r="BM125" i="25"/>
  <c r="BK119" i="18"/>
  <c r="BK119" i="23"/>
  <c r="BJ120" i="36"/>
  <c r="BJ121" i="36"/>
  <c r="BK123" i="36" s="1"/>
  <c r="BK119" i="36"/>
  <c r="BL119" i="29"/>
  <c r="BK125" i="18"/>
  <c r="BK125" i="13"/>
  <c r="BK128" i="28"/>
  <c r="BJ130" i="28"/>
  <c r="BO129" i="36"/>
  <c r="BO125" i="36"/>
  <c r="BL125" i="22"/>
  <c r="BO119" i="22"/>
  <c r="BJ122" i="36"/>
  <c r="BI124" i="36"/>
  <c r="BM128" i="36"/>
  <c r="BL130" i="36"/>
  <c r="BJ125" i="30"/>
  <c r="BI132" i="36" l="1"/>
  <c r="BL125" i="29"/>
  <c r="BL125" i="26"/>
  <c r="BM125" i="28"/>
  <c r="BL126" i="28"/>
  <c r="BL127" i="28"/>
  <c r="BM129" i="28" s="1"/>
  <c r="BK122" i="36"/>
  <c r="BJ124" i="36"/>
  <c r="BO119" i="26"/>
  <c r="BO125" i="25"/>
  <c r="BM125" i="22"/>
  <c r="BM119" i="30"/>
  <c r="BO119" i="17"/>
  <c r="BL125" i="18"/>
  <c r="BL125" i="13"/>
  <c r="BM119" i="29"/>
  <c r="BM125" i="23"/>
  <c r="BL125" i="17"/>
  <c r="BL121" i="28"/>
  <c r="BM123" i="28" s="1"/>
  <c r="BM119" i="28"/>
  <c r="BL120" i="28"/>
  <c r="BK125" i="30"/>
  <c r="BL128" i="28"/>
  <c r="BK130" i="28"/>
  <c r="BO128" i="36"/>
  <c r="BM130" i="36"/>
  <c r="BL119" i="36"/>
  <c r="BK120" i="36"/>
  <c r="BK121" i="36"/>
  <c r="BL123" i="36" s="1"/>
  <c r="BL119" i="23"/>
  <c r="BL119" i="18"/>
  <c r="BO119" i="13"/>
  <c r="BL122" i="28"/>
  <c r="BK124" i="28"/>
  <c r="BK132" i="28" s="1"/>
  <c r="BL119" i="25"/>
  <c r="BJ132" i="36" l="1"/>
  <c r="BM125" i="29"/>
  <c r="BM119" i="23"/>
  <c r="BO119" i="30"/>
  <c r="BO119" i="29"/>
  <c r="BO119" i="28"/>
  <c r="BO125" i="22"/>
  <c r="BM125" i="26"/>
  <c r="BM122" i="28"/>
  <c r="BL124" i="28"/>
  <c r="BL132" i="28" s="1"/>
  <c r="BK124" i="36"/>
  <c r="BL122" i="36"/>
  <c r="BL125" i="30"/>
  <c r="BM119" i="25"/>
  <c r="BM119" i="18"/>
  <c r="BL121" i="36"/>
  <c r="BM123" i="36" s="1"/>
  <c r="BM119" i="36"/>
  <c r="BL120" i="36"/>
  <c r="BO125" i="23"/>
  <c r="BM125" i="13"/>
  <c r="BL130" i="28"/>
  <c r="BM128" i="28"/>
  <c r="BM125" i="17"/>
  <c r="BO129" i="28"/>
  <c r="BO125" i="28"/>
  <c r="BM125" i="18"/>
  <c r="BK132" i="36" l="1"/>
  <c r="BO125" i="29"/>
  <c r="BO125" i="18"/>
  <c r="BM130" i="28"/>
  <c r="BO128" i="28"/>
  <c r="BO125" i="17"/>
  <c r="BO119" i="25"/>
  <c r="BO119" i="18"/>
  <c r="BO125" i="13"/>
  <c r="BL124" i="36"/>
  <c r="BM122" i="36"/>
  <c r="BO125" i="26"/>
  <c r="BO119" i="36"/>
  <c r="BO119" i="23"/>
  <c r="BM125" i="30"/>
  <c r="BL132" i="36" l="1"/>
  <c r="BO125" i="30"/>
  <c r="AU129" i="11" l="1"/>
  <c r="AU128" i="11"/>
  <c r="AV125" i="11"/>
  <c r="AW125" i="11" l="1"/>
  <c r="AX125" i="11" l="1"/>
  <c r="AY125" i="11" l="1"/>
  <c r="AZ125" i="11" l="1"/>
  <c r="BF125" i="11" l="1"/>
  <c r="BG125" i="11" l="1"/>
  <c r="BH125" i="11" l="1"/>
  <c r="BI125" i="11" l="1"/>
  <c r="BJ125" i="11" l="1"/>
  <c r="BK125" i="11" l="1"/>
  <c r="BL125" i="11" l="1"/>
  <c r="BM125" i="11" l="1"/>
  <c r="BO125" i="11" l="1"/>
  <c r="AV119" i="10" l="1"/>
  <c r="AW119" i="10" s="1"/>
  <c r="AX119" i="10" s="1"/>
  <c r="AU123" i="16"/>
  <c r="AU122" i="16"/>
  <c r="AV119" i="16"/>
  <c r="AU123" i="21"/>
  <c r="AU122" i="21"/>
  <c r="AV119" i="21"/>
  <c r="AW119" i="21" s="1"/>
  <c r="AU123" i="24"/>
  <c r="AU122" i="24"/>
  <c r="AV119" i="24"/>
  <c r="AW119" i="24" s="1"/>
  <c r="AU123" i="14"/>
  <c r="AU122" i="14"/>
  <c r="AV119" i="14"/>
  <c r="AW119" i="14" s="1"/>
  <c r="AU123" i="19"/>
  <c r="AU122" i="19"/>
  <c r="AV119" i="19"/>
  <c r="AW119" i="19" s="1"/>
  <c r="AU123" i="20"/>
  <c r="AU122" i="20"/>
  <c r="AV119" i="20"/>
  <c r="AW119" i="20" s="1"/>
  <c r="AU123" i="27"/>
  <c r="AU122" i="27"/>
  <c r="AV119" i="27"/>
  <c r="AW119" i="27" s="1"/>
  <c r="AX119" i="27" s="1"/>
  <c r="AU123" i="11"/>
  <c r="AU122" i="11"/>
  <c r="AV119" i="11"/>
  <c r="AW119" i="11" s="1"/>
  <c r="AU123" i="15"/>
  <c r="AU122" i="15"/>
  <c r="AV119" i="15"/>
  <c r="AW119" i="15" s="1"/>
  <c r="AV119" i="12"/>
  <c r="AU123" i="12"/>
  <c r="AU122" i="12"/>
  <c r="BF57" i="25"/>
  <c r="BG57" i="25" s="1"/>
  <c r="BH57" i="25" s="1"/>
  <c r="BI57" i="25" s="1"/>
  <c r="BJ57" i="25" s="1"/>
  <c r="BK57" i="25" s="1"/>
  <c r="BL57" i="25" s="1"/>
  <c r="BM57" i="25" s="1"/>
  <c r="AU57" i="22"/>
  <c r="AV57" i="22"/>
  <c r="AW57" i="22"/>
  <c r="AX57" i="22"/>
  <c r="AY57" i="22"/>
  <c r="AZ57" i="22"/>
  <c r="BA57" i="22" s="1"/>
  <c r="AU58" i="22"/>
  <c r="AV58" i="22"/>
  <c r="AW58" i="22"/>
  <c r="AX58" i="22"/>
  <c r="AY58" i="22"/>
  <c r="AZ58" i="22"/>
  <c r="AU57" i="26"/>
  <c r="AV57" i="26"/>
  <c r="AW57" i="26"/>
  <c r="AX57" i="26"/>
  <c r="AY57" i="26"/>
  <c r="AZ57" i="26"/>
  <c r="BA57" i="26" s="1"/>
  <c r="BF57" i="26"/>
  <c r="BG57" i="26" s="1"/>
  <c r="BI57" i="26"/>
  <c r="BJ57" i="26" s="1"/>
  <c r="BK57" i="26" s="1"/>
  <c r="BL57" i="26" s="1"/>
  <c r="BM57" i="26" s="1"/>
  <c r="AU58" i="26"/>
  <c r="AV58" i="26"/>
  <c r="AW58" i="26"/>
  <c r="AX58" i="26"/>
  <c r="AY58" i="26"/>
  <c r="AZ58" i="26"/>
  <c r="BI58" i="26"/>
  <c r="BJ58" i="26" s="1"/>
  <c r="AU57" i="23"/>
  <c r="AV57" i="23"/>
  <c r="AW57" i="23"/>
  <c r="AX57" i="23"/>
  <c r="AY57" i="23"/>
  <c r="AZ57" i="23"/>
  <c r="BA57" i="23" s="1"/>
  <c r="AU58" i="23"/>
  <c r="AV58" i="23"/>
  <c r="AW58" i="23"/>
  <c r="AX58" i="23"/>
  <c r="AY58" i="23"/>
  <c r="AZ58" i="23"/>
  <c r="BA57" i="18"/>
  <c r="BF57" i="18"/>
  <c r="BG57" i="18" s="1"/>
  <c r="BI57" i="18"/>
  <c r="BJ57" i="18" s="1"/>
  <c r="BK57" i="18" s="1"/>
  <c r="BL57" i="18" s="1"/>
  <c r="BM57" i="18" s="1"/>
  <c r="AU58" i="18"/>
  <c r="AV58" i="18"/>
  <c r="AW58" i="18"/>
  <c r="AX58" i="18"/>
  <c r="AY58" i="18"/>
  <c r="AZ58" i="18"/>
  <c r="BI58" i="18"/>
  <c r="BJ58" i="18" s="1"/>
  <c r="BO57" i="11"/>
  <c r="BO57" i="27"/>
  <c r="BO57" i="20"/>
  <c r="AU57" i="19"/>
  <c r="AV57" i="19"/>
  <c r="AW57" i="19"/>
  <c r="AX57" i="19"/>
  <c r="AY57" i="19"/>
  <c r="AZ57" i="19"/>
  <c r="BA57" i="19" s="1"/>
  <c r="BO57" i="19"/>
  <c r="AU58" i="19"/>
  <c r="AV58" i="19"/>
  <c r="AW58" i="19"/>
  <c r="AX58" i="19"/>
  <c r="AY58" i="19"/>
  <c r="AZ58" i="19"/>
  <c r="AU57" i="14"/>
  <c r="AV57" i="14"/>
  <c r="AW57" i="14"/>
  <c r="AX57" i="14"/>
  <c r="AY57" i="14"/>
  <c r="AZ57" i="14"/>
  <c r="BO57" i="14"/>
  <c r="AU58" i="14"/>
  <c r="AV58" i="14"/>
  <c r="AW58" i="14"/>
  <c r="AX58" i="14"/>
  <c r="AY58" i="14"/>
  <c r="AZ58" i="14"/>
  <c r="BF57" i="23" l="1"/>
  <c r="BG57" i="23" s="1"/>
  <c r="BH57" i="23" s="1"/>
  <c r="BI57" i="23" s="1"/>
  <c r="BJ57" i="23" s="1"/>
  <c r="BK57" i="23" s="1"/>
  <c r="BL57" i="23" s="1"/>
  <c r="BM57" i="23" s="1"/>
  <c r="BA58" i="22"/>
  <c r="BA58" i="19"/>
  <c r="BA58" i="14"/>
  <c r="BA58" i="23"/>
  <c r="BA57" i="14"/>
  <c r="BK58" i="26"/>
  <c r="BF57" i="11"/>
  <c r="BG57" i="11" s="1"/>
  <c r="BH57" i="11" s="1"/>
  <c r="BI57" i="11" s="1"/>
  <c r="BJ57" i="11" s="1"/>
  <c r="BK57" i="11" s="1"/>
  <c r="BL57" i="11" s="1"/>
  <c r="BM57" i="11" s="1"/>
  <c r="BF57" i="17"/>
  <c r="BG57" i="17" s="1"/>
  <c r="BH57" i="17" s="1"/>
  <c r="BI57" i="17" s="1"/>
  <c r="BJ57" i="17" s="1"/>
  <c r="BK57" i="17" s="1"/>
  <c r="BL57" i="17" s="1"/>
  <c r="BM57" i="17" s="1"/>
  <c r="AW119" i="12"/>
  <c r="AY119" i="10"/>
  <c r="AX119" i="15"/>
  <c r="AX119" i="14"/>
  <c r="AX119" i="11"/>
  <c r="AY119" i="27"/>
  <c r="AX119" i="20"/>
  <c r="AX119" i="21"/>
  <c r="AW119" i="16"/>
  <c r="AX119" i="24"/>
  <c r="AX119" i="19"/>
  <c r="BF57" i="20"/>
  <c r="BG57" i="20" s="1"/>
  <c r="BH57" i="20" s="1"/>
  <c r="BI57" i="20" s="1"/>
  <c r="BJ57" i="20" s="1"/>
  <c r="BK57" i="20" s="1"/>
  <c r="BL57" i="20" s="1"/>
  <c r="BM57" i="20" s="1"/>
  <c r="BF57" i="27"/>
  <c r="BG57" i="27" s="1"/>
  <c r="BH57" i="27" s="1"/>
  <c r="BI57" i="27" s="1"/>
  <c r="BJ57" i="27" s="1"/>
  <c r="BK57" i="27" s="1"/>
  <c r="BL57" i="27" s="1"/>
  <c r="BM57" i="27" s="1"/>
  <c r="BK58" i="18"/>
  <c r="BN57" i="25"/>
  <c r="BF57" i="14"/>
  <c r="BG57" i="14" s="1"/>
  <c r="BH57" i="14" s="1"/>
  <c r="BI57" i="14" s="1"/>
  <c r="BJ57" i="14" s="1"/>
  <c r="BK57" i="14" s="1"/>
  <c r="BL57" i="14" s="1"/>
  <c r="BM57" i="14" s="1"/>
  <c r="BF57" i="19"/>
  <c r="BG57" i="19" s="1"/>
  <c r="BH57" i="19" s="1"/>
  <c r="BI57" i="19" s="1"/>
  <c r="BJ57" i="19" s="1"/>
  <c r="BK57" i="19" s="1"/>
  <c r="BL57" i="19" s="1"/>
  <c r="BM57" i="19" s="1"/>
  <c r="BF57" i="13"/>
  <c r="BG57" i="13" s="1"/>
  <c r="BH57" i="13" s="1"/>
  <c r="BI57" i="13" s="1"/>
  <c r="BJ57" i="13" s="1"/>
  <c r="BK57" i="13" s="1"/>
  <c r="BL57" i="13" s="1"/>
  <c r="BM57" i="13" s="1"/>
  <c r="BF57" i="22"/>
  <c r="BG57" i="22" s="1"/>
  <c r="BH57" i="22" s="1"/>
  <c r="BI57" i="22" s="1"/>
  <c r="BJ57" i="22" s="1"/>
  <c r="BK57" i="22" s="1"/>
  <c r="BL57" i="22" s="1"/>
  <c r="BM57" i="22" s="1"/>
  <c r="BA58" i="18"/>
  <c r="BA58" i="26"/>
  <c r="BN57" i="23" l="1"/>
  <c r="BN57" i="27"/>
  <c r="BN57" i="22"/>
  <c r="BN57" i="11"/>
  <c r="BN57" i="20"/>
  <c r="BN57" i="17"/>
  <c r="BN57" i="14"/>
  <c r="BL58" i="26"/>
  <c r="AX119" i="12"/>
  <c r="AZ119" i="10"/>
  <c r="BF119" i="10" s="1"/>
  <c r="BG119" i="10" s="1"/>
  <c r="BH119" i="10" s="1"/>
  <c r="BI119" i="10" s="1"/>
  <c r="BJ119" i="10" s="1"/>
  <c r="AY119" i="15"/>
  <c r="AZ119" i="27"/>
  <c r="AX119" i="16"/>
  <c r="AY119" i="24"/>
  <c r="AY119" i="21"/>
  <c r="AY119" i="20"/>
  <c r="AY119" i="11"/>
  <c r="AY119" i="14"/>
  <c r="AY119" i="19"/>
  <c r="BF58" i="25"/>
  <c r="BL58" i="18"/>
  <c r="BN57" i="13"/>
  <c r="BN57" i="19"/>
  <c r="BM58" i="26" l="1"/>
  <c r="AY119" i="12"/>
  <c r="BK119" i="10"/>
  <c r="BL119" i="10" s="1"/>
  <c r="AZ119" i="24"/>
  <c r="AZ119" i="11"/>
  <c r="AZ119" i="15"/>
  <c r="AZ119" i="14"/>
  <c r="AZ119" i="21"/>
  <c r="AY119" i="16"/>
  <c r="AZ119" i="19"/>
  <c r="AZ119" i="20"/>
  <c r="BF58" i="27"/>
  <c r="BF58" i="11"/>
  <c r="BF58" i="22"/>
  <c r="BF58" i="18"/>
  <c r="BG58" i="25"/>
  <c r="BF58" i="26"/>
  <c r="BF58" i="13"/>
  <c r="BF58" i="17"/>
  <c r="BM58" i="18"/>
  <c r="BF58" i="20"/>
  <c r="AZ119" i="12" l="1"/>
  <c r="BM119" i="10"/>
  <c r="BO119" i="10" s="1"/>
  <c r="AZ119" i="16"/>
  <c r="BG58" i="18"/>
  <c r="BG58" i="26"/>
  <c r="BG58" i="27"/>
  <c r="BG58" i="20"/>
  <c r="BG58" i="13"/>
  <c r="BG58" i="22"/>
  <c r="BF58" i="14"/>
  <c r="BH58" i="25"/>
  <c r="BG58" i="11"/>
  <c r="BF58" i="19"/>
  <c r="BF58" i="23"/>
  <c r="BG58" i="17"/>
  <c r="BG58" i="14" l="1"/>
  <c r="BH58" i="27"/>
  <c r="BH58" i="17"/>
  <c r="BH58" i="22"/>
  <c r="BG58" i="19"/>
  <c r="BN58" i="26"/>
  <c r="BH58" i="20"/>
  <c r="BH58" i="11"/>
  <c r="BI58" i="25"/>
  <c r="BG58" i="23"/>
  <c r="BN58" i="18"/>
  <c r="BH58" i="13"/>
  <c r="BJ58" i="25" l="1"/>
  <c r="BI58" i="11"/>
  <c r="BH58" i="14"/>
  <c r="BI58" i="17"/>
  <c r="BI58" i="13"/>
  <c r="BH58" i="23"/>
  <c r="BH58" i="19"/>
  <c r="BI58" i="22"/>
  <c r="BI58" i="20"/>
  <c r="BI58" i="27"/>
  <c r="BF119" i="27" l="1"/>
  <c r="BI58" i="14"/>
  <c r="BI58" i="23"/>
  <c r="BJ58" i="23" s="1"/>
  <c r="BJ58" i="13"/>
  <c r="BJ58" i="11"/>
  <c r="BJ58" i="20"/>
  <c r="BJ58" i="17"/>
  <c r="BK58" i="25"/>
  <c r="BJ58" i="22"/>
  <c r="BI58" i="19"/>
  <c r="BJ58" i="27"/>
  <c r="BK58" i="23" l="1"/>
  <c r="BF119" i="14"/>
  <c r="BG119" i="27"/>
  <c r="BF119" i="19"/>
  <c r="BF119" i="15"/>
  <c r="BF119" i="20"/>
  <c r="BF119" i="21"/>
  <c r="BF119" i="11"/>
  <c r="BF119" i="24"/>
  <c r="BK58" i="13"/>
  <c r="BK58" i="17"/>
  <c r="BL58" i="25"/>
  <c r="BJ58" i="19"/>
  <c r="BK58" i="20"/>
  <c r="BJ58" i="14"/>
  <c r="BK58" i="27"/>
  <c r="BK58" i="22"/>
  <c r="BK58" i="11"/>
  <c r="BL58" i="23" l="1"/>
  <c r="BF119" i="12"/>
  <c r="BG119" i="19"/>
  <c r="BG119" i="21"/>
  <c r="BF119" i="16"/>
  <c r="BH119" i="27"/>
  <c r="BG119" i="15"/>
  <c r="BG119" i="24"/>
  <c r="BG119" i="11"/>
  <c r="BG119" i="20"/>
  <c r="BG119" i="14"/>
  <c r="BK58" i="19"/>
  <c r="BK58" i="14"/>
  <c r="BL58" i="17"/>
  <c r="BL58" i="27"/>
  <c r="BL58" i="11"/>
  <c r="BL58" i="20"/>
  <c r="BL58" i="22"/>
  <c r="BM58" i="25"/>
  <c r="BL58" i="13"/>
  <c r="BM58" i="23" l="1"/>
  <c r="BN58" i="23" s="1"/>
  <c r="BO58" i="23" s="1"/>
  <c r="BG119" i="12"/>
  <c r="BI119" i="27"/>
  <c r="BH119" i="20"/>
  <c r="BH119" i="24"/>
  <c r="BG119" i="16"/>
  <c r="BH119" i="19"/>
  <c r="BH119" i="21"/>
  <c r="BH119" i="15"/>
  <c r="BH119" i="14"/>
  <c r="BH119" i="11"/>
  <c r="BM58" i="27"/>
  <c r="BM58" i="17"/>
  <c r="BM58" i="22"/>
  <c r="BM58" i="20"/>
  <c r="BM58" i="13"/>
  <c r="BM58" i="11"/>
  <c r="BL58" i="14"/>
  <c r="BN58" i="25"/>
  <c r="BL58" i="19"/>
  <c r="BH119" i="12" l="1"/>
  <c r="BH119" i="16"/>
  <c r="BI119" i="11"/>
  <c r="BI119" i="19"/>
  <c r="BI119" i="24"/>
  <c r="BI119" i="15"/>
  <c r="BI119" i="20"/>
  <c r="BI119" i="21"/>
  <c r="BI119" i="14"/>
  <c r="BJ119" i="27"/>
  <c r="BN58" i="22"/>
  <c r="BN58" i="11"/>
  <c r="BO58" i="11" s="1"/>
  <c r="BN58" i="17"/>
  <c r="BN58" i="20"/>
  <c r="BO58" i="20" s="1"/>
  <c r="BM58" i="14"/>
  <c r="BM58" i="19"/>
  <c r="BN58" i="13"/>
  <c r="BN58" i="27"/>
  <c r="BO58" i="27" s="1"/>
  <c r="BI119" i="12" l="1"/>
  <c r="BJ119" i="14"/>
  <c r="BJ119" i="15"/>
  <c r="BI119" i="16"/>
  <c r="BJ119" i="20"/>
  <c r="BJ119" i="19"/>
  <c r="BJ119" i="21"/>
  <c r="BK119" i="27"/>
  <c r="BJ119" i="11"/>
  <c r="BJ119" i="24"/>
  <c r="BN58" i="14"/>
  <c r="BO58" i="14" s="1"/>
  <c r="BN58" i="19"/>
  <c r="BO58" i="19" s="1"/>
  <c r="AU123" i="10"/>
  <c r="AU122" i="10"/>
  <c r="BJ119" i="12" l="1"/>
  <c r="BK119" i="14"/>
  <c r="BL119" i="27"/>
  <c r="BK119" i="20"/>
  <c r="BK119" i="15"/>
  <c r="BK119" i="11"/>
  <c r="BK119" i="19"/>
  <c r="BK119" i="24"/>
  <c r="BK119" i="21"/>
  <c r="BJ119" i="16"/>
  <c r="BK119" i="12" l="1"/>
  <c r="BL119" i="21"/>
  <c r="BK119" i="16"/>
  <c r="BM119" i="27"/>
  <c r="BL119" i="19"/>
  <c r="BL119" i="20"/>
  <c r="BL119" i="24"/>
  <c r="BL119" i="14"/>
  <c r="BL119" i="11"/>
  <c r="BL119" i="15"/>
  <c r="BL119" i="12" l="1"/>
  <c r="BM119" i="20"/>
  <c r="BM119" i="19"/>
  <c r="BO119" i="27"/>
  <c r="BM119" i="14"/>
  <c r="BM119" i="21"/>
  <c r="BM119" i="24"/>
  <c r="BL119" i="16"/>
  <c r="BM119" i="11"/>
  <c r="BM119" i="15"/>
  <c r="BM119" i="12" l="1"/>
  <c r="BO119" i="24"/>
  <c r="BO119" i="21"/>
  <c r="BM119" i="16"/>
  <c r="BO119" i="14"/>
  <c r="BO119" i="19"/>
  <c r="BO119" i="20"/>
  <c r="BO119" i="15"/>
  <c r="BO119" i="11"/>
  <c r="BO119" i="12" l="1"/>
  <c r="BO119" i="16"/>
  <c r="BN93" i="30" l="1"/>
  <c r="BN93" i="28"/>
  <c r="BN93" i="36"/>
  <c r="BN93" i="17"/>
  <c r="BN93" i="22"/>
  <c r="BN93" i="25"/>
  <c r="BT88" i="30" l="1"/>
  <c r="BO22" i="10" l="1"/>
  <c r="BO92" i="30" l="1"/>
  <c r="BO104" i="30" s="1"/>
  <c r="BH132" i="31" l="1"/>
  <c r="BF132" i="31"/>
  <c r="BO92" i="28"/>
  <c r="BO50" i="28"/>
  <c r="BO36" i="28"/>
  <c r="BO15" i="28"/>
  <c r="BO113" i="28"/>
  <c r="BO110" i="28"/>
  <c r="BM121" i="28" s="1"/>
  <c r="BO123" i="28" s="1"/>
  <c r="BO109" i="28"/>
  <c r="BO108" i="28"/>
  <c r="BM120" i="28" s="1"/>
  <c r="BO100" i="28"/>
  <c r="BO99" i="28"/>
  <c r="BO98" i="28"/>
  <c r="BM121" i="36"/>
  <c r="BO123" i="36" s="1"/>
  <c r="BM120" i="36"/>
  <c r="BO92" i="38"/>
  <c r="BO50" i="38"/>
  <c r="BO36" i="38"/>
  <c r="BO15" i="38"/>
  <c r="BO113" i="38"/>
  <c r="BO110" i="38"/>
  <c r="BO123" i="38" s="1"/>
  <c r="BO109" i="38"/>
  <c r="BO108" i="38"/>
  <c r="BO100" i="38"/>
  <c r="BO99" i="38"/>
  <c r="BO98" i="38"/>
  <c r="BO92" i="39"/>
  <c r="BO36" i="39"/>
  <c r="BO15" i="39"/>
  <c r="BO113" i="39"/>
  <c r="BO110" i="39"/>
  <c r="BO123" i="39" s="1"/>
  <c r="BO109" i="39"/>
  <c r="BO100" i="39"/>
  <c r="BO99" i="39"/>
  <c r="BO98" i="39"/>
  <c r="BN132" i="35"/>
  <c r="BO101" i="38" l="1"/>
  <c r="BJ132" i="31"/>
  <c r="BO122" i="28"/>
  <c r="BM124" i="28"/>
  <c r="BM132" i="28" s="1"/>
  <c r="BO101" i="28"/>
  <c r="BO111" i="38"/>
  <c r="BO122" i="36"/>
  <c r="BO124" i="36" s="1"/>
  <c r="BO132" i="36" s="1"/>
  <c r="BM124" i="36"/>
  <c r="BI132" i="31"/>
  <c r="BG132" i="31"/>
  <c r="BO111" i="28"/>
  <c r="BO102" i="28"/>
  <c r="BO104" i="28"/>
  <c r="BO104" i="38"/>
  <c r="BO102" i="38"/>
  <c r="BO102" i="39"/>
  <c r="BO101" i="39"/>
  <c r="BO104" i="39"/>
  <c r="BO124" i="28" l="1"/>
  <c r="BO132" i="28" s="1"/>
  <c r="BK132" i="31"/>
  <c r="BL132" i="31"/>
  <c r="BM132" i="31"/>
  <c r="BM132" i="36"/>
  <c r="BO122" i="38"/>
  <c r="BO124" i="38" s="1"/>
  <c r="BO132" i="38" s="1"/>
  <c r="BO105" i="28"/>
  <c r="BO106" i="28" s="1"/>
  <c r="BO105" i="38"/>
  <c r="BO106" i="38" s="1"/>
  <c r="BO105" i="39"/>
  <c r="BO106" i="39" s="1"/>
  <c r="L255" i="3" l="1"/>
  <c r="BO92" i="18" l="1"/>
  <c r="BO61" i="18"/>
  <c r="BO50" i="18"/>
  <c r="BO36" i="18"/>
  <c r="BO15" i="18"/>
  <c r="BO92" i="25"/>
  <c r="BO104" i="25" s="1"/>
  <c r="BO50" i="25"/>
  <c r="BO36" i="25"/>
  <c r="BO15" i="25"/>
  <c r="BO92" i="22"/>
  <c r="BO104" i="22" s="1"/>
  <c r="BO61" i="22"/>
  <c r="BO50" i="22"/>
  <c r="BO36" i="22"/>
  <c r="BO15" i="22"/>
  <c r="BO92" i="17"/>
  <c r="BO104" i="17" s="1"/>
  <c r="BO50" i="17"/>
  <c r="BO36" i="17"/>
  <c r="BO15" i="17"/>
  <c r="BO100" i="22"/>
  <c r="BO99" i="22"/>
  <c r="BO98" i="22"/>
  <c r="BO113" i="25"/>
  <c r="BO109" i="25"/>
  <c r="BO100" i="25"/>
  <c r="BO99" i="25"/>
  <c r="BO98" i="25"/>
  <c r="BO113" i="17"/>
  <c r="BO109" i="17"/>
  <c r="BO100" i="17"/>
  <c r="BO99" i="17"/>
  <c r="BO98" i="17"/>
  <c r="BO50" i="30"/>
  <c r="BO36" i="30"/>
  <c r="BO15" i="30"/>
  <c r="BO92" i="26"/>
  <c r="BO104" i="26" s="1"/>
  <c r="BO61" i="26"/>
  <c r="BO50" i="26"/>
  <c r="BO36" i="26"/>
  <c r="BO15" i="26"/>
  <c r="BG114" i="26"/>
  <c r="BF127" i="26" s="1"/>
  <c r="BG129" i="26" s="1"/>
  <c r="BF114" i="26"/>
  <c r="BF129" i="26" s="1"/>
  <c r="BG112" i="26"/>
  <c r="BF112" i="26"/>
  <c r="BO110" i="26"/>
  <c r="BM121" i="26" s="1"/>
  <c r="BO123" i="26" s="1"/>
  <c r="BO109" i="26"/>
  <c r="BH109" i="26"/>
  <c r="BO108" i="26"/>
  <c r="BM120" i="26" s="1"/>
  <c r="BO122" i="26" s="1"/>
  <c r="BG104" i="26"/>
  <c r="BF104" i="26"/>
  <c r="BG102" i="26"/>
  <c r="BF102" i="26"/>
  <c r="BO100" i="26"/>
  <c r="BN100" i="26"/>
  <c r="BL100" i="26"/>
  <c r="BK100" i="26"/>
  <c r="BH100" i="26"/>
  <c r="BO99" i="26"/>
  <c r="BN99" i="26"/>
  <c r="BH99" i="26"/>
  <c r="BO98" i="26"/>
  <c r="BN98" i="26"/>
  <c r="BK98" i="26"/>
  <c r="BH98" i="26"/>
  <c r="BM88" i="26"/>
  <c r="BL88" i="26"/>
  <c r="BL87" i="26" s="1"/>
  <c r="BK88" i="26"/>
  <c r="BK87" i="26" s="1"/>
  <c r="BJ88" i="26"/>
  <c r="BI88" i="26"/>
  <c r="BH88" i="26"/>
  <c r="BH87" i="26" s="1"/>
  <c r="BG88" i="26"/>
  <c r="BF88" i="26"/>
  <c r="BM86" i="26"/>
  <c r="BI86" i="26"/>
  <c r="BJ86" i="26" s="1"/>
  <c r="BM79" i="26"/>
  <c r="BU89" i="26" s="1"/>
  <c r="BL79" i="26"/>
  <c r="BT89" i="26" s="1"/>
  <c r="BK79" i="26"/>
  <c r="BS89" i="26" s="1"/>
  <c r="BJ79" i="26"/>
  <c r="BR89" i="26" s="1"/>
  <c r="BI79" i="26"/>
  <c r="BH79" i="26"/>
  <c r="BH78" i="26" s="1"/>
  <c r="BH76" i="26" s="1"/>
  <c r="BG79" i="26"/>
  <c r="BF79" i="26"/>
  <c r="BM75" i="26"/>
  <c r="BI75" i="26"/>
  <c r="BI99" i="26"/>
  <c r="BM48" i="26"/>
  <c r="BM55" i="26" s="1"/>
  <c r="BL48" i="26"/>
  <c r="BL55" i="26" s="1"/>
  <c r="BK48" i="26"/>
  <c r="BJ48" i="26"/>
  <c r="BJ55" i="26" s="1"/>
  <c r="BI48" i="26"/>
  <c r="BH48" i="26"/>
  <c r="BH55" i="26" s="1"/>
  <c r="BG48" i="26"/>
  <c r="BF48" i="26"/>
  <c r="BI43" i="26"/>
  <c r="BM34" i="26"/>
  <c r="BM41" i="26" s="1"/>
  <c r="BL34" i="26"/>
  <c r="BL41" i="26" s="1"/>
  <c r="BK34" i="26"/>
  <c r="BK33" i="26" s="1"/>
  <c r="BJ34" i="26"/>
  <c r="BJ41" i="26" s="1"/>
  <c r="BI34" i="26"/>
  <c r="BI41" i="26" s="1"/>
  <c r="BH34" i="26"/>
  <c r="BG34" i="26"/>
  <c r="BF34" i="26"/>
  <c r="BJ29" i="26"/>
  <c r="BM12" i="26"/>
  <c r="BL12" i="26"/>
  <c r="BL20" i="26" s="1"/>
  <c r="BK12" i="26"/>
  <c r="BK20" i="26" s="1"/>
  <c r="BJ12" i="26"/>
  <c r="BJ20" i="26" s="1"/>
  <c r="BI12" i="26"/>
  <c r="BI20" i="26" s="1"/>
  <c r="BH12" i="26"/>
  <c r="BH20" i="26" s="1"/>
  <c r="BG12" i="26"/>
  <c r="BF12" i="26"/>
  <c r="BL7" i="26"/>
  <c r="BI7" i="26"/>
  <c r="BF94" i="29"/>
  <c r="BG94" i="29"/>
  <c r="BH94" i="29"/>
  <c r="BI94" i="29"/>
  <c r="BJ94" i="29"/>
  <c r="BK94" i="29"/>
  <c r="BL94" i="29"/>
  <c r="BM94" i="29"/>
  <c r="BF55" i="29"/>
  <c r="BG55" i="29"/>
  <c r="BH55" i="29"/>
  <c r="BI55" i="29"/>
  <c r="BJ55" i="29"/>
  <c r="BK55" i="29"/>
  <c r="BL55" i="29"/>
  <c r="BM55" i="29"/>
  <c r="BO50" i="29"/>
  <c r="AU55" i="29"/>
  <c r="AV55" i="29"/>
  <c r="AW55" i="29"/>
  <c r="AX55" i="29"/>
  <c r="AY55" i="29"/>
  <c r="AZ55" i="29"/>
  <c r="AU50" i="29"/>
  <c r="AV50" i="29"/>
  <c r="AW50" i="29"/>
  <c r="AX50" i="29"/>
  <c r="AY50" i="29"/>
  <c r="AZ50" i="29"/>
  <c r="BF41" i="29"/>
  <c r="BG41" i="29"/>
  <c r="BH41" i="29"/>
  <c r="BI41" i="29"/>
  <c r="BJ41" i="29"/>
  <c r="BK41" i="29"/>
  <c r="BL41" i="29"/>
  <c r="BM41" i="29"/>
  <c r="BO36" i="29"/>
  <c r="AU36" i="29"/>
  <c r="AV36" i="29"/>
  <c r="AW36" i="29"/>
  <c r="AX36" i="29"/>
  <c r="AY36" i="29"/>
  <c r="AZ36" i="29"/>
  <c r="BF20" i="29"/>
  <c r="BG20" i="29"/>
  <c r="BH20" i="29"/>
  <c r="BI20" i="29"/>
  <c r="BJ20" i="29"/>
  <c r="BK20" i="29"/>
  <c r="BL20" i="29"/>
  <c r="BM20" i="29"/>
  <c r="BO15" i="29"/>
  <c r="BO92" i="37"/>
  <c r="BO50" i="37"/>
  <c r="BO36" i="37"/>
  <c r="BO15" i="37"/>
  <c r="BO92" i="11"/>
  <c r="BO104" i="11" s="1"/>
  <c r="BG114" i="18"/>
  <c r="BF127" i="18" s="1"/>
  <c r="BG129" i="18" s="1"/>
  <c r="BF114" i="18"/>
  <c r="BF129" i="18" s="1"/>
  <c r="BG112" i="18"/>
  <c r="BF126" i="18" s="1"/>
  <c r="BF112" i="18"/>
  <c r="BO110" i="18"/>
  <c r="BM121" i="18" s="1"/>
  <c r="BO123" i="18" s="1"/>
  <c r="BO108" i="18"/>
  <c r="BM120" i="18" s="1"/>
  <c r="BG104" i="18"/>
  <c r="BF104" i="18"/>
  <c r="BG102" i="18"/>
  <c r="BF102" i="18"/>
  <c r="BO100" i="18"/>
  <c r="BN100" i="18"/>
  <c r="BL100" i="18"/>
  <c r="BK100" i="18"/>
  <c r="BO98" i="18"/>
  <c r="BN98" i="18"/>
  <c r="BK98" i="18"/>
  <c r="BM88" i="18"/>
  <c r="BL88" i="18"/>
  <c r="BL87" i="18" s="1"/>
  <c r="BK88" i="18"/>
  <c r="BK87" i="18" s="1"/>
  <c r="BJ88" i="18"/>
  <c r="BI88" i="18"/>
  <c r="BH88" i="18"/>
  <c r="BG88" i="18"/>
  <c r="BF88" i="18"/>
  <c r="BM86" i="18"/>
  <c r="BM79" i="18"/>
  <c r="BL79" i="18"/>
  <c r="BL78" i="18" s="1"/>
  <c r="BL76" i="18" s="1"/>
  <c r="BK79" i="18"/>
  <c r="BJ79" i="18"/>
  <c r="BI79" i="18"/>
  <c r="BH79" i="18"/>
  <c r="BG79" i="18"/>
  <c r="BF79" i="18"/>
  <c r="BM75" i="18"/>
  <c r="BO99" i="18"/>
  <c r="BM48" i="18"/>
  <c r="BL48" i="18"/>
  <c r="BL55" i="18" s="1"/>
  <c r="BK48" i="18"/>
  <c r="BK55" i="18" s="1"/>
  <c r="BJ48" i="18"/>
  <c r="BJ55" i="18" s="1"/>
  <c r="BI48" i="18"/>
  <c r="BI55" i="18" s="1"/>
  <c r="BH48" i="18"/>
  <c r="BH55" i="18" s="1"/>
  <c r="BG48" i="18"/>
  <c r="BF48" i="18"/>
  <c r="BM34" i="18"/>
  <c r="BM33" i="18" s="1"/>
  <c r="BL34" i="18"/>
  <c r="BL41" i="18" s="1"/>
  <c r="BK34" i="18"/>
  <c r="BK41" i="18" s="1"/>
  <c r="BJ34" i="18"/>
  <c r="BJ41" i="18" s="1"/>
  <c r="BI34" i="18"/>
  <c r="BI41" i="18" s="1"/>
  <c r="BH34" i="18"/>
  <c r="BH41" i="18" s="1"/>
  <c r="BG34" i="18"/>
  <c r="BF34" i="18"/>
  <c r="BM12" i="18"/>
  <c r="BM20" i="18" s="1"/>
  <c r="BL12" i="18"/>
  <c r="BL20" i="18" s="1"/>
  <c r="BK12" i="18"/>
  <c r="BJ12" i="18"/>
  <c r="BJ20" i="18" s="1"/>
  <c r="BI12" i="18"/>
  <c r="BI20" i="18" s="1"/>
  <c r="BH12" i="18"/>
  <c r="BH20" i="18" s="1"/>
  <c r="BG12" i="18"/>
  <c r="BF12" i="18"/>
  <c r="BL7" i="18"/>
  <c r="BI114" i="23"/>
  <c r="BH127" i="23" s="1"/>
  <c r="BI129" i="23" s="1"/>
  <c r="BH114" i="23"/>
  <c r="BG127" i="23" s="1"/>
  <c r="BH129" i="23" s="1"/>
  <c r="BG114" i="23"/>
  <c r="BF127" i="23" s="1"/>
  <c r="BG129" i="23" s="1"/>
  <c r="BF114" i="23"/>
  <c r="BF129" i="23" s="1"/>
  <c r="BI112" i="23"/>
  <c r="BH112" i="23"/>
  <c r="BG112" i="23"/>
  <c r="BF112" i="23"/>
  <c r="BI104" i="23"/>
  <c r="BH104" i="23"/>
  <c r="BG104" i="23"/>
  <c r="BF104" i="23"/>
  <c r="BI102" i="23"/>
  <c r="BH102" i="23"/>
  <c r="BG102" i="23"/>
  <c r="BF102" i="23"/>
  <c r="BO100" i="23"/>
  <c r="BO99" i="23"/>
  <c r="BO98" i="23"/>
  <c r="BI88" i="23"/>
  <c r="BH88" i="23"/>
  <c r="BG88" i="23"/>
  <c r="BF88" i="23"/>
  <c r="BI79" i="23"/>
  <c r="BH79" i="23"/>
  <c r="BG79" i="23"/>
  <c r="BF79" i="23"/>
  <c r="BI48" i="23"/>
  <c r="BH48" i="23"/>
  <c r="BG48" i="23"/>
  <c r="BF48" i="23"/>
  <c r="BI34" i="23"/>
  <c r="BH34" i="23"/>
  <c r="BG34" i="23"/>
  <c r="BF34" i="23"/>
  <c r="BI12" i="23"/>
  <c r="BH12" i="23"/>
  <c r="BG12" i="23"/>
  <c r="BF12" i="23"/>
  <c r="BF114" i="13"/>
  <c r="BF129" i="13" s="1"/>
  <c r="BO113" i="13"/>
  <c r="BF112" i="13"/>
  <c r="BF104" i="13"/>
  <c r="BF102" i="13"/>
  <c r="BO100" i="13"/>
  <c r="BO98" i="13"/>
  <c r="BF88" i="13"/>
  <c r="BF79" i="13"/>
  <c r="BO99" i="13"/>
  <c r="BF48" i="13"/>
  <c r="BF34" i="13"/>
  <c r="BF12" i="13"/>
  <c r="BU87" i="18" l="1"/>
  <c r="BI100" i="26"/>
  <c r="BR90" i="26"/>
  <c r="BS90" i="26"/>
  <c r="BU90" i="26"/>
  <c r="BF105" i="13"/>
  <c r="BF105" i="23"/>
  <c r="BI105" i="23"/>
  <c r="BK33" i="18"/>
  <c r="BH101" i="26"/>
  <c r="BJ87" i="26"/>
  <c r="BH77" i="26"/>
  <c r="BK78" i="26"/>
  <c r="BI78" i="26"/>
  <c r="BI76" i="26" s="1"/>
  <c r="BI77" i="26" s="1"/>
  <c r="BM100" i="18"/>
  <c r="BF105" i="18"/>
  <c r="BL33" i="26"/>
  <c r="BI33" i="26"/>
  <c r="BJ75" i="26"/>
  <c r="BJ100" i="26" s="1"/>
  <c r="BG105" i="26"/>
  <c r="BH47" i="26"/>
  <c r="BH45" i="26" s="1"/>
  <c r="BM33" i="26"/>
  <c r="BM31" i="26" s="1"/>
  <c r="BM41" i="18"/>
  <c r="BI87" i="26"/>
  <c r="BK11" i="26"/>
  <c r="BK8" i="26" s="1"/>
  <c r="BH110" i="26"/>
  <c r="BM78" i="18"/>
  <c r="BM76" i="18" s="1"/>
  <c r="BN101" i="26"/>
  <c r="BM32" i="18"/>
  <c r="BM30" i="18"/>
  <c r="BM31" i="18"/>
  <c r="BM87" i="18"/>
  <c r="BI98" i="26"/>
  <c r="BI101" i="26" s="1"/>
  <c r="BM7" i="18"/>
  <c r="BM98" i="18" s="1"/>
  <c r="BL98" i="26"/>
  <c r="BO124" i="26"/>
  <c r="BF128" i="23"/>
  <c r="BL33" i="18"/>
  <c r="BL31" i="18" s="1"/>
  <c r="BM7" i="26"/>
  <c r="BM11" i="26" s="1"/>
  <c r="BF128" i="13"/>
  <c r="BG115" i="23"/>
  <c r="BF126" i="23"/>
  <c r="BM100" i="26"/>
  <c r="BH115" i="23"/>
  <c r="BG126" i="23"/>
  <c r="BK47" i="18"/>
  <c r="BK44" i="18" s="1"/>
  <c r="BF115" i="18"/>
  <c r="BJ33" i="26"/>
  <c r="BJ32" i="26" s="1"/>
  <c r="BK41" i="26"/>
  <c r="BO101" i="26"/>
  <c r="BF115" i="26"/>
  <c r="BI115" i="23"/>
  <c r="BH126" i="23"/>
  <c r="BL47" i="18"/>
  <c r="BG128" i="18"/>
  <c r="BL47" i="26"/>
  <c r="BG115" i="26"/>
  <c r="BF126" i="26"/>
  <c r="BF115" i="23"/>
  <c r="BO122" i="18"/>
  <c r="BO124" i="18" s="1"/>
  <c r="BL11" i="26"/>
  <c r="BO111" i="26"/>
  <c r="BJ43" i="26"/>
  <c r="BJ47" i="26" s="1"/>
  <c r="BL78" i="26"/>
  <c r="BL76" i="26" s="1"/>
  <c r="BT90" i="26"/>
  <c r="BO103" i="23"/>
  <c r="BO103" i="18"/>
  <c r="BO103" i="26"/>
  <c r="BO103" i="22"/>
  <c r="BF105" i="26"/>
  <c r="BO102" i="23"/>
  <c r="BO101" i="13"/>
  <c r="BO102" i="22"/>
  <c r="BO102" i="25"/>
  <c r="BO105" i="25" s="1"/>
  <c r="BO101" i="22"/>
  <c r="BO102" i="17"/>
  <c r="BO105" i="17" s="1"/>
  <c r="BO101" i="25"/>
  <c r="BO101" i="17"/>
  <c r="BO102" i="26"/>
  <c r="BM20" i="26"/>
  <c r="BI55" i="26"/>
  <c r="BI47" i="26"/>
  <c r="BK31" i="26"/>
  <c r="BK32" i="26"/>
  <c r="BK30" i="26"/>
  <c r="BH41" i="26"/>
  <c r="BH33" i="26"/>
  <c r="BK47" i="26"/>
  <c r="BK55" i="26"/>
  <c r="BK109" i="26"/>
  <c r="BJ7" i="26"/>
  <c r="BH11" i="26"/>
  <c r="BK110" i="26"/>
  <c r="BJ121" i="26" s="1"/>
  <c r="BK123" i="26" s="1"/>
  <c r="BK76" i="26"/>
  <c r="BK77" i="26" s="1"/>
  <c r="BI11" i="26"/>
  <c r="BJ109" i="26"/>
  <c r="BM87" i="26"/>
  <c r="BK99" i="26"/>
  <c r="BK101" i="26" s="1"/>
  <c r="BM78" i="26"/>
  <c r="BM47" i="26"/>
  <c r="BI109" i="26"/>
  <c r="BJ99" i="26"/>
  <c r="BO101" i="23"/>
  <c r="BF115" i="13"/>
  <c r="BL98" i="18"/>
  <c r="BG105" i="18"/>
  <c r="BH105" i="23"/>
  <c r="BL11" i="18"/>
  <c r="BL9" i="18" s="1"/>
  <c r="BG115" i="18"/>
  <c r="BO102" i="13"/>
  <c r="BG105" i="23"/>
  <c r="BO102" i="18"/>
  <c r="BK20" i="18"/>
  <c r="BK11" i="18"/>
  <c r="BM47" i="18"/>
  <c r="BM55" i="18"/>
  <c r="BL77" i="18"/>
  <c r="BL110" i="18"/>
  <c r="BK121" i="18" s="1"/>
  <c r="BL123" i="18" s="1"/>
  <c r="BO101" i="18"/>
  <c r="BK78" i="18"/>
  <c r="BO50" i="11"/>
  <c r="BO36" i="11"/>
  <c r="BO15" i="11"/>
  <c r="BL30" i="18" l="1"/>
  <c r="BJ78" i="26"/>
  <c r="BJ76" i="26" s="1"/>
  <c r="BJ77" i="26" s="1"/>
  <c r="BL110" i="26"/>
  <c r="BK121" i="26" s="1"/>
  <c r="BL123" i="26" s="1"/>
  <c r="BO132" i="26"/>
  <c r="BK30" i="18"/>
  <c r="BL77" i="26"/>
  <c r="BK32" i="18"/>
  <c r="BJ30" i="26"/>
  <c r="BK31" i="18"/>
  <c r="BM32" i="26"/>
  <c r="BM30" i="26"/>
  <c r="BL10" i="18"/>
  <c r="BL108" i="18"/>
  <c r="BK120" i="18" s="1"/>
  <c r="BL122" i="18" s="1"/>
  <c r="BK10" i="26"/>
  <c r="BL32" i="26"/>
  <c r="BL31" i="26"/>
  <c r="BL30" i="26"/>
  <c r="BI110" i="26"/>
  <c r="BH121" i="26" s="1"/>
  <c r="BI123" i="26" s="1"/>
  <c r="BO105" i="22"/>
  <c r="BO106" i="22" s="1"/>
  <c r="BM110" i="18"/>
  <c r="BL121" i="18" s="1"/>
  <c r="BM123" i="18" s="1"/>
  <c r="BK9" i="26"/>
  <c r="BJ110" i="26"/>
  <c r="BI121" i="26" s="1"/>
  <c r="BJ123" i="26" s="1"/>
  <c r="BH44" i="26"/>
  <c r="BH46" i="26"/>
  <c r="BM10" i="26"/>
  <c r="BM9" i="26"/>
  <c r="BM8" i="26"/>
  <c r="BM11" i="18"/>
  <c r="BI32" i="26"/>
  <c r="BI31" i="26"/>
  <c r="BI30" i="26"/>
  <c r="BF128" i="26"/>
  <c r="BF130" i="26" s="1"/>
  <c r="BK108" i="26"/>
  <c r="BJ120" i="26" s="1"/>
  <c r="BK122" i="26" s="1"/>
  <c r="BL46" i="26"/>
  <c r="BL45" i="26"/>
  <c r="BL44" i="26"/>
  <c r="BK45" i="18"/>
  <c r="BK46" i="18"/>
  <c r="BL8" i="18"/>
  <c r="BH128" i="23"/>
  <c r="BH130" i="23" s="1"/>
  <c r="BL10" i="26"/>
  <c r="BL9" i="26"/>
  <c r="BL8" i="26"/>
  <c r="BL44" i="18"/>
  <c r="BL46" i="18"/>
  <c r="BL45" i="18"/>
  <c r="BG128" i="23"/>
  <c r="BG130" i="23" s="1"/>
  <c r="BF130" i="23"/>
  <c r="BL32" i="18"/>
  <c r="BI128" i="23"/>
  <c r="BG128" i="26"/>
  <c r="BJ31" i="26"/>
  <c r="BM98" i="26"/>
  <c r="BL108" i="26"/>
  <c r="BK120" i="26" s="1"/>
  <c r="BL122" i="26" s="1"/>
  <c r="BF128" i="18"/>
  <c r="BF130" i="18" s="1"/>
  <c r="BO105" i="26"/>
  <c r="BO106" i="26" s="1"/>
  <c r="BO106" i="25"/>
  <c r="AZ121" i="13"/>
  <c r="AZ121" i="26"/>
  <c r="AZ121" i="23"/>
  <c r="AZ121" i="18"/>
  <c r="AZ120" i="26"/>
  <c r="AZ120" i="23"/>
  <c r="AZ120" i="13"/>
  <c r="BO106" i="17"/>
  <c r="BH108" i="26"/>
  <c r="BH8" i="26"/>
  <c r="BH9" i="26"/>
  <c r="BH10" i="26"/>
  <c r="BH30" i="26"/>
  <c r="BH31" i="26"/>
  <c r="BH32" i="26"/>
  <c r="BM45" i="26"/>
  <c r="BM46" i="26"/>
  <c r="BM44" i="26"/>
  <c r="BL99" i="26"/>
  <c r="BL101" i="26" s="1"/>
  <c r="BM99" i="26"/>
  <c r="BM101" i="26" s="1"/>
  <c r="BI108" i="26"/>
  <c r="BI8" i="26"/>
  <c r="BI9" i="26"/>
  <c r="BI10" i="26"/>
  <c r="BJ98" i="26"/>
  <c r="BJ101" i="26" s="1"/>
  <c r="BJ11" i="26"/>
  <c r="BM108" i="26"/>
  <c r="BL120" i="26" s="1"/>
  <c r="BL109" i="26"/>
  <c r="BJ46" i="26"/>
  <c r="BJ44" i="26"/>
  <c r="BJ45" i="26"/>
  <c r="BK44" i="26"/>
  <c r="BK45" i="26"/>
  <c r="BK46" i="26"/>
  <c r="BM110" i="26"/>
  <c r="BL121" i="26" s="1"/>
  <c r="BM123" i="26" s="1"/>
  <c r="BM76" i="26"/>
  <c r="BM77" i="26" s="1"/>
  <c r="BI46" i="26"/>
  <c r="BI44" i="26"/>
  <c r="BI45" i="26"/>
  <c r="BM77" i="18"/>
  <c r="AZ120" i="18"/>
  <c r="BK110" i="18"/>
  <c r="BJ121" i="18" s="1"/>
  <c r="BK123" i="18" s="1"/>
  <c r="BK76" i="18"/>
  <c r="BM45" i="18"/>
  <c r="BM46" i="18"/>
  <c r="BM44" i="18"/>
  <c r="BK108" i="18"/>
  <c r="BJ120" i="18" s="1"/>
  <c r="BK9" i="18"/>
  <c r="BK10" i="18"/>
  <c r="BK8" i="18"/>
  <c r="BL111" i="26" l="1"/>
  <c r="BK124" i="26"/>
  <c r="BM10" i="18"/>
  <c r="BK111" i="26"/>
  <c r="BF7" i="13"/>
  <c r="BF11" i="13" s="1"/>
  <c r="BM108" i="18"/>
  <c r="BL120" i="18" s="1"/>
  <c r="BM122" i="18" s="1"/>
  <c r="BM124" i="18" s="1"/>
  <c r="BM8" i="18"/>
  <c r="BM9" i="18"/>
  <c r="BK122" i="18"/>
  <c r="BK124" i="18" s="1"/>
  <c r="BI111" i="26"/>
  <c r="BH120" i="26"/>
  <c r="BH111" i="26"/>
  <c r="BM122" i="26"/>
  <c r="BM124" i="26" s="1"/>
  <c r="BL124" i="26"/>
  <c r="BF86" i="26"/>
  <c r="BF36" i="29"/>
  <c r="F34" i="9" s="1"/>
  <c r="BF43" i="26"/>
  <c r="BM109" i="26"/>
  <c r="BM111" i="26" s="1"/>
  <c r="BJ108" i="26"/>
  <c r="BJ9" i="26"/>
  <c r="BJ8" i="26"/>
  <c r="BJ10" i="26"/>
  <c r="BF7" i="26"/>
  <c r="BF99" i="26"/>
  <c r="BI86" i="18"/>
  <c r="BH87" i="18"/>
  <c r="BK77" i="18"/>
  <c r="BF43" i="13"/>
  <c r="BF29" i="13"/>
  <c r="BF29" i="23"/>
  <c r="BF7" i="23"/>
  <c r="BF29" i="18"/>
  <c r="BF75" i="13"/>
  <c r="BG75" i="13" s="1"/>
  <c r="BK132" i="26" l="1"/>
  <c r="BG7" i="13"/>
  <c r="BH7" i="13" s="1"/>
  <c r="BF75" i="26"/>
  <c r="BF100" i="26" s="1"/>
  <c r="BM132" i="26"/>
  <c r="BL124" i="18"/>
  <c r="BF29" i="26"/>
  <c r="BF33" i="26" s="1"/>
  <c r="BG43" i="13"/>
  <c r="BG29" i="13"/>
  <c r="BH75" i="13"/>
  <c r="BG78" i="13"/>
  <c r="BG76" i="13" s="1"/>
  <c r="BG77" i="13" s="1"/>
  <c r="BL132" i="26"/>
  <c r="BI122" i="26"/>
  <c r="BH124" i="26"/>
  <c r="BJ111" i="26"/>
  <c r="BI120" i="26"/>
  <c r="BF50" i="29"/>
  <c r="F48" i="9" s="1"/>
  <c r="BF86" i="23"/>
  <c r="BG86" i="26"/>
  <c r="BF87" i="26"/>
  <c r="BN89" i="26" s="1"/>
  <c r="BF86" i="18"/>
  <c r="BF86" i="13"/>
  <c r="BG86" i="13" s="1"/>
  <c r="BF15" i="29"/>
  <c r="F13" i="9" s="1"/>
  <c r="BG36" i="29"/>
  <c r="G34" i="9" s="1"/>
  <c r="BF47" i="26"/>
  <c r="BG43" i="26"/>
  <c r="BG7" i="26"/>
  <c r="BF11" i="26"/>
  <c r="BG99" i="26"/>
  <c r="BH61" i="26"/>
  <c r="BN109" i="26"/>
  <c r="BF109" i="26"/>
  <c r="BF98" i="13"/>
  <c r="BF75" i="23"/>
  <c r="BG29" i="18"/>
  <c r="BF33" i="18"/>
  <c r="BF99" i="13"/>
  <c r="BG29" i="23"/>
  <c r="BF33" i="23"/>
  <c r="BI87" i="18"/>
  <c r="BJ86" i="18"/>
  <c r="BF99" i="18"/>
  <c r="BF47" i="13"/>
  <c r="BF43" i="18"/>
  <c r="BF78" i="13"/>
  <c r="BF109" i="13"/>
  <c r="BF7" i="18"/>
  <c r="BF10" i="13"/>
  <c r="BF9" i="13"/>
  <c r="BF8" i="13"/>
  <c r="BF11" i="23"/>
  <c r="BG7" i="23"/>
  <c r="BF43" i="23"/>
  <c r="BF33" i="13"/>
  <c r="BF75" i="18"/>
  <c r="F95" i="9" l="1"/>
  <c r="BG11" i="13"/>
  <c r="BG8" i="13" s="1"/>
  <c r="BF98" i="26"/>
  <c r="BG75" i="26"/>
  <c r="BH93" i="26" s="1"/>
  <c r="BG29" i="26"/>
  <c r="BJ36" i="26" s="1"/>
  <c r="BF78" i="26"/>
  <c r="BF76" i="26" s="1"/>
  <c r="BI7" i="13"/>
  <c r="BH11" i="13"/>
  <c r="BH86" i="13"/>
  <c r="BG87" i="13"/>
  <c r="BI75" i="13"/>
  <c r="BH78" i="13"/>
  <c r="BH76" i="13" s="1"/>
  <c r="BH77" i="13" s="1"/>
  <c r="BH29" i="13"/>
  <c r="BG33" i="13"/>
  <c r="BH43" i="13"/>
  <c r="BG47" i="13"/>
  <c r="BJ122" i="26"/>
  <c r="BJ124" i="26" s="1"/>
  <c r="BJ132" i="26" s="1"/>
  <c r="BI124" i="26"/>
  <c r="BH132" i="26"/>
  <c r="BG50" i="29"/>
  <c r="G48" i="9" s="1"/>
  <c r="BF100" i="13"/>
  <c r="BF101" i="13" s="1"/>
  <c r="BF106" i="13" s="1"/>
  <c r="BF87" i="13"/>
  <c r="BN89" i="13" s="1"/>
  <c r="BG87" i="26"/>
  <c r="BG86" i="23"/>
  <c r="BF87" i="23"/>
  <c r="BN89" i="23" s="1"/>
  <c r="BH61" i="18"/>
  <c r="H59" i="9" s="1"/>
  <c r="H96" i="9" s="1"/>
  <c r="BG86" i="18"/>
  <c r="BF87" i="18"/>
  <c r="BN89" i="18" s="1"/>
  <c r="BG15" i="29"/>
  <c r="G13" i="9" s="1"/>
  <c r="BI61" i="26"/>
  <c r="BH103" i="26"/>
  <c r="BF108" i="13"/>
  <c r="BH36" i="18"/>
  <c r="BI36" i="18"/>
  <c r="BJ36" i="18"/>
  <c r="BK36" i="18"/>
  <c r="BL36" i="18"/>
  <c r="BM36" i="18"/>
  <c r="BH36" i="29"/>
  <c r="BF101" i="26"/>
  <c r="BF106" i="26" s="1"/>
  <c r="BI93" i="26"/>
  <c r="BF110" i="26"/>
  <c r="BG47" i="26"/>
  <c r="BI50" i="26"/>
  <c r="BK50" i="26"/>
  <c r="BH50" i="26"/>
  <c r="BM50" i="26"/>
  <c r="BJ50" i="26"/>
  <c r="BL50" i="26"/>
  <c r="BF44" i="26"/>
  <c r="BF46" i="26"/>
  <c r="BF45" i="26"/>
  <c r="BF108" i="26"/>
  <c r="BF122" i="26" s="1"/>
  <c r="BF10" i="26"/>
  <c r="BF8" i="26"/>
  <c r="BF9" i="26"/>
  <c r="BF32" i="26"/>
  <c r="BF30" i="26"/>
  <c r="BF31" i="26"/>
  <c r="BM15" i="26"/>
  <c r="BL15" i="26"/>
  <c r="BK15" i="26"/>
  <c r="BG11" i="26"/>
  <c r="BJ15" i="26"/>
  <c r="BI15" i="26"/>
  <c r="BH15" i="26"/>
  <c r="BG33" i="26"/>
  <c r="BH62" i="26"/>
  <c r="BG109" i="26"/>
  <c r="BG104" i="13"/>
  <c r="BG114" i="13"/>
  <c r="BF127" i="13" s="1"/>
  <c r="BI114" i="13"/>
  <c r="BH127" i="13" s="1"/>
  <c r="BG102" i="13"/>
  <c r="BJ102" i="13"/>
  <c r="BI102" i="13"/>
  <c r="BH102" i="13"/>
  <c r="BG98" i="13"/>
  <c r="BF46" i="13"/>
  <c r="BF44" i="13"/>
  <c r="BF45" i="13"/>
  <c r="BH62" i="18"/>
  <c r="BF109" i="18"/>
  <c r="BF8" i="23"/>
  <c r="BF9" i="23"/>
  <c r="BF10" i="23"/>
  <c r="BF99" i="23"/>
  <c r="BG43" i="23"/>
  <c r="BF47" i="23"/>
  <c r="BF98" i="23"/>
  <c r="BG109" i="13"/>
  <c r="BF32" i="18"/>
  <c r="BF30" i="18"/>
  <c r="BF31" i="18"/>
  <c r="BF78" i="18"/>
  <c r="BF100" i="18"/>
  <c r="BG75" i="18"/>
  <c r="BF76" i="13"/>
  <c r="BF77" i="13" s="1"/>
  <c r="BJ87" i="18"/>
  <c r="BG99" i="13"/>
  <c r="BG100" i="13"/>
  <c r="BF30" i="23"/>
  <c r="BF31" i="23"/>
  <c r="BF32" i="23"/>
  <c r="BG33" i="18"/>
  <c r="BG99" i="18"/>
  <c r="BH29" i="23"/>
  <c r="BG33" i="23"/>
  <c r="BF98" i="18"/>
  <c r="BF11" i="18"/>
  <c r="BG7" i="18"/>
  <c r="BF31" i="13"/>
  <c r="BF32" i="13"/>
  <c r="BF30" i="13"/>
  <c r="BF47" i="18"/>
  <c r="BG43" i="18"/>
  <c r="BF109" i="23"/>
  <c r="BF100" i="23"/>
  <c r="BG75" i="23"/>
  <c r="BF78" i="23"/>
  <c r="BH7" i="23"/>
  <c r="BG11" i="23"/>
  <c r="BH92" i="26" l="1"/>
  <c r="BI92" i="26"/>
  <c r="BG9" i="13"/>
  <c r="BG10" i="13"/>
  <c r="G95" i="9"/>
  <c r="BJ92" i="26"/>
  <c r="BJ93" i="26"/>
  <c r="BJ114" i="26" s="1"/>
  <c r="BI127" i="26" s="1"/>
  <c r="H60" i="9"/>
  <c r="H106" i="9" s="1"/>
  <c r="BM93" i="26"/>
  <c r="BM114" i="26" s="1"/>
  <c r="BL127" i="26" s="1"/>
  <c r="BG100" i="26"/>
  <c r="BL93" i="26"/>
  <c r="BG78" i="26"/>
  <c r="BG110" i="26" s="1"/>
  <c r="BF121" i="26" s="1"/>
  <c r="BK93" i="26"/>
  <c r="BK36" i="26"/>
  <c r="BK102" i="26" s="1"/>
  <c r="BL36" i="26"/>
  <c r="BM36" i="26"/>
  <c r="BM40" i="26" s="1"/>
  <c r="BG98" i="26"/>
  <c r="BH36" i="26"/>
  <c r="H34" i="9" s="1"/>
  <c r="BI36" i="26"/>
  <c r="BI102" i="26" s="1"/>
  <c r="BF110" i="13"/>
  <c r="BF123" i="13" s="1"/>
  <c r="BH104" i="26"/>
  <c r="BI104" i="26"/>
  <c r="BK92" i="26"/>
  <c r="BJ104" i="26"/>
  <c r="BH50" i="29"/>
  <c r="BG46" i="13"/>
  <c r="BG45" i="13"/>
  <c r="BG44" i="13"/>
  <c r="BI78" i="13"/>
  <c r="BI76" i="13" s="1"/>
  <c r="BI77" i="13" s="1"/>
  <c r="BJ75" i="13"/>
  <c r="BH47" i="13"/>
  <c r="BI43" i="13"/>
  <c r="BH87" i="13"/>
  <c r="BI86" i="13"/>
  <c r="BG32" i="13"/>
  <c r="BG31" i="13"/>
  <c r="BG30" i="13"/>
  <c r="BI29" i="13"/>
  <c r="BH33" i="13"/>
  <c r="BH9" i="13"/>
  <c r="BH10" i="13"/>
  <c r="BH8" i="13"/>
  <c r="BJ7" i="13"/>
  <c r="BI11" i="13"/>
  <c r="BH114" i="13"/>
  <c r="BG127" i="13" s="1"/>
  <c r="BH129" i="13" s="1"/>
  <c r="BG129" i="13"/>
  <c r="BH15" i="29"/>
  <c r="BJ114" i="13"/>
  <c r="BI127" i="13" s="1"/>
  <c r="BI129" i="13"/>
  <c r="BI132" i="26"/>
  <c r="BG108" i="13"/>
  <c r="BF120" i="13" s="1"/>
  <c r="BF122" i="13"/>
  <c r="BF123" i="26"/>
  <c r="BI61" i="18"/>
  <c r="I59" i="9" s="1"/>
  <c r="I96" i="9" s="1"/>
  <c r="BH113" i="18"/>
  <c r="BI62" i="18"/>
  <c r="BH113" i="26"/>
  <c r="BH103" i="18"/>
  <c r="BN87" i="26"/>
  <c r="BH86" i="23"/>
  <c r="BG87" i="23"/>
  <c r="BG87" i="18"/>
  <c r="BF108" i="23"/>
  <c r="BF101" i="18"/>
  <c r="BF106" i="18" s="1"/>
  <c r="BG105" i="13"/>
  <c r="BJ61" i="26"/>
  <c r="BI103" i="26"/>
  <c r="BI50" i="18"/>
  <c r="BJ50" i="18"/>
  <c r="BH50" i="18"/>
  <c r="BK50" i="18"/>
  <c r="BL50" i="18"/>
  <c r="BM50" i="18"/>
  <c r="BJ40" i="18"/>
  <c r="BI40" i="18"/>
  <c r="BN36" i="18"/>
  <c r="BH40" i="18"/>
  <c r="BM15" i="18"/>
  <c r="BJ15" i="18"/>
  <c r="BI15" i="18"/>
  <c r="BK15" i="18"/>
  <c r="BL15" i="18"/>
  <c r="BH15" i="18"/>
  <c r="H13" i="9" s="1"/>
  <c r="BI36" i="29"/>
  <c r="BF111" i="26"/>
  <c r="BF116" i="26" s="1"/>
  <c r="BH114" i="26"/>
  <c r="BG121" i="26" s="1"/>
  <c r="BH129" i="26" s="1"/>
  <c r="BI114" i="26"/>
  <c r="BH127" i="26" s="1"/>
  <c r="BF77" i="26"/>
  <c r="BK114" i="26"/>
  <c r="BJ127" i="26" s="1"/>
  <c r="BL54" i="26"/>
  <c r="BJ54" i="26"/>
  <c r="BM54" i="26"/>
  <c r="BH54" i="26"/>
  <c r="BN50" i="26"/>
  <c r="BK54" i="26"/>
  <c r="BI54" i="26"/>
  <c r="BN47" i="26"/>
  <c r="BG45" i="26"/>
  <c r="BG46" i="26"/>
  <c r="BG44" i="26"/>
  <c r="BJ102" i="26"/>
  <c r="BJ19" i="26"/>
  <c r="BL40" i="26"/>
  <c r="BK19" i="26"/>
  <c r="BI19" i="26"/>
  <c r="BG108" i="26"/>
  <c r="BF120" i="26" s="1"/>
  <c r="BG122" i="26" s="1"/>
  <c r="BG10" i="26"/>
  <c r="BG8" i="26"/>
  <c r="BG9" i="26"/>
  <c r="BN11" i="26"/>
  <c r="BI62" i="26"/>
  <c r="BL102" i="26"/>
  <c r="BL19" i="26"/>
  <c r="BH40" i="26"/>
  <c r="BM19" i="26"/>
  <c r="BG32" i="26"/>
  <c r="BG30" i="26"/>
  <c r="BG31" i="26"/>
  <c r="BN33" i="26"/>
  <c r="BJ40" i="26"/>
  <c r="BH102" i="26"/>
  <c r="BN15" i="26"/>
  <c r="BH19" i="26"/>
  <c r="BK93" i="18"/>
  <c r="BM92" i="18"/>
  <c r="BL93" i="18"/>
  <c r="BH92" i="18"/>
  <c r="BM93" i="18"/>
  <c r="BH93" i="18"/>
  <c r="BI92" i="18"/>
  <c r="BJ92" i="18"/>
  <c r="BJ93" i="18"/>
  <c r="BI93" i="18"/>
  <c r="BK92" i="18"/>
  <c r="BL92" i="18"/>
  <c r="BH104" i="13"/>
  <c r="BH105" i="13" s="1"/>
  <c r="BH112" i="13"/>
  <c r="BJ112" i="13"/>
  <c r="BI112" i="13"/>
  <c r="BG112" i="13"/>
  <c r="BH98" i="13"/>
  <c r="BG101" i="13"/>
  <c r="BF76" i="23"/>
  <c r="BF110" i="23"/>
  <c r="BF123" i="23" s="1"/>
  <c r="BG109" i="23"/>
  <c r="BG98" i="18"/>
  <c r="BG11" i="18"/>
  <c r="BG32" i="18"/>
  <c r="BG30" i="18"/>
  <c r="BG31" i="18"/>
  <c r="BG110" i="13"/>
  <c r="BF101" i="23"/>
  <c r="BF106" i="23" s="1"/>
  <c r="BG99" i="23"/>
  <c r="BG100" i="18"/>
  <c r="BG78" i="18"/>
  <c r="BF108" i="18"/>
  <c r="BF10" i="18"/>
  <c r="BF8" i="18"/>
  <c r="BF9" i="18"/>
  <c r="BG10" i="23"/>
  <c r="BG8" i="23"/>
  <c r="BG9" i="23"/>
  <c r="BH33" i="18"/>
  <c r="BF110" i="18"/>
  <c r="BF123" i="18" s="1"/>
  <c r="BF76" i="18"/>
  <c r="BF77" i="18" s="1"/>
  <c r="BG47" i="23"/>
  <c r="BH43" i="23"/>
  <c r="BG78" i="23"/>
  <c r="BG100" i="23"/>
  <c r="BH75" i="23"/>
  <c r="BI7" i="23"/>
  <c r="BH11" i="23"/>
  <c r="BG32" i="23"/>
  <c r="BG30" i="23"/>
  <c r="BG31" i="23"/>
  <c r="BH99" i="13"/>
  <c r="BH99" i="18"/>
  <c r="BF44" i="23"/>
  <c r="BF45" i="23"/>
  <c r="BF46" i="23"/>
  <c r="BG98" i="23"/>
  <c r="BG47" i="18"/>
  <c r="BI29" i="23"/>
  <c r="BH33" i="23"/>
  <c r="BH109" i="13"/>
  <c r="BF45" i="18"/>
  <c r="BF46" i="18"/>
  <c r="BF44" i="18"/>
  <c r="BH100" i="13"/>
  <c r="BG109" i="18"/>
  <c r="BM102" i="26" l="1"/>
  <c r="BN93" i="26"/>
  <c r="BI40" i="26"/>
  <c r="BL114" i="26"/>
  <c r="BK127" i="26" s="1"/>
  <c r="BL129" i="26" s="1"/>
  <c r="I34" i="9"/>
  <c r="BG76" i="26"/>
  <c r="I60" i="9"/>
  <c r="I106" i="9" s="1"/>
  <c r="BG101" i="26"/>
  <c r="BG106" i="26" s="1"/>
  <c r="BN78" i="26"/>
  <c r="BN110" i="26" s="1"/>
  <c r="H48" i="9"/>
  <c r="H95" i="9" s="1"/>
  <c r="BF111" i="13"/>
  <c r="BF116" i="13" s="1"/>
  <c r="BK40" i="26"/>
  <c r="BN40" i="26" s="1"/>
  <c r="BN36" i="26"/>
  <c r="BN102" i="26" s="1"/>
  <c r="BL92" i="26"/>
  <c r="BK104" i="26"/>
  <c r="BI50" i="29"/>
  <c r="I48" i="9" s="1"/>
  <c r="BJ7" i="23"/>
  <c r="BJ29" i="23"/>
  <c r="BI8" i="13"/>
  <c r="BI9" i="13"/>
  <c r="BI10" i="13"/>
  <c r="BK7" i="13"/>
  <c r="BJ11" i="13"/>
  <c r="BJ29" i="13"/>
  <c r="BI33" i="13"/>
  <c r="BJ43" i="13"/>
  <c r="BI47" i="13"/>
  <c r="BH32" i="13"/>
  <c r="BH30" i="13"/>
  <c r="BH31" i="13"/>
  <c r="BH44" i="13"/>
  <c r="BH46" i="13"/>
  <c r="BH45" i="13"/>
  <c r="BK75" i="13"/>
  <c r="BJ78" i="13"/>
  <c r="BJ86" i="13"/>
  <c r="BI87" i="13"/>
  <c r="BI98" i="13"/>
  <c r="BG111" i="13"/>
  <c r="BF121" i="13"/>
  <c r="BG123" i="13" s="1"/>
  <c r="BF122" i="23"/>
  <c r="BF122" i="18"/>
  <c r="BJ129" i="13"/>
  <c r="BH115" i="13"/>
  <c r="BG126" i="13"/>
  <c r="BI115" i="13"/>
  <c r="BH126" i="13"/>
  <c r="BG115" i="13"/>
  <c r="BF126" i="13"/>
  <c r="BJ115" i="13"/>
  <c r="BI126" i="13"/>
  <c r="BG122" i="13"/>
  <c r="BJ129" i="26"/>
  <c r="BI129" i="26"/>
  <c r="BG123" i="26"/>
  <c r="BF124" i="26"/>
  <c r="BK129" i="26"/>
  <c r="BM129" i="26"/>
  <c r="BH105" i="26"/>
  <c r="BH106" i="26" s="1"/>
  <c r="BI103" i="18"/>
  <c r="BN93" i="18"/>
  <c r="BJ61" i="18"/>
  <c r="BI113" i="26"/>
  <c r="BJ62" i="18"/>
  <c r="BI113" i="18"/>
  <c r="BF111" i="23"/>
  <c r="BF116" i="23" s="1"/>
  <c r="BN87" i="18"/>
  <c r="BH87" i="23"/>
  <c r="BI86" i="23"/>
  <c r="BJ86" i="23" s="1"/>
  <c r="BG106" i="13"/>
  <c r="BJ104" i="18"/>
  <c r="BI104" i="18"/>
  <c r="BH104" i="18"/>
  <c r="BI15" i="29"/>
  <c r="I13" i="9" s="1"/>
  <c r="BN9" i="26"/>
  <c r="BI105" i="26"/>
  <c r="BI106" i="26" s="1"/>
  <c r="BN46" i="26"/>
  <c r="BK61" i="26"/>
  <c r="BJ103" i="26"/>
  <c r="BJ105" i="26" s="1"/>
  <c r="BJ106" i="26" s="1"/>
  <c r="BN50" i="18"/>
  <c r="BH54" i="18"/>
  <c r="BJ54" i="18"/>
  <c r="BI54" i="18"/>
  <c r="BI38" i="18"/>
  <c r="BI37" i="18"/>
  <c r="BI39" i="18"/>
  <c r="BH37" i="18"/>
  <c r="BH38" i="18"/>
  <c r="BH39" i="18"/>
  <c r="BJ39" i="18"/>
  <c r="BJ37" i="18"/>
  <c r="BJ38" i="18"/>
  <c r="BN15" i="18"/>
  <c r="BH19" i="18"/>
  <c r="BH102" i="18"/>
  <c r="BI102" i="18"/>
  <c r="BI19" i="18"/>
  <c r="BJ19" i="18"/>
  <c r="BJ102" i="18"/>
  <c r="BJ36" i="29"/>
  <c r="J34" i="9" s="1"/>
  <c r="BG77" i="26"/>
  <c r="BN114" i="26"/>
  <c r="BN76" i="26"/>
  <c r="BG111" i="26"/>
  <c r="BH51" i="26"/>
  <c r="BN54" i="26"/>
  <c r="BH52" i="26"/>
  <c r="BH53" i="26"/>
  <c r="BN44" i="26"/>
  <c r="BM52" i="26"/>
  <c r="BM53" i="26"/>
  <c r="BM51" i="26"/>
  <c r="BN45" i="26"/>
  <c r="BJ51" i="26"/>
  <c r="BJ53" i="26"/>
  <c r="BJ52" i="26"/>
  <c r="BN48" i="26"/>
  <c r="BL52" i="26"/>
  <c r="BL51" i="26"/>
  <c r="BL53" i="26"/>
  <c r="BK52" i="26"/>
  <c r="BK51" i="26"/>
  <c r="BK53" i="26"/>
  <c r="BI53" i="26"/>
  <c r="BI52" i="26"/>
  <c r="BI51" i="26"/>
  <c r="BN30" i="26"/>
  <c r="BH39" i="26"/>
  <c r="BH37" i="26"/>
  <c r="BH38" i="26"/>
  <c r="BJ112" i="26"/>
  <c r="BI126" i="26" s="1"/>
  <c r="BJ128" i="26" s="1"/>
  <c r="BJ18" i="26"/>
  <c r="BJ17" i="26"/>
  <c r="BJ16" i="26"/>
  <c r="BH18" i="26"/>
  <c r="BH16" i="26"/>
  <c r="BN19" i="26"/>
  <c r="BH112" i="26"/>
  <c r="BG120" i="26" s="1"/>
  <c r="BH128" i="26" s="1"/>
  <c r="BH17" i="26"/>
  <c r="BJ39" i="26"/>
  <c r="BJ37" i="26"/>
  <c r="BJ38" i="26"/>
  <c r="BN31" i="26"/>
  <c r="BM38" i="26"/>
  <c r="BM37" i="26"/>
  <c r="BM39" i="26"/>
  <c r="BM112" i="26"/>
  <c r="BL126" i="26" s="1"/>
  <c r="BM128" i="26" s="1"/>
  <c r="BM17" i="26"/>
  <c r="BM18" i="26"/>
  <c r="BM16" i="26"/>
  <c r="BN8" i="26"/>
  <c r="BN10" i="26"/>
  <c r="BJ62" i="26"/>
  <c r="BK17" i="26"/>
  <c r="BK16" i="26"/>
  <c r="BK18" i="26"/>
  <c r="BI39" i="26"/>
  <c r="BI37" i="26"/>
  <c r="BI38" i="26"/>
  <c r="BN32" i="26"/>
  <c r="BL112" i="26"/>
  <c r="BK126" i="26" s="1"/>
  <c r="BL128" i="26" s="1"/>
  <c r="BL17" i="26"/>
  <c r="BL18" i="26"/>
  <c r="BL16" i="26"/>
  <c r="BN108" i="26"/>
  <c r="BL38" i="26"/>
  <c r="BL39" i="26"/>
  <c r="BL37" i="26"/>
  <c r="BI112" i="26"/>
  <c r="BI18" i="26"/>
  <c r="BI16" i="26"/>
  <c r="BI17" i="26"/>
  <c r="BG101" i="23"/>
  <c r="BG106" i="23" s="1"/>
  <c r="BH114" i="18"/>
  <c r="BG121" i="18" s="1"/>
  <c r="BH129" i="18" s="1"/>
  <c r="BI114" i="18"/>
  <c r="BH127" i="18" s="1"/>
  <c r="BJ114" i="18"/>
  <c r="BI127" i="18" s="1"/>
  <c r="BJ129" i="18" s="1"/>
  <c r="BI104" i="13"/>
  <c r="BI105" i="13" s="1"/>
  <c r="BH108" i="13"/>
  <c r="BG120" i="13" s="1"/>
  <c r="BF77" i="23"/>
  <c r="BH101" i="13"/>
  <c r="BH106" i="13" s="1"/>
  <c r="BH109" i="18"/>
  <c r="BG45" i="18"/>
  <c r="BG44" i="18"/>
  <c r="BG46" i="18"/>
  <c r="BH100" i="23"/>
  <c r="BI75" i="23"/>
  <c r="BJ75" i="23" s="1"/>
  <c r="BH78" i="23"/>
  <c r="BI43" i="23"/>
  <c r="BH47" i="23"/>
  <c r="BJ29" i="18"/>
  <c r="BI33" i="18"/>
  <c r="BH98" i="18"/>
  <c r="BI7" i="18"/>
  <c r="BH11" i="18"/>
  <c r="BI43" i="18"/>
  <c r="BH47" i="18"/>
  <c r="BG45" i="23"/>
  <c r="BG44" i="23"/>
  <c r="BG46" i="23"/>
  <c r="BF111" i="18"/>
  <c r="BF116" i="18" s="1"/>
  <c r="BG101" i="18"/>
  <c r="BG106" i="18" s="1"/>
  <c r="BI109" i="13"/>
  <c r="BI99" i="13"/>
  <c r="BG110" i="18"/>
  <c r="BF121" i="18" s="1"/>
  <c r="BG123" i="18" s="1"/>
  <c r="BG76" i="18"/>
  <c r="BH99" i="23"/>
  <c r="BI100" i="13"/>
  <c r="BG76" i="23"/>
  <c r="BG110" i="23"/>
  <c r="BF121" i="23" s="1"/>
  <c r="BG123" i="23" s="1"/>
  <c r="BH31" i="23"/>
  <c r="BH32" i="23"/>
  <c r="BH30" i="23"/>
  <c r="BI99" i="18"/>
  <c r="BH10" i="23"/>
  <c r="BH9" i="23"/>
  <c r="BH8" i="23"/>
  <c r="BI75" i="18"/>
  <c r="BH100" i="18"/>
  <c r="BH78" i="18"/>
  <c r="BH109" i="23"/>
  <c r="BH110" i="13"/>
  <c r="BI33" i="23"/>
  <c r="BI11" i="23"/>
  <c r="BG108" i="23"/>
  <c r="BF120" i="23" s="1"/>
  <c r="BG108" i="18"/>
  <c r="BF120" i="18" s="1"/>
  <c r="BG10" i="18"/>
  <c r="BG8" i="18"/>
  <c r="BG9" i="18"/>
  <c r="BH98" i="23"/>
  <c r="BH30" i="18"/>
  <c r="BH31" i="18"/>
  <c r="BH32" i="18"/>
  <c r="BJ50" i="29" l="1"/>
  <c r="J48" i="9" s="1"/>
  <c r="J60" i="9"/>
  <c r="J106" i="9" s="1"/>
  <c r="BK112" i="26"/>
  <c r="BJ126" i="26" s="1"/>
  <c r="BK128" i="26" s="1"/>
  <c r="BK130" i="26" s="1"/>
  <c r="I95" i="9"/>
  <c r="BK39" i="26"/>
  <c r="BN39" i="26" s="1"/>
  <c r="BK37" i="26"/>
  <c r="BN37" i="26" s="1"/>
  <c r="BK38" i="26"/>
  <c r="BK61" i="18"/>
  <c r="K59" i="9" s="1"/>
  <c r="K96" i="9" s="1"/>
  <c r="J59" i="9"/>
  <c r="J96" i="9" s="1"/>
  <c r="BM92" i="26"/>
  <c r="BL104" i="26"/>
  <c r="BG116" i="13"/>
  <c r="BG124" i="26"/>
  <c r="BG132" i="26" s="1"/>
  <c r="BF124" i="13"/>
  <c r="BF132" i="13" s="1"/>
  <c r="BJ43" i="23"/>
  <c r="BJ98" i="23" s="1"/>
  <c r="BG116" i="26"/>
  <c r="BK29" i="23"/>
  <c r="BJ33" i="23"/>
  <c r="BK75" i="23"/>
  <c r="BJ78" i="23"/>
  <c r="BJ76" i="23" s="1"/>
  <c r="BJ77" i="23" s="1"/>
  <c r="BJ103" i="18"/>
  <c r="BJ105" i="18" s="1"/>
  <c r="BN111" i="26"/>
  <c r="BN132" i="26" s="1"/>
  <c r="BK86" i="23"/>
  <c r="BJ87" i="23"/>
  <c r="BK7" i="23"/>
  <c r="BJ11" i="23"/>
  <c r="BJ10" i="13"/>
  <c r="BJ9" i="13"/>
  <c r="BJ8" i="13"/>
  <c r="BJ76" i="13"/>
  <c r="BJ77" i="13" s="1"/>
  <c r="BI46" i="13"/>
  <c r="BI44" i="13"/>
  <c r="BI45" i="13"/>
  <c r="BK11" i="13"/>
  <c r="BL7" i="13"/>
  <c r="BL75" i="13"/>
  <c r="BK78" i="13"/>
  <c r="BK43" i="13"/>
  <c r="BJ47" i="13"/>
  <c r="BI31" i="13"/>
  <c r="BI30" i="13"/>
  <c r="BI32" i="13"/>
  <c r="BK86" i="13"/>
  <c r="BJ87" i="13"/>
  <c r="BJ33" i="13"/>
  <c r="BK29" i="13"/>
  <c r="BK98" i="13" s="1"/>
  <c r="BJ98" i="13"/>
  <c r="BH111" i="13"/>
  <c r="BH116" i="13" s="1"/>
  <c r="BG121" i="13"/>
  <c r="BH123" i="13" s="1"/>
  <c r="BI129" i="18"/>
  <c r="BG122" i="18"/>
  <c r="BF124" i="18"/>
  <c r="BG122" i="23"/>
  <c r="BF124" i="23"/>
  <c r="BI115" i="26"/>
  <c r="BI116" i="26" s="1"/>
  <c r="BH126" i="26"/>
  <c r="BI128" i="26" s="1"/>
  <c r="BI130" i="26" s="1"/>
  <c r="BL130" i="26"/>
  <c r="BH115" i="26"/>
  <c r="BH116" i="26" s="1"/>
  <c r="BF132" i="26"/>
  <c r="BG128" i="13"/>
  <c r="BG130" i="13" s="1"/>
  <c r="BF130" i="13"/>
  <c r="BH128" i="13"/>
  <c r="BJ128" i="13"/>
  <c r="BH122" i="13"/>
  <c r="BI108" i="13"/>
  <c r="BH120" i="13" s="1"/>
  <c r="BI128" i="13"/>
  <c r="BG111" i="18"/>
  <c r="BH105" i="18"/>
  <c r="BK62" i="18"/>
  <c r="BJ113" i="18"/>
  <c r="BN41" i="26"/>
  <c r="BO41" i="26" s="1"/>
  <c r="BN55" i="26"/>
  <c r="BO55" i="26" s="1"/>
  <c r="BJ113" i="26"/>
  <c r="BJ115" i="26" s="1"/>
  <c r="BJ116" i="26" s="1"/>
  <c r="BJ113" i="23"/>
  <c r="BN20" i="26"/>
  <c r="BO20" i="26" s="1"/>
  <c r="BI105" i="18"/>
  <c r="BG111" i="23"/>
  <c r="BG116" i="23" s="1"/>
  <c r="BI87" i="23"/>
  <c r="BJ15" i="29"/>
  <c r="J13" i="9" s="1"/>
  <c r="J95" i="9" s="1"/>
  <c r="BL61" i="26"/>
  <c r="BK103" i="26"/>
  <c r="BK105" i="26" s="1"/>
  <c r="BK106" i="26" s="1"/>
  <c r="BI101" i="13"/>
  <c r="BI106" i="13" s="1"/>
  <c r="BI98" i="23"/>
  <c r="BJ53" i="18"/>
  <c r="J51" i="9" s="1"/>
  <c r="BJ52" i="18"/>
  <c r="J50" i="9" s="1"/>
  <c r="BJ51" i="18"/>
  <c r="BI53" i="18"/>
  <c r="I51" i="9" s="1"/>
  <c r="BI51" i="18"/>
  <c r="BI52" i="18"/>
  <c r="I50" i="9" s="1"/>
  <c r="BH51" i="18"/>
  <c r="BH52" i="18"/>
  <c r="H50" i="9" s="1"/>
  <c r="BH53" i="18"/>
  <c r="H51" i="9" s="1"/>
  <c r="BJ18" i="18"/>
  <c r="BJ16" i="18"/>
  <c r="BJ17" i="18"/>
  <c r="BJ112" i="18"/>
  <c r="BI126" i="18" s="1"/>
  <c r="BH16" i="18"/>
  <c r="BH17" i="18"/>
  <c r="BH112" i="18"/>
  <c r="BH18" i="18"/>
  <c r="BI17" i="18"/>
  <c r="BI16" i="18"/>
  <c r="BI18" i="18"/>
  <c r="BI112" i="18"/>
  <c r="BK50" i="29"/>
  <c r="K48" i="9" s="1"/>
  <c r="BK36" i="29"/>
  <c r="K34" i="9" s="1"/>
  <c r="BN77" i="26"/>
  <c r="BN52" i="26"/>
  <c r="BN53" i="26"/>
  <c r="BN51" i="26"/>
  <c r="BN17" i="26"/>
  <c r="BN112" i="26"/>
  <c r="BN16" i="26"/>
  <c r="BN18" i="26"/>
  <c r="BN38" i="26"/>
  <c r="BK62" i="26"/>
  <c r="BH101" i="23"/>
  <c r="BH106" i="23" s="1"/>
  <c r="BJ104" i="13"/>
  <c r="BJ105" i="13" s="1"/>
  <c r="BG77" i="23"/>
  <c r="BH46" i="18"/>
  <c r="BH44" i="18"/>
  <c r="BH45" i="18"/>
  <c r="BI30" i="18"/>
  <c r="BI31" i="18"/>
  <c r="BI32" i="18"/>
  <c r="BH46" i="23"/>
  <c r="BH44" i="23"/>
  <c r="BH45" i="23"/>
  <c r="BI109" i="23"/>
  <c r="BH108" i="23"/>
  <c r="BG120" i="23" s="1"/>
  <c r="BJ109" i="13"/>
  <c r="BJ33" i="18"/>
  <c r="BI47" i="23"/>
  <c r="BJ43" i="18"/>
  <c r="BI47" i="18"/>
  <c r="BI8" i="23"/>
  <c r="BI9" i="23"/>
  <c r="BI10" i="23"/>
  <c r="BH76" i="18"/>
  <c r="BH110" i="18"/>
  <c r="BJ100" i="13"/>
  <c r="BI99" i="23"/>
  <c r="BJ99" i="13"/>
  <c r="BH108" i="18"/>
  <c r="BH10" i="18"/>
  <c r="BH8" i="18"/>
  <c r="BH9" i="18"/>
  <c r="BI100" i="18"/>
  <c r="BJ75" i="18"/>
  <c r="BI78" i="18"/>
  <c r="BJ99" i="18"/>
  <c r="BI110" i="13"/>
  <c r="BH121" i="13" s="1"/>
  <c r="BI123" i="13" s="1"/>
  <c r="BI98" i="18"/>
  <c r="BJ7" i="18"/>
  <c r="BI11" i="18"/>
  <c r="BG77" i="18"/>
  <c r="BH110" i="23"/>
  <c r="BG121" i="23" s="1"/>
  <c r="BH123" i="23" s="1"/>
  <c r="BH76" i="23"/>
  <c r="BI109" i="18"/>
  <c r="BI31" i="23"/>
  <c r="BI32" i="23"/>
  <c r="BI30" i="23"/>
  <c r="BK102" i="13"/>
  <c r="BH101" i="18"/>
  <c r="BI100" i="23"/>
  <c r="BI78" i="23"/>
  <c r="BK103" i="18" l="1"/>
  <c r="BL61" i="18"/>
  <c r="BJ130" i="26"/>
  <c r="L59" i="9"/>
  <c r="L96" i="9" s="1"/>
  <c r="K60" i="9"/>
  <c r="K106" i="9" s="1"/>
  <c r="BG120" i="18"/>
  <c r="BH128" i="18" s="1"/>
  <c r="BM104" i="26"/>
  <c r="BN92" i="26"/>
  <c r="BN94" i="26"/>
  <c r="BO94" i="26" s="1"/>
  <c r="BJ32" i="23"/>
  <c r="BJ30" i="23"/>
  <c r="BJ31" i="23"/>
  <c r="BL7" i="23"/>
  <c r="BK11" i="23"/>
  <c r="BL75" i="23"/>
  <c r="BK78" i="23"/>
  <c r="BK100" i="23"/>
  <c r="BL29" i="23"/>
  <c r="BK33" i="23"/>
  <c r="BJ8" i="23"/>
  <c r="BJ9" i="23"/>
  <c r="BJ10" i="23"/>
  <c r="BK43" i="23"/>
  <c r="BJ47" i="23"/>
  <c r="BL86" i="23"/>
  <c r="BK87" i="23"/>
  <c r="BM7" i="13"/>
  <c r="BL11" i="13"/>
  <c r="BM75" i="13"/>
  <c r="BL78" i="13"/>
  <c r="BJ45" i="13"/>
  <c r="BJ46" i="13"/>
  <c r="BJ44" i="13"/>
  <c r="BK9" i="13"/>
  <c r="BK10" i="13"/>
  <c r="BK8" i="13"/>
  <c r="BL86" i="13"/>
  <c r="BK87" i="13"/>
  <c r="BG124" i="13"/>
  <c r="BG132" i="13" s="1"/>
  <c r="BK33" i="13"/>
  <c r="BL29" i="13"/>
  <c r="BL43" i="13"/>
  <c r="BK47" i="13"/>
  <c r="BJ30" i="13"/>
  <c r="BJ32" i="13"/>
  <c r="BJ31" i="13"/>
  <c r="BK100" i="13"/>
  <c r="BK76" i="13"/>
  <c r="BK77" i="13" s="1"/>
  <c r="BH106" i="18"/>
  <c r="BH115" i="18"/>
  <c r="BF132" i="18"/>
  <c r="BI115" i="18"/>
  <c r="BH126" i="18"/>
  <c r="BJ128" i="18"/>
  <c r="BH130" i="13"/>
  <c r="BI130" i="13"/>
  <c r="BF132" i="23"/>
  <c r="BG124" i="23"/>
  <c r="BH122" i="23"/>
  <c r="BG116" i="18"/>
  <c r="BH130" i="26"/>
  <c r="BG130" i="26"/>
  <c r="BI111" i="13"/>
  <c r="BI122" i="13"/>
  <c r="BH124" i="13"/>
  <c r="BJ115" i="18"/>
  <c r="BK103" i="23"/>
  <c r="BJ103" i="23"/>
  <c r="BO40" i="26"/>
  <c r="BO38" i="26" s="1"/>
  <c r="BO19" i="26"/>
  <c r="BO54" i="26"/>
  <c r="BO52" i="26" s="1"/>
  <c r="BK113" i="23"/>
  <c r="BK113" i="26"/>
  <c r="BK115" i="26" s="1"/>
  <c r="BL62" i="18"/>
  <c r="BK113" i="18"/>
  <c r="BK15" i="29"/>
  <c r="K13" i="9" s="1"/>
  <c r="K95" i="9" s="1"/>
  <c r="BI108" i="23"/>
  <c r="BH120" i="23" s="1"/>
  <c r="BJ102" i="23"/>
  <c r="BJ104" i="23"/>
  <c r="BJ114" i="23"/>
  <c r="BI127" i="23" s="1"/>
  <c r="BM61" i="18"/>
  <c r="BL103" i="18"/>
  <c r="BM61" i="26"/>
  <c r="BL103" i="26"/>
  <c r="BL105" i="26" s="1"/>
  <c r="BL106" i="26" s="1"/>
  <c r="BL36" i="29"/>
  <c r="L34" i="9" s="1"/>
  <c r="BL50" i="29"/>
  <c r="L48" i="9" s="1"/>
  <c r="BL62" i="26"/>
  <c r="BH77" i="18"/>
  <c r="BJ101" i="13"/>
  <c r="BJ106" i="13" s="1"/>
  <c r="BH111" i="18"/>
  <c r="BI101" i="23"/>
  <c r="BI106" i="23" s="1"/>
  <c r="BH77" i="23"/>
  <c r="BK99" i="13"/>
  <c r="BK104" i="13"/>
  <c r="BK105" i="13" s="1"/>
  <c r="BL114" i="13"/>
  <c r="BK127" i="13" s="1"/>
  <c r="BL129" i="13" s="1"/>
  <c r="BH111" i="23"/>
  <c r="BH116" i="23" s="1"/>
  <c r="BI45" i="23"/>
  <c r="BI46" i="23"/>
  <c r="BI44" i="23"/>
  <c r="BI76" i="23"/>
  <c r="BI110" i="23"/>
  <c r="BH121" i="23" s="1"/>
  <c r="BI123" i="23" s="1"/>
  <c r="BI108" i="18"/>
  <c r="BH120" i="18" s="1"/>
  <c r="BI8" i="18"/>
  <c r="BI9" i="18"/>
  <c r="BI10" i="18"/>
  <c r="BK114" i="13"/>
  <c r="BJ127" i="13" s="1"/>
  <c r="BK129" i="13" s="1"/>
  <c r="BI46" i="18"/>
  <c r="BI45" i="18"/>
  <c r="BI44" i="18"/>
  <c r="BJ31" i="18"/>
  <c r="BJ32" i="18"/>
  <c r="BJ30" i="18"/>
  <c r="BN33" i="18"/>
  <c r="BM114" i="13"/>
  <c r="BL127" i="13" s="1"/>
  <c r="BM129" i="13" s="1"/>
  <c r="BK109" i="13"/>
  <c r="BJ109" i="18"/>
  <c r="BJ110" i="13"/>
  <c r="BI121" i="13" s="1"/>
  <c r="BJ123" i="13" s="1"/>
  <c r="BJ100" i="23"/>
  <c r="BJ108" i="13"/>
  <c r="BI120" i="13" s="1"/>
  <c r="BK99" i="18"/>
  <c r="BK101" i="18" s="1"/>
  <c r="BI76" i="18"/>
  <c r="BI110" i="18"/>
  <c r="BH121" i="18" s="1"/>
  <c r="BI123" i="18" s="1"/>
  <c r="BJ47" i="18"/>
  <c r="BJ98" i="18"/>
  <c r="BJ11" i="18"/>
  <c r="BI101" i="18"/>
  <c r="BI106" i="18" s="1"/>
  <c r="BJ100" i="18"/>
  <c r="BJ78" i="18"/>
  <c r="BJ99" i="23"/>
  <c r="BK40" i="18"/>
  <c r="BJ109" i="23"/>
  <c r="BK101" i="13" l="1"/>
  <c r="L60" i="9"/>
  <c r="L106" i="9" s="1"/>
  <c r="BG124" i="18"/>
  <c r="BG132" i="18" s="1"/>
  <c r="M59" i="9"/>
  <c r="M96" i="9" s="1"/>
  <c r="BK110" i="13"/>
  <c r="BJ121" i="13" s="1"/>
  <c r="BK123" i="13" s="1"/>
  <c r="BO93" i="26"/>
  <c r="BO114" i="26" s="1"/>
  <c r="BM127" i="26" s="1"/>
  <c r="BO129" i="26" s="1"/>
  <c r="BN104" i="26"/>
  <c r="BO39" i="26"/>
  <c r="BL98" i="13"/>
  <c r="BO37" i="26"/>
  <c r="BK32" i="23"/>
  <c r="BK31" i="23"/>
  <c r="BK30" i="23"/>
  <c r="BK9" i="23"/>
  <c r="BK10" i="23"/>
  <c r="BK8" i="23"/>
  <c r="BM29" i="23"/>
  <c r="BL33" i="23"/>
  <c r="BM7" i="23"/>
  <c r="BL11" i="23"/>
  <c r="BK76" i="23"/>
  <c r="BK77" i="23" s="1"/>
  <c r="BK110" i="23"/>
  <c r="BJ121" i="23" s="1"/>
  <c r="BK123" i="23" s="1"/>
  <c r="BL43" i="23"/>
  <c r="BK47" i="23"/>
  <c r="BL78" i="23"/>
  <c r="BM75" i="23"/>
  <c r="BL100" i="23"/>
  <c r="BM86" i="23"/>
  <c r="BL87" i="23"/>
  <c r="BK98" i="23"/>
  <c r="BJ45" i="23"/>
  <c r="BJ44" i="23"/>
  <c r="BJ46" i="23"/>
  <c r="BK31" i="13"/>
  <c r="BK30" i="13"/>
  <c r="BK32" i="13"/>
  <c r="BK44" i="13"/>
  <c r="BK46" i="13"/>
  <c r="BK45" i="13"/>
  <c r="BL8" i="13"/>
  <c r="BL10" i="13"/>
  <c r="BL9" i="13"/>
  <c r="BM43" i="13"/>
  <c r="BL47" i="13"/>
  <c r="BM86" i="13"/>
  <c r="BM100" i="13" s="1"/>
  <c r="BL87" i="13"/>
  <c r="BK108" i="13"/>
  <c r="BM11" i="13"/>
  <c r="BN7" i="13"/>
  <c r="BL33" i="13"/>
  <c r="BM29" i="13"/>
  <c r="BL100" i="13"/>
  <c r="BM78" i="13"/>
  <c r="BN75" i="13"/>
  <c r="BL76" i="13"/>
  <c r="BL77" i="13" s="1"/>
  <c r="BH116" i="18"/>
  <c r="BI122" i="18"/>
  <c r="BH124" i="18"/>
  <c r="BH132" i="18" s="1"/>
  <c r="BJ108" i="23"/>
  <c r="BN11" i="18"/>
  <c r="BO53" i="26"/>
  <c r="BO51" i="26"/>
  <c r="BO112" i="26"/>
  <c r="BM126" i="26" s="1"/>
  <c r="BO128" i="26" s="1"/>
  <c r="BI128" i="18"/>
  <c r="BI122" i="23"/>
  <c r="BH124" i="23"/>
  <c r="BG132" i="23"/>
  <c r="BG130" i="18"/>
  <c r="BH130" i="18"/>
  <c r="BJ129" i="23"/>
  <c r="BJ122" i="13"/>
  <c r="BI124" i="13"/>
  <c r="BH132" i="13"/>
  <c r="BI116" i="13"/>
  <c r="BK116" i="26"/>
  <c r="BO18" i="26"/>
  <c r="BO17" i="26"/>
  <c r="BO16" i="26"/>
  <c r="BM62" i="18"/>
  <c r="BL113" i="18"/>
  <c r="BL113" i="26"/>
  <c r="BL115" i="26" s="1"/>
  <c r="BL113" i="23"/>
  <c r="BJ110" i="23"/>
  <c r="BI121" i="23" s="1"/>
  <c r="BJ123" i="23" s="1"/>
  <c r="BI111" i="23"/>
  <c r="BI116" i="23" s="1"/>
  <c r="BJ112" i="23"/>
  <c r="BL15" i="29"/>
  <c r="L13" i="9" s="1"/>
  <c r="L95" i="9" s="1"/>
  <c r="BJ105" i="23"/>
  <c r="BN61" i="26"/>
  <c r="BM103" i="26"/>
  <c r="BM105" i="26" s="1"/>
  <c r="BM106" i="26" s="1"/>
  <c r="BK102" i="23"/>
  <c r="BK106" i="13"/>
  <c r="BN61" i="18"/>
  <c r="BM103" i="18"/>
  <c r="BM36" i="29"/>
  <c r="M34" i="9" s="1"/>
  <c r="BM50" i="29"/>
  <c r="M48" i="9" s="1"/>
  <c r="BM62" i="26"/>
  <c r="BJ101" i="23"/>
  <c r="BJ101" i="18"/>
  <c r="BJ106" i="18" s="1"/>
  <c r="BJ111" i="13"/>
  <c r="BI77" i="18"/>
  <c r="BK104" i="18"/>
  <c r="BK114" i="18"/>
  <c r="BJ127" i="18" s="1"/>
  <c r="BK129" i="18" s="1"/>
  <c r="BK104" i="23"/>
  <c r="BK114" i="23"/>
  <c r="BJ127" i="23" s="1"/>
  <c r="BK129" i="23" s="1"/>
  <c r="BL109" i="13"/>
  <c r="BK38" i="18"/>
  <c r="BK37" i="18"/>
  <c r="BK39" i="18"/>
  <c r="BM114" i="18"/>
  <c r="BL127" i="18" s="1"/>
  <c r="BM129" i="18" s="1"/>
  <c r="BL114" i="23"/>
  <c r="BK127" i="23" s="1"/>
  <c r="BL129" i="23" s="1"/>
  <c r="BN114" i="13"/>
  <c r="BL99" i="13"/>
  <c r="BK54" i="18"/>
  <c r="BL102" i="13"/>
  <c r="BK99" i="23"/>
  <c r="BL99" i="18"/>
  <c r="BL101" i="18" s="1"/>
  <c r="BL40" i="18"/>
  <c r="BK102" i="18"/>
  <c r="BK19" i="18"/>
  <c r="BN32" i="18"/>
  <c r="BK112" i="13"/>
  <c r="BL104" i="13"/>
  <c r="BM114" i="23"/>
  <c r="BL127" i="23" s="1"/>
  <c r="BM129" i="23" s="1"/>
  <c r="BN30" i="18"/>
  <c r="BJ108" i="18"/>
  <c r="BI120" i="18" s="1"/>
  <c r="BJ8" i="18"/>
  <c r="BJ10" i="18"/>
  <c r="BJ9" i="18"/>
  <c r="BN31" i="18"/>
  <c r="BK109" i="23"/>
  <c r="BJ76" i="18"/>
  <c r="BJ77" i="18" s="1"/>
  <c r="BJ110" i="18"/>
  <c r="BI121" i="18" s="1"/>
  <c r="BJ123" i="18" s="1"/>
  <c r="BN78" i="18"/>
  <c r="BU89" i="18" s="1"/>
  <c r="BL114" i="18"/>
  <c r="BK127" i="18" s="1"/>
  <c r="BL129" i="18" s="1"/>
  <c r="BJ46" i="18"/>
  <c r="BJ44" i="18"/>
  <c r="BJ45" i="18"/>
  <c r="BN47" i="18"/>
  <c r="BK109" i="18"/>
  <c r="BK111" i="18" s="1"/>
  <c r="BK132" i="18" s="1"/>
  <c r="BI111" i="18"/>
  <c r="BI77" i="23"/>
  <c r="BU90" i="18" l="1"/>
  <c r="M60" i="9"/>
  <c r="M106" i="9" s="1"/>
  <c r="N59" i="9"/>
  <c r="N96" i="9" s="1"/>
  <c r="BL110" i="13"/>
  <c r="BK121" i="13" s="1"/>
  <c r="BL123" i="13" s="1"/>
  <c r="BK101" i="23"/>
  <c r="BL101" i="13"/>
  <c r="BI120" i="23"/>
  <c r="BJ122" i="23" s="1"/>
  <c r="BJ120" i="13"/>
  <c r="BK122" i="13" s="1"/>
  <c r="BN108" i="18"/>
  <c r="BM43" i="23"/>
  <c r="BM98" i="23" s="1"/>
  <c r="BL47" i="23"/>
  <c r="BL108" i="23" s="1"/>
  <c r="BL108" i="13"/>
  <c r="BM33" i="23"/>
  <c r="BN29" i="23"/>
  <c r="BM87" i="23"/>
  <c r="BN86" i="23"/>
  <c r="BK45" i="23"/>
  <c r="BK44" i="23"/>
  <c r="BK46" i="23"/>
  <c r="BL98" i="23"/>
  <c r="BL9" i="23"/>
  <c r="BL10" i="23"/>
  <c r="BL8" i="23"/>
  <c r="BM78" i="23"/>
  <c r="BM100" i="23"/>
  <c r="BN75" i="23"/>
  <c r="BM11" i="23"/>
  <c r="BN11" i="23" s="1"/>
  <c r="BN12" i="23" s="1"/>
  <c r="BO12" i="23" s="1"/>
  <c r="BN7" i="23"/>
  <c r="BK108" i="23"/>
  <c r="BK111" i="13"/>
  <c r="BL76" i="23"/>
  <c r="BL77" i="23" s="1"/>
  <c r="BL110" i="23"/>
  <c r="BK121" i="23" s="1"/>
  <c r="BL123" i="23" s="1"/>
  <c r="BL31" i="23"/>
  <c r="BL32" i="23"/>
  <c r="BL30" i="23"/>
  <c r="BM33" i="13"/>
  <c r="BN33" i="13" s="1"/>
  <c r="BN34" i="13" s="1"/>
  <c r="BO34" i="13" s="1"/>
  <c r="BN29" i="13"/>
  <c r="BM76" i="13"/>
  <c r="BN78" i="13"/>
  <c r="BM98" i="13"/>
  <c r="BL46" i="13"/>
  <c r="BL45" i="13"/>
  <c r="BL44" i="13"/>
  <c r="BM87" i="13"/>
  <c r="BN86" i="13"/>
  <c r="BN100" i="13" s="1"/>
  <c r="BM10" i="13"/>
  <c r="BM9" i="13"/>
  <c r="BN9" i="13" s="1"/>
  <c r="BM8" i="13"/>
  <c r="BN11" i="13"/>
  <c r="BM47" i="13"/>
  <c r="BN43" i="13"/>
  <c r="BL32" i="13"/>
  <c r="BL31" i="13"/>
  <c r="BL30" i="13"/>
  <c r="BJ111" i="23"/>
  <c r="BJ122" i="18"/>
  <c r="BJ124" i="18" s="1"/>
  <c r="BI124" i="18"/>
  <c r="BI132" i="18" s="1"/>
  <c r="BL103" i="23"/>
  <c r="BM130" i="26"/>
  <c r="BH132" i="23"/>
  <c r="BO93" i="18"/>
  <c r="BI132" i="13"/>
  <c r="BI130" i="18"/>
  <c r="BI116" i="18"/>
  <c r="BJ115" i="23"/>
  <c r="BI126" i="23"/>
  <c r="BI130" i="23" s="1"/>
  <c r="BK115" i="13"/>
  <c r="BJ126" i="13"/>
  <c r="BJ116" i="13"/>
  <c r="BL116" i="26"/>
  <c r="BN62" i="26"/>
  <c r="BO62" i="26" s="1"/>
  <c r="BJ106" i="23"/>
  <c r="BM113" i="18"/>
  <c r="BN110" i="18"/>
  <c r="BN94" i="18"/>
  <c r="BN62" i="18"/>
  <c r="BM113" i="23"/>
  <c r="BM113" i="26"/>
  <c r="BM115" i="26" s="1"/>
  <c r="BM116" i="26" s="1"/>
  <c r="BN103" i="18"/>
  <c r="BN103" i="26"/>
  <c r="BN105" i="26" s="1"/>
  <c r="BN106" i="26" s="1"/>
  <c r="BM15" i="29"/>
  <c r="M13" i="9" s="1"/>
  <c r="M95" i="9" s="1"/>
  <c r="BK105" i="23"/>
  <c r="BK106" i="23" s="1"/>
  <c r="BK105" i="18"/>
  <c r="BK106" i="18" s="1"/>
  <c r="BL105" i="13"/>
  <c r="BM102" i="13"/>
  <c r="BN77" i="18"/>
  <c r="BL104" i="23"/>
  <c r="BN46" i="18"/>
  <c r="BN10" i="18"/>
  <c r="BN45" i="18"/>
  <c r="BL54" i="18"/>
  <c r="BN44" i="18"/>
  <c r="BN9" i="18"/>
  <c r="BM99" i="13"/>
  <c r="BM104" i="13"/>
  <c r="BK17" i="18"/>
  <c r="BK112" i="18"/>
  <c r="BK18" i="18"/>
  <c r="BK16" i="18"/>
  <c r="BL99" i="23"/>
  <c r="BL109" i="18"/>
  <c r="BL111" i="18" s="1"/>
  <c r="BL132" i="18" s="1"/>
  <c r="BN8" i="18"/>
  <c r="BN114" i="23"/>
  <c r="BJ111" i="18"/>
  <c r="BK112" i="23"/>
  <c r="BM40" i="18"/>
  <c r="BK53" i="18"/>
  <c r="K51" i="9" s="1"/>
  <c r="BK52" i="18"/>
  <c r="K50" i="9" s="1"/>
  <c r="BK51" i="18"/>
  <c r="BL102" i="23"/>
  <c r="BL39" i="18"/>
  <c r="BL37" i="18"/>
  <c r="BL38" i="18"/>
  <c r="BM99" i="18"/>
  <c r="BM101" i="18" s="1"/>
  <c r="BN99" i="18"/>
  <c r="BN101" i="18" s="1"/>
  <c r="BL104" i="18"/>
  <c r="BN76" i="18"/>
  <c r="BL109" i="23"/>
  <c r="BL102" i="18"/>
  <c r="BL19" i="18"/>
  <c r="BN114" i="18"/>
  <c r="BN48" i="18"/>
  <c r="BL112" i="13"/>
  <c r="BM109" i="13"/>
  <c r="BI124" i="23" l="1"/>
  <c r="BO41" i="28"/>
  <c r="N60" i="9"/>
  <c r="N106" i="9" s="1"/>
  <c r="BL106" i="13"/>
  <c r="BN87" i="23"/>
  <c r="BN88" i="23" s="1"/>
  <c r="BO88" i="23" s="1"/>
  <c r="BO87" i="23" s="1"/>
  <c r="BN87" i="13"/>
  <c r="BN110" i="13" s="1"/>
  <c r="BL101" i="23"/>
  <c r="BJ124" i="13"/>
  <c r="BJ132" i="13" s="1"/>
  <c r="BJ120" i="23"/>
  <c r="BK122" i="23" s="1"/>
  <c r="BK120" i="23"/>
  <c r="BL122" i="23" s="1"/>
  <c r="BM101" i="13"/>
  <c r="BK120" i="13"/>
  <c r="BL122" i="13" s="1"/>
  <c r="BO130" i="26"/>
  <c r="BL111" i="13"/>
  <c r="BM108" i="13"/>
  <c r="BN100" i="23"/>
  <c r="BL111" i="23"/>
  <c r="BM76" i="23"/>
  <c r="BM110" i="23"/>
  <c r="BL121" i="23" s="1"/>
  <c r="BM123" i="23" s="1"/>
  <c r="BN78" i="23"/>
  <c r="BN47" i="13"/>
  <c r="BN48" i="13" s="1"/>
  <c r="BO48" i="13" s="1"/>
  <c r="BK111" i="23"/>
  <c r="BO11" i="23"/>
  <c r="BM30" i="23"/>
  <c r="BN30" i="23" s="1"/>
  <c r="BM31" i="23"/>
  <c r="BN31" i="23" s="1"/>
  <c r="BM32" i="23"/>
  <c r="BN32" i="23" s="1"/>
  <c r="BN33" i="23"/>
  <c r="BN34" i="23" s="1"/>
  <c r="BO34" i="23" s="1"/>
  <c r="BM110" i="13"/>
  <c r="BL121" i="13" s="1"/>
  <c r="BM123" i="13" s="1"/>
  <c r="BM9" i="23"/>
  <c r="BN9" i="23" s="1"/>
  <c r="BM8" i="23"/>
  <c r="BN8" i="23" s="1"/>
  <c r="BM10" i="23"/>
  <c r="BN10" i="23" s="1"/>
  <c r="BL45" i="23"/>
  <c r="BL46" i="23"/>
  <c r="BL44" i="23"/>
  <c r="BM47" i="23"/>
  <c r="BN43" i="23"/>
  <c r="BO33" i="13"/>
  <c r="BN98" i="13"/>
  <c r="BN10" i="13"/>
  <c r="BN79" i="13"/>
  <c r="BM32" i="13"/>
  <c r="BM30" i="13"/>
  <c r="BM31" i="13"/>
  <c r="BN31" i="13" s="1"/>
  <c r="BM44" i="13"/>
  <c r="BN44" i="13" s="1"/>
  <c r="BM46" i="13"/>
  <c r="BN46" i="13" s="1"/>
  <c r="BM45" i="13"/>
  <c r="BN45" i="13" s="1"/>
  <c r="BM77" i="13"/>
  <c r="BN77" i="13" s="1"/>
  <c r="BN76" i="13"/>
  <c r="BN12" i="13"/>
  <c r="BO12" i="13" s="1"/>
  <c r="BN8" i="13"/>
  <c r="BM103" i="23"/>
  <c r="BK116" i="13"/>
  <c r="BJ116" i="23"/>
  <c r="BJ116" i="18"/>
  <c r="BJ132" i="18"/>
  <c r="BK115" i="23"/>
  <c r="BJ126" i="23"/>
  <c r="BK115" i="18"/>
  <c r="BJ126" i="18"/>
  <c r="BJ128" i="23"/>
  <c r="BK128" i="13"/>
  <c r="BJ130" i="13"/>
  <c r="BL115" i="13"/>
  <c r="BK126" i="13"/>
  <c r="BN113" i="26"/>
  <c r="BN115" i="26" s="1"/>
  <c r="BN116" i="26" s="1"/>
  <c r="BM102" i="23"/>
  <c r="BN113" i="23"/>
  <c r="BO113" i="26"/>
  <c r="BO115" i="26" s="1"/>
  <c r="BN113" i="18"/>
  <c r="BN102" i="13"/>
  <c r="BN99" i="13"/>
  <c r="BN103" i="23"/>
  <c r="BN102" i="23"/>
  <c r="BL112" i="23"/>
  <c r="BL105" i="23"/>
  <c r="BM112" i="13"/>
  <c r="BM105" i="13"/>
  <c r="BM99" i="23"/>
  <c r="BM101" i="23" s="1"/>
  <c r="BN99" i="23"/>
  <c r="BL52" i="18"/>
  <c r="L50" i="9" s="1"/>
  <c r="BL51" i="18"/>
  <c r="BL53" i="18"/>
  <c r="L51" i="9" s="1"/>
  <c r="BM104" i="23"/>
  <c r="BN102" i="18"/>
  <c r="BM54" i="18"/>
  <c r="BM109" i="18"/>
  <c r="BM111" i="18" s="1"/>
  <c r="BM132" i="18" s="1"/>
  <c r="BO62" i="18"/>
  <c r="BN104" i="13"/>
  <c r="BM109" i="23"/>
  <c r="BM102" i="18"/>
  <c r="BM19" i="18"/>
  <c r="BM39" i="18"/>
  <c r="BM38" i="18"/>
  <c r="BM37" i="18"/>
  <c r="BO104" i="13"/>
  <c r="BO105" i="13" s="1"/>
  <c r="BO106" i="13" s="1"/>
  <c r="BN109" i="13"/>
  <c r="BL16" i="18"/>
  <c r="BL112" i="18"/>
  <c r="BL17" i="18"/>
  <c r="BL18" i="18"/>
  <c r="BL105" i="18"/>
  <c r="BL106" i="18" s="1"/>
  <c r="BM104" i="18"/>
  <c r="BN92" i="18"/>
  <c r="BN40" i="18"/>
  <c r="BN88" i="13" l="1"/>
  <c r="BO55" i="28"/>
  <c r="BO20" i="28"/>
  <c r="BO19" i="28" s="1"/>
  <c r="BO16" i="28" s="1"/>
  <c r="BJ124" i="23"/>
  <c r="BJ132" i="23" s="1"/>
  <c r="BL106" i="23"/>
  <c r="BK124" i="23"/>
  <c r="BK132" i="23" s="1"/>
  <c r="BL120" i="13"/>
  <c r="BM122" i="13" s="1"/>
  <c r="BK124" i="13"/>
  <c r="BK132" i="13" s="1"/>
  <c r="BM106" i="13"/>
  <c r="BO47" i="13"/>
  <c r="BO46" i="13" s="1"/>
  <c r="BN108" i="13"/>
  <c r="BN111" i="13" s="1"/>
  <c r="BN132" i="13" s="1"/>
  <c r="BN98" i="23"/>
  <c r="BN101" i="23" s="1"/>
  <c r="BM46" i="23"/>
  <c r="BN46" i="23" s="1"/>
  <c r="BM45" i="23"/>
  <c r="BN45" i="23" s="1"/>
  <c r="BM44" i="23"/>
  <c r="BN44" i="23" s="1"/>
  <c r="BN30" i="13"/>
  <c r="BO79" i="13"/>
  <c r="BO78" i="13" s="1"/>
  <c r="BO76" i="13" s="1"/>
  <c r="BM111" i="13"/>
  <c r="BM108" i="23"/>
  <c r="BL120" i="23" s="1"/>
  <c r="BO33" i="23"/>
  <c r="BJ130" i="23"/>
  <c r="BN47" i="23"/>
  <c r="BN48" i="23" s="1"/>
  <c r="BO48" i="23" s="1"/>
  <c r="BN79" i="23"/>
  <c r="BN110" i="23"/>
  <c r="BO88" i="13"/>
  <c r="BO87" i="13" s="1"/>
  <c r="BN101" i="13"/>
  <c r="BO10" i="23"/>
  <c r="BO8" i="23"/>
  <c r="BO9" i="23"/>
  <c r="BM77" i="23"/>
  <c r="BN77" i="23" s="1"/>
  <c r="BN76" i="23"/>
  <c r="BO11" i="13"/>
  <c r="BN32" i="13"/>
  <c r="BO31" i="13"/>
  <c r="BO30" i="13"/>
  <c r="BO32" i="13"/>
  <c r="BK116" i="18"/>
  <c r="BL116" i="13"/>
  <c r="BK116" i="23"/>
  <c r="BN105" i="13"/>
  <c r="BL115" i="18"/>
  <c r="BK126" i="18"/>
  <c r="BI132" i="23"/>
  <c r="BJ130" i="18"/>
  <c r="BK128" i="18"/>
  <c r="BL115" i="23"/>
  <c r="BK126" i="23"/>
  <c r="BK128" i="23"/>
  <c r="BM115" i="13"/>
  <c r="BL126" i="13"/>
  <c r="BL128" i="13"/>
  <c r="BK130" i="13"/>
  <c r="BO116" i="26"/>
  <c r="BM105" i="23"/>
  <c r="BM106" i="23" s="1"/>
  <c r="BO113" i="18"/>
  <c r="BO113" i="23"/>
  <c r="BN41" i="18"/>
  <c r="BO41" i="18" s="1"/>
  <c r="BN19" i="18"/>
  <c r="BO18" i="28"/>
  <c r="BO17" i="28"/>
  <c r="BM112" i="23"/>
  <c r="BM105" i="18"/>
  <c r="BM106" i="18" s="1"/>
  <c r="BN38" i="18"/>
  <c r="BN37" i="18"/>
  <c r="BM51" i="18"/>
  <c r="BM52" i="18"/>
  <c r="M50" i="9" s="1"/>
  <c r="BM53" i="18"/>
  <c r="M51" i="9" s="1"/>
  <c r="BN54" i="18"/>
  <c r="BN112" i="13"/>
  <c r="BN115" i="13" s="1"/>
  <c r="BO104" i="23"/>
  <c r="BO105" i="23" s="1"/>
  <c r="BO106" i="23" s="1"/>
  <c r="BN104" i="18"/>
  <c r="BN105" i="18" s="1"/>
  <c r="BN106" i="18" s="1"/>
  <c r="BO94" i="18"/>
  <c r="BN109" i="23"/>
  <c r="BO104" i="18"/>
  <c r="BO105" i="18" s="1"/>
  <c r="BO106" i="18" s="1"/>
  <c r="BN39" i="18"/>
  <c r="BN104" i="23"/>
  <c r="BN105" i="23" s="1"/>
  <c r="BO109" i="13"/>
  <c r="BN109" i="18"/>
  <c r="BN111" i="18" s="1"/>
  <c r="BN132" i="18" s="1"/>
  <c r="BM112" i="18"/>
  <c r="BM18" i="18"/>
  <c r="BM16" i="18"/>
  <c r="BM17" i="18"/>
  <c r="BL124" i="13" l="1"/>
  <c r="BL132" i="13" s="1"/>
  <c r="BN20" i="18"/>
  <c r="BO20" i="18" s="1"/>
  <c r="BN106" i="13"/>
  <c r="BN106" i="23"/>
  <c r="BO45" i="13"/>
  <c r="BO44" i="13"/>
  <c r="BM111" i="23"/>
  <c r="BN108" i="23"/>
  <c r="BN111" i="23" s="1"/>
  <c r="BN132" i="23" s="1"/>
  <c r="BO77" i="13"/>
  <c r="BO110" i="13"/>
  <c r="BM121" i="13" s="1"/>
  <c r="BO123" i="13" s="1"/>
  <c r="BO79" i="23"/>
  <c r="BO78" i="23" s="1"/>
  <c r="BO31" i="23"/>
  <c r="BO30" i="23"/>
  <c r="BO32" i="23"/>
  <c r="BL124" i="23"/>
  <c r="BL132" i="23" s="1"/>
  <c r="BM122" i="23"/>
  <c r="BO94" i="28"/>
  <c r="BO93" i="28" s="1"/>
  <c r="BO114" i="28" s="1"/>
  <c r="BO47" i="23"/>
  <c r="BO9" i="13"/>
  <c r="BO10" i="13"/>
  <c r="BO8" i="13"/>
  <c r="BO108" i="13"/>
  <c r="BM120" i="13" s="1"/>
  <c r="BN112" i="23"/>
  <c r="BN115" i="23" s="1"/>
  <c r="BL116" i="18"/>
  <c r="BL116" i="23"/>
  <c r="BM116" i="13"/>
  <c r="BM115" i="18"/>
  <c r="BL126" i="18"/>
  <c r="BK130" i="23"/>
  <c r="BL128" i="23"/>
  <c r="BK130" i="18"/>
  <c r="BL128" i="18"/>
  <c r="BM115" i="23"/>
  <c r="BL126" i="23"/>
  <c r="BM128" i="13"/>
  <c r="BL130" i="13"/>
  <c r="BO40" i="18"/>
  <c r="BO39" i="18" s="1"/>
  <c r="BO40" i="28"/>
  <c r="BN55" i="18"/>
  <c r="BO55" i="18" s="1"/>
  <c r="BN116" i="13"/>
  <c r="BN51" i="18"/>
  <c r="BN16" i="18"/>
  <c r="BN52" i="18"/>
  <c r="BN53" i="18"/>
  <c r="BO109" i="23"/>
  <c r="BO114" i="13"/>
  <c r="BM127" i="13" s="1"/>
  <c r="BN17" i="18"/>
  <c r="BO109" i="18"/>
  <c r="BO111" i="18" s="1"/>
  <c r="BO132" i="18" s="1"/>
  <c r="BN112" i="18"/>
  <c r="BN115" i="18" s="1"/>
  <c r="BN116" i="18" s="1"/>
  <c r="BN18" i="18"/>
  <c r="BO19" i="18" l="1"/>
  <c r="BO18" i="18" s="1"/>
  <c r="BO129" i="13"/>
  <c r="BO37" i="18"/>
  <c r="BO38" i="18"/>
  <c r="BO76" i="23"/>
  <c r="BO77" i="23" s="1"/>
  <c r="BO110" i="23"/>
  <c r="BM121" i="23" s="1"/>
  <c r="BO123" i="23" s="1"/>
  <c r="BN116" i="23"/>
  <c r="BO45" i="23"/>
  <c r="BO46" i="23"/>
  <c r="BO44" i="23"/>
  <c r="BO108" i="23"/>
  <c r="BM120" i="23" s="1"/>
  <c r="BO122" i="23" s="1"/>
  <c r="BO122" i="13"/>
  <c r="BM124" i="13"/>
  <c r="BM132" i="13" s="1"/>
  <c r="BO111" i="13"/>
  <c r="BM116" i="23"/>
  <c r="BM116" i="18"/>
  <c r="BL130" i="18"/>
  <c r="BM128" i="18"/>
  <c r="BL130" i="23"/>
  <c r="BM128" i="23"/>
  <c r="BO54" i="18"/>
  <c r="BO52" i="18" s="1"/>
  <c r="BO112" i="13"/>
  <c r="BM126" i="13" s="1"/>
  <c r="BO54" i="28"/>
  <c r="BO39" i="28"/>
  <c r="BO38" i="28"/>
  <c r="BO37" i="28"/>
  <c r="BO114" i="23"/>
  <c r="BM127" i="23" s="1"/>
  <c r="BO129" i="23" s="1"/>
  <c r="BO114" i="18"/>
  <c r="BM127" i="18" s="1"/>
  <c r="BO112" i="23"/>
  <c r="BM126" i="23" s="1"/>
  <c r="BO16" i="18" l="1"/>
  <c r="BO17" i="18"/>
  <c r="BO111" i="23"/>
  <c r="BM124" i="23"/>
  <c r="BM132" i="23" s="1"/>
  <c r="BO115" i="13"/>
  <c r="BO116" i="13" s="1"/>
  <c r="BO51" i="18"/>
  <c r="BO53" i="18"/>
  <c r="BO112" i="18"/>
  <c r="BM126" i="18" s="1"/>
  <c r="BO128" i="18" s="1"/>
  <c r="BO128" i="23"/>
  <c r="BM130" i="23"/>
  <c r="BO128" i="13"/>
  <c r="BM130" i="13"/>
  <c r="BO129" i="18"/>
  <c r="BO51" i="28"/>
  <c r="BO112" i="28"/>
  <c r="BO115" i="28" s="1"/>
  <c r="BO115" i="23"/>
  <c r="BO115" i="18" l="1"/>
  <c r="BO116" i="18" s="1"/>
  <c r="BM130" i="18"/>
  <c r="BO130" i="23"/>
  <c r="BO116" i="23"/>
  <c r="BO130" i="13"/>
  <c r="BO116" i="28"/>
  <c r="BO130" i="18" l="1"/>
  <c r="BO124" i="13" l="1"/>
  <c r="BO130" i="28"/>
  <c r="BO124" i="23" l="1"/>
  <c r="BO132" i="13"/>
  <c r="BN114" i="30"/>
  <c r="BM114" i="30"/>
  <c r="BL127" i="30" s="1"/>
  <c r="BM129" i="30" s="1"/>
  <c r="BL114" i="30"/>
  <c r="BK127" i="30" s="1"/>
  <c r="BL129" i="30" s="1"/>
  <c r="BK114" i="30"/>
  <c r="BJ127" i="30" s="1"/>
  <c r="BK129" i="30" s="1"/>
  <c r="BJ114" i="30"/>
  <c r="BI127" i="30" s="1"/>
  <c r="BJ129" i="30" s="1"/>
  <c r="BI114" i="30"/>
  <c r="BH127" i="30" s="1"/>
  <c r="BI129" i="30" s="1"/>
  <c r="BH114" i="30"/>
  <c r="BG127" i="30" s="1"/>
  <c r="BH129" i="30" s="1"/>
  <c r="BG114" i="30"/>
  <c r="BF127" i="30" s="1"/>
  <c r="BG129" i="30" s="1"/>
  <c r="BF114" i="30"/>
  <c r="BF129" i="30" s="1"/>
  <c r="BO113" i="30"/>
  <c r="BN112" i="30"/>
  <c r="BM112" i="30"/>
  <c r="BL126" i="30" s="1"/>
  <c r="BL112" i="30"/>
  <c r="BK126" i="30" s="1"/>
  <c r="BK112" i="30"/>
  <c r="BJ126" i="30" s="1"/>
  <c r="BJ112" i="30"/>
  <c r="BI112" i="30"/>
  <c r="BH112" i="30"/>
  <c r="BG112" i="30"/>
  <c r="BF112" i="30"/>
  <c r="BN104" i="30"/>
  <c r="BM104" i="30"/>
  <c r="BL104" i="30"/>
  <c r="BK104" i="30"/>
  <c r="BJ104" i="30"/>
  <c r="BI104" i="30"/>
  <c r="BH104" i="30"/>
  <c r="BG104" i="30"/>
  <c r="BF104" i="30"/>
  <c r="BO102" i="30"/>
  <c r="BN102" i="30"/>
  <c r="BM102" i="30"/>
  <c r="BL102" i="30"/>
  <c r="BK102" i="30"/>
  <c r="BJ102" i="30"/>
  <c r="BI102" i="30"/>
  <c r="BH102" i="30"/>
  <c r="BG102" i="30"/>
  <c r="BF102" i="30"/>
  <c r="BO100" i="30"/>
  <c r="BM88" i="30"/>
  <c r="BL88" i="30"/>
  <c r="BK88" i="30"/>
  <c r="BJ88" i="30"/>
  <c r="BI88" i="30"/>
  <c r="BH88" i="30"/>
  <c r="BG88" i="30"/>
  <c r="BF88" i="30"/>
  <c r="BM79" i="30"/>
  <c r="BL79" i="30"/>
  <c r="BK79" i="30"/>
  <c r="BJ79" i="30"/>
  <c r="BI79" i="30"/>
  <c r="BH79" i="30"/>
  <c r="BG79" i="30"/>
  <c r="BF79" i="30"/>
  <c r="BO99" i="30"/>
  <c r="BM48" i="30"/>
  <c r="BL48" i="30"/>
  <c r="BK48" i="30"/>
  <c r="BJ48" i="30"/>
  <c r="BI48" i="30"/>
  <c r="BH48" i="30"/>
  <c r="BG48" i="30"/>
  <c r="BF48" i="30"/>
  <c r="BM34" i="30"/>
  <c r="BL34" i="30"/>
  <c r="BK34" i="30"/>
  <c r="BJ34" i="30"/>
  <c r="BI34" i="30"/>
  <c r="BH34" i="30"/>
  <c r="BG34" i="30"/>
  <c r="BF34" i="30"/>
  <c r="BM12" i="30"/>
  <c r="BL12" i="30"/>
  <c r="BK12" i="30"/>
  <c r="BJ12" i="30"/>
  <c r="BI12" i="30"/>
  <c r="BH12" i="30"/>
  <c r="BG12" i="30"/>
  <c r="BF12" i="30"/>
  <c r="BO98" i="30"/>
  <c r="BN114" i="17"/>
  <c r="BM114" i="17"/>
  <c r="BL127" i="17" s="1"/>
  <c r="BM129" i="17" s="1"/>
  <c r="BL114" i="17"/>
  <c r="BK127" i="17" s="1"/>
  <c r="BL129" i="17" s="1"/>
  <c r="BK114" i="17"/>
  <c r="BJ127" i="17" s="1"/>
  <c r="BK129" i="17" s="1"/>
  <c r="BJ114" i="17"/>
  <c r="BI127" i="17" s="1"/>
  <c r="BJ129" i="17" s="1"/>
  <c r="BI114" i="17"/>
  <c r="BH127" i="17" s="1"/>
  <c r="BI129" i="17" s="1"/>
  <c r="BH114" i="17"/>
  <c r="BG127" i="17" s="1"/>
  <c r="BH129" i="17" s="1"/>
  <c r="BG114" i="17"/>
  <c r="BF127" i="17" s="1"/>
  <c r="BG129" i="17" s="1"/>
  <c r="BF114" i="17"/>
  <c r="BF129" i="17" s="1"/>
  <c r="BN112" i="17"/>
  <c r="BM112" i="17"/>
  <c r="BL112" i="17"/>
  <c r="BK112" i="17"/>
  <c r="BJ126" i="17" s="1"/>
  <c r="BJ112" i="17"/>
  <c r="BI112" i="17"/>
  <c r="BH112" i="17"/>
  <c r="BG112" i="17"/>
  <c r="BF126" i="17" s="1"/>
  <c r="BF112" i="17"/>
  <c r="BN104" i="17"/>
  <c r="BM104" i="17"/>
  <c r="BL104" i="17"/>
  <c r="BK104" i="17"/>
  <c r="BJ104" i="17"/>
  <c r="BI104" i="17"/>
  <c r="BH104" i="17"/>
  <c r="BG104" i="17"/>
  <c r="BF104" i="17"/>
  <c r="BN102" i="17"/>
  <c r="BM102" i="17"/>
  <c r="BL102" i="17"/>
  <c r="BK102" i="17"/>
  <c r="BJ102" i="17"/>
  <c r="BI102" i="17"/>
  <c r="BH102" i="17"/>
  <c r="BG102" i="17"/>
  <c r="BF102" i="17"/>
  <c r="BM88" i="17"/>
  <c r="BL88" i="17"/>
  <c r="BK88" i="17"/>
  <c r="BJ88" i="17"/>
  <c r="BI88" i="17"/>
  <c r="BH88" i="17"/>
  <c r="BG88" i="17"/>
  <c r="BF88" i="17"/>
  <c r="BM79" i="17"/>
  <c r="BL79" i="17"/>
  <c r="BK79" i="17"/>
  <c r="BJ79" i="17"/>
  <c r="BI79" i="17"/>
  <c r="BH79" i="17"/>
  <c r="BG79" i="17"/>
  <c r="BF79" i="17"/>
  <c r="BM48" i="17"/>
  <c r="BL48" i="17"/>
  <c r="BK48" i="17"/>
  <c r="BJ48" i="17"/>
  <c r="BI48" i="17"/>
  <c r="BH48" i="17"/>
  <c r="BG48" i="17"/>
  <c r="BF48" i="17"/>
  <c r="BM34" i="17"/>
  <c r="BL34" i="17"/>
  <c r="BK34" i="17"/>
  <c r="BJ34" i="17"/>
  <c r="BI34" i="17"/>
  <c r="BH34" i="17"/>
  <c r="BG34" i="17"/>
  <c r="BF34" i="17"/>
  <c r="BM12" i="17"/>
  <c r="BL12" i="17"/>
  <c r="BK12" i="17"/>
  <c r="BJ12" i="17"/>
  <c r="BI12" i="17"/>
  <c r="BH12" i="17"/>
  <c r="BG12" i="17"/>
  <c r="BF12" i="17"/>
  <c r="BN114" i="22"/>
  <c r="BM114" i="22"/>
  <c r="BL127" i="22" s="1"/>
  <c r="BM129" i="22" s="1"/>
  <c r="BL114" i="22"/>
  <c r="BK127" i="22" s="1"/>
  <c r="BL129" i="22" s="1"/>
  <c r="BK114" i="22"/>
  <c r="BJ127" i="22" s="1"/>
  <c r="BK129" i="22" s="1"/>
  <c r="BJ114" i="22"/>
  <c r="BI127" i="22" s="1"/>
  <c r="BJ129" i="22" s="1"/>
  <c r="BI114" i="22"/>
  <c r="BH127" i="22" s="1"/>
  <c r="BI129" i="22" s="1"/>
  <c r="BH114" i="22"/>
  <c r="BG127" i="22" s="1"/>
  <c r="BH129" i="22" s="1"/>
  <c r="BG114" i="22"/>
  <c r="BF127" i="22" s="1"/>
  <c r="BG129" i="22" s="1"/>
  <c r="BF114" i="22"/>
  <c r="BF129" i="22" s="1"/>
  <c r="BN112" i="22"/>
  <c r="BM112" i="22"/>
  <c r="BL112" i="22"/>
  <c r="BK112" i="22"/>
  <c r="BJ112" i="22"/>
  <c r="BI126" i="22" s="1"/>
  <c r="BI112" i="22"/>
  <c r="BH112" i="22"/>
  <c r="BG112" i="22"/>
  <c r="BF126" i="22" s="1"/>
  <c r="BF112" i="22"/>
  <c r="BN104" i="22"/>
  <c r="BM104" i="22"/>
  <c r="BL104" i="22"/>
  <c r="BK104" i="22"/>
  <c r="BJ104" i="22"/>
  <c r="BI104" i="22"/>
  <c r="BH104" i="22"/>
  <c r="BG104" i="22"/>
  <c r="BF104" i="22"/>
  <c r="BN102" i="22"/>
  <c r="BM102" i="22"/>
  <c r="BL102" i="22"/>
  <c r="BK102" i="22"/>
  <c r="BJ102" i="22"/>
  <c r="BI102" i="22"/>
  <c r="BH102" i="22"/>
  <c r="BG102" i="22"/>
  <c r="BF102" i="22"/>
  <c r="BM88" i="22"/>
  <c r="BL88" i="22"/>
  <c r="BK88" i="22"/>
  <c r="BJ88" i="22"/>
  <c r="BI88" i="22"/>
  <c r="BH88" i="22"/>
  <c r="BG88" i="22"/>
  <c r="BF88" i="22"/>
  <c r="BM79" i="22"/>
  <c r="BL79" i="22"/>
  <c r="BK79" i="22"/>
  <c r="BJ79" i="22"/>
  <c r="BI79" i="22"/>
  <c r="BH79" i="22"/>
  <c r="BG79" i="22"/>
  <c r="BF79" i="22"/>
  <c r="BM48" i="22"/>
  <c r="BL48" i="22"/>
  <c r="BK48" i="22"/>
  <c r="BJ48" i="22"/>
  <c r="BI48" i="22"/>
  <c r="BH48" i="22"/>
  <c r="BG48" i="22"/>
  <c r="BF48" i="22"/>
  <c r="BM34" i="22"/>
  <c r="BL34" i="22"/>
  <c r="BK34" i="22"/>
  <c r="BJ34" i="22"/>
  <c r="BI34" i="22"/>
  <c r="BH34" i="22"/>
  <c r="BG34" i="22"/>
  <c r="BF34" i="22"/>
  <c r="BM12" i="22"/>
  <c r="BL12" i="22"/>
  <c r="BK12" i="22"/>
  <c r="BJ12" i="22"/>
  <c r="BI12" i="22"/>
  <c r="BH12" i="22"/>
  <c r="BG12" i="22"/>
  <c r="BF12" i="22"/>
  <c r="BN114" i="25"/>
  <c r="BM114" i="25"/>
  <c r="BL127" i="25" s="1"/>
  <c r="BM129" i="25" s="1"/>
  <c r="BL114" i="25"/>
  <c r="BK127" i="25" s="1"/>
  <c r="BL129" i="25" s="1"/>
  <c r="BK114" i="25"/>
  <c r="BJ127" i="25" s="1"/>
  <c r="BK129" i="25" s="1"/>
  <c r="BJ114" i="25"/>
  <c r="BI127" i="25" s="1"/>
  <c r="BJ129" i="25" s="1"/>
  <c r="BI114" i="25"/>
  <c r="BH127" i="25" s="1"/>
  <c r="BI129" i="25" s="1"/>
  <c r="BH114" i="25"/>
  <c r="BG127" i="25" s="1"/>
  <c r="BH129" i="25" s="1"/>
  <c r="BG114" i="25"/>
  <c r="BF127" i="25" s="1"/>
  <c r="BG129" i="25" s="1"/>
  <c r="BF114" i="25"/>
  <c r="BF129" i="25" s="1"/>
  <c r="BN112" i="25"/>
  <c r="BM112" i="25"/>
  <c r="BL112" i="25"/>
  <c r="BK126" i="25" s="1"/>
  <c r="BK112" i="25"/>
  <c r="BJ112" i="25"/>
  <c r="BI112" i="25"/>
  <c r="BH126" i="25" s="1"/>
  <c r="BH112" i="25"/>
  <c r="BG112" i="25"/>
  <c r="BF126" i="25" s="1"/>
  <c r="BF112" i="25"/>
  <c r="BN104" i="25"/>
  <c r="BM104" i="25"/>
  <c r="BL104" i="25"/>
  <c r="BK104" i="25"/>
  <c r="BJ104" i="25"/>
  <c r="BI104" i="25"/>
  <c r="BH104" i="25"/>
  <c r="BG104" i="25"/>
  <c r="BF104" i="25"/>
  <c r="BN102" i="25"/>
  <c r="BM102" i="25"/>
  <c r="BL102" i="25"/>
  <c r="BK102" i="25"/>
  <c r="BJ102" i="25"/>
  <c r="BI102" i="25"/>
  <c r="BH102" i="25"/>
  <c r="BG102" i="25"/>
  <c r="BF102" i="25"/>
  <c r="BM88" i="25"/>
  <c r="BL88" i="25"/>
  <c r="BK88" i="25"/>
  <c r="BJ88" i="25"/>
  <c r="BI88" i="25"/>
  <c r="BH88" i="25"/>
  <c r="BG88" i="25"/>
  <c r="BF88" i="25"/>
  <c r="BM79" i="25"/>
  <c r="BL79" i="25"/>
  <c r="BK79" i="25"/>
  <c r="BJ79" i="25"/>
  <c r="BI79" i="25"/>
  <c r="BH79" i="25"/>
  <c r="BG79" i="25"/>
  <c r="BF79" i="25"/>
  <c r="BM48" i="25"/>
  <c r="BL48" i="25"/>
  <c r="BK48" i="25"/>
  <c r="BJ48" i="25"/>
  <c r="BI48" i="25"/>
  <c r="BH48" i="25"/>
  <c r="BG48" i="25"/>
  <c r="BF48" i="25"/>
  <c r="BM34" i="25"/>
  <c r="BL34" i="25"/>
  <c r="BK34" i="25"/>
  <c r="BJ34" i="25"/>
  <c r="BI34" i="25"/>
  <c r="BH34" i="25"/>
  <c r="BG34" i="25"/>
  <c r="BF34" i="25"/>
  <c r="BM12" i="25"/>
  <c r="BL12" i="25"/>
  <c r="BK12" i="25"/>
  <c r="BJ12" i="25"/>
  <c r="BI12" i="25"/>
  <c r="BH12" i="25"/>
  <c r="BG12" i="25"/>
  <c r="BF12" i="25"/>
  <c r="BJ114" i="11"/>
  <c r="BI127" i="11" s="1"/>
  <c r="BI114" i="11"/>
  <c r="BH127" i="11" s="1"/>
  <c r="BH114" i="11"/>
  <c r="BG127" i="11" s="1"/>
  <c r="BG114" i="11"/>
  <c r="BF127" i="11" s="1"/>
  <c r="BF114" i="11"/>
  <c r="BF129" i="11" s="1"/>
  <c r="BO113" i="11"/>
  <c r="BJ112" i="11"/>
  <c r="BI126" i="11" s="1"/>
  <c r="BI112" i="11"/>
  <c r="BH112" i="11"/>
  <c r="BG112" i="11"/>
  <c r="BF112" i="11"/>
  <c r="BJ104" i="11"/>
  <c r="BI104" i="11"/>
  <c r="BH104" i="11"/>
  <c r="BG104" i="11"/>
  <c r="BF104" i="11"/>
  <c r="BO102" i="11"/>
  <c r="BJ102" i="11"/>
  <c r="BI102" i="11"/>
  <c r="BH102" i="11"/>
  <c r="BG102" i="11"/>
  <c r="BF102" i="11"/>
  <c r="BJ88" i="11"/>
  <c r="BI88" i="11"/>
  <c r="BH88" i="11"/>
  <c r="BG88" i="11"/>
  <c r="BF88" i="11"/>
  <c r="BJ79" i="11"/>
  <c r="BI79" i="11"/>
  <c r="BH79" i="11"/>
  <c r="BG79" i="11"/>
  <c r="BF79" i="11"/>
  <c r="BO100" i="11"/>
  <c r="BO99" i="11"/>
  <c r="BJ48" i="11"/>
  <c r="BI48" i="11"/>
  <c r="BH48" i="11"/>
  <c r="BG48" i="11"/>
  <c r="BF48" i="11"/>
  <c r="BJ34" i="11"/>
  <c r="BI34" i="11"/>
  <c r="BH34" i="11"/>
  <c r="BG34" i="11"/>
  <c r="BF34" i="11"/>
  <c r="BJ12" i="11"/>
  <c r="BI12" i="11"/>
  <c r="BH12" i="11"/>
  <c r="BG12" i="11"/>
  <c r="BF12" i="11"/>
  <c r="BF105" i="17" l="1"/>
  <c r="BN105" i="17"/>
  <c r="BL105" i="25"/>
  <c r="BI105" i="25"/>
  <c r="BM105" i="22"/>
  <c r="BM105" i="25"/>
  <c r="BG105" i="25"/>
  <c r="BK105" i="30"/>
  <c r="BI129" i="11"/>
  <c r="BJ129" i="11"/>
  <c r="BG129" i="11"/>
  <c r="BH129" i="11"/>
  <c r="BH105" i="22"/>
  <c r="BJ105" i="11"/>
  <c r="BN115" i="30"/>
  <c r="BK105" i="17"/>
  <c r="BO132" i="23"/>
  <c r="BF105" i="11"/>
  <c r="BI105" i="11"/>
  <c r="BM105" i="17"/>
  <c r="BL105" i="30"/>
  <c r="BM105" i="30"/>
  <c r="BH115" i="11"/>
  <c r="BG126" i="11"/>
  <c r="BG128" i="25"/>
  <c r="BH115" i="22"/>
  <c r="BG126" i="22"/>
  <c r="BJ115" i="17"/>
  <c r="BI126" i="17"/>
  <c r="BM128" i="30"/>
  <c r="BK128" i="17"/>
  <c r="BJ128" i="11"/>
  <c r="BI128" i="25"/>
  <c r="BJ128" i="22"/>
  <c r="BL115" i="17"/>
  <c r="BK126" i="17"/>
  <c r="BG115" i="30"/>
  <c r="BF126" i="30"/>
  <c r="BI115" i="11"/>
  <c r="BH126" i="11"/>
  <c r="BH115" i="25"/>
  <c r="BG126" i="25"/>
  <c r="BG105" i="11"/>
  <c r="BJ115" i="25"/>
  <c r="BI126" i="25"/>
  <c r="BK115" i="22"/>
  <c r="BJ126" i="22"/>
  <c r="BM115" i="17"/>
  <c r="BL126" i="17"/>
  <c r="BH115" i="30"/>
  <c r="BG126" i="30"/>
  <c r="BF105" i="25"/>
  <c r="BN105" i="25"/>
  <c r="BK115" i="25"/>
  <c r="BJ126" i="25"/>
  <c r="BF105" i="22"/>
  <c r="BN105" i="22"/>
  <c r="BL115" i="22"/>
  <c r="BK126" i="22"/>
  <c r="BH105" i="17"/>
  <c r="BF115" i="17"/>
  <c r="BN115" i="17"/>
  <c r="BI115" i="30"/>
  <c r="BH126" i="30"/>
  <c r="BU88" i="25"/>
  <c r="BL128" i="25"/>
  <c r="BM115" i="22"/>
  <c r="BL126" i="22"/>
  <c r="BG128" i="17"/>
  <c r="BJ115" i="30"/>
  <c r="BI126" i="30"/>
  <c r="BF128" i="11"/>
  <c r="BM115" i="25"/>
  <c r="BL126" i="25"/>
  <c r="BF115" i="22"/>
  <c r="BH115" i="17"/>
  <c r="BG126" i="17"/>
  <c r="BK128" i="30"/>
  <c r="BK130" i="30" s="1"/>
  <c r="BI115" i="22"/>
  <c r="BH126" i="22"/>
  <c r="BF115" i="30"/>
  <c r="BG115" i="11"/>
  <c r="BF126" i="11"/>
  <c r="BF128" i="25"/>
  <c r="BF130" i="25" s="1"/>
  <c r="BG128" i="22"/>
  <c r="BI115" i="17"/>
  <c r="BH126" i="17"/>
  <c r="BL128" i="30"/>
  <c r="BL130" i="30" s="1"/>
  <c r="BI105" i="17"/>
  <c r="BN115" i="22"/>
  <c r="BN105" i="30"/>
  <c r="BH105" i="11"/>
  <c r="BN115" i="25"/>
  <c r="BF105" i="30"/>
  <c r="BK115" i="17"/>
  <c r="BK105" i="22"/>
  <c r="BG115" i="22"/>
  <c r="BO101" i="30"/>
  <c r="BO105" i="11"/>
  <c r="BM115" i="30"/>
  <c r="BG105" i="22"/>
  <c r="BL105" i="17"/>
  <c r="BH105" i="25"/>
  <c r="BJ115" i="22"/>
  <c r="BL105" i="22"/>
  <c r="BG105" i="17"/>
  <c r="BG115" i="17"/>
  <c r="BI105" i="30"/>
  <c r="BG105" i="30"/>
  <c r="BO105" i="30"/>
  <c r="BJ105" i="30"/>
  <c r="BJ105" i="25"/>
  <c r="BO98" i="11"/>
  <c r="BO101" i="11" s="1"/>
  <c r="BF115" i="11"/>
  <c r="BJ115" i="11"/>
  <c r="BL115" i="25"/>
  <c r="BF115" i="25"/>
  <c r="BI115" i="25"/>
  <c r="AZ120" i="25"/>
  <c r="AZ121" i="25"/>
  <c r="BK105" i="25"/>
  <c r="BG115" i="25"/>
  <c r="BI105" i="22"/>
  <c r="BJ105" i="22"/>
  <c r="AZ120" i="17"/>
  <c r="BJ105" i="17"/>
  <c r="BK115" i="30"/>
  <c r="BL115" i="30"/>
  <c r="BH105" i="30"/>
  <c r="BO86" i="27"/>
  <c r="BO75" i="27"/>
  <c r="BO99" i="27"/>
  <c r="BO43" i="27"/>
  <c r="BO29" i="27"/>
  <c r="BO7" i="27"/>
  <c r="BO86" i="20"/>
  <c r="BO75" i="20"/>
  <c r="BO99" i="20"/>
  <c r="BO43" i="20"/>
  <c r="BO29" i="20"/>
  <c r="BO7" i="20"/>
  <c r="BO86" i="19"/>
  <c r="BO75" i="19"/>
  <c r="BO99" i="19"/>
  <c r="BO43" i="19"/>
  <c r="BO29" i="19"/>
  <c r="BO7" i="19"/>
  <c r="BO114" i="20"/>
  <c r="BN114" i="20"/>
  <c r="BM114" i="20"/>
  <c r="BL114" i="20"/>
  <c r="BK114" i="20"/>
  <c r="BJ114" i="20"/>
  <c r="BI114" i="20"/>
  <c r="BH114" i="20"/>
  <c r="BG114" i="20"/>
  <c r="BF114" i="20"/>
  <c r="BO113" i="20"/>
  <c r="BO112" i="20"/>
  <c r="BN112" i="20"/>
  <c r="BM112" i="20"/>
  <c r="BL112" i="20"/>
  <c r="BK112" i="20"/>
  <c r="BJ112" i="20"/>
  <c r="BI112" i="20"/>
  <c r="BH112" i="20"/>
  <c r="BG112" i="20"/>
  <c r="BF112" i="20"/>
  <c r="BO104" i="20"/>
  <c r="BN104" i="20"/>
  <c r="BM104" i="20"/>
  <c r="BL104" i="20"/>
  <c r="BK104" i="20"/>
  <c r="BJ104" i="20"/>
  <c r="BI104" i="20"/>
  <c r="BH104" i="20"/>
  <c r="BG104" i="20"/>
  <c r="BF104" i="20"/>
  <c r="BO102" i="20"/>
  <c r="BN102" i="20"/>
  <c r="BM102" i="20"/>
  <c r="BL102" i="20"/>
  <c r="BK102" i="20"/>
  <c r="BJ102" i="20"/>
  <c r="BI102" i="20"/>
  <c r="BH102" i="20"/>
  <c r="BG102" i="20"/>
  <c r="BF102" i="20"/>
  <c r="BM88" i="20"/>
  <c r="BL88" i="20"/>
  <c r="BK88" i="20"/>
  <c r="BJ88" i="20"/>
  <c r="BI88" i="20"/>
  <c r="BH88" i="20"/>
  <c r="BG88" i="20"/>
  <c r="BF88" i="20"/>
  <c r="BM79" i="20"/>
  <c r="BL79" i="20"/>
  <c r="BK79" i="20"/>
  <c r="BJ79" i="20"/>
  <c r="BI79" i="20"/>
  <c r="BH79" i="20"/>
  <c r="BG79" i="20"/>
  <c r="BF79" i="20"/>
  <c r="BM48" i="20"/>
  <c r="BL48" i="20"/>
  <c r="BK48" i="20"/>
  <c r="BJ48" i="20"/>
  <c r="BI48" i="20"/>
  <c r="BH48" i="20"/>
  <c r="BG48" i="20"/>
  <c r="BF48" i="20"/>
  <c r="BM34" i="20"/>
  <c r="BL34" i="20"/>
  <c r="BK34" i="20"/>
  <c r="BJ34" i="20"/>
  <c r="BI34" i="20"/>
  <c r="BH34" i="20"/>
  <c r="BG34" i="20"/>
  <c r="BF34" i="20"/>
  <c r="BM12" i="20"/>
  <c r="BL12" i="20"/>
  <c r="BK12" i="20"/>
  <c r="BJ12" i="20"/>
  <c r="BI12" i="20"/>
  <c r="BH12" i="20"/>
  <c r="BG12" i="20"/>
  <c r="BF12" i="20"/>
  <c r="BO114" i="27"/>
  <c r="BN114" i="27"/>
  <c r="BM114" i="27"/>
  <c r="BL114" i="27"/>
  <c r="BK114" i="27"/>
  <c r="BJ114" i="27"/>
  <c r="BI114" i="27"/>
  <c r="BH114" i="27"/>
  <c r="BG114" i="27"/>
  <c r="BF114" i="27"/>
  <c r="BO113" i="27"/>
  <c r="BO112" i="27"/>
  <c r="BN112" i="27"/>
  <c r="BM112" i="27"/>
  <c r="BL112" i="27"/>
  <c r="BK112" i="27"/>
  <c r="BJ112" i="27"/>
  <c r="BI112" i="27"/>
  <c r="BH112" i="27"/>
  <c r="BG112" i="27"/>
  <c r="BF112" i="27"/>
  <c r="BO104" i="27"/>
  <c r="BN104" i="27"/>
  <c r="BM104" i="27"/>
  <c r="BL104" i="27"/>
  <c r="BK104" i="27"/>
  <c r="BJ104" i="27"/>
  <c r="BI104" i="27"/>
  <c r="BH104" i="27"/>
  <c r="BG104" i="27"/>
  <c r="BF104" i="27"/>
  <c r="BO102" i="27"/>
  <c r="BN102" i="27"/>
  <c r="BM102" i="27"/>
  <c r="BL102" i="27"/>
  <c r="BK102" i="27"/>
  <c r="BJ102" i="27"/>
  <c r="BI102" i="27"/>
  <c r="BH102" i="27"/>
  <c r="BG102" i="27"/>
  <c r="BF102" i="27"/>
  <c r="BM88" i="27"/>
  <c r="BL88" i="27"/>
  <c r="BK88" i="27"/>
  <c r="BJ88" i="27"/>
  <c r="BI88" i="27"/>
  <c r="BH88" i="27"/>
  <c r="BG88" i="27"/>
  <c r="BF88" i="27"/>
  <c r="BM79" i="27"/>
  <c r="BL79" i="27"/>
  <c r="BK79" i="27"/>
  <c r="BJ79" i="27"/>
  <c r="BI79" i="27"/>
  <c r="BH79" i="27"/>
  <c r="BG79" i="27"/>
  <c r="BF79" i="27"/>
  <c r="BM48" i="27"/>
  <c r="BL48" i="27"/>
  <c r="BK48" i="27"/>
  <c r="BJ48" i="27"/>
  <c r="BI48" i="27"/>
  <c r="BH48" i="27"/>
  <c r="BG48" i="27"/>
  <c r="BF48" i="27"/>
  <c r="BM34" i="27"/>
  <c r="BL34" i="27"/>
  <c r="BK34" i="27"/>
  <c r="BJ34" i="27"/>
  <c r="BI34" i="27"/>
  <c r="BH34" i="27"/>
  <c r="BG34" i="27"/>
  <c r="BF34" i="27"/>
  <c r="BM12" i="27"/>
  <c r="BL12" i="27"/>
  <c r="BK12" i="27"/>
  <c r="BJ12" i="27"/>
  <c r="BI12" i="27"/>
  <c r="BH12" i="27"/>
  <c r="BG12" i="27"/>
  <c r="BF12" i="27"/>
  <c r="BO114" i="19"/>
  <c r="BN114" i="19"/>
  <c r="BM114" i="19"/>
  <c r="BL114" i="19"/>
  <c r="BK114" i="19"/>
  <c r="BJ114" i="19"/>
  <c r="BI114" i="19"/>
  <c r="BH114" i="19"/>
  <c r="BG114" i="19"/>
  <c r="BF114" i="19"/>
  <c r="BO113" i="19"/>
  <c r="BO112" i="19"/>
  <c r="BN112" i="19"/>
  <c r="BM112" i="19"/>
  <c r="BL112" i="19"/>
  <c r="BK112" i="19"/>
  <c r="BJ112" i="19"/>
  <c r="BI112" i="19"/>
  <c r="BH112" i="19"/>
  <c r="BG112" i="19"/>
  <c r="BF112" i="19"/>
  <c r="BO104" i="19"/>
  <c r="BN104" i="19"/>
  <c r="BM104" i="19"/>
  <c r="BL104" i="19"/>
  <c r="BK104" i="19"/>
  <c r="BJ104" i="19"/>
  <c r="BI104" i="19"/>
  <c r="BH104" i="19"/>
  <c r="BG104" i="19"/>
  <c r="BF104" i="19"/>
  <c r="BO102" i="19"/>
  <c r="BN102" i="19"/>
  <c r="BM102" i="19"/>
  <c r="BL102" i="19"/>
  <c r="BK102" i="19"/>
  <c r="BJ102" i="19"/>
  <c r="BI102" i="19"/>
  <c r="BH102" i="19"/>
  <c r="BG102" i="19"/>
  <c r="BF102" i="19"/>
  <c r="BM88" i="19"/>
  <c r="BL88" i="19"/>
  <c r="BK88" i="19"/>
  <c r="BJ88" i="19"/>
  <c r="BI88" i="19"/>
  <c r="BH88" i="19"/>
  <c r="BG88" i="19"/>
  <c r="BF88" i="19"/>
  <c r="BM79" i="19"/>
  <c r="BL79" i="19"/>
  <c r="BK79" i="19"/>
  <c r="BJ79" i="19"/>
  <c r="BI79" i="19"/>
  <c r="BH79" i="19"/>
  <c r="BG79" i="19"/>
  <c r="BF79" i="19"/>
  <c r="BM48" i="19"/>
  <c r="BL48" i="19"/>
  <c r="BK48" i="19"/>
  <c r="BJ48" i="19"/>
  <c r="BI48" i="19"/>
  <c r="BH48" i="19"/>
  <c r="BG48" i="19"/>
  <c r="BF48" i="19"/>
  <c r="BM34" i="19"/>
  <c r="BL34" i="19"/>
  <c r="BK34" i="19"/>
  <c r="BJ34" i="19"/>
  <c r="BI34" i="19"/>
  <c r="BH34" i="19"/>
  <c r="BG34" i="19"/>
  <c r="BF34" i="19"/>
  <c r="BM12" i="19"/>
  <c r="BL12" i="19"/>
  <c r="BK12" i="19"/>
  <c r="BJ12" i="19"/>
  <c r="BI12" i="19"/>
  <c r="BH12" i="19"/>
  <c r="BG12" i="19"/>
  <c r="BF12" i="19"/>
  <c r="BO86" i="14"/>
  <c r="BO75" i="14"/>
  <c r="BM79" i="14"/>
  <c r="BL79" i="14"/>
  <c r="BK79" i="14"/>
  <c r="BJ79" i="14"/>
  <c r="BI79" i="14"/>
  <c r="BH79" i="14"/>
  <c r="BG79" i="14"/>
  <c r="BF79" i="14"/>
  <c r="BO43" i="14"/>
  <c r="BO7" i="14"/>
  <c r="BG105" i="27" l="1"/>
  <c r="BM115" i="27"/>
  <c r="BM115" i="19"/>
  <c r="BF115" i="27"/>
  <c r="BN115" i="27"/>
  <c r="BL105" i="20"/>
  <c r="BH115" i="20"/>
  <c r="BI115" i="19"/>
  <c r="BH105" i="19"/>
  <c r="BM105" i="20"/>
  <c r="BL115" i="20"/>
  <c r="BK105" i="27"/>
  <c r="BI105" i="20"/>
  <c r="BK115" i="19"/>
  <c r="BK105" i="19"/>
  <c r="BM105" i="27"/>
  <c r="BL105" i="19"/>
  <c r="BL115" i="27"/>
  <c r="BF115" i="20"/>
  <c r="BN115" i="20"/>
  <c r="BJ115" i="27"/>
  <c r="BO100" i="14"/>
  <c r="BG115" i="19"/>
  <c r="BK115" i="27"/>
  <c r="BG115" i="27"/>
  <c r="BM105" i="19"/>
  <c r="BJ115" i="19"/>
  <c r="BH105" i="27"/>
  <c r="BN105" i="19"/>
  <c r="BG115" i="20"/>
  <c r="BH115" i="27"/>
  <c r="BJ105" i="20"/>
  <c r="BH115" i="19"/>
  <c r="BG105" i="19"/>
  <c r="BO105" i="19"/>
  <c r="BK105" i="20"/>
  <c r="BO115" i="20"/>
  <c r="BF128" i="17"/>
  <c r="BF130" i="17" s="1"/>
  <c r="BI128" i="11"/>
  <c r="BG130" i="22"/>
  <c r="BH128" i="22"/>
  <c r="BH130" i="22" s="1"/>
  <c r="BF130" i="11"/>
  <c r="BG128" i="11"/>
  <c r="BM128" i="22"/>
  <c r="BM128" i="17"/>
  <c r="BJ128" i="25"/>
  <c r="BJ130" i="25" s="1"/>
  <c r="BI130" i="25"/>
  <c r="BI128" i="17"/>
  <c r="BI130" i="17" s="1"/>
  <c r="BF128" i="30"/>
  <c r="BF130" i="30" s="1"/>
  <c r="BH128" i="17"/>
  <c r="BH130" i="17" s="1"/>
  <c r="BG130" i="17"/>
  <c r="BK128" i="25"/>
  <c r="BK130" i="25" s="1"/>
  <c r="BG128" i="30"/>
  <c r="BG130" i="30" s="1"/>
  <c r="BH128" i="11"/>
  <c r="BI128" i="22"/>
  <c r="BI130" i="22" s="1"/>
  <c r="BF128" i="22"/>
  <c r="BF130" i="22" s="1"/>
  <c r="BJ128" i="30"/>
  <c r="BJ130" i="30" s="1"/>
  <c r="BI128" i="30"/>
  <c r="BI130" i="30" s="1"/>
  <c r="BL128" i="22"/>
  <c r="BL130" i="22" s="1"/>
  <c r="BH128" i="30"/>
  <c r="BH130" i="30" s="1"/>
  <c r="BK128" i="22"/>
  <c r="BK130" i="22" s="1"/>
  <c r="BJ130" i="22"/>
  <c r="BH128" i="25"/>
  <c r="BH130" i="25" s="1"/>
  <c r="BG130" i="25"/>
  <c r="BL128" i="17"/>
  <c r="BL130" i="17" s="1"/>
  <c r="BK130" i="17"/>
  <c r="BJ128" i="17"/>
  <c r="BJ130" i="17" s="1"/>
  <c r="BM128" i="25"/>
  <c r="BL130" i="25"/>
  <c r="AZ121" i="11"/>
  <c r="BO106" i="30"/>
  <c r="BO106" i="11"/>
  <c r="BF29" i="25"/>
  <c r="BO105" i="27"/>
  <c r="BO100" i="19"/>
  <c r="AZ121" i="22"/>
  <c r="AZ120" i="30"/>
  <c r="AZ120" i="22"/>
  <c r="BF75" i="25"/>
  <c r="AZ121" i="17"/>
  <c r="BF115" i="19"/>
  <c r="BN115" i="19"/>
  <c r="BI115" i="27"/>
  <c r="BK115" i="20"/>
  <c r="BO115" i="19"/>
  <c r="BJ105" i="27"/>
  <c r="BM115" i="20"/>
  <c r="BF105" i="27"/>
  <c r="BN105" i="27"/>
  <c r="BJ105" i="19"/>
  <c r="BL115" i="19"/>
  <c r="BH105" i="20"/>
  <c r="BI105" i="19"/>
  <c r="BI115" i="20"/>
  <c r="BJ115" i="20"/>
  <c r="BF105" i="19"/>
  <c r="BO100" i="27"/>
  <c r="BL105" i="27"/>
  <c r="BI105" i="27"/>
  <c r="BO115" i="27"/>
  <c r="BO100" i="20"/>
  <c r="BF105" i="20"/>
  <c r="BN105" i="20"/>
  <c r="BG105" i="20"/>
  <c r="BO105" i="20"/>
  <c r="BO29" i="24"/>
  <c r="BO22" i="24"/>
  <c r="BO7" i="24"/>
  <c r="BO29" i="21"/>
  <c r="BO22" i="21"/>
  <c r="BO7" i="21"/>
  <c r="BJ117" i="24"/>
  <c r="BO114" i="24"/>
  <c r="BN114" i="24"/>
  <c r="BM114" i="24"/>
  <c r="BL114" i="24"/>
  <c r="BK114" i="24"/>
  <c r="BJ114" i="24"/>
  <c r="BI114" i="24"/>
  <c r="BH114" i="24"/>
  <c r="BG114" i="24"/>
  <c r="BF114" i="24"/>
  <c r="BO113" i="24"/>
  <c r="BM113" i="24"/>
  <c r="BL113" i="24"/>
  <c r="BK113" i="24"/>
  <c r="BJ113" i="24"/>
  <c r="BI113" i="24"/>
  <c r="BH113" i="24"/>
  <c r="BG113" i="24"/>
  <c r="BF113" i="24"/>
  <c r="BO112" i="24"/>
  <c r="BN112" i="24"/>
  <c r="BM112" i="24"/>
  <c r="BL112" i="24"/>
  <c r="BK112" i="24"/>
  <c r="BJ112" i="24"/>
  <c r="BI112" i="24"/>
  <c r="BH112" i="24"/>
  <c r="BG112" i="24"/>
  <c r="BF112" i="24"/>
  <c r="BO110" i="24"/>
  <c r="BM121" i="24" s="1"/>
  <c r="BO123" i="24" s="1"/>
  <c r="BN110" i="24"/>
  <c r="BM110" i="24"/>
  <c r="BL121" i="24" s="1"/>
  <c r="BM123" i="24" s="1"/>
  <c r="BL110" i="24"/>
  <c r="BK121" i="24" s="1"/>
  <c r="BL123" i="24" s="1"/>
  <c r="BK110" i="24"/>
  <c r="BJ121" i="24" s="1"/>
  <c r="BK123" i="24" s="1"/>
  <c r="BJ110" i="24"/>
  <c r="BI121" i="24" s="1"/>
  <c r="BJ123" i="24" s="1"/>
  <c r="BI110" i="24"/>
  <c r="BH121" i="24" s="1"/>
  <c r="BI123" i="24" s="1"/>
  <c r="BH110" i="24"/>
  <c r="BG121" i="24" s="1"/>
  <c r="BH123" i="24" s="1"/>
  <c r="BG110" i="24"/>
  <c r="BF121" i="24" s="1"/>
  <c r="BG123" i="24" s="1"/>
  <c r="BF110" i="24"/>
  <c r="BF123" i="24" s="1"/>
  <c r="AZ121" i="24"/>
  <c r="BO109" i="24"/>
  <c r="BN109" i="24"/>
  <c r="BM109" i="24"/>
  <c r="BL109" i="24"/>
  <c r="BK109" i="24"/>
  <c r="BJ109" i="24"/>
  <c r="BI109" i="24"/>
  <c r="BH109" i="24"/>
  <c r="BG109" i="24"/>
  <c r="BF109" i="24"/>
  <c r="BO104" i="24"/>
  <c r="BN104" i="24"/>
  <c r="BM104" i="24"/>
  <c r="BL104" i="24"/>
  <c r="BK104" i="24"/>
  <c r="BJ104" i="24"/>
  <c r="BI104" i="24"/>
  <c r="BH104" i="24"/>
  <c r="BG104" i="24"/>
  <c r="BF104" i="24"/>
  <c r="BM103" i="24"/>
  <c r="BL103" i="24"/>
  <c r="BK103" i="24"/>
  <c r="BJ103" i="24"/>
  <c r="BI103" i="24"/>
  <c r="BH103" i="24"/>
  <c r="BG103" i="24"/>
  <c r="BF103" i="24"/>
  <c r="BO102" i="24"/>
  <c r="BN102" i="24"/>
  <c r="BM102" i="24"/>
  <c r="BL102" i="24"/>
  <c r="BK102" i="24"/>
  <c r="BJ102" i="24"/>
  <c r="BI102" i="24"/>
  <c r="BH102" i="24"/>
  <c r="BG102" i="24"/>
  <c r="BF102" i="24"/>
  <c r="BO100" i="24"/>
  <c r="BN100" i="24"/>
  <c r="BM100" i="24"/>
  <c r="BL100" i="24"/>
  <c r="BK100" i="24"/>
  <c r="BO99" i="24"/>
  <c r="BN99" i="24"/>
  <c r="BM99" i="24"/>
  <c r="BL99" i="24"/>
  <c r="BK99" i="24"/>
  <c r="BJ99" i="24"/>
  <c r="BI99" i="24"/>
  <c r="BH99" i="24"/>
  <c r="BG99" i="24"/>
  <c r="BF99" i="24"/>
  <c r="BM34" i="24"/>
  <c r="BL34" i="24"/>
  <c r="BK34" i="24"/>
  <c r="BJ34" i="24"/>
  <c r="BI34" i="24"/>
  <c r="BH34" i="24"/>
  <c r="BG34" i="24"/>
  <c r="BF34" i="24"/>
  <c r="BN32" i="24"/>
  <c r="BN31" i="24"/>
  <c r="BK27" i="24"/>
  <c r="BH27" i="24"/>
  <c r="BM12" i="24"/>
  <c r="BL12" i="24"/>
  <c r="BK12" i="24"/>
  <c r="BJ12" i="24"/>
  <c r="BI12" i="24"/>
  <c r="BH12" i="24"/>
  <c r="BG12" i="24"/>
  <c r="BF12" i="24"/>
  <c r="BJ117" i="21"/>
  <c r="BO114" i="21"/>
  <c r="BN114" i="21"/>
  <c r="BM114" i="21"/>
  <c r="BL114" i="21"/>
  <c r="BK114" i="21"/>
  <c r="BJ114" i="21"/>
  <c r="BI114" i="21"/>
  <c r="BH114" i="21"/>
  <c r="BG114" i="21"/>
  <c r="BF114" i="21"/>
  <c r="BO113" i="21"/>
  <c r="BM113" i="21"/>
  <c r="BL113" i="21"/>
  <c r="BK113" i="21"/>
  <c r="BJ113" i="21"/>
  <c r="BI113" i="21"/>
  <c r="BH113" i="21"/>
  <c r="BG113" i="21"/>
  <c r="BF113" i="21"/>
  <c r="BO112" i="21"/>
  <c r="BN112" i="21"/>
  <c r="BM112" i="21"/>
  <c r="BL112" i="21"/>
  <c r="BK112" i="21"/>
  <c r="BJ112" i="21"/>
  <c r="BI112" i="21"/>
  <c r="BH112" i="21"/>
  <c r="BG112" i="21"/>
  <c r="BF112" i="21"/>
  <c r="BO110" i="21"/>
  <c r="BM121" i="21" s="1"/>
  <c r="BO123" i="21" s="1"/>
  <c r="BN110" i="21"/>
  <c r="BM110" i="21"/>
  <c r="BL121" i="21" s="1"/>
  <c r="BM123" i="21" s="1"/>
  <c r="BL110" i="21"/>
  <c r="BK121" i="21" s="1"/>
  <c r="BL123" i="21" s="1"/>
  <c r="BK110" i="21"/>
  <c r="BJ121" i="21" s="1"/>
  <c r="BK123" i="21" s="1"/>
  <c r="BJ110" i="21"/>
  <c r="BI121" i="21" s="1"/>
  <c r="BJ123" i="21" s="1"/>
  <c r="BI110" i="21"/>
  <c r="BH121" i="21" s="1"/>
  <c r="BI123" i="21" s="1"/>
  <c r="BH110" i="21"/>
  <c r="BG121" i="21" s="1"/>
  <c r="BH123" i="21" s="1"/>
  <c r="BG110" i="21"/>
  <c r="BF121" i="21" s="1"/>
  <c r="BG123" i="21" s="1"/>
  <c r="BF110" i="21"/>
  <c r="BF123" i="21" s="1"/>
  <c r="AZ121" i="21"/>
  <c r="BO109" i="21"/>
  <c r="BN109" i="21"/>
  <c r="BM109" i="21"/>
  <c r="BL109" i="21"/>
  <c r="BK109" i="21"/>
  <c r="BJ109" i="21"/>
  <c r="BI109" i="21"/>
  <c r="BH109" i="21"/>
  <c r="BG109" i="21"/>
  <c r="BF109" i="21"/>
  <c r="BO104" i="21"/>
  <c r="BN104" i="21"/>
  <c r="BM104" i="21"/>
  <c r="BL104" i="21"/>
  <c r="BK104" i="21"/>
  <c r="BJ104" i="21"/>
  <c r="BI104" i="21"/>
  <c r="BH104" i="21"/>
  <c r="BG104" i="21"/>
  <c r="BF104" i="21"/>
  <c r="BM103" i="21"/>
  <c r="BL103" i="21"/>
  <c r="BK103" i="21"/>
  <c r="BJ103" i="21"/>
  <c r="BI103" i="21"/>
  <c r="BH103" i="21"/>
  <c r="BG103" i="21"/>
  <c r="BF103" i="21"/>
  <c r="BO102" i="21"/>
  <c r="BN102" i="21"/>
  <c r="BM102" i="21"/>
  <c r="BL102" i="21"/>
  <c r="BK102" i="21"/>
  <c r="BJ102" i="21"/>
  <c r="BI102" i="21"/>
  <c r="BH102" i="21"/>
  <c r="BG102" i="21"/>
  <c r="BF102" i="21"/>
  <c r="BO100" i="21"/>
  <c r="BN100" i="21"/>
  <c r="BM100" i="21"/>
  <c r="BL100" i="21"/>
  <c r="BK100" i="21"/>
  <c r="BO99" i="21"/>
  <c r="BN99" i="21"/>
  <c r="BM99" i="21"/>
  <c r="BL99" i="21"/>
  <c r="BK99" i="21"/>
  <c r="BJ99" i="21"/>
  <c r="BI99" i="21"/>
  <c r="BH99" i="21"/>
  <c r="BG99" i="21"/>
  <c r="BF99" i="21"/>
  <c r="BM34" i="21"/>
  <c r="BL34" i="21"/>
  <c r="BK34" i="21"/>
  <c r="BJ34" i="21"/>
  <c r="BI34" i="21"/>
  <c r="BH34" i="21"/>
  <c r="BG34" i="21"/>
  <c r="BF34" i="21"/>
  <c r="BN32" i="21"/>
  <c r="BN31" i="21"/>
  <c r="BM12" i="21"/>
  <c r="BL12" i="21"/>
  <c r="BK12" i="21"/>
  <c r="BJ12" i="21"/>
  <c r="BI12" i="21"/>
  <c r="BH12" i="21"/>
  <c r="BG12" i="21"/>
  <c r="BF12" i="21"/>
  <c r="BO114" i="16"/>
  <c r="BO113" i="16"/>
  <c r="BO112" i="16"/>
  <c r="BO110" i="16"/>
  <c r="BM121" i="16" s="1"/>
  <c r="BO123" i="16" s="1"/>
  <c r="BO109" i="16"/>
  <c r="BF112" i="16"/>
  <c r="BG112" i="16"/>
  <c r="BH112" i="16"/>
  <c r="BI112" i="16"/>
  <c r="BJ112" i="16"/>
  <c r="BK112" i="16"/>
  <c r="BL112" i="16"/>
  <c r="BM112" i="16"/>
  <c r="BF113" i="16"/>
  <c r="BG113" i="16"/>
  <c r="BH113" i="16"/>
  <c r="BI113" i="16"/>
  <c r="BJ113" i="16"/>
  <c r="BK113" i="16"/>
  <c r="BL113" i="16"/>
  <c r="BM113" i="16"/>
  <c r="BF114" i="16"/>
  <c r="BG114" i="16"/>
  <c r="BH114" i="16"/>
  <c r="BI114" i="16"/>
  <c r="BJ114" i="16"/>
  <c r="BK114" i="16"/>
  <c r="BL114" i="16"/>
  <c r="BM114" i="16"/>
  <c r="BF109" i="16"/>
  <c r="BG109" i="16"/>
  <c r="BH109" i="16"/>
  <c r="BI109" i="16"/>
  <c r="BJ109" i="16"/>
  <c r="BK109" i="16"/>
  <c r="BL109" i="16"/>
  <c r="BM109" i="16"/>
  <c r="BF110" i="16"/>
  <c r="BF123" i="16" s="1"/>
  <c r="BG110" i="16"/>
  <c r="BF121" i="16" s="1"/>
  <c r="BG123" i="16" s="1"/>
  <c r="BH110" i="16"/>
  <c r="BG121" i="16" s="1"/>
  <c r="BH123" i="16" s="1"/>
  <c r="BI110" i="16"/>
  <c r="BH121" i="16" s="1"/>
  <c r="BI123" i="16" s="1"/>
  <c r="BJ110" i="16"/>
  <c r="BI121" i="16" s="1"/>
  <c r="BJ123" i="16" s="1"/>
  <c r="BK110" i="16"/>
  <c r="BJ121" i="16" s="1"/>
  <c r="BK123" i="16" s="1"/>
  <c r="BL110" i="16"/>
  <c r="BK121" i="16" s="1"/>
  <c r="BL123" i="16" s="1"/>
  <c r="BM110" i="16"/>
  <c r="BL121" i="16" s="1"/>
  <c r="BM123" i="16" s="1"/>
  <c r="BF102" i="16"/>
  <c r="BG102" i="16"/>
  <c r="BH102" i="16"/>
  <c r="BI102" i="16"/>
  <c r="BJ102" i="16"/>
  <c r="BK102" i="16"/>
  <c r="BL102" i="16"/>
  <c r="BM102" i="16"/>
  <c r="BF103" i="16"/>
  <c r="BG103" i="16"/>
  <c r="BH103" i="16"/>
  <c r="BI103" i="16"/>
  <c r="BJ103" i="16"/>
  <c r="BK103" i="16"/>
  <c r="BL103" i="16"/>
  <c r="BM103" i="16"/>
  <c r="BF104" i="16"/>
  <c r="BG104" i="16"/>
  <c r="BH104" i="16"/>
  <c r="BI104" i="16"/>
  <c r="BJ104" i="16"/>
  <c r="BK104" i="16"/>
  <c r="BL104" i="16"/>
  <c r="BM104" i="16"/>
  <c r="BF99" i="16"/>
  <c r="BG99" i="16"/>
  <c r="BH99" i="16"/>
  <c r="BI99" i="16"/>
  <c r="BJ99" i="16"/>
  <c r="BK99" i="16"/>
  <c r="BL99" i="16"/>
  <c r="BF34" i="16"/>
  <c r="BG34" i="16"/>
  <c r="BH34" i="16"/>
  <c r="BI34" i="16"/>
  <c r="BJ34" i="16"/>
  <c r="BK34" i="16"/>
  <c r="BL34" i="16"/>
  <c r="BM34" i="16"/>
  <c r="BO29" i="16"/>
  <c r="BO22" i="16"/>
  <c r="BF12" i="16"/>
  <c r="BG12" i="16"/>
  <c r="BH12" i="16"/>
  <c r="BI12" i="16"/>
  <c r="BJ12" i="16"/>
  <c r="BK12" i="16"/>
  <c r="BL12" i="16"/>
  <c r="BM12" i="16"/>
  <c r="BO7" i="16"/>
  <c r="BN115" i="21" l="1"/>
  <c r="BN115" i="24"/>
  <c r="BO105" i="21"/>
  <c r="BF115" i="24"/>
  <c r="BH130" i="11"/>
  <c r="BI130" i="11"/>
  <c r="BL105" i="16"/>
  <c r="BG130" i="11"/>
  <c r="BG105" i="16"/>
  <c r="BO115" i="16"/>
  <c r="BL105" i="21"/>
  <c r="BJ105" i="24"/>
  <c r="BJ115" i="16"/>
  <c r="BI105" i="21"/>
  <c r="BG105" i="24"/>
  <c r="BO105" i="24"/>
  <c r="BK115" i="24"/>
  <c r="BG115" i="21"/>
  <c r="BM115" i="24"/>
  <c r="BH105" i="16"/>
  <c r="AZ121" i="30"/>
  <c r="BL115" i="21"/>
  <c r="BM105" i="21"/>
  <c r="BK105" i="24"/>
  <c r="BI105" i="16"/>
  <c r="BK115" i="16"/>
  <c r="BM115" i="16"/>
  <c r="BG115" i="16"/>
  <c r="BJ115" i="21"/>
  <c r="BJ105" i="16"/>
  <c r="BK115" i="21"/>
  <c r="BL115" i="16"/>
  <c r="BH105" i="21"/>
  <c r="BK105" i="16"/>
  <c r="BF115" i="16"/>
  <c r="BI115" i="16"/>
  <c r="BH115" i="16"/>
  <c r="BM105" i="16"/>
  <c r="BF7" i="30"/>
  <c r="BG7" i="30" s="1"/>
  <c r="BF86" i="11"/>
  <c r="AZ120" i="11"/>
  <c r="BF29" i="30"/>
  <c r="BG29" i="25"/>
  <c r="BH29" i="25" s="1"/>
  <c r="AZ121" i="27"/>
  <c r="BF33" i="25"/>
  <c r="BF32" i="25" s="1"/>
  <c r="AZ121" i="20"/>
  <c r="BF86" i="22"/>
  <c r="BF86" i="30"/>
  <c r="BF86" i="25"/>
  <c r="BF75" i="27"/>
  <c r="BF105" i="16"/>
  <c r="BO115" i="24"/>
  <c r="BF43" i="20"/>
  <c r="BO98" i="21"/>
  <c r="BO101" i="21" s="1"/>
  <c r="BF7" i="25"/>
  <c r="BF43" i="17"/>
  <c r="BF7" i="11"/>
  <c r="BF75" i="22"/>
  <c r="BF29" i="17"/>
  <c r="BG75" i="25"/>
  <c r="BF78" i="25"/>
  <c r="BF75" i="17"/>
  <c r="BF43" i="22"/>
  <c r="BF109" i="30"/>
  <c r="BF29" i="22"/>
  <c r="AZ120" i="19"/>
  <c r="AZ120" i="27"/>
  <c r="AZ121" i="19"/>
  <c r="AZ120" i="20"/>
  <c r="BK105" i="21"/>
  <c r="BI105" i="24"/>
  <c r="BF105" i="21"/>
  <c r="BN105" i="21"/>
  <c r="BH115" i="21"/>
  <c r="BH115" i="24"/>
  <c r="BG105" i="21"/>
  <c r="BI115" i="21"/>
  <c r="BM105" i="24"/>
  <c r="BI115" i="24"/>
  <c r="BF105" i="24"/>
  <c r="BN105" i="24"/>
  <c r="BJ115" i="24"/>
  <c r="BJ105" i="21"/>
  <c r="BL115" i="24"/>
  <c r="BM115" i="21"/>
  <c r="BF115" i="21"/>
  <c r="BO115" i="21"/>
  <c r="BH105" i="24"/>
  <c r="BL105" i="24"/>
  <c r="BG115" i="24"/>
  <c r="BO98" i="24"/>
  <c r="BO101" i="24" s="1"/>
  <c r="BO106" i="24" l="1"/>
  <c r="BO106" i="21"/>
  <c r="BF11" i="30"/>
  <c r="BF8" i="30" s="1"/>
  <c r="BG33" i="25"/>
  <c r="BG31" i="25" s="1"/>
  <c r="BF100" i="25"/>
  <c r="BF87" i="11"/>
  <c r="AZ124" i="30"/>
  <c r="AZ132" i="30" s="1"/>
  <c r="BA132" i="30" s="1"/>
  <c r="BF31" i="25"/>
  <c r="BF30" i="25"/>
  <c r="BG86" i="11"/>
  <c r="BF33" i="30"/>
  <c r="BF32" i="30" s="1"/>
  <c r="BG29" i="30"/>
  <c r="BH29" i="30" s="1"/>
  <c r="BG7" i="25"/>
  <c r="BG86" i="30"/>
  <c r="BF87" i="30"/>
  <c r="BN89" i="30" s="1"/>
  <c r="BG75" i="27"/>
  <c r="BH75" i="27" s="1"/>
  <c r="BG86" i="25"/>
  <c r="BF87" i="25"/>
  <c r="BN89" i="25" s="1"/>
  <c r="BF87" i="22"/>
  <c r="BN89" i="22" s="1"/>
  <c r="BG86" i="22"/>
  <c r="BF29" i="11"/>
  <c r="BF75" i="11"/>
  <c r="BF78" i="27"/>
  <c r="BF11" i="25"/>
  <c r="BF7" i="22"/>
  <c r="BF86" i="17"/>
  <c r="BF43" i="11"/>
  <c r="BH7" i="30"/>
  <c r="BG11" i="30"/>
  <c r="BI29" i="25"/>
  <c r="BH33" i="25"/>
  <c r="BF43" i="30"/>
  <c r="BF76" i="25"/>
  <c r="BF7" i="17"/>
  <c r="BG7" i="11"/>
  <c r="BF11" i="11"/>
  <c r="BG43" i="17"/>
  <c r="BF47" i="17"/>
  <c r="BF9" i="30"/>
  <c r="BF10" i="30"/>
  <c r="BF78" i="17"/>
  <c r="BG75" i="17"/>
  <c r="BH75" i="25"/>
  <c r="BG78" i="25"/>
  <c r="BF99" i="30"/>
  <c r="BG109" i="30"/>
  <c r="BF99" i="17"/>
  <c r="BG29" i="22"/>
  <c r="BF33" i="22"/>
  <c r="BG30" i="25"/>
  <c r="BF43" i="25"/>
  <c r="BG75" i="22"/>
  <c r="BF100" i="22"/>
  <c r="BF78" i="22"/>
  <c r="BG43" i="22"/>
  <c r="BF47" i="22"/>
  <c r="BF75" i="30"/>
  <c r="BF100" i="30" s="1"/>
  <c r="BG29" i="17"/>
  <c r="BF33" i="17"/>
  <c r="BF99" i="20"/>
  <c r="BF75" i="20"/>
  <c r="BF47" i="20"/>
  <c r="BG43" i="20"/>
  <c r="BF29" i="27"/>
  <c r="BF43" i="27"/>
  <c r="BO65" i="15"/>
  <c r="BO66" i="15"/>
  <c r="BO70" i="15" s="1"/>
  <c r="BO81" i="15"/>
  <c r="BF69" i="15"/>
  <c r="BG69" i="15"/>
  <c r="BH69" i="15"/>
  <c r="BI69" i="15"/>
  <c r="BJ69" i="15"/>
  <c r="BK69" i="15"/>
  <c r="BL69" i="15"/>
  <c r="BM69" i="15"/>
  <c r="BO43" i="15"/>
  <c r="BO29" i="15"/>
  <c r="BO7" i="15"/>
  <c r="BO114" i="15"/>
  <c r="BN114" i="15"/>
  <c r="BM114" i="15"/>
  <c r="BM115" i="15" s="1"/>
  <c r="BL114" i="15"/>
  <c r="BL115" i="15" s="1"/>
  <c r="BK114" i="15"/>
  <c r="BK115" i="15" s="1"/>
  <c r="BJ114" i="15"/>
  <c r="BJ115" i="15" s="1"/>
  <c r="BI114" i="15"/>
  <c r="BI115" i="15" s="1"/>
  <c r="BH114" i="15"/>
  <c r="BH115" i="15" s="1"/>
  <c r="BG114" i="15"/>
  <c r="BG115" i="15" s="1"/>
  <c r="BF114" i="15"/>
  <c r="BF115" i="15" s="1"/>
  <c r="BO113" i="15"/>
  <c r="BO112" i="15"/>
  <c r="BN112" i="15"/>
  <c r="BO109" i="15"/>
  <c r="BN109" i="15"/>
  <c r="BM109" i="15"/>
  <c r="BL109" i="15"/>
  <c r="BK109" i="15"/>
  <c r="BJ109" i="15"/>
  <c r="BI109" i="15"/>
  <c r="BH109" i="15"/>
  <c r="BG109" i="15"/>
  <c r="BF109" i="15"/>
  <c r="BN105" i="15"/>
  <c r="BO104" i="15"/>
  <c r="BO105" i="15" s="1"/>
  <c r="BM104" i="15"/>
  <c r="BM105" i="15" s="1"/>
  <c r="BL104" i="15"/>
  <c r="BL105" i="15" s="1"/>
  <c r="BK104" i="15"/>
  <c r="BK105" i="15" s="1"/>
  <c r="BJ104" i="15"/>
  <c r="BJ105" i="15" s="1"/>
  <c r="BI104" i="15"/>
  <c r="BI105" i="15" s="1"/>
  <c r="BH104" i="15"/>
  <c r="BH105" i="15" s="1"/>
  <c r="BG104" i="15"/>
  <c r="BG105" i="15" s="1"/>
  <c r="BF104" i="15"/>
  <c r="BF105" i="15" s="1"/>
  <c r="BO99" i="15"/>
  <c r="BN99" i="15"/>
  <c r="BM99" i="15"/>
  <c r="BL99" i="15"/>
  <c r="BK99" i="15"/>
  <c r="BJ99" i="15"/>
  <c r="BI99" i="15"/>
  <c r="BH99" i="15"/>
  <c r="BG99" i="15"/>
  <c r="BF99" i="15"/>
  <c r="BM83" i="15"/>
  <c r="BL83" i="15"/>
  <c r="BK83" i="15"/>
  <c r="BJ83" i="15"/>
  <c r="BI83" i="15"/>
  <c r="BH83" i="15"/>
  <c r="BG83" i="15"/>
  <c r="BF83" i="15"/>
  <c r="BM48" i="15"/>
  <c r="BL48" i="15"/>
  <c r="BK48" i="15"/>
  <c r="BJ48" i="15"/>
  <c r="BI48" i="15"/>
  <c r="BH48" i="15"/>
  <c r="BG48" i="15"/>
  <c r="BF48" i="15"/>
  <c r="BM34" i="15"/>
  <c r="BL34" i="15"/>
  <c r="BK34" i="15"/>
  <c r="BJ34" i="15"/>
  <c r="BI34" i="15"/>
  <c r="BH34" i="15"/>
  <c r="BG34" i="15"/>
  <c r="BF34" i="15"/>
  <c r="BM12" i="15"/>
  <c r="BL12" i="15"/>
  <c r="BK12" i="15"/>
  <c r="BJ12" i="15"/>
  <c r="BI12" i="15"/>
  <c r="BH12" i="15"/>
  <c r="BG12" i="15"/>
  <c r="BF12" i="15"/>
  <c r="BO29" i="12"/>
  <c r="BO22" i="12"/>
  <c r="BO7" i="12"/>
  <c r="BO114" i="12"/>
  <c r="BN114" i="12"/>
  <c r="BM114" i="12"/>
  <c r="BM115" i="12" s="1"/>
  <c r="BL114" i="12"/>
  <c r="BL115" i="12" s="1"/>
  <c r="BK114" i="12"/>
  <c r="BK115" i="12" s="1"/>
  <c r="BJ114" i="12"/>
  <c r="BJ115" i="12" s="1"/>
  <c r="BI114" i="12"/>
  <c r="BI115" i="12" s="1"/>
  <c r="BH114" i="12"/>
  <c r="BH115" i="12" s="1"/>
  <c r="BG114" i="12"/>
  <c r="BG115" i="12" s="1"/>
  <c r="BF114" i="12"/>
  <c r="BF115" i="12" s="1"/>
  <c r="BO113" i="12"/>
  <c r="BO112" i="12"/>
  <c r="BN112" i="12"/>
  <c r="BN105" i="12"/>
  <c r="BO104" i="12"/>
  <c r="BO105" i="12" s="1"/>
  <c r="BM104" i="12"/>
  <c r="BM105" i="12" s="1"/>
  <c r="BL104" i="12"/>
  <c r="BL105" i="12" s="1"/>
  <c r="BK104" i="12"/>
  <c r="BK105" i="12" s="1"/>
  <c r="BJ104" i="12"/>
  <c r="BJ105" i="12" s="1"/>
  <c r="BI104" i="12"/>
  <c r="BI105" i="12" s="1"/>
  <c r="BH104" i="12"/>
  <c r="BH105" i="12" s="1"/>
  <c r="BG104" i="12"/>
  <c r="BG105" i="12" s="1"/>
  <c r="BF104" i="12"/>
  <c r="BF105" i="12" s="1"/>
  <c r="BO100" i="12"/>
  <c r="BM34" i="12"/>
  <c r="BL34" i="12"/>
  <c r="BK34" i="12"/>
  <c r="BJ34" i="12"/>
  <c r="BI34" i="12"/>
  <c r="BH34" i="12"/>
  <c r="BG34" i="12"/>
  <c r="BF34" i="12"/>
  <c r="BL25" i="12"/>
  <c r="BJ25" i="12"/>
  <c r="BI25" i="12"/>
  <c r="BG25" i="12"/>
  <c r="BL24" i="12"/>
  <c r="BJ24" i="12"/>
  <c r="BI24" i="12"/>
  <c r="BG24" i="12"/>
  <c r="BL23" i="12"/>
  <c r="BJ23" i="12"/>
  <c r="BI23" i="12"/>
  <c r="BG23" i="12"/>
  <c r="BM12" i="12"/>
  <c r="BL12" i="12"/>
  <c r="BK12" i="12"/>
  <c r="BJ12" i="12"/>
  <c r="BI12" i="12"/>
  <c r="BH12" i="12"/>
  <c r="BG12" i="12"/>
  <c r="BF12" i="12"/>
  <c r="BG23" i="10"/>
  <c r="BI23" i="10"/>
  <c r="BJ23" i="10"/>
  <c r="BL23" i="10"/>
  <c r="BG24" i="10"/>
  <c r="G22" i="9" s="1"/>
  <c r="BI24" i="10"/>
  <c r="I22" i="9" s="1"/>
  <c r="BJ24" i="10"/>
  <c r="J22" i="9" s="1"/>
  <c r="BL24" i="10"/>
  <c r="BG25" i="10"/>
  <c r="BI25" i="10"/>
  <c r="BJ25" i="10"/>
  <c r="BL25" i="10"/>
  <c r="BF12" i="10"/>
  <c r="BG12" i="10"/>
  <c r="BH12" i="10"/>
  <c r="BI12" i="10"/>
  <c r="BJ12" i="10"/>
  <c r="BK12" i="10"/>
  <c r="BL12" i="10"/>
  <c r="BM12" i="10"/>
  <c r="I23" i="9" l="1"/>
  <c r="I21" i="9"/>
  <c r="BG32" i="25"/>
  <c r="J23" i="9"/>
  <c r="J21" i="9"/>
  <c r="BF100" i="11"/>
  <c r="BN89" i="11"/>
  <c r="G23" i="9"/>
  <c r="G21" i="9"/>
  <c r="BF110" i="25"/>
  <c r="BG87" i="11"/>
  <c r="BG33" i="30"/>
  <c r="BG32" i="30" s="1"/>
  <c r="BG100" i="25"/>
  <c r="BH86" i="11"/>
  <c r="BF30" i="30"/>
  <c r="BF31" i="30"/>
  <c r="BN115" i="15"/>
  <c r="BO115" i="15"/>
  <c r="BN115" i="12"/>
  <c r="BF123" i="25"/>
  <c r="BG78" i="27"/>
  <c r="BG76" i="27" s="1"/>
  <c r="BG77" i="27" s="1"/>
  <c r="BF7" i="27"/>
  <c r="BF98" i="27" s="1"/>
  <c r="AZ120" i="21"/>
  <c r="AZ120" i="24"/>
  <c r="BH7" i="25"/>
  <c r="BI7" i="25" s="1"/>
  <c r="BG11" i="25"/>
  <c r="BF86" i="19"/>
  <c r="BH86" i="30"/>
  <c r="BG87" i="30"/>
  <c r="BF86" i="14"/>
  <c r="BH86" i="25"/>
  <c r="BG87" i="25"/>
  <c r="BF100" i="17"/>
  <c r="BF9" i="25"/>
  <c r="BH86" i="22"/>
  <c r="BG87" i="22"/>
  <c r="BF86" i="27"/>
  <c r="BF76" i="27"/>
  <c r="BF77" i="27" s="1"/>
  <c r="BF86" i="20"/>
  <c r="BF100" i="20" s="1"/>
  <c r="BF98" i="11"/>
  <c r="BG75" i="11"/>
  <c r="BF78" i="11"/>
  <c r="BG29" i="11"/>
  <c r="BF33" i="11"/>
  <c r="BF29" i="19"/>
  <c r="BF99" i="11"/>
  <c r="BF8" i="25"/>
  <c r="BF10" i="25"/>
  <c r="BF43" i="14"/>
  <c r="BI75" i="25"/>
  <c r="BH78" i="25"/>
  <c r="BG78" i="17"/>
  <c r="BH75" i="17"/>
  <c r="BG43" i="30"/>
  <c r="BF47" i="30"/>
  <c r="BF98" i="30"/>
  <c r="BG43" i="11"/>
  <c r="BF47" i="11"/>
  <c r="BG43" i="25"/>
  <c r="BF47" i="25"/>
  <c r="BF98" i="25"/>
  <c r="BF109" i="11"/>
  <c r="BF76" i="17"/>
  <c r="BF46" i="17"/>
  <c r="BF44" i="17"/>
  <c r="BF45" i="17"/>
  <c r="BH7" i="11"/>
  <c r="BG11" i="11"/>
  <c r="BG30" i="30"/>
  <c r="BH31" i="25"/>
  <c r="BH32" i="25"/>
  <c r="BH30" i="25"/>
  <c r="BF99" i="25"/>
  <c r="BH33" i="30"/>
  <c r="BI29" i="30"/>
  <c r="BJ29" i="25"/>
  <c r="BI33" i="25"/>
  <c r="BF76" i="22"/>
  <c r="BF110" i="22"/>
  <c r="BF123" i="22" s="1"/>
  <c r="BG99" i="17"/>
  <c r="BH109" i="30"/>
  <c r="BG47" i="17"/>
  <c r="BH43" i="17"/>
  <c r="BF98" i="17"/>
  <c r="BG7" i="17"/>
  <c r="BF11" i="17"/>
  <c r="BF77" i="25"/>
  <c r="BF98" i="22"/>
  <c r="BG7" i="22"/>
  <c r="BF11" i="22"/>
  <c r="BF46" i="22"/>
  <c r="BF45" i="22"/>
  <c r="BF44" i="22"/>
  <c r="BF109" i="17"/>
  <c r="BG8" i="30"/>
  <c r="BG10" i="30"/>
  <c r="BG9" i="30"/>
  <c r="BF32" i="17"/>
  <c r="BF31" i="17"/>
  <c r="BF30" i="17"/>
  <c r="BG75" i="30"/>
  <c r="BG100" i="30" s="1"/>
  <c r="BF78" i="30"/>
  <c r="BG47" i="22"/>
  <c r="BH43" i="22"/>
  <c r="BH75" i="22"/>
  <c r="BG78" i="22"/>
  <c r="BG100" i="22"/>
  <c r="BF31" i="22"/>
  <c r="BF32" i="22"/>
  <c r="BF30" i="22"/>
  <c r="BG99" i="30"/>
  <c r="BI7" i="30"/>
  <c r="BH11" i="30"/>
  <c r="BH29" i="22"/>
  <c r="BG33" i="22"/>
  <c r="BF99" i="22"/>
  <c r="BF109" i="25"/>
  <c r="BG76" i="25"/>
  <c r="BH29" i="17"/>
  <c r="BG33" i="17"/>
  <c r="BF10" i="11"/>
  <c r="BF9" i="11"/>
  <c r="BF8" i="11"/>
  <c r="BG86" i="17"/>
  <c r="BF87" i="17"/>
  <c r="BN89" i="17" s="1"/>
  <c r="BF43" i="19"/>
  <c r="BF99" i="19"/>
  <c r="BF7" i="19"/>
  <c r="BF109" i="27"/>
  <c r="BG29" i="27"/>
  <c r="BF33" i="27"/>
  <c r="BH43" i="20"/>
  <c r="BG47" i="20"/>
  <c r="BF109" i="20"/>
  <c r="BF7" i="20"/>
  <c r="BI75" i="27"/>
  <c r="BH78" i="27"/>
  <c r="BF44" i="20"/>
  <c r="BF45" i="20"/>
  <c r="BF46" i="20"/>
  <c r="BG43" i="27"/>
  <c r="BF47" i="27"/>
  <c r="BF29" i="20"/>
  <c r="BG75" i="20"/>
  <c r="BF78" i="20"/>
  <c r="BF75" i="19"/>
  <c r="BO100" i="15"/>
  <c r="BO98" i="15"/>
  <c r="BO98" i="12"/>
  <c r="AZ121" i="12"/>
  <c r="BO115" i="12"/>
  <c r="BG31" i="30" l="1"/>
  <c r="BF11" i="27"/>
  <c r="BG100" i="11"/>
  <c r="F80" i="9"/>
  <c r="BH87" i="11"/>
  <c r="BG110" i="25"/>
  <c r="BF121" i="25" s="1"/>
  <c r="BG123" i="25" s="1"/>
  <c r="BG7" i="27"/>
  <c r="BH7" i="27" s="1"/>
  <c r="BI86" i="11"/>
  <c r="BI87" i="11" s="1"/>
  <c r="BH100" i="25"/>
  <c r="BJ75" i="25"/>
  <c r="BG10" i="25"/>
  <c r="BG8" i="25"/>
  <c r="BG9" i="25"/>
  <c r="BH11" i="25"/>
  <c r="BH8" i="25" s="1"/>
  <c r="BF101" i="17"/>
  <c r="BF106" i="17" s="1"/>
  <c r="BG99" i="20"/>
  <c r="BG86" i="20"/>
  <c r="BG100" i="20" s="1"/>
  <c r="BF87" i="20"/>
  <c r="BN89" i="20" s="1"/>
  <c r="BF87" i="27"/>
  <c r="BN89" i="27" s="1"/>
  <c r="BF100" i="27"/>
  <c r="BG86" i="27"/>
  <c r="BI86" i="22"/>
  <c r="BH87" i="22"/>
  <c r="BF22" i="12"/>
  <c r="BH76" i="27"/>
  <c r="BH77" i="27" s="1"/>
  <c r="BF22" i="24"/>
  <c r="BH87" i="30"/>
  <c r="BI86" i="30"/>
  <c r="AZ121" i="15"/>
  <c r="BI86" i="25"/>
  <c r="BH87" i="25"/>
  <c r="BF22" i="21"/>
  <c r="BG86" i="19"/>
  <c r="BF87" i="19"/>
  <c r="BN89" i="19" s="1"/>
  <c r="BF22" i="16"/>
  <c r="BG86" i="14"/>
  <c r="BG99" i="11"/>
  <c r="BF101" i="11"/>
  <c r="BF106" i="11" s="1"/>
  <c r="BF32" i="11"/>
  <c r="BF31" i="11"/>
  <c r="BF30" i="11"/>
  <c r="BF108" i="11"/>
  <c r="BG33" i="11"/>
  <c r="BH29" i="11"/>
  <c r="BG98" i="11"/>
  <c r="BF76" i="11"/>
  <c r="BF110" i="11"/>
  <c r="BF123" i="11" s="1"/>
  <c r="BG78" i="11"/>
  <c r="BH75" i="11"/>
  <c r="BG29" i="19"/>
  <c r="BF33" i="19"/>
  <c r="AZ120" i="15"/>
  <c r="BF29" i="16"/>
  <c r="BG43" i="14"/>
  <c r="BF101" i="30"/>
  <c r="BF106" i="30" s="1"/>
  <c r="BF101" i="22"/>
  <c r="BF106" i="22" s="1"/>
  <c r="BF101" i="25"/>
  <c r="BF106" i="25" s="1"/>
  <c r="BF77" i="22"/>
  <c r="BG109" i="17"/>
  <c r="BG47" i="25"/>
  <c r="BH43" i="25"/>
  <c r="BG98" i="25"/>
  <c r="BK29" i="25"/>
  <c r="BJ33" i="25"/>
  <c r="BF44" i="11"/>
  <c r="BF46" i="11"/>
  <c r="BF45" i="11"/>
  <c r="BH43" i="30"/>
  <c r="BG47" i="30"/>
  <c r="BG98" i="30"/>
  <c r="BI78" i="25"/>
  <c r="BJ86" i="11"/>
  <c r="BH99" i="17"/>
  <c r="BG109" i="11"/>
  <c r="BH43" i="11"/>
  <c r="BG47" i="11"/>
  <c r="BG31" i="22"/>
  <c r="BG30" i="22"/>
  <c r="BG32" i="22"/>
  <c r="BG110" i="22"/>
  <c r="BF121" i="22" s="1"/>
  <c r="BG123" i="22" s="1"/>
  <c r="BG76" i="22"/>
  <c r="BG77" i="22" s="1"/>
  <c r="BI43" i="17"/>
  <c r="BH47" i="17"/>
  <c r="BJ29" i="30"/>
  <c r="BI33" i="30"/>
  <c r="BH78" i="17"/>
  <c r="BI75" i="17"/>
  <c r="BG109" i="25"/>
  <c r="BI43" i="22"/>
  <c r="BH47" i="22"/>
  <c r="BF44" i="30"/>
  <c r="BF46" i="30"/>
  <c r="BF45" i="30"/>
  <c r="BF108" i="30"/>
  <c r="BI29" i="22"/>
  <c r="BH33" i="22"/>
  <c r="BJ7" i="30"/>
  <c r="BI11" i="30"/>
  <c r="BG87" i="17"/>
  <c r="BH86" i="17"/>
  <c r="BH100" i="22"/>
  <c r="BI75" i="22"/>
  <c r="BH78" i="22"/>
  <c r="BH32" i="30"/>
  <c r="BH31" i="30"/>
  <c r="BH30" i="30"/>
  <c r="BF77" i="17"/>
  <c r="BG76" i="17"/>
  <c r="BI29" i="17"/>
  <c r="BH33" i="17"/>
  <c r="BH8" i="30"/>
  <c r="BH10" i="30"/>
  <c r="BH9" i="30"/>
  <c r="BI7" i="11"/>
  <c r="BH11" i="11"/>
  <c r="BG45" i="22"/>
  <c r="BG44" i="22"/>
  <c r="BG46" i="22"/>
  <c r="BG77" i="25"/>
  <c r="BH99" i="30"/>
  <c r="BF108" i="17"/>
  <c r="BF8" i="17"/>
  <c r="BF10" i="17"/>
  <c r="BF9" i="17"/>
  <c r="BG44" i="17"/>
  <c r="BG46" i="17"/>
  <c r="BG45" i="17"/>
  <c r="BF110" i="17"/>
  <c r="BF123" i="17" s="1"/>
  <c r="BG100" i="17"/>
  <c r="BI30" i="25"/>
  <c r="BI32" i="25"/>
  <c r="BI31" i="25"/>
  <c r="BG99" i="22"/>
  <c r="BF76" i="30"/>
  <c r="BF77" i="30" s="1"/>
  <c r="BF110" i="30"/>
  <c r="BF123" i="30" s="1"/>
  <c r="BJ7" i="25"/>
  <c r="BI11" i="25"/>
  <c r="BF108" i="22"/>
  <c r="BF8" i="22"/>
  <c r="BF10" i="22"/>
  <c r="BF9" i="22"/>
  <c r="BI109" i="30"/>
  <c r="BG99" i="25"/>
  <c r="BG32" i="17"/>
  <c r="BG31" i="17"/>
  <c r="BG30" i="17"/>
  <c r="BH75" i="30"/>
  <c r="BH100" i="30" s="1"/>
  <c r="BG78" i="30"/>
  <c r="BG98" i="22"/>
  <c r="BH7" i="22"/>
  <c r="BG11" i="22"/>
  <c r="BG98" i="17"/>
  <c r="BH7" i="17"/>
  <c r="BG11" i="17"/>
  <c r="BG8" i="11"/>
  <c r="BG9" i="11"/>
  <c r="BG10" i="11"/>
  <c r="BF45" i="25"/>
  <c r="BF46" i="25"/>
  <c r="BF44" i="25"/>
  <c r="BF108" i="25"/>
  <c r="BH76" i="25"/>
  <c r="BF98" i="20"/>
  <c r="BF101" i="20" s="1"/>
  <c r="BF106" i="20" s="1"/>
  <c r="BG7" i="20"/>
  <c r="BF11" i="20"/>
  <c r="BG109" i="20"/>
  <c r="BF32" i="27"/>
  <c r="BF31" i="27"/>
  <c r="BF30" i="27"/>
  <c r="BG109" i="27"/>
  <c r="BG99" i="19"/>
  <c r="BG46" i="20"/>
  <c r="BG44" i="20"/>
  <c r="BG45" i="20"/>
  <c r="BH29" i="27"/>
  <c r="BG33" i="27"/>
  <c r="BH43" i="27"/>
  <c r="BG47" i="27"/>
  <c r="BF100" i="19"/>
  <c r="BG75" i="19"/>
  <c r="BF78" i="19"/>
  <c r="BH99" i="20"/>
  <c r="BI43" i="20"/>
  <c r="BH47" i="20"/>
  <c r="BF109" i="19"/>
  <c r="BG98" i="27"/>
  <c r="BF99" i="27"/>
  <c r="BG29" i="20"/>
  <c r="BF33" i="20"/>
  <c r="BF108" i="27"/>
  <c r="BF10" i="27"/>
  <c r="BF9" i="27"/>
  <c r="BF8" i="27"/>
  <c r="BF76" i="20"/>
  <c r="BF77" i="20" s="1"/>
  <c r="BF46" i="27"/>
  <c r="BF45" i="27"/>
  <c r="BF44" i="27"/>
  <c r="BJ75" i="27"/>
  <c r="BI78" i="27"/>
  <c r="BG43" i="19"/>
  <c r="BF47" i="19"/>
  <c r="BH75" i="20"/>
  <c r="BG78" i="20"/>
  <c r="BF98" i="19"/>
  <c r="BG7" i="19"/>
  <c r="BF11" i="19"/>
  <c r="BF7" i="24"/>
  <c r="BF29" i="24"/>
  <c r="BF29" i="21"/>
  <c r="BF7" i="21"/>
  <c r="BO101" i="15"/>
  <c r="BO106" i="15" s="1"/>
  <c r="BG11" i="27" l="1"/>
  <c r="G80" i="9"/>
  <c r="BH100" i="11"/>
  <c r="BF110" i="20"/>
  <c r="BF123" i="20" s="1"/>
  <c r="BF101" i="27"/>
  <c r="BF106" i="27" s="1"/>
  <c r="BK86" i="11"/>
  <c r="BI100" i="25"/>
  <c r="BJ86" i="30"/>
  <c r="BH10" i="25"/>
  <c r="BH9" i="25"/>
  <c r="BF122" i="17"/>
  <c r="BF122" i="30"/>
  <c r="BF122" i="25"/>
  <c r="BF122" i="22"/>
  <c r="BJ86" i="25"/>
  <c r="BF122" i="11"/>
  <c r="AZ120" i="12"/>
  <c r="BF122" i="27"/>
  <c r="BF111" i="25"/>
  <c r="BF116" i="25" s="1"/>
  <c r="BH98" i="11"/>
  <c r="BF111" i="11"/>
  <c r="BF116" i="11" s="1"/>
  <c r="BF29" i="12"/>
  <c r="BH86" i="19"/>
  <c r="BG87" i="19"/>
  <c r="BH86" i="27"/>
  <c r="BG87" i="27"/>
  <c r="BG100" i="27"/>
  <c r="BH86" i="14"/>
  <c r="BG22" i="16"/>
  <c r="BI87" i="25"/>
  <c r="BI87" i="30"/>
  <c r="BG22" i="24"/>
  <c r="BF110" i="27"/>
  <c r="BH110" i="25"/>
  <c r="BG121" i="25" s="1"/>
  <c r="BH100" i="17"/>
  <c r="BJ86" i="22"/>
  <c r="BI87" i="22"/>
  <c r="BG101" i="22"/>
  <c r="BG106" i="22" s="1"/>
  <c r="BG22" i="21"/>
  <c r="BF76" i="19"/>
  <c r="BH99" i="19"/>
  <c r="BG87" i="20"/>
  <c r="BH86" i="20"/>
  <c r="BH100" i="20" s="1"/>
  <c r="BF30" i="19"/>
  <c r="BF32" i="19"/>
  <c r="BF31" i="19"/>
  <c r="BG110" i="11"/>
  <c r="BF121" i="11" s="1"/>
  <c r="BG123" i="11" s="1"/>
  <c r="BG76" i="11"/>
  <c r="BG101" i="11"/>
  <c r="BG106" i="11" s="1"/>
  <c r="BG33" i="19"/>
  <c r="BH29" i="19"/>
  <c r="BF77" i="11"/>
  <c r="BG108" i="11"/>
  <c r="BF120" i="11" s="1"/>
  <c r="BH99" i="11"/>
  <c r="BI29" i="11"/>
  <c r="BH33" i="11"/>
  <c r="BI75" i="11"/>
  <c r="BH78" i="11"/>
  <c r="BG32" i="11"/>
  <c r="BG30" i="11"/>
  <c r="BG31" i="11"/>
  <c r="BG110" i="17"/>
  <c r="BF121" i="17" s="1"/>
  <c r="BG123" i="17" s="1"/>
  <c r="BH43" i="14"/>
  <c r="BF65" i="15"/>
  <c r="F63" i="9" s="1"/>
  <c r="BI76" i="27"/>
  <c r="BI77" i="27" s="1"/>
  <c r="BG29" i="16"/>
  <c r="BF33" i="16"/>
  <c r="BG108" i="17"/>
  <c r="BF120" i="17" s="1"/>
  <c r="BG8" i="17"/>
  <c r="BG10" i="17"/>
  <c r="BG9" i="17"/>
  <c r="BH45" i="22"/>
  <c r="BH44" i="22"/>
  <c r="BH46" i="22"/>
  <c r="BG46" i="25"/>
  <c r="BG45" i="25"/>
  <c r="BG44" i="25"/>
  <c r="BG108" i="25"/>
  <c r="BF120" i="25" s="1"/>
  <c r="BH98" i="17"/>
  <c r="BI7" i="17"/>
  <c r="BH11" i="17"/>
  <c r="BJ109" i="30"/>
  <c r="BH76" i="22"/>
  <c r="BH110" i="22"/>
  <c r="BG121" i="22" s="1"/>
  <c r="BH123" i="22" s="1"/>
  <c r="BJ87" i="11"/>
  <c r="BI110" i="25"/>
  <c r="BH121" i="25" s="1"/>
  <c r="BI76" i="25"/>
  <c r="BH77" i="25"/>
  <c r="BG101" i="17"/>
  <c r="BG106" i="17" s="1"/>
  <c r="BH99" i="22"/>
  <c r="BI100" i="22"/>
  <c r="BJ75" i="22"/>
  <c r="BI78" i="22"/>
  <c r="BG46" i="11"/>
  <c r="BG45" i="11"/>
  <c r="BG44" i="11"/>
  <c r="BH109" i="11"/>
  <c r="BJ30" i="25"/>
  <c r="BJ32" i="25"/>
  <c r="BJ31" i="25"/>
  <c r="BI8" i="25"/>
  <c r="BI9" i="25"/>
  <c r="BI10" i="25"/>
  <c r="BH30" i="22"/>
  <c r="BH32" i="22"/>
  <c r="BH31" i="22"/>
  <c r="BH76" i="17"/>
  <c r="BH77" i="17" s="1"/>
  <c r="BH46" i="17"/>
  <c r="BH45" i="17"/>
  <c r="BH44" i="17"/>
  <c r="BJ78" i="25"/>
  <c r="BK75" i="25"/>
  <c r="BH98" i="22"/>
  <c r="BI7" i="22"/>
  <c r="BH11" i="22"/>
  <c r="BI11" i="11"/>
  <c r="BJ7" i="11"/>
  <c r="BJ29" i="17"/>
  <c r="BI33" i="17"/>
  <c r="BJ43" i="22"/>
  <c r="BI47" i="22"/>
  <c r="BH99" i="25"/>
  <c r="BI86" i="17"/>
  <c r="BH87" i="17"/>
  <c r="BJ29" i="22"/>
  <c r="BI33" i="22"/>
  <c r="BI43" i="11"/>
  <c r="BH47" i="11"/>
  <c r="BI99" i="17"/>
  <c r="BG101" i="30"/>
  <c r="BG106" i="30" s="1"/>
  <c r="BL29" i="25"/>
  <c r="BK33" i="25"/>
  <c r="BK7" i="30"/>
  <c r="BJ11" i="30"/>
  <c r="BI99" i="30"/>
  <c r="BG77" i="17"/>
  <c r="BI31" i="30"/>
  <c r="BI32" i="30"/>
  <c r="BI30" i="30"/>
  <c r="BJ43" i="17"/>
  <c r="BI47" i="17"/>
  <c r="BG44" i="30"/>
  <c r="BG45" i="30"/>
  <c r="BG46" i="30"/>
  <c r="BG108" i="30"/>
  <c r="BF120" i="30" s="1"/>
  <c r="BI75" i="30"/>
  <c r="BI100" i="30" s="1"/>
  <c r="BH78" i="30"/>
  <c r="BI78" i="17"/>
  <c r="BJ75" i="17"/>
  <c r="BK7" i="25"/>
  <c r="BJ11" i="25"/>
  <c r="BH9" i="11"/>
  <c r="BH8" i="11"/>
  <c r="BH10" i="11"/>
  <c r="BI10" i="30"/>
  <c r="BI9" i="30"/>
  <c r="BI8" i="30"/>
  <c r="BF111" i="30"/>
  <c r="BF116" i="30" s="1"/>
  <c r="BH109" i="25"/>
  <c r="BJ33" i="30"/>
  <c r="BK29" i="30"/>
  <c r="BH47" i="30"/>
  <c r="BI43" i="30"/>
  <c r="BH98" i="30"/>
  <c r="BG101" i="25"/>
  <c r="BG106" i="25" s="1"/>
  <c r="BH109" i="17"/>
  <c r="BH31" i="17"/>
  <c r="BH30" i="17"/>
  <c r="BH32" i="17"/>
  <c r="BG108" i="22"/>
  <c r="BF120" i="22" s="1"/>
  <c r="BG8" i="22"/>
  <c r="BG10" i="22"/>
  <c r="BG9" i="22"/>
  <c r="BG110" i="30"/>
  <c r="BF121" i="30" s="1"/>
  <c r="BG123" i="30" s="1"/>
  <c r="BG76" i="30"/>
  <c r="BF111" i="17"/>
  <c r="BF116" i="17" s="1"/>
  <c r="BI43" i="25"/>
  <c r="BH47" i="25"/>
  <c r="BH98" i="25"/>
  <c r="BF101" i="19"/>
  <c r="BF106" i="19" s="1"/>
  <c r="BH98" i="27"/>
  <c r="BI7" i="27"/>
  <c r="BH11" i="27"/>
  <c r="BF108" i="19"/>
  <c r="BF10" i="19"/>
  <c r="BF9" i="19"/>
  <c r="BF8" i="19"/>
  <c r="BF32" i="20"/>
  <c r="BF30" i="20"/>
  <c r="BF31" i="20"/>
  <c r="BG99" i="27"/>
  <c r="BF108" i="20"/>
  <c r="BF10" i="20"/>
  <c r="BF9" i="20"/>
  <c r="BF8" i="20"/>
  <c r="BG33" i="20"/>
  <c r="BH29" i="20"/>
  <c r="BH46" i="20"/>
  <c r="BH44" i="20"/>
  <c r="BH45" i="20"/>
  <c r="BF110" i="19"/>
  <c r="BF123" i="19" s="1"/>
  <c r="BG98" i="19"/>
  <c r="BH7" i="19"/>
  <c r="BG11" i="19"/>
  <c r="BG46" i="27"/>
  <c r="BG45" i="27"/>
  <c r="BG44" i="27"/>
  <c r="BG76" i="20"/>
  <c r="BG100" i="19"/>
  <c r="BH75" i="19"/>
  <c r="BG78" i="19"/>
  <c r="BH109" i="20"/>
  <c r="BG98" i="20"/>
  <c r="BG101" i="20" s="1"/>
  <c r="BG106" i="20" s="1"/>
  <c r="BG11" i="20"/>
  <c r="BH7" i="20"/>
  <c r="BJ43" i="20"/>
  <c r="BI47" i="20"/>
  <c r="BH47" i="27"/>
  <c r="BI43" i="27"/>
  <c r="BI75" i="20"/>
  <c r="BH78" i="20"/>
  <c r="BF44" i="19"/>
  <c r="BF45" i="19"/>
  <c r="BF46" i="19"/>
  <c r="BG31" i="27"/>
  <c r="BG32" i="27"/>
  <c r="BG30" i="27"/>
  <c r="BH109" i="27"/>
  <c r="BG109" i="19"/>
  <c r="BI99" i="20"/>
  <c r="BH43" i="19"/>
  <c r="BG47" i="19"/>
  <c r="BK75" i="27"/>
  <c r="BJ78" i="27"/>
  <c r="BG108" i="27"/>
  <c r="BF120" i="27" s="1"/>
  <c r="BG8" i="27"/>
  <c r="BG10" i="27"/>
  <c r="BG9" i="27"/>
  <c r="BI29" i="27"/>
  <c r="BH33" i="27"/>
  <c r="BG29" i="24"/>
  <c r="BF33" i="24"/>
  <c r="BF98" i="21"/>
  <c r="BF101" i="21" s="1"/>
  <c r="BF106" i="21" s="1"/>
  <c r="BG7" i="21"/>
  <c r="BF11" i="21"/>
  <c r="BG7" i="24"/>
  <c r="BF98" i="24"/>
  <c r="BF101" i="24" s="1"/>
  <c r="BF106" i="24" s="1"/>
  <c r="BF11" i="24"/>
  <c r="BG29" i="21"/>
  <c r="BF33" i="21"/>
  <c r="BF29" i="15"/>
  <c r="BF43" i="15"/>
  <c r="BF7" i="15"/>
  <c r="BG22" i="12"/>
  <c r="BF26" i="12"/>
  <c r="BI100" i="11" l="1"/>
  <c r="BL86" i="11"/>
  <c r="H80" i="9"/>
  <c r="BG110" i="20"/>
  <c r="BF121" i="20" s="1"/>
  <c r="BG123" i="20" s="1"/>
  <c r="BK87" i="11"/>
  <c r="BJ87" i="25"/>
  <c r="BJ87" i="30"/>
  <c r="BJ100" i="25"/>
  <c r="BF7" i="12"/>
  <c r="BK7" i="11"/>
  <c r="BM86" i="11"/>
  <c r="BL87" i="11"/>
  <c r="BH101" i="17"/>
  <c r="BH106" i="17" s="1"/>
  <c r="BG122" i="22"/>
  <c r="BF124" i="22"/>
  <c r="BG122" i="30"/>
  <c r="BF124" i="30"/>
  <c r="BG122" i="25"/>
  <c r="BF124" i="25"/>
  <c r="BG122" i="17"/>
  <c r="BF124" i="17"/>
  <c r="BI123" i="25"/>
  <c r="BH123" i="25"/>
  <c r="BF111" i="20"/>
  <c r="BF116" i="20" s="1"/>
  <c r="BG122" i="27"/>
  <c r="BF122" i="19"/>
  <c r="BG111" i="25"/>
  <c r="BG116" i="25" s="1"/>
  <c r="BG122" i="11"/>
  <c r="BF124" i="11"/>
  <c r="BF111" i="27"/>
  <c r="BF116" i="27" s="1"/>
  <c r="BG111" i="11"/>
  <c r="BG116" i="11" s="1"/>
  <c r="BG111" i="17"/>
  <c r="BG116" i="17" s="1"/>
  <c r="BF33" i="12"/>
  <c r="BG29" i="12"/>
  <c r="BG101" i="27"/>
  <c r="BG106" i="27" s="1"/>
  <c r="BG76" i="19"/>
  <c r="BK86" i="25"/>
  <c r="BH22" i="16"/>
  <c r="BH22" i="12"/>
  <c r="BH26" i="12" s="1"/>
  <c r="BK86" i="30"/>
  <c r="BJ76" i="27"/>
  <c r="BJ77" i="27" s="1"/>
  <c r="BH87" i="20"/>
  <c r="BI86" i="20"/>
  <c r="BI100" i="20" s="1"/>
  <c r="BI99" i="19"/>
  <c r="BI86" i="14"/>
  <c r="BI86" i="19"/>
  <c r="BH87" i="19"/>
  <c r="BJ75" i="30"/>
  <c r="BJ100" i="30" s="1"/>
  <c r="BJ87" i="22"/>
  <c r="BK86" i="22"/>
  <c r="BH22" i="24"/>
  <c r="BG110" i="27"/>
  <c r="BI100" i="17"/>
  <c r="BH101" i="11"/>
  <c r="BH106" i="11" s="1"/>
  <c r="BH22" i="21"/>
  <c r="BI86" i="27"/>
  <c r="BH87" i="27"/>
  <c r="BH100" i="27"/>
  <c r="BF30" i="24"/>
  <c r="BI29" i="19"/>
  <c r="BH33" i="19"/>
  <c r="BG32" i="19"/>
  <c r="BG30" i="19"/>
  <c r="BG31" i="19"/>
  <c r="BF30" i="21"/>
  <c r="BH108" i="11"/>
  <c r="BG120" i="11" s="1"/>
  <c r="BH76" i="11"/>
  <c r="BH110" i="11"/>
  <c r="BG121" i="11" s="1"/>
  <c r="BH123" i="11" s="1"/>
  <c r="BG77" i="11"/>
  <c r="BF30" i="16"/>
  <c r="BJ75" i="11"/>
  <c r="BI78" i="11"/>
  <c r="BH31" i="11"/>
  <c r="BH30" i="11"/>
  <c r="BH32" i="11"/>
  <c r="BI98" i="11"/>
  <c r="BJ29" i="11"/>
  <c r="BI33" i="11"/>
  <c r="BI99" i="11"/>
  <c r="BH29" i="16"/>
  <c r="BG33" i="16"/>
  <c r="BI43" i="14"/>
  <c r="BF68" i="15"/>
  <c r="F66" i="9" s="1"/>
  <c r="BG65" i="15"/>
  <c r="G63" i="9" s="1"/>
  <c r="BF98" i="15"/>
  <c r="BG77" i="30"/>
  <c r="BG111" i="30"/>
  <c r="BG116" i="30" s="1"/>
  <c r="BH110" i="17"/>
  <c r="BG121" i="17" s="1"/>
  <c r="BH123" i="17" s="1"/>
  <c r="BH101" i="30"/>
  <c r="BH106" i="30" s="1"/>
  <c r="BH46" i="30"/>
  <c r="BH45" i="30"/>
  <c r="BH44" i="30"/>
  <c r="BH108" i="30"/>
  <c r="BG120" i="30" s="1"/>
  <c r="BM29" i="25"/>
  <c r="BL33" i="25"/>
  <c r="BJ76" i="25"/>
  <c r="BI98" i="17"/>
  <c r="BI11" i="17"/>
  <c r="BJ7" i="17"/>
  <c r="BI76" i="17"/>
  <c r="BJ99" i="30"/>
  <c r="BH44" i="11"/>
  <c r="BH46" i="11"/>
  <c r="BH45" i="11"/>
  <c r="BI30" i="22"/>
  <c r="BI32" i="22"/>
  <c r="BI31" i="22"/>
  <c r="BI44" i="22"/>
  <c r="BI45" i="22"/>
  <c r="BI46" i="22"/>
  <c r="BH108" i="22"/>
  <c r="BG120" i="22" s="1"/>
  <c r="BH10" i="22"/>
  <c r="BH9" i="22"/>
  <c r="BH8" i="22"/>
  <c r="BI110" i="22"/>
  <c r="BH121" i="22" s="1"/>
  <c r="BI123" i="22" s="1"/>
  <c r="BI76" i="22"/>
  <c r="BJ43" i="25"/>
  <c r="BI47" i="25"/>
  <c r="BI98" i="25"/>
  <c r="BK75" i="17"/>
  <c r="BJ78" i="17"/>
  <c r="BH110" i="30"/>
  <c r="BG121" i="30" s="1"/>
  <c r="BH123" i="30" s="1"/>
  <c r="BH76" i="30"/>
  <c r="BH77" i="30" s="1"/>
  <c r="BI46" i="17"/>
  <c r="BI45" i="17"/>
  <c r="BI44" i="17"/>
  <c r="BK29" i="22"/>
  <c r="BJ33" i="22"/>
  <c r="BK43" i="22"/>
  <c r="BJ47" i="22"/>
  <c r="BI109" i="11"/>
  <c r="BJ78" i="22"/>
  <c r="BJ100" i="22"/>
  <c r="BK75" i="22"/>
  <c r="BL29" i="30"/>
  <c r="BK33" i="30"/>
  <c r="BL7" i="25"/>
  <c r="BK11" i="25"/>
  <c r="BI78" i="30"/>
  <c r="BK43" i="17"/>
  <c r="BJ47" i="17"/>
  <c r="BJ43" i="11"/>
  <c r="BI47" i="11"/>
  <c r="BI32" i="17"/>
  <c r="BI31" i="17"/>
  <c r="BI30" i="17"/>
  <c r="BI98" i="22"/>
  <c r="BJ7" i="22"/>
  <c r="BI11" i="22"/>
  <c r="BI77" i="25"/>
  <c r="BI109" i="17"/>
  <c r="BJ10" i="25"/>
  <c r="BJ8" i="25"/>
  <c r="BJ9" i="25"/>
  <c r="BH101" i="25"/>
  <c r="BH106" i="25" s="1"/>
  <c r="BJ31" i="30"/>
  <c r="BJ30" i="30"/>
  <c r="BJ32" i="30"/>
  <c r="BI87" i="17"/>
  <c r="BJ86" i="17"/>
  <c r="BI99" i="25"/>
  <c r="BK29" i="17"/>
  <c r="BJ33" i="17"/>
  <c r="BJ11" i="11"/>
  <c r="BH101" i="22"/>
  <c r="BH106" i="22" s="1"/>
  <c r="BH77" i="22"/>
  <c r="BI109" i="25"/>
  <c r="BJ43" i="30"/>
  <c r="BI47" i="30"/>
  <c r="BI98" i="30"/>
  <c r="BJ10" i="30"/>
  <c r="BJ9" i="30"/>
  <c r="BJ8" i="30"/>
  <c r="BI8" i="11"/>
  <c r="BI10" i="11"/>
  <c r="BI9" i="11"/>
  <c r="BK109" i="30"/>
  <c r="BL75" i="25"/>
  <c r="BK78" i="25"/>
  <c r="BH46" i="25"/>
  <c r="BH44" i="25"/>
  <c r="BH45" i="25"/>
  <c r="BH108" i="25"/>
  <c r="BG120" i="25" s="1"/>
  <c r="BH122" i="25" s="1"/>
  <c r="BL7" i="30"/>
  <c r="BK11" i="30"/>
  <c r="BK31" i="25"/>
  <c r="BK30" i="25"/>
  <c r="BK32" i="25"/>
  <c r="BJ99" i="17"/>
  <c r="BI99" i="22"/>
  <c r="BH108" i="17"/>
  <c r="BG120" i="17" s="1"/>
  <c r="BH10" i="17"/>
  <c r="BH8" i="17"/>
  <c r="BH9" i="17"/>
  <c r="BG77" i="20"/>
  <c r="BH46" i="27"/>
  <c r="BH45" i="27"/>
  <c r="BH44" i="27"/>
  <c r="BH100" i="19"/>
  <c r="BH78" i="19"/>
  <c r="BI75" i="19"/>
  <c r="BG108" i="19"/>
  <c r="BF120" i="19" s="1"/>
  <c r="BG9" i="19"/>
  <c r="BG8" i="19"/>
  <c r="BG10" i="19"/>
  <c r="BI29" i="20"/>
  <c r="BH33" i="20"/>
  <c r="BI98" i="27"/>
  <c r="BJ7" i="27"/>
  <c r="BI11" i="27"/>
  <c r="BL75" i="27"/>
  <c r="BK78" i="27"/>
  <c r="BH32" i="27"/>
  <c r="BH31" i="27"/>
  <c r="BH30" i="27"/>
  <c r="BG45" i="19"/>
  <c r="BG46" i="19"/>
  <c r="BG44" i="19"/>
  <c r="BH109" i="19"/>
  <c r="BJ29" i="27"/>
  <c r="BI33" i="27"/>
  <c r="BH98" i="19"/>
  <c r="BI7" i="19"/>
  <c r="BH11" i="19"/>
  <c r="BG32" i="20"/>
  <c r="BG31" i="20"/>
  <c r="BG30" i="20"/>
  <c r="BI109" i="27"/>
  <c r="BJ43" i="27"/>
  <c r="BI47" i="27"/>
  <c r="BH76" i="20"/>
  <c r="BJ75" i="20"/>
  <c r="BI78" i="20"/>
  <c r="BG101" i="19"/>
  <c r="BG106" i="19" s="1"/>
  <c r="BF111" i="19"/>
  <c r="BF116" i="19" s="1"/>
  <c r="BK43" i="20"/>
  <c r="BJ47" i="20"/>
  <c r="BG110" i="19"/>
  <c r="BF121" i="19" s="1"/>
  <c r="BG123" i="19" s="1"/>
  <c r="BH108" i="27"/>
  <c r="BG120" i="27" s="1"/>
  <c r="BH9" i="27"/>
  <c r="BH8" i="27"/>
  <c r="BH10" i="27"/>
  <c r="BJ99" i="20"/>
  <c r="BG108" i="20"/>
  <c r="BF120" i="20" s="1"/>
  <c r="BG9" i="20"/>
  <c r="BG10" i="20"/>
  <c r="BG8" i="20"/>
  <c r="BI109" i="20"/>
  <c r="BI43" i="19"/>
  <c r="BH47" i="19"/>
  <c r="BF77" i="19"/>
  <c r="BI46" i="20"/>
  <c r="BI45" i="20"/>
  <c r="BI44" i="20"/>
  <c r="BH98" i="20"/>
  <c r="BH101" i="20" s="1"/>
  <c r="BH106" i="20" s="1"/>
  <c r="BI7" i="20"/>
  <c r="BH11" i="20"/>
  <c r="BH99" i="27"/>
  <c r="BF108" i="24"/>
  <c r="BF10" i="24"/>
  <c r="BF9" i="24"/>
  <c r="BF8" i="24"/>
  <c r="BH29" i="24"/>
  <c r="BG33" i="24"/>
  <c r="BH29" i="21"/>
  <c r="BG33" i="21"/>
  <c r="BF108" i="21"/>
  <c r="BF8" i="21"/>
  <c r="BF10" i="21"/>
  <c r="BF9" i="21"/>
  <c r="BG98" i="21"/>
  <c r="BG101" i="21" s="1"/>
  <c r="BG106" i="21" s="1"/>
  <c r="BH7" i="21"/>
  <c r="BG11" i="21"/>
  <c r="BG98" i="24"/>
  <c r="BG101" i="24" s="1"/>
  <c r="BG106" i="24" s="1"/>
  <c r="BG11" i="24"/>
  <c r="BH7" i="24"/>
  <c r="BG29" i="15"/>
  <c r="BF33" i="15"/>
  <c r="BF81" i="15"/>
  <c r="BF11" i="15"/>
  <c r="BG7" i="15"/>
  <c r="BG43" i="15"/>
  <c r="BF47" i="15"/>
  <c r="BF100" i="12"/>
  <c r="BF98" i="12"/>
  <c r="BF11" i="12"/>
  <c r="BG7" i="12"/>
  <c r="BF25" i="12"/>
  <c r="BF24" i="12"/>
  <c r="BF23" i="12"/>
  <c r="I80" i="9" l="1"/>
  <c r="BH110" i="20"/>
  <c r="BG121" i="20" s="1"/>
  <c r="BH123" i="20" s="1"/>
  <c r="BK87" i="30"/>
  <c r="BK87" i="25"/>
  <c r="BK75" i="11"/>
  <c r="BJ100" i="11"/>
  <c r="BK100" i="25"/>
  <c r="BK29" i="11"/>
  <c r="BK43" i="11"/>
  <c r="BM87" i="11"/>
  <c r="BN86" i="11"/>
  <c r="BL7" i="11"/>
  <c r="BK11" i="11"/>
  <c r="BH101" i="27"/>
  <c r="BH106" i="27" s="1"/>
  <c r="BF132" i="25"/>
  <c r="BH122" i="17"/>
  <c r="BG124" i="17"/>
  <c r="BG124" i="22"/>
  <c r="BH122" i="22"/>
  <c r="BF132" i="11"/>
  <c r="BF132" i="30"/>
  <c r="BH122" i="30"/>
  <c r="BG124" i="30"/>
  <c r="BF132" i="17"/>
  <c r="BG124" i="25"/>
  <c r="BF111" i="21"/>
  <c r="BF116" i="21" s="1"/>
  <c r="BF123" i="27"/>
  <c r="BF122" i="20"/>
  <c r="BF124" i="19"/>
  <c r="BG122" i="19"/>
  <c r="BG111" i="20"/>
  <c r="BG116" i="20" s="1"/>
  <c r="BF111" i="24"/>
  <c r="BF116" i="24" s="1"/>
  <c r="BH122" i="27"/>
  <c r="BG124" i="11"/>
  <c r="BH122" i="11"/>
  <c r="BH111" i="25"/>
  <c r="BH116" i="25" s="1"/>
  <c r="BG111" i="27"/>
  <c r="BG116" i="27" s="1"/>
  <c r="BF121" i="27"/>
  <c r="BH29" i="12"/>
  <c r="BG33" i="12"/>
  <c r="BF32" i="12"/>
  <c r="BF30" i="12"/>
  <c r="BF31" i="12"/>
  <c r="BI101" i="17"/>
  <c r="BI106" i="17" s="1"/>
  <c r="BJ110" i="25"/>
  <c r="BI121" i="25" s="1"/>
  <c r="BI22" i="12"/>
  <c r="BJ22" i="12" s="1"/>
  <c r="BH76" i="19"/>
  <c r="BL86" i="25"/>
  <c r="BF100" i="15"/>
  <c r="BF101" i="15" s="1"/>
  <c r="BF106" i="15" s="1"/>
  <c r="BH26" i="21"/>
  <c r="BI22" i="21"/>
  <c r="BH26" i="24"/>
  <c r="BI22" i="24"/>
  <c r="BL86" i="30"/>
  <c r="BK87" i="22"/>
  <c r="BL86" i="22"/>
  <c r="BI87" i="20"/>
  <c r="BJ86" i="20"/>
  <c r="BJ100" i="20" s="1"/>
  <c r="BH110" i="27"/>
  <c r="BJ86" i="19"/>
  <c r="BI87" i="19"/>
  <c r="BJ86" i="14"/>
  <c r="BJ100" i="17"/>
  <c r="BJ86" i="27"/>
  <c r="BI87" i="27"/>
  <c r="BI100" i="27"/>
  <c r="BH26" i="16"/>
  <c r="BI22" i="16"/>
  <c r="BI108" i="11"/>
  <c r="BH120" i="11" s="1"/>
  <c r="BN29" i="25"/>
  <c r="BJ99" i="11"/>
  <c r="BI76" i="11"/>
  <c r="BI110" i="11"/>
  <c r="BH111" i="11"/>
  <c r="BH116" i="11" s="1"/>
  <c r="BG30" i="16"/>
  <c r="BI31" i="11"/>
  <c r="BI32" i="11"/>
  <c r="BI30" i="11"/>
  <c r="BH77" i="11"/>
  <c r="BJ33" i="11"/>
  <c r="BJ78" i="11"/>
  <c r="BH30" i="19"/>
  <c r="BH32" i="19"/>
  <c r="BH31" i="19"/>
  <c r="BI33" i="19"/>
  <c r="BJ29" i="19"/>
  <c r="BF44" i="15"/>
  <c r="BI101" i="11"/>
  <c r="BI106" i="11" s="1"/>
  <c r="BG30" i="21"/>
  <c r="BF66" i="15"/>
  <c r="BK76" i="27"/>
  <c r="BG68" i="15"/>
  <c r="G66" i="9" s="1"/>
  <c r="BH65" i="15"/>
  <c r="H63" i="9" s="1"/>
  <c r="BJ98" i="11"/>
  <c r="BI29" i="16"/>
  <c r="BH33" i="16"/>
  <c r="BJ43" i="14"/>
  <c r="BH111" i="17"/>
  <c r="BH116" i="17" s="1"/>
  <c r="BH111" i="30"/>
  <c r="BH116" i="30" s="1"/>
  <c r="BJ8" i="11"/>
  <c r="BJ9" i="11"/>
  <c r="BJ10" i="11"/>
  <c r="BM7" i="25"/>
  <c r="BL11" i="25"/>
  <c r="BK30" i="30"/>
  <c r="BK32" i="30"/>
  <c r="BK31" i="30"/>
  <c r="BK100" i="22"/>
  <c r="BL75" i="22"/>
  <c r="BK78" i="22"/>
  <c r="BK43" i="25"/>
  <c r="BJ47" i="25"/>
  <c r="BJ98" i="25"/>
  <c r="BJ98" i="17"/>
  <c r="BK7" i="17"/>
  <c r="BJ11" i="17"/>
  <c r="BI46" i="11"/>
  <c r="BI45" i="11"/>
  <c r="BI44" i="11"/>
  <c r="BJ45" i="17"/>
  <c r="BJ44" i="17"/>
  <c r="BJ46" i="17"/>
  <c r="BM29" i="30"/>
  <c r="BL33" i="30"/>
  <c r="BJ45" i="22"/>
  <c r="BJ46" i="22"/>
  <c r="BJ44" i="22"/>
  <c r="BJ32" i="22"/>
  <c r="BJ31" i="22"/>
  <c r="BJ30" i="22"/>
  <c r="BJ76" i="17"/>
  <c r="BJ77" i="17" s="1"/>
  <c r="BJ77" i="25"/>
  <c r="BJ109" i="17"/>
  <c r="BL43" i="17"/>
  <c r="BK47" i="17"/>
  <c r="BJ110" i="22"/>
  <c r="BI121" i="22" s="1"/>
  <c r="BJ123" i="22" s="1"/>
  <c r="BJ76" i="22"/>
  <c r="BL43" i="22"/>
  <c r="BK47" i="22"/>
  <c r="BK78" i="17"/>
  <c r="BL75" i="17"/>
  <c r="BI108" i="17"/>
  <c r="BH120" i="17" s="1"/>
  <c r="BI10" i="17"/>
  <c r="BI9" i="17"/>
  <c r="BI8" i="17"/>
  <c r="BI45" i="25"/>
  <c r="BI44" i="25"/>
  <c r="BI46" i="25"/>
  <c r="BI108" i="25"/>
  <c r="BH120" i="25" s="1"/>
  <c r="BI122" i="25" s="1"/>
  <c r="BK99" i="17"/>
  <c r="BM75" i="25"/>
  <c r="BL78" i="25"/>
  <c r="BL29" i="22"/>
  <c r="BK33" i="22"/>
  <c r="BI77" i="17"/>
  <c r="BK86" i="17"/>
  <c r="BJ87" i="17"/>
  <c r="BK110" i="25"/>
  <c r="BJ121" i="25" s="1"/>
  <c r="BK76" i="25"/>
  <c r="BI101" i="30"/>
  <c r="BI106" i="30" s="1"/>
  <c r="BJ47" i="11"/>
  <c r="BJ99" i="22"/>
  <c r="BL109" i="30"/>
  <c r="BJ30" i="17"/>
  <c r="BJ31" i="17"/>
  <c r="BJ32" i="17"/>
  <c r="BI108" i="22"/>
  <c r="BH120" i="22" s="1"/>
  <c r="BI10" i="22"/>
  <c r="BI9" i="22"/>
  <c r="BI8" i="22"/>
  <c r="BI77" i="22"/>
  <c r="BK99" i="30"/>
  <c r="BI110" i="17"/>
  <c r="BH121" i="17" s="1"/>
  <c r="BI123" i="17" s="1"/>
  <c r="BL31" i="25"/>
  <c r="BL30" i="25"/>
  <c r="BL32" i="25"/>
  <c r="BK10" i="30"/>
  <c r="BK9" i="30"/>
  <c r="BK8" i="30"/>
  <c r="BL29" i="17"/>
  <c r="BK33" i="17"/>
  <c r="BJ98" i="22"/>
  <c r="BK7" i="22"/>
  <c r="BJ11" i="22"/>
  <c r="BI110" i="30"/>
  <c r="BH121" i="30" s="1"/>
  <c r="BI123" i="30" s="1"/>
  <c r="BI76" i="30"/>
  <c r="BK10" i="25"/>
  <c r="BK9" i="25"/>
  <c r="BK8" i="25"/>
  <c r="BM33" i="25"/>
  <c r="BJ109" i="25"/>
  <c r="BJ99" i="25"/>
  <c r="BI46" i="30"/>
  <c r="BI45" i="30"/>
  <c r="BI44" i="30"/>
  <c r="BI108" i="30"/>
  <c r="BH120" i="30" s="1"/>
  <c r="BM7" i="30"/>
  <c r="BL11" i="30"/>
  <c r="BK43" i="30"/>
  <c r="BJ47" i="30"/>
  <c r="BJ98" i="30"/>
  <c r="BI101" i="22"/>
  <c r="BI106" i="22" s="1"/>
  <c r="BK75" i="30"/>
  <c r="BK100" i="30" s="1"/>
  <c r="BJ78" i="30"/>
  <c r="BJ109" i="11"/>
  <c r="BI101" i="25"/>
  <c r="BI106" i="25" s="1"/>
  <c r="BH77" i="20"/>
  <c r="BH101" i="19"/>
  <c r="BH106" i="19" s="1"/>
  <c r="BI46" i="27"/>
  <c r="BI45" i="27"/>
  <c r="BI44" i="27"/>
  <c r="BJ78" i="20"/>
  <c r="BK75" i="20"/>
  <c r="BJ99" i="19"/>
  <c r="BI109" i="19"/>
  <c r="BG111" i="19"/>
  <c r="BG116" i="19" s="1"/>
  <c r="BH32" i="20"/>
  <c r="BH31" i="20"/>
  <c r="BH30" i="20"/>
  <c r="BH108" i="19"/>
  <c r="BG120" i="19" s="1"/>
  <c r="BH9" i="19"/>
  <c r="BH8" i="19"/>
  <c r="BH10" i="19"/>
  <c r="BJ98" i="27"/>
  <c r="BJ11" i="27"/>
  <c r="BK7" i="27"/>
  <c r="BJ109" i="20"/>
  <c r="BH44" i="19"/>
  <c r="BH46" i="19"/>
  <c r="BH45" i="19"/>
  <c r="BG77" i="19"/>
  <c r="BJ47" i="27"/>
  <c r="BK43" i="27"/>
  <c r="BJ109" i="27"/>
  <c r="BJ29" i="20"/>
  <c r="BI33" i="20"/>
  <c r="BH110" i="19"/>
  <c r="BG121" i="19" s="1"/>
  <c r="BH123" i="19" s="1"/>
  <c r="BH9" i="20"/>
  <c r="BH10" i="20"/>
  <c r="BH8" i="20"/>
  <c r="BH108" i="20"/>
  <c r="BG120" i="20" s="1"/>
  <c r="BI100" i="19"/>
  <c r="BJ75" i="19"/>
  <c r="BI78" i="19"/>
  <c r="BI99" i="27"/>
  <c r="BJ43" i="19"/>
  <c r="BI47" i="19"/>
  <c r="BJ46" i="20"/>
  <c r="BJ45" i="20"/>
  <c r="BJ44" i="20"/>
  <c r="BI30" i="27"/>
  <c r="BI31" i="27"/>
  <c r="BI32" i="27"/>
  <c r="BM75" i="27"/>
  <c r="BL78" i="27"/>
  <c r="BK99" i="20"/>
  <c r="BL43" i="20"/>
  <c r="BK47" i="20"/>
  <c r="BI98" i="19"/>
  <c r="BJ7" i="19"/>
  <c r="BI11" i="19"/>
  <c r="BI11" i="20"/>
  <c r="BI98" i="20"/>
  <c r="BI101" i="20" s="1"/>
  <c r="BI106" i="20" s="1"/>
  <c r="BJ7" i="20"/>
  <c r="BI76" i="20"/>
  <c r="BI77" i="20" s="1"/>
  <c r="BK29" i="27"/>
  <c r="BJ33" i="27"/>
  <c r="BI108" i="27"/>
  <c r="BH120" i="27" s="1"/>
  <c r="BI10" i="27"/>
  <c r="BI9" i="27"/>
  <c r="BI8" i="27"/>
  <c r="BH98" i="21"/>
  <c r="BH101" i="21" s="1"/>
  <c r="BH106" i="21" s="1"/>
  <c r="BI7" i="21"/>
  <c r="BH11" i="21"/>
  <c r="BG108" i="24"/>
  <c r="BF120" i="24" s="1"/>
  <c r="BG10" i="24"/>
  <c r="BG9" i="24"/>
  <c r="BG8" i="24"/>
  <c r="BI29" i="21"/>
  <c r="BH33" i="21"/>
  <c r="BH98" i="24"/>
  <c r="BH101" i="24" s="1"/>
  <c r="BH106" i="24" s="1"/>
  <c r="BI7" i="24"/>
  <c r="BH11" i="24"/>
  <c r="BG108" i="21"/>
  <c r="BF120" i="21" s="1"/>
  <c r="BG10" i="21"/>
  <c r="BG9" i="21"/>
  <c r="BG8" i="21"/>
  <c r="BG30" i="24"/>
  <c r="BI29" i="24"/>
  <c r="BH33" i="24"/>
  <c r="BG98" i="15"/>
  <c r="BF108" i="15"/>
  <c r="BH7" i="15"/>
  <c r="BG11" i="15"/>
  <c r="BF10" i="15"/>
  <c r="BF9" i="15"/>
  <c r="BF8" i="15"/>
  <c r="BF32" i="15"/>
  <c r="BF31" i="15"/>
  <c r="BF30" i="15"/>
  <c r="BH29" i="15"/>
  <c r="BG33" i="15"/>
  <c r="BH43" i="15"/>
  <c r="BG47" i="15"/>
  <c r="BG81" i="15"/>
  <c r="BF82" i="15"/>
  <c r="BF110" i="12"/>
  <c r="BF123" i="12" s="1"/>
  <c r="BF99" i="12"/>
  <c r="BF101" i="12" s="1"/>
  <c r="BF106" i="12" s="1"/>
  <c r="BH24" i="12"/>
  <c r="BH23" i="12"/>
  <c r="BH25" i="12"/>
  <c r="BF109" i="12"/>
  <c r="BG98" i="12"/>
  <c r="BH7" i="12"/>
  <c r="BG11" i="12"/>
  <c r="BF108" i="12"/>
  <c r="BF10" i="12"/>
  <c r="BF9" i="12"/>
  <c r="BF8" i="12"/>
  <c r="BG100" i="12"/>
  <c r="J80" i="9" l="1"/>
  <c r="BK100" i="11"/>
  <c r="BF70" i="15"/>
  <c r="F64" i="9"/>
  <c r="BI110" i="20"/>
  <c r="BH121" i="20" s="1"/>
  <c r="BI123" i="20" s="1"/>
  <c r="BL75" i="11"/>
  <c r="BK78" i="11"/>
  <c r="BL100" i="25"/>
  <c r="BL87" i="30"/>
  <c r="BK98" i="11"/>
  <c r="BG132" i="25"/>
  <c r="BL43" i="11"/>
  <c r="BK47" i="11"/>
  <c r="BK9" i="11"/>
  <c r="BK10" i="11"/>
  <c r="BK8" i="11"/>
  <c r="BM7" i="11"/>
  <c r="BL11" i="11"/>
  <c r="BL29" i="11"/>
  <c r="BK33" i="11"/>
  <c r="BJ101" i="17"/>
  <c r="BJ106" i="17" s="1"/>
  <c r="BH124" i="22"/>
  <c r="BI122" i="22"/>
  <c r="BG132" i="11"/>
  <c r="BL87" i="25"/>
  <c r="BH124" i="25"/>
  <c r="BG132" i="17"/>
  <c r="BH124" i="17"/>
  <c r="BI122" i="17"/>
  <c r="BF132" i="19"/>
  <c r="BG132" i="30"/>
  <c r="BH124" i="30"/>
  <c r="BI122" i="30"/>
  <c r="BK123" i="25"/>
  <c r="BJ123" i="25"/>
  <c r="BG123" i="27"/>
  <c r="BF124" i="27"/>
  <c r="BF122" i="12"/>
  <c r="BI122" i="27"/>
  <c r="BF122" i="24"/>
  <c r="BG124" i="19"/>
  <c r="BH122" i="19"/>
  <c r="BI111" i="11"/>
  <c r="BI116" i="11" s="1"/>
  <c r="BH121" i="11"/>
  <c r="BI123" i="11" s="1"/>
  <c r="BH111" i="27"/>
  <c r="BH116" i="27" s="1"/>
  <c r="BG121" i="27"/>
  <c r="BF122" i="21"/>
  <c r="BG111" i="21"/>
  <c r="BG116" i="21" s="1"/>
  <c r="BH111" i="20"/>
  <c r="BH116" i="20" s="1"/>
  <c r="BI111" i="25"/>
  <c r="BI116" i="25" s="1"/>
  <c r="BI122" i="11"/>
  <c r="BF122" i="15"/>
  <c r="BG111" i="24"/>
  <c r="BG116" i="24" s="1"/>
  <c r="BF124" i="20"/>
  <c r="BG122" i="20"/>
  <c r="BF111" i="12"/>
  <c r="BF116" i="12" s="1"/>
  <c r="BI101" i="27"/>
  <c r="BI106" i="27" s="1"/>
  <c r="BG31" i="12"/>
  <c r="BG30" i="12"/>
  <c r="BG32" i="12"/>
  <c r="BJ101" i="11"/>
  <c r="BJ106" i="11" s="1"/>
  <c r="BI29" i="12"/>
  <c r="BH33" i="12"/>
  <c r="BI110" i="27"/>
  <c r="BH121" i="27" s="1"/>
  <c r="BI123" i="27" s="1"/>
  <c r="BH24" i="24"/>
  <c r="BH25" i="24"/>
  <c r="BH23" i="24"/>
  <c r="BJ22" i="21"/>
  <c r="BJ87" i="27"/>
  <c r="BK86" i="27"/>
  <c r="BJ100" i="27"/>
  <c r="BK86" i="14"/>
  <c r="BK22" i="12"/>
  <c r="BH25" i="21"/>
  <c r="BH23" i="21"/>
  <c r="BH24" i="21"/>
  <c r="BJ22" i="16"/>
  <c r="BL76" i="27"/>
  <c r="BL77" i="27" s="1"/>
  <c r="BH25" i="16"/>
  <c r="BH23" i="16"/>
  <c r="BH24" i="16"/>
  <c r="BI76" i="19"/>
  <c r="BK86" i="19"/>
  <c r="BJ87" i="19"/>
  <c r="BF110" i="15"/>
  <c r="BF123" i="15" s="1"/>
  <c r="BK100" i="17"/>
  <c r="BJ87" i="20"/>
  <c r="BK86" i="20"/>
  <c r="BK100" i="20" s="1"/>
  <c r="BM86" i="22"/>
  <c r="BL87" i="22"/>
  <c r="BM86" i="30"/>
  <c r="BM86" i="25"/>
  <c r="BG100" i="15"/>
  <c r="BG101" i="15" s="1"/>
  <c r="BG106" i="15" s="1"/>
  <c r="BJ22" i="24"/>
  <c r="BG44" i="15"/>
  <c r="BH30" i="24"/>
  <c r="BJ110" i="11"/>
  <c r="BI121" i="11" s="1"/>
  <c r="BJ123" i="11" s="1"/>
  <c r="BJ76" i="11"/>
  <c r="BH30" i="21"/>
  <c r="BK104" i="11"/>
  <c r="BK99" i="11"/>
  <c r="BN114" i="11"/>
  <c r="BK114" i="11"/>
  <c r="BJ127" i="11" s="1"/>
  <c r="BJ31" i="11"/>
  <c r="BJ30" i="11"/>
  <c r="BJ32" i="11"/>
  <c r="BJ33" i="19"/>
  <c r="BK29" i="19"/>
  <c r="BM114" i="11"/>
  <c r="BL127" i="11" s="1"/>
  <c r="BI77" i="11"/>
  <c r="BI31" i="19"/>
  <c r="BI30" i="19"/>
  <c r="BI32" i="19"/>
  <c r="BL114" i="11"/>
  <c r="BK127" i="11" s="1"/>
  <c r="BK77" i="27"/>
  <c r="BH30" i="16"/>
  <c r="BK102" i="11"/>
  <c r="BJ29" i="16"/>
  <c r="BI33" i="16"/>
  <c r="BH68" i="15"/>
  <c r="H66" i="9" s="1"/>
  <c r="BI65" i="15"/>
  <c r="I63" i="9" s="1"/>
  <c r="BK43" i="14"/>
  <c r="BG66" i="15"/>
  <c r="BF67" i="15"/>
  <c r="BJ101" i="25"/>
  <c r="BJ106" i="25" s="1"/>
  <c r="BJ101" i="30"/>
  <c r="BJ106" i="30" s="1"/>
  <c r="BI111" i="30"/>
  <c r="BI116" i="30" s="1"/>
  <c r="BK110" i="22"/>
  <c r="BJ121" i="22" s="1"/>
  <c r="BK123" i="22" s="1"/>
  <c r="BK76" i="22"/>
  <c r="BM78" i="25"/>
  <c r="BN75" i="25"/>
  <c r="BK76" i="17"/>
  <c r="BL30" i="30"/>
  <c r="BL32" i="30"/>
  <c r="BL31" i="30"/>
  <c r="BJ108" i="17"/>
  <c r="BI120" i="17" s="1"/>
  <c r="BJ10" i="17"/>
  <c r="BJ9" i="17"/>
  <c r="BJ8" i="17"/>
  <c r="BJ45" i="25"/>
  <c r="BJ44" i="25"/>
  <c r="BJ46" i="25"/>
  <c r="BJ108" i="25"/>
  <c r="BI120" i="25" s="1"/>
  <c r="BJ122" i="25" s="1"/>
  <c r="BL100" i="22"/>
  <c r="BM75" i="22"/>
  <c r="BL78" i="22"/>
  <c r="BJ110" i="30"/>
  <c r="BI121" i="30" s="1"/>
  <c r="BJ123" i="30" s="1"/>
  <c r="BJ76" i="30"/>
  <c r="BJ108" i="22"/>
  <c r="BI120" i="22" s="1"/>
  <c r="BJ10" i="22"/>
  <c r="BJ9" i="22"/>
  <c r="BJ8" i="22"/>
  <c r="BM109" i="30"/>
  <c r="BM33" i="30"/>
  <c r="BN29" i="30"/>
  <c r="BK98" i="17"/>
  <c r="BL7" i="17"/>
  <c r="BK11" i="17"/>
  <c r="BK47" i="25"/>
  <c r="BL43" i="25"/>
  <c r="BK98" i="25"/>
  <c r="BK109" i="25"/>
  <c r="BM99" i="30"/>
  <c r="BL99" i="30"/>
  <c r="BN99" i="30"/>
  <c r="BL10" i="30"/>
  <c r="BL9" i="30"/>
  <c r="BL8" i="30"/>
  <c r="BM32" i="25"/>
  <c r="BM31" i="25"/>
  <c r="BM30" i="25"/>
  <c r="BN33" i="25"/>
  <c r="BK98" i="22"/>
  <c r="BL7" i="22"/>
  <c r="BK11" i="22"/>
  <c r="BK31" i="17"/>
  <c r="BK30" i="17"/>
  <c r="BK32" i="17"/>
  <c r="BJ46" i="11"/>
  <c r="BJ45" i="11"/>
  <c r="BJ44" i="11"/>
  <c r="BK46" i="22"/>
  <c r="BK45" i="22"/>
  <c r="BK44" i="22"/>
  <c r="BK109" i="17"/>
  <c r="BM11" i="25"/>
  <c r="BN7" i="25"/>
  <c r="BK87" i="17"/>
  <c r="BL86" i="17"/>
  <c r="BI77" i="30"/>
  <c r="BK77" i="25"/>
  <c r="BL10" i="25"/>
  <c r="BL8" i="25"/>
  <c r="BL9" i="25"/>
  <c r="BL75" i="30"/>
  <c r="BL100" i="30" s="1"/>
  <c r="BK78" i="30"/>
  <c r="BM11" i="30"/>
  <c r="BN7" i="30"/>
  <c r="BM29" i="17"/>
  <c r="BL33" i="17"/>
  <c r="BK99" i="25"/>
  <c r="BJ101" i="22"/>
  <c r="BJ106" i="22" s="1"/>
  <c r="BK99" i="22"/>
  <c r="BK32" i="22"/>
  <c r="BK31" i="22"/>
  <c r="BK30" i="22"/>
  <c r="BI111" i="17"/>
  <c r="BI116" i="17" s="1"/>
  <c r="BL47" i="22"/>
  <c r="BM43" i="22"/>
  <c r="BL43" i="30"/>
  <c r="BK47" i="30"/>
  <c r="BK98" i="30"/>
  <c r="BM29" i="22"/>
  <c r="BL33" i="22"/>
  <c r="BL99" i="17"/>
  <c r="BK46" i="17"/>
  <c r="BK45" i="17"/>
  <c r="BK44" i="17"/>
  <c r="BJ110" i="17"/>
  <c r="BI121" i="17" s="1"/>
  <c r="BJ123" i="17" s="1"/>
  <c r="BJ108" i="11"/>
  <c r="BI120" i="11" s="1"/>
  <c r="BK109" i="11"/>
  <c r="BJ46" i="30"/>
  <c r="BJ45" i="30"/>
  <c r="BJ44" i="30"/>
  <c r="BJ108" i="30"/>
  <c r="BI120" i="30" s="1"/>
  <c r="BL76" i="25"/>
  <c r="BM75" i="17"/>
  <c r="BL78" i="17"/>
  <c r="BJ77" i="22"/>
  <c r="BM43" i="17"/>
  <c r="BL47" i="17"/>
  <c r="BJ100" i="19"/>
  <c r="BK75" i="19"/>
  <c r="BJ78" i="19"/>
  <c r="BL29" i="27"/>
  <c r="BK33" i="27"/>
  <c r="BJ98" i="20"/>
  <c r="BJ101" i="20" s="1"/>
  <c r="BJ106" i="20" s="1"/>
  <c r="BJ11" i="20"/>
  <c r="BK7" i="20"/>
  <c r="BK45" i="20"/>
  <c r="BK44" i="20"/>
  <c r="BK46" i="20"/>
  <c r="BH77" i="19"/>
  <c r="BJ45" i="27"/>
  <c r="BJ44" i="27"/>
  <c r="BJ46" i="27"/>
  <c r="BK98" i="27"/>
  <c r="BL7" i="27"/>
  <c r="BK11" i="27"/>
  <c r="BJ76" i="20"/>
  <c r="BL43" i="27"/>
  <c r="BK47" i="27"/>
  <c r="BL99" i="20"/>
  <c r="BJ99" i="27"/>
  <c r="BJ109" i="19"/>
  <c r="BL75" i="20"/>
  <c r="BK78" i="20"/>
  <c r="BL47" i="20"/>
  <c r="BM43" i="20"/>
  <c r="BI31" i="20"/>
  <c r="BI30" i="20"/>
  <c r="BI32" i="20"/>
  <c r="BK109" i="20"/>
  <c r="BJ108" i="27"/>
  <c r="BI120" i="27" s="1"/>
  <c r="BJ8" i="27"/>
  <c r="BJ10" i="27"/>
  <c r="BJ9" i="27"/>
  <c r="BI108" i="19"/>
  <c r="BH120" i="19" s="1"/>
  <c r="BI8" i="19"/>
  <c r="BI10" i="19"/>
  <c r="BI9" i="19"/>
  <c r="BK43" i="19"/>
  <c r="BJ47" i="19"/>
  <c r="BJ98" i="19"/>
  <c r="BK7" i="19"/>
  <c r="BJ11" i="19"/>
  <c r="BI101" i="19"/>
  <c r="BI106" i="19" s="1"/>
  <c r="BI10" i="20"/>
  <c r="BI8" i="20"/>
  <c r="BI9" i="20"/>
  <c r="BI108" i="20"/>
  <c r="BH120" i="20" s="1"/>
  <c r="BI46" i="19"/>
  <c r="BI44" i="19"/>
  <c r="BI45" i="19"/>
  <c r="BK29" i="20"/>
  <c r="BJ33" i="20"/>
  <c r="BK99" i="19"/>
  <c r="BJ31" i="27"/>
  <c r="BJ30" i="27"/>
  <c r="BJ32" i="27"/>
  <c r="BI110" i="19"/>
  <c r="BH121" i="19" s="1"/>
  <c r="BI123" i="19" s="1"/>
  <c r="BK109" i="27"/>
  <c r="BH111" i="19"/>
  <c r="BH116" i="19" s="1"/>
  <c r="BM78" i="27"/>
  <c r="BN75" i="27"/>
  <c r="BH10" i="21"/>
  <c r="BH9" i="21"/>
  <c r="BH8" i="21"/>
  <c r="BH108" i="21"/>
  <c r="BG120" i="21" s="1"/>
  <c r="BH108" i="24"/>
  <c r="BG120" i="24" s="1"/>
  <c r="BH10" i="24"/>
  <c r="BH9" i="24"/>
  <c r="BH8" i="24"/>
  <c r="BI98" i="21"/>
  <c r="BI101" i="21" s="1"/>
  <c r="BI106" i="21" s="1"/>
  <c r="BJ7" i="21"/>
  <c r="BI11" i="21"/>
  <c r="BI98" i="24"/>
  <c r="BI101" i="24" s="1"/>
  <c r="BI106" i="24" s="1"/>
  <c r="BJ7" i="24"/>
  <c r="BI11" i="24"/>
  <c r="BJ29" i="24"/>
  <c r="BI33" i="24"/>
  <c r="BI33" i="21"/>
  <c r="BJ29" i="21"/>
  <c r="BN32" i="16"/>
  <c r="BG108" i="15"/>
  <c r="BF120" i="15" s="1"/>
  <c r="BH98" i="15"/>
  <c r="BG9" i="15"/>
  <c r="BG10" i="15"/>
  <c r="BG8" i="15"/>
  <c r="BI7" i="15"/>
  <c r="BH11" i="15"/>
  <c r="BG82" i="15"/>
  <c r="BH81" i="15"/>
  <c r="BI43" i="15"/>
  <c r="BH47" i="15"/>
  <c r="BG31" i="15"/>
  <c r="BG30" i="15"/>
  <c r="BG32" i="15"/>
  <c r="BH33" i="15"/>
  <c r="BI29" i="15"/>
  <c r="BG99" i="12"/>
  <c r="BG101" i="12" s="1"/>
  <c r="BG106" i="12" s="1"/>
  <c r="BH100" i="12"/>
  <c r="BG108" i="12"/>
  <c r="BF120" i="12" s="1"/>
  <c r="BG9" i="12"/>
  <c r="BG8" i="12"/>
  <c r="BG10" i="12"/>
  <c r="BH98" i="12"/>
  <c r="BH11" i="12"/>
  <c r="BI7" i="12"/>
  <c r="BG109" i="12"/>
  <c r="BG110" i="12"/>
  <c r="BF121" i="12" s="1"/>
  <c r="BG123" i="12" s="1"/>
  <c r="BN31" i="16"/>
  <c r="K80" i="9" l="1"/>
  <c r="BK110" i="11"/>
  <c r="BJ121" i="11" s="1"/>
  <c r="BK123" i="11" s="1"/>
  <c r="BL100" i="11"/>
  <c r="BF71" i="15"/>
  <c r="BF72" i="15" s="1"/>
  <c r="F65" i="9"/>
  <c r="BG70" i="15"/>
  <c r="G64" i="9"/>
  <c r="BJ110" i="20"/>
  <c r="BI121" i="20" s="1"/>
  <c r="BJ123" i="20" s="1"/>
  <c r="BL78" i="11"/>
  <c r="BL76" i="11" s="1"/>
  <c r="BM75" i="11"/>
  <c r="BK76" i="11"/>
  <c r="BK101" i="11"/>
  <c r="BM87" i="25"/>
  <c r="BM87" i="30"/>
  <c r="BM100" i="25"/>
  <c r="BF111" i="15"/>
  <c r="BF116" i="15" s="1"/>
  <c r="BK31" i="11"/>
  <c r="BK30" i="11"/>
  <c r="BK32" i="11"/>
  <c r="BL10" i="11"/>
  <c r="BL8" i="11"/>
  <c r="BL9" i="11"/>
  <c r="BM43" i="11"/>
  <c r="BL47" i="11"/>
  <c r="BM11" i="11"/>
  <c r="BN7" i="11"/>
  <c r="BM29" i="11"/>
  <c r="BL33" i="11"/>
  <c r="BL98" i="11"/>
  <c r="BK46" i="11"/>
  <c r="BK44" i="11"/>
  <c r="BK45" i="11"/>
  <c r="BM78" i="11"/>
  <c r="BN75" i="11"/>
  <c r="BK108" i="11"/>
  <c r="BK101" i="17"/>
  <c r="BK106" i="17" s="1"/>
  <c r="BH132" i="25"/>
  <c r="BJ122" i="22"/>
  <c r="BI124" i="22"/>
  <c r="BL129" i="11"/>
  <c r="BG132" i="19"/>
  <c r="BM129" i="11"/>
  <c r="BG67" i="15"/>
  <c r="BI124" i="25"/>
  <c r="BI124" i="30"/>
  <c r="BJ122" i="30"/>
  <c r="BK129" i="11"/>
  <c r="BF132" i="27"/>
  <c r="BI124" i="17"/>
  <c r="BJ122" i="17"/>
  <c r="BH132" i="30"/>
  <c r="BH124" i="11"/>
  <c r="BH132" i="17"/>
  <c r="BF132" i="20"/>
  <c r="BJ101" i="27"/>
  <c r="BJ106" i="27" s="1"/>
  <c r="BI111" i="27"/>
  <c r="BI116" i="27" s="1"/>
  <c r="BJ111" i="25"/>
  <c r="BJ116" i="25" s="1"/>
  <c r="BI111" i="20"/>
  <c r="BI116" i="20" s="1"/>
  <c r="BH124" i="19"/>
  <c r="BI122" i="19"/>
  <c r="BG122" i="15"/>
  <c r="BH122" i="20"/>
  <c r="BG124" i="20"/>
  <c r="BJ122" i="11"/>
  <c r="BI124" i="11"/>
  <c r="BH123" i="27"/>
  <c r="BH124" i="27" s="1"/>
  <c r="BG124" i="27"/>
  <c r="BG122" i="21"/>
  <c r="BF124" i="21"/>
  <c r="BH111" i="21"/>
  <c r="BH116" i="21" s="1"/>
  <c r="BG122" i="12"/>
  <c r="BF124" i="12"/>
  <c r="BJ122" i="27"/>
  <c r="BF124" i="24"/>
  <c r="BG122" i="24"/>
  <c r="BH111" i="24"/>
  <c r="BH116" i="24" s="1"/>
  <c r="BN34" i="25"/>
  <c r="BO41" i="25" s="1"/>
  <c r="BN78" i="25"/>
  <c r="BH31" i="12"/>
  <c r="BH30" i="12"/>
  <c r="BH32" i="12"/>
  <c r="BI33" i="12"/>
  <c r="BJ29" i="12"/>
  <c r="BL110" i="25"/>
  <c r="BK121" i="25" s="1"/>
  <c r="BJ111" i="11"/>
  <c r="BK105" i="11"/>
  <c r="BN86" i="30"/>
  <c r="BL22" i="12"/>
  <c r="BK26" i="12"/>
  <c r="BK22" i="16"/>
  <c r="BJ76" i="19"/>
  <c r="BL86" i="19"/>
  <c r="BK87" i="19"/>
  <c r="BK22" i="24"/>
  <c r="BL86" i="14"/>
  <c r="BH100" i="15"/>
  <c r="BH101" i="15" s="1"/>
  <c r="BH106" i="15" s="1"/>
  <c r="BK87" i="20"/>
  <c r="BL86" i="20"/>
  <c r="BK22" i="21"/>
  <c r="BN86" i="22"/>
  <c r="BM87" i="22"/>
  <c r="BN11" i="30"/>
  <c r="BN12" i="30" s="1"/>
  <c r="BK87" i="27"/>
  <c r="BL86" i="27"/>
  <c r="BK100" i="27"/>
  <c r="BL100" i="17"/>
  <c r="BN86" i="25"/>
  <c r="BN100" i="25" s="1"/>
  <c r="BJ110" i="27"/>
  <c r="BJ32" i="19"/>
  <c r="BJ31" i="19"/>
  <c r="BJ30" i="19"/>
  <c r="BL104" i="11"/>
  <c r="BI30" i="24"/>
  <c r="BL99" i="11"/>
  <c r="BJ77" i="11"/>
  <c r="BH44" i="15"/>
  <c r="BI30" i="21"/>
  <c r="BI30" i="16"/>
  <c r="BL29" i="19"/>
  <c r="BK33" i="19"/>
  <c r="BJ77" i="20"/>
  <c r="BI98" i="15"/>
  <c r="BK112" i="11"/>
  <c r="BM76" i="27"/>
  <c r="BM77" i="27" s="1"/>
  <c r="BL43" i="14"/>
  <c r="BK29" i="16"/>
  <c r="BJ33" i="16"/>
  <c r="BL102" i="11"/>
  <c r="BI68" i="15"/>
  <c r="I66" i="9" s="1"/>
  <c r="BJ65" i="15"/>
  <c r="J63" i="9" s="1"/>
  <c r="BH66" i="15"/>
  <c r="BL77" i="25"/>
  <c r="BK101" i="25"/>
  <c r="BK106" i="25" s="1"/>
  <c r="BM47" i="22"/>
  <c r="BN43" i="22"/>
  <c r="BK110" i="30"/>
  <c r="BJ121" i="30" s="1"/>
  <c r="BK123" i="30" s="1"/>
  <c r="BK76" i="30"/>
  <c r="BL109" i="17"/>
  <c r="BM7" i="22"/>
  <c r="BL98" i="22"/>
  <c r="BL11" i="22"/>
  <c r="BN32" i="25"/>
  <c r="BL109" i="25"/>
  <c r="BL98" i="17"/>
  <c r="BM7" i="17"/>
  <c r="BL11" i="17"/>
  <c r="BL32" i="22"/>
  <c r="BL31" i="22"/>
  <c r="BL30" i="22"/>
  <c r="BK101" i="30"/>
  <c r="BK106" i="30" s="1"/>
  <c r="BL46" i="22"/>
  <c r="BL44" i="22"/>
  <c r="BL45" i="22"/>
  <c r="BL99" i="22"/>
  <c r="BN87" i="11"/>
  <c r="BM75" i="30"/>
  <c r="BL78" i="30"/>
  <c r="BK101" i="22"/>
  <c r="BK106" i="22" s="1"/>
  <c r="BL110" i="22"/>
  <c r="BK121" i="22" s="1"/>
  <c r="BL123" i="22" s="1"/>
  <c r="BL76" i="22"/>
  <c r="BK45" i="30"/>
  <c r="BK46" i="30"/>
  <c r="BK44" i="30"/>
  <c r="BK108" i="30"/>
  <c r="BJ120" i="30" s="1"/>
  <c r="BM33" i="17"/>
  <c r="BN29" i="17"/>
  <c r="BL87" i="17"/>
  <c r="BM86" i="17"/>
  <c r="BM100" i="22"/>
  <c r="BM78" i="22"/>
  <c r="BN75" i="22"/>
  <c r="BM9" i="30"/>
  <c r="BM8" i="30"/>
  <c r="BM10" i="30"/>
  <c r="BJ111" i="17"/>
  <c r="BJ116" i="17" s="1"/>
  <c r="BL32" i="17"/>
  <c r="BL30" i="17"/>
  <c r="BL31" i="17"/>
  <c r="BL47" i="30"/>
  <c r="BM43" i="30"/>
  <c r="BL98" i="30"/>
  <c r="BM9" i="25"/>
  <c r="BM10" i="25"/>
  <c r="BM8" i="25"/>
  <c r="BN11" i="25"/>
  <c r="BN12" i="25" s="1"/>
  <c r="BM31" i="30"/>
  <c r="BM30" i="30"/>
  <c r="BM32" i="30"/>
  <c r="BN33" i="30"/>
  <c r="BM76" i="25"/>
  <c r="BM33" i="22"/>
  <c r="BN29" i="22"/>
  <c r="BL44" i="17"/>
  <c r="BL45" i="17"/>
  <c r="BL46" i="17"/>
  <c r="BL76" i="17"/>
  <c r="BJ111" i="30"/>
  <c r="BJ116" i="30" s="1"/>
  <c r="BL109" i="11"/>
  <c r="BM99" i="17"/>
  <c r="BM43" i="25"/>
  <c r="BL47" i="25"/>
  <c r="BL98" i="25"/>
  <c r="BJ77" i="30"/>
  <c r="BK77" i="17"/>
  <c r="BK77" i="22"/>
  <c r="BM47" i="17"/>
  <c r="BN43" i="17"/>
  <c r="BM78" i="17"/>
  <c r="BN75" i="17"/>
  <c r="BL99" i="25"/>
  <c r="BN30" i="25"/>
  <c r="BK44" i="25"/>
  <c r="BK45" i="25"/>
  <c r="BK46" i="25"/>
  <c r="BK108" i="25"/>
  <c r="BJ120" i="25" s="1"/>
  <c r="BK122" i="25" s="1"/>
  <c r="BK108" i="22"/>
  <c r="BJ120" i="22" s="1"/>
  <c r="BK10" i="22"/>
  <c r="BK9" i="22"/>
  <c r="BK8" i="22"/>
  <c r="BN31" i="25"/>
  <c r="BK108" i="17"/>
  <c r="BJ120" i="17" s="1"/>
  <c r="BK10" i="17"/>
  <c r="BK9" i="17"/>
  <c r="BK8" i="17"/>
  <c r="BN109" i="30"/>
  <c r="BK110" i="17"/>
  <c r="BJ121" i="17" s="1"/>
  <c r="BK123" i="17" s="1"/>
  <c r="BI111" i="19"/>
  <c r="BI116" i="19" s="1"/>
  <c r="BL109" i="20"/>
  <c r="BJ108" i="20"/>
  <c r="BI120" i="20" s="1"/>
  <c r="BJ8" i="20"/>
  <c r="BJ9" i="20"/>
  <c r="BJ10" i="20"/>
  <c r="BI77" i="19"/>
  <c r="BJ108" i="19"/>
  <c r="BI120" i="19" s="1"/>
  <c r="BJ8" i="19"/>
  <c r="BJ10" i="19"/>
  <c r="BJ9" i="19"/>
  <c r="BL98" i="27"/>
  <c r="BM7" i="27"/>
  <c r="BL11" i="27"/>
  <c r="BM75" i="20"/>
  <c r="BL78" i="20"/>
  <c r="BL100" i="20"/>
  <c r="BN78" i="27"/>
  <c r="BN79" i="27" s="1"/>
  <c r="BL7" i="19"/>
  <c r="BK98" i="19"/>
  <c r="BK11" i="19"/>
  <c r="BK30" i="27"/>
  <c r="BK32" i="27"/>
  <c r="BK31" i="27"/>
  <c r="BK47" i="19"/>
  <c r="BL43" i="19"/>
  <c r="BL99" i="19"/>
  <c r="BL29" i="20"/>
  <c r="BK33" i="20"/>
  <c r="BL33" i="27"/>
  <c r="BM29" i="27"/>
  <c r="BL45" i="20"/>
  <c r="BL44" i="20"/>
  <c r="BL46" i="20"/>
  <c r="BL47" i="27"/>
  <c r="BM43" i="27"/>
  <c r="BJ31" i="20"/>
  <c r="BJ30" i="20"/>
  <c r="BJ32" i="20"/>
  <c r="BJ101" i="19"/>
  <c r="BJ106" i="19" s="1"/>
  <c r="BL109" i="27"/>
  <c r="BK109" i="19"/>
  <c r="BK99" i="27"/>
  <c r="BK10" i="27"/>
  <c r="BK9" i="27"/>
  <c r="BK8" i="27"/>
  <c r="BK108" i="27"/>
  <c r="BJ120" i="27" s="1"/>
  <c r="BJ110" i="19"/>
  <c r="BI121" i="19" s="1"/>
  <c r="BJ123" i="19" s="1"/>
  <c r="BK76" i="20"/>
  <c r="BM99" i="20"/>
  <c r="BJ46" i="19"/>
  <c r="BJ45" i="19"/>
  <c r="BJ44" i="19"/>
  <c r="BM47" i="20"/>
  <c r="BN43" i="20"/>
  <c r="BK45" i="27"/>
  <c r="BK46" i="27"/>
  <c r="BK44" i="27"/>
  <c r="BK98" i="20"/>
  <c r="BK101" i="20" s="1"/>
  <c r="BK106" i="20" s="1"/>
  <c r="BL7" i="20"/>
  <c r="BK11" i="20"/>
  <c r="BK100" i="19"/>
  <c r="BL75" i="19"/>
  <c r="BK78" i="19"/>
  <c r="BI108" i="21"/>
  <c r="BH120" i="21" s="1"/>
  <c r="BI10" i="21"/>
  <c r="BI9" i="21"/>
  <c r="BI8" i="21"/>
  <c r="BK29" i="21"/>
  <c r="BJ33" i="21"/>
  <c r="BJ98" i="21"/>
  <c r="BJ101" i="21" s="1"/>
  <c r="BJ106" i="21" s="1"/>
  <c r="BK7" i="21"/>
  <c r="BJ11" i="21"/>
  <c r="BI9" i="24"/>
  <c r="BI8" i="24"/>
  <c r="BI108" i="24"/>
  <c r="BH120" i="24" s="1"/>
  <c r="BI10" i="24"/>
  <c r="BJ98" i="24"/>
  <c r="BJ101" i="24" s="1"/>
  <c r="BJ106" i="24" s="1"/>
  <c r="BK7" i="24"/>
  <c r="BJ11" i="24"/>
  <c r="BK29" i="24"/>
  <c r="BJ33" i="24"/>
  <c r="BG110" i="15"/>
  <c r="BH108" i="15"/>
  <c r="BG120" i="15" s="1"/>
  <c r="BJ7" i="15"/>
  <c r="BI11" i="15"/>
  <c r="BH9" i="15"/>
  <c r="BH10" i="15"/>
  <c r="BH8" i="15"/>
  <c r="BJ43" i="15"/>
  <c r="BI47" i="15"/>
  <c r="BJ29" i="15"/>
  <c r="BI33" i="15"/>
  <c r="BH32" i="15"/>
  <c r="BH31" i="15"/>
  <c r="BH30" i="15"/>
  <c r="BI81" i="15"/>
  <c r="BH82" i="15"/>
  <c r="BH99" i="12"/>
  <c r="BH101" i="12" s="1"/>
  <c r="BH106" i="12" s="1"/>
  <c r="BI98" i="12"/>
  <c r="BJ7" i="12"/>
  <c r="BI11" i="12"/>
  <c r="BI100" i="12"/>
  <c r="BH108" i="12"/>
  <c r="BG120" i="12" s="1"/>
  <c r="BH8" i="12"/>
  <c r="BH10" i="12"/>
  <c r="BH9" i="12"/>
  <c r="BG111" i="12"/>
  <c r="BG116" i="12" s="1"/>
  <c r="BH110" i="12"/>
  <c r="BG121" i="12" s="1"/>
  <c r="BH123" i="12" s="1"/>
  <c r="BH109" i="12"/>
  <c r="BQ40" i="25" l="1"/>
  <c r="BO40" i="25" s="1"/>
  <c r="BO37" i="25" s="1"/>
  <c r="BL77" i="11"/>
  <c r="BH70" i="15"/>
  <c r="H64" i="9"/>
  <c r="BG71" i="15"/>
  <c r="BG72" i="15" s="1"/>
  <c r="G65" i="9"/>
  <c r="BK77" i="11"/>
  <c r="BM110" i="11"/>
  <c r="BL121" i="11" s="1"/>
  <c r="BM123" i="11" s="1"/>
  <c r="BM100" i="11"/>
  <c r="L80" i="9"/>
  <c r="BL110" i="11"/>
  <c r="BK121" i="11" s="1"/>
  <c r="BL123" i="11" s="1"/>
  <c r="BL101" i="11"/>
  <c r="BK110" i="20"/>
  <c r="BJ121" i="20" s="1"/>
  <c r="BK123" i="20" s="1"/>
  <c r="BM98" i="11"/>
  <c r="BK101" i="27"/>
  <c r="BK106" i="27" s="1"/>
  <c r="BK106" i="11"/>
  <c r="BJ120" i="11"/>
  <c r="BK122" i="11" s="1"/>
  <c r="BN75" i="30"/>
  <c r="BM100" i="30"/>
  <c r="BN100" i="11"/>
  <c r="BN78" i="11"/>
  <c r="BK111" i="11"/>
  <c r="BL31" i="11"/>
  <c r="BL32" i="11"/>
  <c r="BL30" i="11"/>
  <c r="BM33" i="11"/>
  <c r="BN29" i="11"/>
  <c r="BN88" i="11"/>
  <c r="BT88" i="11" s="1"/>
  <c r="BT90" i="11" s="1"/>
  <c r="BM10" i="11"/>
  <c r="BM9" i="11"/>
  <c r="BM8" i="11"/>
  <c r="BM76" i="11"/>
  <c r="BL46" i="11"/>
  <c r="BL45" i="11"/>
  <c r="BL44" i="11"/>
  <c r="BM47" i="11"/>
  <c r="BN43" i="11"/>
  <c r="BI132" i="25"/>
  <c r="BJ116" i="11"/>
  <c r="BI132" i="11"/>
  <c r="BH132" i="11"/>
  <c r="BF132" i="24"/>
  <c r="BJ124" i="25"/>
  <c r="BJ124" i="22"/>
  <c r="BK122" i="22"/>
  <c r="BJ124" i="30"/>
  <c r="BK122" i="30"/>
  <c r="BK115" i="11"/>
  <c r="BJ126" i="11"/>
  <c r="BG132" i="27"/>
  <c r="BI132" i="30"/>
  <c r="BF132" i="12"/>
  <c r="BH132" i="27"/>
  <c r="BH132" i="19"/>
  <c r="BK122" i="17"/>
  <c r="BJ124" i="17"/>
  <c r="BI132" i="17"/>
  <c r="BF132" i="21"/>
  <c r="BG132" i="20"/>
  <c r="BL123" i="25"/>
  <c r="BO33" i="25"/>
  <c r="BK122" i="27"/>
  <c r="BH124" i="20"/>
  <c r="BI122" i="20"/>
  <c r="BI111" i="21"/>
  <c r="BI116" i="21" s="1"/>
  <c r="BJ111" i="20"/>
  <c r="BJ116" i="20" s="1"/>
  <c r="BK111" i="25"/>
  <c r="BK116" i="25" s="1"/>
  <c r="BN79" i="25"/>
  <c r="BU87" i="25"/>
  <c r="BU89" i="25" s="1"/>
  <c r="BH122" i="12"/>
  <c r="BG124" i="12"/>
  <c r="BI111" i="24"/>
  <c r="BI116" i="24" s="1"/>
  <c r="BI124" i="19"/>
  <c r="BJ122" i="19"/>
  <c r="BG124" i="24"/>
  <c r="BH122" i="24"/>
  <c r="BH122" i="15"/>
  <c r="BG111" i="15"/>
  <c r="BG116" i="15" s="1"/>
  <c r="BF121" i="15"/>
  <c r="BJ111" i="27"/>
  <c r="BJ116" i="27" s="1"/>
  <c r="BI121" i="27"/>
  <c r="BH122" i="21"/>
  <c r="BG124" i="21"/>
  <c r="BO41" i="37"/>
  <c r="BO40" i="37" s="1"/>
  <c r="BO39" i="37" s="1"/>
  <c r="BN34" i="30"/>
  <c r="BO41" i="30" s="1"/>
  <c r="BQ40" i="30" s="1"/>
  <c r="BM110" i="25"/>
  <c r="BL121" i="25" s="1"/>
  <c r="BI31" i="12"/>
  <c r="BI32" i="12"/>
  <c r="BI30" i="12"/>
  <c r="BJ33" i="12"/>
  <c r="BK29" i="12"/>
  <c r="BL101" i="17"/>
  <c r="BL106" i="17" s="1"/>
  <c r="BL105" i="11"/>
  <c r="BL106" i="11" s="1"/>
  <c r="BH110" i="15"/>
  <c r="BG121" i="15" s="1"/>
  <c r="BH123" i="15" s="1"/>
  <c r="BN99" i="17"/>
  <c r="BK110" i="27"/>
  <c r="BM22" i="12"/>
  <c r="BN22" i="12" s="1"/>
  <c r="BI100" i="15"/>
  <c r="BI101" i="15" s="1"/>
  <c r="BI106" i="15" s="1"/>
  <c r="BN87" i="30"/>
  <c r="BK76" i="19"/>
  <c r="BN100" i="22"/>
  <c r="BL22" i="21"/>
  <c r="BK26" i="21"/>
  <c r="BM86" i="14"/>
  <c r="BM99" i="19"/>
  <c r="BN87" i="22"/>
  <c r="BT87" i="22" s="1"/>
  <c r="BT89" i="22" s="1"/>
  <c r="BL22" i="24"/>
  <c r="BK26" i="24"/>
  <c r="BN99" i="20"/>
  <c r="BM100" i="17"/>
  <c r="BN87" i="25"/>
  <c r="BM86" i="27"/>
  <c r="BL87" i="27"/>
  <c r="BL100" i="27"/>
  <c r="BM86" i="20"/>
  <c r="BN86" i="20" s="1"/>
  <c r="BL87" i="20"/>
  <c r="BM86" i="19"/>
  <c r="BN86" i="19" s="1"/>
  <c r="BL87" i="19"/>
  <c r="BK26" i="16"/>
  <c r="BL22" i="16"/>
  <c r="BK24" i="12"/>
  <c r="BK23" i="12"/>
  <c r="BK25" i="12"/>
  <c r="BM104" i="11"/>
  <c r="BI44" i="15"/>
  <c r="BJ30" i="24"/>
  <c r="BM99" i="11"/>
  <c r="BJ30" i="21"/>
  <c r="BK30" i="19"/>
  <c r="BK32" i="19"/>
  <c r="BK31" i="19"/>
  <c r="BM29" i="19"/>
  <c r="BL33" i="19"/>
  <c r="BH67" i="15"/>
  <c r="BL77" i="17"/>
  <c r="BK77" i="20"/>
  <c r="BI66" i="15"/>
  <c r="BJ30" i="16"/>
  <c r="BL29" i="16"/>
  <c r="BK33" i="16"/>
  <c r="BM43" i="14"/>
  <c r="BM102" i="11"/>
  <c r="BJ68" i="15"/>
  <c r="J66" i="9" s="1"/>
  <c r="BK65" i="15"/>
  <c r="K63" i="9" s="1"/>
  <c r="BL112" i="11"/>
  <c r="BO39" i="25"/>
  <c r="BL77" i="22"/>
  <c r="BL101" i="30"/>
  <c r="BL106" i="30" s="1"/>
  <c r="BK111" i="30"/>
  <c r="BK116" i="30" s="1"/>
  <c r="BL101" i="22"/>
  <c r="BL106" i="22" s="1"/>
  <c r="BK111" i="17"/>
  <c r="BK116" i="17" s="1"/>
  <c r="BK77" i="30"/>
  <c r="BL110" i="17"/>
  <c r="BK121" i="17" s="1"/>
  <c r="BL123" i="17" s="1"/>
  <c r="BM76" i="22"/>
  <c r="BM77" i="22" s="1"/>
  <c r="BM110" i="22"/>
  <c r="BL121" i="22" s="1"/>
  <c r="BM123" i="22" s="1"/>
  <c r="BN78" i="22"/>
  <c r="BM87" i="17"/>
  <c r="BN86" i="17"/>
  <c r="BM30" i="17"/>
  <c r="BM32" i="17"/>
  <c r="BM31" i="17"/>
  <c r="BN33" i="17"/>
  <c r="BM98" i="22"/>
  <c r="BM11" i="22"/>
  <c r="BN7" i="22"/>
  <c r="BM46" i="22"/>
  <c r="BM45" i="22"/>
  <c r="BM44" i="22"/>
  <c r="BN47" i="22"/>
  <c r="BO109" i="30"/>
  <c r="BO20" i="25"/>
  <c r="BL76" i="30"/>
  <c r="BL110" i="30"/>
  <c r="BK121" i="30" s="1"/>
  <c r="BL123" i="30" s="1"/>
  <c r="BM99" i="22"/>
  <c r="BM76" i="17"/>
  <c r="BN78" i="17"/>
  <c r="BM109" i="11"/>
  <c r="BO20" i="30"/>
  <c r="BQ19" i="30" s="1"/>
  <c r="BM78" i="30"/>
  <c r="BM109" i="25"/>
  <c r="BL101" i="25"/>
  <c r="BL106" i="25" s="1"/>
  <c r="BN8" i="25"/>
  <c r="BM47" i="30"/>
  <c r="BN43" i="30"/>
  <c r="BM98" i="30"/>
  <c r="BN10" i="30"/>
  <c r="BM32" i="22"/>
  <c r="BM31" i="22"/>
  <c r="BM30" i="22"/>
  <c r="BN33" i="22"/>
  <c r="BN32" i="30"/>
  <c r="BN10" i="25"/>
  <c r="BL45" i="30"/>
  <c r="BL44" i="30"/>
  <c r="BL46" i="30"/>
  <c r="BL108" i="30"/>
  <c r="BK120" i="30" s="1"/>
  <c r="BN8" i="30"/>
  <c r="BM45" i="17"/>
  <c r="BM44" i="17"/>
  <c r="BM46" i="17"/>
  <c r="BN47" i="17"/>
  <c r="BL108" i="11"/>
  <c r="BK120" i="11" s="1"/>
  <c r="BL44" i="25"/>
  <c r="BL46" i="25"/>
  <c r="BL45" i="25"/>
  <c r="BL108" i="25"/>
  <c r="BK120" i="25" s="1"/>
  <c r="BL122" i="25" s="1"/>
  <c r="BN76" i="25"/>
  <c r="BN9" i="25"/>
  <c r="BN9" i="30"/>
  <c r="BN30" i="30"/>
  <c r="BL108" i="17"/>
  <c r="BK120" i="17" s="1"/>
  <c r="BL9" i="17"/>
  <c r="BL8" i="17"/>
  <c r="BL10" i="17"/>
  <c r="BN11" i="11"/>
  <c r="BN12" i="11" s="1"/>
  <c r="BO20" i="11" s="1"/>
  <c r="BQ19" i="11" s="1"/>
  <c r="BM99" i="25"/>
  <c r="BM47" i="25"/>
  <c r="BN43" i="25"/>
  <c r="BM98" i="25"/>
  <c r="BM77" i="25"/>
  <c r="BN31" i="30"/>
  <c r="BM98" i="17"/>
  <c r="BM11" i="17"/>
  <c r="BN7" i="17"/>
  <c r="BL9" i="22"/>
  <c r="BL10" i="22"/>
  <c r="BL8" i="22"/>
  <c r="BL108" i="22"/>
  <c r="BK120" i="22" s="1"/>
  <c r="BM109" i="17"/>
  <c r="BL109" i="19"/>
  <c r="BM33" i="27"/>
  <c r="BN29" i="27"/>
  <c r="BK9" i="19"/>
  <c r="BK10" i="19"/>
  <c r="BK8" i="19"/>
  <c r="BK108" i="19"/>
  <c r="BJ120" i="19" s="1"/>
  <c r="BO98" i="19"/>
  <c r="BO101" i="19" s="1"/>
  <c r="BO106" i="19" s="1"/>
  <c r="BL30" i="27"/>
  <c r="BL32" i="27"/>
  <c r="BL31" i="27"/>
  <c r="BK110" i="19"/>
  <c r="BJ121" i="19" s="1"/>
  <c r="BK123" i="19" s="1"/>
  <c r="BM44" i="20"/>
  <c r="BM46" i="20"/>
  <c r="BM45" i="20"/>
  <c r="BN47" i="20"/>
  <c r="BM47" i="27"/>
  <c r="BN43" i="27"/>
  <c r="BK101" i="19"/>
  <c r="BK106" i="19" s="1"/>
  <c r="BL76" i="20"/>
  <c r="BJ111" i="19"/>
  <c r="BJ116" i="19" s="1"/>
  <c r="BM109" i="20"/>
  <c r="BL98" i="20"/>
  <c r="BL101" i="20" s="1"/>
  <c r="BL106" i="20" s="1"/>
  <c r="BM7" i="20"/>
  <c r="BL11" i="20"/>
  <c r="BK45" i="19"/>
  <c r="BK44" i="19"/>
  <c r="BK46" i="19"/>
  <c r="BN77" i="27"/>
  <c r="BL78" i="19"/>
  <c r="BL100" i="19"/>
  <c r="BM75" i="19"/>
  <c r="BL44" i="27"/>
  <c r="BL46" i="27"/>
  <c r="BL45" i="27"/>
  <c r="BL98" i="19"/>
  <c r="BM7" i="19"/>
  <c r="BL11" i="19"/>
  <c r="BM78" i="20"/>
  <c r="BN75" i="20"/>
  <c r="BM98" i="27"/>
  <c r="BM11" i="27"/>
  <c r="BN7" i="27"/>
  <c r="BK108" i="20"/>
  <c r="BJ120" i="20" s="1"/>
  <c r="BK10" i="20"/>
  <c r="BK9" i="20"/>
  <c r="BK8" i="20"/>
  <c r="BM109" i="27"/>
  <c r="BK30" i="20"/>
  <c r="BK31" i="20"/>
  <c r="BK32" i="20"/>
  <c r="BO79" i="27"/>
  <c r="BJ77" i="19"/>
  <c r="BL99" i="27"/>
  <c r="BM29" i="20"/>
  <c r="BL33" i="20"/>
  <c r="BM43" i="19"/>
  <c r="BL47" i="19"/>
  <c r="BN76" i="27"/>
  <c r="BL108" i="27"/>
  <c r="BK120" i="27" s="1"/>
  <c r="BL10" i="27"/>
  <c r="BL9" i="27"/>
  <c r="BL8" i="27"/>
  <c r="BK33" i="24"/>
  <c r="BL29" i="24"/>
  <c r="BL29" i="21"/>
  <c r="BK33" i="21"/>
  <c r="BJ108" i="21"/>
  <c r="BI120" i="21" s="1"/>
  <c r="BJ9" i="21"/>
  <c r="BJ8" i="21"/>
  <c r="BJ10" i="21"/>
  <c r="BJ9" i="24"/>
  <c r="BJ8" i="24"/>
  <c r="BJ10" i="24"/>
  <c r="BJ108" i="24"/>
  <c r="BI120" i="24" s="1"/>
  <c r="BK98" i="21"/>
  <c r="BK101" i="21" s="1"/>
  <c r="BK106" i="21" s="1"/>
  <c r="BL7" i="21"/>
  <c r="BK11" i="21"/>
  <c r="BK98" i="24"/>
  <c r="BK101" i="24" s="1"/>
  <c r="BK106" i="24" s="1"/>
  <c r="BK11" i="24"/>
  <c r="BL7" i="24"/>
  <c r="BI108" i="15"/>
  <c r="BH120" i="15" s="1"/>
  <c r="BJ98" i="15"/>
  <c r="BK7" i="15"/>
  <c r="BJ11" i="15"/>
  <c r="BK29" i="15"/>
  <c r="BJ33" i="15"/>
  <c r="BI32" i="15"/>
  <c r="BI30" i="15"/>
  <c r="BI31" i="15"/>
  <c r="BJ47" i="15"/>
  <c r="BK43" i="15"/>
  <c r="BI82" i="15"/>
  <c r="BJ81" i="15"/>
  <c r="BI8" i="15"/>
  <c r="BI10" i="15"/>
  <c r="BI9" i="15"/>
  <c r="BH111" i="12"/>
  <c r="BH116" i="12" s="1"/>
  <c r="BI110" i="12"/>
  <c r="BH121" i="12" s="1"/>
  <c r="BI123" i="12" s="1"/>
  <c r="BJ98" i="12"/>
  <c r="BJ11" i="12"/>
  <c r="BK7" i="12"/>
  <c r="BI99" i="12"/>
  <c r="BI101" i="12" s="1"/>
  <c r="BI106" i="12" s="1"/>
  <c r="BJ100" i="12"/>
  <c r="BI109" i="12"/>
  <c r="BI108" i="12"/>
  <c r="BH120" i="12" s="1"/>
  <c r="BI8" i="12"/>
  <c r="BI10" i="12"/>
  <c r="BI9" i="12"/>
  <c r="BM101" i="11" l="1"/>
  <c r="BO38" i="25"/>
  <c r="BO19" i="30"/>
  <c r="BO19" i="11"/>
  <c r="BO11" i="11" s="1"/>
  <c r="BO8" i="11" s="1"/>
  <c r="BI70" i="15"/>
  <c r="I64" i="9"/>
  <c r="M80" i="9"/>
  <c r="BM77" i="11"/>
  <c r="BH71" i="15"/>
  <c r="BH72" i="15" s="1"/>
  <c r="H65" i="9"/>
  <c r="BN79" i="11"/>
  <c r="BU88" i="11" s="1"/>
  <c r="BU90" i="11" s="1"/>
  <c r="BU91" i="11" s="1"/>
  <c r="BU92" i="11" s="1"/>
  <c r="BL110" i="20"/>
  <c r="BK121" i="20" s="1"/>
  <c r="BL123" i="20" s="1"/>
  <c r="BT90" i="22"/>
  <c r="BT91" i="22" s="1"/>
  <c r="BO87" i="22" s="1"/>
  <c r="BJ124" i="11"/>
  <c r="BJ132" i="11" s="1"/>
  <c r="BK116" i="11"/>
  <c r="BO37" i="37"/>
  <c r="BO38" i="37"/>
  <c r="BN110" i="11"/>
  <c r="BJ132" i="25"/>
  <c r="BN76" i="11"/>
  <c r="BN98" i="11"/>
  <c r="BM108" i="11"/>
  <c r="BL120" i="11" s="1"/>
  <c r="BT91" i="11"/>
  <c r="BM46" i="11"/>
  <c r="BM45" i="11"/>
  <c r="BM44" i="11"/>
  <c r="BM31" i="11"/>
  <c r="BN31" i="11" s="1"/>
  <c r="BM30" i="11"/>
  <c r="BN30" i="11" s="1"/>
  <c r="BM32" i="11"/>
  <c r="BN32" i="11" s="1"/>
  <c r="BN33" i="11"/>
  <c r="BN34" i="11" s="1"/>
  <c r="BO41" i="11" s="1"/>
  <c r="BQ40" i="11" s="1"/>
  <c r="BL111" i="11"/>
  <c r="BI132" i="19"/>
  <c r="BJ132" i="17"/>
  <c r="BL115" i="11"/>
  <c r="BK126" i="11"/>
  <c r="BG132" i="12"/>
  <c r="BK124" i="17"/>
  <c r="BL122" i="17"/>
  <c r="BL122" i="30"/>
  <c r="BK124" i="30"/>
  <c r="BG132" i="24"/>
  <c r="BK128" i="11"/>
  <c r="BJ130" i="11"/>
  <c r="BK124" i="25"/>
  <c r="BK124" i="22"/>
  <c r="BL122" i="22"/>
  <c r="BI67" i="15"/>
  <c r="BG132" i="21"/>
  <c r="BJ132" i="30"/>
  <c r="BH132" i="20"/>
  <c r="BM123" i="25"/>
  <c r="BH111" i="15"/>
  <c r="BH116" i="15" s="1"/>
  <c r="BM105" i="11"/>
  <c r="BM106" i="11" s="1"/>
  <c r="BI122" i="15"/>
  <c r="BK111" i="20"/>
  <c r="BK116" i="20" s="1"/>
  <c r="BJ111" i="21"/>
  <c r="BJ116" i="21" s="1"/>
  <c r="BK111" i="27"/>
  <c r="BK116" i="27" s="1"/>
  <c r="BJ121" i="27"/>
  <c r="BJ123" i="27"/>
  <c r="BI124" i="27"/>
  <c r="BG123" i="15"/>
  <c r="BG124" i="15" s="1"/>
  <c r="BF124" i="15"/>
  <c r="BI124" i="20"/>
  <c r="BJ122" i="20"/>
  <c r="BI122" i="12"/>
  <c r="BH124" i="12"/>
  <c r="BI122" i="24"/>
  <c r="BH124" i="24"/>
  <c r="BQ19" i="25"/>
  <c r="BO19" i="25" s="1"/>
  <c r="BJ111" i="24"/>
  <c r="BJ116" i="24" s="1"/>
  <c r="BK122" i="19"/>
  <c r="BJ124" i="19"/>
  <c r="BL122" i="27"/>
  <c r="BN79" i="22"/>
  <c r="BU87" i="22"/>
  <c r="BU89" i="22" s="1"/>
  <c r="BN88" i="25"/>
  <c r="BT87" i="25"/>
  <c r="BT89" i="25" s="1"/>
  <c r="BO40" i="30"/>
  <c r="BI122" i="21"/>
  <c r="BH124" i="21"/>
  <c r="BL111" i="25"/>
  <c r="BL116" i="25" s="1"/>
  <c r="BU90" i="25"/>
  <c r="BU91" i="25" s="1"/>
  <c r="BO78" i="25" s="1"/>
  <c r="BO76" i="25" s="1"/>
  <c r="BN79" i="17"/>
  <c r="BU87" i="17"/>
  <c r="BU89" i="17" s="1"/>
  <c r="BL101" i="27"/>
  <c r="BL106" i="27" s="1"/>
  <c r="BM101" i="17"/>
  <c r="BM106" i="17" s="1"/>
  <c r="BN88" i="30"/>
  <c r="BT87" i="30"/>
  <c r="BT89" i="30" s="1"/>
  <c r="BN34" i="22"/>
  <c r="BO41" i="22" s="1"/>
  <c r="BN48" i="22"/>
  <c r="BO55" i="22" s="1"/>
  <c r="BN88" i="22"/>
  <c r="BN48" i="20"/>
  <c r="BO48" i="20" s="1"/>
  <c r="BN48" i="17"/>
  <c r="BO55" i="17" s="1"/>
  <c r="BN34" i="17"/>
  <c r="BO41" i="17" s="1"/>
  <c r="BL29" i="12"/>
  <c r="BK33" i="12"/>
  <c r="BJ31" i="12"/>
  <c r="BJ32" i="12"/>
  <c r="BJ30" i="12"/>
  <c r="BL111" i="17"/>
  <c r="BL116" i="17" s="1"/>
  <c r="BM100" i="20"/>
  <c r="BN99" i="19"/>
  <c r="BN99" i="25"/>
  <c r="BN100" i="30"/>
  <c r="BN98" i="22"/>
  <c r="BN100" i="17"/>
  <c r="BM22" i="16"/>
  <c r="BN22" i="16" s="1"/>
  <c r="BL26" i="16"/>
  <c r="BM110" i="17"/>
  <c r="BL121" i="17" s="1"/>
  <c r="BM123" i="17" s="1"/>
  <c r="BK25" i="16"/>
  <c r="BK24" i="16"/>
  <c r="BK23" i="16"/>
  <c r="BK23" i="21"/>
  <c r="BK24" i="21"/>
  <c r="BK25" i="21"/>
  <c r="BN100" i="20"/>
  <c r="BL76" i="19"/>
  <c r="BN98" i="17"/>
  <c r="BM87" i="19"/>
  <c r="BL110" i="27"/>
  <c r="BM87" i="20"/>
  <c r="BM87" i="27"/>
  <c r="BM100" i="27"/>
  <c r="BK23" i="24"/>
  <c r="BK25" i="24"/>
  <c r="BK24" i="24"/>
  <c r="BL26" i="21"/>
  <c r="BM22" i="21"/>
  <c r="BJ100" i="15"/>
  <c r="BJ101" i="15" s="1"/>
  <c r="BJ106" i="15" s="1"/>
  <c r="BM26" i="12"/>
  <c r="BN86" i="27"/>
  <c r="BN110" i="25"/>
  <c r="BL26" i="24"/>
  <c r="BM22" i="24"/>
  <c r="BN22" i="24" s="1"/>
  <c r="BN99" i="22"/>
  <c r="BN104" i="11"/>
  <c r="BK30" i="24"/>
  <c r="BN98" i="30"/>
  <c r="BN98" i="25"/>
  <c r="BN99" i="11"/>
  <c r="BK30" i="21"/>
  <c r="BL30" i="19"/>
  <c r="BL32" i="19"/>
  <c r="BL31" i="19"/>
  <c r="BN102" i="11"/>
  <c r="BM33" i="19"/>
  <c r="BN29" i="19"/>
  <c r="BJ44" i="15"/>
  <c r="BK30" i="16"/>
  <c r="BM101" i="30"/>
  <c r="BM106" i="30" s="1"/>
  <c r="BK111" i="19"/>
  <c r="BK116" i="19" s="1"/>
  <c r="BM101" i="25"/>
  <c r="BM106" i="25" s="1"/>
  <c r="BM29" i="16"/>
  <c r="BL33" i="16"/>
  <c r="BJ66" i="15"/>
  <c r="BK68" i="15"/>
  <c r="K66" i="9" s="1"/>
  <c r="BL65" i="15"/>
  <c r="L63" i="9" s="1"/>
  <c r="BL111" i="30"/>
  <c r="BL116" i="30" s="1"/>
  <c r="BM112" i="11"/>
  <c r="BL77" i="20"/>
  <c r="BO20" i="37"/>
  <c r="BM76" i="30"/>
  <c r="BM77" i="30" s="1"/>
  <c r="BM110" i="30"/>
  <c r="BL121" i="30" s="1"/>
  <c r="BM123" i="30" s="1"/>
  <c r="BN78" i="30"/>
  <c r="BN79" i="30" s="1"/>
  <c r="BU87" i="30" s="1"/>
  <c r="BU89" i="30" s="1"/>
  <c r="BN10" i="11"/>
  <c r="BN109" i="25"/>
  <c r="BN47" i="11"/>
  <c r="BL77" i="30"/>
  <c r="BN31" i="17"/>
  <c r="BN76" i="22"/>
  <c r="BN30" i="22"/>
  <c r="BN44" i="22"/>
  <c r="BN32" i="17"/>
  <c r="BN8" i="11"/>
  <c r="BN45" i="22"/>
  <c r="BN30" i="17"/>
  <c r="BN109" i="17"/>
  <c r="BM108" i="17"/>
  <c r="BL120" i="17" s="1"/>
  <c r="BM9" i="17"/>
  <c r="BM8" i="17"/>
  <c r="BM10" i="17"/>
  <c r="BN11" i="17"/>
  <c r="BN12" i="17" s="1"/>
  <c r="BN9" i="11"/>
  <c r="BN32" i="22"/>
  <c r="BM44" i="30"/>
  <c r="BM46" i="30"/>
  <c r="BM45" i="30"/>
  <c r="BN47" i="30"/>
  <c r="BN48" i="30" s="1"/>
  <c r="BM108" i="30"/>
  <c r="BL120" i="30" s="1"/>
  <c r="BN76" i="17"/>
  <c r="BN46" i="22"/>
  <c r="BM108" i="22"/>
  <c r="BL120" i="22" s="1"/>
  <c r="BM9" i="22"/>
  <c r="BM8" i="22"/>
  <c r="BM10" i="22"/>
  <c r="BN11" i="22"/>
  <c r="BN12" i="22" s="1"/>
  <c r="BN77" i="25"/>
  <c r="BN31" i="22"/>
  <c r="BN46" i="17"/>
  <c r="BM77" i="17"/>
  <c r="BN87" i="17"/>
  <c r="BT87" i="17" s="1"/>
  <c r="BT89" i="17" s="1"/>
  <c r="BN44" i="17"/>
  <c r="BN109" i="11"/>
  <c r="BM101" i="22"/>
  <c r="BM106" i="22" s="1"/>
  <c r="BN110" i="22"/>
  <c r="BM46" i="25"/>
  <c r="BM44" i="25"/>
  <c r="BM45" i="25"/>
  <c r="BN47" i="25"/>
  <c r="BN48" i="25" s="1"/>
  <c r="BM108" i="25"/>
  <c r="BL120" i="25" s="1"/>
  <c r="BM122" i="25" s="1"/>
  <c r="BN45" i="17"/>
  <c r="BN77" i="22"/>
  <c r="BL101" i="19"/>
  <c r="BL106" i="19" s="1"/>
  <c r="BK77" i="19"/>
  <c r="BL45" i="19"/>
  <c r="BL44" i="19"/>
  <c r="BL46" i="19"/>
  <c r="BM98" i="20"/>
  <c r="BM11" i="20"/>
  <c r="BN7" i="20"/>
  <c r="BN44" i="20"/>
  <c r="BM32" i="27"/>
  <c r="BM31" i="27"/>
  <c r="BM30" i="27"/>
  <c r="BN33" i="27"/>
  <c r="BM47" i="19"/>
  <c r="BN43" i="19"/>
  <c r="BL108" i="19"/>
  <c r="BK120" i="19" s="1"/>
  <c r="BL10" i="19"/>
  <c r="BL9" i="19"/>
  <c r="BL8" i="19"/>
  <c r="BM98" i="19"/>
  <c r="BM11" i="19"/>
  <c r="BN7" i="19"/>
  <c r="BN109" i="20"/>
  <c r="BM109" i="19"/>
  <c r="BL30" i="20"/>
  <c r="BL31" i="20"/>
  <c r="BL32" i="20"/>
  <c r="BN109" i="27"/>
  <c r="BN98" i="27"/>
  <c r="BM100" i="19"/>
  <c r="BM78" i="19"/>
  <c r="BN75" i="19"/>
  <c r="BM33" i="20"/>
  <c r="BN29" i="20"/>
  <c r="BO78" i="27"/>
  <c r="BO76" i="27" s="1"/>
  <c r="BO77" i="27" s="1"/>
  <c r="BL110" i="19"/>
  <c r="BK121" i="19" s="1"/>
  <c r="BL123" i="19" s="1"/>
  <c r="BM44" i="27"/>
  <c r="BM45" i="27"/>
  <c r="BM46" i="27"/>
  <c r="BN47" i="27"/>
  <c r="BM108" i="27"/>
  <c r="BM9" i="27"/>
  <c r="BM8" i="27"/>
  <c r="BM10" i="27"/>
  <c r="BN11" i="27"/>
  <c r="BN12" i="27" s="1"/>
  <c r="BM99" i="27"/>
  <c r="BL108" i="20"/>
  <c r="BK120" i="20" s="1"/>
  <c r="BL10" i="20"/>
  <c r="BL8" i="20"/>
  <c r="BL9" i="20"/>
  <c r="BN45" i="20"/>
  <c r="BM76" i="20"/>
  <c r="BM77" i="20" s="1"/>
  <c r="BN78" i="20"/>
  <c r="BN79" i="20" s="1"/>
  <c r="BN46" i="20"/>
  <c r="BO98" i="27"/>
  <c r="BO101" i="27" s="1"/>
  <c r="BO106" i="27" s="1"/>
  <c r="BL98" i="24"/>
  <c r="BL101" i="24" s="1"/>
  <c r="BL106" i="24" s="1"/>
  <c r="BM7" i="24"/>
  <c r="BL11" i="24"/>
  <c r="BM29" i="21"/>
  <c r="BL33" i="21"/>
  <c r="BK8" i="24"/>
  <c r="BK108" i="24"/>
  <c r="BJ120" i="24" s="1"/>
  <c r="BK10" i="24"/>
  <c r="BK9" i="24"/>
  <c r="BM29" i="24"/>
  <c r="BL33" i="24"/>
  <c r="BK108" i="21"/>
  <c r="BJ120" i="21" s="1"/>
  <c r="BK9" i="21"/>
  <c r="BK8" i="21"/>
  <c r="BK10" i="21"/>
  <c r="BL98" i="21"/>
  <c r="BL101" i="21" s="1"/>
  <c r="BL106" i="21" s="1"/>
  <c r="BM7" i="21"/>
  <c r="BL11" i="21"/>
  <c r="BI110" i="15"/>
  <c r="BJ108" i="15"/>
  <c r="BI120" i="15" s="1"/>
  <c r="BK98" i="15"/>
  <c r="BL43" i="15"/>
  <c r="BK47" i="15"/>
  <c r="BJ8" i="15"/>
  <c r="BJ10" i="15"/>
  <c r="BJ9" i="15"/>
  <c r="BL7" i="15"/>
  <c r="BK11" i="15"/>
  <c r="BK81" i="15"/>
  <c r="BJ82" i="15"/>
  <c r="BJ31" i="15"/>
  <c r="BJ30" i="15"/>
  <c r="BJ32" i="15"/>
  <c r="BL29" i="15"/>
  <c r="BK33" i="15"/>
  <c r="BI111" i="12"/>
  <c r="BI116" i="12" s="1"/>
  <c r="BJ99" i="12"/>
  <c r="BJ101" i="12" s="1"/>
  <c r="BJ106" i="12" s="1"/>
  <c r="BJ110" i="12"/>
  <c r="BI121" i="12" s="1"/>
  <c r="BJ123" i="12" s="1"/>
  <c r="BK100" i="12"/>
  <c r="BK98" i="12"/>
  <c r="BL7" i="12"/>
  <c r="BK11" i="12"/>
  <c r="BJ109" i="12"/>
  <c r="BJ10" i="12"/>
  <c r="BJ108" i="12"/>
  <c r="BI120" i="12" s="1"/>
  <c r="BJ9" i="12"/>
  <c r="BJ8" i="12"/>
  <c r="BO11" i="30" l="1"/>
  <c r="BO9" i="30" s="1"/>
  <c r="BO10" i="11"/>
  <c r="BO9" i="11"/>
  <c r="BQ54" i="17"/>
  <c r="BQ40" i="17"/>
  <c r="BO40" i="17" s="1"/>
  <c r="BQ54" i="22"/>
  <c r="BO54" i="22" s="1"/>
  <c r="BO53" i="22" s="1"/>
  <c r="BO40" i="11"/>
  <c r="BO38" i="11" s="1"/>
  <c r="BQ40" i="22"/>
  <c r="BO40" i="22" s="1"/>
  <c r="BO37" i="22" s="1"/>
  <c r="BI71" i="15"/>
  <c r="BI72" i="15" s="1"/>
  <c r="I65" i="9"/>
  <c r="L24" i="9"/>
  <c r="BN77" i="11"/>
  <c r="BJ70" i="15"/>
  <c r="J64" i="9"/>
  <c r="BT90" i="25"/>
  <c r="BN87" i="27"/>
  <c r="BN88" i="27" s="1"/>
  <c r="BO88" i="27" s="1"/>
  <c r="BU90" i="22"/>
  <c r="BM110" i="20"/>
  <c r="BL121" i="20" s="1"/>
  <c r="BM123" i="20" s="1"/>
  <c r="BN87" i="19"/>
  <c r="BN88" i="19" s="1"/>
  <c r="BO88" i="19" s="1"/>
  <c r="BN101" i="11"/>
  <c r="BM111" i="11"/>
  <c r="BN101" i="25"/>
  <c r="BN106" i="25" s="1"/>
  <c r="BK132" i="25"/>
  <c r="BO19" i="37"/>
  <c r="BO17" i="37" s="1"/>
  <c r="BO93" i="11"/>
  <c r="BO78" i="11"/>
  <c r="BO76" i="11" s="1"/>
  <c r="BO77" i="11"/>
  <c r="BT92" i="11"/>
  <c r="BO87" i="11" s="1"/>
  <c r="BL116" i="11"/>
  <c r="BK124" i="11"/>
  <c r="BK132" i="11" s="1"/>
  <c r="BL122" i="11"/>
  <c r="BL124" i="11" s="1"/>
  <c r="BL132" i="11" s="1"/>
  <c r="BM122" i="11"/>
  <c r="BM101" i="27"/>
  <c r="BM106" i="27" s="1"/>
  <c r="BM101" i="20"/>
  <c r="BM106" i="20" s="1"/>
  <c r="BM122" i="22"/>
  <c r="BL124" i="22"/>
  <c r="BM122" i="17"/>
  <c r="BL124" i="17"/>
  <c r="BM115" i="11"/>
  <c r="BL126" i="11"/>
  <c r="BJ132" i="19"/>
  <c r="BF132" i="15"/>
  <c r="BL120" i="27"/>
  <c r="BM122" i="27" s="1"/>
  <c r="BG132" i="15"/>
  <c r="BK132" i="30"/>
  <c r="BL124" i="25"/>
  <c r="BH132" i="21"/>
  <c r="BH132" i="12"/>
  <c r="BI132" i="27"/>
  <c r="BK132" i="17"/>
  <c r="BM122" i="30"/>
  <c r="BL124" i="30"/>
  <c r="BH132" i="24"/>
  <c r="BL128" i="11"/>
  <c r="BK130" i="11"/>
  <c r="BI132" i="20"/>
  <c r="BO33" i="30"/>
  <c r="BO32" i="30" s="1"/>
  <c r="BO37" i="30"/>
  <c r="BO39" i="30"/>
  <c r="BO38" i="30"/>
  <c r="BK111" i="21"/>
  <c r="BK116" i="21" s="1"/>
  <c r="BU90" i="30"/>
  <c r="BU91" i="30" s="1"/>
  <c r="BO78" i="30" s="1"/>
  <c r="BO11" i="25"/>
  <c r="BO8" i="30"/>
  <c r="BO10" i="30"/>
  <c r="BJ122" i="12"/>
  <c r="BI124" i="12"/>
  <c r="BJ122" i="15"/>
  <c r="BL111" i="20"/>
  <c r="BL116" i="20" s="1"/>
  <c r="BT90" i="30"/>
  <c r="BK123" i="27"/>
  <c r="BJ124" i="27"/>
  <c r="BK122" i="20"/>
  <c r="BJ124" i="20"/>
  <c r="BL111" i="27"/>
  <c r="BL116" i="27" s="1"/>
  <c r="BK121" i="27"/>
  <c r="BJ122" i="21"/>
  <c r="BI124" i="21"/>
  <c r="BO54" i="17"/>
  <c r="BI124" i="24"/>
  <c r="BJ122" i="24"/>
  <c r="BK111" i="24"/>
  <c r="BK116" i="24" s="1"/>
  <c r="BM111" i="25"/>
  <c r="BK124" i="19"/>
  <c r="BL122" i="19"/>
  <c r="BI111" i="15"/>
  <c r="BI116" i="15" s="1"/>
  <c r="BH121" i="15"/>
  <c r="BU90" i="17"/>
  <c r="BU91" i="17" s="1"/>
  <c r="BO78" i="17" s="1"/>
  <c r="BO18" i="11"/>
  <c r="BO55" i="38"/>
  <c r="BO41" i="38"/>
  <c r="BO47" i="20"/>
  <c r="BN34" i="27"/>
  <c r="BO34" i="27" s="1"/>
  <c r="BN48" i="27"/>
  <c r="BO48" i="27" s="1"/>
  <c r="BN101" i="30"/>
  <c r="BN106" i="30" s="1"/>
  <c r="BN88" i="17"/>
  <c r="BN112" i="11"/>
  <c r="BN115" i="11" s="1"/>
  <c r="BN101" i="22"/>
  <c r="BN106" i="22" s="1"/>
  <c r="BN101" i="17"/>
  <c r="BN106" i="17" s="1"/>
  <c r="BK32" i="12"/>
  <c r="BK31" i="12"/>
  <c r="BK30" i="12"/>
  <c r="BM111" i="17"/>
  <c r="BM29" i="12"/>
  <c r="BL33" i="12"/>
  <c r="BN105" i="11"/>
  <c r="BM76" i="19"/>
  <c r="BM77" i="19" s="1"/>
  <c r="BN99" i="27"/>
  <c r="BM26" i="21"/>
  <c r="BN22" i="21"/>
  <c r="BN7" i="21"/>
  <c r="BL24" i="21"/>
  <c r="BL23" i="21"/>
  <c r="BL25" i="21"/>
  <c r="BM26" i="24"/>
  <c r="BN26" i="24" s="1"/>
  <c r="BN26" i="12"/>
  <c r="BM25" i="12"/>
  <c r="BN25" i="12" s="1"/>
  <c r="BM24" i="12"/>
  <c r="BN24" i="12" s="1"/>
  <c r="BM23" i="12"/>
  <c r="BN23" i="12" s="1"/>
  <c r="BM110" i="27"/>
  <c r="BK100" i="15"/>
  <c r="BK101" i="15" s="1"/>
  <c r="BK106" i="15" s="1"/>
  <c r="BL25" i="24"/>
  <c r="BL23" i="24"/>
  <c r="BL24" i="24"/>
  <c r="BL23" i="16"/>
  <c r="BL24" i="16"/>
  <c r="BL25" i="16"/>
  <c r="BN7" i="24"/>
  <c r="BN100" i="19"/>
  <c r="BN100" i="27"/>
  <c r="BN87" i="20"/>
  <c r="BN110" i="20" s="1"/>
  <c r="BM26" i="16"/>
  <c r="BK44" i="15"/>
  <c r="BM32" i="19"/>
  <c r="BM30" i="19"/>
  <c r="BN33" i="19"/>
  <c r="BM31" i="19"/>
  <c r="BL30" i="16"/>
  <c r="BL30" i="24"/>
  <c r="BL30" i="21"/>
  <c r="BN29" i="24"/>
  <c r="BN29" i="21"/>
  <c r="BL98" i="15"/>
  <c r="BL68" i="15"/>
  <c r="L66" i="9" s="1"/>
  <c r="BM65" i="15"/>
  <c r="M63" i="9" s="1"/>
  <c r="BK66" i="15"/>
  <c r="BO17" i="11"/>
  <c r="BO16" i="11"/>
  <c r="BM33" i="16"/>
  <c r="BN29" i="16"/>
  <c r="BJ67" i="15"/>
  <c r="BO77" i="25"/>
  <c r="BO18" i="25"/>
  <c r="BO17" i="25"/>
  <c r="BO16" i="25"/>
  <c r="BO17" i="30"/>
  <c r="BO18" i="30"/>
  <c r="BO16" i="30"/>
  <c r="BM111" i="30"/>
  <c r="BN48" i="11"/>
  <c r="BO55" i="11" s="1"/>
  <c r="BQ54" i="11" s="1"/>
  <c r="BN77" i="30"/>
  <c r="BN10" i="22"/>
  <c r="BN44" i="30"/>
  <c r="BN108" i="17"/>
  <c r="BO20" i="17"/>
  <c r="BN44" i="11"/>
  <c r="BN8" i="22"/>
  <c r="BN10" i="17"/>
  <c r="BN45" i="11"/>
  <c r="BO109" i="11"/>
  <c r="BN9" i="22"/>
  <c r="BN8" i="17"/>
  <c r="BO55" i="25"/>
  <c r="BN108" i="25"/>
  <c r="BN111" i="25" s="1"/>
  <c r="BN9" i="17"/>
  <c r="BN110" i="30"/>
  <c r="BN45" i="25"/>
  <c r="BN44" i="25"/>
  <c r="BO55" i="30"/>
  <c r="BQ54" i="30" s="1"/>
  <c r="BN108" i="30"/>
  <c r="BN110" i="17"/>
  <c r="BN46" i="25"/>
  <c r="BN76" i="30"/>
  <c r="BN108" i="11"/>
  <c r="BN111" i="11" s="1"/>
  <c r="BN132" i="11" s="1"/>
  <c r="BN77" i="17"/>
  <c r="BN45" i="30"/>
  <c r="BN108" i="22"/>
  <c r="BO20" i="22"/>
  <c r="BN46" i="30"/>
  <c r="BN46" i="11"/>
  <c r="BL77" i="19"/>
  <c r="BN98" i="20"/>
  <c r="BN101" i="20" s="1"/>
  <c r="BN106" i="20" s="1"/>
  <c r="BN77" i="20"/>
  <c r="BN8" i="27"/>
  <c r="BO98" i="20"/>
  <c r="BO101" i="20" s="1"/>
  <c r="BO106" i="20" s="1"/>
  <c r="BN109" i="19"/>
  <c r="BM10" i="19"/>
  <c r="BM108" i="19"/>
  <c r="BM9" i="19"/>
  <c r="BM8" i="19"/>
  <c r="BN11" i="19"/>
  <c r="BN12" i="19" s="1"/>
  <c r="BN32" i="27"/>
  <c r="BM32" i="20"/>
  <c r="BM30" i="20"/>
  <c r="BM31" i="20"/>
  <c r="BN33" i="20"/>
  <c r="BM101" i="19"/>
  <c r="BM106" i="19" s="1"/>
  <c r="BL111" i="19"/>
  <c r="BL116" i="19" s="1"/>
  <c r="BO79" i="20"/>
  <c r="BN46" i="27"/>
  <c r="BN108" i="27"/>
  <c r="BO12" i="27"/>
  <c r="BN45" i="27"/>
  <c r="BO109" i="27"/>
  <c r="BN76" i="20"/>
  <c r="BN10" i="27"/>
  <c r="BN44" i="27"/>
  <c r="BM44" i="19"/>
  <c r="BM46" i="19"/>
  <c r="BM45" i="19"/>
  <c r="BN47" i="19"/>
  <c r="BO109" i="20"/>
  <c r="BN9" i="27"/>
  <c r="BN30" i="27"/>
  <c r="BM108" i="20"/>
  <c r="BL120" i="20" s="1"/>
  <c r="BM10" i="20"/>
  <c r="BM9" i="20"/>
  <c r="BM8" i="20"/>
  <c r="BN11" i="20"/>
  <c r="BN12" i="20" s="1"/>
  <c r="BM110" i="19"/>
  <c r="BL121" i="19" s="1"/>
  <c r="BM123" i="19" s="1"/>
  <c r="BN78" i="19"/>
  <c r="BN79" i="19" s="1"/>
  <c r="BN98" i="19"/>
  <c r="BN31" i="27"/>
  <c r="BM33" i="24"/>
  <c r="BL8" i="24"/>
  <c r="BL108" i="24"/>
  <c r="BK120" i="24" s="1"/>
  <c r="BL10" i="24"/>
  <c r="BL9" i="24"/>
  <c r="BM33" i="21"/>
  <c r="BL108" i="21"/>
  <c r="BK120" i="21" s="1"/>
  <c r="BL9" i="21"/>
  <c r="BL8" i="21"/>
  <c r="BL10" i="21"/>
  <c r="BM11" i="24"/>
  <c r="BM98" i="24"/>
  <c r="BM101" i="24" s="1"/>
  <c r="BM106" i="24" s="1"/>
  <c r="BM98" i="21"/>
  <c r="BM101" i="21" s="1"/>
  <c r="BM11" i="21"/>
  <c r="BJ110" i="15"/>
  <c r="BK108" i="15"/>
  <c r="BJ120" i="15" s="1"/>
  <c r="BK10" i="15"/>
  <c r="BK9" i="15"/>
  <c r="BK8" i="15"/>
  <c r="BM43" i="15"/>
  <c r="BL47" i="15"/>
  <c r="BM29" i="15"/>
  <c r="BL33" i="15"/>
  <c r="BM7" i="15"/>
  <c r="BL11" i="15"/>
  <c r="BK82" i="15"/>
  <c r="BL81" i="15"/>
  <c r="BK31" i="15"/>
  <c r="BK30" i="15"/>
  <c r="BK32" i="15"/>
  <c r="BL100" i="12"/>
  <c r="BK108" i="12"/>
  <c r="BJ120" i="12" s="1"/>
  <c r="BK10" i="12"/>
  <c r="BK8" i="12"/>
  <c r="BK9" i="12"/>
  <c r="BK99" i="12"/>
  <c r="BK101" i="12" s="1"/>
  <c r="BK106" i="12" s="1"/>
  <c r="BL98" i="12"/>
  <c r="BM7" i="12"/>
  <c r="BL11" i="12"/>
  <c r="BJ111" i="12"/>
  <c r="BJ116" i="12" s="1"/>
  <c r="BK109" i="12"/>
  <c r="BK110" i="12"/>
  <c r="BJ121" i="12" s="1"/>
  <c r="BK123" i="12" s="1"/>
  <c r="BO38" i="22" l="1"/>
  <c r="BO37" i="11"/>
  <c r="BO33" i="11"/>
  <c r="BO30" i="11" s="1"/>
  <c r="BO39" i="11"/>
  <c r="BO39" i="22"/>
  <c r="L21" i="9"/>
  <c r="BO33" i="22"/>
  <c r="BO32" i="22" s="1"/>
  <c r="BN110" i="27"/>
  <c r="BO54" i="30"/>
  <c r="BO52" i="30" s="1"/>
  <c r="BO51" i="22"/>
  <c r="BO47" i="22"/>
  <c r="BO52" i="22"/>
  <c r="BQ54" i="25"/>
  <c r="BO54" i="25" s="1"/>
  <c r="BO53" i="25" s="1"/>
  <c r="BQ19" i="17"/>
  <c r="BO19" i="17" s="1"/>
  <c r="BN106" i="11"/>
  <c r="L23" i="9"/>
  <c r="BK70" i="15"/>
  <c r="K64" i="9"/>
  <c r="BJ71" i="15"/>
  <c r="BJ72" i="15" s="1"/>
  <c r="J65" i="9"/>
  <c r="L22" i="9"/>
  <c r="BU91" i="22"/>
  <c r="BO78" i="22" s="1"/>
  <c r="BO110" i="22" s="1"/>
  <c r="BO93" i="22"/>
  <c r="BO114" i="22" s="1"/>
  <c r="BO129" i="22" s="1"/>
  <c r="BO93" i="25"/>
  <c r="BO114" i="25" s="1"/>
  <c r="BT91" i="25"/>
  <c r="BO87" i="25" s="1"/>
  <c r="BO110" i="25" s="1"/>
  <c r="BN111" i="27"/>
  <c r="BN116" i="27" s="1"/>
  <c r="BO110" i="11"/>
  <c r="BO18" i="37"/>
  <c r="BM116" i="17"/>
  <c r="BM116" i="25"/>
  <c r="BM116" i="30"/>
  <c r="BO40" i="38"/>
  <c r="BO39" i="38" s="1"/>
  <c r="BO16" i="37"/>
  <c r="BO54" i="38"/>
  <c r="BO94" i="11"/>
  <c r="BO54" i="11"/>
  <c r="BO47" i="11" s="1"/>
  <c r="BO31" i="11"/>
  <c r="BL120" i="19"/>
  <c r="BM122" i="19" s="1"/>
  <c r="BM128" i="11"/>
  <c r="BL130" i="11"/>
  <c r="BJ132" i="27"/>
  <c r="BM116" i="11"/>
  <c r="BL132" i="17"/>
  <c r="BI132" i="21"/>
  <c r="BO30" i="30"/>
  <c r="BO31" i="30"/>
  <c r="BI132" i="12"/>
  <c r="BL132" i="25"/>
  <c r="BL132" i="30"/>
  <c r="BK132" i="19"/>
  <c r="BI132" i="24"/>
  <c r="BO93" i="30"/>
  <c r="BJ132" i="20"/>
  <c r="BN116" i="25"/>
  <c r="BN132" i="25"/>
  <c r="BO33" i="27"/>
  <c r="BL111" i="21"/>
  <c r="BL116" i="21" s="1"/>
  <c r="BI123" i="15"/>
  <c r="BH124" i="15"/>
  <c r="BK124" i="20"/>
  <c r="BL122" i="20"/>
  <c r="BK122" i="12"/>
  <c r="BJ124" i="12"/>
  <c r="BM111" i="20"/>
  <c r="BM116" i="20" s="1"/>
  <c r="BM122" i="20"/>
  <c r="BN116" i="11"/>
  <c r="BM111" i="27"/>
  <c r="BM116" i="27" s="1"/>
  <c r="BL121" i="27"/>
  <c r="BM123" i="27" s="1"/>
  <c r="BO53" i="17"/>
  <c r="BO52" i="17"/>
  <c r="BO51" i="17"/>
  <c r="BT91" i="30"/>
  <c r="BO87" i="30" s="1"/>
  <c r="BK122" i="24"/>
  <c r="BJ124" i="24"/>
  <c r="BO47" i="17"/>
  <c r="BL123" i="27"/>
  <c r="BK124" i="27"/>
  <c r="BK122" i="15"/>
  <c r="BJ111" i="15"/>
  <c r="BJ116" i="15" s="1"/>
  <c r="BI121" i="15"/>
  <c r="BL111" i="24"/>
  <c r="BL116" i="24" s="1"/>
  <c r="BO53" i="30"/>
  <c r="BK122" i="21"/>
  <c r="BJ124" i="21"/>
  <c r="BO20" i="38"/>
  <c r="BQ19" i="22"/>
  <c r="BO19" i="22" s="1"/>
  <c r="BO39" i="17"/>
  <c r="BO37" i="17"/>
  <c r="BO33" i="17"/>
  <c r="BO38" i="17"/>
  <c r="BT90" i="17"/>
  <c r="BO93" i="17" s="1"/>
  <c r="BO45" i="20"/>
  <c r="BO44" i="20"/>
  <c r="BO46" i="20"/>
  <c r="BO87" i="19"/>
  <c r="BO47" i="27"/>
  <c r="BN34" i="20"/>
  <c r="BO34" i="20" s="1"/>
  <c r="BN27" i="12"/>
  <c r="BO27" i="12" s="1"/>
  <c r="BN48" i="19"/>
  <c r="BO48" i="19" s="1"/>
  <c r="BN27" i="24"/>
  <c r="BO27" i="24" s="1"/>
  <c r="BN34" i="19"/>
  <c r="BO34" i="19" s="1"/>
  <c r="BN88" i="20"/>
  <c r="BO88" i="20" s="1"/>
  <c r="BO114" i="11"/>
  <c r="BN101" i="27"/>
  <c r="BN106" i="27" s="1"/>
  <c r="BL32" i="12"/>
  <c r="BL30" i="12"/>
  <c r="BL31" i="12"/>
  <c r="BN29" i="12"/>
  <c r="BM33" i="12"/>
  <c r="BN101" i="19"/>
  <c r="BN106" i="19" s="1"/>
  <c r="BN7" i="12"/>
  <c r="BN26" i="21"/>
  <c r="BM25" i="21"/>
  <c r="BN25" i="21" s="1"/>
  <c r="BM23" i="21"/>
  <c r="BN23" i="21" s="1"/>
  <c r="BM24" i="21"/>
  <c r="BN24" i="21" s="1"/>
  <c r="BN7" i="15"/>
  <c r="BM24" i="24"/>
  <c r="BN24" i="24" s="1"/>
  <c r="BM25" i="24"/>
  <c r="BN25" i="24" s="1"/>
  <c r="BM23" i="24"/>
  <c r="BN23" i="24" s="1"/>
  <c r="BO87" i="27"/>
  <c r="BL100" i="15"/>
  <c r="BL101" i="15" s="1"/>
  <c r="BL106" i="15" s="1"/>
  <c r="BM23" i="16"/>
  <c r="BN23" i="16" s="1"/>
  <c r="BM24" i="16"/>
  <c r="BN24" i="16" s="1"/>
  <c r="BM25" i="16"/>
  <c r="BN25" i="16" s="1"/>
  <c r="BN26" i="16"/>
  <c r="BL44" i="15"/>
  <c r="BN32" i="19"/>
  <c r="BN43" i="15"/>
  <c r="BN31" i="19"/>
  <c r="BN29" i="15"/>
  <c r="BN30" i="19"/>
  <c r="BL108" i="15"/>
  <c r="BK120" i="15" s="1"/>
  <c r="BM106" i="21"/>
  <c r="BM30" i="16"/>
  <c r="BN33" i="16"/>
  <c r="BN34" i="16" s="1"/>
  <c r="BM68" i="15"/>
  <c r="M66" i="9" s="1"/>
  <c r="BN65" i="15"/>
  <c r="N63" i="9" s="1"/>
  <c r="BK67" i="15"/>
  <c r="BL66" i="15"/>
  <c r="BO55" i="37"/>
  <c r="BO54" i="37" s="1"/>
  <c r="BO76" i="22"/>
  <c r="BO94" i="22"/>
  <c r="BO76" i="17"/>
  <c r="BN111" i="30"/>
  <c r="BN111" i="17"/>
  <c r="BN8" i="20"/>
  <c r="BO109" i="19"/>
  <c r="BN76" i="19"/>
  <c r="BN10" i="20"/>
  <c r="BN110" i="19"/>
  <c r="BO79" i="19"/>
  <c r="BN9" i="20"/>
  <c r="BO11" i="27"/>
  <c r="BN10" i="19"/>
  <c r="BN31" i="20"/>
  <c r="BN108" i="19"/>
  <c r="BO12" i="19"/>
  <c r="BN30" i="20"/>
  <c r="BN8" i="19"/>
  <c r="BN44" i="19"/>
  <c r="BN45" i="19"/>
  <c r="BO78" i="20"/>
  <c r="BN32" i="20"/>
  <c r="BN9" i="19"/>
  <c r="BN77" i="19"/>
  <c r="BN108" i="20"/>
  <c r="BN111" i="20" s="1"/>
  <c r="BO12" i="20"/>
  <c r="BN46" i="19"/>
  <c r="BM111" i="19"/>
  <c r="BM116" i="19" s="1"/>
  <c r="BN98" i="21"/>
  <c r="BN101" i="21" s="1"/>
  <c r="BN106" i="21" s="1"/>
  <c r="BN98" i="24"/>
  <c r="BN101" i="24" s="1"/>
  <c r="BN106" i="24" s="1"/>
  <c r="BM108" i="21"/>
  <c r="BL120" i="21" s="1"/>
  <c r="BM8" i="21"/>
  <c r="BM10" i="21"/>
  <c r="BM9" i="21"/>
  <c r="BN11" i="21"/>
  <c r="BN12" i="21" s="1"/>
  <c r="BM30" i="24"/>
  <c r="BN33" i="24"/>
  <c r="BN34" i="24" s="1"/>
  <c r="BM108" i="24"/>
  <c r="BL120" i="24" s="1"/>
  <c r="BM10" i="24"/>
  <c r="BM9" i="24"/>
  <c r="BM8" i="24"/>
  <c r="BN11" i="24"/>
  <c r="BN12" i="24" s="1"/>
  <c r="BM30" i="21"/>
  <c r="BN33" i="21"/>
  <c r="BN34" i="21" s="1"/>
  <c r="BK110" i="15"/>
  <c r="BM98" i="15"/>
  <c r="BL82" i="15"/>
  <c r="BM81" i="15"/>
  <c r="BL8" i="15"/>
  <c r="BL10" i="15"/>
  <c r="BL9" i="15"/>
  <c r="BM47" i="15"/>
  <c r="BM11" i="15"/>
  <c r="BL30" i="15"/>
  <c r="BL32" i="15"/>
  <c r="BL31" i="15"/>
  <c r="BM33" i="15"/>
  <c r="BM100" i="12"/>
  <c r="BN100" i="12"/>
  <c r="BK111" i="12"/>
  <c r="BK116" i="12" s="1"/>
  <c r="BL99" i="12"/>
  <c r="BL101" i="12" s="1"/>
  <c r="BL106" i="12" s="1"/>
  <c r="BL110" i="12"/>
  <c r="BK121" i="12" s="1"/>
  <c r="BL123" i="12" s="1"/>
  <c r="BL109" i="12"/>
  <c r="BL108" i="12"/>
  <c r="BK120" i="12" s="1"/>
  <c r="BL10" i="12"/>
  <c r="BL9" i="12"/>
  <c r="BL8" i="12"/>
  <c r="BM98" i="12"/>
  <c r="BM11" i="12"/>
  <c r="BO32" i="11" l="1"/>
  <c r="BO46" i="11"/>
  <c r="BO31" i="22"/>
  <c r="BO45" i="11"/>
  <c r="BO30" i="22"/>
  <c r="BO51" i="30"/>
  <c r="BO47" i="30"/>
  <c r="BO108" i="30" s="1"/>
  <c r="BO51" i="25"/>
  <c r="BO52" i="25"/>
  <c r="BM121" i="11"/>
  <c r="BO123" i="11" s="1"/>
  <c r="BO47" i="25"/>
  <c r="BO26" i="12"/>
  <c r="BO25" i="12" s="1"/>
  <c r="BO94" i="25"/>
  <c r="BL70" i="15"/>
  <c r="L64" i="9"/>
  <c r="BK71" i="15"/>
  <c r="BK72" i="15" s="1"/>
  <c r="K65" i="9"/>
  <c r="BN132" i="27"/>
  <c r="BL124" i="19"/>
  <c r="BL132" i="19" s="1"/>
  <c r="BO38" i="38"/>
  <c r="BM121" i="25"/>
  <c r="BO123" i="25" s="1"/>
  <c r="BO32" i="27"/>
  <c r="BO51" i="38"/>
  <c r="BO46" i="27"/>
  <c r="BO31" i="27"/>
  <c r="BO30" i="27"/>
  <c r="BO37" i="38"/>
  <c r="BO19" i="38"/>
  <c r="BO16" i="38" s="1"/>
  <c r="BM121" i="22"/>
  <c r="BO123" i="22" s="1"/>
  <c r="BO44" i="11"/>
  <c r="BO108" i="11"/>
  <c r="BO45" i="27"/>
  <c r="BO44" i="27"/>
  <c r="BO129" i="11"/>
  <c r="BJ132" i="24"/>
  <c r="BN116" i="30"/>
  <c r="BN132" i="30"/>
  <c r="BO128" i="38"/>
  <c r="BH132" i="15"/>
  <c r="BN116" i="17"/>
  <c r="BN132" i="17"/>
  <c r="BJ132" i="21"/>
  <c r="BK132" i="27"/>
  <c r="BJ132" i="12"/>
  <c r="BN116" i="20"/>
  <c r="BN132" i="20"/>
  <c r="BK132" i="20"/>
  <c r="BO129" i="25"/>
  <c r="BO30" i="17"/>
  <c r="BO32" i="17"/>
  <c r="BO31" i="17"/>
  <c r="BL122" i="24"/>
  <c r="BK124" i="24"/>
  <c r="BL122" i="12"/>
  <c r="BK124" i="12"/>
  <c r="BM111" i="24"/>
  <c r="BM116" i="24" s="1"/>
  <c r="BM122" i="24"/>
  <c r="BL122" i="15"/>
  <c r="BJ123" i="15"/>
  <c r="BI124" i="15"/>
  <c r="BL124" i="20"/>
  <c r="BK111" i="15"/>
  <c r="BK116" i="15" s="1"/>
  <c r="BJ121" i="15"/>
  <c r="BM111" i="21"/>
  <c r="BM116" i="21" s="1"/>
  <c r="BM122" i="21"/>
  <c r="BL124" i="27"/>
  <c r="BK124" i="21"/>
  <c r="BL122" i="21"/>
  <c r="BT91" i="17"/>
  <c r="BO87" i="17" s="1"/>
  <c r="BO11" i="22"/>
  <c r="BO11" i="17"/>
  <c r="BO26" i="24"/>
  <c r="BO23" i="24" s="1"/>
  <c r="BO33" i="19"/>
  <c r="BO31" i="19" s="1"/>
  <c r="BO33" i="20"/>
  <c r="BO87" i="20"/>
  <c r="BO47" i="19"/>
  <c r="BN27" i="16"/>
  <c r="BO27" i="16" s="1"/>
  <c r="BN98" i="12"/>
  <c r="BN27" i="21"/>
  <c r="BO27" i="21" s="1"/>
  <c r="BO76" i="30"/>
  <c r="BM30" i="12"/>
  <c r="BN33" i="12"/>
  <c r="BM32" i="12"/>
  <c r="BM31" i="12"/>
  <c r="BO110" i="27"/>
  <c r="BM121" i="27" s="1"/>
  <c r="BO123" i="27" s="1"/>
  <c r="BO94" i="37"/>
  <c r="BO93" i="37" s="1"/>
  <c r="BO112" i="25"/>
  <c r="BM44" i="15"/>
  <c r="BO112" i="30"/>
  <c r="BL67" i="15"/>
  <c r="BO77" i="17"/>
  <c r="BO94" i="38"/>
  <c r="BO93" i="38" s="1"/>
  <c r="BO52" i="11"/>
  <c r="BO53" i="11"/>
  <c r="BO51" i="11"/>
  <c r="BO112" i="11"/>
  <c r="BM66" i="15"/>
  <c r="BN68" i="15"/>
  <c r="N66" i="9" s="1"/>
  <c r="BM100" i="15"/>
  <c r="BM101" i="15" s="1"/>
  <c r="BM106" i="15" s="1"/>
  <c r="BN81" i="15"/>
  <c r="BN100" i="15" s="1"/>
  <c r="BO34" i="16"/>
  <c r="BN30" i="16"/>
  <c r="BO94" i="30"/>
  <c r="BO114" i="30"/>
  <c r="BO129" i="30" s="1"/>
  <c r="BO77" i="22"/>
  <c r="BO17" i="22"/>
  <c r="BO18" i="22"/>
  <c r="BO112" i="22"/>
  <c r="BO16" i="22"/>
  <c r="BO112" i="17"/>
  <c r="BO128" i="17" s="1"/>
  <c r="BO17" i="17"/>
  <c r="BO18" i="17"/>
  <c r="BO16" i="17"/>
  <c r="BO110" i="30"/>
  <c r="BN111" i="19"/>
  <c r="BO78" i="19"/>
  <c r="BO76" i="19" s="1"/>
  <c r="BO11" i="20"/>
  <c r="BO108" i="27"/>
  <c r="BM120" i="27" s="1"/>
  <c r="BO122" i="27" s="1"/>
  <c r="BO8" i="27"/>
  <c r="BO10" i="27"/>
  <c r="BO9" i="27"/>
  <c r="BO76" i="20"/>
  <c r="BO11" i="19"/>
  <c r="BN9" i="24"/>
  <c r="BN10" i="24"/>
  <c r="BO34" i="24"/>
  <c r="BN108" i="21"/>
  <c r="BN111" i="21" s="1"/>
  <c r="BO12" i="21"/>
  <c r="BO34" i="21"/>
  <c r="BN30" i="24"/>
  <c r="BN9" i="21"/>
  <c r="BN30" i="21"/>
  <c r="BN10" i="21"/>
  <c r="BN108" i="24"/>
  <c r="BN111" i="24" s="1"/>
  <c r="BO12" i="24"/>
  <c r="BN8" i="21"/>
  <c r="BN8" i="24"/>
  <c r="BL110" i="15"/>
  <c r="BN98" i="15"/>
  <c r="BM108" i="15"/>
  <c r="BM30" i="15"/>
  <c r="BM32" i="15"/>
  <c r="BM31" i="15"/>
  <c r="BN33" i="15"/>
  <c r="BN47" i="15"/>
  <c r="BM10" i="15"/>
  <c r="BM9" i="15"/>
  <c r="BM8" i="15"/>
  <c r="BN11" i="15"/>
  <c r="BN12" i="15" s="1"/>
  <c r="BM82" i="15"/>
  <c r="BM110" i="12"/>
  <c r="BL121" i="12" s="1"/>
  <c r="BM123" i="12" s="1"/>
  <c r="BM108" i="12"/>
  <c r="BM9" i="12"/>
  <c r="BM10" i="12"/>
  <c r="BM8" i="12"/>
  <c r="BN11" i="12"/>
  <c r="BN12" i="12" s="1"/>
  <c r="BM99" i="12"/>
  <c r="BM101" i="12" s="1"/>
  <c r="BM106" i="12" s="1"/>
  <c r="BL111" i="12"/>
  <c r="BL116" i="12" s="1"/>
  <c r="BM109" i="12"/>
  <c r="BO44" i="30" l="1"/>
  <c r="BO45" i="30"/>
  <c r="BO46" i="30"/>
  <c r="BO24" i="12"/>
  <c r="BO94" i="39"/>
  <c r="BO93" i="39" s="1"/>
  <c r="BO23" i="12"/>
  <c r="BO20" i="39"/>
  <c r="BO41" i="39"/>
  <c r="BO40" i="39" s="1"/>
  <c r="BO38" i="39" s="1"/>
  <c r="BM70" i="15"/>
  <c r="BN70" i="15" s="1"/>
  <c r="M64" i="9"/>
  <c r="BL71" i="15"/>
  <c r="BL72" i="15" s="1"/>
  <c r="L65" i="9"/>
  <c r="BO110" i="20"/>
  <c r="BM121" i="20" s="1"/>
  <c r="BO123" i="20" s="1"/>
  <c r="BO94" i="17"/>
  <c r="BO17" i="38"/>
  <c r="BM120" i="30"/>
  <c r="BO122" i="30" s="1"/>
  <c r="BO31" i="20"/>
  <c r="BO32" i="20"/>
  <c r="BO30" i="20"/>
  <c r="BM121" i="30"/>
  <c r="BO123" i="30" s="1"/>
  <c r="BO18" i="38"/>
  <c r="BO112" i="38"/>
  <c r="BO19" i="39"/>
  <c r="BO111" i="11"/>
  <c r="BM120" i="11"/>
  <c r="BO122" i="11" s="1"/>
  <c r="BO24" i="24"/>
  <c r="BI132" i="15"/>
  <c r="BK132" i="12"/>
  <c r="BN116" i="21"/>
  <c r="BN132" i="21"/>
  <c r="BM130" i="22"/>
  <c r="BO128" i="22"/>
  <c r="BM130" i="30"/>
  <c r="BO128" i="30"/>
  <c r="BO115" i="25"/>
  <c r="BK132" i="24"/>
  <c r="BN116" i="24"/>
  <c r="BN132" i="24"/>
  <c r="BK132" i="21"/>
  <c r="BL120" i="15"/>
  <c r="BM122" i="15" s="1"/>
  <c r="BM67" i="15"/>
  <c r="M65" i="9" s="1"/>
  <c r="BL132" i="27"/>
  <c r="BL120" i="12"/>
  <c r="BM122" i="12" s="1"/>
  <c r="BO115" i="11"/>
  <c r="BM124" i="27"/>
  <c r="BL132" i="20"/>
  <c r="BO44" i="19"/>
  <c r="BO46" i="19"/>
  <c r="BO45" i="19"/>
  <c r="BO30" i="19"/>
  <c r="BO32" i="19"/>
  <c r="BN116" i="19"/>
  <c r="BN132" i="19"/>
  <c r="BO25" i="24"/>
  <c r="BO8" i="17"/>
  <c r="BO9" i="17"/>
  <c r="BO10" i="17"/>
  <c r="BK123" i="15"/>
  <c r="BJ124" i="15"/>
  <c r="BL111" i="15"/>
  <c r="BL116" i="15" s="1"/>
  <c r="BK121" i="15"/>
  <c r="BL124" i="21"/>
  <c r="BL124" i="24"/>
  <c r="BO9" i="22"/>
  <c r="BO8" i="22"/>
  <c r="BO10" i="22"/>
  <c r="BO110" i="17"/>
  <c r="BO114" i="17"/>
  <c r="BO26" i="21"/>
  <c r="BO25" i="21" s="1"/>
  <c r="BO26" i="16"/>
  <c r="BO25" i="16" s="1"/>
  <c r="BN34" i="15"/>
  <c r="BO34" i="15" s="1"/>
  <c r="BN34" i="12"/>
  <c r="BO34" i="12" s="1"/>
  <c r="BN69" i="15"/>
  <c r="BO69" i="15" s="1"/>
  <c r="BO111" i="27"/>
  <c r="BO116" i="27" s="1"/>
  <c r="BN48" i="15"/>
  <c r="BO48" i="15" s="1"/>
  <c r="BN31" i="12"/>
  <c r="BN32" i="12"/>
  <c r="BN30" i="12"/>
  <c r="BO115" i="30"/>
  <c r="BM110" i="15"/>
  <c r="BO114" i="39"/>
  <c r="BO114" i="38"/>
  <c r="BO39" i="39"/>
  <c r="BN66" i="15"/>
  <c r="N64" i="9" s="1"/>
  <c r="BO33" i="16"/>
  <c r="BO77" i="30"/>
  <c r="BO111" i="30"/>
  <c r="BO77" i="20"/>
  <c r="BO108" i="19"/>
  <c r="BM120" i="19" s="1"/>
  <c r="BO9" i="19"/>
  <c r="BO8" i="19"/>
  <c r="BO10" i="19"/>
  <c r="BO110" i="19"/>
  <c r="BM121" i="19" s="1"/>
  <c r="BO123" i="19" s="1"/>
  <c r="BO108" i="20"/>
  <c r="BM120" i="20" s="1"/>
  <c r="BO122" i="20" s="1"/>
  <c r="BO9" i="20"/>
  <c r="BO8" i="20"/>
  <c r="BO10" i="20"/>
  <c r="BO11" i="24"/>
  <c r="BO8" i="24" s="1"/>
  <c r="BO33" i="24"/>
  <c r="BO33" i="21"/>
  <c r="BO11" i="21"/>
  <c r="BN101" i="15"/>
  <c r="BN106" i="15" s="1"/>
  <c r="BO12" i="15"/>
  <c r="BN108" i="15"/>
  <c r="BN10" i="15"/>
  <c r="BN31" i="15"/>
  <c r="BN46" i="15"/>
  <c r="BN32" i="15"/>
  <c r="BN44" i="15"/>
  <c r="BN30" i="15"/>
  <c r="BN45" i="15"/>
  <c r="BN8" i="15"/>
  <c r="BN82" i="15"/>
  <c r="BN83" i="15" s="1"/>
  <c r="BN9" i="15"/>
  <c r="BN108" i="12"/>
  <c r="BO12" i="12"/>
  <c r="BN8" i="12"/>
  <c r="BN9" i="12"/>
  <c r="BN110" i="12"/>
  <c r="BN109" i="12"/>
  <c r="BM111" i="12"/>
  <c r="BM116" i="12" s="1"/>
  <c r="BN10" i="12"/>
  <c r="BN99" i="12"/>
  <c r="BN101" i="12" s="1"/>
  <c r="BN106" i="12" s="1"/>
  <c r="BO112" i="39" l="1"/>
  <c r="BO128" i="39" s="1"/>
  <c r="BO37" i="39"/>
  <c r="BN67" i="15"/>
  <c r="N65" i="9" s="1"/>
  <c r="BM71" i="15"/>
  <c r="BO18" i="39"/>
  <c r="BO16" i="39"/>
  <c r="BM124" i="11"/>
  <c r="BM132" i="11" s="1"/>
  <c r="BO17" i="39"/>
  <c r="BM121" i="17"/>
  <c r="BO123" i="17" s="1"/>
  <c r="BM124" i="30"/>
  <c r="BM132" i="30" s="1"/>
  <c r="BO24" i="16"/>
  <c r="BO24" i="21"/>
  <c r="BO124" i="11"/>
  <c r="BO132" i="11" s="1"/>
  <c r="BO124" i="30"/>
  <c r="BO132" i="30" s="1"/>
  <c r="BL124" i="12"/>
  <c r="BO128" i="11"/>
  <c r="BM130" i="11"/>
  <c r="BO124" i="27"/>
  <c r="BO116" i="11"/>
  <c r="BL132" i="24"/>
  <c r="BM124" i="20"/>
  <c r="BM132" i="27"/>
  <c r="BO128" i="25"/>
  <c r="BM130" i="25"/>
  <c r="BL132" i="21"/>
  <c r="BJ132" i="15"/>
  <c r="BO130" i="22"/>
  <c r="BO23" i="21"/>
  <c r="BO115" i="38"/>
  <c r="BO122" i="19"/>
  <c r="BM124" i="19"/>
  <c r="BO129" i="39"/>
  <c r="BO115" i="17"/>
  <c r="BO23" i="16"/>
  <c r="BM111" i="15"/>
  <c r="BM116" i="15" s="1"/>
  <c r="BL121" i="15"/>
  <c r="BM123" i="15" s="1"/>
  <c r="BO111" i="20"/>
  <c r="BL123" i="15"/>
  <c r="BK124" i="15"/>
  <c r="BO68" i="15"/>
  <c r="BO47" i="15"/>
  <c r="BO44" i="15" s="1"/>
  <c r="BO33" i="12"/>
  <c r="BO30" i="12" s="1"/>
  <c r="BO33" i="15"/>
  <c r="BO116" i="30"/>
  <c r="BO115" i="39"/>
  <c r="BO30" i="24"/>
  <c r="BO30" i="16"/>
  <c r="BO30" i="21"/>
  <c r="BO32" i="16"/>
  <c r="BO31" i="16"/>
  <c r="BO111" i="19"/>
  <c r="BO116" i="19" s="1"/>
  <c r="BO77" i="19"/>
  <c r="BO11" i="15"/>
  <c r="BO9" i="15" s="1"/>
  <c r="BO9" i="24"/>
  <c r="BO108" i="24"/>
  <c r="BM120" i="24" s="1"/>
  <c r="BO108" i="21"/>
  <c r="BM120" i="21" s="1"/>
  <c r="BO32" i="21"/>
  <c r="BO31" i="21"/>
  <c r="BO10" i="24"/>
  <c r="BO10" i="21"/>
  <c r="BO9" i="21"/>
  <c r="BO32" i="24"/>
  <c r="BO31" i="24"/>
  <c r="BO8" i="21"/>
  <c r="BO83" i="15"/>
  <c r="BN110" i="15"/>
  <c r="BN111" i="15" s="1"/>
  <c r="BO99" i="12"/>
  <c r="BO101" i="12" s="1"/>
  <c r="BO106" i="12" s="1"/>
  <c r="BO11" i="12"/>
  <c r="BN111" i="12"/>
  <c r="BO109" i="12"/>
  <c r="BO82" i="15" l="1"/>
  <c r="BO110" i="15" s="1"/>
  <c r="BM121" i="15" s="1"/>
  <c r="BO123" i="15" s="1"/>
  <c r="BN71" i="15"/>
  <c r="BN72" i="15" s="1"/>
  <c r="BM72" i="15"/>
  <c r="BM132" i="20"/>
  <c r="BO108" i="12"/>
  <c r="BM120" i="12" s="1"/>
  <c r="BO122" i="12" s="1"/>
  <c r="BL132" i="12"/>
  <c r="BO122" i="21"/>
  <c r="BM124" i="21"/>
  <c r="BK132" i="15"/>
  <c r="BO122" i="24"/>
  <c r="BM124" i="24"/>
  <c r="BO67" i="15"/>
  <c r="BO71" i="15" s="1"/>
  <c r="BO72" i="15" s="1"/>
  <c r="BO132" i="27"/>
  <c r="BO130" i="11"/>
  <c r="BO129" i="38"/>
  <c r="BO130" i="38" s="1"/>
  <c r="BN116" i="12"/>
  <c r="BN132" i="12"/>
  <c r="BN116" i="15"/>
  <c r="BN132" i="15"/>
  <c r="BO124" i="20"/>
  <c r="BO116" i="38"/>
  <c r="BM132" i="19"/>
  <c r="BO116" i="20"/>
  <c r="BO124" i="19"/>
  <c r="BO129" i="17"/>
  <c r="BM130" i="17"/>
  <c r="BO111" i="24"/>
  <c r="BL124" i="15"/>
  <c r="BO32" i="12"/>
  <c r="BO31" i="12"/>
  <c r="BO111" i="21"/>
  <c r="BO32" i="15"/>
  <c r="BO30" i="15"/>
  <c r="BO31" i="15"/>
  <c r="BO10" i="15"/>
  <c r="BO108" i="15"/>
  <c r="BM120" i="15" s="1"/>
  <c r="BO122" i="15" s="1"/>
  <c r="BO8" i="15"/>
  <c r="BO9" i="12"/>
  <c r="BO10" i="12"/>
  <c r="BO110" i="12"/>
  <c r="BO8" i="12"/>
  <c r="BO111" i="12" l="1"/>
  <c r="BO116" i="12" s="1"/>
  <c r="BM121" i="12"/>
  <c r="BO132" i="20"/>
  <c r="BO116" i="24"/>
  <c r="BO116" i="21"/>
  <c r="BO130" i="30"/>
  <c r="BO124" i="24"/>
  <c r="BM132" i="24"/>
  <c r="BM132" i="21"/>
  <c r="BL132" i="15"/>
  <c r="BM124" i="15"/>
  <c r="BO132" i="19"/>
  <c r="BO130" i="36"/>
  <c r="BO130" i="25"/>
  <c r="BO130" i="17"/>
  <c r="BO111" i="15"/>
  <c r="BO124" i="21" l="1"/>
  <c r="BO132" i="21" s="1"/>
  <c r="BO130" i="39"/>
  <c r="BO123" i="12"/>
  <c r="BM124" i="12"/>
  <c r="BO116" i="15"/>
  <c r="BM132" i="15"/>
  <c r="BO124" i="15"/>
  <c r="BO132" i="24"/>
  <c r="BO124" i="12" l="1"/>
  <c r="BM132" i="12"/>
  <c r="BO132" i="15"/>
  <c r="BO132" i="12" l="1"/>
  <c r="W11" i="64" l="1"/>
  <c r="W18" i="64"/>
  <c r="W25" i="64"/>
  <c r="W32" i="64"/>
  <c r="W39" i="64"/>
  <c r="W46" i="64"/>
  <c r="W53" i="64"/>
  <c r="K11" i="64"/>
  <c r="L11" i="64"/>
  <c r="M11" i="64"/>
  <c r="N11" i="64"/>
  <c r="O11" i="64"/>
  <c r="P11" i="64"/>
  <c r="Q11" i="64"/>
  <c r="R11" i="64"/>
  <c r="S11" i="64"/>
  <c r="T11" i="64"/>
  <c r="U11" i="64"/>
  <c r="K18" i="64"/>
  <c r="L18" i="64"/>
  <c r="M18" i="64"/>
  <c r="N18" i="64"/>
  <c r="O18" i="64"/>
  <c r="P18" i="64"/>
  <c r="Q18" i="64"/>
  <c r="R18" i="64"/>
  <c r="S18" i="64"/>
  <c r="T18" i="64"/>
  <c r="U18" i="64"/>
  <c r="K25" i="64"/>
  <c r="L25" i="64"/>
  <c r="M25" i="64"/>
  <c r="N25" i="64"/>
  <c r="O25" i="64"/>
  <c r="P25" i="64"/>
  <c r="Q25" i="64"/>
  <c r="R25" i="64"/>
  <c r="S25" i="64"/>
  <c r="T25" i="64"/>
  <c r="U25" i="64"/>
  <c r="K32" i="64"/>
  <c r="L32" i="64"/>
  <c r="M32" i="64"/>
  <c r="N32" i="64"/>
  <c r="O32" i="64"/>
  <c r="P32" i="64"/>
  <c r="Q32" i="64"/>
  <c r="R32" i="64"/>
  <c r="S32" i="64"/>
  <c r="T32" i="64"/>
  <c r="U32" i="64"/>
  <c r="K39" i="64"/>
  <c r="L39" i="64"/>
  <c r="M39" i="64"/>
  <c r="N39" i="64"/>
  <c r="O39" i="64"/>
  <c r="P39" i="64"/>
  <c r="Q39" i="64"/>
  <c r="R39" i="64"/>
  <c r="S39" i="64"/>
  <c r="T39" i="64"/>
  <c r="U39" i="64"/>
  <c r="K46" i="64"/>
  <c r="L46" i="64"/>
  <c r="M46" i="64"/>
  <c r="N46" i="64"/>
  <c r="O46" i="64"/>
  <c r="P46" i="64"/>
  <c r="Q46" i="64"/>
  <c r="R46" i="64"/>
  <c r="S46" i="64"/>
  <c r="T46" i="64"/>
  <c r="U46" i="64"/>
  <c r="K53" i="64"/>
  <c r="L53" i="64"/>
  <c r="M53" i="64"/>
  <c r="N53" i="64"/>
  <c r="O53" i="64"/>
  <c r="P53" i="64"/>
  <c r="Q53" i="64"/>
  <c r="R53" i="64"/>
  <c r="S53" i="64"/>
  <c r="T53" i="64"/>
  <c r="U53" i="64"/>
  <c r="J53" i="64"/>
  <c r="J46" i="64"/>
  <c r="J39" i="64"/>
  <c r="J32" i="64"/>
  <c r="J25" i="64"/>
  <c r="J18" i="64"/>
  <c r="J11" i="64"/>
  <c r="BF7" i="10" l="1"/>
  <c r="BG7" i="10" l="1"/>
  <c r="BH7" i="10" l="1"/>
  <c r="BI7" i="10" l="1"/>
  <c r="BJ7" i="10" s="1"/>
  <c r="BK7" i="10" l="1"/>
  <c r="BL7" i="10" l="1"/>
  <c r="BM7" i="10" l="1"/>
  <c r="BN7" i="10" l="1"/>
  <c r="AV94" i="29" l="1"/>
  <c r="AW94" i="29"/>
  <c r="AX94" i="29"/>
  <c r="AY94" i="29"/>
  <c r="AZ94" i="29"/>
  <c r="AU92" i="29"/>
  <c r="AV92" i="29"/>
  <c r="AW92" i="29"/>
  <c r="AX92" i="29"/>
  <c r="AY92" i="29"/>
  <c r="AZ92" i="29"/>
  <c r="BA52" i="29"/>
  <c r="BA53" i="29"/>
  <c r="BA50" i="29"/>
  <c r="BA36" i="29"/>
  <c r="AU41" i="29"/>
  <c r="AV41" i="29"/>
  <c r="AW41" i="29"/>
  <c r="AX41" i="29"/>
  <c r="AY41" i="29"/>
  <c r="AZ41" i="29"/>
  <c r="AU20" i="29"/>
  <c r="AV20" i="29"/>
  <c r="AW20" i="29"/>
  <c r="AX20" i="29"/>
  <c r="AY20" i="29"/>
  <c r="AZ20" i="29"/>
  <c r="AU15" i="29"/>
  <c r="AV15" i="29"/>
  <c r="AW15" i="29"/>
  <c r="AX15" i="29"/>
  <c r="AY15" i="29"/>
  <c r="AZ15" i="29"/>
  <c r="AU86" i="27"/>
  <c r="AU87" i="27" s="1"/>
  <c r="AU89" i="27" s="1"/>
  <c r="AV86" i="27"/>
  <c r="AW86" i="27"/>
  <c r="AX86" i="27"/>
  <c r="AY86" i="27"/>
  <c r="AZ86" i="27"/>
  <c r="AU75" i="27"/>
  <c r="AU78" i="27" s="1"/>
  <c r="AV75" i="27"/>
  <c r="AW75" i="27"/>
  <c r="AX75" i="27"/>
  <c r="AY75" i="27"/>
  <c r="AZ75" i="27"/>
  <c r="AU43" i="27"/>
  <c r="AU47" i="27" s="1"/>
  <c r="AV43" i="27"/>
  <c r="AW43" i="27"/>
  <c r="AX43" i="27"/>
  <c r="AY43" i="27"/>
  <c r="AZ43" i="27"/>
  <c r="AU29" i="27"/>
  <c r="AU33" i="27" s="1"/>
  <c r="AV29" i="27"/>
  <c r="AW29" i="27"/>
  <c r="AX29" i="27"/>
  <c r="AY29" i="27"/>
  <c r="AZ29" i="27"/>
  <c r="AU7" i="27"/>
  <c r="AV7" i="27"/>
  <c r="AW7" i="27"/>
  <c r="AX7" i="27"/>
  <c r="AY7" i="27"/>
  <c r="AZ7" i="27"/>
  <c r="AU86" i="26"/>
  <c r="AV86" i="26"/>
  <c r="AW86" i="26"/>
  <c r="AX86" i="26"/>
  <c r="AY86" i="26"/>
  <c r="AZ86" i="26"/>
  <c r="AU75" i="26"/>
  <c r="AV75" i="26"/>
  <c r="AW75" i="26"/>
  <c r="AX75" i="26"/>
  <c r="AY75" i="26"/>
  <c r="AZ75" i="26"/>
  <c r="AU43" i="26"/>
  <c r="AV43" i="26"/>
  <c r="AW43" i="26"/>
  <c r="AX43" i="26"/>
  <c r="AY43" i="26"/>
  <c r="AZ43" i="26"/>
  <c r="AU29" i="26"/>
  <c r="AV29" i="26"/>
  <c r="AW29" i="26"/>
  <c r="AX29" i="26"/>
  <c r="AY29" i="26"/>
  <c r="AZ29" i="26"/>
  <c r="AU7" i="26"/>
  <c r="AV7" i="26"/>
  <c r="AW7" i="26"/>
  <c r="AX7" i="26"/>
  <c r="AY7" i="26"/>
  <c r="AZ7" i="26"/>
  <c r="AU86" i="25"/>
  <c r="AV86" i="25"/>
  <c r="AW86" i="25"/>
  <c r="AX86" i="25"/>
  <c r="AY86" i="25"/>
  <c r="AZ86" i="25"/>
  <c r="AU75" i="25"/>
  <c r="AV75" i="25"/>
  <c r="AW75" i="25"/>
  <c r="AX75" i="25"/>
  <c r="AY75" i="25"/>
  <c r="AZ75" i="25"/>
  <c r="AU43" i="25"/>
  <c r="AV43" i="25"/>
  <c r="AW43" i="25"/>
  <c r="AX43" i="25"/>
  <c r="AY43" i="25"/>
  <c r="AZ43" i="25"/>
  <c r="AU29" i="25"/>
  <c r="AV29" i="25"/>
  <c r="AW29" i="25"/>
  <c r="AX29" i="25"/>
  <c r="AY29" i="25"/>
  <c r="AZ29" i="25"/>
  <c r="AU7" i="25"/>
  <c r="AV7" i="25"/>
  <c r="AW7" i="25"/>
  <c r="AX7" i="25"/>
  <c r="AY7" i="25"/>
  <c r="AZ7" i="25"/>
  <c r="AU86" i="23"/>
  <c r="AV86" i="23"/>
  <c r="AW86" i="23"/>
  <c r="AX86" i="23"/>
  <c r="AY86" i="23"/>
  <c r="AZ86" i="23"/>
  <c r="AU75" i="23"/>
  <c r="AV75" i="23"/>
  <c r="AW75" i="23"/>
  <c r="AX75" i="23"/>
  <c r="AY75" i="23"/>
  <c r="AZ75" i="23"/>
  <c r="AU43" i="23"/>
  <c r="AV43" i="23"/>
  <c r="AW43" i="23"/>
  <c r="AX43" i="23"/>
  <c r="AY43" i="23"/>
  <c r="AZ43" i="23"/>
  <c r="AU29" i="23"/>
  <c r="AV29" i="23"/>
  <c r="AW29" i="23"/>
  <c r="AX29" i="23"/>
  <c r="AY29" i="23"/>
  <c r="AZ29" i="23"/>
  <c r="AU7" i="23"/>
  <c r="AV7" i="23"/>
  <c r="AW7" i="23"/>
  <c r="AX7" i="23"/>
  <c r="AY7" i="23"/>
  <c r="AZ7" i="23"/>
  <c r="AU86" i="22"/>
  <c r="AV86" i="22"/>
  <c r="AW86" i="22"/>
  <c r="AX86" i="22"/>
  <c r="AY86" i="22"/>
  <c r="AZ86" i="22"/>
  <c r="AU75" i="22"/>
  <c r="AV75" i="22"/>
  <c r="AW75" i="22"/>
  <c r="AX75" i="22"/>
  <c r="AY75" i="22"/>
  <c r="AZ75" i="22"/>
  <c r="AU43" i="22"/>
  <c r="AV43" i="22"/>
  <c r="AW43" i="22"/>
  <c r="AX43" i="22"/>
  <c r="AY43" i="22"/>
  <c r="AZ43" i="22"/>
  <c r="AU29" i="22"/>
  <c r="AV29" i="22"/>
  <c r="AW29" i="22"/>
  <c r="AX29" i="22"/>
  <c r="AY29" i="22"/>
  <c r="AZ29" i="22"/>
  <c r="AU7" i="22"/>
  <c r="AV7" i="22"/>
  <c r="AW7" i="22"/>
  <c r="AX7" i="22"/>
  <c r="AY7" i="22"/>
  <c r="AZ7" i="22"/>
  <c r="AU86" i="20"/>
  <c r="AV86" i="20"/>
  <c r="AW86" i="20"/>
  <c r="AX86" i="20"/>
  <c r="AY86" i="20"/>
  <c r="AZ86" i="20"/>
  <c r="AU75" i="20"/>
  <c r="AV75" i="20"/>
  <c r="AW75" i="20"/>
  <c r="AX75" i="20"/>
  <c r="AY75" i="20"/>
  <c r="AZ75" i="20"/>
  <c r="AU43" i="20"/>
  <c r="AV43" i="20"/>
  <c r="AW43" i="20"/>
  <c r="AX43" i="20"/>
  <c r="AY43" i="20"/>
  <c r="AZ43" i="20"/>
  <c r="AU29" i="20"/>
  <c r="AV29" i="20"/>
  <c r="AW29" i="20"/>
  <c r="AX29" i="20"/>
  <c r="AY29" i="20"/>
  <c r="AZ29" i="20"/>
  <c r="AU7" i="20"/>
  <c r="AV7" i="20"/>
  <c r="AW7" i="20"/>
  <c r="AX7" i="20"/>
  <c r="AY7" i="20"/>
  <c r="AZ7" i="20"/>
  <c r="AU43" i="19"/>
  <c r="AV43" i="19"/>
  <c r="AW43" i="19"/>
  <c r="AX43" i="19"/>
  <c r="AY43" i="19"/>
  <c r="AZ43" i="19"/>
  <c r="AU86" i="19"/>
  <c r="AV86" i="19"/>
  <c r="AW86" i="19"/>
  <c r="AX86" i="19"/>
  <c r="AY86" i="19"/>
  <c r="AZ86" i="19"/>
  <c r="AU75" i="19"/>
  <c r="AV75" i="19"/>
  <c r="AW75" i="19"/>
  <c r="AX75" i="19"/>
  <c r="AY75" i="19"/>
  <c r="AZ75" i="19"/>
  <c r="AU29" i="19"/>
  <c r="AV29" i="19"/>
  <c r="AW29" i="19"/>
  <c r="AX29" i="19"/>
  <c r="AY29" i="19"/>
  <c r="AZ29" i="19"/>
  <c r="AU7" i="19"/>
  <c r="AV7" i="19"/>
  <c r="AW7" i="19"/>
  <c r="AX7" i="19"/>
  <c r="AY7" i="19"/>
  <c r="AZ7" i="19"/>
  <c r="AU86" i="17"/>
  <c r="AV86" i="17"/>
  <c r="AW86" i="17"/>
  <c r="AX86" i="17"/>
  <c r="AY86" i="17"/>
  <c r="AZ86" i="17"/>
  <c r="AU86" i="18"/>
  <c r="AV86" i="18"/>
  <c r="AW86" i="18"/>
  <c r="AX86" i="18"/>
  <c r="AY86" i="18"/>
  <c r="AZ86" i="18"/>
  <c r="AU75" i="18"/>
  <c r="AV75" i="18"/>
  <c r="AW75" i="18"/>
  <c r="AX75" i="18"/>
  <c r="AY75" i="18"/>
  <c r="AZ75" i="18"/>
  <c r="AU43" i="18"/>
  <c r="AV43" i="18"/>
  <c r="AW43" i="18"/>
  <c r="AX43" i="18"/>
  <c r="AY43" i="18"/>
  <c r="AZ43" i="18"/>
  <c r="AU29" i="18"/>
  <c r="AV29" i="18"/>
  <c r="AW29" i="18"/>
  <c r="AX29" i="18"/>
  <c r="AY29" i="18"/>
  <c r="AZ29" i="18"/>
  <c r="AU7" i="18"/>
  <c r="AV7" i="18"/>
  <c r="AW7" i="18"/>
  <c r="AX7" i="18"/>
  <c r="AY7" i="18"/>
  <c r="AZ7" i="18"/>
  <c r="AU75" i="17"/>
  <c r="AV75" i="17"/>
  <c r="AW75" i="17"/>
  <c r="AX75" i="17"/>
  <c r="AY75" i="17"/>
  <c r="AZ75" i="17"/>
  <c r="AU43" i="17"/>
  <c r="AV43" i="17"/>
  <c r="AW43" i="17"/>
  <c r="AX43" i="17"/>
  <c r="AY43" i="17"/>
  <c r="AZ43" i="17"/>
  <c r="AU29" i="17"/>
  <c r="AV29" i="17"/>
  <c r="AW29" i="17"/>
  <c r="AX29" i="17"/>
  <c r="AY29" i="17"/>
  <c r="AZ29" i="17"/>
  <c r="AU7" i="17"/>
  <c r="AV7" i="17"/>
  <c r="AW7" i="17"/>
  <c r="AX7" i="17"/>
  <c r="AY7" i="17"/>
  <c r="AZ7" i="17"/>
  <c r="AW100" i="25" l="1"/>
  <c r="AW100" i="26"/>
  <c r="AZ100" i="25"/>
  <c r="AZ100" i="26"/>
  <c r="AX100" i="26"/>
  <c r="AY100" i="25"/>
  <c r="AY100" i="26"/>
  <c r="AX100" i="25"/>
  <c r="AV100" i="25"/>
  <c r="AV100" i="26"/>
  <c r="AU100" i="25"/>
  <c r="AU100" i="26"/>
  <c r="BA92" i="29"/>
  <c r="BA15" i="29"/>
  <c r="AU99" i="14" l="1"/>
  <c r="AV99" i="14"/>
  <c r="AW99" i="14"/>
  <c r="AX99" i="14"/>
  <c r="AY99" i="14"/>
  <c r="AV109" i="14"/>
  <c r="AU86" i="14"/>
  <c r="AV86" i="14"/>
  <c r="AW86" i="14"/>
  <c r="AX86" i="14"/>
  <c r="AY86" i="14"/>
  <c r="AZ86" i="14"/>
  <c r="AU75" i="14"/>
  <c r="AV75" i="14"/>
  <c r="AW75" i="14"/>
  <c r="AX75" i="14"/>
  <c r="AY75" i="14"/>
  <c r="AZ75" i="14"/>
  <c r="AU29" i="14"/>
  <c r="AV29" i="14"/>
  <c r="AW29" i="14"/>
  <c r="AX29" i="14"/>
  <c r="AY29" i="14"/>
  <c r="AZ29" i="14"/>
  <c r="AU7" i="14"/>
  <c r="AV7" i="14"/>
  <c r="AW7" i="14"/>
  <c r="AX7" i="14"/>
  <c r="AY7" i="14"/>
  <c r="AZ7" i="14"/>
  <c r="AU86" i="13"/>
  <c r="AV86" i="13"/>
  <c r="AW86" i="13"/>
  <c r="AX86" i="13"/>
  <c r="AY86" i="13"/>
  <c r="AZ86" i="13"/>
  <c r="BA86" i="13" s="1"/>
  <c r="AU75" i="13"/>
  <c r="AV75" i="13"/>
  <c r="AW75" i="13"/>
  <c r="AX75" i="13"/>
  <c r="AY75" i="13"/>
  <c r="AZ75" i="13"/>
  <c r="AU43" i="13"/>
  <c r="AV43" i="13"/>
  <c r="AW43" i="13"/>
  <c r="AX43" i="13"/>
  <c r="AY43" i="13"/>
  <c r="AZ43" i="13"/>
  <c r="AU29" i="13"/>
  <c r="AV29" i="13"/>
  <c r="AW29" i="13"/>
  <c r="AX29" i="13"/>
  <c r="AY29" i="13"/>
  <c r="AZ29" i="13"/>
  <c r="AU7" i="13"/>
  <c r="AV7" i="13"/>
  <c r="AW7" i="13"/>
  <c r="AX7" i="13"/>
  <c r="AY7" i="13"/>
  <c r="AZ7" i="13"/>
  <c r="BA114" i="14"/>
  <c r="AZ114" i="14"/>
  <c r="AY114" i="14"/>
  <c r="AX114" i="14"/>
  <c r="AW114" i="14"/>
  <c r="AV114" i="14"/>
  <c r="AU114" i="14"/>
  <c r="BA112" i="14"/>
  <c r="AZ112" i="14"/>
  <c r="AY112" i="14"/>
  <c r="AX112" i="14"/>
  <c r="AW112" i="14"/>
  <c r="AV112" i="14"/>
  <c r="AU112" i="14"/>
  <c r="BA109" i="14"/>
  <c r="AZ109" i="14"/>
  <c r="AW109" i="14"/>
  <c r="AU109" i="14"/>
  <c r="BA104" i="14"/>
  <c r="AZ104" i="14"/>
  <c r="AY104" i="14"/>
  <c r="AX104" i="14"/>
  <c r="AW104" i="14"/>
  <c r="AV104" i="14"/>
  <c r="AU104" i="14"/>
  <c r="BA102" i="14"/>
  <c r="AZ102" i="14"/>
  <c r="AY102" i="14"/>
  <c r="AX102" i="14"/>
  <c r="AW102" i="14"/>
  <c r="AV102" i="14"/>
  <c r="AU102" i="14"/>
  <c r="AZ88" i="14"/>
  <c r="AY88" i="14"/>
  <c r="AX88" i="14"/>
  <c r="AW88" i="14"/>
  <c r="AV88" i="14"/>
  <c r="AU88" i="14"/>
  <c r="AZ79" i="14"/>
  <c r="AY79" i="14"/>
  <c r="AX79" i="14"/>
  <c r="AW79" i="14"/>
  <c r="AV79" i="14"/>
  <c r="AU79" i="14"/>
  <c r="AZ34" i="14"/>
  <c r="AY34" i="14"/>
  <c r="AX34" i="14"/>
  <c r="AW34" i="14"/>
  <c r="AV34" i="14"/>
  <c r="AU34" i="14"/>
  <c r="AZ12" i="14"/>
  <c r="AY12" i="14"/>
  <c r="AX12" i="14"/>
  <c r="AW12" i="14"/>
  <c r="AV12" i="14"/>
  <c r="BA114" i="17"/>
  <c r="AZ127" i="17" s="1"/>
  <c r="AZ114" i="17"/>
  <c r="AY127" i="17" s="1"/>
  <c r="AZ129" i="17" s="1"/>
  <c r="AY114" i="17"/>
  <c r="AX127" i="17" s="1"/>
  <c r="AY129" i="17" s="1"/>
  <c r="AX114" i="17"/>
  <c r="AW127" i="17" s="1"/>
  <c r="AX129" i="17" s="1"/>
  <c r="AW114" i="17"/>
  <c r="AV127" i="17" s="1"/>
  <c r="AW129" i="17" s="1"/>
  <c r="AV114" i="17"/>
  <c r="AU127" i="17" s="1"/>
  <c r="AV129" i="17" s="1"/>
  <c r="AU114" i="17"/>
  <c r="BA112" i="17"/>
  <c r="AZ112" i="17"/>
  <c r="AY126" i="17" s="1"/>
  <c r="AY112" i="17"/>
  <c r="AX112" i="17"/>
  <c r="AW112" i="17"/>
  <c r="AV112" i="17"/>
  <c r="AU112" i="17"/>
  <c r="BA109" i="17"/>
  <c r="AZ109" i="17"/>
  <c r="AY109" i="17"/>
  <c r="AX109" i="17"/>
  <c r="AW109" i="17"/>
  <c r="AV109" i="17"/>
  <c r="AU109" i="17"/>
  <c r="BA104" i="17"/>
  <c r="AZ104" i="17"/>
  <c r="AY104" i="17"/>
  <c r="AX104" i="17"/>
  <c r="AW104" i="17"/>
  <c r="AV104" i="17"/>
  <c r="AU104" i="17"/>
  <c r="BA102" i="17"/>
  <c r="AZ102" i="17"/>
  <c r="AY102" i="17"/>
  <c r="AX102" i="17"/>
  <c r="AW102" i="17"/>
  <c r="AV102" i="17"/>
  <c r="AU102" i="17"/>
  <c r="BA99" i="17"/>
  <c r="AZ99" i="17"/>
  <c r="AY99" i="17"/>
  <c r="AX99" i="17"/>
  <c r="AW99" i="17"/>
  <c r="AV99" i="17"/>
  <c r="AU99" i="17"/>
  <c r="AZ88" i="17"/>
  <c r="AZ87" i="17" s="1"/>
  <c r="AZ89" i="17" s="1"/>
  <c r="AY88" i="17"/>
  <c r="AY87" i="17" s="1"/>
  <c r="AY89" i="17" s="1"/>
  <c r="AX88" i="17"/>
  <c r="AW88" i="17"/>
  <c r="AW87" i="17" s="1"/>
  <c r="AW89" i="17" s="1"/>
  <c r="AV88" i="17"/>
  <c r="AV87" i="17" s="1"/>
  <c r="AV89" i="17" s="1"/>
  <c r="AU88" i="17"/>
  <c r="AU87" i="17" s="1"/>
  <c r="AU89" i="17" s="1"/>
  <c r="AZ79" i="17"/>
  <c r="AY79" i="17"/>
  <c r="AY78" i="17" s="1"/>
  <c r="AX79" i="17"/>
  <c r="AX78" i="17" s="1"/>
  <c r="AW79" i="17"/>
  <c r="AV79" i="17"/>
  <c r="AV78" i="17" s="1"/>
  <c r="AU79" i="17"/>
  <c r="AU78" i="17" s="1"/>
  <c r="AX100" i="17"/>
  <c r="AW100" i="17"/>
  <c r="AZ48" i="17"/>
  <c r="AZ47" i="17" s="1"/>
  <c r="AY48" i="17"/>
  <c r="AX48" i="17"/>
  <c r="AX47" i="17" s="1"/>
  <c r="AW48" i="17"/>
  <c r="AW47" i="17" s="1"/>
  <c r="AV48" i="17"/>
  <c r="AV47" i="17" s="1"/>
  <c r="AU48" i="17"/>
  <c r="AU47" i="17" s="1"/>
  <c r="AZ34" i="17"/>
  <c r="AZ33" i="17" s="1"/>
  <c r="AY34" i="17"/>
  <c r="AY33" i="17" s="1"/>
  <c r="AX34" i="17"/>
  <c r="AW34" i="17"/>
  <c r="AW33" i="17" s="1"/>
  <c r="AV34" i="17"/>
  <c r="AV33" i="17" s="1"/>
  <c r="AU34" i="17"/>
  <c r="AZ12" i="17"/>
  <c r="AY12" i="17"/>
  <c r="AY11" i="17" s="1"/>
  <c r="AX12" i="17"/>
  <c r="AW12" i="17"/>
  <c r="AV12" i="17"/>
  <c r="BA7" i="17"/>
  <c r="BA114" i="18"/>
  <c r="AZ127" i="18" s="1"/>
  <c r="AZ114" i="18"/>
  <c r="AY127" i="18" s="1"/>
  <c r="AZ129" i="18" s="1"/>
  <c r="AY114" i="18"/>
  <c r="AX127" i="18" s="1"/>
  <c r="AY129" i="18" s="1"/>
  <c r="AX114" i="18"/>
  <c r="AW127" i="18" s="1"/>
  <c r="AX129" i="18" s="1"/>
  <c r="AW114" i="18"/>
  <c r="AV127" i="18" s="1"/>
  <c r="AW129" i="18" s="1"/>
  <c r="AV114" i="18"/>
  <c r="AU127" i="18" s="1"/>
  <c r="AV129" i="18" s="1"/>
  <c r="AU114" i="18"/>
  <c r="BA112" i="18"/>
  <c r="AZ126" i="18" s="1"/>
  <c r="AZ112" i="18"/>
  <c r="AY126" i="18" s="1"/>
  <c r="AY112" i="18"/>
  <c r="AX112" i="18"/>
  <c r="AW112" i="18"/>
  <c r="AV112" i="18"/>
  <c r="AU126" i="18" s="1"/>
  <c r="AU112" i="18"/>
  <c r="BA109" i="18"/>
  <c r="AZ109" i="18"/>
  <c r="AY109" i="18"/>
  <c r="AX109" i="18"/>
  <c r="AW109" i="18"/>
  <c r="AV109" i="18"/>
  <c r="AU109" i="18"/>
  <c r="BA104" i="18"/>
  <c r="AZ104" i="18"/>
  <c r="AY104" i="18"/>
  <c r="AX104" i="18"/>
  <c r="AW104" i="18"/>
  <c r="AV104" i="18"/>
  <c r="AU104" i="18"/>
  <c r="BA102" i="18"/>
  <c r="AZ102" i="18"/>
  <c r="AY102" i="18"/>
  <c r="AX102" i="18"/>
  <c r="AW102" i="18"/>
  <c r="AV102" i="18"/>
  <c r="AU102" i="18"/>
  <c r="AV100" i="18"/>
  <c r="BA99" i="18"/>
  <c r="AZ99" i="18"/>
  <c r="AY99" i="18"/>
  <c r="AX99" i="18"/>
  <c r="AW99" i="18"/>
  <c r="AV99" i="18"/>
  <c r="AU99" i="18"/>
  <c r="AZ88" i="18"/>
  <c r="AZ87" i="18" s="1"/>
  <c r="AZ89" i="18" s="1"/>
  <c r="AY88" i="18"/>
  <c r="AY87" i="18" s="1"/>
  <c r="AY89" i="18" s="1"/>
  <c r="AX88" i="18"/>
  <c r="AX87" i="18" s="1"/>
  <c r="AX89" i="18" s="1"/>
  <c r="AW88" i="18"/>
  <c r="AW87" i="18" s="1"/>
  <c r="AW89" i="18" s="1"/>
  <c r="AV88" i="18"/>
  <c r="AV87" i="18" s="1"/>
  <c r="AV89" i="18" s="1"/>
  <c r="AU88" i="18"/>
  <c r="BA86" i="18"/>
  <c r="AZ79" i="18"/>
  <c r="AZ78" i="18" s="1"/>
  <c r="AY79" i="18"/>
  <c r="AY78" i="18" s="1"/>
  <c r="AY76" i="18" s="1"/>
  <c r="AX79" i="18"/>
  <c r="AX78" i="18" s="1"/>
  <c r="AX76" i="18" s="1"/>
  <c r="AW79" i="18"/>
  <c r="AW78" i="18" s="1"/>
  <c r="AV79" i="18"/>
  <c r="AV78" i="18" s="1"/>
  <c r="AU79" i="18"/>
  <c r="BA75" i="18"/>
  <c r="AX100" i="18"/>
  <c r="AU100" i="18"/>
  <c r="AZ48" i="18"/>
  <c r="AZ47" i="18" s="1"/>
  <c r="AY48" i="18"/>
  <c r="AY47" i="18" s="1"/>
  <c r="AX48" i="18"/>
  <c r="AW48" i="18"/>
  <c r="AV48" i="18"/>
  <c r="AU48" i="18"/>
  <c r="BA46" i="18"/>
  <c r="BA45" i="18"/>
  <c r="AZ34" i="18"/>
  <c r="AZ33" i="18" s="1"/>
  <c r="AY34" i="18"/>
  <c r="AY33" i="18" s="1"/>
  <c r="AX34" i="18"/>
  <c r="AW34" i="18"/>
  <c r="AW33" i="18" s="1"/>
  <c r="AV34" i="18"/>
  <c r="AV33" i="18" s="1"/>
  <c r="AU34" i="18"/>
  <c r="AU33" i="18" s="1"/>
  <c r="AZ12" i="18"/>
  <c r="AZ11" i="18" s="1"/>
  <c r="AZ10" i="18" s="1"/>
  <c r="AY12" i="18"/>
  <c r="AX12" i="18"/>
  <c r="AX11" i="18" s="1"/>
  <c r="AX9" i="18" s="1"/>
  <c r="AW12" i="18"/>
  <c r="AW11" i="18" s="1"/>
  <c r="AW10" i="18" s="1"/>
  <c r="AV12" i="18"/>
  <c r="AV11" i="18" s="1"/>
  <c r="AV8" i="18" s="1"/>
  <c r="BA7" i="18"/>
  <c r="BA114" i="19"/>
  <c r="AZ114" i="19"/>
  <c r="AY114" i="19"/>
  <c r="AX114" i="19"/>
  <c r="AW114" i="19"/>
  <c r="AV114" i="19"/>
  <c r="AU114" i="19"/>
  <c r="BA112" i="19"/>
  <c r="AZ112" i="19"/>
  <c r="AY112" i="19"/>
  <c r="AX112" i="19"/>
  <c r="AW112" i="19"/>
  <c r="AV112" i="19"/>
  <c r="AU112" i="19"/>
  <c r="BA109" i="19"/>
  <c r="AZ109" i="19"/>
  <c r="AY109" i="19"/>
  <c r="AX109" i="19"/>
  <c r="AW109" i="19"/>
  <c r="AV109" i="19"/>
  <c r="AU109" i="19"/>
  <c r="BA104" i="19"/>
  <c r="AZ104" i="19"/>
  <c r="AY104" i="19"/>
  <c r="AX104" i="19"/>
  <c r="AW104" i="19"/>
  <c r="AV104" i="19"/>
  <c r="AU104" i="19"/>
  <c r="BA102" i="19"/>
  <c r="AZ102" i="19"/>
  <c r="AY102" i="19"/>
  <c r="AX102" i="19"/>
  <c r="AW102" i="19"/>
  <c r="AV102" i="19"/>
  <c r="AU102" i="19"/>
  <c r="BA99" i="19"/>
  <c r="AZ99" i="19"/>
  <c r="AY99" i="19"/>
  <c r="AX99" i="19"/>
  <c r="AW99" i="19"/>
  <c r="AV99" i="19"/>
  <c r="AU99" i="19"/>
  <c r="AZ88" i="19"/>
  <c r="AY88" i="19"/>
  <c r="AY87" i="19" s="1"/>
  <c r="AY89" i="19" s="1"/>
  <c r="AX88" i="19"/>
  <c r="AX87" i="19" s="1"/>
  <c r="AX89" i="19" s="1"/>
  <c r="AW88" i="19"/>
  <c r="AV88" i="19"/>
  <c r="AV87" i="19" s="1"/>
  <c r="AV89" i="19" s="1"/>
  <c r="AU88" i="19"/>
  <c r="AU87" i="19" s="1"/>
  <c r="AU89" i="19" s="1"/>
  <c r="BA86" i="19"/>
  <c r="AZ79" i="19"/>
  <c r="AZ78" i="19" s="1"/>
  <c r="AY79" i="19"/>
  <c r="AY78" i="19" s="1"/>
  <c r="AX79" i="19"/>
  <c r="AX78" i="19" s="1"/>
  <c r="AW79" i="19"/>
  <c r="AW78" i="19" s="1"/>
  <c r="AV79" i="19"/>
  <c r="AU79" i="19"/>
  <c r="AU78" i="19" s="1"/>
  <c r="BA75" i="19"/>
  <c r="AZ48" i="19"/>
  <c r="AY48" i="19"/>
  <c r="AY47" i="19" s="1"/>
  <c r="AX48" i="19"/>
  <c r="AX47" i="19" s="1"/>
  <c r="AW48" i="19"/>
  <c r="AV48" i="19"/>
  <c r="AV47" i="19" s="1"/>
  <c r="AU48" i="19"/>
  <c r="BA46" i="19"/>
  <c r="BA45" i="19"/>
  <c r="AZ34" i="19"/>
  <c r="AZ33" i="19" s="1"/>
  <c r="AY34" i="19"/>
  <c r="AX34" i="19"/>
  <c r="AW34" i="19"/>
  <c r="AW33" i="19" s="1"/>
  <c r="AV34" i="19"/>
  <c r="AU34" i="19"/>
  <c r="AZ12" i="19"/>
  <c r="AY12" i="19"/>
  <c r="AX12" i="19"/>
  <c r="AX11" i="19" s="1"/>
  <c r="AW12" i="19"/>
  <c r="AW11" i="19" s="1"/>
  <c r="AV12" i="19"/>
  <c r="BA7" i="19"/>
  <c r="AU98" i="19"/>
  <c r="BA114" i="20"/>
  <c r="AZ114" i="20"/>
  <c r="AY114" i="20"/>
  <c r="AX114" i="20"/>
  <c r="AW114" i="20"/>
  <c r="AV114" i="20"/>
  <c r="AU114" i="20"/>
  <c r="BA112" i="20"/>
  <c r="AZ112" i="20"/>
  <c r="AY112" i="20"/>
  <c r="AX112" i="20"/>
  <c r="AW112" i="20"/>
  <c r="AV112" i="20"/>
  <c r="AU112" i="20"/>
  <c r="BA109" i="20"/>
  <c r="AZ109" i="20"/>
  <c r="AY109" i="20"/>
  <c r="AX109" i="20"/>
  <c r="AW109" i="20"/>
  <c r="AV109" i="20"/>
  <c r="AU109" i="20"/>
  <c r="BA104" i="20"/>
  <c r="AZ104" i="20"/>
  <c r="AY104" i="20"/>
  <c r="AX104" i="20"/>
  <c r="AW104" i="20"/>
  <c r="AV104" i="20"/>
  <c r="AU104" i="20"/>
  <c r="BA102" i="20"/>
  <c r="AZ102" i="20"/>
  <c r="AY102" i="20"/>
  <c r="AX102" i="20"/>
  <c r="AW102" i="20"/>
  <c r="AV102" i="20"/>
  <c r="AU102" i="20"/>
  <c r="BA99" i="20"/>
  <c r="AZ99" i="20"/>
  <c r="AY99" i="20"/>
  <c r="AX99" i="20"/>
  <c r="AW99" i="20"/>
  <c r="AV99" i="20"/>
  <c r="AU99" i="20"/>
  <c r="AZ88" i="20"/>
  <c r="AZ87" i="20" s="1"/>
  <c r="AZ89" i="20" s="1"/>
  <c r="AY88" i="20"/>
  <c r="AY87" i="20" s="1"/>
  <c r="AY89" i="20" s="1"/>
  <c r="AX88" i="20"/>
  <c r="AX87" i="20" s="1"/>
  <c r="AX89" i="20" s="1"/>
  <c r="AW88" i="20"/>
  <c r="AW87" i="20" s="1"/>
  <c r="AW89" i="20" s="1"/>
  <c r="AV88" i="20"/>
  <c r="AV87" i="20" s="1"/>
  <c r="AV89" i="20" s="1"/>
  <c r="AU88" i="20"/>
  <c r="AU87" i="20" s="1"/>
  <c r="AU89" i="20" s="1"/>
  <c r="AZ79" i="20"/>
  <c r="AY79" i="20"/>
  <c r="AX79" i="20"/>
  <c r="AX78" i="20" s="1"/>
  <c r="AW79" i="20"/>
  <c r="AW78" i="20" s="1"/>
  <c r="AV79" i="20"/>
  <c r="AV78" i="20" s="1"/>
  <c r="AU79" i="20"/>
  <c r="AU78" i="20" s="1"/>
  <c r="AY100" i="20"/>
  <c r="AZ48" i="20"/>
  <c r="AY48" i="20"/>
  <c r="AX48" i="20"/>
  <c r="AW48" i="20"/>
  <c r="AW47" i="20" s="1"/>
  <c r="AV48" i="20"/>
  <c r="AV47" i="20" s="1"/>
  <c r="AU48" i="20"/>
  <c r="AU47" i="20" s="1"/>
  <c r="BA46" i="20"/>
  <c r="BA45" i="20"/>
  <c r="BA43" i="20"/>
  <c r="AZ34" i="20"/>
  <c r="AY34" i="20"/>
  <c r="AX34" i="20"/>
  <c r="AW34" i="20"/>
  <c r="AV34" i="20"/>
  <c r="AU34" i="20"/>
  <c r="AZ12" i="20"/>
  <c r="AY12" i="20"/>
  <c r="AX12" i="20"/>
  <c r="AW12" i="20"/>
  <c r="AV12" i="20"/>
  <c r="BA114" i="22"/>
  <c r="AZ127" i="22" s="1"/>
  <c r="AZ114" i="22"/>
  <c r="AY127" i="22" s="1"/>
  <c r="AZ129" i="22" s="1"/>
  <c r="AY114" i="22"/>
  <c r="AX127" i="22" s="1"/>
  <c r="AY129" i="22" s="1"/>
  <c r="AX114" i="22"/>
  <c r="AW127" i="22" s="1"/>
  <c r="AX129" i="22" s="1"/>
  <c r="AW114" i="22"/>
  <c r="AV127" i="22" s="1"/>
  <c r="AW129" i="22" s="1"/>
  <c r="AV114" i="22"/>
  <c r="AU127" i="22" s="1"/>
  <c r="AV129" i="22" s="1"/>
  <c r="AU114" i="22"/>
  <c r="BA112" i="22"/>
  <c r="AZ112" i="22"/>
  <c r="AY112" i="22"/>
  <c r="AX112" i="22"/>
  <c r="AW126" i="22" s="1"/>
  <c r="AW112" i="22"/>
  <c r="AV112" i="22"/>
  <c r="AU112" i="22"/>
  <c r="BA109" i="22"/>
  <c r="AZ109" i="22"/>
  <c r="AY109" i="22"/>
  <c r="AX109" i="22"/>
  <c r="AW109" i="22"/>
  <c r="AV109" i="22"/>
  <c r="AU109" i="22"/>
  <c r="BA104" i="22"/>
  <c r="AZ104" i="22"/>
  <c r="AY104" i="22"/>
  <c r="AX104" i="22"/>
  <c r="AW104" i="22"/>
  <c r="AV104" i="22"/>
  <c r="AU104" i="22"/>
  <c r="BA102" i="22"/>
  <c r="AZ102" i="22"/>
  <c r="AY102" i="22"/>
  <c r="AX102" i="22"/>
  <c r="AW102" i="22"/>
  <c r="AV102" i="22"/>
  <c r="AU102" i="22"/>
  <c r="BA99" i="22"/>
  <c r="AZ99" i="22"/>
  <c r="AY99" i="22"/>
  <c r="AX99" i="22"/>
  <c r="AW99" i="22"/>
  <c r="AV99" i="22"/>
  <c r="AU99" i="22"/>
  <c r="AZ88" i="22"/>
  <c r="AZ87" i="22" s="1"/>
  <c r="AZ89" i="22" s="1"/>
  <c r="AY88" i="22"/>
  <c r="AY87" i="22" s="1"/>
  <c r="AY89" i="22" s="1"/>
  <c r="AX88" i="22"/>
  <c r="AX87" i="22" s="1"/>
  <c r="AX89" i="22" s="1"/>
  <c r="AW88" i="22"/>
  <c r="AV88" i="22"/>
  <c r="AV87" i="22" s="1"/>
  <c r="AV89" i="22" s="1"/>
  <c r="AU88" i="22"/>
  <c r="AU87" i="22" s="1"/>
  <c r="AU89" i="22" s="1"/>
  <c r="AZ79" i="22"/>
  <c r="AZ78" i="22" s="1"/>
  <c r="AY79" i="22"/>
  <c r="AY78" i="22" s="1"/>
  <c r="AX79" i="22"/>
  <c r="AX78" i="22" s="1"/>
  <c r="AX76" i="22" s="1"/>
  <c r="AW79" i="22"/>
  <c r="AV79" i="22"/>
  <c r="AU79" i="22"/>
  <c r="AU78" i="22" s="1"/>
  <c r="AZ48" i="22"/>
  <c r="AY48" i="22"/>
  <c r="AX48" i="22"/>
  <c r="AX47" i="22" s="1"/>
  <c r="AW48" i="22"/>
  <c r="AV48" i="22"/>
  <c r="AV47" i="22" s="1"/>
  <c r="AU48" i="22"/>
  <c r="BA46" i="22"/>
  <c r="BA45" i="22"/>
  <c r="AZ34" i="22"/>
  <c r="AZ33" i="22" s="1"/>
  <c r="AY34" i="22"/>
  <c r="AY33" i="22" s="1"/>
  <c r="AX34" i="22"/>
  <c r="AW34" i="22"/>
  <c r="AV34" i="22"/>
  <c r="AU34" i="22"/>
  <c r="AU33" i="22" s="1"/>
  <c r="AZ12" i="22"/>
  <c r="AY12" i="22"/>
  <c r="AY11" i="22" s="1"/>
  <c r="AX12" i="22"/>
  <c r="AX11" i="22" s="1"/>
  <c r="AW12" i="22"/>
  <c r="AW11" i="22" s="1"/>
  <c r="AV12" i="22"/>
  <c r="BA114" i="23"/>
  <c r="AZ127" i="23" s="1"/>
  <c r="AZ114" i="23"/>
  <c r="AY127" i="23" s="1"/>
  <c r="AZ129" i="23" s="1"/>
  <c r="AY114" i="23"/>
  <c r="AX127" i="23" s="1"/>
  <c r="AY129" i="23" s="1"/>
  <c r="AX114" i="23"/>
  <c r="AW114" i="23"/>
  <c r="AV127" i="23" s="1"/>
  <c r="AW129" i="23" s="1"/>
  <c r="AV114" i="23"/>
  <c r="AU127" i="23" s="1"/>
  <c r="AV129" i="23" s="1"/>
  <c r="AU114" i="23"/>
  <c r="BA112" i="23"/>
  <c r="AZ126" i="23" s="1"/>
  <c r="AZ112" i="23"/>
  <c r="AY112" i="23"/>
  <c r="AX112" i="23"/>
  <c r="AW126" i="23" s="1"/>
  <c r="AW112" i="23"/>
  <c r="AV112" i="23"/>
  <c r="AU112" i="23"/>
  <c r="BA109" i="23"/>
  <c r="AZ109" i="23"/>
  <c r="AY109" i="23"/>
  <c r="AX109" i="23"/>
  <c r="AW109" i="23"/>
  <c r="AV109" i="23"/>
  <c r="AU109" i="23"/>
  <c r="BA104" i="23"/>
  <c r="AZ104" i="23"/>
  <c r="AY104" i="23"/>
  <c r="AX104" i="23"/>
  <c r="AW104" i="23"/>
  <c r="AV104" i="23"/>
  <c r="AU104" i="23"/>
  <c r="BA102" i="23"/>
  <c r="AZ102" i="23"/>
  <c r="AY102" i="23"/>
  <c r="AX102" i="23"/>
  <c r="AW102" i="23"/>
  <c r="AV102" i="23"/>
  <c r="AU102" i="23"/>
  <c r="BA99" i="23"/>
  <c r="AZ99" i="23"/>
  <c r="AY99" i="23"/>
  <c r="AX99" i="23"/>
  <c r="AW99" i="23"/>
  <c r="AV99" i="23"/>
  <c r="AU99" i="23"/>
  <c r="AZ88" i="23"/>
  <c r="AZ87" i="23" s="1"/>
  <c r="AZ89" i="23" s="1"/>
  <c r="AY88" i="23"/>
  <c r="AY87" i="23" s="1"/>
  <c r="AY89" i="23" s="1"/>
  <c r="AX88" i="23"/>
  <c r="AX87" i="23" s="1"/>
  <c r="AX89" i="23" s="1"/>
  <c r="AW88" i="23"/>
  <c r="AW87" i="23" s="1"/>
  <c r="AW89" i="23" s="1"/>
  <c r="AV88" i="23"/>
  <c r="AV87" i="23" s="1"/>
  <c r="AV89" i="23" s="1"/>
  <c r="AU88" i="23"/>
  <c r="AU87" i="23" s="1"/>
  <c r="AU89" i="23" s="1"/>
  <c r="AZ79" i="23"/>
  <c r="AZ78" i="23" s="1"/>
  <c r="AY79" i="23"/>
  <c r="AY78" i="23" s="1"/>
  <c r="AX79" i="23"/>
  <c r="AX78" i="23" s="1"/>
  <c r="AW79" i="23"/>
  <c r="AW78" i="23" s="1"/>
  <c r="AV79" i="23"/>
  <c r="AV78" i="23" s="1"/>
  <c r="AU79" i="23"/>
  <c r="AU78" i="23" s="1"/>
  <c r="AZ48" i="23"/>
  <c r="AY48" i="23"/>
  <c r="AX48" i="23"/>
  <c r="AX47" i="23" s="1"/>
  <c r="AW48" i="23"/>
  <c r="AW47" i="23" s="1"/>
  <c r="AV48" i="23"/>
  <c r="AU48" i="23"/>
  <c r="BA46" i="23"/>
  <c r="BA45" i="23"/>
  <c r="AZ34" i="23"/>
  <c r="AZ33" i="23" s="1"/>
  <c r="AY34" i="23"/>
  <c r="AY33" i="23" s="1"/>
  <c r="AX34" i="23"/>
  <c r="AX33" i="23" s="1"/>
  <c r="AW34" i="23"/>
  <c r="AW33" i="23" s="1"/>
  <c r="AV34" i="23"/>
  <c r="AV33" i="23" s="1"/>
  <c r="AU34" i="23"/>
  <c r="AU33" i="23" s="1"/>
  <c r="AZ12" i="23"/>
  <c r="AY12" i="23"/>
  <c r="AY11" i="23" s="1"/>
  <c r="AX12" i="23"/>
  <c r="AX11" i="23" s="1"/>
  <c r="AW12" i="23"/>
  <c r="AW11" i="23" s="1"/>
  <c r="AV12" i="23"/>
  <c r="AV11" i="23" s="1"/>
  <c r="AU11" i="23"/>
  <c r="BA7" i="23"/>
  <c r="BA114" i="25"/>
  <c r="AZ127" i="25" s="1"/>
  <c r="AZ114" i="25"/>
  <c r="AY127" i="25" s="1"/>
  <c r="AZ129" i="25" s="1"/>
  <c r="AY114" i="25"/>
  <c r="AX127" i="25" s="1"/>
  <c r="AY129" i="25" s="1"/>
  <c r="AX114" i="25"/>
  <c r="AW127" i="25" s="1"/>
  <c r="AX129" i="25" s="1"/>
  <c r="AW114" i="25"/>
  <c r="AV127" i="25" s="1"/>
  <c r="AW129" i="25" s="1"/>
  <c r="AV114" i="25"/>
  <c r="AU127" i="25" s="1"/>
  <c r="AV129" i="25" s="1"/>
  <c r="AU114" i="25"/>
  <c r="BA112" i="25"/>
  <c r="AZ112" i="25"/>
  <c r="AY112" i="25"/>
  <c r="AX112" i="25"/>
  <c r="AW112" i="25"/>
  <c r="AV112" i="25"/>
  <c r="AU112" i="25"/>
  <c r="BA109" i="25"/>
  <c r="AZ109" i="25"/>
  <c r="AY109" i="25"/>
  <c r="AX109" i="25"/>
  <c r="AW109" i="25"/>
  <c r="AV109" i="25"/>
  <c r="AU109" i="25"/>
  <c r="BA104" i="25"/>
  <c r="AZ104" i="25"/>
  <c r="AY104" i="25"/>
  <c r="AX104" i="25"/>
  <c r="AW104" i="25"/>
  <c r="AV104" i="25"/>
  <c r="AU104" i="25"/>
  <c r="BA102" i="25"/>
  <c r="AZ102" i="25"/>
  <c r="AY102" i="25"/>
  <c r="AX102" i="25"/>
  <c r="AW102" i="25"/>
  <c r="AV102" i="25"/>
  <c r="AU102" i="25"/>
  <c r="BA99" i="25"/>
  <c r="AZ99" i="25"/>
  <c r="AY99" i="25"/>
  <c r="AX99" i="25"/>
  <c r="AW99" i="25"/>
  <c r="AV99" i="25"/>
  <c r="AU99" i="25"/>
  <c r="AZ88" i="25"/>
  <c r="AY88" i="25"/>
  <c r="AX88" i="25"/>
  <c r="AX87" i="25" s="1"/>
  <c r="AX89" i="25" s="1"/>
  <c r="AW88" i="25"/>
  <c r="AW87" i="25" s="1"/>
  <c r="AW89" i="25" s="1"/>
  <c r="AV88" i="25"/>
  <c r="AV87" i="25" s="1"/>
  <c r="AV89" i="25" s="1"/>
  <c r="AU88" i="25"/>
  <c r="BA86" i="25"/>
  <c r="AZ79" i="25"/>
  <c r="AY79" i="25"/>
  <c r="AX79" i="25"/>
  <c r="AX78" i="25" s="1"/>
  <c r="AX76" i="25" s="1"/>
  <c r="AW79" i="25"/>
  <c r="AV79" i="25"/>
  <c r="AV78" i="25" s="1"/>
  <c r="AU79" i="25"/>
  <c r="AU78" i="25" s="1"/>
  <c r="BA75" i="25"/>
  <c r="AZ48" i="25"/>
  <c r="AY48" i="25"/>
  <c r="AY47" i="25" s="1"/>
  <c r="AX48" i="25"/>
  <c r="AW48" i="25"/>
  <c r="AV48" i="25"/>
  <c r="AU48" i="25"/>
  <c r="BA46" i="25"/>
  <c r="BA45" i="25"/>
  <c r="AZ34" i="25"/>
  <c r="AY34" i="25"/>
  <c r="AY33" i="25" s="1"/>
  <c r="AX34" i="25"/>
  <c r="AW34" i="25"/>
  <c r="AV34" i="25"/>
  <c r="AV33" i="25" s="1"/>
  <c r="AU34" i="25"/>
  <c r="AU33" i="25" s="1"/>
  <c r="BA29" i="25"/>
  <c r="AZ12" i="25"/>
  <c r="AZ11" i="25" s="1"/>
  <c r="AY12" i="25"/>
  <c r="AY11" i="25" s="1"/>
  <c r="AX12" i="25"/>
  <c r="AW12" i="25"/>
  <c r="AV12" i="25"/>
  <c r="AU11" i="25"/>
  <c r="BA114" i="26"/>
  <c r="AZ114" i="26"/>
  <c r="AY127" i="26" s="1"/>
  <c r="AZ129" i="26" s="1"/>
  <c r="AY114" i="26"/>
  <c r="AX127" i="26" s="1"/>
  <c r="AY129" i="26" s="1"/>
  <c r="AX114" i="26"/>
  <c r="AW127" i="26" s="1"/>
  <c r="AX129" i="26" s="1"/>
  <c r="AW114" i="26"/>
  <c r="AV114" i="26"/>
  <c r="AU127" i="26" s="1"/>
  <c r="AV129" i="26" s="1"/>
  <c r="AU114" i="26"/>
  <c r="BA112" i="26"/>
  <c r="AZ126" i="26" s="1"/>
  <c r="AZ112" i="26"/>
  <c r="AY112" i="26"/>
  <c r="AX112" i="26"/>
  <c r="AW112" i="26"/>
  <c r="AV126" i="26" s="1"/>
  <c r="AV112" i="26"/>
  <c r="AU126" i="26" s="1"/>
  <c r="AU112" i="26"/>
  <c r="BA109" i="26"/>
  <c r="AZ109" i="26"/>
  <c r="AY109" i="26"/>
  <c r="AX109" i="26"/>
  <c r="AW109" i="26"/>
  <c r="AV109" i="26"/>
  <c r="AU109" i="26"/>
  <c r="BA104" i="26"/>
  <c r="AZ104" i="26"/>
  <c r="AY104" i="26"/>
  <c r="AX104" i="26"/>
  <c r="AW104" i="26"/>
  <c r="AV104" i="26"/>
  <c r="AU104" i="26"/>
  <c r="BA102" i="26"/>
  <c r="AZ102" i="26"/>
  <c r="AY102" i="26"/>
  <c r="AX102" i="26"/>
  <c r="AW102" i="26"/>
  <c r="AV102" i="26"/>
  <c r="AU102" i="26"/>
  <c r="BA99" i="26"/>
  <c r="AZ99" i="26"/>
  <c r="AY99" i="26"/>
  <c r="AX99" i="26"/>
  <c r="AW99" i="26"/>
  <c r="AV99" i="26"/>
  <c r="AU99" i="26"/>
  <c r="AZ88" i="26"/>
  <c r="AY88" i="26"/>
  <c r="AY87" i="26" s="1"/>
  <c r="AY89" i="26" s="1"/>
  <c r="AX88" i="26"/>
  <c r="AX87" i="26" s="1"/>
  <c r="AX89" i="26" s="1"/>
  <c r="AW88" i="26"/>
  <c r="AW87" i="26" s="1"/>
  <c r="AW89" i="26" s="1"/>
  <c r="AV88" i="26"/>
  <c r="AU88" i="26"/>
  <c r="BA86" i="26"/>
  <c r="AZ79" i="26"/>
  <c r="AY79" i="26"/>
  <c r="AY78" i="26" s="1"/>
  <c r="AX79" i="26"/>
  <c r="AX78" i="26" s="1"/>
  <c r="AX76" i="26" s="1"/>
  <c r="AW79" i="26"/>
  <c r="AW78" i="26" s="1"/>
  <c r="AV79" i="26"/>
  <c r="AV78" i="26" s="1"/>
  <c r="AU79" i="26"/>
  <c r="BA75" i="26"/>
  <c r="AZ48" i="26"/>
  <c r="AY48" i="26"/>
  <c r="AX48" i="26"/>
  <c r="AX47" i="26" s="1"/>
  <c r="AW48" i="26"/>
  <c r="AV48" i="26"/>
  <c r="AU48" i="26"/>
  <c r="AU47" i="26" s="1"/>
  <c r="BA46" i="26"/>
  <c r="BA45" i="26"/>
  <c r="BA43" i="26"/>
  <c r="AZ34" i="26"/>
  <c r="AY34" i="26"/>
  <c r="AY33" i="26" s="1"/>
  <c r="AX34" i="26"/>
  <c r="AW34" i="26"/>
  <c r="AW33" i="26" s="1"/>
  <c r="AV34" i="26"/>
  <c r="AV33" i="26" s="1"/>
  <c r="AU34" i="26"/>
  <c r="AZ12" i="26"/>
  <c r="AY12" i="26"/>
  <c r="AX12" i="26"/>
  <c r="AW12" i="26"/>
  <c r="AV12" i="26"/>
  <c r="BA114" i="27"/>
  <c r="AZ114" i="27"/>
  <c r="AY114" i="27"/>
  <c r="AX114" i="27"/>
  <c r="AW114" i="27"/>
  <c r="AV114" i="27"/>
  <c r="AU114" i="27"/>
  <c r="BA112" i="27"/>
  <c r="AZ112" i="27"/>
  <c r="AY112" i="27"/>
  <c r="AX112" i="27"/>
  <c r="AW112" i="27"/>
  <c r="AV112" i="27"/>
  <c r="AU112" i="27"/>
  <c r="BA109" i="27"/>
  <c r="AZ109" i="27"/>
  <c r="AY109" i="27"/>
  <c r="AX109" i="27"/>
  <c r="AW109" i="27"/>
  <c r="AV109" i="27"/>
  <c r="AU109" i="27"/>
  <c r="BA104" i="27"/>
  <c r="AZ104" i="27"/>
  <c r="AY104" i="27"/>
  <c r="AX104" i="27"/>
  <c r="AW104" i="27"/>
  <c r="AV104" i="27"/>
  <c r="AU104" i="27"/>
  <c r="BA102" i="27"/>
  <c r="AZ102" i="27"/>
  <c r="AY102" i="27"/>
  <c r="AX102" i="27"/>
  <c r="AW102" i="27"/>
  <c r="AV102" i="27"/>
  <c r="AU102" i="27"/>
  <c r="BA99" i="27"/>
  <c r="AZ99" i="27"/>
  <c r="AY99" i="27"/>
  <c r="AX99" i="27"/>
  <c r="AW99" i="27"/>
  <c r="AV99" i="27"/>
  <c r="AU99" i="27"/>
  <c r="AZ88" i="27"/>
  <c r="AZ87" i="27" s="1"/>
  <c r="AZ89" i="27" s="1"/>
  <c r="AY88" i="27"/>
  <c r="AY87" i="27" s="1"/>
  <c r="AY89" i="27" s="1"/>
  <c r="AX88" i="27"/>
  <c r="AX87" i="27" s="1"/>
  <c r="AX89" i="27" s="1"/>
  <c r="AW88" i="27"/>
  <c r="AV88" i="27"/>
  <c r="AZ79" i="27"/>
  <c r="AY79" i="27"/>
  <c r="AY78" i="27" s="1"/>
  <c r="AX79" i="27"/>
  <c r="AX78" i="27" s="1"/>
  <c r="AW79" i="27"/>
  <c r="AW78" i="27" s="1"/>
  <c r="AV79" i="27"/>
  <c r="BA75" i="27"/>
  <c r="AZ48" i="27"/>
  <c r="AZ47" i="27" s="1"/>
  <c r="AY48" i="27"/>
  <c r="AX48" i="27"/>
  <c r="AX47" i="27" s="1"/>
  <c r="AW48" i="27"/>
  <c r="AW47" i="27" s="1"/>
  <c r="AV48" i="27"/>
  <c r="BA46" i="27"/>
  <c r="BA45" i="27"/>
  <c r="AZ34" i="27"/>
  <c r="AY34" i="27"/>
  <c r="AY33" i="27" s="1"/>
  <c r="AX34" i="27"/>
  <c r="AX33" i="27" s="1"/>
  <c r="AW34" i="27"/>
  <c r="AW33" i="27" s="1"/>
  <c r="AV34" i="27"/>
  <c r="BA29" i="27"/>
  <c r="AZ12" i="27"/>
  <c r="AZ11" i="27" s="1"/>
  <c r="AY12" i="27"/>
  <c r="AY11" i="27" s="1"/>
  <c r="AX12" i="27"/>
  <c r="AX11" i="27" s="1"/>
  <c r="AW12" i="27"/>
  <c r="AW11" i="27" s="1"/>
  <c r="AV12" i="27"/>
  <c r="AV11" i="27" s="1"/>
  <c r="AU11" i="27"/>
  <c r="BA114" i="13"/>
  <c r="AZ127" i="13" s="1"/>
  <c r="AZ114" i="13"/>
  <c r="AY127" i="13" s="1"/>
  <c r="AZ129" i="13" s="1"/>
  <c r="AY114" i="13"/>
  <c r="AX127" i="13" s="1"/>
  <c r="AY129" i="13" s="1"/>
  <c r="AX114" i="13"/>
  <c r="AW127" i="13" s="1"/>
  <c r="AX129" i="13" s="1"/>
  <c r="AW114" i="13"/>
  <c r="AV127" i="13" s="1"/>
  <c r="AW129" i="13" s="1"/>
  <c r="AV114" i="13"/>
  <c r="AU127" i="13" s="1"/>
  <c r="AV129" i="13" s="1"/>
  <c r="AU114" i="13"/>
  <c r="BA112" i="13"/>
  <c r="AZ112" i="13"/>
  <c r="AY112" i="13"/>
  <c r="AX112" i="13"/>
  <c r="AW112" i="13"/>
  <c r="AV112" i="13"/>
  <c r="AU126" i="13" s="1"/>
  <c r="AU112" i="13"/>
  <c r="BA109" i="13"/>
  <c r="AZ109" i="13"/>
  <c r="AY109" i="13"/>
  <c r="AX109" i="13"/>
  <c r="AW109" i="13"/>
  <c r="AV109" i="13"/>
  <c r="AU109" i="13"/>
  <c r="BA104" i="13"/>
  <c r="AZ104" i="13"/>
  <c r="AY104" i="13"/>
  <c r="AX104" i="13"/>
  <c r="AW104" i="13"/>
  <c r="AV104" i="13"/>
  <c r="AU104" i="13"/>
  <c r="BA102" i="13"/>
  <c r="AZ102" i="13"/>
  <c r="AY102" i="13"/>
  <c r="AX102" i="13"/>
  <c r="AW102" i="13"/>
  <c r="AW105" i="13" s="1"/>
  <c r="AV102" i="13"/>
  <c r="AU102" i="13"/>
  <c r="BA99" i="13"/>
  <c r="AZ99" i="13"/>
  <c r="AY99" i="13"/>
  <c r="AX99" i="13"/>
  <c r="AW99" i="13"/>
  <c r="AV99" i="13"/>
  <c r="AU99" i="13"/>
  <c r="AZ88" i="13"/>
  <c r="AY88" i="13"/>
  <c r="AX88" i="13"/>
  <c r="AW88" i="13"/>
  <c r="AV88" i="13"/>
  <c r="AU88" i="13"/>
  <c r="AU87" i="13" s="1"/>
  <c r="AU89" i="13" s="1"/>
  <c r="AZ79" i="13"/>
  <c r="AY79" i="13"/>
  <c r="AX79" i="13"/>
  <c r="AW79" i="13"/>
  <c r="AV79" i="13"/>
  <c r="AV78" i="13" s="1"/>
  <c r="AU79" i="13"/>
  <c r="AU78" i="13" s="1"/>
  <c r="AZ48" i="13"/>
  <c r="AY48" i="13"/>
  <c r="AX48" i="13"/>
  <c r="AW48" i="13"/>
  <c r="AW47" i="13" s="1"/>
  <c r="AV48" i="13"/>
  <c r="AU48" i="13"/>
  <c r="BA46" i="13"/>
  <c r="BA45" i="13"/>
  <c r="AZ34" i="13"/>
  <c r="AY34" i="13"/>
  <c r="AX34" i="13"/>
  <c r="AW34" i="13"/>
  <c r="AV34" i="13"/>
  <c r="AU34" i="13"/>
  <c r="AZ12" i="13"/>
  <c r="AY12" i="13"/>
  <c r="AX12" i="13"/>
  <c r="AW12" i="13"/>
  <c r="AV12" i="13"/>
  <c r="AZ88" i="11"/>
  <c r="AY88" i="11"/>
  <c r="AX88" i="11"/>
  <c r="AW88" i="11"/>
  <c r="AV88" i="11"/>
  <c r="AU88" i="11"/>
  <c r="AZ79" i="11"/>
  <c r="AY79" i="11"/>
  <c r="AX79" i="11"/>
  <c r="AW79" i="11"/>
  <c r="AV79" i="11"/>
  <c r="AU79" i="11"/>
  <c r="AZ48" i="11"/>
  <c r="AY48" i="11"/>
  <c r="AX48" i="11"/>
  <c r="AW48" i="11"/>
  <c r="AV48" i="11"/>
  <c r="AU48" i="11"/>
  <c r="AZ34" i="11"/>
  <c r="AY34" i="11"/>
  <c r="AX34" i="11"/>
  <c r="AW34" i="11"/>
  <c r="AV34" i="11"/>
  <c r="AU34" i="11"/>
  <c r="AZ12" i="11"/>
  <c r="AY12" i="11"/>
  <c r="AX12" i="11"/>
  <c r="AW12" i="11"/>
  <c r="AV12" i="11"/>
  <c r="AU7" i="11"/>
  <c r="AV7" i="11"/>
  <c r="AW7" i="11"/>
  <c r="AX7" i="11"/>
  <c r="AY7" i="11"/>
  <c r="AZ7" i="11"/>
  <c r="BA7" i="11" s="1"/>
  <c r="AU29" i="11"/>
  <c r="AV29" i="11"/>
  <c r="AW29" i="11"/>
  <c r="AX29" i="11"/>
  <c r="AY29" i="11"/>
  <c r="AZ29" i="11"/>
  <c r="BA29" i="11" s="1"/>
  <c r="AU43" i="11"/>
  <c r="AV43" i="11"/>
  <c r="AW43" i="11"/>
  <c r="AX43" i="11"/>
  <c r="AY43" i="11"/>
  <c r="AZ43" i="11"/>
  <c r="BA43" i="11" s="1"/>
  <c r="AU75" i="11"/>
  <c r="AV75" i="11"/>
  <c r="AW75" i="11"/>
  <c r="AX75" i="11"/>
  <c r="AY75" i="11"/>
  <c r="AZ75" i="11"/>
  <c r="AU86" i="11"/>
  <c r="AV86" i="11"/>
  <c r="AW86" i="11"/>
  <c r="AX86" i="11"/>
  <c r="AY86" i="11"/>
  <c r="AZ86" i="11"/>
  <c r="AU81" i="15"/>
  <c r="AV81" i="15"/>
  <c r="AW81" i="15"/>
  <c r="AX81" i="15"/>
  <c r="AY81" i="15"/>
  <c r="AZ81" i="15"/>
  <c r="BA81" i="15" s="1"/>
  <c r="AZ69" i="15"/>
  <c r="AY69" i="15"/>
  <c r="AX69" i="15"/>
  <c r="AW69" i="15"/>
  <c r="AV69" i="15"/>
  <c r="AU69" i="15"/>
  <c r="AU65" i="15"/>
  <c r="AV65" i="15"/>
  <c r="AW65" i="15"/>
  <c r="AX65" i="15"/>
  <c r="AY65" i="15"/>
  <c r="AZ65" i="15"/>
  <c r="AZ33" i="13" l="1"/>
  <c r="AW105" i="19"/>
  <c r="AZ115" i="19"/>
  <c r="AU105" i="27"/>
  <c r="AX115" i="27"/>
  <c r="AZ105" i="13"/>
  <c r="AX78" i="13"/>
  <c r="AX76" i="13" s="1"/>
  <c r="AV87" i="13"/>
  <c r="AV89" i="13" s="1"/>
  <c r="AY105" i="13"/>
  <c r="BA100" i="25"/>
  <c r="AV100" i="11"/>
  <c r="AW105" i="18"/>
  <c r="AZ105" i="22"/>
  <c r="AU115" i="22"/>
  <c r="AW105" i="20"/>
  <c r="AZ115" i="20"/>
  <c r="AW87" i="13"/>
  <c r="AW89" i="13" s="1"/>
  <c r="AZ105" i="25"/>
  <c r="AU115" i="25"/>
  <c r="AZ105" i="26"/>
  <c r="AX105" i="22"/>
  <c r="AZ105" i="27"/>
  <c r="BA105" i="14"/>
  <c r="AY115" i="14"/>
  <c r="AU115" i="27"/>
  <c r="AU105" i="19"/>
  <c r="AX115" i="19"/>
  <c r="BA105" i="20"/>
  <c r="AV115" i="20"/>
  <c r="AX105" i="23"/>
  <c r="AW105" i="14"/>
  <c r="AW100" i="14"/>
  <c r="AZ105" i="18"/>
  <c r="AU115" i="18"/>
  <c r="AX105" i="26"/>
  <c r="AU115" i="14"/>
  <c r="AU115" i="13"/>
  <c r="AU115" i="23"/>
  <c r="AY105" i="20"/>
  <c r="BA105" i="17"/>
  <c r="AW105" i="27"/>
  <c r="AZ115" i="27"/>
  <c r="AW105" i="25"/>
  <c r="AV105" i="22"/>
  <c r="AU105" i="20"/>
  <c r="AX115" i="20"/>
  <c r="AY100" i="14"/>
  <c r="AY105" i="27"/>
  <c r="AW115" i="19"/>
  <c r="AX100" i="14"/>
  <c r="AU100" i="11"/>
  <c r="AY47" i="13"/>
  <c r="AY44" i="13" s="1"/>
  <c r="BA100" i="26"/>
  <c r="AW78" i="13"/>
  <c r="AW76" i="13" s="1"/>
  <c r="AV100" i="14"/>
  <c r="AU100" i="14"/>
  <c r="AZ100" i="14"/>
  <c r="AY100" i="11"/>
  <c r="AX100" i="11"/>
  <c r="AW100" i="11"/>
  <c r="AZ100" i="11"/>
  <c r="AV105" i="27"/>
  <c r="AY115" i="27"/>
  <c r="BA105" i="26"/>
  <c r="AU105" i="25"/>
  <c r="AW105" i="23"/>
  <c r="AY105" i="18"/>
  <c r="AX105" i="13"/>
  <c r="AX105" i="27"/>
  <c r="BA115" i="27"/>
  <c r="AW105" i="26"/>
  <c r="AY105" i="25"/>
  <c r="BA105" i="23"/>
  <c r="AW115" i="27"/>
  <c r="BA105" i="25"/>
  <c r="AU105" i="23"/>
  <c r="AX105" i="20"/>
  <c r="BA115" i="20"/>
  <c r="AU115" i="26"/>
  <c r="AV105" i="23"/>
  <c r="BA105" i="22"/>
  <c r="AV105" i="20"/>
  <c r="AY115" i="20"/>
  <c r="AZ105" i="19"/>
  <c r="AU115" i="19"/>
  <c r="AZ115" i="14"/>
  <c r="AU105" i="17"/>
  <c r="AU105" i="14"/>
  <c r="BA115" i="14"/>
  <c r="AY105" i="23"/>
  <c r="AV105" i="13"/>
  <c r="BA105" i="27"/>
  <c r="AV115" i="27"/>
  <c r="AV105" i="26"/>
  <c r="AZ105" i="23"/>
  <c r="AW105" i="22"/>
  <c r="AZ105" i="20"/>
  <c r="AU115" i="20"/>
  <c r="AX105" i="17"/>
  <c r="AX105" i="14"/>
  <c r="AV115" i="14"/>
  <c r="AY105" i="22"/>
  <c r="AW115" i="20"/>
  <c r="AV105" i="18"/>
  <c r="AZ105" i="17"/>
  <c r="AU115" i="17"/>
  <c r="AZ105" i="14"/>
  <c r="AX115" i="14"/>
  <c r="BA105" i="13"/>
  <c r="AU105" i="13"/>
  <c r="AY11" i="13"/>
  <c r="AY9" i="13" s="1"/>
  <c r="AV105" i="19"/>
  <c r="AY115" i="19"/>
  <c r="AX105" i="18"/>
  <c r="AV105" i="25"/>
  <c r="AX105" i="19"/>
  <c r="BA115" i="19"/>
  <c r="AX105" i="25"/>
  <c r="AY105" i="17"/>
  <c r="AY105" i="14"/>
  <c r="AW115" i="14"/>
  <c r="BA105" i="19"/>
  <c r="AU105" i="18"/>
  <c r="AY115" i="13"/>
  <c r="AX126" i="13"/>
  <c r="AU105" i="26"/>
  <c r="AV128" i="26"/>
  <c r="AU130" i="26"/>
  <c r="AW115" i="26"/>
  <c r="AV127" i="26"/>
  <c r="AW129" i="26" s="1"/>
  <c r="AY115" i="25"/>
  <c r="AX126" i="25"/>
  <c r="AY128" i="25" s="1"/>
  <c r="BA115" i="22"/>
  <c r="AZ126" i="22"/>
  <c r="AY115" i="18"/>
  <c r="AX126" i="18"/>
  <c r="AX115" i="17"/>
  <c r="AW126" i="17"/>
  <c r="AV33" i="13"/>
  <c r="AV31" i="13" s="1"/>
  <c r="AZ78" i="13"/>
  <c r="AZ76" i="13" s="1"/>
  <c r="AX87" i="13"/>
  <c r="AX89" i="13" s="1"/>
  <c r="AZ115" i="13"/>
  <c r="AY126" i="13"/>
  <c r="AW128" i="26"/>
  <c r="AZ115" i="25"/>
  <c r="AY126" i="25"/>
  <c r="AV115" i="23"/>
  <c r="AU126" i="23"/>
  <c r="AZ128" i="18"/>
  <c r="AZ130" i="18" s="1"/>
  <c r="AV105" i="17"/>
  <c r="AY115" i="17"/>
  <c r="AX126" i="17"/>
  <c r="AV105" i="14"/>
  <c r="AW11" i="13"/>
  <c r="AW9" i="13" s="1"/>
  <c r="AU33" i="13"/>
  <c r="AU32" i="13" s="1"/>
  <c r="AY78" i="13"/>
  <c r="AY76" i="13" s="1"/>
  <c r="BA115" i="13"/>
  <c r="AZ126" i="13"/>
  <c r="AX115" i="26"/>
  <c r="AW126" i="26"/>
  <c r="BA115" i="25"/>
  <c r="AZ126" i="25"/>
  <c r="AW115" i="23"/>
  <c r="AV126" i="23"/>
  <c r="AX115" i="23"/>
  <c r="AW127" i="23"/>
  <c r="AX129" i="23" s="1"/>
  <c r="AY105" i="19"/>
  <c r="BA105" i="18"/>
  <c r="BA115" i="18"/>
  <c r="AZ128" i="17"/>
  <c r="AY78" i="14"/>
  <c r="AY76" i="14" s="1"/>
  <c r="AY115" i="26"/>
  <c r="AX126" i="26"/>
  <c r="AX128" i="23"/>
  <c r="AV115" i="22"/>
  <c r="AU126" i="22"/>
  <c r="BA115" i="17"/>
  <c r="AZ126" i="17"/>
  <c r="AX78" i="14"/>
  <c r="AY105" i="26"/>
  <c r="AZ115" i="26"/>
  <c r="AY126" i="26"/>
  <c r="BA115" i="26"/>
  <c r="AZ127" i="26"/>
  <c r="AY115" i="23"/>
  <c r="AX126" i="23"/>
  <c r="AW115" i="22"/>
  <c r="AV126" i="22"/>
  <c r="AV115" i="19"/>
  <c r="AV128" i="13"/>
  <c r="AU130" i="13"/>
  <c r="AV115" i="26"/>
  <c r="AV115" i="25"/>
  <c r="AU126" i="25"/>
  <c r="AZ115" i="23"/>
  <c r="AY126" i="23"/>
  <c r="AX128" i="22"/>
  <c r="AV128" i="18"/>
  <c r="AU130" i="18"/>
  <c r="AX33" i="14"/>
  <c r="AX31" i="14" s="1"/>
  <c r="AV78" i="14"/>
  <c r="AW115" i="13"/>
  <c r="AV126" i="13"/>
  <c r="AW115" i="25"/>
  <c r="AV126" i="25"/>
  <c r="AW128" i="25" s="1"/>
  <c r="AY115" i="22"/>
  <c r="AX126" i="22"/>
  <c r="AW115" i="18"/>
  <c r="AV126" i="18"/>
  <c r="AV115" i="17"/>
  <c r="AU126" i="17"/>
  <c r="AX33" i="13"/>
  <c r="AX31" i="13" s="1"/>
  <c r="AW33" i="14"/>
  <c r="AW31" i="14" s="1"/>
  <c r="AX115" i="13"/>
  <c r="AW126" i="13"/>
  <c r="AX115" i="25"/>
  <c r="AW126" i="25"/>
  <c r="AZ115" i="22"/>
  <c r="AY126" i="22"/>
  <c r="AX115" i="18"/>
  <c r="AW126" i="18"/>
  <c r="AW115" i="17"/>
  <c r="AV126" i="17"/>
  <c r="AW128" i="17" s="1"/>
  <c r="AY87" i="13"/>
  <c r="AY89" i="13" s="1"/>
  <c r="AV100" i="13"/>
  <c r="AX68" i="15"/>
  <c r="AY68" i="15"/>
  <c r="AV68" i="15"/>
  <c r="AU68" i="15"/>
  <c r="BA75" i="11"/>
  <c r="AZ68" i="15"/>
  <c r="BA86" i="11"/>
  <c r="AW68" i="15"/>
  <c r="AU47" i="13"/>
  <c r="AU44" i="13" s="1"/>
  <c r="AV47" i="13"/>
  <c r="AV44" i="13" s="1"/>
  <c r="AU105" i="22"/>
  <c r="AX115" i="22"/>
  <c r="AW105" i="17"/>
  <c r="AZ115" i="17"/>
  <c r="AY32" i="25"/>
  <c r="AX44" i="19"/>
  <c r="AU44" i="20"/>
  <c r="AY44" i="19"/>
  <c r="AW31" i="17"/>
  <c r="AW44" i="27"/>
  <c r="AU44" i="26"/>
  <c r="AW44" i="23"/>
  <c r="AV44" i="20"/>
  <c r="AU32" i="18"/>
  <c r="AX44" i="27"/>
  <c r="AY44" i="25"/>
  <c r="AX44" i="23"/>
  <c r="AW44" i="20"/>
  <c r="AU100" i="13"/>
  <c r="AX44" i="26"/>
  <c r="AV44" i="22"/>
  <c r="AZ44" i="18"/>
  <c r="AV31" i="17"/>
  <c r="AZ44" i="27"/>
  <c r="AW44" i="13"/>
  <c r="AX44" i="22"/>
  <c r="AV44" i="19"/>
  <c r="AY44" i="18"/>
  <c r="AY31" i="17"/>
  <c r="AW33" i="13"/>
  <c r="AX11" i="14"/>
  <c r="AZ99" i="14"/>
  <c r="BA99" i="14"/>
  <c r="AV115" i="13"/>
  <c r="AV115" i="18"/>
  <c r="BA115" i="23"/>
  <c r="AZ115" i="18"/>
  <c r="AW87" i="14"/>
  <c r="AW89" i="14" s="1"/>
  <c r="AU87" i="14"/>
  <c r="AU89" i="14" s="1"/>
  <c r="AZ87" i="14"/>
  <c r="AZ89" i="14" s="1"/>
  <c r="AY87" i="14"/>
  <c r="AY89" i="14" s="1"/>
  <c r="AX87" i="14"/>
  <c r="AX89" i="14" s="1"/>
  <c r="AW11" i="14"/>
  <c r="AW10" i="14" s="1"/>
  <c r="AV11" i="14"/>
  <c r="AV10" i="14" s="1"/>
  <c r="AU11" i="14"/>
  <c r="AU10" i="14" s="1"/>
  <c r="AW98" i="14"/>
  <c r="AU98" i="22"/>
  <c r="BA100" i="18"/>
  <c r="AW108" i="27"/>
  <c r="AV120" i="27" s="1"/>
  <c r="AV98" i="26"/>
  <c r="AZ98" i="14"/>
  <c r="AV98" i="22"/>
  <c r="BA86" i="20"/>
  <c r="AW98" i="20"/>
  <c r="AZ100" i="20"/>
  <c r="BA7" i="27"/>
  <c r="AX33" i="22"/>
  <c r="AX31" i="22" s="1"/>
  <c r="AZ87" i="25"/>
  <c r="AZ89" i="25" s="1"/>
  <c r="BA86" i="23"/>
  <c r="AY100" i="23"/>
  <c r="BA86" i="22"/>
  <c r="AW11" i="26"/>
  <c r="AW10" i="26" s="1"/>
  <c r="BA29" i="26"/>
  <c r="AZ47" i="26"/>
  <c r="AW98" i="25"/>
  <c r="BA43" i="23"/>
  <c r="AV33" i="22"/>
  <c r="BA75" i="22"/>
  <c r="AZ98" i="19"/>
  <c r="BA29" i="19"/>
  <c r="AW100" i="19"/>
  <c r="AU30" i="18"/>
  <c r="AY33" i="14"/>
  <c r="AU98" i="13"/>
  <c r="AZ47" i="22"/>
  <c r="AU11" i="13"/>
  <c r="AU8" i="13" s="1"/>
  <c r="AV33" i="19"/>
  <c r="AZ87" i="26"/>
  <c r="AZ89" i="26" s="1"/>
  <c r="AW11" i="25"/>
  <c r="AW8" i="25" s="1"/>
  <c r="BA29" i="20"/>
  <c r="AZ47" i="19"/>
  <c r="AV9" i="18"/>
  <c r="AZ45" i="17"/>
  <c r="AZ44" i="17"/>
  <c r="AZ46" i="17"/>
  <c r="AU100" i="27"/>
  <c r="BA29" i="22"/>
  <c r="AV100" i="22"/>
  <c r="AV78" i="22"/>
  <c r="AV110" i="22" s="1"/>
  <c r="AU110" i="20"/>
  <c r="AX110" i="19"/>
  <c r="AW121" i="19" s="1"/>
  <c r="AX123" i="19" s="1"/>
  <c r="AY32" i="17"/>
  <c r="AY100" i="13"/>
  <c r="AV100" i="27"/>
  <c r="AW33" i="25"/>
  <c r="BA43" i="22"/>
  <c r="BA75" i="23"/>
  <c r="AX11" i="25"/>
  <c r="AX8" i="25" s="1"/>
  <c r="AW33" i="22"/>
  <c r="AW87" i="19"/>
  <c r="AW89" i="19" s="1"/>
  <c r="AU46" i="17"/>
  <c r="AU45" i="17"/>
  <c r="AU44" i="17"/>
  <c r="AV46" i="17"/>
  <c r="AV44" i="17"/>
  <c r="AV45" i="17"/>
  <c r="BA43" i="27"/>
  <c r="AZ87" i="13"/>
  <c r="AZ89" i="13" s="1"/>
  <c r="AY100" i="27"/>
  <c r="AY108" i="25"/>
  <c r="AX120" i="25" s="1"/>
  <c r="BA100" i="19"/>
  <c r="AW44" i="17"/>
  <c r="AW46" i="17"/>
  <c r="AW45" i="17"/>
  <c r="AU100" i="22"/>
  <c r="AV98" i="19"/>
  <c r="AV11" i="13"/>
  <c r="AV10" i="13" s="1"/>
  <c r="AX44" i="17"/>
  <c r="AX46" i="17"/>
  <c r="AX45" i="17"/>
  <c r="AW9" i="18"/>
  <c r="AY109" i="14"/>
  <c r="AX109" i="14"/>
  <c r="AY77" i="18"/>
  <c r="BA43" i="13"/>
  <c r="BA86" i="27"/>
  <c r="BA100" i="27" s="1"/>
  <c r="AW98" i="27"/>
  <c r="AY78" i="25"/>
  <c r="AZ98" i="25"/>
  <c r="AV47" i="23"/>
  <c r="AZ100" i="22"/>
  <c r="AV33" i="20"/>
  <c r="AY47" i="20"/>
  <c r="AW100" i="18"/>
  <c r="AU33" i="17"/>
  <c r="AY100" i="17"/>
  <c r="AY47" i="27"/>
  <c r="AX98" i="27"/>
  <c r="AZ11" i="26"/>
  <c r="AZ9" i="26" s="1"/>
  <c r="AV47" i="25"/>
  <c r="AU87" i="25"/>
  <c r="AU89" i="25" s="1"/>
  <c r="AY47" i="23"/>
  <c r="AU47" i="22"/>
  <c r="AY100" i="22"/>
  <c r="AY11" i="20"/>
  <c r="AY9" i="20" s="1"/>
  <c r="AZ47" i="20"/>
  <c r="AU100" i="20"/>
  <c r="AY98" i="19"/>
  <c r="AW47" i="18"/>
  <c r="AU87" i="18"/>
  <c r="AU89" i="18" s="1"/>
  <c r="AU98" i="17"/>
  <c r="AZ33" i="14"/>
  <c r="AZ47" i="13"/>
  <c r="AW47" i="25"/>
  <c r="BA29" i="23"/>
  <c r="AZ47" i="23"/>
  <c r="AV98" i="23"/>
  <c r="AU33" i="19"/>
  <c r="AX98" i="18"/>
  <c r="AX101" i="18" s="1"/>
  <c r="AX106" i="18" s="1"/>
  <c r="AV10" i="18"/>
  <c r="AU31" i="18"/>
  <c r="AU78" i="18"/>
  <c r="BA29" i="17"/>
  <c r="AY47" i="17"/>
  <c r="BA86" i="14"/>
  <c r="AU9" i="27"/>
  <c r="AV87" i="27"/>
  <c r="AV89" i="27" s="1"/>
  <c r="AW100" i="27"/>
  <c r="AU33" i="26"/>
  <c r="AU87" i="26"/>
  <c r="AU89" i="26" s="1"/>
  <c r="AW98" i="26"/>
  <c r="AX33" i="25"/>
  <c r="AU100" i="23"/>
  <c r="AU11" i="22"/>
  <c r="AW47" i="22"/>
  <c r="AY11" i="18"/>
  <c r="AY8" i="18" s="1"/>
  <c r="AX33" i="18"/>
  <c r="AX87" i="17"/>
  <c r="AX89" i="17" s="1"/>
  <c r="AV78" i="27"/>
  <c r="AV76" i="27" s="1"/>
  <c r="AW87" i="27"/>
  <c r="AW89" i="27" s="1"/>
  <c r="AX100" i="27"/>
  <c r="BA7" i="25"/>
  <c r="AW78" i="25"/>
  <c r="AW76" i="25" s="1"/>
  <c r="AV100" i="23"/>
  <c r="AU110" i="22"/>
  <c r="AX47" i="18"/>
  <c r="AW78" i="14"/>
  <c r="AW76" i="14" s="1"/>
  <c r="AY87" i="25"/>
  <c r="AY89" i="25" s="1"/>
  <c r="AU11" i="19"/>
  <c r="AU8" i="19" s="1"/>
  <c r="AV33" i="27"/>
  <c r="AX33" i="26"/>
  <c r="AW47" i="26"/>
  <c r="AV11" i="22"/>
  <c r="AV10" i="22" s="1"/>
  <c r="AU47" i="19"/>
  <c r="AX100" i="19"/>
  <c r="AX33" i="17"/>
  <c r="BA43" i="17"/>
  <c r="AW78" i="17"/>
  <c r="AW76" i="17" s="1"/>
  <c r="AZ78" i="17"/>
  <c r="BA86" i="17"/>
  <c r="AV87" i="14"/>
  <c r="AV89" i="14" s="1"/>
  <c r="AU78" i="14"/>
  <c r="AV33" i="14"/>
  <c r="AZ11" i="13"/>
  <c r="AZ8" i="13" s="1"/>
  <c r="AZ98" i="13"/>
  <c r="AZ32" i="13"/>
  <c r="AZ31" i="13"/>
  <c r="AZ30" i="13"/>
  <c r="AY98" i="13"/>
  <c r="AV32" i="26"/>
  <c r="AV31" i="26"/>
  <c r="AV30" i="26"/>
  <c r="AZ10" i="27"/>
  <c r="AZ9" i="27"/>
  <c r="AZ8" i="27"/>
  <c r="AV47" i="27"/>
  <c r="AX32" i="27"/>
  <c r="AX31" i="27"/>
  <c r="AX30" i="27"/>
  <c r="AX76" i="27"/>
  <c r="AX110" i="27"/>
  <c r="AW121" i="27" s="1"/>
  <c r="AX123" i="27" s="1"/>
  <c r="AY76" i="17"/>
  <c r="AY110" i="17"/>
  <c r="AX121" i="17" s="1"/>
  <c r="AY123" i="17" s="1"/>
  <c r="AY32" i="27"/>
  <c r="AY31" i="27"/>
  <c r="AY30" i="27"/>
  <c r="AY76" i="27"/>
  <c r="AY110" i="27"/>
  <c r="AX121" i="27" s="1"/>
  <c r="AY123" i="27" s="1"/>
  <c r="AX10" i="27"/>
  <c r="AX9" i="27"/>
  <c r="AX8" i="27"/>
  <c r="AX108" i="27"/>
  <c r="AW120" i="27" s="1"/>
  <c r="AU76" i="13"/>
  <c r="AU110" i="13"/>
  <c r="AU98" i="27"/>
  <c r="AW76" i="26"/>
  <c r="AW110" i="26"/>
  <c r="AV121" i="26" s="1"/>
  <c r="AW123" i="26" s="1"/>
  <c r="AY10" i="27"/>
  <c r="AY9" i="27"/>
  <c r="AY8" i="27"/>
  <c r="AZ100" i="13"/>
  <c r="BA75" i="13"/>
  <c r="BA100" i="13" s="1"/>
  <c r="AW32" i="27"/>
  <c r="AW31" i="27"/>
  <c r="AW30" i="27"/>
  <c r="AW10" i="13"/>
  <c r="AV76" i="13"/>
  <c r="AV10" i="27"/>
  <c r="AV9" i="27"/>
  <c r="AV8" i="27"/>
  <c r="AY31" i="25"/>
  <c r="AY30" i="25"/>
  <c r="BA29" i="13"/>
  <c r="AW76" i="27"/>
  <c r="AV76" i="25"/>
  <c r="AV110" i="25"/>
  <c r="AW10" i="27"/>
  <c r="AW9" i="27"/>
  <c r="AW8" i="27"/>
  <c r="AU78" i="26"/>
  <c r="AX47" i="25"/>
  <c r="AX11" i="13"/>
  <c r="AY33" i="13"/>
  <c r="AX47" i="13"/>
  <c r="AV98" i="27"/>
  <c r="AX98" i="26"/>
  <c r="AV76" i="26"/>
  <c r="AU76" i="25"/>
  <c r="AX110" i="25"/>
  <c r="AW121" i="25" s="1"/>
  <c r="AX123" i="25" s="1"/>
  <c r="AX77" i="25"/>
  <c r="AZ98" i="26"/>
  <c r="AW32" i="26"/>
  <c r="AW31" i="26"/>
  <c r="AW30" i="26"/>
  <c r="AV98" i="13"/>
  <c r="AY98" i="27"/>
  <c r="BA7" i="26"/>
  <c r="AV87" i="26"/>
  <c r="AV89" i="26" s="1"/>
  <c r="AU10" i="25"/>
  <c r="AU9" i="25"/>
  <c r="AU8" i="25"/>
  <c r="AX10" i="23"/>
  <c r="AX9" i="23"/>
  <c r="AX8" i="23"/>
  <c r="AX108" i="23"/>
  <c r="AW120" i="23" s="1"/>
  <c r="AY98" i="25"/>
  <c r="AW98" i="13"/>
  <c r="AW100" i="13"/>
  <c r="AZ98" i="27"/>
  <c r="AZ100" i="27"/>
  <c r="AY32" i="26"/>
  <c r="AY31" i="26"/>
  <c r="AY30" i="26"/>
  <c r="AV47" i="26"/>
  <c r="AV98" i="25"/>
  <c r="AV11" i="25"/>
  <c r="AU76" i="23"/>
  <c r="AU110" i="23"/>
  <c r="BA7" i="13"/>
  <c r="AX98" i="13"/>
  <c r="AX100" i="13"/>
  <c r="AX110" i="26"/>
  <c r="AW121" i="26" s="1"/>
  <c r="AX123" i="26" s="1"/>
  <c r="AX77" i="26"/>
  <c r="AU32" i="23"/>
  <c r="AU31" i="23"/>
  <c r="AU30" i="23"/>
  <c r="AY110" i="26"/>
  <c r="AX121" i="26" s="1"/>
  <c r="AY123" i="26" s="1"/>
  <c r="AY76" i="26"/>
  <c r="AW10" i="23"/>
  <c r="AW9" i="23"/>
  <c r="AW8" i="23"/>
  <c r="AW108" i="23"/>
  <c r="AV120" i="23" s="1"/>
  <c r="AZ33" i="27"/>
  <c r="AZ78" i="27"/>
  <c r="AV32" i="23"/>
  <c r="AV31" i="23"/>
  <c r="AV30" i="23"/>
  <c r="BA33" i="23"/>
  <c r="BA7" i="22"/>
  <c r="AZ98" i="22"/>
  <c r="AZ11" i="22"/>
  <c r="AU98" i="20"/>
  <c r="AY47" i="26"/>
  <c r="AY10" i="25"/>
  <c r="AY9" i="25"/>
  <c r="AY8" i="25"/>
  <c r="AV32" i="25"/>
  <c r="AV31" i="25"/>
  <c r="AV30" i="25"/>
  <c r="AY98" i="26"/>
  <c r="AY11" i="26"/>
  <c r="AZ33" i="26"/>
  <c r="AZ78" i="26"/>
  <c r="AV10" i="23"/>
  <c r="AV9" i="23"/>
  <c r="AV8" i="23"/>
  <c r="AX30" i="22"/>
  <c r="AY10" i="23"/>
  <c r="AY9" i="23"/>
  <c r="AY8" i="23"/>
  <c r="AW32" i="23"/>
  <c r="AW31" i="23"/>
  <c r="AW30" i="23"/>
  <c r="AU47" i="23"/>
  <c r="AV76" i="23"/>
  <c r="AW10" i="22"/>
  <c r="AW8" i="22"/>
  <c r="AZ30" i="18"/>
  <c r="AZ31" i="18"/>
  <c r="AZ108" i="18"/>
  <c r="AY120" i="18" s="1"/>
  <c r="AZ32" i="18"/>
  <c r="AU98" i="26"/>
  <c r="AU11" i="26"/>
  <c r="AZ47" i="25"/>
  <c r="BA43" i="25"/>
  <c r="AZ98" i="23"/>
  <c r="AZ11" i="23"/>
  <c r="BA11" i="23" s="1"/>
  <c r="AX32" i="23"/>
  <c r="AX31" i="23"/>
  <c r="AX30" i="23"/>
  <c r="AW76" i="23"/>
  <c r="AW110" i="23"/>
  <c r="AV121" i="23" s="1"/>
  <c r="AW123" i="23" s="1"/>
  <c r="AX98" i="22"/>
  <c r="AU11" i="20"/>
  <c r="AZ33" i="20"/>
  <c r="AV11" i="26"/>
  <c r="AX98" i="25"/>
  <c r="AU32" i="25"/>
  <c r="AU31" i="25"/>
  <c r="AU30" i="25"/>
  <c r="AY32" i="23"/>
  <c r="AY31" i="23"/>
  <c r="AY30" i="23"/>
  <c r="AX76" i="23"/>
  <c r="AX110" i="23"/>
  <c r="AW121" i="23" s="1"/>
  <c r="AX123" i="23" s="1"/>
  <c r="AV110" i="23"/>
  <c r="AW9" i="22"/>
  <c r="AY32" i="22"/>
  <c r="AY31" i="22"/>
  <c r="AY30" i="22"/>
  <c r="AX110" i="22"/>
  <c r="AW121" i="22" s="1"/>
  <c r="AX123" i="22" s="1"/>
  <c r="AX77" i="22"/>
  <c r="AW87" i="22"/>
  <c r="AW89" i="22" s="1"/>
  <c r="AX100" i="22"/>
  <c r="AZ32" i="23"/>
  <c r="AZ31" i="23"/>
  <c r="AZ30" i="23"/>
  <c r="AY76" i="23"/>
  <c r="AY110" i="23"/>
  <c r="AX121" i="23" s="1"/>
  <c r="AY123" i="23" s="1"/>
  <c r="AW100" i="22"/>
  <c r="AW78" i="22"/>
  <c r="AX33" i="19"/>
  <c r="AX98" i="19"/>
  <c r="AX11" i="26"/>
  <c r="AZ10" i="25"/>
  <c r="AZ9" i="25"/>
  <c r="AZ8" i="25"/>
  <c r="AU47" i="25"/>
  <c r="AU10" i="23"/>
  <c r="AU9" i="23"/>
  <c r="AU8" i="23"/>
  <c r="AZ76" i="23"/>
  <c r="AZ110" i="23"/>
  <c r="AY121" i="23" s="1"/>
  <c r="AZ123" i="23" s="1"/>
  <c r="AU98" i="23"/>
  <c r="AZ33" i="25"/>
  <c r="AZ78" i="25"/>
  <c r="AW98" i="23"/>
  <c r="AW100" i="23"/>
  <c r="AZ32" i="22"/>
  <c r="AZ31" i="22"/>
  <c r="AZ30" i="22"/>
  <c r="AU98" i="25"/>
  <c r="AX98" i="23"/>
  <c r="AX100" i="23"/>
  <c r="AY76" i="22"/>
  <c r="AY98" i="23"/>
  <c r="AY47" i="22"/>
  <c r="AZ76" i="22"/>
  <c r="AX98" i="20"/>
  <c r="AX11" i="20"/>
  <c r="AU110" i="19"/>
  <c r="AU76" i="19"/>
  <c r="AZ100" i="23"/>
  <c r="AW98" i="22"/>
  <c r="AU32" i="22"/>
  <c r="AU31" i="22"/>
  <c r="AU30" i="22"/>
  <c r="AY98" i="20"/>
  <c r="AY101" i="20" s="1"/>
  <c r="AV76" i="20"/>
  <c r="AV110" i="20"/>
  <c r="AV123" i="20" s="1"/>
  <c r="AX10" i="22"/>
  <c r="AX9" i="22"/>
  <c r="AX8" i="22"/>
  <c r="AY98" i="22"/>
  <c r="AY110" i="22"/>
  <c r="AX121" i="22" s="1"/>
  <c r="AY123" i="22" s="1"/>
  <c r="AZ98" i="20"/>
  <c r="BA7" i="20"/>
  <c r="AZ11" i="20"/>
  <c r="AW76" i="20"/>
  <c r="AW110" i="20"/>
  <c r="AV121" i="20" s="1"/>
  <c r="AW123" i="20" s="1"/>
  <c r="AY10" i="22"/>
  <c r="AY9" i="22"/>
  <c r="AY8" i="22"/>
  <c r="AU76" i="22"/>
  <c r="AZ110" i="22"/>
  <c r="AY121" i="22" s="1"/>
  <c r="AZ123" i="22" s="1"/>
  <c r="AY33" i="20"/>
  <c r="AX76" i="20"/>
  <c r="AX110" i="20"/>
  <c r="AW121" i="20" s="1"/>
  <c r="AX123" i="20" s="1"/>
  <c r="AZ78" i="20"/>
  <c r="AU100" i="19"/>
  <c r="AU101" i="19" s="1"/>
  <c r="AU106" i="19" s="1"/>
  <c r="AU33" i="20"/>
  <c r="AV98" i="20"/>
  <c r="AV11" i="20"/>
  <c r="AW33" i="20"/>
  <c r="BA75" i="20"/>
  <c r="AW10" i="19"/>
  <c r="AW9" i="19"/>
  <c r="AW8" i="19"/>
  <c r="AV100" i="19"/>
  <c r="AV30" i="18"/>
  <c r="AV32" i="18"/>
  <c r="AV31" i="18"/>
  <c r="AW11" i="20"/>
  <c r="AX33" i="20"/>
  <c r="AX10" i="19"/>
  <c r="AX9" i="19"/>
  <c r="AX8" i="19"/>
  <c r="AX10" i="18"/>
  <c r="AX8" i="18"/>
  <c r="AU47" i="18"/>
  <c r="AV76" i="18"/>
  <c r="AV110" i="18"/>
  <c r="AU76" i="20"/>
  <c r="AW32" i="19"/>
  <c r="AW31" i="19"/>
  <c r="AW30" i="19"/>
  <c r="AY30" i="18"/>
  <c r="AY31" i="18"/>
  <c r="AY32" i="18"/>
  <c r="AX47" i="20"/>
  <c r="AY78" i="20"/>
  <c r="AW98" i="19"/>
  <c r="AV98" i="17"/>
  <c r="AV11" i="17"/>
  <c r="AV100" i="20"/>
  <c r="AV11" i="19"/>
  <c r="AY33" i="19"/>
  <c r="AV78" i="19"/>
  <c r="AU98" i="18"/>
  <c r="AU101" i="18" s="1"/>
  <c r="AV47" i="18"/>
  <c r="AX110" i="18"/>
  <c r="AW121" i="18" s="1"/>
  <c r="AX123" i="18" s="1"/>
  <c r="AX77" i="18"/>
  <c r="AW100" i="20"/>
  <c r="AZ32" i="19"/>
  <c r="AZ31" i="19"/>
  <c r="AZ30" i="19"/>
  <c r="AW76" i="19"/>
  <c r="AV98" i="18"/>
  <c r="AV101" i="18" s="1"/>
  <c r="AW8" i="18"/>
  <c r="AZ100" i="18"/>
  <c r="AX100" i="20"/>
  <c r="AX76" i="19"/>
  <c r="AW98" i="18"/>
  <c r="AZ110" i="18"/>
  <c r="AY121" i="18" s="1"/>
  <c r="AZ123" i="18" s="1"/>
  <c r="AZ76" i="18"/>
  <c r="AY11" i="19"/>
  <c r="AY76" i="19"/>
  <c r="AY110" i="19"/>
  <c r="AX121" i="19" s="1"/>
  <c r="AY123" i="19" s="1"/>
  <c r="AU11" i="18"/>
  <c r="BA29" i="18"/>
  <c r="AW32" i="17"/>
  <c r="AW30" i="17"/>
  <c r="AZ31" i="17"/>
  <c r="AZ30" i="17"/>
  <c r="AZ32" i="17"/>
  <c r="AZ11" i="19"/>
  <c r="AW47" i="19"/>
  <c r="AZ76" i="19"/>
  <c r="AV76" i="17"/>
  <c r="AV110" i="17"/>
  <c r="AU98" i="14"/>
  <c r="AU33" i="14"/>
  <c r="BA75" i="14"/>
  <c r="AZ78" i="14"/>
  <c r="AY100" i="19"/>
  <c r="AY98" i="18"/>
  <c r="AW76" i="18"/>
  <c r="AW98" i="17"/>
  <c r="AW101" i="17" s="1"/>
  <c r="AZ100" i="19"/>
  <c r="AZ8" i="18"/>
  <c r="AZ9" i="18"/>
  <c r="AY110" i="18"/>
  <c r="AX121" i="18" s="1"/>
  <c r="AY123" i="18" s="1"/>
  <c r="AZ87" i="19"/>
  <c r="AZ89" i="19" s="1"/>
  <c r="AW32" i="18"/>
  <c r="AW31" i="18"/>
  <c r="AW30" i="18"/>
  <c r="BA43" i="18"/>
  <c r="AY100" i="18"/>
  <c r="AW110" i="18"/>
  <c r="AV121" i="18" s="1"/>
  <c r="AW123" i="18" s="1"/>
  <c r="AY10" i="17"/>
  <c r="AY9" i="17"/>
  <c r="AY8" i="17"/>
  <c r="AW11" i="17"/>
  <c r="BA43" i="19"/>
  <c r="AZ98" i="18"/>
  <c r="AZ98" i="17"/>
  <c r="AZ11" i="17"/>
  <c r="AY98" i="14"/>
  <c r="AY11" i="14"/>
  <c r="AV32" i="17"/>
  <c r="AY98" i="17"/>
  <c r="AU11" i="17"/>
  <c r="AV30" i="17"/>
  <c r="AX10" i="14"/>
  <c r="AX9" i="14"/>
  <c r="AX8" i="14"/>
  <c r="BA75" i="17"/>
  <c r="AZ100" i="17"/>
  <c r="AX98" i="17"/>
  <c r="AX101" i="17" s="1"/>
  <c r="AX11" i="17"/>
  <c r="AY30" i="17"/>
  <c r="BA29" i="14"/>
  <c r="AX76" i="17"/>
  <c r="AU76" i="17"/>
  <c r="AU110" i="17"/>
  <c r="AV76" i="14"/>
  <c r="AZ11" i="14"/>
  <c r="BA7" i="14"/>
  <c r="AV98" i="14"/>
  <c r="AU100" i="17"/>
  <c r="AX98" i="14"/>
  <c r="AV100" i="17"/>
  <c r="BA65" i="15"/>
  <c r="AV110" i="13" l="1"/>
  <c r="AX32" i="14"/>
  <c r="BA100" i="20"/>
  <c r="AW101" i="14"/>
  <c r="AW106" i="14" s="1"/>
  <c r="AW8" i="13"/>
  <c r="AW108" i="13"/>
  <c r="AV120" i="13" s="1"/>
  <c r="AW122" i="13" s="1"/>
  <c r="AV32" i="13"/>
  <c r="AW32" i="14"/>
  <c r="AX110" i="13"/>
  <c r="AW121" i="13" s="1"/>
  <c r="AX123" i="13" s="1"/>
  <c r="AW30" i="14"/>
  <c r="AW110" i="13"/>
  <c r="AV121" i="13" s="1"/>
  <c r="AW123" i="13" s="1"/>
  <c r="AX110" i="14"/>
  <c r="AW121" i="14" s="1"/>
  <c r="AX123" i="14" s="1"/>
  <c r="AW106" i="17"/>
  <c r="AX76" i="14"/>
  <c r="AX77" i="14" s="1"/>
  <c r="AX106" i="17"/>
  <c r="AY110" i="14"/>
  <c r="AX121" i="14" s="1"/>
  <c r="AY123" i="14" s="1"/>
  <c r="AV30" i="13"/>
  <c r="BA100" i="14"/>
  <c r="AV106" i="18"/>
  <c r="BA98" i="26"/>
  <c r="BA101" i="26" s="1"/>
  <c r="BA106" i="26" s="1"/>
  <c r="AY110" i="13"/>
  <c r="AX121" i="13" s="1"/>
  <c r="AY123" i="13" s="1"/>
  <c r="AY106" i="20"/>
  <c r="AX30" i="14"/>
  <c r="AX108" i="14"/>
  <c r="AW120" i="14" s="1"/>
  <c r="AX122" i="14" s="1"/>
  <c r="AX32" i="22"/>
  <c r="BA100" i="11"/>
  <c r="AW8" i="14"/>
  <c r="AW9" i="14"/>
  <c r="AW110" i="19"/>
  <c r="AV121" i="19" s="1"/>
  <c r="AW123" i="19" s="1"/>
  <c r="AW108" i="14"/>
  <c r="AV120" i="14" s="1"/>
  <c r="AW122" i="14" s="1"/>
  <c r="AW30" i="13"/>
  <c r="AU8" i="14"/>
  <c r="AU9" i="14"/>
  <c r="AW31" i="13"/>
  <c r="AW32" i="13"/>
  <c r="AU106" i="18"/>
  <c r="AY8" i="13"/>
  <c r="AY10" i="13"/>
  <c r="AV101" i="13"/>
  <c r="AV106" i="13" s="1"/>
  <c r="AX32" i="13"/>
  <c r="AU101" i="13"/>
  <c r="AU106" i="13" s="1"/>
  <c r="AU30" i="13"/>
  <c r="AU31" i="13"/>
  <c r="AX30" i="13"/>
  <c r="AZ128" i="22"/>
  <c r="AZ130" i="22" s="1"/>
  <c r="AV128" i="17"/>
  <c r="AV130" i="17" s="1"/>
  <c r="AU130" i="17"/>
  <c r="AV128" i="22"/>
  <c r="AV130" i="22" s="1"/>
  <c r="AU130" i="22"/>
  <c r="AW130" i="26"/>
  <c r="AX128" i="26"/>
  <c r="AX130" i="26" s="1"/>
  <c r="AY130" i="25"/>
  <c r="AZ128" i="25"/>
  <c r="AZ130" i="25" s="1"/>
  <c r="AV128" i="25"/>
  <c r="AV130" i="25" s="1"/>
  <c r="AU130" i="25"/>
  <c r="AY128" i="17"/>
  <c r="AY130" i="17" s="1"/>
  <c r="AW130" i="17"/>
  <c r="AX128" i="17"/>
  <c r="AX130" i="17" s="1"/>
  <c r="AW130" i="25"/>
  <c r="AX128" i="25"/>
  <c r="AX130" i="25" s="1"/>
  <c r="AZ128" i="26"/>
  <c r="AZ130" i="26" s="1"/>
  <c r="AW128" i="18"/>
  <c r="AW130" i="18" s="1"/>
  <c r="AV130" i="18"/>
  <c r="AW128" i="22"/>
  <c r="AW130" i="22" s="1"/>
  <c r="AV130" i="26"/>
  <c r="AY128" i="18"/>
  <c r="AY130" i="18" s="1"/>
  <c r="AX128" i="13"/>
  <c r="AX130" i="13" s="1"/>
  <c r="AY128" i="26"/>
  <c r="AY130" i="26" s="1"/>
  <c r="AW128" i="23"/>
  <c r="AW130" i="23" s="1"/>
  <c r="AZ128" i="13"/>
  <c r="AZ130" i="13" s="1"/>
  <c r="AY128" i="23"/>
  <c r="AY130" i="23" s="1"/>
  <c r="AX130" i="23"/>
  <c r="AX128" i="18"/>
  <c r="AX130" i="18" s="1"/>
  <c r="AY128" i="22"/>
  <c r="AY130" i="22" s="1"/>
  <c r="AX130" i="22"/>
  <c r="AZ130" i="17"/>
  <c r="AV128" i="23"/>
  <c r="AV130" i="23" s="1"/>
  <c r="AU130" i="23"/>
  <c r="AY128" i="13"/>
  <c r="AY130" i="13" s="1"/>
  <c r="AW128" i="13"/>
  <c r="AW130" i="13" s="1"/>
  <c r="AV130" i="13"/>
  <c r="AZ128" i="23"/>
  <c r="AZ130" i="23" s="1"/>
  <c r="AU66" i="15"/>
  <c r="AU70" i="15" s="1"/>
  <c r="AZ66" i="15"/>
  <c r="AZ70" i="15" s="1"/>
  <c r="AV66" i="15"/>
  <c r="AV70" i="15" s="1"/>
  <c r="AW122" i="23"/>
  <c r="AW124" i="23" s="1"/>
  <c r="AV124" i="23"/>
  <c r="AX122" i="23"/>
  <c r="AW66" i="15"/>
  <c r="AW70" i="15" s="1"/>
  <c r="AY66" i="15"/>
  <c r="AY70" i="15" s="1"/>
  <c r="AZ122" i="18"/>
  <c r="AZ124" i="18" s="1"/>
  <c r="AY122" i="25"/>
  <c r="AX66" i="15"/>
  <c r="AX70" i="15" s="1"/>
  <c r="AW122" i="27"/>
  <c r="AZ101" i="19"/>
  <c r="AZ106" i="19" s="1"/>
  <c r="AU9" i="13"/>
  <c r="AX122" i="27"/>
  <c r="AW110" i="17"/>
  <c r="AV121" i="17" s="1"/>
  <c r="AW123" i="17" s="1"/>
  <c r="AW44" i="19"/>
  <c r="AV44" i="26"/>
  <c r="AU44" i="19"/>
  <c r="AV44" i="23"/>
  <c r="AZ44" i="22"/>
  <c r="AV32" i="27"/>
  <c r="AU108" i="14"/>
  <c r="AU44" i="18"/>
  <c r="AU44" i="25"/>
  <c r="AX108" i="19"/>
  <c r="AW120" i="19" s="1"/>
  <c r="AZ44" i="23"/>
  <c r="AW44" i="18"/>
  <c r="AY44" i="23"/>
  <c r="AU31" i="17"/>
  <c r="AW30" i="25"/>
  <c r="AV31" i="22"/>
  <c r="AY44" i="26"/>
  <c r="AX44" i="25"/>
  <c r="AV44" i="27"/>
  <c r="AW44" i="26"/>
  <c r="BA33" i="18"/>
  <c r="AX32" i="25"/>
  <c r="AU44" i="27"/>
  <c r="AV32" i="19"/>
  <c r="AY32" i="14"/>
  <c r="AZ44" i="25"/>
  <c r="AX44" i="20"/>
  <c r="AW44" i="25"/>
  <c r="AZ44" i="20"/>
  <c r="AV44" i="25"/>
  <c r="AY44" i="20"/>
  <c r="AZ44" i="19"/>
  <c r="AZ44" i="26"/>
  <c r="AZ44" i="13"/>
  <c r="AV31" i="20"/>
  <c r="AW31" i="22"/>
  <c r="AX108" i="22"/>
  <c r="AW120" i="22" s="1"/>
  <c r="AY44" i="22"/>
  <c r="AX31" i="17"/>
  <c r="AX44" i="18"/>
  <c r="AW44" i="22"/>
  <c r="AU30" i="19"/>
  <c r="AZ32" i="14"/>
  <c r="AV44" i="18"/>
  <c r="AX44" i="13"/>
  <c r="AU31" i="26"/>
  <c r="AU44" i="22"/>
  <c r="AY44" i="27"/>
  <c r="AW10" i="25"/>
  <c r="AW110" i="25"/>
  <c r="AV121" i="25" s="1"/>
  <c r="AW9" i="25"/>
  <c r="AX30" i="25"/>
  <c r="AV108" i="14"/>
  <c r="AV8" i="14"/>
  <c r="AV9" i="14"/>
  <c r="AW101" i="20"/>
  <c r="AW106" i="20" s="1"/>
  <c r="AZ110" i="13"/>
  <c r="AY121" i="13" s="1"/>
  <c r="AZ123" i="13" s="1"/>
  <c r="AW32" i="25"/>
  <c r="AV101" i="27"/>
  <c r="AV106" i="27" s="1"/>
  <c r="AU10" i="13"/>
  <c r="AU108" i="13"/>
  <c r="AU111" i="13" s="1"/>
  <c r="AX101" i="26"/>
  <c r="AX106" i="26" s="1"/>
  <c r="AU110" i="14"/>
  <c r="BA100" i="22"/>
  <c r="AU30" i="26"/>
  <c r="AV101" i="22"/>
  <c r="AV106" i="22" s="1"/>
  <c r="AZ8" i="26"/>
  <c r="AZ10" i="26"/>
  <c r="AU10" i="19"/>
  <c r="AY101" i="13"/>
  <c r="AY106" i="13" s="1"/>
  <c r="AU108" i="22"/>
  <c r="AU111" i="22" s="1"/>
  <c r="AV9" i="22"/>
  <c r="AU101" i="14"/>
  <c r="AU106" i="14" s="1"/>
  <c r="BA87" i="18"/>
  <c r="AW101" i="23"/>
  <c r="AW106" i="23" s="1"/>
  <c r="AU101" i="23"/>
  <c r="AU106" i="23" s="1"/>
  <c r="AY101" i="25"/>
  <c r="AY106" i="25" s="1"/>
  <c r="AW9" i="26"/>
  <c r="AV8" i="22"/>
  <c r="AW8" i="26"/>
  <c r="AW30" i="22"/>
  <c r="AV30" i="22"/>
  <c r="AW32" i="22"/>
  <c r="AV32" i="22"/>
  <c r="BA33" i="22"/>
  <c r="AV108" i="22"/>
  <c r="AU101" i="22"/>
  <c r="AU106" i="22" s="1"/>
  <c r="AZ101" i="14"/>
  <c r="AV8" i="13"/>
  <c r="AV31" i="27"/>
  <c r="AV101" i="26"/>
  <c r="AV106" i="26" s="1"/>
  <c r="AW110" i="14"/>
  <c r="BA87" i="23"/>
  <c r="AV101" i="25"/>
  <c r="AV106" i="25" s="1"/>
  <c r="BA98" i="23"/>
  <c r="AV108" i="27"/>
  <c r="AU101" i="20"/>
  <c r="AU106" i="20" s="1"/>
  <c r="AZ101" i="20"/>
  <c r="BA78" i="20"/>
  <c r="AV101" i="19"/>
  <c r="AV106" i="19" s="1"/>
  <c r="AU9" i="19"/>
  <c r="BA100" i="23"/>
  <c r="AZ31" i="14"/>
  <c r="AV108" i="23"/>
  <c r="AU110" i="18"/>
  <c r="AZ30" i="14"/>
  <c r="AU77" i="22"/>
  <c r="AY101" i="23"/>
  <c r="AY106" i="23" s="1"/>
  <c r="BA78" i="13"/>
  <c r="BA98" i="27"/>
  <c r="BA101" i="27" s="1"/>
  <c r="BA106" i="27" s="1"/>
  <c r="AW101" i="18"/>
  <c r="AW106" i="18" s="1"/>
  <c r="BA98" i="20"/>
  <c r="BA101" i="20" s="1"/>
  <c r="BA106" i="20" s="1"/>
  <c r="AZ108" i="26"/>
  <c r="AY120" i="26" s="1"/>
  <c r="BA78" i="17"/>
  <c r="AX31" i="25"/>
  <c r="AW101" i="25"/>
  <c r="AW106" i="25" s="1"/>
  <c r="AW101" i="19"/>
  <c r="AW106" i="19" s="1"/>
  <c r="AZ110" i="19"/>
  <c r="AY121" i="19" s="1"/>
  <c r="AZ123" i="19" s="1"/>
  <c r="AV31" i="19"/>
  <c r="BA98" i="19"/>
  <c r="BA101" i="19" s="1"/>
  <c r="BA106" i="19" s="1"/>
  <c r="BA11" i="25"/>
  <c r="AU110" i="25"/>
  <c r="AV108" i="13"/>
  <c r="AY30" i="14"/>
  <c r="AU32" i="17"/>
  <c r="AV9" i="13"/>
  <c r="AZ9" i="13"/>
  <c r="AU32" i="26"/>
  <c r="AW110" i="27"/>
  <c r="AW101" i="27"/>
  <c r="AW106" i="27" s="1"/>
  <c r="AY31" i="14"/>
  <c r="AZ77" i="19"/>
  <c r="AU30" i="17"/>
  <c r="AY101" i="22"/>
  <c r="AY106" i="22" s="1"/>
  <c r="AU76" i="18"/>
  <c r="AX9" i="25"/>
  <c r="AX10" i="25"/>
  <c r="BA87" i="27"/>
  <c r="AX101" i="23"/>
  <c r="AX106" i="23" s="1"/>
  <c r="AW108" i="22"/>
  <c r="AV120" i="22" s="1"/>
  <c r="AZ101" i="27"/>
  <c r="AW108" i="26"/>
  <c r="AV120" i="26" s="1"/>
  <c r="AV30" i="19"/>
  <c r="AX101" i="19"/>
  <c r="AX106" i="19" s="1"/>
  <c r="BA87" i="25"/>
  <c r="AU101" i="27"/>
  <c r="AU106" i="27" s="1"/>
  <c r="AV110" i="27"/>
  <c r="AV123" i="27" s="1"/>
  <c r="BA87" i="17"/>
  <c r="AX110" i="17"/>
  <c r="AW121" i="17" s="1"/>
  <c r="AX123" i="17" s="1"/>
  <c r="AU32" i="19"/>
  <c r="AY77" i="23"/>
  <c r="AY108" i="23"/>
  <c r="AX120" i="23" s="1"/>
  <c r="BA98" i="22"/>
  <c r="AZ10" i="13"/>
  <c r="AU31" i="19"/>
  <c r="AY101" i="26"/>
  <c r="AY106" i="26" s="1"/>
  <c r="BA47" i="27"/>
  <c r="AV76" i="22"/>
  <c r="AV101" i="23"/>
  <c r="AV106" i="23" s="1"/>
  <c r="AZ76" i="17"/>
  <c r="BA76" i="17" s="1"/>
  <c r="BA47" i="19"/>
  <c r="AW101" i="26"/>
  <c r="AW106" i="26" s="1"/>
  <c r="AX111" i="27"/>
  <c r="AX116" i="27" s="1"/>
  <c r="BA98" i="17"/>
  <c r="BA11" i="27"/>
  <c r="BA100" i="17"/>
  <c r="AV31" i="14"/>
  <c r="AZ110" i="17"/>
  <c r="AY121" i="17" s="1"/>
  <c r="AZ123" i="17" s="1"/>
  <c r="AV30" i="20"/>
  <c r="BA33" i="13"/>
  <c r="BA87" i="13"/>
  <c r="AV32" i="14"/>
  <c r="AW108" i="19"/>
  <c r="AV32" i="20"/>
  <c r="AW31" i="25"/>
  <c r="AY101" i="27"/>
  <c r="AY106" i="27" s="1"/>
  <c r="AU108" i="27"/>
  <c r="AZ101" i="22"/>
  <c r="AY108" i="27"/>
  <c r="AX120" i="27" s="1"/>
  <c r="AY122" i="27" s="1"/>
  <c r="AZ77" i="13"/>
  <c r="AU108" i="19"/>
  <c r="AU111" i="19" s="1"/>
  <c r="AU116" i="19" s="1"/>
  <c r="AY44" i="17"/>
  <c r="AY46" i="17"/>
  <c r="AY45" i="17"/>
  <c r="AX108" i="18"/>
  <c r="AW120" i="18" s="1"/>
  <c r="AW108" i="18"/>
  <c r="AV120" i="18" s="1"/>
  <c r="AY9" i="18"/>
  <c r="AY108" i="18"/>
  <c r="AX120" i="18" s="1"/>
  <c r="AY10" i="18"/>
  <c r="AY101" i="17"/>
  <c r="AY106" i="17" s="1"/>
  <c r="AV77" i="17"/>
  <c r="AU101" i="17"/>
  <c r="AU106" i="17" s="1"/>
  <c r="AY108" i="17"/>
  <c r="AX120" i="17" s="1"/>
  <c r="BA47" i="17"/>
  <c r="AX32" i="17"/>
  <c r="AX30" i="17"/>
  <c r="AY101" i="19"/>
  <c r="AY106" i="19" s="1"/>
  <c r="AV101" i="17"/>
  <c r="AV106" i="17" s="1"/>
  <c r="AV77" i="18"/>
  <c r="AW101" i="22"/>
  <c r="AW106" i="22" s="1"/>
  <c r="AU77" i="19"/>
  <c r="AZ77" i="23"/>
  <c r="AX101" i="27"/>
  <c r="AX106" i="27" s="1"/>
  <c r="AZ101" i="25"/>
  <c r="AU8" i="22"/>
  <c r="AZ101" i="23"/>
  <c r="AV77" i="23"/>
  <c r="BA78" i="25"/>
  <c r="AV30" i="27"/>
  <c r="AU8" i="27"/>
  <c r="AU77" i="17"/>
  <c r="AU101" i="25"/>
  <c r="AU106" i="25" s="1"/>
  <c r="AU10" i="22"/>
  <c r="AW77" i="25"/>
  <c r="AZ101" i="26"/>
  <c r="AU10" i="27"/>
  <c r="AX30" i="18"/>
  <c r="AX32" i="18"/>
  <c r="AX31" i="18"/>
  <c r="AZ101" i="17"/>
  <c r="AY77" i="22"/>
  <c r="AU9" i="22"/>
  <c r="AU101" i="26"/>
  <c r="AU106" i="26" s="1"/>
  <c r="AW108" i="25"/>
  <c r="AV120" i="25" s="1"/>
  <c r="AW122" i="25" s="1"/>
  <c r="AY10" i="20"/>
  <c r="AY8" i="20"/>
  <c r="BA87" i="14"/>
  <c r="BA11" i="22"/>
  <c r="BA98" i="25"/>
  <c r="BA101" i="25" s="1"/>
  <c r="BA106" i="25" s="1"/>
  <c r="AY76" i="25"/>
  <c r="AZ108" i="13"/>
  <c r="AY120" i="13" s="1"/>
  <c r="AW77" i="18"/>
  <c r="AV101" i="20"/>
  <c r="AV106" i="20" s="1"/>
  <c r="BA98" i="13"/>
  <c r="BA101" i="13" s="1"/>
  <c r="BA106" i="13" s="1"/>
  <c r="AY110" i="25"/>
  <c r="AX121" i="25" s="1"/>
  <c r="AY123" i="25" s="1"/>
  <c r="AW77" i="26"/>
  <c r="AX31" i="26"/>
  <c r="AX30" i="26"/>
  <c r="AX32" i="26"/>
  <c r="AV110" i="14"/>
  <c r="AW77" i="14"/>
  <c r="BA78" i="14"/>
  <c r="AU76" i="14"/>
  <c r="AV30" i="14"/>
  <c r="AW101" i="13"/>
  <c r="AW106" i="13" s="1"/>
  <c r="AY77" i="13"/>
  <c r="AZ101" i="13"/>
  <c r="BA11" i="13"/>
  <c r="AZ108" i="17"/>
  <c r="AY120" i="17" s="1"/>
  <c r="AZ9" i="17"/>
  <c r="AZ10" i="17"/>
  <c r="AZ8" i="17"/>
  <c r="AU30" i="14"/>
  <c r="AU32" i="14"/>
  <c r="AU31" i="14"/>
  <c r="AZ108" i="19"/>
  <c r="AY120" i="19" s="1"/>
  <c r="AZ10" i="19"/>
  <c r="AZ9" i="19"/>
  <c r="AZ8" i="19"/>
  <c r="AW108" i="20"/>
  <c r="AW10" i="20"/>
  <c r="AW9" i="20"/>
  <c r="AW8" i="20"/>
  <c r="BA47" i="22"/>
  <c r="AZ32" i="20"/>
  <c r="AZ30" i="20"/>
  <c r="AZ31" i="20"/>
  <c r="AU108" i="26"/>
  <c r="AU10" i="26"/>
  <c r="AU9" i="26"/>
  <c r="AU8" i="26"/>
  <c r="BA11" i="26"/>
  <c r="AU44" i="23"/>
  <c r="AU108" i="23"/>
  <c r="AU111" i="23" s="1"/>
  <c r="BA11" i="20"/>
  <c r="AZ76" i="26"/>
  <c r="AZ110" i="26"/>
  <c r="AY121" i="26" s="1"/>
  <c r="AZ123" i="26" s="1"/>
  <c r="AZ76" i="27"/>
  <c r="AZ110" i="27"/>
  <c r="AY121" i="27" s="1"/>
  <c r="AZ123" i="27" s="1"/>
  <c r="AV77" i="14"/>
  <c r="BA98" i="18"/>
  <c r="BA101" i="18" s="1"/>
  <c r="BA106" i="18" s="1"/>
  <c r="AY108" i="19"/>
  <c r="AY10" i="19"/>
  <c r="AY9" i="19"/>
  <c r="AY8" i="19"/>
  <c r="AZ77" i="18"/>
  <c r="BA78" i="18"/>
  <c r="BA11" i="17"/>
  <c r="BA47" i="18"/>
  <c r="BA47" i="20"/>
  <c r="AZ110" i="20"/>
  <c r="AY121" i="20" s="1"/>
  <c r="AZ123" i="20" s="1"/>
  <c r="AZ76" i="20"/>
  <c r="BA11" i="19"/>
  <c r="BA87" i="20"/>
  <c r="AY108" i="26"/>
  <c r="AX120" i="26" s="1"/>
  <c r="AY10" i="26"/>
  <c r="AY9" i="26"/>
  <c r="AY8" i="26"/>
  <c r="BA87" i="22"/>
  <c r="BA47" i="25"/>
  <c r="AX101" i="13"/>
  <c r="AX106" i="13" s="1"/>
  <c r="AV9" i="25"/>
  <c r="AV108" i="25"/>
  <c r="AV10" i="25"/>
  <c r="AV8" i="25"/>
  <c r="AW77" i="13"/>
  <c r="AV77" i="13"/>
  <c r="AU108" i="20"/>
  <c r="AU111" i="20" s="1"/>
  <c r="AU116" i="20" s="1"/>
  <c r="AU10" i="20"/>
  <c r="AU8" i="20"/>
  <c r="AU9" i="20"/>
  <c r="AZ32" i="26"/>
  <c r="AZ31" i="26"/>
  <c r="AZ30" i="26"/>
  <c r="AY77" i="26"/>
  <c r="AU110" i="26"/>
  <c r="AU76" i="26"/>
  <c r="AV101" i="14"/>
  <c r="AV106" i="14" s="1"/>
  <c r="AX108" i="17"/>
  <c r="AW120" i="17" s="1"/>
  <c r="AX10" i="17"/>
  <c r="AX9" i="17"/>
  <c r="AX8" i="17"/>
  <c r="AU108" i="17"/>
  <c r="AU111" i="17" s="1"/>
  <c r="AU10" i="17"/>
  <c r="AU9" i="17"/>
  <c r="AU8" i="17"/>
  <c r="AY108" i="14"/>
  <c r="AY8" i="14"/>
  <c r="AY10" i="14"/>
  <c r="AY9" i="14"/>
  <c r="AZ101" i="18"/>
  <c r="AY101" i="18"/>
  <c r="AY106" i="18" s="1"/>
  <c r="AU108" i="18"/>
  <c r="AU9" i="18"/>
  <c r="AU8" i="18"/>
  <c r="AU10" i="18"/>
  <c r="AV108" i="19"/>
  <c r="AV10" i="19"/>
  <c r="AV9" i="19"/>
  <c r="AV8" i="19"/>
  <c r="AY110" i="20"/>
  <c r="AX121" i="20" s="1"/>
  <c r="AY123" i="20" s="1"/>
  <c r="AY76" i="20"/>
  <c r="AU77" i="20"/>
  <c r="AV108" i="18"/>
  <c r="BA78" i="19"/>
  <c r="AU32" i="20"/>
  <c r="AU31" i="20"/>
  <c r="AU30" i="20"/>
  <c r="BA33" i="20"/>
  <c r="AW77" i="20"/>
  <c r="BA87" i="26"/>
  <c r="AX77" i="23"/>
  <c r="AW77" i="23"/>
  <c r="AZ111" i="18"/>
  <c r="AU77" i="23"/>
  <c r="BA78" i="26"/>
  <c r="AV77" i="26"/>
  <c r="BA47" i="13"/>
  <c r="AX77" i="13"/>
  <c r="AY77" i="27"/>
  <c r="AY77" i="17"/>
  <c r="AV77" i="27"/>
  <c r="BA98" i="14"/>
  <c r="BA33" i="14"/>
  <c r="AY101" i="14"/>
  <c r="AY106" i="14" s="1"/>
  <c r="BA33" i="17"/>
  <c r="AW32" i="20"/>
  <c r="AW31" i="20"/>
  <c r="AW30" i="20"/>
  <c r="AZ108" i="20"/>
  <c r="AY120" i="20" s="1"/>
  <c r="AZ9" i="20"/>
  <c r="AZ10" i="20"/>
  <c r="AZ8" i="20"/>
  <c r="AX108" i="20"/>
  <c r="AX9" i="20"/>
  <c r="AX8" i="20"/>
  <c r="AX10" i="20"/>
  <c r="AZ76" i="25"/>
  <c r="AZ110" i="25"/>
  <c r="AY121" i="25" s="1"/>
  <c r="AZ123" i="25" s="1"/>
  <c r="AW110" i="22"/>
  <c r="AV121" i="22" s="1"/>
  <c r="AW123" i="22" s="1"/>
  <c r="AW76" i="22"/>
  <c r="AX101" i="25"/>
  <c r="AX106" i="25" s="1"/>
  <c r="BA30" i="23"/>
  <c r="BA78" i="22"/>
  <c r="BA33" i="26"/>
  <c r="AW111" i="23"/>
  <c r="AY108" i="22"/>
  <c r="AX120" i="22" s="1"/>
  <c r="AY122" i="22" s="1"/>
  <c r="AU77" i="25"/>
  <c r="AV110" i="26"/>
  <c r="BA33" i="27"/>
  <c r="AV77" i="25"/>
  <c r="AW77" i="19"/>
  <c r="AZ77" i="22"/>
  <c r="AX31" i="19"/>
  <c r="AX32" i="19"/>
  <c r="AX30" i="19"/>
  <c r="AZ32" i="27"/>
  <c r="AZ31" i="27"/>
  <c r="AZ30" i="27"/>
  <c r="AW77" i="27"/>
  <c r="AX101" i="14"/>
  <c r="AX106" i="14" s="1"/>
  <c r="AZ108" i="14"/>
  <c r="AY120" i="14" s="1"/>
  <c r="AZ10" i="14"/>
  <c r="AZ9" i="14"/>
  <c r="AZ8" i="14"/>
  <c r="AW77" i="17"/>
  <c r="BA11" i="18"/>
  <c r="AX77" i="20"/>
  <c r="AV77" i="20"/>
  <c r="BA87" i="19"/>
  <c r="AZ32" i="25"/>
  <c r="AZ31" i="25"/>
  <c r="AZ30" i="25"/>
  <c r="AZ108" i="25"/>
  <c r="AY120" i="25" s="1"/>
  <c r="BA32" i="23"/>
  <c r="AZ10" i="22"/>
  <c r="AZ8" i="22"/>
  <c r="AZ108" i="22"/>
  <c r="AY120" i="22" s="1"/>
  <c r="AZ9" i="22"/>
  <c r="BA78" i="23"/>
  <c r="AU108" i="25"/>
  <c r="BA47" i="26"/>
  <c r="AU31" i="27"/>
  <c r="AU30" i="27"/>
  <c r="AU32" i="27"/>
  <c r="AX77" i="19"/>
  <c r="AZ108" i="23"/>
  <c r="AY120" i="23" s="1"/>
  <c r="AZ8" i="23"/>
  <c r="AZ9" i="23"/>
  <c r="AZ10" i="23"/>
  <c r="AX32" i="20"/>
  <c r="AX31" i="20"/>
  <c r="AX30" i="20"/>
  <c r="BA33" i="19"/>
  <c r="AX101" i="20"/>
  <c r="AX106" i="20" s="1"/>
  <c r="AX10" i="26"/>
  <c r="AX9" i="26"/>
  <c r="AX8" i="26"/>
  <c r="AX108" i="26"/>
  <c r="AW120" i="26" s="1"/>
  <c r="AV10" i="26"/>
  <c r="AV9" i="26"/>
  <c r="AV8" i="26"/>
  <c r="AV108" i="26"/>
  <c r="BA47" i="23"/>
  <c r="BA108" i="23" s="1"/>
  <c r="AY32" i="13"/>
  <c r="AY31" i="13"/>
  <c r="AY30" i="13"/>
  <c r="BA78" i="27"/>
  <c r="AU110" i="27"/>
  <c r="AU76" i="27"/>
  <c r="AU77" i="13"/>
  <c r="AX77" i="27"/>
  <c r="AY108" i="13"/>
  <c r="AX120" i="13" s="1"/>
  <c r="AY32" i="19"/>
  <c r="AY31" i="19"/>
  <c r="AY30" i="19"/>
  <c r="AY77" i="14"/>
  <c r="AX77" i="17"/>
  <c r="AW108" i="17"/>
  <c r="AV120" i="17" s="1"/>
  <c r="AW9" i="17"/>
  <c r="AW8" i="17"/>
  <c r="AW10" i="17"/>
  <c r="AZ110" i="14"/>
  <c r="AY121" i="14" s="1"/>
  <c r="AZ123" i="14" s="1"/>
  <c r="AZ76" i="14"/>
  <c r="BA11" i="14"/>
  <c r="AY77" i="19"/>
  <c r="AV110" i="19"/>
  <c r="AV123" i="19" s="1"/>
  <c r="AV76" i="19"/>
  <c r="AV108" i="17"/>
  <c r="AV9" i="17"/>
  <c r="AV8" i="17"/>
  <c r="AV10" i="17"/>
  <c r="AV108" i="20"/>
  <c r="AV10" i="20"/>
  <c r="AV9" i="20"/>
  <c r="AV8" i="20"/>
  <c r="AY31" i="20"/>
  <c r="AY32" i="20"/>
  <c r="AY30" i="20"/>
  <c r="AX101" i="22"/>
  <c r="AX106" i="22" s="1"/>
  <c r="AY108" i="20"/>
  <c r="AX120" i="20" s="1"/>
  <c r="AX108" i="25"/>
  <c r="AW120" i="25" s="1"/>
  <c r="AX122" i="25" s="1"/>
  <c r="BA31" i="23"/>
  <c r="BA33" i="25"/>
  <c r="AX111" i="23"/>
  <c r="AX108" i="13"/>
  <c r="AW120" i="13" s="1"/>
  <c r="AX10" i="13"/>
  <c r="AX9" i="13"/>
  <c r="AX8" i="13"/>
  <c r="AZ108" i="27"/>
  <c r="AY120" i="27" s="1"/>
  <c r="AW111" i="13" l="1"/>
  <c r="AV124" i="13"/>
  <c r="AX111" i="14"/>
  <c r="BA101" i="14"/>
  <c r="BA106" i="14" s="1"/>
  <c r="BA70" i="15"/>
  <c r="AY111" i="27"/>
  <c r="AY116" i="27" s="1"/>
  <c r="AU111" i="14"/>
  <c r="AU116" i="14" s="1"/>
  <c r="BA110" i="20"/>
  <c r="BA44" i="18"/>
  <c r="BA31" i="22"/>
  <c r="BA110" i="18"/>
  <c r="BA108" i="27"/>
  <c r="BA30" i="18"/>
  <c r="AX111" i="19"/>
  <c r="AX116" i="19" s="1"/>
  <c r="BA44" i="19"/>
  <c r="BA44" i="27"/>
  <c r="BA108" i="25"/>
  <c r="AX116" i="23"/>
  <c r="AW122" i="17"/>
  <c r="AW124" i="17" s="1"/>
  <c r="AV124" i="17"/>
  <c r="AY122" i="17"/>
  <c r="AY124" i="17" s="1"/>
  <c r="AV124" i="18"/>
  <c r="AW122" i="18"/>
  <c r="AW124" i="18" s="1"/>
  <c r="AV67" i="15"/>
  <c r="AV71" i="15" s="1"/>
  <c r="AV72" i="15" s="1"/>
  <c r="AZ122" i="25"/>
  <c r="AZ124" i="25" s="1"/>
  <c r="AY124" i="25"/>
  <c r="AU116" i="17"/>
  <c r="AU132" i="17"/>
  <c r="AX122" i="18"/>
  <c r="AX124" i="18" s="1"/>
  <c r="AX124" i="23"/>
  <c r="AX132" i="23" s="1"/>
  <c r="AY122" i="23"/>
  <c r="AY124" i="23" s="1"/>
  <c r="AU116" i="22"/>
  <c r="AU132" i="22"/>
  <c r="AZ122" i="23"/>
  <c r="AZ124" i="23" s="1"/>
  <c r="AX116" i="14"/>
  <c r="AW122" i="22"/>
  <c r="AW124" i="22" s="1"/>
  <c r="AV124" i="22"/>
  <c r="AX67" i="15"/>
  <c r="AX71" i="15" s="1"/>
  <c r="AX72" i="15" s="1"/>
  <c r="AZ67" i="15"/>
  <c r="AZ71" i="15" s="1"/>
  <c r="AZ72" i="15" s="1"/>
  <c r="AW116" i="23"/>
  <c r="AW132" i="23"/>
  <c r="AZ116" i="18"/>
  <c r="AZ132" i="18"/>
  <c r="AY124" i="22"/>
  <c r="AZ122" i="22"/>
  <c r="AZ124" i="22" s="1"/>
  <c r="AY67" i="15"/>
  <c r="AY71" i="15" s="1"/>
  <c r="AY72" i="15" s="1"/>
  <c r="AU116" i="23"/>
  <c r="AU132" i="23"/>
  <c r="AY122" i="18"/>
  <c r="AY124" i="18" s="1"/>
  <c r="AX122" i="22"/>
  <c r="AX124" i="22" s="1"/>
  <c r="AU67" i="15"/>
  <c r="AU71" i="15" s="1"/>
  <c r="AX122" i="17"/>
  <c r="AX124" i="17" s="1"/>
  <c r="AZ122" i="17"/>
  <c r="AZ124" i="17" s="1"/>
  <c r="AX124" i="25"/>
  <c r="AW67" i="15"/>
  <c r="AW71" i="15" s="1"/>
  <c r="AW72" i="15" s="1"/>
  <c r="AY122" i="26"/>
  <c r="AY124" i="26" s="1"/>
  <c r="AV124" i="26"/>
  <c r="AW122" i="26"/>
  <c r="AW124" i="26" s="1"/>
  <c r="AX122" i="26"/>
  <c r="AX124" i="26" s="1"/>
  <c r="AZ122" i="26"/>
  <c r="AZ124" i="26" s="1"/>
  <c r="AX122" i="13"/>
  <c r="AX124" i="13" s="1"/>
  <c r="AW124" i="13"/>
  <c r="AW132" i="13" s="1"/>
  <c r="AW116" i="13"/>
  <c r="AZ122" i="13"/>
  <c r="AZ124" i="13" s="1"/>
  <c r="AU116" i="13"/>
  <c r="AU132" i="13"/>
  <c r="AY122" i="13"/>
  <c r="AY124" i="13" s="1"/>
  <c r="AW123" i="25"/>
  <c r="AW124" i="25" s="1"/>
  <c r="AV124" i="25"/>
  <c r="BA32" i="22"/>
  <c r="AY111" i="23"/>
  <c r="BA44" i="25"/>
  <c r="AY124" i="27"/>
  <c r="AZ122" i="27"/>
  <c r="AZ124" i="27" s="1"/>
  <c r="AV111" i="17"/>
  <c r="AV116" i="17" s="1"/>
  <c r="AZ111" i="13"/>
  <c r="AZ111" i="23"/>
  <c r="AY111" i="19"/>
  <c r="AX120" i="19"/>
  <c r="AW111" i="27"/>
  <c r="AW116" i="27" s="1"/>
  <c r="AV121" i="27"/>
  <c r="AW111" i="14"/>
  <c r="AV121" i="14"/>
  <c r="AW123" i="14" s="1"/>
  <c r="AW124" i="14" s="1"/>
  <c r="AY111" i="26"/>
  <c r="AX111" i="26"/>
  <c r="AY111" i="14"/>
  <c r="AX120" i="14"/>
  <c r="AY111" i="18"/>
  <c r="AW111" i="26"/>
  <c r="AV111" i="20"/>
  <c r="AV116" i="20" s="1"/>
  <c r="AV111" i="13"/>
  <c r="AV116" i="13" s="1"/>
  <c r="AZ111" i="22"/>
  <c r="AY111" i="22"/>
  <c r="AW111" i="19"/>
  <c r="AV120" i="19"/>
  <c r="AW111" i="17"/>
  <c r="BA44" i="13"/>
  <c r="AX111" i="20"/>
  <c r="AW120" i="20"/>
  <c r="AZ122" i="19"/>
  <c r="AZ124" i="19" s="1"/>
  <c r="AV122" i="14"/>
  <c r="AW111" i="20"/>
  <c r="AV120" i="20"/>
  <c r="AW122" i="20" s="1"/>
  <c r="AU77" i="18"/>
  <c r="AY111" i="13"/>
  <c r="AW111" i="22"/>
  <c r="AV111" i="18"/>
  <c r="AV116" i="18" s="1"/>
  <c r="AY111" i="17"/>
  <c r="AW111" i="18"/>
  <c r="AV111" i="23"/>
  <c r="AV116" i="23" s="1"/>
  <c r="AV122" i="27"/>
  <c r="AU124" i="27"/>
  <c r="AV111" i="25"/>
  <c r="AV116" i="25" s="1"/>
  <c r="AX111" i="13"/>
  <c r="AX111" i="25"/>
  <c r="AV122" i="19"/>
  <c r="AU124" i="19"/>
  <c r="AU132" i="19" s="1"/>
  <c r="AX111" i="18"/>
  <c r="AZ122" i="20"/>
  <c r="AZ124" i="20" s="1"/>
  <c r="AY122" i="20"/>
  <c r="AY124" i="20" s="1"/>
  <c r="AZ122" i="14"/>
  <c r="AV111" i="14"/>
  <c r="AV116" i="14" s="1"/>
  <c r="AV123" i="14"/>
  <c r="AY111" i="25"/>
  <c r="AW111" i="25"/>
  <c r="AX111" i="22"/>
  <c r="AV111" i="22"/>
  <c r="AV116" i="22" s="1"/>
  <c r="AX122" i="19"/>
  <c r="AX124" i="27"/>
  <c r="AX132" i="27" s="1"/>
  <c r="AZ106" i="23"/>
  <c r="AZ106" i="20"/>
  <c r="AZ106" i="26"/>
  <c r="AZ106" i="14"/>
  <c r="AZ106" i="18"/>
  <c r="AZ106" i="25"/>
  <c r="AZ106" i="22"/>
  <c r="AZ106" i="27"/>
  <c r="AZ106" i="13"/>
  <c r="AZ106" i="17"/>
  <c r="BA8" i="18"/>
  <c r="BA30" i="14"/>
  <c r="BA101" i="22"/>
  <c r="BA106" i="22" s="1"/>
  <c r="BA66" i="15"/>
  <c r="BA30" i="22"/>
  <c r="AU111" i="18"/>
  <c r="AZ111" i="27"/>
  <c r="AZ116" i="27" s="1"/>
  <c r="AU111" i="27"/>
  <c r="AU116" i="27" s="1"/>
  <c r="AZ111" i="20"/>
  <c r="BA10" i="27"/>
  <c r="AZ111" i="26"/>
  <c r="AZ116" i="26" s="1"/>
  <c r="BA110" i="22"/>
  <c r="BA110" i="13"/>
  <c r="AU111" i="25"/>
  <c r="BA110" i="25"/>
  <c r="BA10" i="22"/>
  <c r="BA32" i="14"/>
  <c r="BA110" i="27"/>
  <c r="BA31" i="18"/>
  <c r="BA110" i="23"/>
  <c r="BA111" i="23" s="1"/>
  <c r="BA116" i="23" s="1"/>
  <c r="BA101" i="23"/>
  <c r="BA106" i="23" s="1"/>
  <c r="BA9" i="27"/>
  <c r="BA110" i="17"/>
  <c r="AV77" i="22"/>
  <c r="BA108" i="22"/>
  <c r="AV111" i="27"/>
  <c r="AV116" i="27" s="1"/>
  <c r="BA8" i="27"/>
  <c r="AZ111" i="17"/>
  <c r="BA44" i="17"/>
  <c r="BA8" i="25"/>
  <c r="AZ111" i="19"/>
  <c r="BA101" i="17"/>
  <c r="BA106" i="17" s="1"/>
  <c r="BA10" i="25"/>
  <c r="AZ77" i="17"/>
  <c r="BA31" i="26"/>
  <c r="AX111" i="17"/>
  <c r="BA32" i="18"/>
  <c r="BA110" i="14"/>
  <c r="BA31" i="14"/>
  <c r="BA76" i="20"/>
  <c r="AZ77" i="27"/>
  <c r="BA45" i="17"/>
  <c r="BA76" i="13"/>
  <c r="BA46" i="17"/>
  <c r="AV111" i="26"/>
  <c r="AV116" i="26" s="1"/>
  <c r="BA9" i="14"/>
  <c r="BA32" i="26"/>
  <c r="AY111" i="20"/>
  <c r="BA31" i="19"/>
  <c r="BA108" i="18"/>
  <c r="BA9" i="18"/>
  <c r="BA9" i="22"/>
  <c r="BA32" i="25"/>
  <c r="AZ111" i="25"/>
  <c r="AZ116" i="25" s="1"/>
  <c r="AV77" i="19"/>
  <c r="BA8" i="19"/>
  <c r="BA9" i="25"/>
  <c r="AZ77" i="20"/>
  <c r="BA31" i="25"/>
  <c r="BA108" i="26"/>
  <c r="BA76" i="25"/>
  <c r="BA110" i="26"/>
  <c r="AY77" i="25"/>
  <c r="AU77" i="14"/>
  <c r="BA108" i="14"/>
  <c r="BA32" i="13"/>
  <c r="BA108" i="13"/>
  <c r="BA8" i="20"/>
  <c r="BA10" i="23"/>
  <c r="BA30" i="20"/>
  <c r="AZ111" i="14"/>
  <c r="BA9" i="17"/>
  <c r="BA30" i="27"/>
  <c r="AW77" i="22"/>
  <c r="BA108" i="19"/>
  <c r="BA10" i="17"/>
  <c r="BA44" i="23"/>
  <c r="BA8" i="17"/>
  <c r="BA32" i="20"/>
  <c r="AZ77" i="14"/>
  <c r="BA31" i="20"/>
  <c r="BA32" i="19"/>
  <c r="BA77" i="13"/>
  <c r="BA32" i="27"/>
  <c r="BA76" i="26"/>
  <c r="BA76" i="22"/>
  <c r="BA10" i="18"/>
  <c r="BA44" i="22"/>
  <c r="BA31" i="13"/>
  <c r="BA76" i="23"/>
  <c r="BA30" i="26"/>
  <c r="AV111" i="19"/>
  <c r="AV116" i="19" s="1"/>
  <c r="BA10" i="14"/>
  <c r="AU77" i="26"/>
  <c r="BA8" i="22"/>
  <c r="BA9" i="26"/>
  <c r="BA9" i="19"/>
  <c r="BA76" i="14"/>
  <c r="BA10" i="13"/>
  <c r="AU77" i="27"/>
  <c r="BA9" i="13"/>
  <c r="BA8" i="14"/>
  <c r="BA8" i="13"/>
  <c r="BA76" i="19"/>
  <c r="BA44" i="20"/>
  <c r="BA76" i="18"/>
  <c r="BA10" i="19"/>
  <c r="BA30" i="25"/>
  <c r="BA31" i="17"/>
  <c r="BA76" i="27"/>
  <c r="BA10" i="20"/>
  <c r="BA110" i="19"/>
  <c r="AY77" i="20"/>
  <c r="AZ77" i="26"/>
  <c r="AU111" i="26"/>
  <c r="BA44" i="26"/>
  <c r="BA30" i="13"/>
  <c r="BA10" i="26"/>
  <c r="BA32" i="17"/>
  <c r="BA8" i="23"/>
  <c r="BA108" i="20"/>
  <c r="BA31" i="27"/>
  <c r="BA9" i="20"/>
  <c r="BA8" i="26"/>
  <c r="BA9" i="23"/>
  <c r="AZ77" i="25"/>
  <c r="BA30" i="17"/>
  <c r="BA108" i="17"/>
  <c r="BA30" i="19"/>
  <c r="BA71" i="15" l="1"/>
  <c r="BA72" i="15" s="1"/>
  <c r="AU72" i="15"/>
  <c r="AY132" i="27"/>
  <c r="BA111" i="20"/>
  <c r="BA116" i="20" s="1"/>
  <c r="BA111" i="18"/>
  <c r="BA116" i="18" s="1"/>
  <c r="BA111" i="27"/>
  <c r="BA116" i="27" s="1"/>
  <c r="BA111" i="25"/>
  <c r="BA116" i="25" s="1"/>
  <c r="AU116" i="18"/>
  <c r="AU132" i="18"/>
  <c r="AX116" i="22"/>
  <c r="AX132" i="22"/>
  <c r="AW116" i="14"/>
  <c r="AW132" i="14"/>
  <c r="AZ132" i="27"/>
  <c r="AV132" i="23"/>
  <c r="AV132" i="18"/>
  <c r="AZ116" i="17"/>
  <c r="AZ132" i="17"/>
  <c r="AX116" i="18"/>
  <c r="AX132" i="18"/>
  <c r="AW116" i="17"/>
  <c r="AW132" i="17"/>
  <c r="AZ116" i="19"/>
  <c r="AZ132" i="19"/>
  <c r="AU116" i="25"/>
  <c r="AU132" i="25"/>
  <c r="AY116" i="25"/>
  <c r="AY132" i="25"/>
  <c r="AW116" i="18"/>
  <c r="AW132" i="18"/>
  <c r="AY116" i="18"/>
  <c r="AY132" i="18"/>
  <c r="AV132" i="22"/>
  <c r="AY116" i="17"/>
  <c r="AY132" i="17"/>
  <c r="AW116" i="19"/>
  <c r="AY116" i="23"/>
  <c r="AY132" i="23"/>
  <c r="AZ132" i="26"/>
  <c r="AZ132" i="25"/>
  <c r="AX116" i="25"/>
  <c r="AX132" i="25"/>
  <c r="AY116" i="22"/>
  <c r="AY132" i="22"/>
  <c r="AY116" i="14"/>
  <c r="AY116" i="19"/>
  <c r="AV132" i="17"/>
  <c r="AZ116" i="14"/>
  <c r="AW116" i="22"/>
  <c r="AW132" i="22"/>
  <c r="AZ116" i="22"/>
  <c r="AZ132" i="22"/>
  <c r="AZ116" i="23"/>
  <c r="AZ132" i="23"/>
  <c r="AX116" i="17"/>
  <c r="AX132" i="17"/>
  <c r="AV132" i="25"/>
  <c r="AY116" i="20"/>
  <c r="AY132" i="20"/>
  <c r="AZ116" i="20"/>
  <c r="AZ132" i="20"/>
  <c r="AX116" i="20"/>
  <c r="AW116" i="20"/>
  <c r="AY116" i="26"/>
  <c r="AY132" i="26"/>
  <c r="AX116" i="26"/>
  <c r="AX132" i="26"/>
  <c r="AV132" i="26"/>
  <c r="AW116" i="26"/>
  <c r="AW132" i="26"/>
  <c r="AU116" i="26"/>
  <c r="AU132" i="26"/>
  <c r="AY116" i="13"/>
  <c r="AY132" i="13"/>
  <c r="AV132" i="13"/>
  <c r="AZ116" i="13"/>
  <c r="AZ132" i="13"/>
  <c r="AX116" i="13"/>
  <c r="AX132" i="13"/>
  <c r="AW116" i="25"/>
  <c r="AW132" i="25"/>
  <c r="AU132" i="27"/>
  <c r="AV124" i="14"/>
  <c r="AV132" i="14" s="1"/>
  <c r="AU124" i="14"/>
  <c r="AU132" i="14" s="1"/>
  <c r="AW123" i="27"/>
  <c r="AW124" i="27" s="1"/>
  <c r="AW132" i="27" s="1"/>
  <c r="AV124" i="27"/>
  <c r="AV132" i="27" s="1"/>
  <c r="AV124" i="19"/>
  <c r="AV132" i="19" s="1"/>
  <c r="AW122" i="19"/>
  <c r="AW124" i="19" s="1"/>
  <c r="AW132" i="19" s="1"/>
  <c r="AW124" i="20"/>
  <c r="AW132" i="20" s="1"/>
  <c r="AX122" i="20"/>
  <c r="AX124" i="20" s="1"/>
  <c r="AX132" i="20" s="1"/>
  <c r="AU124" i="20"/>
  <c r="AU132" i="20" s="1"/>
  <c r="AV122" i="20"/>
  <c r="AV124" i="20" s="1"/>
  <c r="AV132" i="20" s="1"/>
  <c r="AX124" i="19"/>
  <c r="AX132" i="19" s="1"/>
  <c r="AY122" i="19"/>
  <c r="AY124" i="19" s="1"/>
  <c r="AY132" i="19" s="1"/>
  <c r="AY122" i="14"/>
  <c r="AY124" i="14" s="1"/>
  <c r="AY132" i="14" s="1"/>
  <c r="AX124" i="14"/>
  <c r="AX132" i="14" s="1"/>
  <c r="BA111" i="13"/>
  <c r="BA116" i="13" s="1"/>
  <c r="BA111" i="17"/>
  <c r="BA116" i="17" s="1"/>
  <c r="BA111" i="22"/>
  <c r="BA116" i="22" s="1"/>
  <c r="BA67" i="15"/>
  <c r="BA68" i="15" s="1"/>
  <c r="BF109" i="22"/>
  <c r="BF111" i="22" s="1"/>
  <c r="BA111" i="14"/>
  <c r="BA116" i="14" s="1"/>
  <c r="BA77" i="17"/>
  <c r="BA77" i="22"/>
  <c r="BA77" i="27"/>
  <c r="BA111" i="26"/>
  <c r="BA116" i="26" s="1"/>
  <c r="BA77" i="20"/>
  <c r="BA77" i="14"/>
  <c r="BA77" i="26"/>
  <c r="BA77" i="18"/>
  <c r="BA111" i="19"/>
  <c r="BA116" i="19" s="1"/>
  <c r="BA77" i="25"/>
  <c r="BA77" i="19"/>
  <c r="BA77" i="23"/>
  <c r="BA132" i="26" l="1"/>
  <c r="BA132" i="25"/>
  <c r="BA132" i="17"/>
  <c r="BA132" i="22"/>
  <c r="BA132" i="23"/>
  <c r="BA132" i="19"/>
  <c r="BF116" i="22"/>
  <c r="BF132" i="22"/>
  <c r="BA132" i="18"/>
  <c r="BA132" i="20"/>
  <c r="BA132" i="13"/>
  <c r="BA132" i="27"/>
  <c r="BG109" i="22"/>
  <c r="BG111" i="22" s="1"/>
  <c r="BG116" i="22" l="1"/>
  <c r="BG132" i="22"/>
  <c r="BH109" i="22"/>
  <c r="BH111" i="22" s="1"/>
  <c r="BH116" i="22" l="1"/>
  <c r="BH132" i="22"/>
  <c r="BI109" i="22"/>
  <c r="BI111" i="22" s="1"/>
  <c r="AU29" i="24"/>
  <c r="AV29" i="24"/>
  <c r="AW29" i="24"/>
  <c r="AX29" i="24"/>
  <c r="AY29" i="24"/>
  <c r="AZ29" i="24"/>
  <c r="AU22" i="24"/>
  <c r="AV22" i="24"/>
  <c r="AW22" i="24"/>
  <c r="AX22" i="24"/>
  <c r="AY22" i="24"/>
  <c r="AZ22" i="24"/>
  <c r="AU7" i="24"/>
  <c r="AV7" i="24"/>
  <c r="AW7" i="24"/>
  <c r="AX7" i="24"/>
  <c r="AY7" i="24"/>
  <c r="AZ7" i="24"/>
  <c r="AU29" i="21"/>
  <c r="AV29" i="21"/>
  <c r="AW29" i="21"/>
  <c r="AX29" i="21"/>
  <c r="AY29" i="21"/>
  <c r="AZ29" i="21"/>
  <c r="AU22" i="21"/>
  <c r="AV22" i="21"/>
  <c r="AW22" i="21"/>
  <c r="AX22" i="21"/>
  <c r="AY22" i="21"/>
  <c r="AZ22" i="21"/>
  <c r="AU7" i="21"/>
  <c r="AV7" i="21"/>
  <c r="AW7" i="21"/>
  <c r="AX7" i="21"/>
  <c r="AY7" i="21"/>
  <c r="AZ7" i="21"/>
  <c r="AU29" i="16"/>
  <c r="AV29" i="16"/>
  <c r="AW29" i="16"/>
  <c r="AX29" i="16"/>
  <c r="AY29" i="16"/>
  <c r="AZ29" i="16"/>
  <c r="AU22" i="16"/>
  <c r="AV22" i="16"/>
  <c r="AW22" i="16"/>
  <c r="AX22" i="16"/>
  <c r="AY22" i="16"/>
  <c r="AZ22" i="16"/>
  <c r="AU7" i="16"/>
  <c r="AV7" i="16"/>
  <c r="AW7" i="16"/>
  <c r="AX7" i="16"/>
  <c r="AY7" i="16"/>
  <c r="AZ7" i="16"/>
  <c r="AU43" i="15"/>
  <c r="AV43" i="15"/>
  <c r="AW43" i="15"/>
  <c r="AX43" i="15"/>
  <c r="AY43" i="15"/>
  <c r="AZ43" i="15"/>
  <c r="BA43" i="15" s="1"/>
  <c r="AU29" i="15"/>
  <c r="AV29" i="15"/>
  <c r="AW29" i="15"/>
  <c r="AX29" i="15"/>
  <c r="AY29" i="15"/>
  <c r="AZ29" i="15"/>
  <c r="AU7" i="15"/>
  <c r="AV7" i="15"/>
  <c r="AW7" i="15"/>
  <c r="AX7" i="15"/>
  <c r="AY7" i="15"/>
  <c r="AZ7" i="15"/>
  <c r="BA7" i="15" s="1"/>
  <c r="AU83" i="15"/>
  <c r="AV83" i="15"/>
  <c r="AW83" i="15"/>
  <c r="AX83" i="15"/>
  <c r="AY83" i="15"/>
  <c r="AZ83" i="15"/>
  <c r="AU48" i="15"/>
  <c r="AV48" i="15"/>
  <c r="AW48" i="15"/>
  <c r="AX48" i="15"/>
  <c r="AY48" i="15"/>
  <c r="AZ48" i="15"/>
  <c r="AV12" i="15"/>
  <c r="AW12" i="15"/>
  <c r="AX12" i="15"/>
  <c r="AY12" i="15"/>
  <c r="AZ12" i="15"/>
  <c r="AZ34" i="16"/>
  <c r="AY34" i="16"/>
  <c r="AX34" i="16"/>
  <c r="AW34" i="16"/>
  <c r="AV34" i="16"/>
  <c r="AU34" i="16"/>
  <c r="AZ34" i="21"/>
  <c r="AY34" i="21"/>
  <c r="AX34" i="21"/>
  <c r="AW34" i="21"/>
  <c r="AV34" i="21"/>
  <c r="AU34" i="21"/>
  <c r="AZ34" i="24"/>
  <c r="AY34" i="24"/>
  <c r="AX34" i="24"/>
  <c r="AW34" i="24"/>
  <c r="AV34" i="24"/>
  <c r="AU34" i="24"/>
  <c r="AZ34" i="15"/>
  <c r="AY34" i="15"/>
  <c r="AX34" i="15"/>
  <c r="AW34" i="15"/>
  <c r="AV34" i="15"/>
  <c r="AU34" i="15"/>
  <c r="AX27" i="16"/>
  <c r="AU27" i="16"/>
  <c r="AU27" i="21"/>
  <c r="AX27" i="24"/>
  <c r="AU27" i="24"/>
  <c r="AZ12" i="16"/>
  <c r="AY12" i="16"/>
  <c r="AX12" i="16"/>
  <c r="AW12" i="16"/>
  <c r="AV12" i="16"/>
  <c r="AZ12" i="21"/>
  <c r="AY12" i="21"/>
  <c r="AX12" i="21"/>
  <c r="AW12" i="21"/>
  <c r="AV12" i="21"/>
  <c r="AZ12" i="24"/>
  <c r="AY12" i="24"/>
  <c r="AX12" i="24"/>
  <c r="AW12" i="24"/>
  <c r="AV12" i="24"/>
  <c r="AZ34" i="12"/>
  <c r="AY34" i="12"/>
  <c r="AX34" i="12"/>
  <c r="AW34" i="12"/>
  <c r="AV34" i="12"/>
  <c r="AU34" i="12"/>
  <c r="AV12" i="12"/>
  <c r="AW12" i="12"/>
  <c r="AX12" i="12"/>
  <c r="AY12" i="12"/>
  <c r="AZ12" i="12"/>
  <c r="AZ83" i="10"/>
  <c r="AY83" i="10"/>
  <c r="AX83" i="10"/>
  <c r="AW83" i="10"/>
  <c r="AV83" i="10"/>
  <c r="AU83" i="10"/>
  <c r="AZ48" i="10"/>
  <c r="AY48" i="10"/>
  <c r="AX48" i="10"/>
  <c r="AW48" i="10"/>
  <c r="AV48" i="10"/>
  <c r="AU48" i="10"/>
  <c r="AZ34" i="10"/>
  <c r="AY34" i="10"/>
  <c r="AX34" i="10"/>
  <c r="AW34" i="10"/>
  <c r="AV34" i="10"/>
  <c r="AU34" i="10"/>
  <c r="AX27" i="10"/>
  <c r="AU27" i="10"/>
  <c r="AV12" i="10"/>
  <c r="AW12" i="10"/>
  <c r="AX12" i="10"/>
  <c r="AY12" i="10"/>
  <c r="AZ12" i="10"/>
  <c r="BI116" i="22" l="1"/>
  <c r="BI132" i="22"/>
  <c r="BJ109" i="22"/>
  <c r="BJ111" i="22" s="1"/>
  <c r="BJ116" i="22" l="1"/>
  <c r="BJ132" i="22"/>
  <c r="BK109" i="22"/>
  <c r="BK111" i="22" s="1"/>
  <c r="AU29" i="12"/>
  <c r="AV29" i="12"/>
  <c r="AW29" i="12"/>
  <c r="AW33" i="12" s="1"/>
  <c r="AX29" i="12"/>
  <c r="AY29" i="12"/>
  <c r="AZ29" i="12"/>
  <c r="AU22" i="12"/>
  <c r="AV22" i="12"/>
  <c r="AW22" i="12"/>
  <c r="AX22" i="12"/>
  <c r="AY22" i="12"/>
  <c r="AZ22" i="12"/>
  <c r="BA22" i="12" s="1"/>
  <c r="AU7" i="12"/>
  <c r="AU11" i="12" s="1"/>
  <c r="AV7" i="12"/>
  <c r="AW7" i="12"/>
  <c r="AX7" i="12"/>
  <c r="AY7" i="12"/>
  <c r="AZ7" i="12"/>
  <c r="AZ114" i="15"/>
  <c r="AZ115" i="15" s="1"/>
  <c r="AY114" i="15"/>
  <c r="AY115" i="15" s="1"/>
  <c r="AX114" i="15"/>
  <c r="AX115" i="15" s="1"/>
  <c r="AW114" i="15"/>
  <c r="AW115" i="15" s="1"/>
  <c r="AV114" i="15"/>
  <c r="AV115" i="15" s="1"/>
  <c r="AU114" i="15"/>
  <c r="AU115" i="15" s="1"/>
  <c r="BA112" i="15"/>
  <c r="AV109" i="15"/>
  <c r="BA105" i="15"/>
  <c r="AZ104" i="15"/>
  <c r="AZ105" i="15" s="1"/>
  <c r="AY104" i="15"/>
  <c r="AY105" i="15" s="1"/>
  <c r="AX104" i="15"/>
  <c r="AX105" i="15" s="1"/>
  <c r="AW104" i="15"/>
  <c r="AW105" i="15" s="1"/>
  <c r="AV104" i="15"/>
  <c r="AV105" i="15" s="1"/>
  <c r="AU104" i="15"/>
  <c r="AU105" i="15" s="1"/>
  <c r="AU99" i="15"/>
  <c r="BA114" i="15"/>
  <c r="AZ82" i="15"/>
  <c r="AY82" i="15"/>
  <c r="AX82" i="15"/>
  <c r="AW82" i="15"/>
  <c r="AU82" i="15"/>
  <c r="AZ109" i="15"/>
  <c r="AY109" i="15"/>
  <c r="AX109" i="15"/>
  <c r="AW109" i="15"/>
  <c r="AU109" i="15"/>
  <c r="BA29" i="15"/>
  <c r="AU11" i="15"/>
  <c r="AZ11" i="15"/>
  <c r="AX98" i="15"/>
  <c r="AZ114" i="16"/>
  <c r="AZ115" i="16" s="1"/>
  <c r="AY114" i="16"/>
  <c r="AY115" i="16" s="1"/>
  <c r="AX114" i="16"/>
  <c r="AX115" i="16" s="1"/>
  <c r="AW114" i="16"/>
  <c r="AW115" i="16" s="1"/>
  <c r="AV114" i="16"/>
  <c r="AV115" i="16" s="1"/>
  <c r="AU114" i="16"/>
  <c r="AU115" i="16" s="1"/>
  <c r="BA112" i="16"/>
  <c r="AX109" i="16"/>
  <c r="BA105" i="16"/>
  <c r="AZ104" i="16"/>
  <c r="AZ105" i="16" s="1"/>
  <c r="AY104" i="16"/>
  <c r="AY105" i="16" s="1"/>
  <c r="AX104" i="16"/>
  <c r="AX105" i="16" s="1"/>
  <c r="AW104" i="16"/>
  <c r="AW105" i="16" s="1"/>
  <c r="AV104" i="16"/>
  <c r="AV105" i="16" s="1"/>
  <c r="AU104" i="16"/>
  <c r="AU105" i="16" s="1"/>
  <c r="AU99" i="16"/>
  <c r="BA114" i="16"/>
  <c r="AY109" i="16"/>
  <c r="AW109" i="16"/>
  <c r="AV109" i="16"/>
  <c r="AV99" i="16"/>
  <c r="AZ33" i="16"/>
  <c r="AV33" i="16"/>
  <c r="AV11" i="16"/>
  <c r="AV9" i="16" s="1"/>
  <c r="AY98" i="16"/>
  <c r="AW98" i="16"/>
  <c r="BJ117" i="16"/>
  <c r="AZ114" i="21"/>
  <c r="AZ115" i="21" s="1"/>
  <c r="AY114" i="21"/>
  <c r="AY115" i="21" s="1"/>
  <c r="AX114" i="21"/>
  <c r="AX115" i="21" s="1"/>
  <c r="AW114" i="21"/>
  <c r="AW115" i="21" s="1"/>
  <c r="AV114" i="21"/>
  <c r="AV115" i="21" s="1"/>
  <c r="AU114" i="21"/>
  <c r="AU115" i="21" s="1"/>
  <c r="BA112" i="21"/>
  <c r="AY109" i="21"/>
  <c r="BA105" i="21"/>
  <c r="AZ104" i="21"/>
  <c r="AZ105" i="21" s="1"/>
  <c r="AY104" i="21"/>
  <c r="AY105" i="21" s="1"/>
  <c r="AX104" i="21"/>
  <c r="AX105" i="21" s="1"/>
  <c r="AW104" i="21"/>
  <c r="AW105" i="21" s="1"/>
  <c r="AV104" i="21"/>
  <c r="AV105" i="21" s="1"/>
  <c r="AU104" i="21"/>
  <c r="AU105" i="21" s="1"/>
  <c r="AV99" i="21"/>
  <c r="AU99" i="21"/>
  <c r="BA114" i="21"/>
  <c r="AZ109" i="21"/>
  <c r="AX109" i="21"/>
  <c r="AW109" i="21"/>
  <c r="AX26" i="21"/>
  <c r="AU26" i="21"/>
  <c r="AU23" i="21" s="1"/>
  <c r="BA22" i="21"/>
  <c r="BA7" i="21"/>
  <c r="AZ114" i="24"/>
  <c r="AZ115" i="24" s="1"/>
  <c r="AY114" i="24"/>
  <c r="AY115" i="24" s="1"/>
  <c r="AX114" i="24"/>
  <c r="AX115" i="24" s="1"/>
  <c r="AW114" i="24"/>
  <c r="AW115" i="24" s="1"/>
  <c r="AV114" i="24"/>
  <c r="AV115" i="24" s="1"/>
  <c r="AU114" i="24"/>
  <c r="AU115" i="24" s="1"/>
  <c r="BA112" i="24"/>
  <c r="BA105" i="24"/>
  <c r="AZ104" i="24"/>
  <c r="AZ105" i="24" s="1"/>
  <c r="AY104" i="24"/>
  <c r="AY105" i="24" s="1"/>
  <c r="AX104" i="24"/>
  <c r="AX105" i="24" s="1"/>
  <c r="AW104" i="24"/>
  <c r="AW105" i="24" s="1"/>
  <c r="AV104" i="24"/>
  <c r="AV105" i="24" s="1"/>
  <c r="AU104" i="24"/>
  <c r="AU105" i="24" s="1"/>
  <c r="AU99" i="24"/>
  <c r="BA114" i="24"/>
  <c r="AZ109" i="24"/>
  <c r="AY109" i="24"/>
  <c r="AX109" i="24"/>
  <c r="AW109" i="24"/>
  <c r="AV109" i="24"/>
  <c r="AU109" i="24"/>
  <c r="AV99" i="24"/>
  <c r="BA29" i="24"/>
  <c r="BA22" i="24"/>
  <c r="AU26" i="24"/>
  <c r="AY98" i="24"/>
  <c r="AX98" i="24"/>
  <c r="AW98" i="24"/>
  <c r="AV98" i="24"/>
  <c r="AU98" i="24"/>
  <c r="AZ114" i="12"/>
  <c r="AZ115" i="12" s="1"/>
  <c r="AY114" i="12"/>
  <c r="AY115" i="12" s="1"/>
  <c r="AX114" i="12"/>
  <c r="AX115" i="12" s="1"/>
  <c r="AW114" i="12"/>
  <c r="AW115" i="12" s="1"/>
  <c r="AV114" i="12"/>
  <c r="AV115" i="12" s="1"/>
  <c r="AU114" i="12"/>
  <c r="AU115" i="12" s="1"/>
  <c r="BA112" i="12"/>
  <c r="BA105" i="12"/>
  <c r="AZ104" i="12"/>
  <c r="AZ105" i="12" s="1"/>
  <c r="AY104" i="12"/>
  <c r="AY105" i="12" s="1"/>
  <c r="AX104" i="12"/>
  <c r="AX105" i="12" s="1"/>
  <c r="AW104" i="12"/>
  <c r="AW105" i="12" s="1"/>
  <c r="AV104" i="12"/>
  <c r="AV105" i="12" s="1"/>
  <c r="AU104" i="12"/>
  <c r="AU105" i="12" s="1"/>
  <c r="AU99" i="12"/>
  <c r="BA114" i="12"/>
  <c r="AU100" i="12"/>
  <c r="AZ109" i="12"/>
  <c r="AY109" i="12"/>
  <c r="AX109" i="12"/>
  <c r="AW109" i="12"/>
  <c r="AU109" i="12"/>
  <c r="AU11" i="11"/>
  <c r="AU33" i="11"/>
  <c r="AV33" i="11"/>
  <c r="AU47" i="11"/>
  <c r="AW78" i="11"/>
  <c r="AU78" i="11"/>
  <c r="AU76" i="11" s="1"/>
  <c r="AU87" i="11"/>
  <c r="AU89" i="11" s="1"/>
  <c r="AU98" i="11"/>
  <c r="AU99" i="11"/>
  <c r="AV99" i="11"/>
  <c r="AW99" i="11"/>
  <c r="AX99" i="11"/>
  <c r="AY99" i="11"/>
  <c r="AZ99" i="11"/>
  <c r="BA99" i="11"/>
  <c r="AU102" i="11"/>
  <c r="AV102" i="11"/>
  <c r="AU104" i="11"/>
  <c r="AV104" i="11"/>
  <c r="AW104" i="11"/>
  <c r="AX104" i="11"/>
  <c r="AY104" i="11"/>
  <c r="AZ104" i="11"/>
  <c r="BA104" i="11"/>
  <c r="AU109" i="11"/>
  <c r="AV109" i="11"/>
  <c r="AW109" i="11"/>
  <c r="AX109" i="11"/>
  <c r="AZ109" i="11"/>
  <c r="AZ114" i="11"/>
  <c r="AY127" i="11" s="1"/>
  <c r="AU112" i="11"/>
  <c r="AU114" i="11"/>
  <c r="AV114" i="11"/>
  <c r="AU127" i="11" s="1"/>
  <c r="AW114" i="11"/>
  <c r="AV127" i="11" s="1"/>
  <c r="AX114" i="11"/>
  <c r="AW127" i="11" s="1"/>
  <c r="AY114" i="11"/>
  <c r="AX127" i="11" s="1"/>
  <c r="C11" i="64"/>
  <c r="D11" i="64"/>
  <c r="E11" i="64"/>
  <c r="F11" i="64"/>
  <c r="G11" i="64"/>
  <c r="H11" i="64"/>
  <c r="C18" i="64"/>
  <c r="D18" i="64"/>
  <c r="E18" i="64"/>
  <c r="F18" i="64"/>
  <c r="G18" i="64"/>
  <c r="H18" i="64"/>
  <c r="C25" i="64"/>
  <c r="D25" i="64"/>
  <c r="E25" i="64"/>
  <c r="F25" i="64"/>
  <c r="G25" i="64"/>
  <c r="H25" i="64"/>
  <c r="C32" i="64"/>
  <c r="D32" i="64"/>
  <c r="E32" i="64"/>
  <c r="F32" i="64"/>
  <c r="G32" i="64"/>
  <c r="H32" i="64"/>
  <c r="C39" i="64"/>
  <c r="D39" i="64"/>
  <c r="E39" i="64"/>
  <c r="F39" i="64"/>
  <c r="G39" i="64"/>
  <c r="H39" i="64"/>
  <c r="C46" i="64"/>
  <c r="D46" i="64"/>
  <c r="E46" i="64"/>
  <c r="F46" i="64"/>
  <c r="G46" i="64"/>
  <c r="H46" i="64"/>
  <c r="C53" i="64"/>
  <c r="D53" i="64"/>
  <c r="E53" i="64"/>
  <c r="F53" i="64"/>
  <c r="G53" i="64"/>
  <c r="H53" i="64"/>
  <c r="B46" i="64"/>
  <c r="B53" i="64"/>
  <c r="B39" i="64"/>
  <c r="B32" i="64"/>
  <c r="B25" i="64"/>
  <c r="B18" i="64"/>
  <c r="B11" i="64"/>
  <c r="AX129" i="11" l="1"/>
  <c r="AW129" i="11"/>
  <c r="AZ129" i="11"/>
  <c r="AY129" i="11"/>
  <c r="AV129" i="11"/>
  <c r="BK116" i="22"/>
  <c r="BK132" i="22"/>
  <c r="AU44" i="11"/>
  <c r="AV30" i="16"/>
  <c r="AW30" i="12"/>
  <c r="BL109" i="22"/>
  <c r="BL111" i="22" s="1"/>
  <c r="AX11" i="12"/>
  <c r="AX9" i="12" s="1"/>
  <c r="AV105" i="11"/>
  <c r="AZ98" i="12"/>
  <c r="BA98" i="12" s="1"/>
  <c r="AU8" i="11"/>
  <c r="AU10" i="11"/>
  <c r="AU9" i="11"/>
  <c r="AU31" i="11"/>
  <c r="AU30" i="11"/>
  <c r="AU32" i="11"/>
  <c r="AV32" i="11"/>
  <c r="AV30" i="11"/>
  <c r="AV31" i="11"/>
  <c r="AU105" i="11"/>
  <c r="AU115" i="11"/>
  <c r="AZ87" i="11"/>
  <c r="AZ89" i="11" s="1"/>
  <c r="AX87" i="11"/>
  <c r="AX89" i="11" s="1"/>
  <c r="AV87" i="11"/>
  <c r="AV89" i="11" s="1"/>
  <c r="AU101" i="11"/>
  <c r="AV78" i="11"/>
  <c r="AV76" i="11" s="1"/>
  <c r="AV47" i="11"/>
  <c r="AV11" i="11"/>
  <c r="AW11" i="11"/>
  <c r="AW98" i="12"/>
  <c r="AX26" i="12"/>
  <c r="AX23" i="12" s="1"/>
  <c r="AU26" i="12"/>
  <c r="AU25" i="12" s="1"/>
  <c r="AZ30" i="16"/>
  <c r="AY98" i="12"/>
  <c r="AV82" i="15"/>
  <c r="AV98" i="12"/>
  <c r="AX98" i="12"/>
  <c r="AU8" i="12"/>
  <c r="BA7" i="12"/>
  <c r="AU98" i="12"/>
  <c r="AU9" i="12"/>
  <c r="BA109" i="12"/>
  <c r="AV109" i="12"/>
  <c r="AV99" i="12"/>
  <c r="AV100" i="12"/>
  <c r="BA115" i="12"/>
  <c r="AU10" i="12"/>
  <c r="BA29" i="12"/>
  <c r="AV11" i="12"/>
  <c r="AU33" i="12"/>
  <c r="AW11" i="12"/>
  <c r="AV33" i="12"/>
  <c r="AY11" i="12"/>
  <c r="AX33" i="12"/>
  <c r="AZ11" i="12"/>
  <c r="AY33" i="12"/>
  <c r="AZ33" i="12"/>
  <c r="AU25" i="24"/>
  <c r="AU23" i="24"/>
  <c r="AU24" i="24"/>
  <c r="BA115" i="24"/>
  <c r="AZ11" i="24"/>
  <c r="AX26" i="24"/>
  <c r="AY33" i="24"/>
  <c r="BA109" i="24"/>
  <c r="AZ98" i="24"/>
  <c r="BA7" i="24"/>
  <c r="AZ33" i="24"/>
  <c r="AU11" i="24"/>
  <c r="AV11" i="24"/>
  <c r="AU33" i="24"/>
  <c r="AW11" i="24"/>
  <c r="AV33" i="24"/>
  <c r="AX11" i="24"/>
  <c r="AW33" i="24"/>
  <c r="AY11" i="24"/>
  <c r="AX33" i="24"/>
  <c r="AZ98" i="21"/>
  <c r="AZ11" i="21"/>
  <c r="BA26" i="21"/>
  <c r="BA27" i="21" s="1"/>
  <c r="AX24" i="21"/>
  <c r="AX25" i="21"/>
  <c r="AU98" i="21"/>
  <c r="AU11" i="21"/>
  <c r="AV98" i="21"/>
  <c r="BA29" i="21"/>
  <c r="AZ33" i="21"/>
  <c r="AU100" i="21"/>
  <c r="AW98" i="21"/>
  <c r="AW11" i="21"/>
  <c r="AX23" i="21"/>
  <c r="AX98" i="21"/>
  <c r="AX11" i="21"/>
  <c r="AY98" i="21"/>
  <c r="AY11" i="21"/>
  <c r="AV11" i="21"/>
  <c r="AU24" i="21"/>
  <c r="AU25" i="21"/>
  <c r="AV33" i="21"/>
  <c r="AW99" i="21"/>
  <c r="AX98" i="16"/>
  <c r="BA7" i="16"/>
  <c r="AW33" i="21"/>
  <c r="AU109" i="21"/>
  <c r="AX33" i="21"/>
  <c r="AV109" i="21"/>
  <c r="BA22" i="16"/>
  <c r="AY33" i="21"/>
  <c r="BA109" i="21"/>
  <c r="BA115" i="21"/>
  <c r="AX11" i="16"/>
  <c r="AV108" i="16"/>
  <c r="AV10" i="16"/>
  <c r="AV8" i="16"/>
  <c r="AU33" i="21"/>
  <c r="BA29" i="16"/>
  <c r="AZ98" i="16"/>
  <c r="AZ11" i="16"/>
  <c r="AU26" i="16"/>
  <c r="AZ109" i="16"/>
  <c r="AV98" i="16"/>
  <c r="AX33" i="16"/>
  <c r="AU109" i="16"/>
  <c r="BA115" i="16"/>
  <c r="AW11" i="16"/>
  <c r="AX26" i="16"/>
  <c r="AU8" i="15"/>
  <c r="AU9" i="15"/>
  <c r="AU10" i="15"/>
  <c r="AY11" i="16"/>
  <c r="AU98" i="16"/>
  <c r="AU11" i="16"/>
  <c r="BA109" i="16"/>
  <c r="AW33" i="16"/>
  <c r="AY33" i="16"/>
  <c r="AW98" i="15"/>
  <c r="AW11" i="15"/>
  <c r="AZ9" i="15"/>
  <c r="AZ10" i="15"/>
  <c r="AU33" i="16"/>
  <c r="AZ8" i="15"/>
  <c r="AV98" i="15"/>
  <c r="AU98" i="15"/>
  <c r="AY98" i="15"/>
  <c r="AZ98" i="15"/>
  <c r="BA115" i="15"/>
  <c r="AV99" i="15"/>
  <c r="AY11" i="15"/>
  <c r="AV11" i="15"/>
  <c r="AU33" i="15"/>
  <c r="AU47" i="15"/>
  <c r="AV33" i="15"/>
  <c r="AV47" i="15"/>
  <c r="AX11" i="15"/>
  <c r="AW33" i="15"/>
  <c r="AW47" i="15"/>
  <c r="AX33" i="15"/>
  <c r="AX47" i="15"/>
  <c r="AY33" i="15"/>
  <c r="AY47" i="15"/>
  <c r="BA109" i="15"/>
  <c r="AZ33" i="15"/>
  <c r="AZ47" i="15"/>
  <c r="AW102" i="11"/>
  <c r="AW105" i="11" s="1"/>
  <c r="BA109" i="11"/>
  <c r="AX102" i="11"/>
  <c r="AX105" i="11" s="1"/>
  <c r="AZ78" i="11"/>
  <c r="AU110" i="11"/>
  <c r="AW47" i="11"/>
  <c r="AX33" i="11"/>
  <c r="AW76" i="11"/>
  <c r="AY109" i="11"/>
  <c r="AX11" i="11"/>
  <c r="AW87" i="11"/>
  <c r="AW89" i="11" s="1"/>
  <c r="AV98" i="11"/>
  <c r="AU108" i="11"/>
  <c r="AU77" i="11"/>
  <c r="AW112" i="11"/>
  <c r="AW115" i="11" l="1"/>
  <c r="AV126" i="11"/>
  <c r="BL116" i="22"/>
  <c r="BL132" i="22"/>
  <c r="AV122" i="16"/>
  <c r="AU30" i="21"/>
  <c r="AZ30" i="21"/>
  <c r="AZ30" i="12"/>
  <c r="AV30" i="12"/>
  <c r="AV44" i="15"/>
  <c r="AY30" i="24"/>
  <c r="AY30" i="12"/>
  <c r="AX44" i="15"/>
  <c r="AU30" i="16"/>
  <c r="AX30" i="16"/>
  <c r="AX30" i="21"/>
  <c r="AV30" i="21"/>
  <c r="AW30" i="24"/>
  <c r="AZ44" i="15"/>
  <c r="AY30" i="16"/>
  <c r="AU30" i="24"/>
  <c r="AU44" i="15"/>
  <c r="AY30" i="21"/>
  <c r="AW30" i="21"/>
  <c r="AX30" i="12"/>
  <c r="AY44" i="15"/>
  <c r="AW44" i="15"/>
  <c r="AW30" i="16"/>
  <c r="AZ30" i="24"/>
  <c r="AV44" i="11"/>
  <c r="AX30" i="24"/>
  <c r="AW44" i="11"/>
  <c r="AV30" i="24"/>
  <c r="AX8" i="12"/>
  <c r="AX10" i="12"/>
  <c r="AU23" i="12"/>
  <c r="BM109" i="22"/>
  <c r="BM111" i="22" s="1"/>
  <c r="AX25" i="12"/>
  <c r="AX24" i="12"/>
  <c r="AV10" i="11"/>
  <c r="AV9" i="11"/>
  <c r="AV8" i="11"/>
  <c r="AW10" i="11"/>
  <c r="AW9" i="11"/>
  <c r="AW8" i="11"/>
  <c r="AX8" i="11"/>
  <c r="AX10" i="11"/>
  <c r="AX9" i="11"/>
  <c r="AX31" i="11"/>
  <c r="AX30" i="11"/>
  <c r="AX32" i="11"/>
  <c r="AU106" i="11"/>
  <c r="AU24" i="12"/>
  <c r="AY87" i="11"/>
  <c r="AY89" i="11" s="1"/>
  <c r="AV101" i="11"/>
  <c r="AV106" i="11" s="1"/>
  <c r="AV110" i="11"/>
  <c r="AV123" i="11" s="1"/>
  <c r="AV77" i="11"/>
  <c r="AV108" i="11"/>
  <c r="AW33" i="11"/>
  <c r="AV101" i="12"/>
  <c r="AV106" i="12" s="1"/>
  <c r="BA82" i="15"/>
  <c r="AU108" i="12"/>
  <c r="AU30" i="12"/>
  <c r="BA26" i="16"/>
  <c r="BA27" i="16" s="1"/>
  <c r="AU100" i="15"/>
  <c r="AU101" i="15" s="1"/>
  <c r="AU106" i="15" s="1"/>
  <c r="AV32" i="15"/>
  <c r="AV31" i="15"/>
  <c r="AV30" i="15"/>
  <c r="BA98" i="15"/>
  <c r="BA11" i="16"/>
  <c r="BA98" i="16"/>
  <c r="BA98" i="24"/>
  <c r="AX23" i="24"/>
  <c r="AX24" i="24"/>
  <c r="AX25" i="24"/>
  <c r="AV10" i="12"/>
  <c r="AV9" i="12"/>
  <c r="AV8" i="12"/>
  <c r="AV108" i="12"/>
  <c r="AU101" i="12"/>
  <c r="AU106" i="12" s="1"/>
  <c r="AZ32" i="15"/>
  <c r="AZ31" i="15"/>
  <c r="AZ30" i="15"/>
  <c r="AX32" i="15"/>
  <c r="AX31" i="15"/>
  <c r="AX30" i="15"/>
  <c r="AW108" i="16"/>
  <c r="AV120" i="16" s="1"/>
  <c r="AW10" i="16"/>
  <c r="AW9" i="16"/>
  <c r="AW8" i="16"/>
  <c r="AX108" i="21"/>
  <c r="AW120" i="21" s="1"/>
  <c r="AX10" i="21"/>
  <c r="AX9" i="21"/>
  <c r="AX8" i="21"/>
  <c r="BA33" i="24"/>
  <c r="BA34" i="24" s="1"/>
  <c r="BA11" i="24"/>
  <c r="AZ108" i="24"/>
  <c r="AY120" i="24" s="1"/>
  <c r="AZ10" i="24"/>
  <c r="AZ9" i="24"/>
  <c r="AZ8" i="24"/>
  <c r="AV110" i="12"/>
  <c r="AU121" i="12" s="1"/>
  <c r="BA11" i="15"/>
  <c r="AW10" i="12"/>
  <c r="AW9" i="12"/>
  <c r="AW8" i="12"/>
  <c r="AW108" i="12"/>
  <c r="AV120" i="12" s="1"/>
  <c r="AW100" i="12"/>
  <c r="AU32" i="15"/>
  <c r="AU31" i="15"/>
  <c r="AU30" i="15"/>
  <c r="BA33" i="15"/>
  <c r="BA34" i="15" s="1"/>
  <c r="BA25" i="21"/>
  <c r="AU110" i="21"/>
  <c r="AY10" i="24"/>
  <c r="AY9" i="24"/>
  <c r="AY8" i="24"/>
  <c r="AY108" i="24"/>
  <c r="AX120" i="24" s="1"/>
  <c r="AW10" i="24"/>
  <c r="AW9" i="24"/>
  <c r="AW8" i="24"/>
  <c r="AW108" i="24"/>
  <c r="AV120" i="24" s="1"/>
  <c r="AU10" i="24"/>
  <c r="AU9" i="24"/>
  <c r="AU8" i="24"/>
  <c r="AU108" i="24"/>
  <c r="AZ10" i="12"/>
  <c r="AZ9" i="12"/>
  <c r="AZ8" i="12"/>
  <c r="AZ108" i="12"/>
  <c r="AY120" i="12" s="1"/>
  <c r="AU110" i="12"/>
  <c r="AW99" i="12"/>
  <c r="AW101" i="12" s="1"/>
  <c r="AW106" i="12" s="1"/>
  <c r="BA26" i="12"/>
  <c r="BA27" i="12" s="1"/>
  <c r="AW32" i="15"/>
  <c r="AW31" i="15"/>
  <c r="AW30" i="15"/>
  <c r="AY108" i="15"/>
  <c r="AX120" i="15" s="1"/>
  <c r="AY9" i="15"/>
  <c r="AY8" i="15"/>
  <c r="AY10" i="15"/>
  <c r="AW99" i="16"/>
  <c r="BA33" i="16"/>
  <c r="BA34" i="16" s="1"/>
  <c r="AU24" i="16"/>
  <c r="AU23" i="16"/>
  <c r="AU25" i="16"/>
  <c r="BA24" i="21"/>
  <c r="AU10" i="21"/>
  <c r="AU9" i="21"/>
  <c r="AU108" i="21"/>
  <c r="AU8" i="21"/>
  <c r="BA23" i="21"/>
  <c r="AV10" i="24"/>
  <c r="AV9" i="24"/>
  <c r="AV8" i="24"/>
  <c r="AV108" i="24"/>
  <c r="AY10" i="12"/>
  <c r="AY9" i="12"/>
  <c r="AY8" i="12"/>
  <c r="AY108" i="12"/>
  <c r="AX120" i="12" s="1"/>
  <c r="AX10" i="15"/>
  <c r="AX9" i="15"/>
  <c r="AX8" i="15"/>
  <c r="AX108" i="15"/>
  <c r="AW120" i="15" s="1"/>
  <c r="AW108" i="15"/>
  <c r="AV120" i="15" s="1"/>
  <c r="AW8" i="15"/>
  <c r="AW9" i="15"/>
  <c r="AW10" i="15"/>
  <c r="AU108" i="15"/>
  <c r="BA33" i="21"/>
  <c r="BA34" i="21" s="1"/>
  <c r="AX108" i="16"/>
  <c r="AW120" i="16" s="1"/>
  <c r="AX9" i="16"/>
  <c r="AX10" i="16"/>
  <c r="AX8" i="16"/>
  <c r="AX99" i="21"/>
  <c r="AV108" i="21"/>
  <c r="AV10" i="21"/>
  <c r="AV8" i="21"/>
  <c r="AV9" i="21"/>
  <c r="AV100" i="21"/>
  <c r="AV101" i="21" s="1"/>
  <c r="AV106" i="21" s="1"/>
  <c r="AU101" i="21"/>
  <c r="AU106" i="21" s="1"/>
  <c r="AU100" i="24"/>
  <c r="AU101" i="24" s="1"/>
  <c r="AU106" i="24" s="1"/>
  <c r="AY32" i="15"/>
  <c r="AY31" i="15"/>
  <c r="AY30" i="15"/>
  <c r="AZ108" i="15"/>
  <c r="AY120" i="15" s="1"/>
  <c r="BA47" i="15"/>
  <c r="BA48" i="15" s="1"/>
  <c r="AU100" i="16"/>
  <c r="AU101" i="16" s="1"/>
  <c r="AU106" i="16" s="1"/>
  <c r="AZ108" i="16"/>
  <c r="AY120" i="16" s="1"/>
  <c r="AZ10" i="16"/>
  <c r="AZ8" i="16"/>
  <c r="AZ9" i="16"/>
  <c r="AW108" i="21"/>
  <c r="AV120" i="21" s="1"/>
  <c r="AW10" i="21"/>
  <c r="AW9" i="21"/>
  <c r="AW8" i="21"/>
  <c r="BA11" i="21"/>
  <c r="AZ108" i="21"/>
  <c r="AY120" i="21" s="1"/>
  <c r="AZ10" i="21"/>
  <c r="AZ9" i="21"/>
  <c r="AZ8" i="21"/>
  <c r="AX108" i="12"/>
  <c r="AW120" i="12" s="1"/>
  <c r="AV10" i="15"/>
  <c r="AV9" i="15"/>
  <c r="AV8" i="15"/>
  <c r="AV108" i="15"/>
  <c r="AW99" i="15"/>
  <c r="AU108" i="16"/>
  <c r="AU10" i="16"/>
  <c r="AU9" i="16"/>
  <c r="AU8" i="16"/>
  <c r="AY108" i="16"/>
  <c r="AX120" i="16" s="1"/>
  <c r="AY10" i="16"/>
  <c r="AY9" i="16"/>
  <c r="AY8" i="16"/>
  <c r="AX23" i="16"/>
  <c r="AX24" i="16"/>
  <c r="AX25" i="16"/>
  <c r="AY108" i="21"/>
  <c r="AX120" i="21" s="1"/>
  <c r="AY10" i="21"/>
  <c r="AY9" i="21"/>
  <c r="AY8" i="21"/>
  <c r="BA98" i="21"/>
  <c r="AX10" i="24"/>
  <c r="AX9" i="24"/>
  <c r="AX8" i="24"/>
  <c r="AX108" i="24"/>
  <c r="AW120" i="24" s="1"/>
  <c r="AX122" i="24" s="1"/>
  <c r="AW99" i="24"/>
  <c r="BA26" i="24"/>
  <c r="BA27" i="24" s="1"/>
  <c r="BA11" i="12"/>
  <c r="BA33" i="12"/>
  <c r="BA34" i="12" s="1"/>
  <c r="AY11" i="11"/>
  <c r="AX47" i="11"/>
  <c r="AW98" i="11"/>
  <c r="AW101" i="11" s="1"/>
  <c r="AW106" i="11" s="1"/>
  <c r="AW77" i="11"/>
  <c r="AY78" i="11"/>
  <c r="AZ76" i="11"/>
  <c r="AX78" i="11"/>
  <c r="AW110" i="11"/>
  <c r="AV121" i="11" s="1"/>
  <c r="AW123" i="11" s="1"/>
  <c r="AV112" i="11"/>
  <c r="AV123" i="12" l="1"/>
  <c r="BM116" i="22"/>
  <c r="AV115" i="11"/>
  <c r="AU126" i="11"/>
  <c r="AW128" i="11"/>
  <c r="AW122" i="15"/>
  <c r="AV122" i="15"/>
  <c r="AZ122" i="21"/>
  <c r="AX122" i="15"/>
  <c r="AV122" i="24"/>
  <c r="AY122" i="24"/>
  <c r="AV122" i="11"/>
  <c r="AU124" i="11"/>
  <c r="AY122" i="16"/>
  <c r="AZ122" i="16"/>
  <c r="AV122" i="21"/>
  <c r="AX122" i="16"/>
  <c r="AY122" i="12"/>
  <c r="AZ122" i="24"/>
  <c r="AX122" i="12"/>
  <c r="AW122" i="12"/>
  <c r="AW122" i="16"/>
  <c r="AY122" i="21"/>
  <c r="AZ122" i="15"/>
  <c r="AZ122" i="12"/>
  <c r="AW122" i="24"/>
  <c r="AV122" i="12"/>
  <c r="AU124" i="12"/>
  <c r="AW122" i="21"/>
  <c r="AY122" i="15"/>
  <c r="AX122" i="21"/>
  <c r="BN109" i="22"/>
  <c r="BN111" i="22" s="1"/>
  <c r="BO62" i="22"/>
  <c r="AX44" i="11"/>
  <c r="BA25" i="12"/>
  <c r="AY8" i="11"/>
  <c r="AY10" i="11"/>
  <c r="AY9" i="11"/>
  <c r="AW30" i="11"/>
  <c r="AW32" i="11"/>
  <c r="AW31" i="11"/>
  <c r="BA87" i="11"/>
  <c r="AZ77" i="11"/>
  <c r="AU111" i="12"/>
  <c r="AU116" i="12" s="1"/>
  <c r="BA108" i="21"/>
  <c r="AU111" i="21"/>
  <c r="AU116" i="21" s="1"/>
  <c r="BA108" i="12"/>
  <c r="BA32" i="12"/>
  <c r="BA30" i="12"/>
  <c r="AX99" i="24"/>
  <c r="BA31" i="21"/>
  <c r="BA44" i="15"/>
  <c r="BA32" i="15"/>
  <c r="BA108" i="15"/>
  <c r="BA30" i="24"/>
  <c r="BA9" i="16"/>
  <c r="BA32" i="21"/>
  <c r="BA45" i="15"/>
  <c r="BA24" i="12"/>
  <c r="BA31" i="24"/>
  <c r="BA31" i="15"/>
  <c r="AV111" i="12"/>
  <c r="AV116" i="12" s="1"/>
  <c r="BA10" i="16"/>
  <c r="BA9" i="12"/>
  <c r="AU110" i="24"/>
  <c r="AU111" i="24" s="1"/>
  <c r="AU116" i="24" s="1"/>
  <c r="AY99" i="21"/>
  <c r="AZ99" i="21"/>
  <c r="BA30" i="16"/>
  <c r="AW110" i="12"/>
  <c r="BA8" i="15"/>
  <c r="BA108" i="24"/>
  <c r="BA32" i="24"/>
  <c r="AV100" i="15"/>
  <c r="AV101" i="15" s="1"/>
  <c r="AV106" i="15" s="1"/>
  <c r="BA8" i="12"/>
  <c r="AX99" i="15"/>
  <c r="BA8" i="21"/>
  <c r="AU110" i="16"/>
  <c r="AU111" i="16" s="1"/>
  <c r="AU116" i="16" s="1"/>
  <c r="AV100" i="24"/>
  <c r="AV101" i="24" s="1"/>
  <c r="AV106" i="24" s="1"/>
  <c r="AV110" i="21"/>
  <c r="BA25" i="16"/>
  <c r="BA31" i="16"/>
  <c r="AX100" i="12"/>
  <c r="BA9" i="15"/>
  <c r="BA23" i="24"/>
  <c r="BA9" i="21"/>
  <c r="AV100" i="16"/>
  <c r="AV101" i="16" s="1"/>
  <c r="AV106" i="16" s="1"/>
  <c r="AW100" i="21"/>
  <c r="AW101" i="21" s="1"/>
  <c r="AW106" i="21" s="1"/>
  <c r="BA23" i="16"/>
  <c r="BA32" i="16"/>
  <c r="BA30" i="15"/>
  <c r="BA10" i="15"/>
  <c r="BA8" i="24"/>
  <c r="AU110" i="15"/>
  <c r="AU111" i="15" s="1"/>
  <c r="AU116" i="15" s="1"/>
  <c r="BA31" i="12"/>
  <c r="BA10" i="12"/>
  <c r="BA10" i="21"/>
  <c r="BA24" i="16"/>
  <c r="AX99" i="16"/>
  <c r="BA46" i="15"/>
  <c r="BA9" i="24"/>
  <c r="BA24" i="24"/>
  <c r="AX99" i="12"/>
  <c r="BA25" i="24"/>
  <c r="BA10" i="24"/>
  <c r="BA108" i="16"/>
  <c r="BA30" i="21"/>
  <c r="BA23" i="12"/>
  <c r="BA8" i="16"/>
  <c r="AX76" i="11"/>
  <c r="BA78" i="11"/>
  <c r="AY47" i="11"/>
  <c r="AY33" i="11"/>
  <c r="AY76" i="11"/>
  <c r="AX98" i="11"/>
  <c r="AX101" i="11" s="1"/>
  <c r="AX106" i="11" s="1"/>
  <c r="AX110" i="11"/>
  <c r="AW121" i="11" s="1"/>
  <c r="AX123" i="11" s="1"/>
  <c r="AY102" i="11"/>
  <c r="AY105" i="11" s="1"/>
  <c r="AZ11" i="11"/>
  <c r="AW108" i="11"/>
  <c r="AV120" i="11" s="1"/>
  <c r="AZ102" i="11"/>
  <c r="AZ105" i="11" s="1"/>
  <c r="BA102" i="11"/>
  <c r="BA105" i="11" s="1"/>
  <c r="AW111" i="12" l="1"/>
  <c r="AW116" i="12" s="1"/>
  <c r="AV121" i="12"/>
  <c r="AW123" i="12" s="1"/>
  <c r="AV111" i="21"/>
  <c r="AV116" i="21" s="1"/>
  <c r="AU121" i="21"/>
  <c r="AV128" i="11"/>
  <c r="AU130" i="11"/>
  <c r="BN116" i="22"/>
  <c r="BN132" i="22"/>
  <c r="AU132" i="12"/>
  <c r="AW122" i="11"/>
  <c r="AV124" i="11"/>
  <c r="BO58" i="22"/>
  <c r="BO113" i="22"/>
  <c r="BO115" i="22" s="1"/>
  <c r="AY44" i="11"/>
  <c r="AZ10" i="11"/>
  <c r="AZ8" i="11"/>
  <c r="AZ9" i="11"/>
  <c r="AY30" i="11"/>
  <c r="AY31" i="11"/>
  <c r="AY32" i="11"/>
  <c r="AY99" i="12"/>
  <c r="AZ99" i="12"/>
  <c r="AX101" i="12"/>
  <c r="AX106" i="12" s="1"/>
  <c r="AW110" i="21"/>
  <c r="AV110" i="24"/>
  <c r="AV110" i="16"/>
  <c r="AW100" i="24"/>
  <c r="AW101" i="24" s="1"/>
  <c r="AW106" i="24" s="1"/>
  <c r="AV110" i="15"/>
  <c r="AZ99" i="16"/>
  <c r="AY99" i="16"/>
  <c r="AW100" i="15"/>
  <c r="AW101" i="15" s="1"/>
  <c r="AW106" i="15" s="1"/>
  <c r="AX110" i="12"/>
  <c r="BA99" i="21"/>
  <c r="AY99" i="24"/>
  <c r="AW100" i="16"/>
  <c r="AW101" i="16" s="1"/>
  <c r="AW106" i="16" s="1"/>
  <c r="AY100" i="12"/>
  <c r="AY99" i="15"/>
  <c r="AX100" i="21"/>
  <c r="AX101" i="21" s="1"/>
  <c r="AX106" i="21" s="1"/>
  <c r="AZ33" i="11"/>
  <c r="AY98" i="11"/>
  <c r="AY101" i="11" s="1"/>
  <c r="AY106" i="11" s="1"/>
  <c r="AY77" i="11"/>
  <c r="AZ47" i="11"/>
  <c r="AY110" i="11"/>
  <c r="AX121" i="11" s="1"/>
  <c r="AY123" i="11" s="1"/>
  <c r="BA11" i="11"/>
  <c r="BA76" i="11"/>
  <c r="AX108" i="11"/>
  <c r="AW120" i="11" s="1"/>
  <c r="AX77" i="11"/>
  <c r="AU111" i="11"/>
  <c r="AU116" i="11" s="1"/>
  <c r="AX112" i="11"/>
  <c r="AY112" i="11"/>
  <c r="AV124" i="12" l="1"/>
  <c r="AV132" i="12" s="1"/>
  <c r="AV130" i="11"/>
  <c r="AX115" i="11"/>
  <c r="AW126" i="11"/>
  <c r="AV123" i="21"/>
  <c r="AU124" i="21"/>
  <c r="AU132" i="21" s="1"/>
  <c r="AX111" i="12"/>
  <c r="AX116" i="12" s="1"/>
  <c r="AW121" i="12"/>
  <c r="AV111" i="24"/>
  <c r="AV116" i="24" s="1"/>
  <c r="AU121" i="24"/>
  <c r="AY115" i="11"/>
  <c r="AX126" i="11"/>
  <c r="AV111" i="16"/>
  <c r="AV116" i="16" s="1"/>
  <c r="AU121" i="16"/>
  <c r="AW111" i="21"/>
  <c r="AV121" i="21"/>
  <c r="BO109" i="22"/>
  <c r="AU132" i="11"/>
  <c r="AX122" i="11"/>
  <c r="AW124" i="11"/>
  <c r="AV111" i="15"/>
  <c r="AV116" i="15" s="1"/>
  <c r="AZ44" i="11"/>
  <c r="BA33" i="11"/>
  <c r="AZ31" i="11"/>
  <c r="BA31" i="11" s="1"/>
  <c r="AZ30" i="11"/>
  <c r="AZ32" i="11"/>
  <c r="BA10" i="11"/>
  <c r="AX100" i="16"/>
  <c r="AX101" i="16" s="1"/>
  <c r="AX106" i="16" s="1"/>
  <c r="BA99" i="16"/>
  <c r="AW110" i="24"/>
  <c r="AZ99" i="15"/>
  <c r="AX100" i="24"/>
  <c r="AX101" i="24" s="1"/>
  <c r="AX106" i="24" s="1"/>
  <c r="BA99" i="12"/>
  <c r="AW110" i="16"/>
  <c r="AY101" i="12"/>
  <c r="AY106" i="12" s="1"/>
  <c r="AW110" i="15"/>
  <c r="AY110" i="12"/>
  <c r="AZ99" i="24"/>
  <c r="AX100" i="15"/>
  <c r="AX101" i="15" s="1"/>
  <c r="AX106" i="15" s="1"/>
  <c r="AX110" i="21"/>
  <c r="AZ100" i="12"/>
  <c r="BA100" i="12" s="1"/>
  <c r="AY100" i="21"/>
  <c r="AY101" i="21" s="1"/>
  <c r="AY106" i="21" s="1"/>
  <c r="BA8" i="11"/>
  <c r="AZ98" i="11"/>
  <c r="AZ101" i="11" s="1"/>
  <c r="BA98" i="11"/>
  <c r="BA101" i="11" s="1"/>
  <c r="BA106" i="11" s="1"/>
  <c r="BA47" i="11"/>
  <c r="BA9" i="11"/>
  <c r="AY108" i="11"/>
  <c r="AX120" i="11" s="1"/>
  <c r="BA45" i="11"/>
  <c r="BA77" i="11"/>
  <c r="AZ110" i="11"/>
  <c r="AY121" i="11" s="1"/>
  <c r="AZ123" i="11" s="1"/>
  <c r="BA114" i="11"/>
  <c r="AZ127" i="11" s="1"/>
  <c r="AV111" i="11"/>
  <c r="AV116" i="11" s="1"/>
  <c r="AW111" i="24" l="1"/>
  <c r="AW116" i="24" s="1"/>
  <c r="AV121" i="24"/>
  <c r="AW116" i="21"/>
  <c r="AV123" i="16"/>
  <c r="AU124" i="16"/>
  <c r="AU132" i="16" s="1"/>
  <c r="AW123" i="21"/>
  <c r="AV124" i="21"/>
  <c r="AV132" i="21" s="1"/>
  <c r="AX123" i="12"/>
  <c r="AW124" i="12"/>
  <c r="AW132" i="12" s="1"/>
  <c r="AW111" i="16"/>
  <c r="AW116" i="16" s="1"/>
  <c r="AV121" i="16"/>
  <c r="AY128" i="11"/>
  <c r="AX128" i="11"/>
  <c r="AW130" i="11"/>
  <c r="AX111" i="21"/>
  <c r="AX116" i="21" s="1"/>
  <c r="AW121" i="21"/>
  <c r="AY111" i="12"/>
  <c r="AY116" i="12" s="1"/>
  <c r="AX121" i="12"/>
  <c r="AV123" i="24"/>
  <c r="AU124" i="24"/>
  <c r="AU132" i="24" s="1"/>
  <c r="AV132" i="11"/>
  <c r="AV123" i="15"/>
  <c r="AU124" i="15"/>
  <c r="AU132" i="15" s="1"/>
  <c r="AX124" i="11"/>
  <c r="AY122" i="11"/>
  <c r="AW111" i="15"/>
  <c r="AV121" i="15"/>
  <c r="AZ106" i="11"/>
  <c r="BA44" i="11"/>
  <c r="AY100" i="15"/>
  <c r="AY101" i="15" s="1"/>
  <c r="AY106" i="15" s="1"/>
  <c r="AY100" i="24"/>
  <c r="AY101" i="24" s="1"/>
  <c r="AY106" i="24" s="1"/>
  <c r="AZ101" i="12"/>
  <c r="AZ110" i="12"/>
  <c r="BA101" i="12"/>
  <c r="BA106" i="12" s="1"/>
  <c r="AY110" i="21"/>
  <c r="AZ100" i="21"/>
  <c r="BA99" i="24"/>
  <c r="AX110" i="16"/>
  <c r="BA99" i="15"/>
  <c r="AY100" i="16"/>
  <c r="AY101" i="16" s="1"/>
  <c r="AY106" i="16" s="1"/>
  <c r="AX110" i="15"/>
  <c r="AX110" i="24"/>
  <c r="BA110" i="11"/>
  <c r="BA32" i="11"/>
  <c r="BA30" i="11"/>
  <c r="BA46" i="11"/>
  <c r="AZ108" i="11"/>
  <c r="AY120" i="11" s="1"/>
  <c r="AW111" i="11"/>
  <c r="BA112" i="11"/>
  <c r="AZ112" i="11"/>
  <c r="AX130" i="11" l="1"/>
  <c r="AZ115" i="11"/>
  <c r="AY126" i="11"/>
  <c r="AY123" i="12"/>
  <c r="AX124" i="12"/>
  <c r="AX132" i="12" s="1"/>
  <c r="AW123" i="16"/>
  <c r="AV124" i="16"/>
  <c r="AV132" i="16" s="1"/>
  <c r="AY111" i="21"/>
  <c r="AY116" i="21" s="1"/>
  <c r="AX121" i="21"/>
  <c r="AZ111" i="12"/>
  <c r="AZ116" i="12" s="1"/>
  <c r="AY121" i="12"/>
  <c r="AX123" i="21"/>
  <c r="AW124" i="21"/>
  <c r="AW132" i="21" s="1"/>
  <c r="AW123" i="24"/>
  <c r="AV124" i="24"/>
  <c r="AV132" i="24" s="1"/>
  <c r="AX111" i="24"/>
  <c r="AX116" i="24" s="1"/>
  <c r="AW121" i="24"/>
  <c r="AX111" i="16"/>
  <c r="AX116" i="16" s="1"/>
  <c r="AW121" i="16"/>
  <c r="BA115" i="11"/>
  <c r="AZ126" i="11"/>
  <c r="AW116" i="11"/>
  <c r="AW132" i="11"/>
  <c r="AW116" i="15"/>
  <c r="AW123" i="15"/>
  <c r="AV124" i="15"/>
  <c r="AV132" i="15" s="1"/>
  <c r="AX111" i="15"/>
  <c r="AW121" i="15"/>
  <c r="AY124" i="11"/>
  <c r="AZ122" i="11"/>
  <c r="AZ124" i="11" s="1"/>
  <c r="AZ106" i="12"/>
  <c r="AY110" i="24"/>
  <c r="AZ100" i="16"/>
  <c r="AZ100" i="24"/>
  <c r="AY110" i="16"/>
  <c r="BA110" i="12"/>
  <c r="BA111" i="12" s="1"/>
  <c r="BA116" i="12" s="1"/>
  <c r="BA100" i="21"/>
  <c r="BA101" i="21" s="1"/>
  <c r="BA106" i="21" s="1"/>
  <c r="AZ101" i="21"/>
  <c r="AZ110" i="21"/>
  <c r="AY110" i="15"/>
  <c r="AZ100" i="15"/>
  <c r="BA108" i="11"/>
  <c r="AX111" i="11"/>
  <c r="AY111" i="24" l="1"/>
  <c r="AY116" i="24" s="1"/>
  <c r="AX121" i="24"/>
  <c r="AX123" i="24"/>
  <c r="AW124" i="24"/>
  <c r="AW132" i="24" s="1"/>
  <c r="AY123" i="21"/>
  <c r="AX124" i="21"/>
  <c r="AX132" i="21" s="1"/>
  <c r="AY111" i="16"/>
  <c r="AY116" i="16" s="1"/>
  <c r="AX121" i="16"/>
  <c r="AX123" i="16"/>
  <c r="AW124" i="16"/>
  <c r="AW132" i="16" s="1"/>
  <c r="AZ123" i="12"/>
  <c r="AZ124" i="12" s="1"/>
  <c r="AZ132" i="12" s="1"/>
  <c r="AY124" i="12"/>
  <c r="AY132" i="12" s="1"/>
  <c r="AY130" i="11"/>
  <c r="AZ128" i="11"/>
  <c r="AZ111" i="21"/>
  <c r="AZ116" i="21" s="1"/>
  <c r="AY121" i="21"/>
  <c r="AX116" i="15"/>
  <c r="AX116" i="11"/>
  <c r="AX132" i="11"/>
  <c r="AX123" i="15"/>
  <c r="AW124" i="15"/>
  <c r="AW132" i="15" s="1"/>
  <c r="AY111" i="15"/>
  <c r="AX121" i="15"/>
  <c r="AZ106" i="21"/>
  <c r="BA110" i="16"/>
  <c r="BA111" i="16" s="1"/>
  <c r="BA116" i="16" s="1"/>
  <c r="BA100" i="16"/>
  <c r="BA101" i="16" s="1"/>
  <c r="BA106" i="16" s="1"/>
  <c r="AZ101" i="16"/>
  <c r="BA100" i="15"/>
  <c r="BA101" i="15" s="1"/>
  <c r="BA106" i="15" s="1"/>
  <c r="AZ101" i="15"/>
  <c r="AZ110" i="24"/>
  <c r="AZ110" i="15"/>
  <c r="BA110" i="21"/>
  <c r="BA111" i="21" s="1"/>
  <c r="BA116" i="21" s="1"/>
  <c r="BA100" i="24"/>
  <c r="BA101" i="24" s="1"/>
  <c r="BA106" i="24" s="1"/>
  <c r="AZ101" i="24"/>
  <c r="AZ110" i="16"/>
  <c r="AY111" i="11"/>
  <c r="AZ130" i="11" l="1"/>
  <c r="BA132" i="12"/>
  <c r="AY123" i="16"/>
  <c r="AX124" i="16"/>
  <c r="AX132" i="16" s="1"/>
  <c r="AZ123" i="21"/>
  <c r="AZ124" i="21" s="1"/>
  <c r="AZ132" i="21" s="1"/>
  <c r="AY124" i="21"/>
  <c r="AY132" i="21" s="1"/>
  <c r="AZ111" i="24"/>
  <c r="AZ116" i="24" s="1"/>
  <c r="AY121" i="24"/>
  <c r="AY123" i="24"/>
  <c r="AX124" i="24"/>
  <c r="AX132" i="24" s="1"/>
  <c r="AZ111" i="16"/>
  <c r="AZ116" i="16" s="1"/>
  <c r="AY121" i="16"/>
  <c r="AY116" i="11"/>
  <c r="AY132" i="11"/>
  <c r="AY116" i="15"/>
  <c r="AY123" i="15"/>
  <c r="AX124" i="15"/>
  <c r="AX132" i="15" s="1"/>
  <c r="AZ111" i="15"/>
  <c r="AY121" i="15"/>
  <c r="AZ106" i="15"/>
  <c r="AZ106" i="16"/>
  <c r="AZ106" i="24"/>
  <c r="BA110" i="15"/>
  <c r="BA111" i="15" s="1"/>
  <c r="BA116" i="15" s="1"/>
  <c r="BA110" i="24"/>
  <c r="BA111" i="24" s="1"/>
  <c r="BA116" i="24" s="1"/>
  <c r="AZ111" i="11"/>
  <c r="AZ123" i="24" l="1"/>
  <c r="AZ124" i="24" s="1"/>
  <c r="AZ132" i="24" s="1"/>
  <c r="AY124" i="24"/>
  <c r="AY132" i="24" s="1"/>
  <c r="BA132" i="21"/>
  <c r="AZ123" i="16"/>
  <c r="AY124" i="16"/>
  <c r="AY132" i="16" s="1"/>
  <c r="AZ116" i="11"/>
  <c r="AZ132" i="11"/>
  <c r="BA132" i="11" s="1"/>
  <c r="AZ116" i="15"/>
  <c r="AZ123" i="15"/>
  <c r="AZ124" i="15" s="1"/>
  <c r="AZ132" i="15" s="1"/>
  <c r="AY124" i="15"/>
  <c r="AY132" i="15" s="1"/>
  <c r="AT132" i="10"/>
  <c r="BA111" i="11"/>
  <c r="BA116" i="11" s="1"/>
  <c r="BO81" i="10"/>
  <c r="AV81" i="10"/>
  <c r="AW81" i="10"/>
  <c r="AX81" i="10"/>
  <c r="AY81" i="10"/>
  <c r="AZ81" i="10"/>
  <c r="AU81" i="10"/>
  <c r="BO43" i="10"/>
  <c r="AV43" i="10"/>
  <c r="AW43" i="10"/>
  <c r="AX43" i="10"/>
  <c r="AY43" i="10"/>
  <c r="AZ43" i="10"/>
  <c r="AU43" i="10"/>
  <c r="BO29" i="10"/>
  <c r="AV29" i="10"/>
  <c r="AW29" i="10"/>
  <c r="AX29" i="10"/>
  <c r="AY29" i="10"/>
  <c r="AZ29" i="10"/>
  <c r="AU29" i="10"/>
  <c r="AV22" i="10"/>
  <c r="AW22" i="10"/>
  <c r="AX22" i="10"/>
  <c r="AY22" i="10"/>
  <c r="AZ22" i="10"/>
  <c r="AU22" i="10"/>
  <c r="BM88" i="14"/>
  <c r="BL88" i="14"/>
  <c r="BK88" i="14"/>
  <c r="BJ88" i="14"/>
  <c r="BI88" i="14"/>
  <c r="BH88" i="14"/>
  <c r="BG88" i="14"/>
  <c r="BF88" i="14"/>
  <c r="BM83" i="10"/>
  <c r="BL83" i="10"/>
  <c r="BK83" i="10"/>
  <c r="BJ83" i="10"/>
  <c r="BI83" i="10"/>
  <c r="BH83" i="10"/>
  <c r="BG83" i="10"/>
  <c r="BF83" i="10"/>
  <c r="BO55" i="10"/>
  <c r="BM48" i="14"/>
  <c r="BL48" i="14"/>
  <c r="BK48" i="14"/>
  <c r="BJ48" i="14"/>
  <c r="BI48" i="14"/>
  <c r="BH48" i="14"/>
  <c r="BG48" i="14"/>
  <c r="BF48" i="14"/>
  <c r="BM48" i="10"/>
  <c r="BL48" i="10"/>
  <c r="BK48" i="10"/>
  <c r="BJ48" i="10"/>
  <c r="BI48" i="10"/>
  <c r="BH48" i="10"/>
  <c r="BG48" i="10"/>
  <c r="BF48" i="10"/>
  <c r="BM34" i="14"/>
  <c r="BL34" i="14"/>
  <c r="BK34" i="14"/>
  <c r="BJ34" i="14"/>
  <c r="BI34" i="14"/>
  <c r="BH34" i="14"/>
  <c r="BG34" i="14"/>
  <c r="BF34" i="14"/>
  <c r="BM34" i="10"/>
  <c r="BL34" i="10"/>
  <c r="BK34" i="10"/>
  <c r="BJ34" i="10"/>
  <c r="BI34" i="10"/>
  <c r="BH34" i="10"/>
  <c r="BG34" i="10"/>
  <c r="BF34" i="10"/>
  <c r="BK27" i="10"/>
  <c r="BH27" i="10"/>
  <c r="BF12" i="14"/>
  <c r="BG12" i="14"/>
  <c r="BH12" i="14"/>
  <c r="BI12" i="14"/>
  <c r="BJ12" i="14"/>
  <c r="BK12" i="14"/>
  <c r="BL12" i="14"/>
  <c r="BM12" i="14"/>
  <c r="BO7" i="10"/>
  <c r="AV7" i="10"/>
  <c r="AW7" i="10"/>
  <c r="AX7" i="10"/>
  <c r="AY7" i="10"/>
  <c r="AZ7" i="10"/>
  <c r="AU7" i="10"/>
  <c r="BA132" i="24" l="1"/>
  <c r="BA132" i="15"/>
  <c r="BA29" i="10"/>
  <c r="BA22" i="10"/>
  <c r="BA83" i="15" l="1"/>
  <c r="BF22" i="10" l="1"/>
  <c r="F20" i="9" s="1"/>
  <c r="BF81" i="10"/>
  <c r="F75" i="9" s="1"/>
  <c r="BF29" i="10"/>
  <c r="BF43" i="10"/>
  <c r="F41" i="9" s="1"/>
  <c r="BG81" i="10" l="1"/>
  <c r="G75" i="9" s="1"/>
  <c r="BG22" i="10"/>
  <c r="G20" i="9" s="1"/>
  <c r="BG43" i="10"/>
  <c r="G41" i="9" s="1"/>
  <c r="BG29" i="10"/>
  <c r="BH22" i="10" l="1"/>
  <c r="H20" i="9" s="1"/>
  <c r="BH81" i="10"/>
  <c r="H75" i="9" s="1"/>
  <c r="BH29" i="10"/>
  <c r="BH43" i="10"/>
  <c r="H41" i="9" s="1"/>
  <c r="BI81" i="10" l="1"/>
  <c r="I75" i="9" s="1"/>
  <c r="BI22" i="10"/>
  <c r="I20" i="9" s="1"/>
  <c r="BI29" i="10"/>
  <c r="BI43" i="10"/>
  <c r="I41" i="9" s="1"/>
  <c r="BJ22" i="10" l="1"/>
  <c r="J20" i="9" s="1"/>
  <c r="BJ81" i="10"/>
  <c r="J75" i="9" s="1"/>
  <c r="BJ43" i="10"/>
  <c r="J41" i="9" s="1"/>
  <c r="BJ29" i="10"/>
  <c r="BK81" i="10" l="1"/>
  <c r="K75" i="9" s="1"/>
  <c r="BK22" i="10"/>
  <c r="K20" i="9" s="1"/>
  <c r="BK29" i="10"/>
  <c r="BK43" i="10"/>
  <c r="K41" i="9" s="1"/>
  <c r="BL81" i="10" l="1"/>
  <c r="L75" i="9" s="1"/>
  <c r="BL22" i="10"/>
  <c r="L20" i="9" s="1"/>
  <c r="BL43" i="10"/>
  <c r="L41" i="9" s="1"/>
  <c r="BL29" i="10"/>
  <c r="BM81" i="10" l="1"/>
  <c r="M75" i="9" s="1"/>
  <c r="BM22" i="10"/>
  <c r="M20" i="9" s="1"/>
  <c r="BM29" i="10"/>
  <c r="BM43" i="10"/>
  <c r="M41" i="9" s="1"/>
  <c r="BN22" i="10" l="1"/>
  <c r="N20" i="9" s="1"/>
  <c r="BN81" i="10"/>
  <c r="N75" i="9" s="1"/>
  <c r="BN43" i="10"/>
  <c r="BN29" i="10"/>
  <c r="BO51" i="37" l="1"/>
  <c r="AU26" i="10" l="1"/>
  <c r="AV23" i="10"/>
  <c r="AW23" i="10"/>
  <c r="AY23" i="10"/>
  <c r="AV24" i="10"/>
  <c r="AW24" i="10"/>
  <c r="AY24" i="10"/>
  <c r="AV25" i="10"/>
  <c r="AW25" i="10"/>
  <c r="AY25" i="10"/>
  <c r="AU24" i="10" l="1"/>
  <c r="AU25" i="10"/>
  <c r="AU23" i="10"/>
  <c r="AX26" i="10" l="1"/>
  <c r="AX25" i="10" l="1"/>
  <c r="AX24" i="10"/>
  <c r="AX23" i="10"/>
  <c r="AZ26" i="10" l="1"/>
  <c r="BA26" i="10" s="1"/>
  <c r="AZ25" i="10" l="1"/>
  <c r="AZ24" i="10"/>
  <c r="AZ23" i="10"/>
  <c r="BA27" i="10"/>
  <c r="BA25" i="10" l="1"/>
  <c r="BA24" i="10"/>
  <c r="BA23" i="10"/>
  <c r="AZ114" i="10" l="1"/>
  <c r="AZ115" i="10" s="1"/>
  <c r="AY114" i="10"/>
  <c r="AY115" i="10" s="1"/>
  <c r="AX114" i="10"/>
  <c r="AX115" i="10" s="1"/>
  <c r="AW114" i="10"/>
  <c r="AW115" i="10" s="1"/>
  <c r="AV114" i="10"/>
  <c r="AV115" i="10" s="1"/>
  <c r="AU114" i="10"/>
  <c r="AU115" i="10" s="1"/>
  <c r="BA112" i="10"/>
  <c r="BA105" i="10"/>
  <c r="AZ104" i="10"/>
  <c r="AZ105" i="10" s="1"/>
  <c r="AY104" i="10"/>
  <c r="AY105" i="10" s="1"/>
  <c r="AX104" i="10"/>
  <c r="AX105" i="10" s="1"/>
  <c r="AW104" i="10"/>
  <c r="AW105" i="10" s="1"/>
  <c r="AV104" i="10"/>
  <c r="AV105" i="10" s="1"/>
  <c r="AU104" i="10"/>
  <c r="AU105" i="10" s="1"/>
  <c r="AZ58" i="10"/>
  <c r="AZ109" i="10" s="1"/>
  <c r="AY58" i="10"/>
  <c r="AY109" i="10" s="1"/>
  <c r="AX58" i="10"/>
  <c r="AX109" i="10" s="1"/>
  <c r="AW58" i="10"/>
  <c r="AW109" i="10" s="1"/>
  <c r="AV58" i="10"/>
  <c r="AV109" i="10" s="1"/>
  <c r="AU58" i="10"/>
  <c r="AU109" i="10" l="1"/>
  <c r="BA114" i="10"/>
  <c r="BA115" i="10" s="1"/>
  <c r="BA58" i="10"/>
  <c r="BA109" i="10" s="1"/>
  <c r="BF58" i="10" l="1"/>
  <c r="F56" i="9" s="1"/>
  <c r="F102" i="9" s="1"/>
  <c r="AU33" i="10"/>
  <c r="BG58" i="10" l="1"/>
  <c r="G56" i="9" s="1"/>
  <c r="G102" i="9" s="1"/>
  <c r="AU30" i="10"/>
  <c r="AU32" i="10"/>
  <c r="AU31" i="10"/>
  <c r="AV33" i="10"/>
  <c r="AU100" i="10"/>
  <c r="AU47" i="10"/>
  <c r="BH58" i="10" l="1"/>
  <c r="H56" i="9" s="1"/>
  <c r="H102" i="9" s="1"/>
  <c r="AU45" i="10"/>
  <c r="AU44" i="10"/>
  <c r="AU46" i="10"/>
  <c r="AV31" i="10"/>
  <c r="AV30" i="10"/>
  <c r="AV32" i="10"/>
  <c r="AW33" i="10"/>
  <c r="AV47" i="10"/>
  <c r="AV100" i="10"/>
  <c r="AU99" i="10"/>
  <c r="AV57" i="10"/>
  <c r="BI58" i="10" l="1"/>
  <c r="I56" i="9" s="1"/>
  <c r="I102" i="9" s="1"/>
  <c r="AV46" i="10"/>
  <c r="AV45" i="10"/>
  <c r="AV44" i="10"/>
  <c r="AW30" i="10"/>
  <c r="AW31" i="10"/>
  <c r="AW32" i="10"/>
  <c r="AW100" i="10"/>
  <c r="AW47" i="10"/>
  <c r="AX33" i="10"/>
  <c r="AV99" i="10"/>
  <c r="AW57" i="10"/>
  <c r="BJ58" i="10" l="1"/>
  <c r="J56" i="9" s="1"/>
  <c r="J102" i="9" s="1"/>
  <c r="AW46" i="10"/>
  <c r="AW45" i="10"/>
  <c r="AW44" i="10"/>
  <c r="AX32" i="10"/>
  <c r="AX31" i="10"/>
  <c r="AX30" i="10"/>
  <c r="AW99" i="10"/>
  <c r="AX57" i="10"/>
  <c r="AY33" i="10"/>
  <c r="AX47" i="10"/>
  <c r="AX100" i="10"/>
  <c r="BK58" i="10" l="1"/>
  <c r="K56" i="9" s="1"/>
  <c r="K102" i="9" s="1"/>
  <c r="AX44" i="10"/>
  <c r="AX46" i="10"/>
  <c r="AX45" i="10"/>
  <c r="AY32" i="10"/>
  <c r="AY31" i="10"/>
  <c r="AY30" i="10"/>
  <c r="AZ33" i="10"/>
  <c r="AY100" i="10"/>
  <c r="AY47" i="10"/>
  <c r="AX99" i="10"/>
  <c r="AY57" i="10"/>
  <c r="BL58" i="10" l="1"/>
  <c r="L56" i="9" s="1"/>
  <c r="L102" i="9" s="1"/>
  <c r="AY46" i="10"/>
  <c r="AY45" i="10"/>
  <c r="AY44" i="10"/>
  <c r="AZ32" i="10"/>
  <c r="AZ31" i="10"/>
  <c r="AZ30" i="10"/>
  <c r="BA33" i="10"/>
  <c r="BA34" i="10" s="1"/>
  <c r="BA81" i="10"/>
  <c r="AZ47" i="10"/>
  <c r="BA43" i="10"/>
  <c r="AZ57" i="10"/>
  <c r="AY99" i="10"/>
  <c r="AZ100" i="10"/>
  <c r="BA100" i="10" s="1"/>
  <c r="BM58" i="10" l="1"/>
  <c r="M56" i="9" s="1"/>
  <c r="M102" i="9" s="1"/>
  <c r="AZ44" i="10"/>
  <c r="AZ45" i="10"/>
  <c r="AZ46" i="10"/>
  <c r="BA47" i="10"/>
  <c r="BA48" i="10" s="1"/>
  <c r="BA32" i="10"/>
  <c r="BA30" i="10"/>
  <c r="AZ99" i="10"/>
  <c r="BA99" i="10" s="1"/>
  <c r="BA57" i="10"/>
  <c r="BA31" i="10"/>
  <c r="BA45" i="10" l="1"/>
  <c r="BA46" i="10"/>
  <c r="BA44" i="10"/>
  <c r="BO102" i="14" l="1"/>
  <c r="BO102" i="16"/>
  <c r="BN102" i="14"/>
  <c r="BN102" i="16"/>
  <c r="BO102" i="37"/>
  <c r="BO113" i="14" l="1"/>
  <c r="BO112" i="14"/>
  <c r="BO104" i="14"/>
  <c r="BO105" i="14" s="1"/>
  <c r="BO104" i="16"/>
  <c r="BO105" i="16" s="1"/>
  <c r="BO100" i="16"/>
  <c r="BO113" i="29"/>
  <c r="BO109" i="29"/>
  <c r="BO100" i="29"/>
  <c r="BO113" i="37"/>
  <c r="BO109" i="37"/>
  <c r="BO104" i="37"/>
  <c r="BO105" i="37" s="1"/>
  <c r="BO100" i="37"/>
  <c r="BO98" i="37"/>
  <c r="BO113" i="10"/>
  <c r="O59" i="9"/>
  <c r="O96" i="9" l="1"/>
  <c r="N13" i="46"/>
  <c r="M13" i="46"/>
  <c r="L13" i="46"/>
  <c r="K13" i="46"/>
  <c r="J13" i="46"/>
  <c r="I13" i="46"/>
  <c r="H13" i="46"/>
  <c r="G13" i="46"/>
  <c r="F13" i="46"/>
  <c r="E13" i="46"/>
  <c r="D13" i="46"/>
  <c r="C13" i="46"/>
  <c r="O13" i="46" l="1"/>
  <c r="BM114" i="14" l="1"/>
  <c r="BL114" i="14"/>
  <c r="BK114" i="14"/>
  <c r="BJ114" i="14"/>
  <c r="BI114" i="14"/>
  <c r="BH114" i="14"/>
  <c r="BG114" i="14"/>
  <c r="BF114" i="14"/>
  <c r="BN112" i="14"/>
  <c r="BM112" i="14"/>
  <c r="BL112" i="14"/>
  <c r="BK112" i="14"/>
  <c r="BJ112" i="14"/>
  <c r="BI112" i="14"/>
  <c r="BH112" i="14"/>
  <c r="BG112" i="14"/>
  <c r="BF112" i="14"/>
  <c r="BN104" i="14"/>
  <c r="BM104" i="14"/>
  <c r="BL104" i="14"/>
  <c r="BK104" i="14"/>
  <c r="BJ104" i="14"/>
  <c r="BI104" i="14"/>
  <c r="BH104" i="14"/>
  <c r="BG104" i="14"/>
  <c r="BF104" i="14"/>
  <c r="BM102" i="14"/>
  <c r="BL102" i="14"/>
  <c r="BK102" i="14"/>
  <c r="BJ102" i="14"/>
  <c r="BI102" i="14"/>
  <c r="BH102" i="14"/>
  <c r="BG102" i="14"/>
  <c r="BF102" i="14"/>
  <c r="BM99" i="14"/>
  <c r="BL99" i="14"/>
  <c r="BK99" i="14"/>
  <c r="BJ99" i="14"/>
  <c r="BI99" i="14"/>
  <c r="BH99" i="14"/>
  <c r="BG99" i="14"/>
  <c r="BF99" i="14"/>
  <c r="BN112" i="16"/>
  <c r="BN104" i="16"/>
  <c r="BN105" i="16" s="1"/>
  <c r="BM99" i="16"/>
  <c r="BM99" i="29"/>
  <c r="BL99" i="29"/>
  <c r="BK99" i="29"/>
  <c r="BJ99" i="29"/>
  <c r="BI99" i="29"/>
  <c r="BH99" i="29"/>
  <c r="BG99" i="29"/>
  <c r="BF99" i="29"/>
  <c r="AU102" i="29"/>
  <c r="AZ99" i="29"/>
  <c r="AY99" i="29"/>
  <c r="AX99" i="29"/>
  <c r="AW99" i="29"/>
  <c r="AV99" i="29"/>
  <c r="AU99" i="29"/>
  <c r="BH105" i="14" l="1"/>
  <c r="BG115" i="14"/>
  <c r="BI115" i="14"/>
  <c r="BJ118" i="12"/>
  <c r="BJ118" i="24"/>
  <c r="BJ118" i="16"/>
  <c r="BJ118" i="21"/>
  <c r="BM115" i="14"/>
  <c r="BK115" i="14"/>
  <c r="BI105" i="14"/>
  <c r="BM105" i="14"/>
  <c r="BH115" i="14"/>
  <c r="BL115" i="14"/>
  <c r="BL105" i="14"/>
  <c r="BG105" i="14"/>
  <c r="BK105" i="14"/>
  <c r="BF105" i="14"/>
  <c r="BJ105" i="14"/>
  <c r="BN105" i="14"/>
  <c r="BF115" i="14"/>
  <c r="BJ115" i="14"/>
  <c r="BN105" i="10"/>
  <c r="BO112" i="10" l="1"/>
  <c r="BN112" i="10"/>
  <c r="AU104" i="29" l="1"/>
  <c r="AU105" i="29" s="1"/>
  <c r="AV102" i="29" l="1"/>
  <c r="BN36" i="29"/>
  <c r="N34" i="9" s="1"/>
  <c r="BN50" i="29"/>
  <c r="N48" i="9" s="1"/>
  <c r="AW102" i="29" l="1"/>
  <c r="AX102" i="29" l="1"/>
  <c r="AY102" i="29" l="1"/>
  <c r="BA102" i="29" l="1"/>
  <c r="AZ102" i="29"/>
  <c r="AV104" i="29" l="1"/>
  <c r="AV105" i="29" s="1"/>
  <c r="AZ109" i="29"/>
  <c r="AY109" i="29"/>
  <c r="AX109" i="29"/>
  <c r="AW109" i="29"/>
  <c r="AV109" i="29"/>
  <c r="AU109" i="29"/>
  <c r="AV98" i="29" l="1"/>
  <c r="AU98" i="29"/>
  <c r="AU100" i="29"/>
  <c r="AW104" i="29" l="1"/>
  <c r="AW105" i="29" s="1"/>
  <c r="BG102" i="29"/>
  <c r="BF102" i="29"/>
  <c r="AU101" i="29"/>
  <c r="AU106" i="29" s="1"/>
  <c r="AV100" i="29"/>
  <c r="AV101" i="29" s="1"/>
  <c r="AV106" i="29" s="1"/>
  <c r="AW98" i="29"/>
  <c r="BH102" i="29" l="1"/>
  <c r="BI102" i="29"/>
  <c r="AX104" i="29"/>
  <c r="AX105" i="29" s="1"/>
  <c r="BO112" i="37"/>
  <c r="BO128" i="37" s="1"/>
  <c r="AW100" i="29"/>
  <c r="AW101" i="29" s="1"/>
  <c r="AW106" i="29" s="1"/>
  <c r="AX98" i="29"/>
  <c r="BK102" i="29" l="1"/>
  <c r="AY104" i="29"/>
  <c r="AY105" i="29" s="1"/>
  <c r="BJ102" i="29"/>
  <c r="AX100" i="29"/>
  <c r="AX101" i="29" s="1"/>
  <c r="AX106" i="29" s="1"/>
  <c r="AY98" i="29"/>
  <c r="BN15" i="29" l="1"/>
  <c r="N13" i="9" s="1"/>
  <c r="N95" i="9" s="1"/>
  <c r="AZ104" i="29"/>
  <c r="AZ105" i="29" s="1"/>
  <c r="BM102" i="29"/>
  <c r="BL102" i="29"/>
  <c r="AY100" i="29"/>
  <c r="AY101" i="29" s="1"/>
  <c r="AY106" i="29" s="1"/>
  <c r="AZ98" i="29"/>
  <c r="BN102" i="29" l="1"/>
  <c r="BO102" i="29"/>
  <c r="AZ100" i="29"/>
  <c r="AZ101" i="29" s="1"/>
  <c r="AZ106" i="29" s="1"/>
  <c r="BF92" i="29" l="1"/>
  <c r="F85" i="9" s="1"/>
  <c r="F97" i="9" s="1"/>
  <c r="F98" i="9" s="1"/>
  <c r="BF93" i="29" l="1"/>
  <c r="F86" i="9" s="1"/>
  <c r="F107" i="9" s="1"/>
  <c r="BH92" i="29"/>
  <c r="H85" i="9" s="1"/>
  <c r="H97" i="9" s="1"/>
  <c r="H98" i="9" s="1"/>
  <c r="BF104" i="29"/>
  <c r="BF105" i="29" s="1"/>
  <c r="BN114" i="14"/>
  <c r="BN115" i="14" s="1"/>
  <c r="BN114" i="16"/>
  <c r="BN115" i="16" s="1"/>
  <c r="BN99" i="29"/>
  <c r="BH93" i="29" l="1"/>
  <c r="H86" i="9" s="1"/>
  <c r="H107" i="9" s="1"/>
  <c r="BN99" i="14"/>
  <c r="BN99" i="16"/>
  <c r="BJ92" i="29"/>
  <c r="J85" i="9" s="1"/>
  <c r="J97" i="9" s="1"/>
  <c r="J98" i="9" s="1"/>
  <c r="BH104" i="29"/>
  <c r="BH105" i="29" s="1"/>
  <c r="BP78" i="11"/>
  <c r="BJ93" i="29" l="1"/>
  <c r="J86" i="9" s="1"/>
  <c r="J107" i="9" s="1"/>
  <c r="BL92" i="29"/>
  <c r="L85" i="9" s="1"/>
  <c r="L97" i="9" s="1"/>
  <c r="L98" i="9" s="1"/>
  <c r="BJ104" i="29"/>
  <c r="BJ105" i="29" s="1"/>
  <c r="BJ97" i="15"/>
  <c r="BL93" i="29" l="1"/>
  <c r="L86" i="9" s="1"/>
  <c r="L107" i="9" s="1"/>
  <c r="BL104" i="29"/>
  <c r="BL105" i="29" s="1"/>
  <c r="AU82" i="10" l="1"/>
  <c r="AV82" i="10"/>
  <c r="AW82" i="10"/>
  <c r="AX82" i="10"/>
  <c r="AY82" i="10"/>
  <c r="AZ82" i="10"/>
  <c r="BA82" i="10" l="1"/>
  <c r="AU54" i="29"/>
  <c r="AU40" i="29"/>
  <c r="AX110" i="10"/>
  <c r="AW121" i="10" s="1"/>
  <c r="AW110" i="10"/>
  <c r="AV121" i="10" s="1"/>
  <c r="AY110" i="10"/>
  <c r="AX121" i="10" s="1"/>
  <c r="AV110" i="10"/>
  <c r="AU110" i="10"/>
  <c r="AZ110" i="10"/>
  <c r="AY121" i="10" s="1"/>
  <c r="BF40" i="29"/>
  <c r="F38" i="9" s="1"/>
  <c r="BF54" i="29"/>
  <c r="F52" i="9" s="1"/>
  <c r="BG40" i="29"/>
  <c r="G38" i="9" s="1"/>
  <c r="BG54" i="29"/>
  <c r="G52" i="9" s="1"/>
  <c r="BG19" i="29"/>
  <c r="G17" i="9" s="1"/>
  <c r="BF19" i="29"/>
  <c r="F17" i="9" s="1"/>
  <c r="F105" i="9" l="1"/>
  <c r="F108" i="9" s="1"/>
  <c r="G105" i="9"/>
  <c r="AV123" i="10"/>
  <c r="AY123" i="10"/>
  <c r="AW123" i="10"/>
  <c r="AX123" i="10"/>
  <c r="AZ123" i="10"/>
  <c r="BG51" i="29"/>
  <c r="G49" i="9" s="1"/>
  <c r="AU51" i="29"/>
  <c r="BF51" i="29"/>
  <c r="F49" i="9" s="1"/>
  <c r="BF38" i="29"/>
  <c r="F36" i="9" s="1"/>
  <c r="BF39" i="29"/>
  <c r="F37" i="9" s="1"/>
  <c r="BF37" i="29"/>
  <c r="F35" i="9" s="1"/>
  <c r="BG18" i="29"/>
  <c r="G16" i="9" s="1"/>
  <c r="BG16" i="29"/>
  <c r="G14" i="9" s="1"/>
  <c r="BG17" i="29"/>
  <c r="G15" i="9" s="1"/>
  <c r="BF18" i="29"/>
  <c r="F16" i="9" s="1"/>
  <c r="BF16" i="29"/>
  <c r="F14" i="9" s="1"/>
  <c r="BF17" i="29"/>
  <c r="F15" i="9" s="1"/>
  <c r="BG39" i="29"/>
  <c r="G37" i="9" s="1"/>
  <c r="BG38" i="29"/>
  <c r="G36" i="9" s="1"/>
  <c r="BG37" i="29"/>
  <c r="G35" i="9" s="1"/>
  <c r="AU39" i="29"/>
  <c r="AU38" i="29"/>
  <c r="AU37" i="29"/>
  <c r="AU93" i="29"/>
  <c r="AV40" i="29"/>
  <c r="BI40" i="29"/>
  <c r="I38" i="9" s="1"/>
  <c r="AU19" i="29"/>
  <c r="AV54" i="29"/>
  <c r="BI54" i="29"/>
  <c r="I52" i="9" s="1"/>
  <c r="BA110" i="10"/>
  <c r="BG112" i="29"/>
  <c r="BF126" i="29" s="1"/>
  <c r="F118" i="9" s="1"/>
  <c r="BF112" i="29"/>
  <c r="BH19" i="29"/>
  <c r="H17" i="9" s="1"/>
  <c r="BH40" i="29"/>
  <c r="H38" i="9" s="1"/>
  <c r="BH54" i="29"/>
  <c r="H52" i="9" s="1"/>
  <c r="H105" i="9" l="1"/>
  <c r="H108" i="9" s="1"/>
  <c r="BF128" i="29"/>
  <c r="F120" i="9" s="1"/>
  <c r="F133" i="9" s="1"/>
  <c r="BG128" i="29"/>
  <c r="G120" i="9" s="1"/>
  <c r="BI51" i="29"/>
  <c r="I49" i="9" s="1"/>
  <c r="BH51" i="29"/>
  <c r="H49" i="9" s="1"/>
  <c r="BH37" i="29"/>
  <c r="H35" i="9" s="1"/>
  <c r="BH38" i="29"/>
  <c r="H36" i="9" s="1"/>
  <c r="BH39" i="29"/>
  <c r="H37" i="9" s="1"/>
  <c r="BH18" i="29"/>
  <c r="H16" i="9" s="1"/>
  <c r="BH16" i="29"/>
  <c r="H14" i="9" s="1"/>
  <c r="BH17" i="29"/>
  <c r="H15" i="9" s="1"/>
  <c r="AU17" i="29"/>
  <c r="AU16" i="29"/>
  <c r="AU18" i="29"/>
  <c r="BI37" i="29"/>
  <c r="I35" i="9" s="1"/>
  <c r="BI38" i="29"/>
  <c r="I36" i="9" s="1"/>
  <c r="BI39" i="29"/>
  <c r="I37" i="9" s="1"/>
  <c r="AV51" i="29"/>
  <c r="AV39" i="29"/>
  <c r="AV38" i="29"/>
  <c r="AV37" i="29"/>
  <c r="AV93" i="29"/>
  <c r="BJ54" i="29"/>
  <c r="J52" i="9" s="1"/>
  <c r="AW54" i="29"/>
  <c r="AW40" i="29"/>
  <c r="BJ40" i="29"/>
  <c r="J38" i="9" s="1"/>
  <c r="AU112" i="29"/>
  <c r="BI19" i="29"/>
  <c r="I17" i="9" s="1"/>
  <c r="I105" i="9" s="1"/>
  <c r="AV19" i="29"/>
  <c r="AU114" i="29"/>
  <c r="BH112" i="29"/>
  <c r="BG126" i="29" s="1"/>
  <c r="G118" i="9" s="1"/>
  <c r="G133" i="9" l="1"/>
  <c r="BH128" i="29"/>
  <c r="H120" i="9" s="1"/>
  <c r="AW51" i="29"/>
  <c r="BJ51" i="29"/>
  <c r="J49" i="9" s="1"/>
  <c r="BI17" i="29"/>
  <c r="I15" i="9" s="1"/>
  <c r="BI16" i="29"/>
  <c r="I14" i="9" s="1"/>
  <c r="BI18" i="29"/>
  <c r="I16" i="9" s="1"/>
  <c r="BI112" i="29"/>
  <c r="BH126" i="29" s="1"/>
  <c r="H118" i="9" s="1"/>
  <c r="H133" i="9" s="1"/>
  <c r="BJ39" i="29"/>
  <c r="J37" i="9" s="1"/>
  <c r="BJ37" i="29"/>
  <c r="J35" i="9" s="1"/>
  <c r="BJ38" i="29"/>
  <c r="J36" i="9" s="1"/>
  <c r="AV18" i="29"/>
  <c r="AV17" i="29"/>
  <c r="AV16" i="29"/>
  <c r="AW37" i="29"/>
  <c r="AW39" i="29"/>
  <c r="AW38" i="29"/>
  <c r="AV112" i="29"/>
  <c r="AU115" i="29"/>
  <c r="BJ19" i="29"/>
  <c r="J17" i="9" s="1"/>
  <c r="J105" i="9" s="1"/>
  <c r="J108" i="9" s="1"/>
  <c r="AW19" i="29"/>
  <c r="AX40" i="29"/>
  <c r="BK40" i="29"/>
  <c r="K38" i="9" s="1"/>
  <c r="BK54" i="29"/>
  <c r="K52" i="9" s="1"/>
  <c r="AX54" i="29"/>
  <c r="AW93" i="29"/>
  <c r="AZ126" i="29"/>
  <c r="AV114" i="29"/>
  <c r="AV128" i="29" l="1"/>
  <c r="AU130" i="29"/>
  <c r="BI128" i="29"/>
  <c r="I120" i="9" s="1"/>
  <c r="AX51" i="29"/>
  <c r="BK51" i="29"/>
  <c r="K49" i="9" s="1"/>
  <c r="AW18" i="29"/>
  <c r="AW17" i="29"/>
  <c r="AW16" i="29"/>
  <c r="BJ17" i="29"/>
  <c r="J15" i="9" s="1"/>
  <c r="BJ18" i="29"/>
  <c r="J16" i="9" s="1"/>
  <c r="BJ16" i="29"/>
  <c r="J14" i="9" s="1"/>
  <c r="BK39" i="29"/>
  <c r="K37" i="9" s="1"/>
  <c r="BK37" i="29"/>
  <c r="K35" i="9" s="1"/>
  <c r="BK38" i="29"/>
  <c r="K36" i="9" s="1"/>
  <c r="AX37" i="29"/>
  <c r="AX39" i="29"/>
  <c r="AX38" i="29"/>
  <c r="BL40" i="29"/>
  <c r="L38" i="9" s="1"/>
  <c r="AY40" i="29"/>
  <c r="AW112" i="29"/>
  <c r="AV126" i="29" s="1"/>
  <c r="BJ112" i="29"/>
  <c r="BI126" i="29" s="1"/>
  <c r="I118" i="9" s="1"/>
  <c r="I133" i="9" s="1"/>
  <c r="AX93" i="29"/>
  <c r="BK19" i="29"/>
  <c r="K17" i="9" s="1"/>
  <c r="K105" i="9" s="1"/>
  <c r="AX19" i="29"/>
  <c r="AW114" i="29"/>
  <c r="AV127" i="29" s="1"/>
  <c r="AY54" i="29"/>
  <c r="BL54" i="29"/>
  <c r="L52" i="9" s="1"/>
  <c r="AV115" i="29"/>
  <c r="AW129" i="29" l="1"/>
  <c r="AW128" i="29"/>
  <c r="AV130" i="29"/>
  <c r="BJ128" i="29"/>
  <c r="J120" i="9" s="1"/>
  <c r="AY51" i="29"/>
  <c r="BL51" i="29"/>
  <c r="L49" i="9" s="1"/>
  <c r="BL39" i="29"/>
  <c r="L37" i="9" s="1"/>
  <c r="BL37" i="29"/>
  <c r="L35" i="9" s="1"/>
  <c r="BL38" i="29"/>
  <c r="L36" i="9" s="1"/>
  <c r="AX18" i="29"/>
  <c r="AX17" i="29"/>
  <c r="AX16" i="29"/>
  <c r="BK18" i="29"/>
  <c r="K16" i="9" s="1"/>
  <c r="BK17" i="29"/>
  <c r="K15" i="9" s="1"/>
  <c r="BK16" i="29"/>
  <c r="K14" i="9" s="1"/>
  <c r="AY38" i="29"/>
  <c r="AY37" i="29"/>
  <c r="AY39" i="29"/>
  <c r="AW115" i="29"/>
  <c r="AX114" i="29"/>
  <c r="AW127" i="29" s="1"/>
  <c r="AX112" i="29"/>
  <c r="AW126" i="29" s="1"/>
  <c r="AZ93" i="29"/>
  <c r="AY93" i="29"/>
  <c r="AZ54" i="29"/>
  <c r="BM54" i="29"/>
  <c r="M52" i="9" s="1"/>
  <c r="BL19" i="29"/>
  <c r="L17" i="9" s="1"/>
  <c r="L105" i="9" s="1"/>
  <c r="L108" i="9" s="1"/>
  <c r="AY19" i="29"/>
  <c r="BK112" i="29"/>
  <c r="BJ126" i="29" s="1"/>
  <c r="J118" i="9" s="1"/>
  <c r="AZ40" i="29"/>
  <c r="BM40" i="29"/>
  <c r="M38" i="9" s="1"/>
  <c r="AU11" i="10"/>
  <c r="AU98" i="10"/>
  <c r="AU101" i="10" s="1"/>
  <c r="AU106" i="10" s="1"/>
  <c r="J133" i="9" l="1"/>
  <c r="AX129" i="29"/>
  <c r="AW130" i="29"/>
  <c r="AX128" i="29"/>
  <c r="BK128" i="29"/>
  <c r="K120" i="9" s="1"/>
  <c r="BA40" i="29"/>
  <c r="BA54" i="29"/>
  <c r="BA55" i="29" s="1"/>
  <c r="BM51" i="29"/>
  <c r="M49" i="9" s="1"/>
  <c r="BA93" i="29"/>
  <c r="BM38" i="29"/>
  <c r="M36" i="9" s="1"/>
  <c r="BM39" i="29"/>
  <c r="M37" i="9" s="1"/>
  <c r="BM37" i="29"/>
  <c r="M35" i="9" s="1"/>
  <c r="BL16" i="29"/>
  <c r="L14" i="9" s="1"/>
  <c r="BL17" i="29"/>
  <c r="L15" i="9" s="1"/>
  <c r="BL18" i="29"/>
  <c r="L16" i="9" s="1"/>
  <c r="AY17" i="29"/>
  <c r="AY18" i="29"/>
  <c r="AY16" i="29"/>
  <c r="AZ38" i="29"/>
  <c r="AZ37" i="29"/>
  <c r="AZ39" i="29"/>
  <c r="AZ51" i="29"/>
  <c r="AU8" i="10"/>
  <c r="AU10" i="10"/>
  <c r="AU9" i="10"/>
  <c r="AX115" i="29"/>
  <c r="AY112" i="29"/>
  <c r="AX126" i="29" s="1"/>
  <c r="BL112" i="29"/>
  <c r="BK126" i="29" s="1"/>
  <c r="K118" i="9" s="1"/>
  <c r="BN54" i="29"/>
  <c r="N52" i="9" s="1"/>
  <c r="AY114" i="29"/>
  <c r="AX127" i="29" s="1"/>
  <c r="BM19" i="29"/>
  <c r="M17" i="9" s="1"/>
  <c r="M105" i="9" s="1"/>
  <c r="AZ19" i="29"/>
  <c r="BN40" i="29"/>
  <c r="N38" i="9" s="1"/>
  <c r="AZ114" i="29"/>
  <c r="AY127" i="29" s="1"/>
  <c r="AU108" i="10"/>
  <c r="AU111" i="10" s="1"/>
  <c r="AV98" i="10"/>
  <c r="AV101" i="10" s="1"/>
  <c r="AV106" i="10" s="1"/>
  <c r="AV11" i="10"/>
  <c r="K133" i="9" l="1"/>
  <c r="BA19" i="29"/>
  <c r="BA112" i="29" s="1"/>
  <c r="AY129" i="29"/>
  <c r="AZ129" i="29"/>
  <c r="AX130" i="29"/>
  <c r="AY128" i="29"/>
  <c r="BL128" i="29"/>
  <c r="L120" i="9" s="1"/>
  <c r="BN41" i="29"/>
  <c r="BO41" i="29" s="1"/>
  <c r="BN55" i="29"/>
  <c r="BO55" i="29" s="1"/>
  <c r="AZ16" i="29"/>
  <c r="AZ18" i="29"/>
  <c r="BA18" i="29" s="1"/>
  <c r="AZ17" i="29"/>
  <c r="BM16" i="29"/>
  <c r="M14" i="9" s="1"/>
  <c r="BM17" i="29"/>
  <c r="M15" i="9" s="1"/>
  <c r="BM18" i="29"/>
  <c r="M16" i="9" s="1"/>
  <c r="BA38" i="29"/>
  <c r="BA51" i="29"/>
  <c r="BA39" i="29"/>
  <c r="BA37" i="29"/>
  <c r="AY115" i="29"/>
  <c r="AV8" i="10"/>
  <c r="AV10" i="10"/>
  <c r="AV9" i="10"/>
  <c r="AZ112" i="29"/>
  <c r="BM112" i="29"/>
  <c r="BL126" i="29" s="1"/>
  <c r="L118" i="9" s="1"/>
  <c r="BN19" i="29"/>
  <c r="N17" i="9" s="1"/>
  <c r="N105" i="9" s="1"/>
  <c r="AU116" i="10"/>
  <c r="AV108" i="10"/>
  <c r="AW11" i="10"/>
  <c r="AW98" i="10"/>
  <c r="AW101" i="10" s="1"/>
  <c r="AW106" i="10" s="1"/>
  <c r="L133" i="9" l="1"/>
  <c r="AZ115" i="29"/>
  <c r="AY126" i="29"/>
  <c r="BM128" i="29"/>
  <c r="M120" i="9" s="1"/>
  <c r="AU124" i="10"/>
  <c r="AV122" i="10"/>
  <c r="AV111" i="10"/>
  <c r="BO40" i="29"/>
  <c r="BN20" i="29"/>
  <c r="BO20" i="29" s="1"/>
  <c r="AW9" i="10"/>
  <c r="AW8" i="10"/>
  <c r="AW10" i="10"/>
  <c r="BA17" i="29"/>
  <c r="BA16" i="29"/>
  <c r="BN112" i="29"/>
  <c r="BO54" i="29"/>
  <c r="AW108" i="10"/>
  <c r="AV120" i="10" s="1"/>
  <c r="AX11" i="10"/>
  <c r="AX98" i="10"/>
  <c r="AX101" i="10" s="1"/>
  <c r="AX106" i="10" s="1"/>
  <c r="AU132" i="10" l="1"/>
  <c r="BO38" i="29"/>
  <c r="BO37" i="29"/>
  <c r="AZ128" i="29"/>
  <c r="AY130" i="29"/>
  <c r="AV116" i="10"/>
  <c r="AW122" i="10"/>
  <c r="AV124" i="10"/>
  <c r="AW111" i="10"/>
  <c r="AW116" i="10" s="1"/>
  <c r="BO39" i="29"/>
  <c r="BO51" i="29"/>
  <c r="AX9" i="10"/>
  <c r="AX8" i="10"/>
  <c r="AX10" i="10"/>
  <c r="BO19" i="29"/>
  <c r="AY98" i="10"/>
  <c r="AY101" i="10" s="1"/>
  <c r="AY106" i="10" s="1"/>
  <c r="AY11" i="10"/>
  <c r="AX108" i="10"/>
  <c r="AW120" i="10" s="1"/>
  <c r="AV132" i="10" l="1"/>
  <c r="AX122" i="10"/>
  <c r="AW124" i="10"/>
  <c r="AX111" i="10"/>
  <c r="AX116" i="10" s="1"/>
  <c r="BO18" i="29"/>
  <c r="BO16" i="29"/>
  <c r="BO17" i="29"/>
  <c r="AY9" i="10"/>
  <c r="AY8" i="10"/>
  <c r="AY10" i="10"/>
  <c r="BO112" i="29"/>
  <c r="BM126" i="29" s="1"/>
  <c r="M118" i="9" s="1"/>
  <c r="M133" i="9" s="1"/>
  <c r="N133" i="9" s="1"/>
  <c r="BA7" i="10"/>
  <c r="AZ11" i="10"/>
  <c r="AZ98" i="10"/>
  <c r="AY108" i="10"/>
  <c r="AX120" i="10" s="1"/>
  <c r="AW132" i="10" l="1"/>
  <c r="BO128" i="29"/>
  <c r="O120" i="9" s="1"/>
  <c r="AX124" i="10"/>
  <c r="AY122" i="10"/>
  <c r="AY111" i="10"/>
  <c r="AY116" i="10" s="1"/>
  <c r="AZ10" i="10"/>
  <c r="AZ9" i="10"/>
  <c r="AZ8" i="10"/>
  <c r="BA11" i="10"/>
  <c r="AZ101" i="10"/>
  <c r="BA98" i="10"/>
  <c r="BA101" i="10" s="1"/>
  <c r="BA106" i="10" s="1"/>
  <c r="AZ108" i="10"/>
  <c r="AY120" i="10" s="1"/>
  <c r="O118" i="9" l="1"/>
  <c r="O133" i="9" s="1"/>
  <c r="AX132" i="10"/>
  <c r="AY124" i="10"/>
  <c r="AZ122" i="10"/>
  <c r="AZ111" i="10"/>
  <c r="AZ106" i="10"/>
  <c r="BA108" i="10"/>
  <c r="BA111" i="10" s="1"/>
  <c r="BA8" i="10"/>
  <c r="BA10" i="10"/>
  <c r="BA9" i="10"/>
  <c r="AZ116" i="10" l="1"/>
  <c r="AY132" i="10"/>
  <c r="BA116" i="10"/>
  <c r="F14" i="46" l="1"/>
  <c r="G14" i="46"/>
  <c r="H14" i="46"/>
  <c r="I14" i="46" l="1"/>
  <c r="J14" i="46"/>
  <c r="K14" i="46"/>
  <c r="L14" i="46"/>
  <c r="M14" i="46"/>
  <c r="N14" i="46"/>
  <c r="O14" i="46" l="1"/>
  <c r="BJ109" i="14" l="1"/>
  <c r="BK109" i="14"/>
  <c r="BL109" i="14"/>
  <c r="BM109" i="14"/>
  <c r="BH109" i="14"/>
  <c r="BM114" i="10"/>
  <c r="BL114" i="10"/>
  <c r="BK114" i="10"/>
  <c r="BJ114" i="10"/>
  <c r="BI114" i="10"/>
  <c r="BH114" i="10"/>
  <c r="BF109" i="14"/>
  <c r="BG109" i="14"/>
  <c r="BO99" i="29"/>
  <c r="BO99" i="37"/>
  <c r="BO101" i="37" s="1"/>
  <c r="BO106" i="37" s="1"/>
  <c r="BF104" i="10"/>
  <c r="BG104" i="10"/>
  <c r="BH104" i="10"/>
  <c r="BI104" i="10"/>
  <c r="BJ104" i="10"/>
  <c r="BK104" i="10"/>
  <c r="BL104" i="10"/>
  <c r="BM104" i="10"/>
  <c r="BO104" i="10"/>
  <c r="BO105" i="10" s="1"/>
  <c r="BF114" i="10"/>
  <c r="BG114" i="10"/>
  <c r="BA114" i="29"/>
  <c r="BA115" i="29" s="1"/>
  <c r="BA99" i="29"/>
  <c r="BO99" i="14" l="1"/>
  <c r="BA104" i="29"/>
  <c r="BA105" i="29" s="1"/>
  <c r="BA100" i="29"/>
  <c r="BF109" i="29"/>
  <c r="BG109" i="29"/>
  <c r="BI109" i="14"/>
  <c r="BA98" i="29"/>
  <c r="BG115" i="10"/>
  <c r="BG105" i="10"/>
  <c r="BH115" i="10"/>
  <c r="BJ115" i="10"/>
  <c r="BM105" i="10"/>
  <c r="BI105" i="10"/>
  <c r="BK105" i="10"/>
  <c r="BF115" i="10"/>
  <c r="BJ105" i="10"/>
  <c r="BF105" i="10"/>
  <c r="BL115" i="10"/>
  <c r="BL105" i="10"/>
  <c r="BH105" i="10"/>
  <c r="BI115" i="10"/>
  <c r="BK115" i="10"/>
  <c r="BM115" i="10"/>
  <c r="BN114" i="10"/>
  <c r="BN115" i="10" s="1"/>
  <c r="BA94" i="29"/>
  <c r="AY110" i="29"/>
  <c r="AX121" i="29" s="1"/>
  <c r="AX110" i="29"/>
  <c r="AW121" i="29" s="1"/>
  <c r="AW110" i="29"/>
  <c r="AV121" i="29" s="1"/>
  <c r="AV110" i="29"/>
  <c r="AU121" i="29" s="1"/>
  <c r="BN109" i="14"/>
  <c r="AZ110" i="29"/>
  <c r="AY121" i="29" s="1"/>
  <c r="BF109" i="10"/>
  <c r="BG109" i="10"/>
  <c r="BL109" i="29"/>
  <c r="BH109" i="29"/>
  <c r="BM109" i="29"/>
  <c r="BA109" i="29"/>
  <c r="BK109" i="29"/>
  <c r="BL109" i="10"/>
  <c r="BN58" i="10"/>
  <c r="BJ109" i="10"/>
  <c r="BM109" i="10"/>
  <c r="BH109" i="10"/>
  <c r="BI109" i="10"/>
  <c r="BK109" i="10"/>
  <c r="BN109" i="10" l="1"/>
  <c r="N56" i="9"/>
  <c r="N102" i="9" s="1"/>
  <c r="BA101" i="29"/>
  <c r="BA106" i="29" s="1"/>
  <c r="AZ123" i="29"/>
  <c r="AV123" i="29"/>
  <c r="AW123" i="29"/>
  <c r="AX123" i="29"/>
  <c r="AY123" i="29"/>
  <c r="AU110" i="29"/>
  <c r="BO99" i="16"/>
  <c r="BJ109" i="29"/>
  <c r="BI109" i="29"/>
  <c r="BN109" i="16"/>
  <c r="BN109" i="29"/>
  <c r="G7" i="46"/>
  <c r="L7" i="46"/>
  <c r="I7" i="46"/>
  <c r="J7" i="46"/>
  <c r="N7" i="46"/>
  <c r="BO58" i="10"/>
  <c r="K7" i="46" l="1"/>
  <c r="M7" i="46"/>
  <c r="F7" i="46"/>
  <c r="H7" i="46"/>
  <c r="BO109" i="10"/>
  <c r="O56" i="9"/>
  <c r="O102" i="9" s="1"/>
  <c r="BO109" i="14"/>
  <c r="O60" i="9"/>
  <c r="O106" i="9" s="1"/>
  <c r="AZ121" i="29"/>
  <c r="AZ121" i="16"/>
  <c r="AZ120" i="16"/>
  <c r="BG92" i="29"/>
  <c r="G85" i="9" s="1"/>
  <c r="G97" i="9" s="1"/>
  <c r="G98" i="9" s="1"/>
  <c r="O7" i="46" l="1"/>
  <c r="AZ124" i="16"/>
  <c r="AZ132" i="16" s="1"/>
  <c r="BA132" i="16" s="1"/>
  <c r="BG93" i="29"/>
  <c r="G86" i="9" s="1"/>
  <c r="G107" i="9" s="1"/>
  <c r="G108" i="9" s="1"/>
  <c r="AZ121" i="10"/>
  <c r="BG104" i="29"/>
  <c r="BG105" i="29" s="1"/>
  <c r="BI92" i="29"/>
  <c r="I85" i="9" s="1"/>
  <c r="I97" i="9" s="1"/>
  <c r="I98" i="9" s="1"/>
  <c r="AZ127" i="29" l="1"/>
  <c r="BI93" i="29"/>
  <c r="I86" i="9" s="1"/>
  <c r="I107" i="9" s="1"/>
  <c r="I108" i="9" s="1"/>
  <c r="BA83" i="10"/>
  <c r="BI104" i="29"/>
  <c r="BI105" i="29" s="1"/>
  <c r="BK92" i="29"/>
  <c r="K85" i="9" s="1"/>
  <c r="K97" i="9" s="1"/>
  <c r="K98" i="9" s="1"/>
  <c r="BF98" i="29"/>
  <c r="BF57" i="10"/>
  <c r="F55" i="9" s="1"/>
  <c r="F92" i="9" s="1"/>
  <c r="AZ130" i="29" l="1"/>
  <c r="BK93" i="29"/>
  <c r="K86" i="9" s="1"/>
  <c r="K107" i="9" s="1"/>
  <c r="K108" i="9" s="1"/>
  <c r="BF7" i="16"/>
  <c r="BK104" i="29"/>
  <c r="BK105" i="29" s="1"/>
  <c r="BF82" i="10"/>
  <c r="F76" i="9" s="1"/>
  <c r="BF29" i="14"/>
  <c r="F27" i="9" s="1"/>
  <c r="BF100" i="29"/>
  <c r="BF101" i="29" s="1"/>
  <c r="BF106" i="29" s="1"/>
  <c r="BF47" i="10"/>
  <c r="F45" i="9" s="1"/>
  <c r="BF47" i="14"/>
  <c r="BM92" i="29"/>
  <c r="M85" i="9" s="1"/>
  <c r="M97" i="9" s="1"/>
  <c r="M98" i="9" s="1"/>
  <c r="BF33" i="10"/>
  <c r="BF26" i="10"/>
  <c r="F24" i="9" s="1"/>
  <c r="BF100" i="10"/>
  <c r="BG57" i="10"/>
  <c r="G55" i="9" s="1"/>
  <c r="G92" i="9" s="1"/>
  <c r="BF99" i="10"/>
  <c r="BG98" i="29"/>
  <c r="BM93" i="29" l="1"/>
  <c r="M86" i="9" s="1"/>
  <c r="M107" i="9" s="1"/>
  <c r="M108" i="9" s="1"/>
  <c r="BF44" i="10"/>
  <c r="BF45" i="10"/>
  <c r="BF46" i="10"/>
  <c r="BF31" i="10"/>
  <c r="BF32" i="10"/>
  <c r="BF30" i="10"/>
  <c r="BF98" i="16"/>
  <c r="BF101" i="16" s="1"/>
  <c r="BF106" i="16" s="1"/>
  <c r="BF46" i="14"/>
  <c r="BF44" i="14"/>
  <c r="BF45" i="14"/>
  <c r="BF33" i="14"/>
  <c r="F31" i="9" s="1"/>
  <c r="BF11" i="16"/>
  <c r="BF23" i="10"/>
  <c r="F21" i="9" s="1"/>
  <c r="BF24" i="10"/>
  <c r="F22" i="9" s="1"/>
  <c r="BF25" i="10"/>
  <c r="F23" i="9" s="1"/>
  <c r="BG7" i="16"/>
  <c r="BH7" i="16" s="1"/>
  <c r="BM104" i="29"/>
  <c r="BM105" i="29" s="1"/>
  <c r="BG82" i="10"/>
  <c r="G76" i="9" s="1"/>
  <c r="F15" i="46"/>
  <c r="BF87" i="14"/>
  <c r="BG29" i="14"/>
  <c r="G27" i="9" s="1"/>
  <c r="BN92" i="29"/>
  <c r="N85" i="9" s="1"/>
  <c r="N97" i="9" s="1"/>
  <c r="N98" i="9" s="1"/>
  <c r="BG100" i="29"/>
  <c r="BG101" i="29" s="1"/>
  <c r="BG106" i="29" s="1"/>
  <c r="BG47" i="10"/>
  <c r="BG47" i="14"/>
  <c r="BO92" i="29"/>
  <c r="BG33" i="10"/>
  <c r="BG100" i="10"/>
  <c r="BH98" i="29"/>
  <c r="BH57" i="10"/>
  <c r="H55" i="9" s="1"/>
  <c r="H92" i="9" s="1"/>
  <c r="BG99" i="10"/>
  <c r="F43" i="9" l="1"/>
  <c r="G45" i="9"/>
  <c r="BN89" i="14"/>
  <c r="F81" i="9"/>
  <c r="F44" i="9"/>
  <c r="F42" i="9"/>
  <c r="BN93" i="29"/>
  <c r="N86" i="9" s="1"/>
  <c r="N107" i="9" s="1"/>
  <c r="N108" i="9" s="1"/>
  <c r="BO104" i="29"/>
  <c r="BO105" i="29" s="1"/>
  <c r="BF108" i="16"/>
  <c r="BG11" i="16"/>
  <c r="BG98" i="16"/>
  <c r="BG101" i="16" s="1"/>
  <c r="BG106" i="16" s="1"/>
  <c r="BG31" i="10"/>
  <c r="BG30" i="10"/>
  <c r="BG32" i="10"/>
  <c r="BG46" i="10"/>
  <c r="BG44" i="10"/>
  <c r="BG45" i="10"/>
  <c r="BH98" i="16"/>
  <c r="BH101" i="16" s="1"/>
  <c r="BH106" i="16" s="1"/>
  <c r="BG46" i="14"/>
  <c r="BG45" i="14"/>
  <c r="BG44" i="14"/>
  <c r="BG33" i="14"/>
  <c r="G31" i="9" s="1"/>
  <c r="BF32" i="14"/>
  <c r="F30" i="9" s="1"/>
  <c r="BF30" i="14"/>
  <c r="F28" i="9" s="1"/>
  <c r="BF31" i="14"/>
  <c r="F29" i="9" s="1"/>
  <c r="BF10" i="16"/>
  <c r="BF8" i="16"/>
  <c r="BF9" i="16"/>
  <c r="BI7" i="16"/>
  <c r="BH11" i="16"/>
  <c r="F12" i="46"/>
  <c r="BN104" i="29"/>
  <c r="BN105" i="29" s="1"/>
  <c r="BH29" i="14"/>
  <c r="H27" i="9" s="1"/>
  <c r="G15" i="46"/>
  <c r="BF114" i="29"/>
  <c r="H15" i="46"/>
  <c r="BH26" i="10"/>
  <c r="H24" i="9" s="1"/>
  <c r="BH100" i="29"/>
  <c r="BH101" i="29" s="1"/>
  <c r="BH106" i="29" s="1"/>
  <c r="BG87" i="14"/>
  <c r="G81" i="9" s="1"/>
  <c r="BH47" i="10"/>
  <c r="BH47" i="14"/>
  <c r="BH33" i="10"/>
  <c r="BH100" i="10"/>
  <c r="BI98" i="29"/>
  <c r="BI57" i="10"/>
  <c r="I55" i="9" s="1"/>
  <c r="I92" i="9" s="1"/>
  <c r="BH99" i="10"/>
  <c r="H45" i="9" l="1"/>
  <c r="G43" i="9"/>
  <c r="G42" i="9"/>
  <c r="G44" i="9"/>
  <c r="BF115" i="29"/>
  <c r="C17" i="46"/>
  <c r="BF111" i="16"/>
  <c r="BF116" i="16" s="1"/>
  <c r="BJ7" i="16"/>
  <c r="BK7" i="16" s="1"/>
  <c r="BG108" i="16"/>
  <c r="BF120" i="16" s="1"/>
  <c r="BH108" i="16"/>
  <c r="BG120" i="16" s="1"/>
  <c r="BG9" i="16"/>
  <c r="BG8" i="16"/>
  <c r="BG10" i="16"/>
  <c r="BI98" i="16"/>
  <c r="BI101" i="16" s="1"/>
  <c r="BI106" i="16" s="1"/>
  <c r="BH45" i="14"/>
  <c r="BH46" i="14"/>
  <c r="BH44" i="14"/>
  <c r="BG32" i="14"/>
  <c r="G30" i="9" s="1"/>
  <c r="BG31" i="14"/>
  <c r="G29" i="9" s="1"/>
  <c r="BG30" i="14"/>
  <c r="G28" i="9" s="1"/>
  <c r="BH25" i="10"/>
  <c r="H23" i="9" s="1"/>
  <c r="BH23" i="10"/>
  <c r="H21" i="9" s="1"/>
  <c r="BH24" i="10"/>
  <c r="H22" i="9" s="1"/>
  <c r="BH30" i="10"/>
  <c r="BH31" i="10"/>
  <c r="BH32" i="10"/>
  <c r="BH46" i="10"/>
  <c r="BH44" i="10"/>
  <c r="H42" i="9" s="1"/>
  <c r="BH45" i="10"/>
  <c r="BH33" i="14"/>
  <c r="H31" i="9" s="1"/>
  <c r="BH9" i="16"/>
  <c r="BH10" i="16"/>
  <c r="BH8" i="16"/>
  <c r="BI11" i="16"/>
  <c r="G12" i="46"/>
  <c r="BI29" i="14"/>
  <c r="I27" i="9" s="1"/>
  <c r="BG114" i="29"/>
  <c r="BI100" i="29"/>
  <c r="BH110" i="29"/>
  <c r="BG121" i="29" s="1"/>
  <c r="BH123" i="29" s="1"/>
  <c r="BI47" i="10"/>
  <c r="BH87" i="14"/>
  <c r="H81" i="9" s="1"/>
  <c r="BI47" i="14"/>
  <c r="BI33" i="10"/>
  <c r="BI100" i="10"/>
  <c r="BJ98" i="29"/>
  <c r="BJ57" i="10"/>
  <c r="J55" i="9" s="1"/>
  <c r="J92" i="9" s="1"/>
  <c r="BI99" i="10"/>
  <c r="BJ47" i="10"/>
  <c r="I45" i="9" l="1"/>
  <c r="H44" i="9"/>
  <c r="H43" i="9"/>
  <c r="BJ11" i="16"/>
  <c r="BJ10" i="16" s="1"/>
  <c r="BJ98" i="16"/>
  <c r="BJ101" i="16" s="1"/>
  <c r="BJ106" i="16" s="1"/>
  <c r="BG115" i="29"/>
  <c r="BF127" i="29"/>
  <c r="F119" i="9" s="1"/>
  <c r="D17" i="46"/>
  <c r="BF129" i="29"/>
  <c r="F121" i="9" s="1"/>
  <c r="BG111" i="16"/>
  <c r="BG116" i="16" s="1"/>
  <c r="BH111" i="16"/>
  <c r="BH116" i="16" s="1"/>
  <c r="BF122" i="16"/>
  <c r="BI108" i="16"/>
  <c r="BH120" i="16" s="1"/>
  <c r="BJ45" i="10"/>
  <c r="BJ46" i="10"/>
  <c r="BJ44" i="10"/>
  <c r="BI45" i="14"/>
  <c r="BI46" i="14"/>
  <c r="BI44" i="14"/>
  <c r="BH30" i="14"/>
  <c r="H28" i="9" s="1"/>
  <c r="BH31" i="14"/>
  <c r="H29" i="9" s="1"/>
  <c r="BH32" i="14"/>
  <c r="H30" i="9" s="1"/>
  <c r="BK98" i="16"/>
  <c r="BI32" i="10"/>
  <c r="BI30" i="10"/>
  <c r="BI31" i="10"/>
  <c r="BI33" i="14"/>
  <c r="I31" i="9" s="1"/>
  <c r="BI45" i="10"/>
  <c r="BI46" i="10"/>
  <c r="BI44" i="10"/>
  <c r="BI9" i="16"/>
  <c r="BI8" i="16"/>
  <c r="BI10" i="16"/>
  <c r="BK11" i="16"/>
  <c r="H12" i="46"/>
  <c r="I15" i="46"/>
  <c r="BJ29" i="14"/>
  <c r="J27" i="9" s="1"/>
  <c r="BH114" i="29"/>
  <c r="BI101" i="29"/>
  <c r="BI106" i="29" s="1"/>
  <c r="BI110" i="29"/>
  <c r="BH121" i="29" s="1"/>
  <c r="BI123" i="29" s="1"/>
  <c r="BJ100" i="29"/>
  <c r="BJ101" i="29" s="1"/>
  <c r="BJ106" i="29" s="1"/>
  <c r="BI87" i="14"/>
  <c r="I81" i="9" s="1"/>
  <c r="BJ47" i="14"/>
  <c r="J45" i="9" s="1"/>
  <c r="BJ33" i="10"/>
  <c r="BK26" i="10"/>
  <c r="K24" i="9" s="1"/>
  <c r="BK98" i="29"/>
  <c r="BJ100" i="10"/>
  <c r="BK57" i="10"/>
  <c r="K55" i="9" s="1"/>
  <c r="K92" i="9" s="1"/>
  <c r="BJ99" i="10"/>
  <c r="BK47" i="10"/>
  <c r="BL7" i="16"/>
  <c r="I43" i="9" l="1"/>
  <c r="F134" i="9"/>
  <c r="I42" i="9"/>
  <c r="I44" i="9"/>
  <c r="F16" i="46"/>
  <c r="BJ8" i="16"/>
  <c r="BJ9" i="16"/>
  <c r="BJ108" i="16"/>
  <c r="BI120" i="16" s="1"/>
  <c r="BG129" i="29"/>
  <c r="G121" i="9" s="1"/>
  <c r="BF130" i="29"/>
  <c r="F122" i="9" s="1"/>
  <c r="BH115" i="29"/>
  <c r="BG127" i="29"/>
  <c r="G119" i="9" s="1"/>
  <c r="E17" i="46"/>
  <c r="BH122" i="16"/>
  <c r="BI111" i="16"/>
  <c r="BI116" i="16" s="1"/>
  <c r="BG122" i="16"/>
  <c r="BG124" i="16" s="1"/>
  <c r="BF124" i="16"/>
  <c r="BK108" i="16"/>
  <c r="BJ120" i="16" s="1"/>
  <c r="BJ45" i="14"/>
  <c r="J43" i="9" s="1"/>
  <c r="BJ44" i="14"/>
  <c r="J42" i="9" s="1"/>
  <c r="BJ46" i="14"/>
  <c r="J44" i="9" s="1"/>
  <c r="BK45" i="10"/>
  <c r="BK46" i="10"/>
  <c r="BK44" i="10"/>
  <c r="BI31" i="14"/>
  <c r="I29" i="9" s="1"/>
  <c r="BI30" i="14"/>
  <c r="I28" i="9" s="1"/>
  <c r="BI32" i="14"/>
  <c r="I30" i="9" s="1"/>
  <c r="BJ33" i="14"/>
  <c r="J31" i="9" s="1"/>
  <c r="BK25" i="10"/>
  <c r="K23" i="9" s="1"/>
  <c r="BK24" i="10"/>
  <c r="K22" i="9" s="1"/>
  <c r="BK23" i="10"/>
  <c r="K21" i="9" s="1"/>
  <c r="BJ32" i="10"/>
  <c r="BJ30" i="10"/>
  <c r="BJ31" i="10"/>
  <c r="BL98" i="16"/>
  <c r="BK8" i="16"/>
  <c r="BK9" i="16"/>
  <c r="BK10" i="16"/>
  <c r="BL11" i="16"/>
  <c r="I12" i="46"/>
  <c r="AZ120" i="14"/>
  <c r="BK29" i="14"/>
  <c r="K27" i="9" s="1"/>
  <c r="BI114" i="29"/>
  <c r="BJ110" i="29"/>
  <c r="BI121" i="29" s="1"/>
  <c r="BJ123" i="29" s="1"/>
  <c r="BK100" i="29"/>
  <c r="BK101" i="29" s="1"/>
  <c r="BK106" i="29" s="1"/>
  <c r="BK100" i="16"/>
  <c r="BK101" i="16" s="1"/>
  <c r="BK106" i="16" s="1"/>
  <c r="BJ87" i="14"/>
  <c r="J81" i="9" s="1"/>
  <c r="BK47" i="14"/>
  <c r="K45" i="9" s="1"/>
  <c r="BK33" i="10"/>
  <c r="BK100" i="10"/>
  <c r="BL57" i="10"/>
  <c r="L55" i="9" s="1"/>
  <c r="L92" i="9" s="1"/>
  <c r="BK99" i="10"/>
  <c r="BL98" i="29"/>
  <c r="BL47" i="10"/>
  <c r="BM7" i="16"/>
  <c r="G134" i="9" l="1"/>
  <c r="G16" i="46"/>
  <c r="BJ111" i="16"/>
  <c r="BJ116" i="16" s="1"/>
  <c r="BH129" i="29"/>
  <c r="H121" i="9" s="1"/>
  <c r="BG130" i="29"/>
  <c r="G122" i="9" s="1"/>
  <c r="BI115" i="29"/>
  <c r="BH127" i="29"/>
  <c r="H119" i="9" s="1"/>
  <c r="BF132" i="16"/>
  <c r="F17" i="46"/>
  <c r="BG132" i="16"/>
  <c r="BI122" i="16"/>
  <c r="BI124" i="16" s="1"/>
  <c r="BH124" i="16"/>
  <c r="BJ122" i="16"/>
  <c r="BK111" i="16"/>
  <c r="BK116" i="16" s="1"/>
  <c r="BL108" i="16"/>
  <c r="BK120" i="16" s="1"/>
  <c r="BK33" i="14"/>
  <c r="K31" i="9" s="1"/>
  <c r="BM98" i="16"/>
  <c r="BN7" i="16"/>
  <c r="BL45" i="10"/>
  <c r="BL46" i="10"/>
  <c r="BL44" i="10"/>
  <c r="BJ31" i="14"/>
  <c r="J29" i="9" s="1"/>
  <c r="BJ32" i="14"/>
  <c r="J30" i="9" s="1"/>
  <c r="BJ30" i="14"/>
  <c r="J28" i="9" s="1"/>
  <c r="BK32" i="10"/>
  <c r="BK30" i="10"/>
  <c r="BK31" i="10"/>
  <c r="BK44" i="14"/>
  <c r="K42" i="9" s="1"/>
  <c r="BK45" i="14"/>
  <c r="K43" i="9" s="1"/>
  <c r="BK46" i="14"/>
  <c r="K44" i="9" s="1"/>
  <c r="BL10" i="16"/>
  <c r="BL8" i="16"/>
  <c r="BL9" i="16"/>
  <c r="BM11" i="16"/>
  <c r="J12" i="46"/>
  <c r="J15" i="46"/>
  <c r="BL29" i="14"/>
  <c r="L27" i="9" s="1"/>
  <c r="BJ114" i="29"/>
  <c r="BL100" i="29"/>
  <c r="BL101" i="29" s="1"/>
  <c r="BL106" i="29" s="1"/>
  <c r="BK110" i="29"/>
  <c r="BJ121" i="29" s="1"/>
  <c r="BK123" i="29" s="1"/>
  <c r="BL100" i="16"/>
  <c r="BL101" i="16" s="1"/>
  <c r="BL106" i="16" s="1"/>
  <c r="BK87" i="14"/>
  <c r="K81" i="9" s="1"/>
  <c r="BN38" i="29"/>
  <c r="N36" i="9" s="1"/>
  <c r="BN52" i="29"/>
  <c r="N50" i="9" s="1"/>
  <c r="BN37" i="29"/>
  <c r="N35" i="9" s="1"/>
  <c r="BN39" i="29"/>
  <c r="N37" i="9" s="1"/>
  <c r="BN53" i="29"/>
  <c r="N51" i="9" s="1"/>
  <c r="BN51" i="29"/>
  <c r="N49" i="9" s="1"/>
  <c r="BL47" i="14"/>
  <c r="L45" i="9" s="1"/>
  <c r="BL33" i="10"/>
  <c r="BM26" i="10"/>
  <c r="M24" i="9" s="1"/>
  <c r="BL100" i="10"/>
  <c r="BM57" i="10"/>
  <c r="M55" i="9" s="1"/>
  <c r="M92" i="9" s="1"/>
  <c r="BL99" i="10"/>
  <c r="BN43" i="14"/>
  <c r="N41" i="9" s="1"/>
  <c r="BM98" i="29"/>
  <c r="BO98" i="29"/>
  <c r="BO101" i="29" s="1"/>
  <c r="BO106" i="29" s="1"/>
  <c r="BM47" i="10"/>
  <c r="H134" i="9" l="1"/>
  <c r="BI129" i="29"/>
  <c r="I121" i="9" s="1"/>
  <c r="BH130" i="29"/>
  <c r="H122" i="9" s="1"/>
  <c r="BH132" i="16"/>
  <c r="BI132" i="16"/>
  <c r="G17" i="46"/>
  <c r="BJ115" i="29"/>
  <c r="BI127" i="29"/>
  <c r="I119" i="9" s="1"/>
  <c r="AZ121" i="14"/>
  <c r="BL111" i="16"/>
  <c r="BL116" i="16" s="1"/>
  <c r="BK122" i="16"/>
  <c r="BJ124" i="16"/>
  <c r="BM108" i="16"/>
  <c r="BL120" i="16" s="1"/>
  <c r="BN57" i="10"/>
  <c r="N55" i="9" s="1"/>
  <c r="N92" i="9" s="1"/>
  <c r="BL31" i="10"/>
  <c r="BL32" i="10"/>
  <c r="BL30" i="10"/>
  <c r="BK32" i="14"/>
  <c r="K30" i="9" s="1"/>
  <c r="BK31" i="14"/>
  <c r="K29" i="9" s="1"/>
  <c r="BK30" i="14"/>
  <c r="K28" i="9" s="1"/>
  <c r="BL44" i="14"/>
  <c r="L42" i="9" s="1"/>
  <c r="BL45" i="14"/>
  <c r="L43" i="9" s="1"/>
  <c r="BL46" i="14"/>
  <c r="L44" i="9" s="1"/>
  <c r="BM44" i="10"/>
  <c r="BM45" i="10"/>
  <c r="BM46" i="10"/>
  <c r="BL33" i="14"/>
  <c r="L31" i="9" s="1"/>
  <c r="BM10" i="16"/>
  <c r="BM8" i="16"/>
  <c r="BM9" i="16"/>
  <c r="BN11" i="16"/>
  <c r="BM23" i="10"/>
  <c r="M21" i="9" s="1"/>
  <c r="BM24" i="10"/>
  <c r="M22" i="9" s="1"/>
  <c r="BM25" i="10"/>
  <c r="M23" i="9" s="1"/>
  <c r="K12" i="46"/>
  <c r="K15" i="46"/>
  <c r="BF7" i="14"/>
  <c r="F7" i="9" s="1"/>
  <c r="F91" i="9" s="1"/>
  <c r="BM29" i="14"/>
  <c r="M27" i="9" s="1"/>
  <c r="BK114" i="29"/>
  <c r="BL110" i="29"/>
  <c r="BK121" i="29" s="1"/>
  <c r="BL123" i="29" s="1"/>
  <c r="BM100" i="16"/>
  <c r="BN100" i="29"/>
  <c r="BM100" i="29"/>
  <c r="BM101" i="29" s="1"/>
  <c r="BM106" i="29" s="1"/>
  <c r="BL87" i="14"/>
  <c r="L81" i="9" s="1"/>
  <c r="BN86" i="14"/>
  <c r="N80" i="9" s="1"/>
  <c r="BM47" i="14"/>
  <c r="M45" i="9" s="1"/>
  <c r="BM33" i="10"/>
  <c r="BN98" i="29"/>
  <c r="BM100" i="10"/>
  <c r="BM99" i="10"/>
  <c r="BN100" i="10"/>
  <c r="BN47" i="10"/>
  <c r="I134" i="9" l="1"/>
  <c r="H16" i="46"/>
  <c r="BJ129" i="29"/>
  <c r="J121" i="9" s="1"/>
  <c r="BI130" i="29"/>
  <c r="I122" i="9" s="1"/>
  <c r="BK115" i="29"/>
  <c r="BJ127" i="29"/>
  <c r="J119" i="9" s="1"/>
  <c r="BJ132" i="16"/>
  <c r="BM111" i="16"/>
  <c r="BM116" i="16" s="1"/>
  <c r="BM122" i="16"/>
  <c r="AZ120" i="10"/>
  <c r="BL122" i="16"/>
  <c r="BK124" i="16"/>
  <c r="AZ124" i="14"/>
  <c r="AZ132" i="14" s="1"/>
  <c r="BA132" i="14" s="1"/>
  <c r="BN48" i="10"/>
  <c r="BO48" i="10" s="1"/>
  <c r="BN12" i="16"/>
  <c r="BO12" i="16" s="1"/>
  <c r="BM31" i="10"/>
  <c r="BM32" i="10"/>
  <c r="BM30" i="10"/>
  <c r="BL30" i="14"/>
  <c r="L28" i="9" s="1"/>
  <c r="BL32" i="14"/>
  <c r="L30" i="9" s="1"/>
  <c r="BL31" i="14"/>
  <c r="L29" i="9" s="1"/>
  <c r="BM46" i="14"/>
  <c r="M44" i="9" s="1"/>
  <c r="BM44" i="14"/>
  <c r="M42" i="9" s="1"/>
  <c r="BM45" i="14"/>
  <c r="M43" i="9" s="1"/>
  <c r="BM33" i="14"/>
  <c r="M31" i="9" s="1"/>
  <c r="BN29" i="14"/>
  <c r="N27" i="9" s="1"/>
  <c r="BN9" i="16"/>
  <c r="BN10" i="16"/>
  <c r="BN8" i="16"/>
  <c r="L12" i="46"/>
  <c r="BN99" i="10"/>
  <c r="L15" i="46"/>
  <c r="BF75" i="14"/>
  <c r="BF98" i="14"/>
  <c r="BG7" i="14"/>
  <c r="G7" i="9" s="1"/>
  <c r="G91" i="9" s="1"/>
  <c r="BF11" i="14"/>
  <c r="O41" i="9"/>
  <c r="BN101" i="29"/>
  <c r="BN106" i="29" s="1"/>
  <c r="BM101" i="16"/>
  <c r="BM106" i="16" s="1"/>
  <c r="BN98" i="16"/>
  <c r="BM110" i="29"/>
  <c r="BL121" i="29" s="1"/>
  <c r="BM123" i="29" s="1"/>
  <c r="BN100" i="16"/>
  <c r="BM87" i="14"/>
  <c r="M81" i="9" s="1"/>
  <c r="BN47" i="14"/>
  <c r="N45" i="9" s="1"/>
  <c r="BO57" i="10"/>
  <c r="BN45" i="10"/>
  <c r="BN46" i="10"/>
  <c r="BN44" i="10"/>
  <c r="BO100" i="10"/>
  <c r="J134" i="9" l="1"/>
  <c r="BF100" i="14"/>
  <c r="BF101" i="14" s="1"/>
  <c r="BF106" i="14" s="1"/>
  <c r="F69" i="9"/>
  <c r="F93" i="9" s="1"/>
  <c r="F94" i="9" s="1"/>
  <c r="F99" i="9" s="1"/>
  <c r="J16" i="46"/>
  <c r="I16" i="46"/>
  <c r="H17" i="46"/>
  <c r="BK132" i="16"/>
  <c r="BK129" i="29"/>
  <c r="K121" i="9" s="1"/>
  <c r="BJ130" i="29"/>
  <c r="J122" i="9" s="1"/>
  <c r="BL124" i="16"/>
  <c r="AZ124" i="10"/>
  <c r="BO11" i="16"/>
  <c r="BO108" i="16" s="1"/>
  <c r="BM120" i="16" s="1"/>
  <c r="BO122" i="16" s="1"/>
  <c r="BF8" i="14"/>
  <c r="BF9" i="14"/>
  <c r="BF10" i="14"/>
  <c r="BN87" i="14"/>
  <c r="N81" i="9" s="1"/>
  <c r="BM30" i="14"/>
  <c r="M28" i="9" s="1"/>
  <c r="BM32" i="14"/>
  <c r="M30" i="9" s="1"/>
  <c r="BM31" i="14"/>
  <c r="M29" i="9" s="1"/>
  <c r="BN48" i="14"/>
  <c r="BO48" i="14" s="1"/>
  <c r="M12" i="46"/>
  <c r="BO98" i="16"/>
  <c r="BO101" i="16" s="1"/>
  <c r="BO106" i="16" s="1"/>
  <c r="BF78" i="14"/>
  <c r="F72" i="9" s="1"/>
  <c r="F103" i="9" s="1"/>
  <c r="BG75" i="14"/>
  <c r="O55" i="9"/>
  <c r="O92" i="9" s="1"/>
  <c r="BF108" i="14"/>
  <c r="BG98" i="14"/>
  <c r="BG11" i="14"/>
  <c r="BH7" i="14"/>
  <c r="H7" i="9" s="1"/>
  <c r="H91" i="9" s="1"/>
  <c r="BN33" i="14"/>
  <c r="BO29" i="14"/>
  <c r="O20" i="9"/>
  <c r="BN101" i="16"/>
  <c r="BN106" i="16" s="1"/>
  <c r="BN108" i="16"/>
  <c r="BN44" i="14"/>
  <c r="N42" i="9" s="1"/>
  <c r="BN45" i="14"/>
  <c r="N43" i="9" s="1"/>
  <c r="BN46" i="14"/>
  <c r="N44" i="9" s="1"/>
  <c r="BO47" i="10"/>
  <c r="BO99" i="10"/>
  <c r="BG100" i="14" l="1"/>
  <c r="BG101" i="14" s="1"/>
  <c r="BG106" i="14" s="1"/>
  <c r="G69" i="9"/>
  <c r="G93" i="9" s="1"/>
  <c r="G94" i="9" s="1"/>
  <c r="G99" i="9" s="1"/>
  <c r="BO8" i="16"/>
  <c r="AZ132" i="10"/>
  <c r="BL132" i="16"/>
  <c r="BM124" i="16"/>
  <c r="BN88" i="14"/>
  <c r="BO88" i="14" s="1"/>
  <c r="K16" i="46"/>
  <c r="BO111" i="16"/>
  <c r="BF122" i="14"/>
  <c r="BN34" i="14"/>
  <c r="BO34" i="14" s="1"/>
  <c r="BO10" i="16"/>
  <c r="BO9" i="16"/>
  <c r="BG10" i="14"/>
  <c r="BG8" i="14"/>
  <c r="BG9" i="14"/>
  <c r="BF76" i="14"/>
  <c r="F70" i="9" s="1"/>
  <c r="BO46" i="10"/>
  <c r="BO44" i="10"/>
  <c r="BO45" i="10"/>
  <c r="N12" i="46"/>
  <c r="O34" i="9"/>
  <c r="BN32" i="14"/>
  <c r="BF98" i="10"/>
  <c r="BF101" i="10" s="1"/>
  <c r="BF106" i="10" s="1"/>
  <c r="BF11" i="10"/>
  <c r="F11" i="9" s="1"/>
  <c r="BO110" i="37"/>
  <c r="BO123" i="37" s="1"/>
  <c r="BH75" i="14"/>
  <c r="BG78" i="14"/>
  <c r="G72" i="9" s="1"/>
  <c r="G103" i="9" s="1"/>
  <c r="BO114" i="37"/>
  <c r="O80" i="9"/>
  <c r="BF110" i="14"/>
  <c r="BH98" i="14"/>
  <c r="BH11" i="14"/>
  <c r="BI7" i="14"/>
  <c r="I7" i="9" s="1"/>
  <c r="I91" i="9" s="1"/>
  <c r="BG108" i="14"/>
  <c r="BF120" i="14" s="1"/>
  <c r="O48" i="9"/>
  <c r="BN31" i="14"/>
  <c r="BN30" i="14"/>
  <c r="O27" i="9"/>
  <c r="BO108" i="39"/>
  <c r="BH100" i="14" l="1"/>
  <c r="BH101" i="14" s="1"/>
  <c r="BH106" i="14" s="1"/>
  <c r="H69" i="9"/>
  <c r="H93" i="9" s="1"/>
  <c r="H94" i="9" s="1"/>
  <c r="H99" i="9" s="1"/>
  <c r="BO111" i="39"/>
  <c r="BO124" i="16"/>
  <c r="BO132" i="16" s="1"/>
  <c r="BO116" i="16"/>
  <c r="BM132" i="16"/>
  <c r="BO115" i="37"/>
  <c r="BF111" i="14"/>
  <c r="BF116" i="14" s="1"/>
  <c r="BA132" i="10"/>
  <c r="BG122" i="14"/>
  <c r="BG76" i="14"/>
  <c r="BF77" i="14"/>
  <c r="F71" i="9" s="1"/>
  <c r="BO87" i="14"/>
  <c r="BH10" i="14"/>
  <c r="BH8" i="14"/>
  <c r="BH9" i="14"/>
  <c r="BF10" i="10"/>
  <c r="F10" i="9" s="1"/>
  <c r="BF8" i="10"/>
  <c r="F8" i="9" s="1"/>
  <c r="BF9" i="10"/>
  <c r="F9" i="9" s="1"/>
  <c r="BO114" i="10"/>
  <c r="BO115" i="10" s="1"/>
  <c r="BG98" i="10"/>
  <c r="BG101" i="10" s="1"/>
  <c r="BG106" i="10" s="1"/>
  <c r="BO108" i="37"/>
  <c r="BH98" i="10"/>
  <c r="BH101" i="10" s="1"/>
  <c r="BH106" i="10" s="1"/>
  <c r="BG110" i="14"/>
  <c r="BF108" i="10"/>
  <c r="BH78" i="14"/>
  <c r="H72" i="9" s="1"/>
  <c r="BI75" i="14"/>
  <c r="BH108" i="14"/>
  <c r="BG120" i="14" s="1"/>
  <c r="BI11" i="14"/>
  <c r="BI98" i="14"/>
  <c r="BJ7" i="14"/>
  <c r="J7" i="9" s="1"/>
  <c r="J91" i="9" s="1"/>
  <c r="BG77" i="14" l="1"/>
  <c r="G71" i="9" s="1"/>
  <c r="G70" i="9"/>
  <c r="BI100" i="14"/>
  <c r="BI101" i="14" s="1"/>
  <c r="BI106" i="14" s="1"/>
  <c r="I69" i="9"/>
  <c r="I93" i="9" s="1"/>
  <c r="I94" i="9" s="1"/>
  <c r="I99" i="9" s="1"/>
  <c r="BO122" i="39"/>
  <c r="BO116" i="39"/>
  <c r="BO111" i="37"/>
  <c r="BO116" i="37" s="1"/>
  <c r="BO129" i="37"/>
  <c r="BO130" i="37" s="1"/>
  <c r="BH122" i="14"/>
  <c r="BG111" i="14"/>
  <c r="BG116" i="14" s="1"/>
  <c r="BF121" i="14"/>
  <c r="BF123" i="14"/>
  <c r="BF122" i="10"/>
  <c r="BH76" i="14"/>
  <c r="H70" i="9" s="1"/>
  <c r="BI10" i="14"/>
  <c r="BI8" i="14"/>
  <c r="BI9" i="14"/>
  <c r="BO114" i="14"/>
  <c r="BO115" i="14" s="1"/>
  <c r="BJ75" i="14"/>
  <c r="BI78" i="14"/>
  <c r="I72" i="9" s="1"/>
  <c r="BI11" i="10"/>
  <c r="I11" i="9" s="1"/>
  <c r="BI98" i="10"/>
  <c r="BI101" i="10" s="1"/>
  <c r="BI106" i="10" s="1"/>
  <c r="BJ98" i="14"/>
  <c r="BJ11" i="14"/>
  <c r="BK7" i="14"/>
  <c r="K7" i="9" s="1"/>
  <c r="K91" i="9" s="1"/>
  <c r="BI108" i="14"/>
  <c r="BH120" i="14" s="1"/>
  <c r="BJ100" i="14" l="1"/>
  <c r="J69" i="9"/>
  <c r="J93" i="9" s="1"/>
  <c r="J94" i="9" s="1"/>
  <c r="J99" i="9" s="1"/>
  <c r="BO122" i="37"/>
  <c r="BO124" i="39"/>
  <c r="BH77" i="14"/>
  <c r="H71" i="9" s="1"/>
  <c r="BG123" i="14"/>
  <c r="BF124" i="14"/>
  <c r="BI122" i="14"/>
  <c r="BI76" i="14"/>
  <c r="I70" i="9" s="1"/>
  <c r="BJ9" i="14"/>
  <c r="BJ10" i="14"/>
  <c r="BJ8" i="14"/>
  <c r="BI9" i="10"/>
  <c r="I9" i="9" s="1"/>
  <c r="BI10" i="10"/>
  <c r="I10" i="9" s="1"/>
  <c r="BI8" i="10"/>
  <c r="I8" i="9" s="1"/>
  <c r="O63" i="9"/>
  <c r="BI108" i="10"/>
  <c r="BH120" i="10" s="1"/>
  <c r="O85" i="9"/>
  <c r="BJ11" i="10"/>
  <c r="J11" i="9" s="1"/>
  <c r="BJ98" i="10"/>
  <c r="BJ101" i="10" s="1"/>
  <c r="BJ106" i="10" s="1"/>
  <c r="BK75" i="14"/>
  <c r="BJ78" i="14"/>
  <c r="J72" i="9" s="1"/>
  <c r="BJ101" i="14"/>
  <c r="BJ106" i="14" s="1"/>
  <c r="BK11" i="14"/>
  <c r="BL7" i="14"/>
  <c r="L7" i="9" s="1"/>
  <c r="L91" i="9" s="1"/>
  <c r="BK98" i="14"/>
  <c r="BJ108" i="14"/>
  <c r="BI120" i="14" s="1"/>
  <c r="BK100" i="14" l="1"/>
  <c r="K69" i="9"/>
  <c r="K93" i="9" s="1"/>
  <c r="K94" i="9" s="1"/>
  <c r="K99" i="9" s="1"/>
  <c r="BO132" i="39"/>
  <c r="BF132" i="14"/>
  <c r="BJ122" i="14"/>
  <c r="BI122" i="10"/>
  <c r="BI77" i="14"/>
  <c r="I71" i="9" s="1"/>
  <c r="BJ76" i="14"/>
  <c r="J70" i="9" s="1"/>
  <c r="BK9" i="14"/>
  <c r="BK10" i="14"/>
  <c r="BK8" i="14"/>
  <c r="BJ9" i="10"/>
  <c r="J9" i="9" s="1"/>
  <c r="BJ10" i="10"/>
  <c r="J10" i="9" s="1"/>
  <c r="BJ8" i="10"/>
  <c r="J8" i="9" s="1"/>
  <c r="O75" i="9"/>
  <c r="BK78" i="14"/>
  <c r="K72" i="9" s="1"/>
  <c r="BL75" i="14"/>
  <c r="BK101" i="14"/>
  <c r="BK106" i="14" s="1"/>
  <c r="BJ108" i="10"/>
  <c r="BI120" i="10" s="1"/>
  <c r="BK98" i="10"/>
  <c r="BK101" i="10" s="1"/>
  <c r="BK106" i="10" s="1"/>
  <c r="BK11" i="10"/>
  <c r="K11" i="9" s="1"/>
  <c r="BL98" i="14"/>
  <c r="BL11" i="14"/>
  <c r="BM7" i="14"/>
  <c r="M7" i="9" s="1"/>
  <c r="M91" i="9" s="1"/>
  <c r="BK108" i="14"/>
  <c r="BJ120" i="14" s="1"/>
  <c r="O97" i="9"/>
  <c r="BL100" i="14" l="1"/>
  <c r="BL101" i="14" s="1"/>
  <c r="BL106" i="14" s="1"/>
  <c r="L69" i="9"/>
  <c r="L93" i="9" s="1"/>
  <c r="L94" i="9" s="1"/>
  <c r="L99" i="9" s="1"/>
  <c r="BK122" i="14"/>
  <c r="BJ122" i="10"/>
  <c r="BK76" i="14"/>
  <c r="K70" i="9" s="1"/>
  <c r="BN7" i="14"/>
  <c r="N7" i="9" s="1"/>
  <c r="N91" i="9" s="1"/>
  <c r="BL9" i="14"/>
  <c r="BL10" i="14"/>
  <c r="BL8" i="14"/>
  <c r="BJ77" i="14"/>
  <c r="J71" i="9" s="1"/>
  <c r="BK8" i="10"/>
  <c r="K8" i="9" s="1"/>
  <c r="BK9" i="10"/>
  <c r="K9" i="9" s="1"/>
  <c r="BK10" i="10"/>
  <c r="K10" i="9" s="1"/>
  <c r="BN98" i="10"/>
  <c r="BN101" i="10" s="1"/>
  <c r="BN106" i="10" s="1"/>
  <c r="BL98" i="10"/>
  <c r="BL101" i="10" s="1"/>
  <c r="BL106" i="10" s="1"/>
  <c r="BL11" i="10"/>
  <c r="L11" i="9" s="1"/>
  <c r="BL78" i="14"/>
  <c r="L72" i="9" s="1"/>
  <c r="BM75" i="14"/>
  <c r="BK108" i="10"/>
  <c r="BJ120" i="10" s="1"/>
  <c r="BM98" i="14"/>
  <c r="BM11" i="14"/>
  <c r="BL108" i="14"/>
  <c r="BK120" i="14" s="1"/>
  <c r="BM100" i="14" l="1"/>
  <c r="BM101" i="14" s="1"/>
  <c r="BM106" i="14" s="1"/>
  <c r="M69" i="9"/>
  <c r="M93" i="9" s="1"/>
  <c r="M94" i="9" s="1"/>
  <c r="M99" i="9" s="1"/>
  <c r="BK77" i="14"/>
  <c r="K71" i="9" s="1"/>
  <c r="BL122" i="14"/>
  <c r="BK122" i="10"/>
  <c r="BN75" i="14"/>
  <c r="BN98" i="14"/>
  <c r="BM8" i="14"/>
  <c r="BM9" i="14"/>
  <c r="BM10" i="14"/>
  <c r="BL76" i="14"/>
  <c r="L70" i="9" s="1"/>
  <c r="BL8" i="10"/>
  <c r="L8" i="9" s="1"/>
  <c r="BL9" i="10"/>
  <c r="L9" i="9" s="1"/>
  <c r="BL10" i="10"/>
  <c r="L10" i="9" s="1"/>
  <c r="BL108" i="10"/>
  <c r="BK120" i="10" s="1"/>
  <c r="BM78" i="14"/>
  <c r="M72" i="9" s="1"/>
  <c r="BM11" i="10"/>
  <c r="M11" i="9" s="1"/>
  <c r="BM98" i="10"/>
  <c r="BM101" i="10" s="1"/>
  <c r="BM106" i="10" s="1"/>
  <c r="BO98" i="14"/>
  <c r="BM108" i="14"/>
  <c r="BN11" i="14"/>
  <c r="BN100" i="14" l="1"/>
  <c r="BN101" i="14" s="1"/>
  <c r="BN106" i="14" s="1"/>
  <c r="N69" i="9"/>
  <c r="N93" i="9" s="1"/>
  <c r="N94" i="9" s="1"/>
  <c r="N99" i="9" s="1"/>
  <c r="BL120" i="14"/>
  <c r="BM122" i="14" s="1"/>
  <c r="BL122" i="10"/>
  <c r="BN12" i="14"/>
  <c r="BO12" i="14" s="1"/>
  <c r="BM76" i="14"/>
  <c r="M70" i="9" s="1"/>
  <c r="BL77" i="14"/>
  <c r="L71" i="9" s="1"/>
  <c r="BM10" i="10"/>
  <c r="M10" i="9" s="1"/>
  <c r="BM8" i="10"/>
  <c r="M8" i="9" s="1"/>
  <c r="BM9" i="10"/>
  <c r="M9" i="9" s="1"/>
  <c r="BN78" i="14"/>
  <c r="N72" i="9" s="1"/>
  <c r="BO98" i="10"/>
  <c r="BO101" i="10" s="1"/>
  <c r="BO106" i="10" s="1"/>
  <c r="BM108" i="10"/>
  <c r="BL120" i="10" s="1"/>
  <c r="BO101" i="14"/>
  <c r="BO106" i="14" s="1"/>
  <c r="BN108" i="14"/>
  <c r="BN9" i="14"/>
  <c r="BN8" i="14"/>
  <c r="BN10" i="14"/>
  <c r="BN79" i="14" l="1"/>
  <c r="BO79" i="14" s="1"/>
  <c r="BM122" i="10"/>
  <c r="BM77" i="14"/>
  <c r="M71" i="9" s="1"/>
  <c r="BN76" i="14"/>
  <c r="N70" i="9" s="1"/>
  <c r="BO78" i="14" l="1"/>
  <c r="O7" i="9"/>
  <c r="O91" i="9" s="1"/>
  <c r="O69" i="9"/>
  <c r="O93" i="9" s="1"/>
  <c r="O13" i="9"/>
  <c r="O95" i="9" s="1"/>
  <c r="O98" i="9" s="1"/>
  <c r="BN77" i="14"/>
  <c r="N71" i="9" s="1"/>
  <c r="BO76" i="14" l="1"/>
  <c r="O94" i="9"/>
  <c r="O99" i="9" s="1"/>
  <c r="BO77" i="14" l="1"/>
  <c r="BO47" i="14" l="1"/>
  <c r="BO45" i="14" l="1"/>
  <c r="BO46" i="14"/>
  <c r="BO44" i="14"/>
  <c r="BA110" i="29" l="1"/>
  <c r="BF110" i="29"/>
  <c r="BF123" i="29" s="1"/>
  <c r="BG110" i="29" l="1"/>
  <c r="BF121" i="29" s="1"/>
  <c r="BG123" i="29" s="1"/>
  <c r="BN110" i="29"/>
  <c r="BO110" i="29" l="1"/>
  <c r="BM121" i="29" s="1"/>
  <c r="BO123" i="29" s="1"/>
  <c r="BG110" i="10" l="1"/>
  <c r="BF121" i="10" s="1"/>
  <c r="F113" i="9" s="1"/>
  <c r="BF110" i="10"/>
  <c r="BG123" i="10" l="1"/>
  <c r="G115" i="9" s="1"/>
  <c r="BF123" i="10"/>
  <c r="F115" i="9" s="1"/>
  <c r="F132" i="9" s="1"/>
  <c r="G9" i="46"/>
  <c r="F9" i="46"/>
  <c r="BF111" i="10"/>
  <c r="H9" i="46" l="1"/>
  <c r="BF116" i="10"/>
  <c r="G10" i="46" l="1"/>
  <c r="F10" i="46" l="1"/>
  <c r="BO33" i="14" l="1"/>
  <c r="BO32" i="14" l="1"/>
  <c r="BO30" i="14"/>
  <c r="BO31" i="14"/>
  <c r="O64" i="9" l="1"/>
  <c r="O66" i="9"/>
  <c r="O65" i="9"/>
  <c r="O38" i="9" l="1"/>
  <c r="BO11" i="14" l="1"/>
  <c r="BO10" i="14" l="1"/>
  <c r="BO9" i="14"/>
  <c r="BO8" i="14"/>
  <c r="BO108" i="14"/>
  <c r="BM120" i="14" s="1"/>
  <c r="BO122" i="14" s="1"/>
  <c r="BO124" i="37" l="1"/>
  <c r="BO132" i="37" l="1"/>
  <c r="BH11" i="10" l="1"/>
  <c r="H11" i="9" s="1"/>
  <c r="BH9" i="10" l="1"/>
  <c r="H9" i="9" s="1"/>
  <c r="BH10" i="10"/>
  <c r="H10" i="9" s="1"/>
  <c r="BH8" i="10"/>
  <c r="H8" i="9" s="1"/>
  <c r="BH108" i="10"/>
  <c r="BG120" i="10" s="1"/>
  <c r="BH122" i="10" l="1"/>
  <c r="BG11" i="10" l="1"/>
  <c r="G11" i="9" s="1"/>
  <c r="BG10" i="10" l="1"/>
  <c r="G10" i="9" s="1"/>
  <c r="BG9" i="10"/>
  <c r="G9" i="9" s="1"/>
  <c r="BG8" i="10"/>
  <c r="G8" i="9" s="1"/>
  <c r="BN11" i="10"/>
  <c r="N11" i="9" s="1"/>
  <c r="BN12" i="10" l="1"/>
  <c r="BO12" i="10" s="1"/>
  <c r="BN8" i="10" l="1"/>
  <c r="N8" i="9" s="1"/>
  <c r="BN10" i="10"/>
  <c r="N10" i="9" s="1"/>
  <c r="BN9" i="10" l="1"/>
  <c r="N9" i="9" s="1"/>
  <c r="BO11" i="10"/>
  <c r="BO10" i="10" l="1"/>
  <c r="BO9" i="10"/>
  <c r="BO8" i="10"/>
  <c r="BN25" i="10" l="1"/>
  <c r="N23" i="9" s="1"/>
  <c r="BN26" i="10"/>
  <c r="N24" i="9" s="1"/>
  <c r="BN27" i="10" l="1"/>
  <c r="BO27" i="10" s="1"/>
  <c r="BN24" i="10"/>
  <c r="N22" i="9" s="1"/>
  <c r="BN23" i="10"/>
  <c r="N21" i="9" s="1"/>
  <c r="BO26" i="10" l="1"/>
  <c r="BO25" i="10" l="1"/>
  <c r="BO23" i="10"/>
  <c r="BO24" i="10"/>
  <c r="O24" i="9"/>
  <c r="O23" i="9" l="1"/>
  <c r="O22" i="9"/>
  <c r="O21" i="9"/>
  <c r="BN32" i="10" l="1"/>
  <c r="N30" i="9" s="1"/>
  <c r="BN33" i="10"/>
  <c r="N31" i="9" s="1"/>
  <c r="BG108" i="10"/>
  <c r="BF120" i="10" s="1"/>
  <c r="BN34" i="10" l="1"/>
  <c r="BO34" i="10" s="1"/>
  <c r="BG122" i="10"/>
  <c r="BF124" i="10"/>
  <c r="BN108" i="10"/>
  <c r="BG111" i="10"/>
  <c r="BN30" i="10"/>
  <c r="N28" i="9" s="1"/>
  <c r="BN31" i="10"/>
  <c r="N29" i="9" s="1"/>
  <c r="BF132" i="10" l="1"/>
  <c r="BO33" i="10"/>
  <c r="BG116" i="10"/>
  <c r="BO32" i="10" l="1"/>
  <c r="BO31" i="10"/>
  <c r="BO30" i="10"/>
  <c r="BO108" i="10"/>
  <c r="BM120" i="10" s="1"/>
  <c r="BO122" i="10" l="1"/>
  <c r="O37" i="9" l="1"/>
  <c r="O35" i="9" l="1"/>
  <c r="O36" i="9"/>
  <c r="BL114" i="29" l="1"/>
  <c r="BM114" i="29"/>
  <c r="BN94" i="29"/>
  <c r="BM115" i="29" l="1"/>
  <c r="BL127" i="29"/>
  <c r="L119" i="9" s="1"/>
  <c r="BL115" i="29"/>
  <c r="BK127" i="29"/>
  <c r="K119" i="9" s="1"/>
  <c r="K134" i="9" s="1"/>
  <c r="BN114" i="29"/>
  <c r="BN115" i="29" s="1"/>
  <c r="BO94" i="29"/>
  <c r="N15" i="46"/>
  <c r="M15" i="46"/>
  <c r="BL129" i="29" l="1"/>
  <c r="L121" i="9" s="1"/>
  <c r="L134" i="9" s="1"/>
  <c r="BK130" i="29"/>
  <c r="K122" i="9" s="1"/>
  <c r="BM129" i="29"/>
  <c r="M121" i="9" s="1"/>
  <c r="BL130" i="29"/>
  <c r="L122" i="9" s="1"/>
  <c r="BO93" i="29"/>
  <c r="O15" i="46"/>
  <c r="L16" i="46" l="1"/>
  <c r="BO114" i="29"/>
  <c r="M16" i="46" l="1"/>
  <c r="BO115" i="29"/>
  <c r="BM127" i="29"/>
  <c r="M119" i="9" s="1"/>
  <c r="M134" i="9" s="1"/>
  <c r="N134" i="9" s="1"/>
  <c r="BO129" i="29" l="1"/>
  <c r="O121" i="9" s="1"/>
  <c r="BM130" i="29"/>
  <c r="M122" i="9" s="1"/>
  <c r="N122" i="9" s="1"/>
  <c r="O119" i="9" l="1"/>
  <c r="O134" i="9" s="1"/>
  <c r="BO130" i="29"/>
  <c r="O122" i="9" s="1"/>
  <c r="N16" i="46" l="1"/>
  <c r="O16" i="46" l="1"/>
  <c r="AU108" i="29" l="1"/>
  <c r="AU111" i="29" s="1"/>
  <c r="AU116" i="29" l="1"/>
  <c r="AZ108" i="29" l="1"/>
  <c r="AZ111" i="29" l="1"/>
  <c r="AY120" i="29"/>
  <c r="AW108" i="29"/>
  <c r="AY108" i="29"/>
  <c r="AX108" i="29"/>
  <c r="AV108" i="29"/>
  <c r="AZ116" i="29"/>
  <c r="BA108" i="29"/>
  <c r="BA111" i="29" s="1"/>
  <c r="BA116" i="29" s="1"/>
  <c r="AV111" i="29" l="1"/>
  <c r="AV116" i="29" s="1"/>
  <c r="AU120" i="29"/>
  <c r="AX111" i="29"/>
  <c r="AX116" i="29" s="1"/>
  <c r="AW120" i="29"/>
  <c r="AY111" i="29"/>
  <c r="AY116" i="29" s="1"/>
  <c r="AX120" i="29"/>
  <c r="AZ122" i="29"/>
  <c r="AW111" i="29"/>
  <c r="AW116" i="29" s="1"/>
  <c r="AV120" i="29"/>
  <c r="AY122" i="29" l="1"/>
  <c r="AW122" i="29"/>
  <c r="AX122" i="29"/>
  <c r="AV122" i="29"/>
  <c r="AU124" i="29"/>
  <c r="AW124" i="29" l="1"/>
  <c r="AV124" i="29"/>
  <c r="AW132" i="29"/>
  <c r="AV132" i="29"/>
  <c r="AU132" i="29"/>
  <c r="AX124" i="29"/>
  <c r="AY124" i="29"/>
  <c r="AX132" i="29" l="1"/>
  <c r="AY132" i="29"/>
  <c r="AZ120" i="29" l="1"/>
  <c r="AZ124" i="29" l="1"/>
  <c r="AZ132" i="29" l="1"/>
  <c r="BA132" i="29" l="1"/>
  <c r="BF108" i="29" l="1"/>
  <c r="F101" i="9" s="1"/>
  <c r="F104" i="9" s="1"/>
  <c r="F109" i="9" s="1"/>
  <c r="BG108" i="29"/>
  <c r="G101" i="9" s="1"/>
  <c r="G104" i="9" s="1"/>
  <c r="G109" i="9" s="1"/>
  <c r="BH108" i="29"/>
  <c r="H101" i="9" s="1"/>
  <c r="BI108" i="29"/>
  <c r="I101" i="9" s="1"/>
  <c r="BJ108" i="29"/>
  <c r="J101" i="9" s="1"/>
  <c r="BK108" i="29"/>
  <c r="K101" i="9" s="1"/>
  <c r="BL108" i="29"/>
  <c r="L101" i="9" s="1"/>
  <c r="BM108" i="29"/>
  <c r="M101" i="9" s="1"/>
  <c r="BH111" i="29" l="1"/>
  <c r="BH116" i="29" s="1"/>
  <c r="BG120" i="29"/>
  <c r="G112" i="9" s="1"/>
  <c r="BI111" i="29"/>
  <c r="BI116" i="29" s="1"/>
  <c r="BH120" i="29"/>
  <c r="H112" i="9" s="1"/>
  <c r="BJ111" i="29"/>
  <c r="BI120" i="29"/>
  <c r="I112" i="9" s="1"/>
  <c r="BG111" i="29"/>
  <c r="BG116" i="29" s="1"/>
  <c r="BF120" i="29"/>
  <c r="F112" i="9" s="1"/>
  <c r="BF111" i="29"/>
  <c r="BF116" i="29" s="1"/>
  <c r="BM111" i="29"/>
  <c r="BM116" i="29" s="1"/>
  <c r="BL120" i="29"/>
  <c r="L112" i="9" s="1"/>
  <c r="BL111" i="29"/>
  <c r="BL116" i="29" s="1"/>
  <c r="BK120" i="29"/>
  <c r="K112" i="9" s="1"/>
  <c r="BK111" i="29"/>
  <c r="BK116" i="29" s="1"/>
  <c r="BJ120" i="29"/>
  <c r="J112" i="9" s="1"/>
  <c r="BJ116" i="29"/>
  <c r="BN108" i="29"/>
  <c r="BN111" i="29" l="1"/>
  <c r="BN116" i="29" s="1"/>
  <c r="N101" i="9"/>
  <c r="BG122" i="29"/>
  <c r="G114" i="9" s="1"/>
  <c r="G130" i="9" s="1"/>
  <c r="BM122" i="29"/>
  <c r="M114" i="9" s="1"/>
  <c r="BJ122" i="29"/>
  <c r="J114" i="9" s="1"/>
  <c r="J130" i="9" s="1"/>
  <c r="BN132" i="29"/>
  <c r="BK122" i="29"/>
  <c r="K114" i="9" s="1"/>
  <c r="K130" i="9" s="1"/>
  <c r="BF122" i="29"/>
  <c r="F114" i="9" s="1"/>
  <c r="F130" i="9" s="1"/>
  <c r="BI122" i="29"/>
  <c r="I114" i="9" s="1"/>
  <c r="I130" i="9" s="1"/>
  <c r="BH122" i="29"/>
  <c r="H114" i="9" s="1"/>
  <c r="H130" i="9" s="1"/>
  <c r="BL122" i="29"/>
  <c r="L114" i="9" s="1"/>
  <c r="L130" i="9" s="1"/>
  <c r="BN16" i="29"/>
  <c r="N14" i="9" s="1"/>
  <c r="BN18" i="29"/>
  <c r="N16" i="9" s="1"/>
  <c r="BN17" i="29"/>
  <c r="N15" i="9" s="1"/>
  <c r="BG124" i="29" l="1"/>
  <c r="F135" i="9"/>
  <c r="F138" i="9" s="1"/>
  <c r="M8" i="46"/>
  <c r="BH124" i="29"/>
  <c r="BH132" i="29" s="1"/>
  <c r="BL124" i="29"/>
  <c r="BG132" i="29"/>
  <c r="J8" i="46"/>
  <c r="BK124" i="29"/>
  <c r="BI124" i="29"/>
  <c r="L8" i="46"/>
  <c r="BJ124" i="29"/>
  <c r="BF124" i="29"/>
  <c r="F116" i="9" s="1"/>
  <c r="BO108" i="29"/>
  <c r="K8" i="46" l="1"/>
  <c r="I8" i="46"/>
  <c r="H8" i="46"/>
  <c r="G8" i="46"/>
  <c r="F8" i="46"/>
  <c r="BO111" i="29"/>
  <c r="BM120" i="29"/>
  <c r="BJ132" i="29"/>
  <c r="BL132" i="29"/>
  <c r="BI132" i="29"/>
  <c r="BF132" i="29"/>
  <c r="F124" i="9" s="1"/>
  <c r="BK132" i="29"/>
  <c r="N17" i="46"/>
  <c r="M17" i="46"/>
  <c r="J17" i="46"/>
  <c r="I17" i="46"/>
  <c r="K17" i="46"/>
  <c r="L17" i="46"/>
  <c r="O12" i="46"/>
  <c r="BO122" i="29" l="1"/>
  <c r="BM124" i="29"/>
  <c r="BO116" i="29"/>
  <c r="O17" i="46"/>
  <c r="BM132" i="29" l="1"/>
  <c r="O112" i="9" l="1"/>
  <c r="BO124" i="29"/>
  <c r="BO132" i="29" l="1"/>
  <c r="BH110" i="14" l="1"/>
  <c r="BH111" i="14" l="1"/>
  <c r="BG121" i="14"/>
  <c r="BH116" i="14"/>
  <c r="BH123" i="14" l="1"/>
  <c r="BG124" i="14"/>
  <c r="BG132" i="14" l="1"/>
  <c r="O86" i="9" l="1"/>
  <c r="O107" i="9" l="1"/>
  <c r="BN110" i="14" l="1"/>
  <c r="BN111" i="14" s="1"/>
  <c r="BN132" i="14" s="1"/>
  <c r="BM110" i="14"/>
  <c r="BI110" i="14"/>
  <c r="BL110" i="14"/>
  <c r="BO110" i="14"/>
  <c r="BM121" i="14" s="1"/>
  <c r="BO123" i="14" s="1"/>
  <c r="BJ110" i="14"/>
  <c r="BK110" i="14"/>
  <c r="BO124" i="14" l="1"/>
  <c r="BI111" i="14"/>
  <c r="BI116" i="14" s="1"/>
  <c r="BH121" i="14"/>
  <c r="BJ111" i="14"/>
  <c r="BJ116" i="14" s="1"/>
  <c r="BI121" i="14"/>
  <c r="BK111" i="14"/>
  <c r="BK116" i="14" s="1"/>
  <c r="BJ121" i="14"/>
  <c r="BL111" i="14"/>
  <c r="BL116" i="14" s="1"/>
  <c r="BK121" i="14"/>
  <c r="BM111" i="14"/>
  <c r="BM116" i="14" s="1"/>
  <c r="BL121" i="14"/>
  <c r="BM123" i="14" s="1"/>
  <c r="BM124" i="14" s="1"/>
  <c r="BO111" i="14"/>
  <c r="BN116" i="14"/>
  <c r="BO132" i="14" l="1"/>
  <c r="BO116" i="14"/>
  <c r="BM132" i="14"/>
  <c r="BL123" i="14"/>
  <c r="BL124" i="14" s="1"/>
  <c r="BK123" i="14"/>
  <c r="BK124" i="14" s="1"/>
  <c r="BJ123" i="14"/>
  <c r="BJ124" i="14" s="1"/>
  <c r="BI123" i="14"/>
  <c r="BI124" i="14" s="1"/>
  <c r="BH124" i="14"/>
  <c r="BI132" i="14" l="1"/>
  <c r="BJ132" i="14"/>
  <c r="BK132" i="14"/>
  <c r="BL132" i="14"/>
  <c r="BH132" i="14"/>
  <c r="BJ82" i="10" l="1"/>
  <c r="J76" i="9" s="1"/>
  <c r="J103" i="9" s="1"/>
  <c r="J104" i="9" s="1"/>
  <c r="J109" i="9" s="1"/>
  <c r="BM82" i="10"/>
  <c r="M76" i="9" s="1"/>
  <c r="M103" i="9" s="1"/>
  <c r="M104" i="9" s="1"/>
  <c r="M109" i="9" s="1"/>
  <c r="BI82" i="10"/>
  <c r="I76" i="9" s="1"/>
  <c r="I103" i="9" s="1"/>
  <c r="I104" i="9" s="1"/>
  <c r="I109" i="9" s="1"/>
  <c r="BK82" i="10"/>
  <c r="K76" i="9" s="1"/>
  <c r="K103" i="9" s="1"/>
  <c r="K104" i="9" s="1"/>
  <c r="K109" i="9" s="1"/>
  <c r="BL82" i="10"/>
  <c r="L76" i="9" s="1"/>
  <c r="L103" i="9" s="1"/>
  <c r="L104" i="9" s="1"/>
  <c r="L109" i="9" s="1"/>
  <c r="BH82" i="10"/>
  <c r="H76" i="9" s="1"/>
  <c r="H103" i="9" s="1"/>
  <c r="H104" i="9" s="1"/>
  <c r="H109" i="9" s="1"/>
  <c r="BK110" i="10" l="1"/>
  <c r="BJ121" i="10" s="1"/>
  <c r="J113" i="9" s="1"/>
  <c r="BN82" i="10"/>
  <c r="N76" i="9" s="1"/>
  <c r="N103" i="9" s="1"/>
  <c r="N104" i="9" s="1"/>
  <c r="N109" i="9" s="1"/>
  <c r="BH110" i="10"/>
  <c r="BG121" i="10" s="1"/>
  <c r="G113" i="9" s="1"/>
  <c r="G132" i="9" s="1"/>
  <c r="BL110" i="10"/>
  <c r="BK121" i="10" s="1"/>
  <c r="K113" i="9" s="1"/>
  <c r="BM110" i="10"/>
  <c r="BL121" i="10" s="1"/>
  <c r="L113" i="9" s="1"/>
  <c r="BJ110" i="10"/>
  <c r="BI121" i="10" s="1"/>
  <c r="I113" i="9" s="1"/>
  <c r="BI110" i="10"/>
  <c r="BH121" i="10" s="1"/>
  <c r="H113" i="9" s="1"/>
  <c r="G135" i="9" l="1"/>
  <c r="G138" i="9" s="1"/>
  <c r="BN83" i="10"/>
  <c r="BO83" i="10" s="1"/>
  <c r="BH123" i="10"/>
  <c r="H115" i="9" s="1"/>
  <c r="H132" i="9" s="1"/>
  <c r="BG124" i="10"/>
  <c r="G116" i="9" s="1"/>
  <c r="BI123" i="10"/>
  <c r="I115" i="9" s="1"/>
  <c r="I132" i="9" s="1"/>
  <c r="I135" i="9" s="1"/>
  <c r="I138" i="9" s="1"/>
  <c r="BJ123" i="10"/>
  <c r="J115" i="9" s="1"/>
  <c r="J132" i="9" s="1"/>
  <c r="J135" i="9" s="1"/>
  <c r="J138" i="9" s="1"/>
  <c r="BL123" i="10"/>
  <c r="L115" i="9" s="1"/>
  <c r="L132" i="9" s="1"/>
  <c r="L135" i="9" s="1"/>
  <c r="L138" i="9" s="1"/>
  <c r="BK123" i="10"/>
  <c r="K115" i="9" s="1"/>
  <c r="K132" i="9" s="1"/>
  <c r="K135" i="9" s="1"/>
  <c r="K138" i="9" s="1"/>
  <c r="BM123" i="10"/>
  <c r="M115" i="9" s="1"/>
  <c r="BH111" i="10"/>
  <c r="BH116" i="10" s="1"/>
  <c r="BI111" i="10"/>
  <c r="BI116" i="10" s="1"/>
  <c r="BJ111" i="10"/>
  <c r="BJ116" i="10" s="1"/>
  <c r="BL111" i="10"/>
  <c r="BL116" i="10" s="1"/>
  <c r="BK111" i="10"/>
  <c r="BK116" i="10" s="1"/>
  <c r="BM111" i="10"/>
  <c r="BM116" i="10" s="1"/>
  <c r="BN110" i="10"/>
  <c r="BN111" i="10" s="1"/>
  <c r="BN132" i="10" s="1"/>
  <c r="H135" i="9" l="1"/>
  <c r="H138" i="9" s="1"/>
  <c r="BH124" i="10"/>
  <c r="H116" i="9" s="1"/>
  <c r="BK124" i="10"/>
  <c r="K116" i="9" s="1"/>
  <c r="BL124" i="10"/>
  <c r="L116" i="9" s="1"/>
  <c r="BI124" i="10"/>
  <c r="I116" i="9" s="1"/>
  <c r="BG132" i="10"/>
  <c r="G124" i="9" s="1"/>
  <c r="BJ124" i="10"/>
  <c r="J116" i="9" s="1"/>
  <c r="BN116" i="10"/>
  <c r="BO82" i="10"/>
  <c r="BH132" i="10" l="1"/>
  <c r="H124" i="9" s="1"/>
  <c r="BK132" i="10"/>
  <c r="K124" i="9" s="1"/>
  <c r="BI132" i="10"/>
  <c r="I124" i="9" s="1"/>
  <c r="BL132" i="10"/>
  <c r="L124" i="9" s="1"/>
  <c r="K10" i="46"/>
  <c r="H10" i="46"/>
  <c r="J10" i="46"/>
  <c r="L10" i="46"/>
  <c r="BJ132" i="10"/>
  <c r="J124" i="9" s="1"/>
  <c r="O81" i="9"/>
  <c r="BO110" i="10"/>
  <c r="BM121" i="10" s="1"/>
  <c r="M113" i="9" s="1"/>
  <c r="M132" i="9" s="1"/>
  <c r="N132" i="9" l="1"/>
  <c r="M10" i="46"/>
  <c r="I10" i="46"/>
  <c r="BO111" i="10"/>
  <c r="BO116" i="10" s="1"/>
  <c r="O113" i="9" l="1"/>
  <c r="BO123" i="10"/>
  <c r="O115" i="9" s="1"/>
  <c r="BM124" i="10"/>
  <c r="BM132" i="10" l="1"/>
  <c r="BO124" i="10"/>
  <c r="O132" i="9" l="1"/>
  <c r="N10" i="46"/>
  <c r="BO132" i="10"/>
  <c r="O10" i="46" l="1"/>
  <c r="O76" i="9" l="1"/>
  <c r="BN110" i="16"/>
  <c r="BN111" i="16" s="1"/>
  <c r="BN132" i="16" s="1"/>
  <c r="N124" i="9" s="1"/>
  <c r="M9" i="46" l="1"/>
  <c r="J9" i="46"/>
  <c r="K9" i="46"/>
  <c r="BN116" i="16"/>
  <c r="L9" i="46" l="1"/>
  <c r="I9" i="46" l="1"/>
  <c r="N9" i="46"/>
  <c r="O9" i="46" l="1"/>
  <c r="O71" i="9" l="1"/>
  <c r="O70" i="9"/>
  <c r="O72" i="9"/>
  <c r="O103" i="9" s="1"/>
  <c r="O15" i="9" l="1"/>
  <c r="O17" i="9"/>
  <c r="O16" i="9" l="1"/>
  <c r="O14" i="9"/>
  <c r="O49" i="9" l="1"/>
  <c r="O50" i="9"/>
  <c r="O51" i="9"/>
  <c r="O52" i="9"/>
  <c r="O105" i="9" l="1"/>
  <c r="O108" i="9" l="1"/>
  <c r="G6" i="46" l="1"/>
  <c r="J6" i="46"/>
  <c r="K6" i="46"/>
  <c r="H6" i="46"/>
  <c r="F6" i="46"/>
  <c r="I6" i="46" l="1"/>
  <c r="I11" i="46" l="1"/>
  <c r="F11" i="46"/>
  <c r="K11" i="46"/>
  <c r="J11" i="46"/>
  <c r="H11" i="46"/>
  <c r="D11" i="46"/>
  <c r="E11" i="46"/>
  <c r="G11" i="46"/>
  <c r="K18" i="46" l="1"/>
  <c r="E18" i="46"/>
  <c r="F18" i="46"/>
  <c r="J18" i="46"/>
  <c r="I18" i="46"/>
  <c r="G18" i="46"/>
  <c r="D18" i="46"/>
  <c r="H18" i="46"/>
  <c r="M6" i="46" l="1"/>
  <c r="N6" i="46" l="1"/>
  <c r="L6" i="46"/>
  <c r="C11" i="46" l="1"/>
  <c r="M11" i="46"/>
  <c r="O6" i="46"/>
  <c r="C18" i="46" l="1"/>
  <c r="M18" i="46"/>
  <c r="L11" i="46"/>
  <c r="L18" i="46" l="1"/>
  <c r="BO44" i="17" l="1"/>
  <c r="BO45" i="17"/>
  <c r="BO46" i="17"/>
  <c r="BO108" i="17"/>
  <c r="BM120" i="17" s="1"/>
  <c r="BO122" i="17" l="1"/>
  <c r="BM124" i="17"/>
  <c r="BO111" i="17"/>
  <c r="BM132" i="17" l="1"/>
  <c r="BO124" i="17"/>
  <c r="BO116" i="17"/>
  <c r="BO132" i="17" l="1"/>
  <c r="BO44" i="22" l="1"/>
  <c r="BO45" i="22"/>
  <c r="BO46" i="22"/>
  <c r="BO108" i="22"/>
  <c r="BM120" i="22" s="1"/>
  <c r="BO122" i="22" l="1"/>
  <c r="BM124" i="22"/>
  <c r="BO111" i="22"/>
  <c r="BO116" i="22" s="1"/>
  <c r="BM132" i="22" l="1"/>
  <c r="BO124" i="22"/>
  <c r="BO132" i="22" l="1"/>
  <c r="O11" i="9" l="1"/>
  <c r="BO8" i="25"/>
  <c r="BO9" i="25"/>
  <c r="O9" i="9" s="1"/>
  <c r="BO10" i="25"/>
  <c r="O10" i="9" s="1"/>
  <c r="O8" i="9" l="1"/>
  <c r="O31" i="9" l="1"/>
  <c r="BO30" i="25"/>
  <c r="BO31" i="25"/>
  <c r="O29" i="9" s="1"/>
  <c r="BO32" i="25"/>
  <c r="O30" i="9" s="1"/>
  <c r="O28" i="9" l="1"/>
  <c r="O45" i="9" l="1"/>
  <c r="O101" i="9" s="1"/>
  <c r="BO44" i="25"/>
  <c r="BO45" i="25"/>
  <c r="BO46" i="25"/>
  <c r="BO108" i="25"/>
  <c r="BM120" i="25" s="1"/>
  <c r="M112" i="9" s="1"/>
  <c r="M130" i="9" s="1"/>
  <c r="N130" i="9" l="1"/>
  <c r="N135" i="9" s="1"/>
  <c r="M135" i="9"/>
  <c r="M138" i="9" s="1"/>
  <c r="N138" i="9" s="1"/>
  <c r="BO122" i="25"/>
  <c r="O114" i="9" s="1"/>
  <c r="BM124" i="25"/>
  <c r="M116" i="9" s="1"/>
  <c r="N116" i="9" s="1"/>
  <c r="O43" i="9"/>
  <c r="BO111" i="25"/>
  <c r="BO116" i="25" s="1"/>
  <c r="O104" i="9"/>
  <c r="O109" i="9" s="1"/>
  <c r="O42" i="9"/>
  <c r="O44" i="9"/>
  <c r="BM132" i="25" l="1"/>
  <c r="M124" i="9" s="1"/>
  <c r="BO124" i="25"/>
  <c r="O130" i="9"/>
  <c r="O135" i="9" s="1"/>
  <c r="BO132" i="25" l="1"/>
  <c r="O124" i="9" s="1"/>
  <c r="O116" i="9"/>
  <c r="N8" i="46"/>
  <c r="O138" i="9" l="1"/>
  <c r="O8" i="46"/>
  <c r="N11" i="46"/>
  <c r="N18" i="46" l="1"/>
  <c r="O11" i="46"/>
  <c r="O18" i="4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HILL Shelley</author>
  </authors>
  <commentList>
    <comment ref="AU12" authorId="0" shapeId="0" xr:uid="{00000000-0006-0000-2100-000001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July includes June bill
</t>
        </r>
      </text>
    </comment>
    <comment ref="AU34" authorId="0" shapeId="0" xr:uid="{00000000-0006-0000-2100-000002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July includes June bill
</t>
        </r>
      </text>
    </comment>
    <comment ref="AU48" authorId="0" shapeId="0" xr:uid="{00000000-0006-0000-2100-000003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July includes June bill
</t>
        </r>
      </text>
    </comment>
    <comment ref="AU79" authorId="0" shapeId="0" xr:uid="{00000000-0006-0000-2100-000004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July includes June bill
</t>
        </r>
      </text>
    </comment>
    <comment ref="AU88" authorId="0" shapeId="0" xr:uid="{00000000-0006-0000-2100-000005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July includes June bill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HILL Shelley</author>
  </authors>
  <commentList>
    <comment ref="BK94" authorId="0" shapeId="0" xr:uid="{00000000-0006-0000-2B00-000001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used Wapekeka kWh's
Oba does not have Std A customers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HILL Shelley</author>
  </authors>
  <commentList>
    <comment ref="BJ75" authorId="0" shapeId="0" xr:uid="{00000000-0006-0000-2D00-000001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4 new teacherages </t>
        </r>
      </text>
    </comment>
    <comment ref="BJ86" authorId="0" shapeId="0" xr:uid="{00000000-0006-0000-2D00-000002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add new school, less monthly average for additional customer
</t>
        </r>
      </text>
    </comment>
  </commentList>
</comments>
</file>

<file path=xl/sharedStrings.xml><?xml version="1.0" encoding="utf-8"?>
<sst xmlns="http://schemas.openxmlformats.org/spreadsheetml/2006/main" count="6787" uniqueCount="249">
  <si>
    <t xml:space="preserve">Hydro One Remote Communities </t>
  </si>
  <si>
    <t>Load Forecast - Bridge Year</t>
  </si>
  <si>
    <t xml:space="preserve"> </t>
  </si>
  <si>
    <t>Actual</t>
  </si>
  <si>
    <t>Budget</t>
  </si>
  <si>
    <t>Jan A</t>
  </si>
  <si>
    <t>Feb A</t>
  </si>
  <si>
    <t>Mar A</t>
  </si>
  <si>
    <t>Apr B</t>
  </si>
  <si>
    <t>May B</t>
  </si>
  <si>
    <t>Jun B</t>
  </si>
  <si>
    <t>Jul B</t>
  </si>
  <si>
    <t>Aug B</t>
  </si>
  <si>
    <t>Sept B</t>
  </si>
  <si>
    <t>Oct B</t>
  </si>
  <si>
    <t>Nov B</t>
  </si>
  <si>
    <t>Dec B</t>
  </si>
  <si>
    <t xml:space="preserve">Total </t>
  </si>
  <si>
    <t>Billed kWh</t>
  </si>
  <si>
    <t>Non-Standard A (kWh sold)</t>
  </si>
  <si>
    <t>Streetlight (kWH sold)</t>
  </si>
  <si>
    <t>Non-Standard A - Unbilled (kWh sold)</t>
  </si>
  <si>
    <t>Standard A (kWh sold)</t>
  </si>
  <si>
    <t>Standard A - Unbilled (kWh sold)</t>
  </si>
  <si>
    <t xml:space="preserve">Subtotal kWh </t>
  </si>
  <si>
    <t>Non Standard "A' Grid Connection</t>
  </si>
  <si>
    <t>Non Standard "A' Grid Connection - Unbilled</t>
  </si>
  <si>
    <t xml:space="preserve"> Standard "A" Grid Connection</t>
  </si>
  <si>
    <t>Standard "A" Grid Connection - Unbilled</t>
  </si>
  <si>
    <t>Subtotal kWh - Grid</t>
  </si>
  <si>
    <t>Total kWh</t>
  </si>
  <si>
    <t>Load Forecast - Test Year</t>
  </si>
  <si>
    <t>Summary</t>
  </si>
  <si>
    <t>kWh and Revenue by Class by Month</t>
  </si>
  <si>
    <t>kWh and Revenue by Class by Year</t>
  </si>
  <si>
    <t>April to December 2022</t>
  </si>
  <si>
    <t xml:space="preserve">January 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</si>
  <si>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</si>
  <si>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</si>
  <si>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</si>
  <si>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</si>
  <si>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</si>
  <si>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</si>
  <si>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</si>
  <si>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</si>
  <si>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</si>
  <si>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</si>
  <si>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</si>
  <si>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Remote Non Standard A  Year Round Service (Off Grid)</t>
  </si>
  <si>
    <t xml:space="preserve">Number of Customers </t>
  </si>
  <si>
    <t xml:space="preserve">First 1,000 kWh </t>
  </si>
  <si>
    <t xml:space="preserve">Next 1,500 kWh </t>
  </si>
  <si>
    <t xml:space="preserve">All Additional kWh </t>
  </si>
  <si>
    <t>Remote Non Standard A  Year Round Service (Grid)</t>
  </si>
  <si>
    <t>Average kWh per customer</t>
  </si>
  <si>
    <t xml:space="preserve">Non Standard A Seasonal Residential Service </t>
  </si>
  <si>
    <t xml:space="preserve">Non Standard A General Service Single Phase Service </t>
  </si>
  <si>
    <t xml:space="preserve">First 6,000 kWh </t>
  </si>
  <si>
    <t xml:space="preserve">Next 7,000 kWh </t>
  </si>
  <si>
    <t>Non Standard A General Service Single Phase Service (Grid)</t>
  </si>
  <si>
    <t xml:space="preserve">Non Standard A General Service Three Phase Service </t>
  </si>
  <si>
    <t xml:space="preserve">First 25,000  kWh </t>
  </si>
  <si>
    <t xml:space="preserve">Next 15,000 kWh </t>
  </si>
  <si>
    <t>Non Standard A General Service Three Phase Service (Grid)</t>
  </si>
  <si>
    <t xml:space="preserve">Street Lighting Service </t>
  </si>
  <si>
    <t>Street Lighting Service - Grid</t>
  </si>
  <si>
    <t>Standard A Residential Road/Rail Access Service</t>
  </si>
  <si>
    <t xml:space="preserve">First 250  kWh </t>
  </si>
  <si>
    <t>Standard A Residential Air Access Service</t>
  </si>
  <si>
    <t xml:space="preserve">Standard A General Service Road/Rail Access Service </t>
  </si>
  <si>
    <t>Number of Customers</t>
  </si>
  <si>
    <t xml:space="preserve">Standard A General Service Air Access Service </t>
  </si>
  <si>
    <t>Standard A Grid Connected Service</t>
  </si>
  <si>
    <t>Customers</t>
  </si>
  <si>
    <t>Non Standard "A"</t>
  </si>
  <si>
    <t>Street Lighting</t>
  </si>
  <si>
    <t>Standard "A"</t>
  </si>
  <si>
    <t>Subtotal Customers - Off Grid</t>
  </si>
  <si>
    <t>Non Standard "A" Grid Connection</t>
  </si>
  <si>
    <t>Street Lighting - Grid Connection</t>
  </si>
  <si>
    <t>Standard "A" Grid Connection</t>
  </si>
  <si>
    <t>Subtotal Customers - Grid</t>
  </si>
  <si>
    <t>Total Customers</t>
  </si>
  <si>
    <t>kWh</t>
  </si>
  <si>
    <t>Subtotal Billed kWh Off Grid</t>
  </si>
  <si>
    <t>Subtotal Billed kWh Grid Connection</t>
  </si>
  <si>
    <t>Total Billed kWh</t>
  </si>
  <si>
    <t xml:space="preserve">Unbilled </t>
  </si>
  <si>
    <t>Non-Standard "A"</t>
  </si>
  <si>
    <t>Non-Standard "A" - prior month reversal</t>
  </si>
  <si>
    <t xml:space="preserve">Standard "A" - prior month reversal </t>
  </si>
  <si>
    <t>Subtotal  Unbilled - Off Grid</t>
  </si>
  <si>
    <t>Subtotal  Unbilled - Grid</t>
  </si>
  <si>
    <t>kWh Billed (Off Grid)</t>
  </si>
  <si>
    <t>Unbilled kWh</t>
  </si>
  <si>
    <t>Non Standard "A"  Grid Connection</t>
  </si>
  <si>
    <t>Total kWh, incl. Unbilled</t>
  </si>
  <si>
    <t>Customer Count</t>
  </si>
  <si>
    <t xml:space="preserve">May </t>
  </si>
  <si>
    <t>Armstrong</t>
  </si>
  <si>
    <t>Non Std A - Residential - Year Round</t>
  </si>
  <si>
    <t>Non Std A - Seasonal</t>
  </si>
  <si>
    <t>Non Std A - General Service 1-Phase</t>
  </si>
  <si>
    <t>Non Std A - General Service 3-Phase</t>
  </si>
  <si>
    <t>Std A - Residential - Road Access</t>
  </si>
  <si>
    <t>Std A - General Service - Road Access</t>
  </si>
  <si>
    <t>Std A - Residential - Air Access</t>
  </si>
  <si>
    <t>Std A - General Service - Air Accesss</t>
  </si>
  <si>
    <t>Biscotasing</t>
  </si>
  <si>
    <t>Gull Bay</t>
  </si>
  <si>
    <t>add 10 new customers in October, 10 new housing units</t>
  </si>
  <si>
    <t>Hillsport</t>
  </si>
  <si>
    <t>Oba</t>
  </si>
  <si>
    <t>Sultan</t>
  </si>
  <si>
    <t>Bearksin</t>
  </si>
  <si>
    <t>Big Trout</t>
  </si>
  <si>
    <t>4 teacherages (housing for teachers) Sept 2022</t>
  </si>
  <si>
    <t>new school Sept 2022, annual kWh 252801, 4 months in 2022</t>
  </si>
  <si>
    <t>annual kWH for new school</t>
  </si>
  <si>
    <t>Deer Lake</t>
  </si>
  <si>
    <t>6 new homes Oct 2021, 6 new homes July 2022</t>
  </si>
  <si>
    <t>Fort Severn</t>
  </si>
  <si>
    <t>Kasabonika</t>
  </si>
  <si>
    <t>10 teacherages Fall 2021</t>
  </si>
  <si>
    <t>new school January 2023</t>
  </si>
  <si>
    <t>Kingfisher</t>
  </si>
  <si>
    <t>10 teacherages Fall 2023</t>
  </si>
  <si>
    <t>new school Sept 2023</t>
  </si>
  <si>
    <t>Lansdowne</t>
  </si>
  <si>
    <t>firehall/garage Oct 2021</t>
  </si>
  <si>
    <t>Marten Falls</t>
  </si>
  <si>
    <t>Sachigo</t>
  </si>
  <si>
    <t>Sandy Lake</t>
  </si>
  <si>
    <t>firehall July 2021</t>
  </si>
  <si>
    <t xml:space="preserve">Wapekeka </t>
  </si>
  <si>
    <t>8 teacherages Sept 2022</t>
  </si>
  <si>
    <t>new school Sept 2022</t>
  </si>
  <si>
    <t>Weagamow</t>
  </si>
  <si>
    <t>7 teacherages Sept. 2022</t>
  </si>
  <si>
    <t>new school Sept. 2022</t>
  </si>
  <si>
    <t xml:space="preserve">Webequie </t>
  </si>
  <si>
    <t>Pikangikum</t>
  </si>
  <si>
    <t>15-20 connections in 2021 (average 18) 9 in August  &amp; Sept , 15-20 2022 (average 18), add in July</t>
  </si>
  <si>
    <t>STD A GS Grid Connect</t>
  </si>
  <si>
    <t>Cat Lake (Deer Lake)</t>
  </si>
  <si>
    <t>increase residential customers by 5% in year of grid connection</t>
  </si>
  <si>
    <t>Poplar Hill (Kingfisher)</t>
  </si>
  <si>
    <t>Muskrat Dam (Wapekeka)</t>
  </si>
  <si>
    <t>Wawakepewin (Oba)</t>
  </si>
  <si>
    <t>STD A GS Grid Connect (Wapekeka)</t>
  </si>
  <si>
    <t xml:space="preserve">used number from IPA tab, OBA does not have Std A customers </t>
  </si>
  <si>
    <t xml:space="preserve">North Spirit (Kingfisher) </t>
  </si>
  <si>
    <t>Keewaywin (Wapekeka)</t>
  </si>
  <si>
    <t>Wunnimin (Sachigo)</t>
  </si>
  <si>
    <t>kWh Blocks by Rate Category</t>
  </si>
  <si>
    <t xml:space="preserve">June </t>
  </si>
  <si>
    <t>March</t>
  </si>
  <si>
    <t xml:space="preserve">Remote Non Standard A  Year Round Service </t>
  </si>
  <si>
    <t>This table feeds to the Community tabs</t>
  </si>
  <si>
    <t>Load Forecast Data - kWh Average &amp; Streetlights</t>
  </si>
  <si>
    <t>kWh Per Customer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</si>
  <si>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</si>
  <si>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</si>
  <si>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</si>
  <si>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</si>
  <si>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</si>
  <si>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</si>
  <si>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</si>
  <si>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</si>
  <si>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</si>
  <si>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</si>
  <si>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</si>
  <si>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Average</t>
  </si>
  <si>
    <t>ARMSTRONG RR (Incls. Collins, Whitesand)</t>
  </si>
  <si>
    <t>ARMSTRONG RR</t>
  </si>
  <si>
    <t>Remote Non-Std A Year Round Res Service Average</t>
  </si>
  <si>
    <t>Remote Non-Std A Seasonal Res Service Average</t>
  </si>
  <si>
    <t>Remote General Service - G1 - Single Ph Average</t>
  </si>
  <si>
    <t>Remote General Service - G3 Three Phase Average</t>
  </si>
  <si>
    <t>Remote STDA RES Road/Rail  Average</t>
  </si>
  <si>
    <t>Remote STDA RES Air Access Average</t>
  </si>
  <si>
    <t>Remote STD A GS Road/Rail Average</t>
  </si>
  <si>
    <t>Remote STD A GS Air Access Average</t>
  </si>
  <si>
    <t>Remotes STD A GS Grid-Connect Average</t>
  </si>
  <si>
    <t>BEARSKIN LAKE FN</t>
  </si>
  <si>
    <t>BIG TROUT LAKE FN</t>
  </si>
  <si>
    <t>BISCOTASING RR</t>
  </si>
  <si>
    <t>DEER LAKE FN</t>
  </si>
  <si>
    <t>FORT SEVERN FN</t>
  </si>
  <si>
    <t>GULL BAY FN</t>
  </si>
  <si>
    <t>HILLSPORT RR</t>
  </si>
  <si>
    <t>KASABONIKA FN</t>
  </si>
  <si>
    <t>KINGFISHER FN</t>
  </si>
  <si>
    <t>LANSDOWNE HOUSE FN</t>
  </si>
  <si>
    <t>MARTEN FALLS FN</t>
  </si>
  <si>
    <t>OBARR</t>
  </si>
  <si>
    <t>PIKANGIKUM FN</t>
  </si>
  <si>
    <t>SACHIGO LAKE FN</t>
  </si>
  <si>
    <t>SANDY LAKE FN</t>
  </si>
  <si>
    <t>SULTAN RR</t>
  </si>
  <si>
    <t>WAPEKEKA FN</t>
  </si>
  <si>
    <t>WEAGAMOW FN</t>
  </si>
  <si>
    <t>WEBEQUIE FN</t>
  </si>
  <si>
    <t>Streetlights (in kWhs)</t>
  </si>
  <si>
    <t>Load Forecast</t>
  </si>
  <si>
    <t>May increased rates</t>
  </si>
  <si>
    <t>Armstrong (incls. Collins, Whitesand)</t>
  </si>
  <si>
    <t>2021 Projection</t>
  </si>
  <si>
    <t>January</t>
  </si>
  <si>
    <t>Total Revenue</t>
  </si>
  <si>
    <t>Street Lighting - Grid</t>
  </si>
  <si>
    <t>Street Lighting Grid</t>
  </si>
  <si>
    <t xml:space="preserve">Total Billed kWh </t>
  </si>
  <si>
    <t>Unbilled (# of days)</t>
  </si>
  <si>
    <t xml:space="preserve">kWh Billed </t>
  </si>
  <si>
    <t xml:space="preserve">2021 Projection </t>
  </si>
  <si>
    <t>kWh Billed</t>
  </si>
  <si>
    <t>Total Billed kWh - Grid</t>
  </si>
  <si>
    <t>Webequie</t>
  </si>
  <si>
    <t xml:space="preserve">Total Billed kWh  </t>
  </si>
  <si>
    <t>Bearskin Lake</t>
  </si>
  <si>
    <t xml:space="preserve">Months </t>
  </si>
  <si>
    <t>Annual kWh</t>
  </si>
  <si>
    <t>Grid</t>
  </si>
  <si>
    <t xml:space="preserve">Off Grid </t>
  </si>
  <si>
    <t xml:space="preserve">Std A GS </t>
  </si>
  <si>
    <t>Std A Res.</t>
  </si>
  <si>
    <t>Grid Connection</t>
  </si>
  <si>
    <t>10 new teacherages</t>
  </si>
  <si>
    <t>New School (Sept-Dec)</t>
  </si>
  <si>
    <t xml:space="preserve">2022 kWh </t>
  </si>
  <si>
    <t>Muskrat Dam (similar to Wapekeka)</t>
  </si>
  <si>
    <t xml:space="preserve">Grid </t>
  </si>
  <si>
    <t>months</t>
  </si>
  <si>
    <t>North Spirit (similar to Kingfisher)</t>
  </si>
  <si>
    <t>Poplar Hill (similar to Kingfisher)</t>
  </si>
  <si>
    <t xml:space="preserve">Total Billed kWh -  </t>
  </si>
  <si>
    <t xml:space="preserve">Sept </t>
  </si>
  <si>
    <t>new school</t>
  </si>
  <si>
    <t xml:space="preserve">teacherages </t>
  </si>
  <si>
    <t>Wawakepewin (similar to Oba)</t>
  </si>
  <si>
    <t>Wunnumin (similar to Sachigo)</t>
  </si>
  <si>
    <t>Big Trout Lake</t>
  </si>
  <si>
    <t xml:space="preserve">add 8 additional months for new school </t>
  </si>
  <si>
    <t>Cat Lake (similar to Deer Lake)</t>
  </si>
  <si>
    <t>Keewaywin (similar to Wapekeka)</t>
  </si>
  <si>
    <t xml:space="preserve">new school </t>
  </si>
  <si>
    <t>Wapekeka</t>
  </si>
  <si>
    <t>add new school &amp; teacherages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</si>
</sst>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#,##0;&quot;\&quot;&quot;\&quot;&quot;\&quot;&quot;\&quot;\(#,##0&quot;\&quot;&quot;\&quot;&quot;\&quot;&quot;\&quot;\)"/>
    <numFmt numFmtId="168" formatCode="#,##0&quot;$&quot;_);\(#,##0&quot;$&quot;\)"/>
    <numFmt numFmtId="169" formatCode="&quot;\&quot;&quot;\&quot;&quot;\&quot;&quot;\&quot;\$#,##0.00;&quot;\&quot;&quot;\&quot;&quot;\&quot;&quot;\&quot;\(&quot;\&quot;&quot;\&quot;&quot;\&quot;&quot;\&quot;\$#,##0.00&quot;\&quot;&quot;\&quot;&quot;\&quot;&quot;\&quot;\)"/>
    <numFmt numFmtId="170" formatCode="&quot;$&quot;#,##0;[Red]&quot;$&quot;#,##0"/>
    <numFmt numFmtId="171" formatCode="&quot;\&quot;&quot;\&quot;&quot;\&quot;&quot;\&quot;\$#,##0;&quot;\&quot;&quot;\&quot;&quot;\&quot;&quot;\&quot;\(&quot;\&quot;&quot;\&quot;&quot;\&quot;&quot;\&quot;\$#,##0&quot;\&quot;&quot;\&quot;&quot;\&quot;&quot;\&quot;\)"/>
    <numFmt numFmtId="172" formatCode="000000"/>
    <numFmt numFmtId="173" formatCode="&quot;$&quot;#,##0.00;\-&quot;$&quot;#,##0.00"/>
    <numFmt numFmtId="174" formatCode="_(* #,##0.000000_);_(* \(#,##0.000000\);_(* &quot;-&quot;??_);_(@_)"/>
    <numFmt numFmtId="175" formatCode="_(* #,##0.0_);_(* \(#,##0.0\);_(* &quot;-&quot;??_);_(@_)"/>
    <numFmt numFmtId="176" formatCode="#,##0.0"/>
    <numFmt numFmtId="177" formatCode="&quot;$&quot;#,##0.0,_);[Red]\(&quot;$&quot;#,##0.0,\)"/>
    <numFmt numFmtId="178" formatCode="mm/dd/yyyy"/>
    <numFmt numFmtId="179" formatCode="0\-0"/>
    <numFmt numFmtId="180" formatCode="#,##0.00\ &quot;DM&quot;;\-#,##0.00\ &quot;DM&quot;"/>
    <numFmt numFmtId="181" formatCode="#,##0.0_);\(#,##0.0\)"/>
    <numFmt numFmtId="182" formatCode="#,##0.00000_);\(#,##0.00000\)"/>
    <numFmt numFmtId="183" formatCode="0.0\x"/>
    <numFmt numFmtId="184" formatCode="#,##0.000_);\(#,##0.000\)"/>
    <numFmt numFmtId="185" formatCode="m\-d"/>
    <numFmt numFmtId="186" formatCode="#,##0,_);[Red]\(#,##0,\)"/>
    <numFmt numFmtId="187" formatCode="#,##0.0000_);\(#,##0.0000\)"/>
    <numFmt numFmtId="188" formatCode="#,##0.0_);[Red]\(#,##0.0\)"/>
    <numFmt numFmtId="189" formatCode="#,##0;\-#,##0;&quot;-&quot;"/>
    <numFmt numFmtId="190" formatCode="_-* #,##0\ _F_-;\-* #,##0\ _F_-;_-* &quot;-&quot;\ _F_-;_-@_-"/>
    <numFmt numFmtId="191" formatCode="_-* #,##0\ &quot;F&quot;_-;\-* #,##0\ &quot;F&quot;_-;_-* &quot;-&quot;\ &quot;F&quot;_-;_-@_-"/>
    <numFmt numFmtId="192" formatCode="0.000_)"/>
    <numFmt numFmtId="193" formatCode="_-* #,##0.00_-;\-* #,##0.00_-;_-* &quot;-&quot;??_-;_-@_-"/>
    <numFmt numFmtId="194" formatCode="&quot;$&quot;#,##0.00\ ;\(&quot;$&quot;#,##0.00\)"/>
    <numFmt numFmtId="195" formatCode="_(&quot;$&quot;* #,##0.0000_);_(&quot;$&quot;* \(#,##0.0000\);_(&quot;$&quot;* &quot;-&quot;????_);_(@_)"/>
    <numFmt numFmtId="196" formatCode="&quot;$&quot;#,##0\ ;\(&quot;$&quot;#,##0\)"/>
    <numFmt numFmtId="197" formatCode="#,##0_);\(#,##0\);"/>
    <numFmt numFmtId="198" formatCode="_([$€-2]* #,##0.00_);_([$€-2]* \(#,##0.00\);_([$€-2]* &quot;-&quot;??_)"/>
    <numFmt numFmtId="199" formatCode="#,##0.000"/>
    <numFmt numFmtId="200" formatCode="#,##0.00&quot; $&quot;;\-#,##0.00&quot; $&quot;"/>
    <numFmt numFmtId="201" formatCode="&quot;$&quot;?,???,??0_);\(&quot;$&quot;?,???,??0\)"/>
    <numFmt numFmtId="202" formatCode="&quot;$&quot;#,##0.0_);[Red]\(&quot;$&quot;#,##0.0\)"/>
    <numFmt numFmtId="203" formatCode="##\-#"/>
    <numFmt numFmtId="204" formatCode="_-* #,##0\ _D_M_-;\-* #,##0\ _D_M_-;_-* &quot;-&quot;\ _D_M_-;_-@_-"/>
    <numFmt numFmtId="205" formatCode="_-* #,##0.00\ _D_M_-;\-* #,##0.00\ _D_M_-;_-* &quot;-&quot;??\ _D_M_-;_-@_-"/>
    <numFmt numFmtId="206" formatCode="_-* #,##0.00\ _F_-;\-* #,##0.00\ _F_-;_-* &quot;-&quot;??\ _F_-;_-@_-"/>
    <numFmt numFmtId="207" formatCode="_-* #,##0\ &quot;DM&quot;_-;\-* #,##0\ &quot;DM&quot;_-;_-* &quot;-&quot;\ &quot;DM&quot;_-;_-@_-"/>
    <numFmt numFmtId="208" formatCode="_-* #,##0.00\ &quot;DM&quot;_-;\-* #,##0.00\ &quot;DM&quot;_-;_-* &quot;-&quot;??\ &quot;DM&quot;_-;_-@_-"/>
    <numFmt numFmtId="209" formatCode="_-* #,##0.00\ &quot;F&quot;_-;\-* #,##0.00\ &quot;F&quot;_-;_-* &quot;-&quot;??\ &quot;F&quot;_-;_-@_-"/>
    <numFmt numFmtId="210" formatCode="#,##0\ &quot;DM&quot;;\-#,##0\ &quot;DM&quot;"/>
    <numFmt numFmtId="211" formatCode="_-&quot;$&quot;* #,##0.00_-;\-&quot;$&quot;* #,##0.00_-;_-&quot;$&quot;* &quot;-&quot;??_-;_-@_-"/>
    <numFmt numFmtId="212" formatCode="0000"/>
    <numFmt numFmtId="213" formatCode="#,##0\ &quot;DM&quot;;[Red]\-#,##0\ &quot;DM&quot;"/>
    <numFmt numFmtId="214" formatCode="0.0"/>
    <numFmt numFmtId="215" formatCode="0.0%;\(0.0%\)"/>
    <numFmt numFmtId="216" formatCode="#,##0.0_);\(#,##0.0\);"/>
    <numFmt numFmtId="217" formatCode="_-* #,##0.0_-;\-* #,##0.0_-;_-* &quot;-&quot;??_-;_-@_-"/>
    <numFmt numFmtId="218" formatCode="\A&quot;$&quot;#,##0_);\(\A&quot;$&quot;#,##0\)"/>
    <numFmt numFmtId="219" formatCode="mm/dd/yy"/>
    <numFmt numFmtId="220" formatCode="##,###,_);\(##,###,\);0,"/>
    <numFmt numFmtId="221" formatCode="000\-00\-0000"/>
    <numFmt numFmtId="222" formatCode="#,##0.00\ _$;[Red]\-#,##0.00\ _$"/>
    <numFmt numFmtId="223" formatCode="#,##0.0_);\(#,##0\);"/>
    <numFmt numFmtId="224" formatCode="#,##0.0_);\(#,##0.000\);"/>
    <numFmt numFmtId="225" formatCode="_-&quot;£&quot;* #,##0_-;\-&quot;£&quot;* #,##0_-;_-&quot;£&quot;* &quot;-&quot;_-;_-@_-"/>
    <numFmt numFmtId="226" formatCode="_-&quot;£&quot;* #,##0.00_-;\-&quot;£&quot;* #,##0.00_-;_-&quot;£&quot;* &quot;-&quot;??_-;_-@_-"/>
    <numFmt numFmtId="227" formatCode="0.00\x"/>
    <numFmt numFmtId="228" formatCode="_ * #,##0_ ;_ * \-#,##0_ ;_ * &quot;-&quot;_ ;_ @_ "/>
    <numFmt numFmtId="229" formatCode="_ * #,##0.00_ ;_ * \-#,##0.00_ ;_ * &quot;-&quot;??_ ;_ @_ "/>
    <numFmt numFmtId="230" formatCode="_-* #,##0_-;\-* #,##0_-;_-* &quot;-&quot;_-;_-@_-"/>
    <numFmt numFmtId="231" formatCode="_-&quot;\&quot;* #,##0.00_-;&quot;\&quot;&quot;\&quot;\-&quot;\&quot;* #,##0.00_-;_-&quot;\&quot;* &quot;-&quot;??_-;_-@_-"/>
    <numFmt numFmtId="232" formatCode="&quot;\&quot;#,##0.00;&quot;\&quot;&quot;\&quot;&quot;\&quot;&quot;\&quot;\-#,##0.00"/>
    <numFmt numFmtId="233" formatCode="_-* #,##0.00_-;&quot;\&quot;&quot;\&quot;\-* #,##0.00_-;_-* &quot;-&quot;??_-;_-@_-"/>
    <numFmt numFmtId="234" formatCode="&quot;\&quot;#,##0.00;[Red]&quot;\&quot;\-#,##0.00"/>
    <numFmt numFmtId="235" formatCode="&quot;\&quot;#,##0;[Red]&quot;\&quot;\-#,##0"/>
    <numFmt numFmtId="236" formatCode="&quot;\&quot;#,##0;[Red]&quot;\&quot;&quot;\&quot;&quot;\&quot;&quot;\&quot;\-#,##0"/>
    <numFmt numFmtId="237" formatCode="#,##0;[Red]&quot;-&quot;#,##0"/>
    <numFmt numFmtId="238" formatCode="&quot;\&quot;#,##0;&quot;\&quot;&quot;\&quot;&quot;\&quot;&quot;\&quot;\-#,##0"/>
    <numFmt numFmtId="239" formatCode="#,##0.00;[Red]&quot;-&quot;#,##0.00"/>
  </numFmts>
  <fonts count="16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6600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b/>
      <i/>
      <sz val="10"/>
      <name val="Arial"/>
      <family val="2"/>
    </font>
    <font>
      <sz val="10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8"/>
      <name val="Times New Roman"/>
      <family val="1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name val="Calibri"/>
      <family val="2"/>
      <scheme val="minor"/>
    </font>
    <font>
      <sz val="10"/>
      <color rgb="FF0000CC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9"/>
      <name val="Calibri"/>
      <family val="2"/>
    </font>
    <font>
      <sz val="12"/>
      <name val="Helv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name val="MS Serif"/>
      <family val="1"/>
    </font>
    <font>
      <sz val="8"/>
      <color indexed="8"/>
      <name val="Arial"/>
      <family val="2"/>
    </font>
    <font>
      <sz val="11"/>
      <color theme="1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color indexed="16"/>
      <name val="MS Serif"/>
      <family val="1"/>
    </font>
    <font>
      <i/>
      <sz val="11"/>
      <color rgb="FFFF0000"/>
      <name val="Calibri"/>
      <family val="2"/>
      <scheme val="minor"/>
    </font>
    <font>
      <sz val="12"/>
      <color indexed="12"/>
      <name val="Arial MT"/>
    </font>
    <font>
      <sz val="10"/>
      <color indexed="8"/>
      <name val="Geneva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b/>
      <sz val="9"/>
      <name val="Geneva"/>
      <family val="2"/>
    </font>
    <font>
      <b/>
      <sz val="24"/>
      <name val="Garamond"/>
      <family val="1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C00000"/>
      <name val="Calibri"/>
      <family val="2"/>
      <scheme val="minor"/>
    </font>
    <font>
      <sz val="11"/>
      <name val="Calibri"/>
      <family val="2"/>
    </font>
    <font>
      <sz val="11"/>
      <color rgb="FF00660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1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</font>
  </fonts>
  <fills count="9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rgb="FF808080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43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indexed="64"/>
      </top>
      <bottom/>
      <diagonal/>
    </border>
    <border>
      <left style="medium">
        <color auto="1"/>
      </left>
      <right style="medium">
        <color auto="1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/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4471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7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7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7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7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7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7" fillId="4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7" fillId="4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27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27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27" fillId="3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27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27" fillId="4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25" fillId="14" borderId="0" applyNumberFormat="0" applyBorder="0" applyAlignment="0" applyProtection="0"/>
    <xf numFmtId="0" fontId="28" fillId="45" borderId="0" applyNumberFormat="0" applyBorder="0" applyAlignment="0" applyProtection="0"/>
    <xf numFmtId="0" fontId="25" fillId="18" borderId="0" applyNumberFormat="0" applyBorder="0" applyAlignment="0" applyProtection="0"/>
    <xf numFmtId="0" fontId="28" fillId="42" borderId="0" applyNumberFormat="0" applyBorder="0" applyAlignment="0" applyProtection="0"/>
    <xf numFmtId="0" fontId="25" fillId="22" borderId="0" applyNumberFormat="0" applyBorder="0" applyAlignment="0" applyProtection="0"/>
    <xf numFmtId="0" fontId="28" fillId="43" borderId="0" applyNumberFormat="0" applyBorder="0" applyAlignment="0" applyProtection="0"/>
    <xf numFmtId="0" fontId="25" fillId="26" borderId="0" applyNumberFormat="0" applyBorder="0" applyAlignment="0" applyProtection="0"/>
    <xf numFmtId="0" fontId="28" fillId="46" borderId="0" applyNumberFormat="0" applyBorder="0" applyAlignment="0" applyProtection="0"/>
    <xf numFmtId="0" fontId="25" fillId="30" borderId="0" applyNumberFormat="0" applyBorder="0" applyAlignment="0" applyProtection="0"/>
    <xf numFmtId="0" fontId="28" fillId="47" borderId="0" applyNumberFormat="0" applyBorder="0" applyAlignment="0" applyProtection="0"/>
    <xf numFmtId="0" fontId="25" fillId="34" borderId="0" applyNumberFormat="0" applyBorder="0" applyAlignment="0" applyProtection="0"/>
    <xf numFmtId="0" fontId="28" fillId="48" borderId="0" applyNumberFormat="0" applyBorder="0" applyAlignment="0" applyProtection="0"/>
    <xf numFmtId="0" fontId="25" fillId="11" borderId="0" applyNumberFormat="0" applyBorder="0" applyAlignment="0" applyProtection="0"/>
    <xf numFmtId="0" fontId="28" fillId="49" borderId="0" applyNumberFormat="0" applyBorder="0" applyAlignment="0" applyProtection="0"/>
    <xf numFmtId="0" fontId="25" fillId="15" borderId="0" applyNumberFormat="0" applyBorder="0" applyAlignment="0" applyProtection="0"/>
    <xf numFmtId="0" fontId="28" fillId="50" borderId="0" applyNumberFormat="0" applyBorder="0" applyAlignment="0" applyProtection="0"/>
    <xf numFmtId="0" fontId="25" fillId="19" borderId="0" applyNumberFormat="0" applyBorder="0" applyAlignment="0" applyProtection="0"/>
    <xf numFmtId="0" fontId="28" fillId="51" borderId="0" applyNumberFormat="0" applyBorder="0" applyAlignment="0" applyProtection="0"/>
    <xf numFmtId="0" fontId="25" fillId="23" borderId="0" applyNumberFormat="0" applyBorder="0" applyAlignment="0" applyProtection="0"/>
    <xf numFmtId="0" fontId="28" fillId="46" borderId="0" applyNumberFormat="0" applyBorder="0" applyAlignment="0" applyProtection="0"/>
    <xf numFmtId="0" fontId="25" fillId="27" borderId="0" applyNumberFormat="0" applyBorder="0" applyAlignment="0" applyProtection="0"/>
    <xf numFmtId="0" fontId="28" fillId="47" borderId="0" applyNumberFormat="0" applyBorder="0" applyAlignment="0" applyProtection="0"/>
    <xf numFmtId="0" fontId="25" fillId="31" borderId="0" applyNumberFormat="0" applyBorder="0" applyAlignment="0" applyProtection="0"/>
    <xf numFmtId="0" fontId="28" fillId="52" borderId="0" applyNumberFormat="0" applyBorder="0" applyAlignment="0" applyProtection="0"/>
    <xf numFmtId="0" fontId="16" fillId="5" borderId="0" applyNumberFormat="0" applyBorder="0" applyAlignment="0" applyProtection="0"/>
    <xf numFmtId="0" fontId="29" fillId="36" borderId="0" applyNumberFormat="0" applyBorder="0" applyAlignment="0" applyProtection="0"/>
    <xf numFmtId="0" fontId="20" fillId="8" borderId="23" applyNumberFormat="0" applyAlignment="0" applyProtection="0"/>
    <xf numFmtId="0" fontId="30" fillId="53" borderId="29" applyNumberFormat="0" applyAlignment="0" applyProtection="0"/>
    <xf numFmtId="0" fontId="22" fillId="9" borderId="26" applyNumberFormat="0" applyAlignment="0" applyProtection="0"/>
    <xf numFmtId="0" fontId="31" fillId="54" borderId="30" applyNumberFormat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35" fillId="0" borderId="0"/>
    <xf numFmtId="167" fontId="35" fillId="0" borderId="0"/>
    <xf numFmtId="167" fontId="35" fillId="0" borderId="0"/>
    <xf numFmtId="168" fontId="1" fillId="0" borderId="0"/>
    <xf numFmtId="168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>
      <alignment vertical="top"/>
    </xf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35" fillId="0" borderId="0"/>
    <xf numFmtId="169" fontId="35" fillId="0" borderId="0"/>
    <xf numFmtId="169" fontId="35" fillId="0" borderId="0"/>
    <xf numFmtId="170" fontId="1" fillId="0" borderId="0"/>
    <xf numFmtId="170" fontId="1" fillId="0" borderId="0"/>
    <xf numFmtId="171" fontId="35" fillId="0" borderId="0"/>
    <xf numFmtId="171" fontId="35" fillId="0" borderId="0"/>
    <xf numFmtId="171" fontId="35" fillId="0" borderId="0"/>
    <xf numFmtId="172" fontId="1" fillId="0" borderId="0"/>
    <xf numFmtId="172" fontId="1" fillId="0" borderId="0"/>
    <xf numFmtId="0" fontId="2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37" fillId="37" borderId="0" applyNumberFormat="0" applyBorder="0" applyAlignment="0" applyProtection="0"/>
    <xf numFmtId="38" fontId="38" fillId="55" borderId="0" applyNumberFormat="0" applyBorder="0" applyAlignment="0" applyProtection="0"/>
    <xf numFmtId="38" fontId="38" fillId="55" borderId="0" applyNumberFormat="0" applyBorder="0" applyAlignment="0" applyProtection="0"/>
    <xf numFmtId="0" fontId="39" fillId="0" borderId="17" applyNumberFormat="0" applyAlignment="0" applyProtection="0">
      <alignment horizontal="left" vertical="center"/>
    </xf>
    <xf numFmtId="0" fontId="39" fillId="0" borderId="31">
      <alignment horizontal="left" vertical="center"/>
    </xf>
    <xf numFmtId="0" fontId="12" fillId="0" borderId="20" applyNumberFormat="0" applyFill="0" applyAlignment="0" applyProtection="0"/>
    <xf numFmtId="0" fontId="40" fillId="0" borderId="32" applyNumberFormat="0" applyFill="0" applyAlignment="0" applyProtection="0"/>
    <xf numFmtId="0" fontId="13" fillId="0" borderId="21" applyNumberFormat="0" applyFill="0" applyAlignment="0" applyProtection="0"/>
    <xf numFmtId="0" fontId="41" fillId="0" borderId="33" applyNumberFormat="0" applyFill="0" applyAlignment="0" applyProtection="0"/>
    <xf numFmtId="0" fontId="14" fillId="0" borderId="22" applyNumberFormat="0" applyFill="0" applyAlignment="0" applyProtection="0"/>
    <xf numFmtId="0" fontId="42" fillId="0" borderId="34" applyNumberFormat="0" applyFill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0" fontId="18" fillId="7" borderId="23" applyNumberFormat="0" applyAlignment="0" applyProtection="0"/>
    <xf numFmtId="0" fontId="43" fillId="40" borderId="29" applyNumberFormat="0" applyAlignment="0" applyProtection="0"/>
    <xf numFmtId="0" fontId="21" fillId="0" borderId="25" applyNumberFormat="0" applyFill="0" applyAlignment="0" applyProtection="0"/>
    <xf numFmtId="0" fontId="44" fillId="0" borderId="36" applyNumberFormat="0" applyFill="0" applyAlignment="0" applyProtection="0"/>
    <xf numFmtId="0" fontId="17" fillId="6" borderId="0" applyNumberFormat="0" applyBorder="0" applyAlignment="0" applyProtection="0"/>
    <xf numFmtId="0" fontId="45" fillId="57" borderId="0" applyNumberFormat="0" applyBorder="0" applyAlignment="0" applyProtection="0"/>
    <xf numFmtId="173" fontId="1" fillId="0" borderId="0"/>
    <xf numFmtId="173" fontId="1" fillId="0" borderId="0"/>
    <xf numFmtId="173" fontId="1" fillId="0" borderId="0"/>
    <xf numFmtId="174" fontId="1" fillId="0" borderId="0"/>
    <xf numFmtId="174" fontId="1" fillId="0" borderId="0"/>
    <xf numFmtId="173" fontId="1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1" fillId="58" borderId="3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7" fontId="35" fillId="0" borderId="0"/>
    <xf numFmtId="7" fontId="35" fillId="0" borderId="0"/>
    <xf numFmtId="37" fontId="46" fillId="59" borderId="0">
      <alignment horizontal="right"/>
    </xf>
    <xf numFmtId="37" fontId="46" fillId="59" borderId="0">
      <alignment horizontal="right"/>
    </xf>
    <xf numFmtId="0" fontId="19" fillId="8" borderId="24" applyNumberFormat="0" applyAlignment="0" applyProtection="0"/>
    <xf numFmtId="0" fontId="47" fillId="53" borderId="38" applyNumberFormat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15" fontId="48" fillId="0" borderId="0" applyFont="0" applyFill="0" applyBorder="0" applyAlignment="0" applyProtection="0"/>
    <xf numFmtId="15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0" fontId="49" fillId="0" borderId="39">
      <alignment horizontal="center"/>
    </xf>
    <xf numFmtId="0" fontId="49" fillId="0" borderId="39">
      <alignment horizontal="center"/>
    </xf>
    <xf numFmtId="3" fontId="48" fillId="0" borderId="0" applyFont="0" applyFill="0" applyBorder="0" applyAlignment="0" applyProtection="0"/>
    <xf numFmtId="3" fontId="48" fillId="0" borderId="0" applyFont="0" applyFill="0" applyBorder="0" applyAlignment="0" applyProtection="0"/>
    <xf numFmtId="0" fontId="48" fillId="60" borderId="0" applyNumberFormat="0" applyFont="0" applyBorder="0" applyAlignment="0" applyProtection="0"/>
    <xf numFmtId="0" fontId="48" fillId="60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1" fillId="0" borderId="40" applyNumberFormat="0" applyFill="0" applyAlignment="0" applyProtection="0"/>
    <xf numFmtId="0" fontId="2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76" fontId="1" fillId="0" borderId="0"/>
    <xf numFmtId="175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75" fontId="1" fillId="0" borderId="0"/>
    <xf numFmtId="175" fontId="1" fillId="0" borderId="0"/>
    <xf numFmtId="175" fontId="1" fillId="0" borderId="0"/>
    <xf numFmtId="177" fontId="35" fillId="0" borderId="0" applyFont="0" applyFill="0" applyBorder="0" applyAlignment="0" applyProtection="0">
      <protection locked="0"/>
    </xf>
    <xf numFmtId="166" fontId="56" fillId="0" borderId="0"/>
    <xf numFmtId="166" fontId="56" fillId="0" borderId="0"/>
    <xf numFmtId="178" fontId="1" fillId="0" borderId="0"/>
    <xf numFmtId="179" fontId="1" fillId="0" borderId="0"/>
    <xf numFmtId="178" fontId="1" fillId="0" borderId="0"/>
    <xf numFmtId="0" fontId="1" fillId="0" borderId="0"/>
    <xf numFmtId="42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57" fillId="0" borderId="0" applyFont="0" applyFill="0" applyBorder="0" applyAlignment="0" applyProtection="0"/>
    <xf numFmtId="0" fontId="58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59" fillId="0" borderId="0"/>
    <xf numFmtId="0" fontId="60" fillId="0" borderId="0"/>
    <xf numFmtId="0" fontId="61" fillId="0" borderId="0"/>
    <xf numFmtId="0" fontId="60" fillId="0" borderId="0"/>
    <xf numFmtId="0" fontId="62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1" fillId="0" borderId="0"/>
    <xf numFmtId="0" fontId="1" fillId="0" borderId="0"/>
    <xf numFmtId="0" fontId="59" fillId="0" borderId="0"/>
    <xf numFmtId="181" fontId="1" fillId="0" borderId="0" applyFont="0" applyFill="0" applyBorder="0" applyAlignment="0" applyProtection="0"/>
    <xf numFmtId="0" fontId="59" fillId="0" borderId="0"/>
    <xf numFmtId="0" fontId="59" fillId="0" borderId="0"/>
    <xf numFmtId="0" fontId="1" fillId="0" borderId="0"/>
    <xf numFmtId="0" fontId="61" fillId="0" borderId="0"/>
    <xf numFmtId="175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6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9" fillId="0" borderId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60" fillId="0" borderId="0"/>
    <xf numFmtId="0" fontId="60" fillId="0" borderId="0"/>
    <xf numFmtId="0" fontId="59" fillId="0" borderId="0"/>
    <xf numFmtId="0" fontId="59" fillId="0" borderId="0"/>
    <xf numFmtId="0" fontId="61" fillId="0" borderId="0"/>
    <xf numFmtId="0" fontId="5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59" fillId="0" borderId="0"/>
    <xf numFmtId="0" fontId="59" fillId="0" borderId="0"/>
    <xf numFmtId="0" fontId="1" fillId="0" borderId="0"/>
    <xf numFmtId="185" fontId="1" fillId="0" borderId="0" applyFont="0" applyFill="0" applyBorder="0" applyAlignment="0" applyProtection="0"/>
    <xf numFmtId="165" fontId="63" fillId="0" borderId="0" applyFont="0" applyFill="0" applyBorder="0" applyAlignment="0" applyProtection="0"/>
    <xf numFmtId="10" fontId="63" fillId="0" borderId="0" applyFont="0" applyFill="0" applyBorder="0" applyAlignment="0" applyProtection="0"/>
    <xf numFmtId="0" fontId="64" fillId="0" borderId="0"/>
    <xf numFmtId="186" fontId="35" fillId="0" borderId="0" applyFont="0" applyFill="0" applyBorder="0" applyAlignment="0" applyProtection="0">
      <protection locked="0"/>
    </xf>
    <xf numFmtId="0" fontId="6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2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2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7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2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2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2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2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7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2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2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2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2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7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2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2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2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2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7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2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2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2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2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7" fillId="39" borderId="0" applyNumberFormat="0" applyBorder="0" applyAlignment="0" applyProtection="0"/>
    <xf numFmtId="0" fontId="32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2" fillId="4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2" fillId="4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7" fillId="40" borderId="0" applyNumberFormat="0" applyBorder="0" applyAlignment="0" applyProtection="0"/>
    <xf numFmtId="0" fontId="32" fillId="4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6" fontId="62" fillId="0" borderId="0" applyFont="0" applyFill="0" applyBorder="0" applyAlignment="0" applyProtection="0"/>
    <xf numFmtId="8" fontId="62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32" fillId="4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32" fillId="4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7" fillId="41" borderId="0" applyNumberFormat="0" applyBorder="0" applyAlignment="0" applyProtection="0"/>
    <xf numFmtId="0" fontId="32" fillId="4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2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2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27" fillId="42" borderId="0" applyNumberFormat="0" applyBorder="0" applyAlignment="0" applyProtection="0"/>
    <xf numFmtId="0" fontId="32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2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2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27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2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2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32" fillId="3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32" fillId="3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27" fillId="38" borderId="0" applyNumberFormat="0" applyBorder="0" applyAlignment="0" applyProtection="0"/>
    <xf numFmtId="0" fontId="32" fillId="3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2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2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27" fillId="41" borderId="0" applyNumberFormat="0" applyBorder="0" applyAlignment="0" applyProtection="0"/>
    <xf numFmtId="0" fontId="32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32" fillId="4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32" fillId="4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27" fillId="44" borderId="0" applyNumberFormat="0" applyBorder="0" applyAlignment="0" applyProtection="0"/>
    <xf numFmtId="0" fontId="32" fillId="4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28" fillId="4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8" fillId="42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8" fillId="43" borderId="0" applyNumberFormat="0" applyBorder="0" applyAlignment="0" applyProtection="0"/>
    <xf numFmtId="0" fontId="25" fillId="22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28" fillId="46" borderId="0" applyNumberFormat="0" applyBorder="0" applyAlignment="0" applyProtection="0"/>
    <xf numFmtId="0" fontId="25" fillId="2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28" fillId="47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8" fillId="48" borderId="0" applyNumberFormat="0" applyBorder="0" applyAlignment="0" applyProtection="0"/>
    <xf numFmtId="0" fontId="25" fillId="34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2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0" fillId="0" borderId="0"/>
    <xf numFmtId="0" fontId="62" fillId="0" borderId="0"/>
    <xf numFmtId="0" fontId="61" fillId="0" borderId="0"/>
    <xf numFmtId="0" fontId="62" fillId="0" borderId="0"/>
    <xf numFmtId="0" fontId="62" fillId="0" borderId="0"/>
    <xf numFmtId="0" fontId="6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6" fillId="0" borderId="12" applyBorder="0"/>
    <xf numFmtId="0" fontId="28" fillId="49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8" fillId="50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8" fillId="51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8" fillId="46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8" fillId="4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8" fillId="52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8" fillId="0" borderId="0" applyNumberFormat="0" applyAlignment="0"/>
    <xf numFmtId="187" fontId="1" fillId="61" borderId="41">
      <alignment horizontal="center" vertical="center"/>
    </xf>
    <xf numFmtId="0" fontId="46" fillId="0" borderId="0">
      <alignment horizontal="center" wrapText="1"/>
      <protection locked="0"/>
    </xf>
    <xf numFmtId="3" fontId="67" fillId="0" borderId="0" applyNumberFormat="0" applyFill="0" applyBorder="0" applyAlignment="0" applyProtection="0"/>
    <xf numFmtId="3" fontId="68" fillId="0" borderId="0" applyNumberFormat="0" applyFill="0" applyBorder="0" applyAlignment="0" applyProtection="0"/>
    <xf numFmtId="0" fontId="69" fillId="0" borderId="0" applyNumberFormat="0" applyProtection="0"/>
    <xf numFmtId="0" fontId="70" fillId="0" borderId="0">
      <alignment horizontal="center" vertical="center"/>
    </xf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71" fillId="62" borderId="35" applyBorder="0">
      <alignment horizontal="center"/>
    </xf>
    <xf numFmtId="0" fontId="71" fillId="62" borderId="35" applyBorder="0">
      <alignment horizontal="center"/>
    </xf>
    <xf numFmtId="0" fontId="71" fillId="63" borderId="35" applyBorder="0">
      <alignment horizontal="center"/>
    </xf>
    <xf numFmtId="0" fontId="71" fillId="63" borderId="35" applyBorder="0">
      <alignment horizontal="center"/>
    </xf>
    <xf numFmtId="0" fontId="72" fillId="0" borderId="0" applyNumberFormat="0" applyFill="0" applyBorder="0" applyAlignment="0" applyProtection="0"/>
    <xf numFmtId="188" fontId="73" fillId="0" borderId="0" applyNumberFormat="0" applyFill="0" applyBorder="0" applyAlignment="0"/>
    <xf numFmtId="5" fontId="49" fillId="0" borderId="10" applyAlignment="0" applyProtection="0"/>
    <xf numFmtId="5" fontId="49" fillId="0" borderId="10" applyAlignment="0" applyProtection="0"/>
    <xf numFmtId="0" fontId="39" fillId="0" borderId="15">
      <alignment horizontal="centerContinuous" vertical="center"/>
    </xf>
    <xf numFmtId="0" fontId="3" fillId="0" borderId="35">
      <alignment horizontal="left" vertical="center"/>
    </xf>
    <xf numFmtId="0" fontId="3" fillId="0" borderId="35">
      <alignment horizontal="left" vertical="center"/>
    </xf>
    <xf numFmtId="181" fontId="3" fillId="0" borderId="35">
      <alignment horizontal="right" vertical="center"/>
    </xf>
    <xf numFmtId="181" fontId="3" fillId="0" borderId="35">
      <alignment horizontal="right" vertical="center"/>
    </xf>
    <xf numFmtId="189" fontId="27" fillId="0" borderId="0" applyFill="0" applyBorder="0" applyAlignment="0"/>
    <xf numFmtId="190" fontId="1" fillId="0" borderId="0" applyFill="0" applyBorder="0" applyAlignment="0"/>
    <xf numFmtId="191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0" fontId="20" fillId="8" borderId="23" applyNumberFormat="0" applyAlignment="0" applyProtection="0"/>
    <xf numFmtId="0" fontId="74" fillId="53" borderId="29" applyNumberFormat="0" applyAlignment="0" applyProtection="0"/>
    <xf numFmtId="0" fontId="74" fillId="53" borderId="29" applyNumberFormat="0" applyAlignment="0" applyProtection="0"/>
    <xf numFmtId="0" fontId="20" fillId="8" borderId="23" applyNumberFormat="0" applyAlignment="0" applyProtection="0"/>
    <xf numFmtId="1" fontId="75" fillId="0" borderId="0">
      <alignment horizontal="center"/>
      <protection locked="0"/>
    </xf>
    <xf numFmtId="2" fontId="76" fillId="0" borderId="12" applyBorder="0" applyAlignment="0" applyProtection="0">
      <alignment horizontal="center"/>
      <protection locked="0"/>
    </xf>
    <xf numFmtId="1" fontId="76" fillId="0" borderId="0">
      <alignment horizontal="center"/>
      <protection locked="0"/>
    </xf>
    <xf numFmtId="0" fontId="22" fillId="9" borderId="26" applyNumberFormat="0" applyAlignment="0" applyProtection="0"/>
    <xf numFmtId="0" fontId="22" fillId="9" borderId="26" applyNumberFormat="0" applyAlignment="0" applyProtection="0"/>
    <xf numFmtId="0" fontId="1" fillId="0" borderId="0" applyNumberFormat="0" applyFont="0" applyBorder="0" applyAlignment="0" applyProtection="0"/>
    <xf numFmtId="188" fontId="77" fillId="0" borderId="35" applyBorder="0"/>
    <xf numFmtId="188" fontId="77" fillId="0" borderId="35" applyBorder="0"/>
    <xf numFmtId="0" fontId="78" fillId="0" borderId="12" applyNumberFormat="0" applyFill="0" applyProtection="0">
      <alignment horizontal="center"/>
    </xf>
    <xf numFmtId="38" fontId="79" fillId="0" borderId="0" applyNumberFormat="0" applyFill="0" applyBorder="0" applyAlignment="0" applyProtection="0">
      <protection locked="0"/>
    </xf>
    <xf numFmtId="38" fontId="80" fillId="0" borderId="0" applyNumberFormat="0" applyFill="0" applyBorder="0" applyAlignment="0" applyProtection="0">
      <protection locked="0"/>
    </xf>
    <xf numFmtId="38" fontId="81" fillId="0" borderId="0" applyNumberFormat="0" applyFill="0" applyBorder="0" applyAlignment="0" applyProtection="0">
      <protection locked="0"/>
    </xf>
    <xf numFmtId="192" fontId="82" fillId="0" borderId="0"/>
    <xf numFmtId="192" fontId="82" fillId="0" borderId="0"/>
    <xf numFmtId="192" fontId="82" fillId="0" borderId="0"/>
    <xf numFmtId="192" fontId="82" fillId="0" borderId="0"/>
    <xf numFmtId="192" fontId="82" fillId="0" borderId="0"/>
    <xf numFmtId="192" fontId="82" fillId="0" borderId="0"/>
    <xf numFmtId="192" fontId="82" fillId="0" borderId="0"/>
    <xf numFmtId="192" fontId="82" fillId="0" borderId="0"/>
    <xf numFmtId="188" fontId="35" fillId="0" borderId="0" applyFont="0" applyFill="0" applyBorder="0" applyAlignment="0" applyProtection="0">
      <protection locked="0"/>
    </xf>
    <xf numFmtId="40" fontId="35" fillId="0" borderId="0" applyFont="0" applyFill="0" applyBorder="0" applyAlignment="0" applyProtection="0">
      <protection locked="0"/>
    </xf>
    <xf numFmtId="190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19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35" fillId="0" borderId="0"/>
    <xf numFmtId="37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39" fontId="63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83" fillId="0" borderId="0" applyNumberFormat="0" applyAlignment="0">
      <alignment horizontal="left"/>
    </xf>
    <xf numFmtId="6" fontId="35" fillId="0" borderId="0" applyFont="0" applyFill="0" applyBorder="0" applyAlignment="0" applyProtection="0">
      <protection locked="0"/>
    </xf>
    <xf numFmtId="8" fontId="35" fillId="0" borderId="0" applyFont="0" applyFill="0" applyBorder="0" applyAlignment="0" applyProtection="0">
      <protection locked="0"/>
    </xf>
    <xf numFmtId="19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44" fontId="34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44" fontId="34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44" fontId="1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5" fontId="84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63" fillId="0" borderId="0" applyFont="0" applyFill="0" applyBorder="0" applyAlignment="0" applyProtection="0"/>
    <xf numFmtId="7" fontId="63" fillId="0" borderId="0" applyFont="0" applyFill="0" applyBorder="0" applyAlignment="0" applyProtection="0"/>
    <xf numFmtId="196" fontId="1" fillId="0" borderId="0" applyFont="0" applyFill="0" applyBorder="0" applyAlignment="0" applyProtection="0"/>
    <xf numFmtId="170" fontId="1" fillId="0" borderId="0"/>
    <xf numFmtId="170" fontId="1" fillId="0" borderId="0"/>
    <xf numFmtId="0" fontId="35" fillId="0" borderId="0"/>
    <xf numFmtId="14" fontId="38" fillId="0" borderId="0" applyFont="0" applyFill="0" applyBorder="0" applyAlignment="0" applyProtection="0"/>
    <xf numFmtId="0" fontId="1" fillId="0" borderId="0" applyFont="0" applyFill="0" applyBorder="0" applyAlignment="0" applyProtection="0"/>
    <xf numFmtId="14" fontId="27" fillId="0" borderId="0" applyFill="0" applyBorder="0" applyAlignment="0"/>
    <xf numFmtId="17" fontId="39" fillId="0" borderId="16" applyNumberFormat="0">
      <alignment horizontal="centerContinuous"/>
    </xf>
    <xf numFmtId="197" fontId="1" fillId="0" borderId="0" applyFont="0" applyFill="0" applyBorder="0" applyProtection="0">
      <alignment horizontal="left"/>
    </xf>
    <xf numFmtId="0" fontId="86" fillId="0" borderId="0"/>
    <xf numFmtId="181" fontId="87" fillId="0" borderId="0" applyFont="0" applyFill="0" applyBorder="0" applyAlignment="0" applyProtection="0">
      <protection locked="0"/>
    </xf>
    <xf numFmtId="39" fontId="88" fillId="0" borderId="0" applyFont="0" applyFill="0" applyBorder="0" applyAlignment="0" applyProtection="0"/>
    <xf numFmtId="184" fontId="46" fillId="0" borderId="0" applyFont="0" applyFill="0" applyBorder="0" applyAlignment="0"/>
    <xf numFmtId="38" fontId="48" fillId="0" borderId="42">
      <alignment vertical="center"/>
    </xf>
    <xf numFmtId="42" fontId="1" fillId="59" borderId="43" applyNumberFormat="0" applyFont="0" applyAlignment="0">
      <alignment vertical="top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0" fontId="35" fillId="0" borderId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0" fontId="89" fillId="0" borderId="0" applyNumberFormat="0" applyAlignment="0">
      <alignment horizontal="left"/>
    </xf>
    <xf numFmtId="0" fontId="90" fillId="65" borderId="0"/>
    <xf numFmtId="198" fontId="3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99" fontId="91" fillId="0" borderId="0" applyFont="0" applyFill="0" applyBorder="0">
      <alignment horizontal="right"/>
      <protection locked="0"/>
    </xf>
    <xf numFmtId="0" fontId="92" fillId="66" borderId="0">
      <alignment horizontal="right"/>
    </xf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71" fillId="43" borderId="35" applyBorder="0">
      <alignment horizontal="center"/>
    </xf>
    <xf numFmtId="0" fontId="71" fillId="43" borderId="35" applyBorder="0">
      <alignment horizontal="center"/>
    </xf>
    <xf numFmtId="0" fontId="71" fillId="67" borderId="35" applyBorder="0">
      <alignment horizontal="center"/>
    </xf>
    <xf numFmtId="0" fontId="71" fillId="67" borderId="35" applyBorder="0">
      <alignment horizontal="center"/>
    </xf>
    <xf numFmtId="38" fontId="38" fillId="55" borderId="0" applyNumberFormat="0" applyBorder="0" applyAlignment="0" applyProtection="0"/>
    <xf numFmtId="38" fontId="38" fillId="55" borderId="0" applyNumberFormat="0" applyBorder="0" applyAlignment="0" applyProtection="0"/>
    <xf numFmtId="0" fontId="66" fillId="0" borderId="0" applyNumberFormat="0">
      <alignment vertical="top" wrapText="1"/>
    </xf>
    <xf numFmtId="0" fontId="66" fillId="0" borderId="0">
      <alignment horizontal="center" vertical="top" wrapText="1"/>
    </xf>
    <xf numFmtId="0" fontId="66" fillId="0" borderId="0">
      <alignment horizontal="left" vertical="top" wrapText="1"/>
    </xf>
    <xf numFmtId="14" fontId="66" fillId="0" borderId="0">
      <alignment horizontal="center" vertical="top" wrapText="1"/>
    </xf>
    <xf numFmtId="7" fontId="66" fillId="0" borderId="0">
      <alignment horizontal="right" vertical="top" wrapText="1"/>
    </xf>
    <xf numFmtId="0" fontId="93" fillId="0" borderId="0" applyNumberFormat="0" applyFill="0" applyBorder="0" applyAlignment="0" applyProtection="0"/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2" fillId="0" borderId="20" applyNumberFormat="0" applyFill="0" applyAlignment="0" applyProtection="0"/>
    <xf numFmtId="0" fontId="94" fillId="0" borderId="0" applyNumberFormat="0" applyFill="0" applyBorder="0" applyAlignment="0" applyProtection="0"/>
    <xf numFmtId="0" fontId="95" fillId="0" borderId="32" applyNumberFormat="0" applyFill="0" applyAlignment="0" applyProtection="0"/>
    <xf numFmtId="0" fontId="12" fillId="0" borderId="20" applyNumberFormat="0" applyFill="0" applyAlignment="0" applyProtection="0"/>
    <xf numFmtId="0" fontId="94" fillId="0" borderId="0" applyNumberFormat="0" applyFill="0" applyBorder="0" applyAlignment="0" applyProtection="0"/>
    <xf numFmtId="0" fontId="95" fillId="0" borderId="32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3" fillId="0" borderId="21" applyNumberFormat="0" applyFill="0" applyAlignment="0" applyProtection="0"/>
    <xf numFmtId="0" fontId="39" fillId="0" borderId="0" applyNumberFormat="0" applyFill="0" applyBorder="0" applyAlignment="0" applyProtection="0"/>
    <xf numFmtId="0" fontId="96" fillId="0" borderId="33" applyNumberFormat="0" applyFill="0" applyAlignment="0" applyProtection="0"/>
    <xf numFmtId="0" fontId="13" fillId="0" borderId="21" applyNumberFormat="0" applyFill="0" applyAlignment="0" applyProtection="0"/>
    <xf numFmtId="0" fontId="39" fillId="0" borderId="0" applyNumberFormat="0" applyFill="0" applyBorder="0" applyAlignment="0" applyProtection="0"/>
    <xf numFmtId="0" fontId="96" fillId="0" borderId="3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22" applyNumberFormat="0" applyFill="0" applyAlignment="0" applyProtection="0"/>
    <xf numFmtId="0" fontId="14" fillId="0" borderId="22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200" fontId="1" fillId="0" borderId="0">
      <protection locked="0"/>
    </xf>
    <xf numFmtId="200" fontId="1" fillId="0" borderId="0">
      <protection locked="0"/>
    </xf>
    <xf numFmtId="201" fontId="97" fillId="0" borderId="0">
      <alignment horizontal="left"/>
    </xf>
    <xf numFmtId="0" fontId="98" fillId="0" borderId="39">
      <alignment horizontal="center"/>
    </xf>
    <xf numFmtId="0" fontId="98" fillId="0" borderId="0">
      <alignment horizontal="center"/>
    </xf>
    <xf numFmtId="0" fontId="99" fillId="0" borderId="12" applyFill="0" applyBorder="0" applyProtection="0">
      <alignment horizontal="center" wrapText="1"/>
    </xf>
    <xf numFmtId="0" fontId="99" fillId="0" borderId="0" applyFill="0" applyBorder="0" applyProtection="0">
      <alignment horizontal="left" vertical="top" wrapText="1"/>
    </xf>
    <xf numFmtId="0" fontId="88" fillId="0" borderId="44" applyBorder="0" applyAlignment="0"/>
    <xf numFmtId="0" fontId="100" fillId="0" borderId="45" applyNumberFormat="0" applyFill="0" applyAlignment="0" applyProtection="0"/>
    <xf numFmtId="188" fontId="3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65" fontId="104" fillId="0" borderId="46" applyFill="0" applyBorder="0" applyAlignment="0">
      <alignment horizontal="center"/>
      <protection locked="0"/>
    </xf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81" fontId="104" fillId="0" borderId="0" applyFill="0" applyBorder="0" applyAlignment="0">
      <protection locked="0"/>
    </xf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202" fontId="106" fillId="0" borderId="0" applyNumberFormat="0" applyFill="0" applyBorder="0" applyAlignment="0">
      <protection locked="0"/>
    </xf>
    <xf numFmtId="0" fontId="105" fillId="40" borderId="29" applyNumberFormat="0" applyAlignment="0" applyProtection="0"/>
    <xf numFmtId="0" fontId="107" fillId="0" borderId="0" applyNumberFormat="0" applyFill="0" applyBorder="0" applyAlignment="0">
      <protection locked="0"/>
    </xf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0" fontId="18" fillId="7" borderId="23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184" fontId="104" fillId="0" borderId="0" applyFill="0" applyBorder="0" applyAlignment="0" applyProtection="0">
      <protection locked="0"/>
    </xf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37" fontId="104" fillId="0" borderId="0" applyFill="0" applyBorder="0" applyAlignment="0">
      <protection locked="0"/>
    </xf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10" fontId="108" fillId="68" borderId="0">
      <alignment horizontal="right"/>
      <protection locked="0"/>
    </xf>
    <xf numFmtId="199" fontId="108" fillId="68" borderId="0">
      <alignment horizontal="right"/>
      <protection locked="0"/>
    </xf>
    <xf numFmtId="181" fontId="3" fillId="0" borderId="0"/>
    <xf numFmtId="0" fontId="62" fillId="0" borderId="0"/>
    <xf numFmtId="0" fontId="73" fillId="0" borderId="35">
      <alignment horizontal="centerContinuous"/>
    </xf>
    <xf numFmtId="0" fontId="73" fillId="0" borderId="35">
      <alignment horizontal="centerContinuous"/>
    </xf>
    <xf numFmtId="0" fontId="109" fillId="1" borderId="35">
      <alignment horizontal="centerContinuous" vertical="center"/>
    </xf>
    <xf numFmtId="0" fontId="109" fillId="1" borderId="35">
      <alignment horizontal="centerContinuous" vertical="center"/>
    </xf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203" fontId="1" fillId="0" borderId="0"/>
    <xf numFmtId="164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211" fontId="56" fillId="0" borderId="0"/>
    <xf numFmtId="0" fontId="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212" fontId="1" fillId="0" borderId="0" applyFont="0" applyFill="0" applyBorder="0" applyAlignment="0" applyProtection="0"/>
    <xf numFmtId="37" fontId="110" fillId="0" borderId="0"/>
    <xf numFmtId="199" fontId="1" fillId="0" borderId="0"/>
    <xf numFmtId="174" fontId="1" fillId="0" borderId="0"/>
    <xf numFmtId="174" fontId="1" fillId="0" borderId="0"/>
    <xf numFmtId="173" fontId="1" fillId="0" borderId="0"/>
    <xf numFmtId="173" fontId="1" fillId="0" borderId="0"/>
    <xf numFmtId="174" fontId="1" fillId="0" borderId="0"/>
    <xf numFmtId="174" fontId="1" fillId="0" borderId="0"/>
    <xf numFmtId="199" fontId="1" fillId="0" borderId="0"/>
    <xf numFmtId="174" fontId="1" fillId="0" borderId="0"/>
    <xf numFmtId="199" fontId="1" fillId="0" borderId="0"/>
    <xf numFmtId="213" fontId="1" fillId="0" borderId="0"/>
    <xf numFmtId="174" fontId="1" fillId="0" borderId="0"/>
    <xf numFmtId="174" fontId="1" fillId="0" borderId="0"/>
    <xf numFmtId="199" fontId="1" fillId="0" borderId="0"/>
    <xf numFmtId="213" fontId="1" fillId="0" borderId="0"/>
    <xf numFmtId="199" fontId="1" fillId="0" borderId="0"/>
    <xf numFmtId="174" fontId="1" fillId="0" borderId="0"/>
    <xf numFmtId="174" fontId="1" fillId="0" borderId="0"/>
    <xf numFmtId="174" fontId="1" fillId="0" borderId="0"/>
    <xf numFmtId="213" fontId="1" fillId="0" borderId="0"/>
    <xf numFmtId="173" fontId="1" fillId="0" borderId="0"/>
    <xf numFmtId="199" fontId="1" fillId="0" borderId="0"/>
    <xf numFmtId="174" fontId="1" fillId="0" borderId="0"/>
    <xf numFmtId="213" fontId="1" fillId="0" borderId="0"/>
    <xf numFmtId="213" fontId="1" fillId="0" borderId="0"/>
    <xf numFmtId="174" fontId="1" fillId="0" borderId="0"/>
    <xf numFmtId="173" fontId="1" fillId="0" borderId="0"/>
    <xf numFmtId="173" fontId="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0" fontId="1" fillId="0" borderId="0"/>
    <xf numFmtId="0" fontId="4" fillId="0" borderId="0"/>
    <xf numFmtId="0" fontId="4" fillId="0" borderId="0"/>
    <xf numFmtId="188" fontId="111" fillId="0" borderId="0" applyFill="0" applyBorder="0" applyAlignment="0"/>
    <xf numFmtId="0" fontId="4" fillId="0" borderId="0"/>
    <xf numFmtId="0" fontId="4" fillId="0" borderId="0"/>
    <xf numFmtId="0" fontId="1" fillId="0" borderId="0"/>
    <xf numFmtId="188" fontId="111" fillId="0" borderId="0" applyFill="0" applyBorder="0" applyAlignment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5" fillId="0" borderId="0">
      <alignment vertical="center"/>
    </xf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26" fillId="0" borderId="0"/>
    <xf numFmtId="0" fontId="1" fillId="0" borderId="0"/>
    <xf numFmtId="0" fontId="4" fillId="0" borderId="0"/>
    <xf numFmtId="0" fontId="8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26" fillId="0" borderId="0"/>
    <xf numFmtId="0" fontId="1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27" fillId="0" borderId="0">
      <alignment vertical="top"/>
    </xf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7" fillId="0" borderId="0"/>
    <xf numFmtId="0" fontId="26" fillId="0" borderId="0"/>
    <xf numFmtId="0" fontId="1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top"/>
    </xf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214" fontId="112" fillId="0" borderId="47" applyNumberFormat="0" applyBorder="0" applyAlignment="0" applyProtection="0">
      <alignment horizontal="center" vertical="center"/>
    </xf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32" fillId="10" borderId="27" applyNumberFormat="0" applyFont="0" applyAlignment="0" applyProtection="0"/>
    <xf numFmtId="0" fontId="32" fillId="10" borderId="2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1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1" fillId="58" borderId="37" applyNumberFormat="0" applyFont="0" applyAlignment="0" applyProtection="0"/>
    <xf numFmtId="0" fontId="4" fillId="10" borderId="2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1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1" fillId="58" borderId="37" applyNumberFormat="0" applyFont="0" applyAlignment="0" applyProtection="0"/>
    <xf numFmtId="0" fontId="60" fillId="58" borderId="37" applyNumberFormat="0" applyFont="0" applyAlignment="0" applyProtection="0"/>
    <xf numFmtId="0" fontId="1" fillId="58" borderId="3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1" fillId="58" borderId="3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32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32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32" fillId="10" borderId="27" applyNumberFormat="0" applyFont="0" applyAlignment="0" applyProtection="0"/>
    <xf numFmtId="37" fontId="113" fillId="66" borderId="0">
      <alignment horizontal="right"/>
    </xf>
    <xf numFmtId="0" fontId="1" fillId="0" borderId="0"/>
    <xf numFmtId="199" fontId="114" fillId="0" borderId="0" applyFill="0" applyBorder="0">
      <alignment horizontal="right" vertical="top"/>
    </xf>
    <xf numFmtId="1" fontId="86" fillId="0" borderId="0" applyFont="0" applyFill="0" applyBorder="0" applyAlignment="0"/>
    <xf numFmtId="9" fontId="115" fillId="69" borderId="0" applyFont="0" applyFill="0" applyBorder="0"/>
    <xf numFmtId="199" fontId="115" fillId="69" borderId="0" applyFont="0" applyFill="0" applyBorder="0"/>
    <xf numFmtId="0" fontId="35" fillId="0" borderId="0"/>
    <xf numFmtId="37" fontId="79" fillId="59" borderId="48">
      <alignment horizontal="right"/>
    </xf>
    <xf numFmtId="0" fontId="19" fillId="8" borderId="24" applyNumberFormat="0" applyAlignment="0" applyProtection="0"/>
    <xf numFmtId="0" fontId="116" fillId="53" borderId="38" applyNumberFormat="0" applyAlignment="0" applyProtection="0"/>
    <xf numFmtId="0" fontId="116" fillId="53" borderId="38" applyNumberFormat="0" applyAlignment="0" applyProtection="0"/>
    <xf numFmtId="0" fontId="19" fillId="8" borderId="24" applyNumberFormat="0" applyAlignment="0" applyProtection="0"/>
    <xf numFmtId="40" fontId="27" fillId="59" borderId="0">
      <alignment horizontal="right"/>
    </xf>
    <xf numFmtId="0" fontId="51" fillId="70" borderId="49"/>
    <xf numFmtId="14" fontId="46" fillId="0" borderId="0">
      <alignment horizontal="center" wrapText="1"/>
      <protection locked="0"/>
    </xf>
    <xf numFmtId="215" fontId="46" fillId="0" borderId="50" applyFont="0" applyFill="0" applyBorder="0" applyAlignment="0" applyProtection="0">
      <alignment horizontal="right"/>
    </xf>
    <xf numFmtId="216" fontId="1" fillId="0" borderId="0" applyFont="0" applyFill="0" applyBorder="0" applyAlignment="0" applyProtection="0"/>
    <xf numFmtId="165" fontId="35" fillId="0" borderId="0" applyFont="0" applyFill="0" applyBorder="0" applyAlignment="0" applyProtection="0">
      <protection locked="0"/>
    </xf>
    <xf numFmtId="10" fontId="35" fillId="0" borderId="0" applyFont="0" applyFill="0" applyBorder="0" applyAlignment="0" applyProtection="0">
      <protection locked="0"/>
    </xf>
    <xf numFmtId="190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21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0" fontId="117" fillId="59" borderId="0"/>
    <xf numFmtId="9" fontId="27" fillId="0" borderId="0" applyFont="0" applyFill="0" applyBorder="0" applyAlignment="0" applyProtection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15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0" fontId="49" fillId="0" borderId="39">
      <alignment horizontal="center"/>
    </xf>
    <xf numFmtId="3" fontId="48" fillId="0" borderId="0" applyFont="0" applyFill="0" applyBorder="0" applyAlignment="0" applyProtection="0"/>
    <xf numFmtId="0" fontId="48" fillId="60" borderId="0" applyNumberFormat="0" applyFont="0" applyBorder="0" applyAlignment="0" applyProtection="0"/>
    <xf numFmtId="3" fontId="56" fillId="0" borderId="0" applyFill="0" applyBorder="0" applyAlignment="0" applyProtection="0"/>
    <xf numFmtId="3" fontId="118" fillId="0" borderId="0" applyFill="0" applyBorder="0" applyAlignment="0" applyProtection="0"/>
    <xf numFmtId="3" fontId="56" fillId="0" borderId="0" applyFill="0" applyBorder="0" applyAlignment="0" applyProtection="0"/>
    <xf numFmtId="0" fontId="119" fillId="50" borderId="35" applyBorder="0">
      <alignment horizontal="center"/>
    </xf>
    <xf numFmtId="0" fontId="119" fillId="50" borderId="35" applyBorder="0">
      <alignment horizontal="center"/>
    </xf>
    <xf numFmtId="0" fontId="119" fillId="71" borderId="35" applyBorder="0">
      <alignment horizontal="center"/>
    </xf>
    <xf numFmtId="0" fontId="119" fillId="71" borderId="35" applyBorder="0">
      <alignment horizontal="center"/>
    </xf>
    <xf numFmtId="0" fontId="120" fillId="72" borderId="0" applyNumberFormat="0" applyFont="0" applyBorder="0" applyAlignment="0">
      <alignment horizontal="center"/>
    </xf>
    <xf numFmtId="219" fontId="121" fillId="0" borderId="0" applyNumberFormat="0" applyFill="0" applyBorder="0" applyAlignment="0" applyProtection="0">
      <alignment horizontal="left"/>
    </xf>
    <xf numFmtId="220" fontId="60" fillId="0" borderId="0"/>
    <xf numFmtId="49" fontId="1" fillId="0" borderId="0">
      <alignment horizontal="left"/>
    </xf>
    <xf numFmtId="4" fontId="51" fillId="57" borderId="51" applyNumberFormat="0" applyProtection="0">
      <alignment vertical="center"/>
    </xf>
    <xf numFmtId="4" fontId="51" fillId="57" borderId="51" applyNumberFormat="0" applyProtection="0">
      <alignment vertical="center"/>
    </xf>
    <xf numFmtId="4" fontId="122" fillId="73" borderId="51" applyNumberFormat="0" applyProtection="0">
      <alignment vertical="center"/>
    </xf>
    <xf numFmtId="4" fontId="122" fillId="73" borderId="51" applyNumberFormat="0" applyProtection="0">
      <alignment vertical="center"/>
    </xf>
    <xf numFmtId="4" fontId="51" fillId="73" borderId="51" applyNumberFormat="0" applyProtection="0">
      <alignment horizontal="left" vertical="center" indent="1"/>
    </xf>
    <xf numFmtId="4" fontId="51" fillId="73" borderId="51" applyNumberFormat="0" applyProtection="0">
      <alignment horizontal="left" vertical="center" indent="1"/>
    </xf>
    <xf numFmtId="0" fontId="51" fillId="73" borderId="51" applyNumberFormat="0" applyProtection="0">
      <alignment horizontal="left" vertical="top" indent="1"/>
    </xf>
    <xf numFmtId="0" fontId="51" fillId="73" borderId="51" applyNumberFormat="0" applyProtection="0">
      <alignment horizontal="left" vertical="top" indent="1"/>
    </xf>
    <xf numFmtId="4" fontId="51" fillId="74" borderId="0" applyNumberFormat="0" applyProtection="0">
      <alignment horizontal="left" vertical="center" indent="1"/>
    </xf>
    <xf numFmtId="4" fontId="27" fillId="36" borderId="51" applyNumberFormat="0" applyProtection="0">
      <alignment horizontal="right" vertical="center"/>
    </xf>
    <xf numFmtId="4" fontId="27" fillId="36" borderId="51" applyNumberFormat="0" applyProtection="0">
      <alignment horizontal="right" vertical="center"/>
    </xf>
    <xf numFmtId="4" fontId="27" fillId="42" borderId="51" applyNumberFormat="0" applyProtection="0">
      <alignment horizontal="right" vertical="center"/>
    </xf>
    <xf numFmtId="4" fontId="27" fillId="42" borderId="51" applyNumberFormat="0" applyProtection="0">
      <alignment horizontal="right" vertical="center"/>
    </xf>
    <xf numFmtId="4" fontId="27" fillId="50" borderId="51" applyNumberFormat="0" applyProtection="0">
      <alignment horizontal="right" vertical="center"/>
    </xf>
    <xf numFmtId="4" fontId="27" fillId="50" borderId="51" applyNumberFormat="0" applyProtection="0">
      <alignment horizontal="right" vertical="center"/>
    </xf>
    <xf numFmtId="4" fontId="27" fillId="44" borderId="51" applyNumberFormat="0" applyProtection="0">
      <alignment horizontal="right" vertical="center"/>
    </xf>
    <xf numFmtId="4" fontId="27" fillId="44" borderId="51" applyNumberFormat="0" applyProtection="0">
      <alignment horizontal="right" vertical="center"/>
    </xf>
    <xf numFmtId="4" fontId="27" fillId="48" borderId="51" applyNumberFormat="0" applyProtection="0">
      <alignment horizontal="right" vertical="center"/>
    </xf>
    <xf numFmtId="4" fontId="27" fillId="48" borderId="51" applyNumberFormat="0" applyProtection="0">
      <alignment horizontal="right" vertical="center"/>
    </xf>
    <xf numFmtId="4" fontId="27" fillId="52" borderId="51" applyNumberFormat="0" applyProtection="0">
      <alignment horizontal="right" vertical="center"/>
    </xf>
    <xf numFmtId="4" fontId="27" fillId="52" borderId="51" applyNumberFormat="0" applyProtection="0">
      <alignment horizontal="right" vertical="center"/>
    </xf>
    <xf numFmtId="4" fontId="27" fillId="51" borderId="51" applyNumberFormat="0" applyProtection="0">
      <alignment horizontal="right" vertical="center"/>
    </xf>
    <xf numFmtId="4" fontId="27" fillId="51" borderId="51" applyNumberFormat="0" applyProtection="0">
      <alignment horizontal="right" vertical="center"/>
    </xf>
    <xf numFmtId="4" fontId="27" fillId="75" borderId="51" applyNumberFormat="0" applyProtection="0">
      <alignment horizontal="right" vertical="center"/>
    </xf>
    <xf numFmtId="4" fontId="27" fillId="75" borderId="51" applyNumberFormat="0" applyProtection="0">
      <alignment horizontal="right" vertical="center"/>
    </xf>
    <xf numFmtId="4" fontId="27" fillId="43" borderId="51" applyNumberFormat="0" applyProtection="0">
      <alignment horizontal="right" vertical="center"/>
    </xf>
    <xf numFmtId="4" fontId="27" fillId="43" borderId="51" applyNumberFormat="0" applyProtection="0">
      <alignment horizontal="right" vertical="center"/>
    </xf>
    <xf numFmtId="4" fontId="51" fillId="76" borderId="52" applyNumberFormat="0" applyProtection="0">
      <alignment horizontal="left" vertical="center" indent="1"/>
    </xf>
    <xf numFmtId="4" fontId="27" fillId="77" borderId="0" applyNumberFormat="0" applyProtection="0">
      <alignment horizontal="left" vertical="center" indent="1"/>
    </xf>
    <xf numFmtId="4" fontId="123" fillId="78" borderId="0" applyNumberFormat="0" applyProtection="0">
      <alignment horizontal="left" vertical="center" indent="1"/>
    </xf>
    <xf numFmtId="4" fontId="27" fillId="79" borderId="51" applyNumberFormat="0" applyProtection="0">
      <alignment horizontal="right" vertical="center"/>
    </xf>
    <xf numFmtId="4" fontId="27" fillId="79" borderId="51" applyNumberFormat="0" applyProtection="0">
      <alignment horizontal="right" vertical="center"/>
    </xf>
    <xf numFmtId="4" fontId="27" fillId="77" borderId="0" applyNumberFormat="0" applyProtection="0">
      <alignment horizontal="left" vertical="center" indent="1"/>
    </xf>
    <xf numFmtId="4" fontId="27" fillId="74" borderId="0" applyNumberFormat="0" applyProtection="0">
      <alignment horizontal="left" vertical="center" indent="1"/>
    </xf>
    <xf numFmtId="0" fontId="1" fillId="78" borderId="51" applyNumberFormat="0" applyProtection="0">
      <alignment horizontal="left" vertical="center" indent="1"/>
    </xf>
    <xf numFmtId="0" fontId="1" fillId="78" borderId="51" applyNumberFormat="0" applyProtection="0">
      <alignment horizontal="left" vertical="center" indent="1"/>
    </xf>
    <xf numFmtId="0" fontId="1" fillId="78" borderId="51" applyNumberFormat="0" applyProtection="0">
      <alignment horizontal="left" vertical="top" indent="1"/>
    </xf>
    <xf numFmtId="0" fontId="1" fillId="78" borderId="51" applyNumberFormat="0" applyProtection="0">
      <alignment horizontal="left" vertical="top" indent="1"/>
    </xf>
    <xf numFmtId="0" fontId="1" fillId="74" borderId="51" applyNumberFormat="0" applyProtection="0">
      <alignment horizontal="left" vertical="center" indent="1"/>
    </xf>
    <xf numFmtId="0" fontId="1" fillId="74" borderId="51" applyNumberFormat="0" applyProtection="0">
      <alignment horizontal="left" vertical="center" indent="1"/>
    </xf>
    <xf numFmtId="0" fontId="1" fillId="74" borderId="51" applyNumberFormat="0" applyProtection="0">
      <alignment horizontal="left" vertical="top" indent="1"/>
    </xf>
    <xf numFmtId="0" fontId="1" fillId="74" borderId="51" applyNumberFormat="0" applyProtection="0">
      <alignment horizontal="left" vertical="top" indent="1"/>
    </xf>
    <xf numFmtId="0" fontId="1" fillId="61" borderId="51" applyNumberFormat="0" applyProtection="0">
      <alignment horizontal="left" vertical="center" indent="1"/>
    </xf>
    <xf numFmtId="0" fontId="1" fillId="61" borderId="51" applyNumberFormat="0" applyProtection="0">
      <alignment horizontal="left" vertical="center" indent="1"/>
    </xf>
    <xf numFmtId="0" fontId="1" fillId="61" borderId="51" applyNumberFormat="0" applyProtection="0">
      <alignment horizontal="left" vertical="top" indent="1"/>
    </xf>
    <xf numFmtId="0" fontId="1" fillId="61" borderId="51" applyNumberFormat="0" applyProtection="0">
      <alignment horizontal="left" vertical="top" indent="1"/>
    </xf>
    <xf numFmtId="0" fontId="1" fillId="80" borderId="51" applyNumberFormat="0" applyProtection="0">
      <alignment horizontal="left" vertical="center" indent="1"/>
    </xf>
    <xf numFmtId="0" fontId="1" fillId="80" borderId="51" applyNumberFormat="0" applyProtection="0">
      <alignment horizontal="left" vertical="center" indent="1"/>
    </xf>
    <xf numFmtId="0" fontId="1" fillId="80" borderId="51" applyNumberFormat="0" applyProtection="0">
      <alignment horizontal="left" vertical="top" indent="1"/>
    </xf>
    <xf numFmtId="0" fontId="1" fillId="80" borderId="51" applyNumberFormat="0" applyProtection="0">
      <alignment horizontal="left" vertical="top" indent="1"/>
    </xf>
    <xf numFmtId="4" fontId="27" fillId="56" borderId="51" applyNumberFormat="0" applyProtection="0">
      <alignment vertical="center"/>
    </xf>
    <xf numFmtId="4" fontId="27" fillId="56" borderId="51" applyNumberFormat="0" applyProtection="0">
      <alignment vertical="center"/>
    </xf>
    <xf numFmtId="4" fontId="124" fillId="56" borderId="51" applyNumberFormat="0" applyProtection="0">
      <alignment vertical="center"/>
    </xf>
    <xf numFmtId="4" fontId="124" fillId="56" borderId="51" applyNumberFormat="0" applyProtection="0">
      <alignment vertical="center"/>
    </xf>
    <xf numFmtId="4" fontId="27" fillId="56" borderId="51" applyNumberFormat="0" applyProtection="0">
      <alignment horizontal="left" vertical="center" indent="1"/>
    </xf>
    <xf numFmtId="4" fontId="27" fillId="56" borderId="51" applyNumberFormat="0" applyProtection="0">
      <alignment horizontal="left" vertical="center" indent="1"/>
    </xf>
    <xf numFmtId="0" fontId="27" fillId="56" borderId="51" applyNumberFormat="0" applyProtection="0">
      <alignment horizontal="left" vertical="top" indent="1"/>
    </xf>
    <xf numFmtId="0" fontId="27" fillId="56" borderId="51" applyNumberFormat="0" applyProtection="0">
      <alignment horizontal="left" vertical="top" indent="1"/>
    </xf>
    <xf numFmtId="4" fontId="27" fillId="77" borderId="51" applyNumberFormat="0" applyProtection="0">
      <alignment horizontal="right" vertical="center"/>
    </xf>
    <xf numFmtId="4" fontId="27" fillId="77" borderId="51" applyNumberFormat="0" applyProtection="0">
      <alignment horizontal="right" vertical="center"/>
    </xf>
    <xf numFmtId="4" fontId="124" fillId="77" borderId="51" applyNumberFormat="0" applyProtection="0">
      <alignment horizontal="right" vertical="center"/>
    </xf>
    <xf numFmtId="4" fontId="124" fillId="77" borderId="51" applyNumberFormat="0" applyProtection="0">
      <alignment horizontal="right" vertical="center"/>
    </xf>
    <xf numFmtId="4" fontId="27" fillId="79" borderId="51" applyNumberFormat="0" applyProtection="0">
      <alignment horizontal="left" vertical="center" indent="1"/>
    </xf>
    <xf numFmtId="4" fontId="27" fillId="79" borderId="51" applyNumberFormat="0" applyProtection="0">
      <alignment horizontal="left" vertical="center" indent="1"/>
    </xf>
    <xf numFmtId="0" fontId="27" fillId="74" borderId="51" applyNumberFormat="0" applyProtection="0">
      <alignment horizontal="left" vertical="top" indent="1"/>
    </xf>
    <xf numFmtId="0" fontId="27" fillId="74" borderId="51" applyNumberFormat="0" applyProtection="0">
      <alignment horizontal="left" vertical="top" indent="1"/>
    </xf>
    <xf numFmtId="4" fontId="125" fillId="62" borderId="0" applyNumberFormat="0" applyProtection="0">
      <alignment horizontal="left" vertical="center" indent="1"/>
    </xf>
    <xf numFmtId="4" fontId="52" fillId="77" borderId="51" applyNumberFormat="0" applyProtection="0">
      <alignment horizontal="right" vertical="center"/>
    </xf>
    <xf numFmtId="4" fontId="52" fillId="77" borderId="51" applyNumberFormat="0" applyProtection="0">
      <alignment horizontal="right" vertical="center"/>
    </xf>
    <xf numFmtId="0" fontId="1" fillId="81" borderId="0" applyNumberFormat="0" applyFont="0" applyBorder="0" applyAlignment="0" applyProtection="0"/>
    <xf numFmtId="38" fontId="48" fillId="82" borderId="0" applyNumberFormat="0" applyFont="0" applyBorder="0" applyAlignment="0" applyProtection="0"/>
    <xf numFmtId="0" fontId="120" fillId="1" borderId="31" applyNumberFormat="0" applyFont="0" applyAlignment="0">
      <alignment horizontal="center"/>
    </xf>
    <xf numFmtId="0" fontId="120" fillId="1" borderId="31" applyNumberFormat="0" applyFont="0" applyAlignment="0">
      <alignment horizontal="center"/>
    </xf>
    <xf numFmtId="1" fontId="1" fillId="0" borderId="0"/>
    <xf numFmtId="0" fontId="126" fillId="0" borderId="0" applyNumberFormat="0" applyFill="0" applyBorder="0" applyAlignment="0">
      <alignment horizontal="center"/>
    </xf>
    <xf numFmtId="0" fontId="28" fillId="83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28" fillId="83" borderId="0" applyNumberFormat="0" applyBorder="0" applyAlignment="0" applyProtection="0"/>
    <xf numFmtId="0" fontId="1" fillId="56" borderId="0" applyNumberFormat="0" applyAlignment="0" applyProtection="0"/>
    <xf numFmtId="3" fontId="1" fillId="0" borderId="0" applyNumberFormat="0" applyFont="0" applyFill="0" applyBorder="0" applyAlignment="0" applyProtection="0"/>
    <xf numFmtId="0" fontId="28" fillId="83" borderId="0" applyNumberFormat="0" applyBorder="0" applyAlignment="0" applyProtection="0"/>
    <xf numFmtId="0" fontId="1" fillId="56" borderId="0" applyNumberFormat="0" applyBorder="0" applyAlignment="0" applyProtection="0"/>
    <xf numFmtId="3" fontId="1" fillId="0" borderId="0" applyNumberFormat="0" applyFont="0" applyFill="0" applyBorder="0" applyAlignment="0" applyProtection="0"/>
    <xf numFmtId="0" fontId="1" fillId="84" borderId="0" applyNumberFormat="0" applyBorder="0" applyAlignment="0" applyProtection="0"/>
    <xf numFmtId="0" fontId="28" fillId="84" borderId="0" applyNumberFormat="0" applyBorder="0" applyAlignment="0" applyProtection="0"/>
    <xf numFmtId="3" fontId="1" fillId="0" borderId="0" applyNumberFormat="0" applyFont="0" applyFill="0" applyBorder="0" applyAlignment="0" applyProtection="0"/>
    <xf numFmtId="3" fontId="28" fillId="85" borderId="0" applyNumberFormat="0" applyBorder="0" applyAlignment="0" applyProtection="0"/>
    <xf numFmtId="3" fontId="28" fillId="85" borderId="0" applyNumberFormat="0" applyBorder="0" applyAlignment="0" applyProtection="0"/>
    <xf numFmtId="3" fontId="1" fillId="0" borderId="0" applyNumberFormat="0" applyFont="0" applyFill="0" applyBorder="0" applyAlignment="0" applyProtection="0"/>
    <xf numFmtId="3" fontId="28" fillId="86" borderId="0" applyNumberFormat="0" applyBorder="0" applyAlignment="0" applyProtection="0"/>
    <xf numFmtId="3" fontId="28" fillId="86" borderId="0" applyNumberFormat="0" applyBorder="0" applyAlignment="0" applyProtection="0"/>
    <xf numFmtId="0" fontId="1" fillId="0" borderId="0" applyFont="0" applyFill="0" applyBorder="0" applyAlignment="0" applyProtection="0"/>
    <xf numFmtId="3" fontId="1" fillId="55" borderId="0" applyFont="0" applyBorder="0" applyAlignment="0" applyProtection="0"/>
    <xf numFmtId="0" fontId="1" fillId="86" borderId="0" applyNumberFormat="0" applyFont="0" applyBorder="0" applyAlignment="0" applyProtection="0"/>
    <xf numFmtId="4" fontId="1" fillId="55" borderId="0" applyFont="0" applyBorder="0" applyAlignment="0" applyProtection="0"/>
    <xf numFmtId="221" fontId="127" fillId="0" borderId="0" applyFont="0" applyFill="0" applyBorder="0" applyAlignment="0" applyProtection="0">
      <alignment horizontal="left"/>
    </xf>
    <xf numFmtId="0" fontId="1" fillId="0" borderId="0"/>
    <xf numFmtId="0" fontId="1" fillId="0" borderId="0" applyFont="0" applyFill="0" applyBorder="0" applyAlignment="0" applyProtection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59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" fillId="0" borderId="0">
      <alignment vertical="top"/>
    </xf>
    <xf numFmtId="0" fontId="128" fillId="0" borderId="0"/>
    <xf numFmtId="0" fontId="1" fillId="0" borderId="0">
      <alignment vertical="top"/>
    </xf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40" fontId="129" fillId="0" borderId="0" applyBorder="0">
      <alignment horizontal="right"/>
    </xf>
    <xf numFmtId="0" fontId="130" fillId="56" borderId="39" applyNumberFormat="0" applyAlignment="0"/>
    <xf numFmtId="38" fontId="131" fillId="0" borderId="0" applyFill="0" applyBorder="0" applyAlignment="0" applyProtection="0"/>
    <xf numFmtId="180" fontId="1" fillId="0" borderId="0" applyFill="0" applyBorder="0" applyAlignment="0" applyProtection="0"/>
    <xf numFmtId="222" fontId="131" fillId="0" borderId="0" applyFill="0" applyBorder="0" applyAlignment="0" applyProtection="0"/>
    <xf numFmtId="49" fontId="27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223" fontId="1" fillId="0" borderId="0" applyFont="0" applyFill="0" applyBorder="0" applyAlignment="0" applyProtection="0"/>
    <xf numFmtId="224" fontId="1" fillId="0" borderId="0" applyFont="0" applyFill="0" applyBorder="0" applyAlignment="0" applyProtection="0"/>
    <xf numFmtId="18" fontId="87" fillId="0" borderId="0" applyFont="0" applyFill="0" applyBorder="0" applyAlignment="0" applyProtection="0">
      <alignment horizontal="left"/>
    </xf>
    <xf numFmtId="0" fontId="132" fillId="0" borderId="12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3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33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5" fillId="0" borderId="28" applyNumberFormat="0" applyFill="0" applyAlignment="0" applyProtection="0"/>
    <xf numFmtId="0" fontId="1" fillId="0" borderId="9" applyNumberFormat="0" applyFont="0" applyFill="0" applyAlignment="0" applyProtection="0"/>
    <xf numFmtId="0" fontId="134" fillId="0" borderId="40" applyNumberFormat="0" applyFill="0" applyAlignment="0" applyProtection="0"/>
    <xf numFmtId="0" fontId="134" fillId="0" borderId="40" applyNumberFormat="0" applyFill="0" applyAlignment="0" applyProtection="0"/>
    <xf numFmtId="0" fontId="134" fillId="0" borderId="40" applyNumberFormat="0" applyFill="0" applyAlignment="0" applyProtection="0"/>
    <xf numFmtId="0" fontId="134" fillId="0" borderId="40" applyNumberFormat="0" applyFill="0" applyAlignment="0" applyProtection="0"/>
    <xf numFmtId="0" fontId="134" fillId="0" borderId="40" applyNumberFormat="0" applyFill="0" applyAlignment="0" applyProtection="0"/>
    <xf numFmtId="0" fontId="134" fillId="0" borderId="40" applyNumberFormat="0" applyFill="0" applyAlignment="0" applyProtection="0"/>
    <xf numFmtId="0" fontId="5" fillId="0" borderId="28" applyNumberFormat="0" applyFill="0" applyAlignment="0" applyProtection="0"/>
    <xf numFmtId="0" fontId="1" fillId="0" borderId="9" applyNumberFormat="0" applyFont="0" applyFill="0" applyAlignment="0" applyProtection="0"/>
    <xf numFmtId="0" fontId="134" fillId="0" borderId="40" applyNumberForma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10" fontId="135" fillId="0" borderId="53" applyNumberFormat="0" applyFont="0" applyFill="0" applyAlignment="0" applyProtection="0"/>
    <xf numFmtId="37" fontId="38" fillId="73" borderId="0" applyNumberFormat="0" applyBorder="0" applyAlignment="0" applyProtection="0"/>
    <xf numFmtId="37" fontId="38" fillId="0" borderId="0"/>
    <xf numFmtId="3" fontId="136" fillId="0" borderId="45" applyProtection="0"/>
    <xf numFmtId="7" fontId="136" fillId="0" borderId="0">
      <alignment horizontal="right"/>
      <protection locked="0"/>
    </xf>
    <xf numFmtId="3" fontId="136" fillId="0" borderId="0">
      <alignment horizontal="right"/>
      <protection locked="0"/>
    </xf>
    <xf numFmtId="3" fontId="137" fillId="0" borderId="0">
      <protection locked="0"/>
    </xf>
    <xf numFmtId="0" fontId="1" fillId="0" borderId="0"/>
    <xf numFmtId="42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225" fontId="1" fillId="0" borderId="0" applyFont="0" applyFill="0" applyBorder="0" applyAlignment="0" applyProtection="0"/>
    <xf numFmtId="226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>
      <alignment horizontal="left" wrapText="1"/>
    </xf>
    <xf numFmtId="227" fontId="1" fillId="0" borderId="0"/>
    <xf numFmtId="227" fontId="1" fillId="0" borderId="0"/>
    <xf numFmtId="227" fontId="1" fillId="0" borderId="0"/>
    <xf numFmtId="227" fontId="1" fillId="0" borderId="0"/>
    <xf numFmtId="227" fontId="1" fillId="0" borderId="0"/>
    <xf numFmtId="227" fontId="1" fillId="0" borderId="0"/>
    <xf numFmtId="207" fontId="1" fillId="0" borderId="31" applyFont="0" applyFill="0" applyBorder="0" applyAlignment="0" applyProtection="0"/>
    <xf numFmtId="207" fontId="1" fillId="0" borderId="31" applyFont="0" applyFill="0" applyBorder="0" applyAlignment="0" applyProtection="0"/>
    <xf numFmtId="0" fontId="138" fillId="87" borderId="35" applyBorder="0">
      <alignment horizontal="center"/>
    </xf>
    <xf numFmtId="0" fontId="138" fillId="87" borderId="35" applyBorder="0">
      <alignment horizontal="center"/>
    </xf>
    <xf numFmtId="0" fontId="139" fillId="88" borderId="35" applyBorder="0">
      <alignment horizontal="center"/>
    </xf>
    <xf numFmtId="0" fontId="139" fillId="88" borderId="35" applyBorder="0">
      <alignment horizontal="center"/>
    </xf>
    <xf numFmtId="0" fontId="140" fillId="0" borderId="0" applyNumberFormat="0" applyFill="0" applyBorder="0" applyAlignment="0" applyProtection="0">
      <alignment vertical="top"/>
      <protection locked="0"/>
    </xf>
    <xf numFmtId="9" fontId="141" fillId="0" borderId="0" applyFont="0" applyFill="0" applyBorder="0" applyAlignment="0" applyProtection="0"/>
    <xf numFmtId="0" fontId="142" fillId="0" borderId="0"/>
    <xf numFmtId="228" fontId="143" fillId="0" borderId="0" applyFont="0" applyFill="0" applyBorder="0" applyAlignment="0" applyProtection="0"/>
    <xf numFmtId="229" fontId="143" fillId="0" borderId="0" applyFont="0" applyFill="0" applyBorder="0" applyAlignment="0" applyProtection="0"/>
    <xf numFmtId="230" fontId="128" fillId="0" borderId="0" applyFont="0" applyFill="0" applyBorder="0" applyAlignment="0" applyProtection="0"/>
    <xf numFmtId="193" fontId="128" fillId="0" borderId="0" applyFont="0" applyFill="0" applyBorder="0" applyAlignment="0" applyProtection="0"/>
    <xf numFmtId="42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0" fontId="143" fillId="0" borderId="0"/>
    <xf numFmtId="229" fontId="143" fillId="0" borderId="0" applyFont="0" applyFill="0" applyBorder="0" applyAlignment="0" applyProtection="0">
      <alignment vertical="center"/>
    </xf>
    <xf numFmtId="0" fontId="144" fillId="0" borderId="0">
      <protection locked="0"/>
    </xf>
    <xf numFmtId="0" fontId="143" fillId="0" borderId="0"/>
    <xf numFmtId="231" fontId="145" fillId="0" borderId="0">
      <protection locked="0"/>
    </xf>
    <xf numFmtId="232" fontId="145" fillId="0" borderId="0">
      <protection locked="0"/>
    </xf>
    <xf numFmtId="0" fontId="144" fillId="0" borderId="0"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6" fillId="0" borderId="0"/>
    <xf numFmtId="233" fontId="145" fillId="0" borderId="0">
      <protection locked="0"/>
    </xf>
    <xf numFmtId="234" fontId="145" fillId="0" borderId="0" applyFont="0" applyFill="0" applyBorder="0" applyAlignment="0" applyProtection="0"/>
    <xf numFmtId="235" fontId="145" fillId="0" borderId="0" applyFont="0" applyFill="0" applyBorder="0" applyAlignment="0" applyProtection="0"/>
    <xf numFmtId="4" fontId="144" fillId="0" borderId="0">
      <protection locked="0"/>
    </xf>
    <xf numFmtId="236" fontId="145" fillId="0" borderId="0">
      <protection locked="0"/>
    </xf>
    <xf numFmtId="237" fontId="147" fillId="0" borderId="0">
      <alignment vertical="center"/>
    </xf>
    <xf numFmtId="0" fontId="148" fillId="0" borderId="0">
      <protection locked="0"/>
    </xf>
    <xf numFmtId="0" fontId="148" fillId="0" borderId="0">
      <protection locked="0"/>
    </xf>
    <xf numFmtId="238" fontId="145" fillId="0" borderId="0">
      <protection locked="0"/>
    </xf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49" fillId="0" borderId="0"/>
    <xf numFmtId="0" fontId="144" fillId="0" borderId="9">
      <protection locked="0"/>
    </xf>
    <xf numFmtId="237" fontId="145" fillId="0" borderId="0" applyFont="0" applyFill="0" applyBorder="0" applyAlignment="0" applyProtection="0"/>
    <xf numFmtId="239" fontId="14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4" fillId="0" borderId="0"/>
    <xf numFmtId="0" fontId="1" fillId="0" borderId="0"/>
    <xf numFmtId="0" fontId="4" fillId="10" borderId="27" applyNumberFormat="0" applyFont="0" applyAlignment="0" applyProtection="0"/>
    <xf numFmtId="0" fontId="1" fillId="58" borderId="3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4" fillId="0" borderId="0"/>
    <xf numFmtId="43" fontId="164" fillId="0" borderId="0" applyFont="0" applyFill="0" applyBorder="0" applyAlignment="0" applyProtection="0"/>
  </cellStyleXfs>
  <cellXfs count="545">
    <xf numFmtId="0" fontId="0" fillId="0" borderId="0" xfId="0"/>
    <xf numFmtId="43" fontId="0" fillId="0" borderId="0" xfId="3" applyFont="1"/>
    <xf numFmtId="0" fontId="6" fillId="0" borderId="0" xfId="0" applyFont="1"/>
    <xf numFmtId="0" fontId="5" fillId="0" borderId="0" xfId="0" applyFont="1"/>
    <xf numFmtId="164" fontId="0" fillId="0" borderId="6" xfId="3" applyNumberFormat="1" applyFont="1" applyFill="1" applyBorder="1"/>
    <xf numFmtId="164" fontId="0" fillId="0" borderId="2" xfId="3" applyNumberFormat="1" applyFont="1" applyFill="1" applyBorder="1"/>
    <xf numFmtId="164" fontId="0" fillId="0" borderId="0" xfId="3" applyNumberFormat="1" applyFont="1" applyFill="1" applyBorder="1"/>
    <xf numFmtId="164" fontId="5" fillId="0" borderId="1" xfId="3" applyNumberFormat="1" applyFont="1" applyFill="1" applyBorder="1"/>
    <xf numFmtId="164" fontId="6" fillId="0" borderId="2" xfId="3" applyNumberFormat="1" applyFont="1" applyFill="1" applyBorder="1"/>
    <xf numFmtId="164" fontId="6" fillId="0" borderId="0" xfId="3" applyNumberFormat="1" applyFont="1" applyFill="1" applyBorder="1"/>
    <xf numFmtId="164" fontId="6" fillId="0" borderId="5" xfId="3" applyNumberFormat="1" applyFont="1" applyFill="1" applyBorder="1"/>
    <xf numFmtId="164" fontId="6" fillId="0" borderId="6" xfId="3" applyNumberFormat="1" applyFont="1" applyFill="1" applyBorder="1"/>
    <xf numFmtId="44" fontId="6" fillId="0" borderId="2" xfId="7" applyFont="1" applyFill="1" applyBorder="1"/>
    <xf numFmtId="44" fontId="6" fillId="0" borderId="0" xfId="7" applyFont="1" applyFill="1" applyBorder="1"/>
    <xf numFmtId="44" fontId="6" fillId="0" borderId="5" xfId="7" applyFont="1" applyFill="1" applyBorder="1"/>
    <xf numFmtId="44" fontId="6" fillId="0" borderId="6" xfId="7" applyFont="1" applyFill="1" applyBorder="1"/>
    <xf numFmtId="164" fontId="6" fillId="0" borderId="8" xfId="3" applyNumberFormat="1" applyFont="1" applyFill="1" applyBorder="1"/>
    <xf numFmtId="164" fontId="6" fillId="0" borderId="9" xfId="3" applyNumberFormat="1" applyFont="1" applyFill="1" applyBorder="1"/>
    <xf numFmtId="164" fontId="7" fillId="0" borderId="2" xfId="3" applyNumberFormat="1" applyFont="1" applyFill="1" applyBorder="1" applyAlignment="1">
      <alignment horizontal="center"/>
    </xf>
    <xf numFmtId="164" fontId="7" fillId="0" borderId="0" xfId="3" applyNumberFormat="1" applyFont="1" applyFill="1" applyBorder="1" applyAlignment="1">
      <alignment horizontal="center"/>
    </xf>
    <xf numFmtId="164" fontId="4" fillId="0" borderId="1" xfId="3" applyNumberFormat="1" applyFont="1" applyFill="1" applyBorder="1"/>
    <xf numFmtId="164" fontId="6" fillId="0" borderId="2" xfId="3" applyNumberFormat="1" applyFont="1" applyBorder="1"/>
    <xf numFmtId="164" fontId="6" fillId="0" borderId="0" xfId="3" applyNumberFormat="1" applyFont="1" applyBorder="1"/>
    <xf numFmtId="164" fontId="6" fillId="0" borderId="1" xfId="3" applyNumberFormat="1" applyFont="1" applyBorder="1"/>
    <xf numFmtId="164" fontId="7" fillId="0" borderId="2" xfId="3" applyNumberFormat="1" applyFont="1" applyFill="1" applyBorder="1" applyAlignment="1"/>
    <xf numFmtId="43" fontId="7" fillId="0" borderId="0" xfId="3" applyFont="1" applyFill="1" applyBorder="1" applyAlignment="1"/>
    <xf numFmtId="164" fontId="7" fillId="0" borderId="0" xfId="3" applyNumberFormat="1" applyFont="1" applyFill="1" applyBorder="1" applyAlignment="1"/>
    <xf numFmtId="164" fontId="6" fillId="0" borderId="2" xfId="3" applyNumberFormat="1" applyFont="1" applyFill="1" applyBorder="1" applyAlignment="1">
      <alignment horizontal="center"/>
    </xf>
    <xf numFmtId="164" fontId="6" fillId="0" borderId="0" xfId="3" applyNumberFormat="1" applyFont="1" applyFill="1" applyBorder="1" applyAlignment="1">
      <alignment horizontal="center"/>
    </xf>
    <xf numFmtId="164" fontId="6" fillId="0" borderId="11" xfId="3" applyNumberFormat="1" applyFont="1" applyFill="1" applyBorder="1"/>
    <xf numFmtId="164" fontId="6" fillId="0" borderId="12" xfId="3" applyNumberFormat="1" applyFont="1" applyFill="1" applyBorder="1"/>
    <xf numFmtId="164" fontId="9" fillId="0" borderId="0" xfId="5" applyNumberFormat="1" applyFont="1" applyFill="1" applyBorder="1" applyAlignment="1"/>
    <xf numFmtId="164" fontId="10" fillId="0" borderId="0" xfId="3" applyNumberFormat="1" applyFont="1" applyFill="1" applyBorder="1" applyAlignment="1"/>
    <xf numFmtId="0" fontId="10" fillId="0" borderId="0" xfId="6" applyFont="1"/>
    <xf numFmtId="164" fontId="6" fillId="3" borderId="2" xfId="3" applyNumberFormat="1" applyFont="1" applyFill="1" applyBorder="1"/>
    <xf numFmtId="164" fontId="6" fillId="3" borderId="0" xfId="3" applyNumberFormat="1" applyFont="1" applyFill="1" applyBorder="1"/>
    <xf numFmtId="43" fontId="10" fillId="0" borderId="0" xfId="1758" applyFont="1"/>
    <xf numFmtId="0" fontId="150" fillId="0" borderId="0" xfId="0" applyFont="1"/>
    <xf numFmtId="43" fontId="6" fillId="0" borderId="0" xfId="3" applyFont="1" applyBorder="1"/>
    <xf numFmtId="43" fontId="6" fillId="0" borderId="0" xfId="3" applyFont="1" applyFill="1" applyBorder="1"/>
    <xf numFmtId="164" fontId="6" fillId="3" borderId="9" xfId="3" applyNumberFormat="1" applyFont="1" applyFill="1" applyBorder="1"/>
    <xf numFmtId="164" fontId="6" fillId="0" borderId="58" xfId="3" applyNumberFormat="1" applyFont="1" applyFill="1" applyBorder="1"/>
    <xf numFmtId="164" fontId="6" fillId="3" borderId="6" xfId="3" applyNumberFormat="1" applyFont="1" applyFill="1" applyBorder="1"/>
    <xf numFmtId="164" fontId="6" fillId="3" borderId="8" xfId="3" applyNumberFormat="1" applyFont="1" applyFill="1" applyBorder="1"/>
    <xf numFmtId="44" fontId="6" fillId="3" borderId="5" xfId="7" applyFont="1" applyFill="1" applyBorder="1"/>
    <xf numFmtId="44" fontId="6" fillId="3" borderId="6" xfId="7" applyFont="1" applyFill="1" applyBorder="1"/>
    <xf numFmtId="164" fontId="6" fillId="3" borderId="2" xfId="3" applyNumberFormat="1" applyFont="1" applyFill="1" applyBorder="1" applyAlignment="1">
      <alignment horizontal="center"/>
    </xf>
    <xf numFmtId="164" fontId="6" fillId="3" borderId="0" xfId="3" applyNumberFormat="1" applyFont="1" applyFill="1" applyBorder="1" applyAlignment="1">
      <alignment horizontal="center"/>
    </xf>
    <xf numFmtId="44" fontId="6" fillId="3" borderId="2" xfId="7" applyFont="1" applyFill="1" applyBorder="1"/>
    <xf numFmtId="44" fontId="6" fillId="3" borderId="0" xfId="7" applyFont="1" applyFill="1" applyBorder="1"/>
    <xf numFmtId="44" fontId="5" fillId="0" borderId="1" xfId="7" applyFont="1" applyFill="1" applyBorder="1"/>
    <xf numFmtId="44" fontId="4" fillId="0" borderId="1" xfId="7" applyFont="1" applyFill="1" applyBorder="1"/>
    <xf numFmtId="43" fontId="6" fillId="0" borderId="2" xfId="3" applyFont="1" applyFill="1" applyBorder="1"/>
    <xf numFmtId="43" fontId="6" fillId="0" borderId="5" xfId="3" applyFont="1" applyFill="1" applyBorder="1"/>
    <xf numFmtId="165" fontId="0" fillId="0" borderId="0" xfId="4" applyNumberFormat="1" applyFont="1"/>
    <xf numFmtId="43" fontId="6" fillId="0" borderId="2" xfId="3" applyFont="1" applyBorder="1"/>
    <xf numFmtId="43" fontId="6" fillId="0" borderId="12" xfId="3" applyFont="1" applyBorder="1"/>
    <xf numFmtId="43" fontId="0" fillId="0" borderId="0" xfId="3" applyFont="1" applyFill="1" applyBorder="1"/>
    <xf numFmtId="164" fontId="6" fillId="0" borderId="1" xfId="3" applyNumberFormat="1" applyFont="1" applyFill="1" applyBorder="1"/>
    <xf numFmtId="164" fontId="7" fillId="0" borderId="1" xfId="3" applyNumberFormat="1" applyFont="1" applyFill="1" applyBorder="1" applyAlignment="1">
      <alignment horizontal="center"/>
    </xf>
    <xf numFmtId="164" fontId="6" fillId="0" borderId="19" xfId="3" applyNumberFormat="1" applyFont="1" applyFill="1" applyBorder="1"/>
    <xf numFmtId="164" fontId="7" fillId="0" borderId="1" xfId="3" applyNumberFormat="1" applyFont="1" applyFill="1" applyBorder="1" applyAlignment="1"/>
    <xf numFmtId="164" fontId="6" fillId="0" borderId="1" xfId="3" applyNumberFormat="1" applyFont="1" applyFill="1" applyBorder="1" applyAlignment="1">
      <alignment horizontal="center"/>
    </xf>
    <xf numFmtId="43" fontId="6" fillId="0" borderId="12" xfId="3" applyFont="1" applyFill="1" applyBorder="1"/>
    <xf numFmtId="43" fontId="6" fillId="0" borderId="6" xfId="3" applyFont="1" applyFill="1" applyBorder="1"/>
    <xf numFmtId="43" fontId="6" fillId="0" borderId="11" xfId="3" applyFont="1" applyFill="1" applyBorder="1"/>
    <xf numFmtId="43" fontId="0" fillId="0" borderId="0" xfId="3" applyFont="1" applyFill="1" applyBorder="1" applyAlignment="1">
      <alignment horizontal="center"/>
    </xf>
    <xf numFmtId="43" fontId="7" fillId="0" borderId="0" xfId="3" applyFont="1" applyFill="1" applyBorder="1" applyAlignment="1">
      <alignment horizontal="center"/>
    </xf>
    <xf numFmtId="43" fontId="6" fillId="0" borderId="0" xfId="3" applyFont="1" applyFill="1" applyBorder="1" applyAlignment="1">
      <alignment horizontal="center"/>
    </xf>
    <xf numFmtId="164" fontId="0" fillId="0" borderId="0" xfId="3" applyNumberFormat="1" applyFont="1"/>
    <xf numFmtId="164" fontId="155" fillId="0" borderId="1" xfId="3" applyNumberFormat="1" applyFont="1" applyBorder="1"/>
    <xf numFmtId="164" fontId="155" fillId="0" borderId="0" xfId="3" applyNumberFormat="1" applyFont="1" applyBorder="1"/>
    <xf numFmtId="164" fontId="6" fillId="0" borderId="63" xfId="3" applyNumberFormat="1" applyFont="1" applyFill="1" applyBorder="1"/>
    <xf numFmtId="164" fontId="7" fillId="0" borderId="63" xfId="3" applyNumberFormat="1" applyFont="1" applyFill="1" applyBorder="1"/>
    <xf numFmtId="164" fontId="155" fillId="0" borderId="0" xfId="3" applyNumberFormat="1" applyFont="1"/>
    <xf numFmtId="164" fontId="6" fillId="0" borderId="0" xfId="3" applyNumberFormat="1" applyFont="1"/>
    <xf numFmtId="0" fontId="6" fillId="0" borderId="0" xfId="3" applyNumberFormat="1" applyFont="1"/>
    <xf numFmtId="164" fontId="6" fillId="0" borderId="75" xfId="3" applyNumberFormat="1" applyFont="1" applyBorder="1"/>
    <xf numFmtId="164" fontId="157" fillId="0" borderId="5" xfId="3" applyNumberFormat="1" applyFont="1" applyFill="1" applyBorder="1"/>
    <xf numFmtId="164" fontId="157" fillId="0" borderId="6" xfId="3" applyNumberFormat="1" applyFont="1" applyFill="1" applyBorder="1"/>
    <xf numFmtId="44" fontId="157" fillId="0" borderId="5" xfId="7" applyFont="1" applyFill="1" applyBorder="1"/>
    <xf numFmtId="44" fontId="157" fillId="0" borderId="6" xfId="7" applyFont="1" applyFill="1" applyBorder="1"/>
    <xf numFmtId="44" fontId="155" fillId="0" borderId="0" xfId="7" applyFont="1" applyFill="1" applyBorder="1"/>
    <xf numFmtId="44" fontId="155" fillId="3" borderId="0" xfId="7" applyFont="1" applyFill="1" applyBorder="1"/>
    <xf numFmtId="164" fontId="155" fillId="0" borderId="2" xfId="3" applyNumberFormat="1" applyFont="1" applyFill="1" applyBorder="1"/>
    <xf numFmtId="44" fontId="155" fillId="0" borderId="4" xfId="7" applyFont="1" applyBorder="1"/>
    <xf numFmtId="164" fontId="5" fillId="0" borderId="1" xfId="3" applyNumberFormat="1" applyFont="1" applyBorder="1"/>
    <xf numFmtId="43" fontId="6" fillId="3" borderId="0" xfId="3" applyFont="1" applyFill="1" applyBorder="1"/>
    <xf numFmtId="43" fontId="6" fillId="0" borderId="4" xfId="3" applyFont="1" applyFill="1" applyBorder="1"/>
    <xf numFmtId="43" fontId="7" fillId="0" borderId="2" xfId="3" applyFont="1" applyFill="1" applyBorder="1" applyAlignment="1">
      <alignment horizontal="center"/>
    </xf>
    <xf numFmtId="43" fontId="6" fillId="0" borderId="1" xfId="3" applyFont="1" applyFill="1" applyBorder="1"/>
    <xf numFmtId="43" fontId="6" fillId="0" borderId="13" xfId="3" applyFont="1" applyFill="1" applyBorder="1"/>
    <xf numFmtId="43" fontId="6" fillId="0" borderId="3" xfId="3" applyFont="1" applyBorder="1"/>
    <xf numFmtId="164" fontId="6" fillId="0" borderId="46" xfId="3" applyNumberFormat="1" applyFont="1" applyBorder="1"/>
    <xf numFmtId="44" fontId="6" fillId="0" borderId="76" xfId="7" applyFont="1" applyFill="1" applyBorder="1"/>
    <xf numFmtId="164" fontId="6" fillId="0" borderId="46" xfId="3" applyNumberFormat="1" applyFont="1" applyFill="1" applyBorder="1"/>
    <xf numFmtId="164" fontId="7" fillId="0" borderId="46" xfId="3" applyNumberFormat="1" applyFont="1" applyFill="1" applyBorder="1" applyAlignment="1">
      <alignment horizontal="center"/>
    </xf>
    <xf numFmtId="164" fontId="7" fillId="0" borderId="46" xfId="3" applyNumberFormat="1" applyFont="1" applyFill="1" applyBorder="1" applyAlignment="1"/>
    <xf numFmtId="44" fontId="6" fillId="0" borderId="46" xfId="7" applyFont="1" applyFill="1" applyBorder="1"/>
    <xf numFmtId="164" fontId="6" fillId="0" borderId="46" xfId="3" applyNumberFormat="1" applyFont="1" applyFill="1" applyBorder="1" applyAlignment="1">
      <alignment horizontal="center"/>
    </xf>
    <xf numFmtId="43" fontId="6" fillId="3" borderId="2" xfId="3" applyFont="1" applyFill="1" applyBorder="1"/>
    <xf numFmtId="0" fontId="55" fillId="0" borderId="62" xfId="0" quotePrefix="1" applyFont="1" applyBorder="1"/>
    <xf numFmtId="0" fontId="10" fillId="0" borderId="62" xfId="1758" applyNumberFormat="1" applyFont="1" applyBorder="1" applyAlignment="1"/>
    <xf numFmtId="0" fontId="10" fillId="0" borderId="62" xfId="1758" applyNumberFormat="1" applyFont="1" applyFill="1" applyBorder="1" applyAlignment="1"/>
    <xf numFmtId="164" fontId="54" fillId="0" borderId="0" xfId="3" applyNumberFormat="1" applyFont="1"/>
    <xf numFmtId="164" fontId="0" fillId="0" borderId="8" xfId="3" applyNumberFormat="1" applyFont="1" applyFill="1" applyBorder="1"/>
    <xf numFmtId="43" fontId="0" fillId="3" borderId="0" xfId="3" applyFont="1" applyFill="1" applyBorder="1"/>
    <xf numFmtId="43" fontId="157" fillId="0" borderId="0" xfId="3" applyFont="1" applyFill="1" applyBorder="1"/>
    <xf numFmtId="164" fontId="155" fillId="0" borderId="0" xfId="3" applyNumberFormat="1" applyFont="1" applyFill="1" applyBorder="1"/>
    <xf numFmtId="43" fontId="155" fillId="0" borderId="0" xfId="3" applyFont="1" applyFill="1" applyBorder="1"/>
    <xf numFmtId="164" fontId="155" fillId="0" borderId="1" xfId="3" applyNumberFormat="1" applyFont="1" applyFill="1" applyBorder="1"/>
    <xf numFmtId="164" fontId="155" fillId="0" borderId="75" xfId="3" applyNumberFormat="1" applyFont="1" applyFill="1" applyBorder="1"/>
    <xf numFmtId="0" fontId="0" fillId="0" borderId="62" xfId="0" applyBorder="1"/>
    <xf numFmtId="164" fontId="155" fillId="0" borderId="5" xfId="3" applyNumberFormat="1" applyFont="1" applyFill="1" applyBorder="1"/>
    <xf numFmtId="164" fontId="155" fillId="0" borderId="6" xfId="3" applyNumberFormat="1" applyFont="1" applyFill="1" applyBorder="1"/>
    <xf numFmtId="164" fontId="155" fillId="0" borderId="5" xfId="3" applyNumberFormat="1" applyFont="1" applyBorder="1"/>
    <xf numFmtId="164" fontId="155" fillId="0" borderId="6" xfId="3" applyNumberFormat="1" applyFont="1" applyBorder="1"/>
    <xf numFmtId="43" fontId="155" fillId="0" borderId="6" xfId="3" applyFont="1" applyFill="1" applyBorder="1"/>
    <xf numFmtId="44" fontId="155" fillId="0" borderId="2" xfId="7" applyFont="1" applyFill="1" applyBorder="1"/>
    <xf numFmtId="44" fontId="155" fillId="0" borderId="0" xfId="7" applyFont="1" applyBorder="1"/>
    <xf numFmtId="44" fontId="155" fillId="0" borderId="5" xfId="7" applyFont="1" applyFill="1" applyBorder="1"/>
    <xf numFmtId="44" fontId="155" fillId="0" borderId="6" xfId="7" applyFont="1" applyFill="1" applyBorder="1"/>
    <xf numFmtId="44" fontId="155" fillId="0" borderId="4" xfId="7" applyFont="1" applyFill="1" applyBorder="1"/>
    <xf numFmtId="43" fontId="155" fillId="0" borderId="2" xfId="3" applyFont="1" applyFill="1" applyBorder="1"/>
    <xf numFmtId="43" fontId="155" fillId="0" borderId="0" xfId="3" applyFont="1" applyBorder="1"/>
    <xf numFmtId="43" fontId="155" fillId="0" borderId="1" xfId="3" applyFont="1" applyBorder="1"/>
    <xf numFmtId="44" fontId="155" fillId="0" borderId="6" xfId="7" applyFont="1" applyBorder="1"/>
    <xf numFmtId="43" fontId="155" fillId="0" borderId="12" xfId="3" applyFont="1" applyFill="1" applyBorder="1"/>
    <xf numFmtId="43" fontId="155" fillId="0" borderId="12" xfId="3" applyFont="1" applyBorder="1"/>
    <xf numFmtId="164" fontId="155" fillId="0" borderId="8" xfId="3" applyNumberFormat="1" applyFont="1" applyFill="1" applyBorder="1"/>
    <xf numFmtId="164" fontId="155" fillId="0" borderId="9" xfId="3" applyNumberFormat="1" applyFont="1" applyFill="1" applyBorder="1"/>
    <xf numFmtId="44" fontId="155" fillId="3" borderId="5" xfId="7" applyFont="1" applyFill="1" applyBorder="1"/>
    <xf numFmtId="44" fontId="155" fillId="3" borderId="6" xfId="7" applyFont="1" applyFill="1" applyBorder="1"/>
    <xf numFmtId="43" fontId="155" fillId="0" borderId="1" xfId="3" applyFont="1" applyFill="1" applyBorder="1"/>
    <xf numFmtId="0" fontId="0" fillId="0" borderId="0" xfId="0" quotePrefix="1"/>
    <xf numFmtId="0" fontId="5" fillId="0" borderId="62" xfId="0" applyFont="1" applyBorder="1" applyAlignment="1">
      <alignment horizontal="center"/>
    </xf>
    <xf numFmtId="43" fontId="0" fillId="0" borderId="13" xfId="3" applyFont="1" applyFill="1" applyBorder="1"/>
    <xf numFmtId="164" fontId="6" fillId="0" borderId="75" xfId="3" applyNumberFormat="1" applyFont="1" applyFill="1" applyBorder="1" applyAlignment="1">
      <alignment horizontal="center"/>
    </xf>
    <xf numFmtId="164" fontId="6" fillId="0" borderId="75" xfId="3" applyNumberFormat="1" applyFont="1" applyFill="1" applyBorder="1"/>
    <xf numFmtId="0" fontId="6" fillId="0" borderId="39" xfId="0" applyFont="1" applyBorder="1"/>
    <xf numFmtId="43" fontId="4" fillId="0" borderId="1" xfId="3" applyFont="1" applyFill="1" applyBorder="1"/>
    <xf numFmtId="43" fontId="0" fillId="0" borderId="1" xfId="3" applyFont="1" applyFill="1" applyBorder="1"/>
    <xf numFmtId="43" fontId="5" fillId="0" borderId="1" xfId="3" applyFont="1" applyFill="1" applyBorder="1"/>
    <xf numFmtId="43" fontId="6" fillId="0" borderId="1" xfId="3" applyFont="1" applyBorder="1"/>
    <xf numFmtId="43" fontId="6" fillId="0" borderId="4" xfId="3" applyFont="1" applyBorder="1"/>
    <xf numFmtId="43" fontId="157" fillId="0" borderId="0" xfId="3" applyFont="1" applyBorder="1"/>
    <xf numFmtId="43" fontId="155" fillId="0" borderId="2" xfId="3" applyFont="1" applyBorder="1"/>
    <xf numFmtId="43" fontId="4" fillId="0" borderId="4" xfId="3" applyFont="1" applyFill="1" applyBorder="1"/>
    <xf numFmtId="43" fontId="157" fillId="3" borderId="2" xfId="3" applyFont="1" applyFill="1" applyBorder="1"/>
    <xf numFmtId="43" fontId="157" fillId="3" borderId="0" xfId="3" applyFont="1" applyFill="1" applyBorder="1"/>
    <xf numFmtId="43" fontId="155" fillId="3" borderId="2" xfId="3" applyFont="1" applyFill="1" applyBorder="1"/>
    <xf numFmtId="43" fontId="6" fillId="3" borderId="5" xfId="3" applyFont="1" applyFill="1" applyBorder="1"/>
    <xf numFmtId="43" fontId="6" fillId="3" borderId="6" xfId="3" applyFont="1" applyFill="1" applyBorder="1"/>
    <xf numFmtId="43" fontId="6" fillId="0" borderId="8" xfId="3" applyFont="1" applyFill="1" applyBorder="1"/>
    <xf numFmtId="44" fontId="6" fillId="0" borderId="0" xfId="7" applyFont="1" applyBorder="1"/>
    <xf numFmtId="44" fontId="155" fillId="3" borderId="2" xfId="7" applyFont="1" applyFill="1" applyBorder="1"/>
    <xf numFmtId="43" fontId="6" fillId="0" borderId="13" xfId="3" applyFont="1" applyBorder="1"/>
    <xf numFmtId="43" fontId="7" fillId="0" borderId="2" xfId="3" applyFont="1" applyFill="1" applyBorder="1" applyAlignment="1"/>
    <xf numFmtId="43" fontId="5" fillId="0" borderId="1" xfId="3" applyFont="1" applyFill="1" applyBorder="1" applyAlignment="1"/>
    <xf numFmtId="43" fontId="157" fillId="0" borderId="6" xfId="3" applyFont="1" applyBorder="1"/>
    <xf numFmtId="43" fontId="6" fillId="0" borderId="6" xfId="3" applyFont="1" applyBorder="1"/>
    <xf numFmtId="43" fontId="6" fillId="0" borderId="7" xfId="3" applyFont="1" applyBorder="1"/>
    <xf numFmtId="43" fontId="157" fillId="0" borderId="12" xfId="3" applyFont="1" applyBorder="1"/>
    <xf numFmtId="43" fontId="8" fillId="0" borderId="4" xfId="3" applyFont="1" applyFill="1" applyBorder="1"/>
    <xf numFmtId="43" fontId="6" fillId="0" borderId="7" xfId="3" applyFont="1" applyFill="1" applyBorder="1"/>
    <xf numFmtId="43" fontId="6" fillId="0" borderId="2" xfId="3" applyFont="1" applyFill="1" applyBorder="1" applyAlignment="1">
      <alignment horizontal="center"/>
    </xf>
    <xf numFmtId="43" fontId="7" fillId="3" borderId="2" xfId="3" applyFont="1" applyFill="1" applyBorder="1" applyAlignment="1">
      <alignment horizontal="center"/>
    </xf>
    <xf numFmtId="43" fontId="7" fillId="3" borderId="0" xfId="3" applyFont="1" applyFill="1" applyBorder="1" applyAlignment="1">
      <alignment horizontal="center"/>
    </xf>
    <xf numFmtId="43" fontId="7" fillId="3" borderId="2" xfId="3" applyFont="1" applyFill="1" applyBorder="1" applyAlignment="1"/>
    <xf numFmtId="43" fontId="7" fillId="3" borderId="0" xfId="3" applyFont="1" applyFill="1" applyBorder="1" applyAlignment="1"/>
    <xf numFmtId="43" fontId="6" fillId="3" borderId="11" xfId="3" applyFont="1" applyFill="1" applyBorder="1"/>
    <xf numFmtId="43" fontId="6" fillId="3" borderId="12" xfId="3" applyFont="1" applyFill="1" applyBorder="1"/>
    <xf numFmtId="43" fontId="155" fillId="3" borderId="11" xfId="3" applyFont="1" applyFill="1" applyBorder="1"/>
    <xf numFmtId="43" fontId="6" fillId="3" borderId="2" xfId="3" applyFont="1" applyFill="1" applyBorder="1" applyAlignment="1">
      <alignment horizontal="center"/>
    </xf>
    <xf numFmtId="43" fontId="6" fillId="3" borderId="0" xfId="3" applyFont="1" applyFill="1" applyBorder="1" applyAlignment="1">
      <alignment horizontal="center"/>
    </xf>
    <xf numFmtId="43" fontId="6" fillId="0" borderId="59" xfId="3" applyFont="1" applyBorder="1"/>
    <xf numFmtId="43" fontId="157" fillId="0" borderId="0" xfId="3" applyFont="1"/>
    <xf numFmtId="43" fontId="157" fillId="0" borderId="11" xfId="3" applyFont="1" applyFill="1" applyBorder="1"/>
    <xf numFmtId="43" fontId="157" fillId="0" borderId="12" xfId="3" applyFont="1" applyFill="1" applyBorder="1"/>
    <xf numFmtId="43" fontId="157" fillId="0" borderId="2" xfId="3" applyFont="1" applyFill="1" applyBorder="1"/>
    <xf numFmtId="43" fontId="157" fillId="0" borderId="5" xfId="3" applyFont="1" applyFill="1" applyBorder="1"/>
    <xf numFmtId="43" fontId="157" fillId="0" borderId="6" xfId="3" applyFont="1" applyFill="1" applyBorder="1"/>
    <xf numFmtId="43" fontId="0" fillId="0" borderId="8" xfId="3" applyFont="1" applyFill="1" applyBorder="1"/>
    <xf numFmtId="43" fontId="0" fillId="0" borderId="2" xfId="3" applyFont="1" applyFill="1" applyBorder="1"/>
    <xf numFmtId="43" fontId="0" fillId="3" borderId="0" xfId="3" applyFont="1" applyFill="1" applyBorder="1" applyAlignment="1">
      <alignment horizontal="center"/>
    </xf>
    <xf numFmtId="43" fontId="0" fillId="0" borderId="1" xfId="3" applyFont="1" applyFill="1" applyBorder="1" applyAlignment="1">
      <alignment horizontal="center"/>
    </xf>
    <xf numFmtId="43" fontId="0" fillId="3" borderId="1" xfId="3" applyFont="1" applyFill="1" applyBorder="1" applyAlignment="1">
      <alignment horizontal="center"/>
    </xf>
    <xf numFmtId="43" fontId="0" fillId="3" borderId="2" xfId="3" applyFont="1" applyFill="1" applyBorder="1"/>
    <xf numFmtId="43" fontId="0" fillId="3" borderId="8" xfId="3" applyFont="1" applyFill="1" applyBorder="1"/>
    <xf numFmtId="44" fontId="6" fillId="0" borderId="9" xfId="7" applyFont="1" applyFill="1" applyBorder="1"/>
    <xf numFmtId="44" fontId="6" fillId="3" borderId="8" xfId="7" applyFont="1" applyFill="1" applyBorder="1"/>
    <xf numFmtId="44" fontId="6" fillId="3" borderId="9" xfId="7" applyFont="1" applyFill="1" applyBorder="1"/>
    <xf numFmtId="43" fontId="6" fillId="0" borderId="1" xfId="3" applyFont="1" applyFill="1" applyBorder="1" applyAlignment="1">
      <alignment horizontal="center"/>
    </xf>
    <xf numFmtId="0" fontId="7" fillId="0" borderId="0" xfId="3" applyNumberFormat="1" applyFont="1" applyAlignment="1">
      <alignment horizontal="right"/>
    </xf>
    <xf numFmtId="43" fontId="6" fillId="0" borderId="75" xfId="3" applyFont="1" applyFill="1" applyBorder="1"/>
    <xf numFmtId="43" fontId="6" fillId="0" borderId="77" xfId="3" applyFont="1" applyFill="1" applyBorder="1"/>
    <xf numFmtId="43" fontId="7" fillId="0" borderId="74" xfId="3" applyFont="1" applyFill="1" applyBorder="1"/>
    <xf numFmtId="44" fontId="7" fillId="0" borderId="74" xfId="7" applyFont="1" applyFill="1" applyBorder="1"/>
    <xf numFmtId="0" fontId="7" fillId="0" borderId="0" xfId="0" applyFont="1"/>
    <xf numFmtId="0" fontId="7" fillId="0" borderId="0" xfId="0" applyFont="1" applyAlignment="1">
      <alignment horizontal="right"/>
    </xf>
    <xf numFmtId="164" fontId="6" fillId="0" borderId="65" xfId="3" applyNumberFormat="1" applyFont="1" applyFill="1" applyBorder="1"/>
    <xf numFmtId="0" fontId="7" fillId="0" borderId="1" xfId="0" applyFont="1" applyBorder="1" applyAlignment="1">
      <alignment horizontal="right"/>
    </xf>
    <xf numFmtId="43" fontId="0" fillId="0" borderId="0" xfId="0" applyNumberFormat="1"/>
    <xf numFmtId="0" fontId="5" fillId="0" borderId="12" xfId="0" applyFont="1" applyBorder="1" applyAlignment="1">
      <alignment horizontal="center"/>
    </xf>
    <xf numFmtId="43" fontId="6" fillId="0" borderId="75" xfId="3" applyFont="1" applyBorder="1"/>
    <xf numFmtId="43" fontId="6" fillId="0" borderId="74" xfId="3" applyFont="1" applyFill="1" applyBorder="1"/>
    <xf numFmtId="44" fontId="6" fillId="0" borderId="74" xfId="7" applyFont="1" applyFill="1" applyBorder="1"/>
    <xf numFmtId="43" fontId="7" fillId="0" borderId="75" xfId="3" applyFont="1" applyFill="1" applyBorder="1" applyAlignment="1">
      <alignment horizontal="center"/>
    </xf>
    <xf numFmtId="43" fontId="7" fillId="0" borderId="75" xfId="3" applyFont="1" applyFill="1" applyBorder="1" applyAlignment="1"/>
    <xf numFmtId="164" fontId="7" fillId="0" borderId="75" xfId="3" applyNumberFormat="1" applyFont="1" applyBorder="1"/>
    <xf numFmtId="43" fontId="7" fillId="0" borderId="75" xfId="3" applyFont="1" applyFill="1" applyBorder="1"/>
    <xf numFmtId="164" fontId="7" fillId="0" borderId="75" xfId="3" applyNumberFormat="1" applyFont="1" applyFill="1" applyBorder="1"/>
    <xf numFmtId="44" fontId="7" fillId="0" borderId="75" xfId="7" applyFont="1" applyFill="1" applyBorder="1"/>
    <xf numFmtId="43" fontId="6" fillId="0" borderId="74" xfId="3" applyFont="1" applyBorder="1"/>
    <xf numFmtId="164" fontId="7" fillId="0" borderId="75" xfId="3" applyNumberFormat="1" applyFont="1" applyFill="1" applyBorder="1" applyAlignment="1">
      <alignment horizontal="center"/>
    </xf>
    <xf numFmtId="43" fontId="5" fillId="0" borderId="75" xfId="3" applyFont="1" applyFill="1" applyBorder="1"/>
    <xf numFmtId="43" fontId="5" fillId="0" borderId="75" xfId="3" applyFont="1" applyFill="1" applyBorder="1" applyAlignment="1">
      <alignment horizontal="center"/>
    </xf>
    <xf numFmtId="43" fontId="5" fillId="0" borderId="78" xfId="3" applyFont="1" applyFill="1" applyBorder="1"/>
    <xf numFmtId="43" fontId="5" fillId="3" borderId="75" xfId="3" applyFont="1" applyFill="1" applyBorder="1" applyAlignment="1">
      <alignment horizontal="center"/>
    </xf>
    <xf numFmtId="43" fontId="6" fillId="0" borderId="77" xfId="3" applyFont="1" applyBorder="1"/>
    <xf numFmtId="164" fontId="0" fillId="0" borderId="75" xfId="3" applyNumberFormat="1" applyFont="1" applyFill="1" applyBorder="1"/>
    <xf numFmtId="43" fontId="0" fillId="3" borderId="75" xfId="3" applyFont="1" applyFill="1" applyBorder="1" applyAlignment="1">
      <alignment horizontal="center"/>
    </xf>
    <xf numFmtId="43" fontId="7" fillId="0" borderId="75" xfId="3" applyFont="1" applyBorder="1"/>
    <xf numFmtId="164" fontId="6" fillId="0" borderId="74" xfId="3" applyNumberFormat="1" applyFont="1" applyFill="1" applyBorder="1"/>
    <xf numFmtId="164" fontId="7" fillId="0" borderId="75" xfId="3" applyNumberFormat="1" applyFont="1" applyFill="1" applyBorder="1" applyAlignment="1"/>
    <xf numFmtId="164" fontId="0" fillId="0" borderId="78" xfId="3" applyNumberFormat="1" applyFont="1" applyFill="1" applyBorder="1"/>
    <xf numFmtId="164" fontId="6" fillId="0" borderId="76" xfId="3" applyNumberFormat="1" applyFont="1" applyFill="1" applyBorder="1"/>
    <xf numFmtId="164" fontId="7" fillId="0" borderId="46" xfId="3" applyNumberFormat="1" applyFont="1" applyFill="1" applyBorder="1"/>
    <xf numFmtId="43" fontId="6" fillId="0" borderId="79" xfId="3" applyFont="1" applyFill="1" applyBorder="1"/>
    <xf numFmtId="0" fontId="5" fillId="0" borderId="0" xfId="0" applyFont="1" applyAlignment="1">
      <alignment horizontal="center"/>
    </xf>
    <xf numFmtId="44" fontId="0" fillId="0" borderId="0" xfId="0" applyNumberFormat="1"/>
    <xf numFmtId="43" fontId="0" fillId="0" borderId="0" xfId="3" applyFont="1" applyBorder="1"/>
    <xf numFmtId="43" fontId="6" fillId="0" borderId="49" xfId="3" applyFont="1" applyFill="1" applyBorder="1"/>
    <xf numFmtId="44" fontId="6" fillId="0" borderId="49" xfId="7" applyFont="1" applyFill="1" applyBorder="1"/>
    <xf numFmtId="164" fontId="0" fillId="0" borderId="0" xfId="0" applyNumberFormat="1"/>
    <xf numFmtId="43" fontId="10" fillId="0" borderId="63" xfId="1758" applyFont="1" applyBorder="1"/>
    <xf numFmtId="43" fontId="10" fillId="0" borderId="6" xfId="1758" applyFont="1" applyBorder="1"/>
    <xf numFmtId="164" fontId="23" fillId="0" borderId="1" xfId="3" applyNumberFormat="1" applyFont="1" applyFill="1" applyBorder="1"/>
    <xf numFmtId="43" fontId="10" fillId="0" borderId="0" xfId="1758" applyFont="1" applyBorder="1"/>
    <xf numFmtId="43" fontId="6" fillId="0" borderId="0" xfId="0" applyNumberFormat="1" applyFont="1"/>
    <xf numFmtId="43" fontId="155" fillId="0" borderId="5" xfId="3" applyFont="1" applyFill="1" applyBorder="1"/>
    <xf numFmtId="164" fontId="155" fillId="0" borderId="82" xfId="3" applyNumberFormat="1" applyFont="1" applyFill="1" applyBorder="1"/>
    <xf numFmtId="43" fontId="6" fillId="0" borderId="3" xfId="3" applyFont="1" applyFill="1" applyBorder="1"/>
    <xf numFmtId="43" fontId="157" fillId="0" borderId="0" xfId="3" applyFont="1" applyFill="1"/>
    <xf numFmtId="164" fontId="6" fillId="0" borderId="49" xfId="3" applyNumberFormat="1" applyFont="1" applyFill="1" applyBorder="1"/>
    <xf numFmtId="164" fontId="7" fillId="0" borderId="70" xfId="3" applyNumberFormat="1" applyFont="1" applyFill="1" applyBorder="1"/>
    <xf numFmtId="164" fontId="7" fillId="0" borderId="71" xfId="3" applyNumberFormat="1" applyFont="1" applyFill="1" applyBorder="1"/>
    <xf numFmtId="164" fontId="7" fillId="3" borderId="71" xfId="3" applyNumberFormat="1" applyFont="1" applyFill="1" applyBorder="1"/>
    <xf numFmtId="164" fontId="7" fillId="3" borderId="63" xfId="3" applyNumberFormat="1" applyFont="1" applyFill="1" applyBorder="1"/>
    <xf numFmtId="164" fontId="7" fillId="0" borderId="55" xfId="3" applyNumberFormat="1" applyFont="1" applyFill="1" applyBorder="1"/>
    <xf numFmtId="164" fontId="7" fillId="0" borderId="5" xfId="3" applyNumberFormat="1" applyFont="1" applyFill="1" applyBorder="1"/>
    <xf numFmtId="164" fontId="7" fillId="0" borderId="6" xfId="3" applyNumberFormat="1" applyFont="1" applyFill="1" applyBorder="1"/>
    <xf numFmtId="164" fontId="7" fillId="0" borderId="76" xfId="3" applyNumberFormat="1" applyFont="1" applyFill="1" applyBorder="1"/>
    <xf numFmtId="164" fontId="7" fillId="3" borderId="5" xfId="3" applyNumberFormat="1" applyFont="1" applyFill="1" applyBorder="1"/>
    <xf numFmtId="164" fontId="7" fillId="3" borderId="6" xfId="3" applyNumberFormat="1" applyFont="1" applyFill="1" applyBorder="1"/>
    <xf numFmtId="164" fontId="7" fillId="0" borderId="74" xfId="3" applyNumberFormat="1" applyFont="1" applyFill="1" applyBorder="1"/>
    <xf numFmtId="164" fontId="7" fillId="0" borderId="73" xfId="3" applyNumberFormat="1" applyFont="1" applyFill="1" applyBorder="1"/>
    <xf numFmtId="164" fontId="6" fillId="0" borderId="7" xfId="3" applyNumberFormat="1" applyFont="1" applyFill="1" applyBorder="1"/>
    <xf numFmtId="164" fontId="7" fillId="0" borderId="7" xfId="3" applyNumberFormat="1" applyFont="1" applyFill="1" applyBorder="1"/>
    <xf numFmtId="44" fontId="7" fillId="0" borderId="55" xfId="7" applyFont="1" applyFill="1" applyBorder="1"/>
    <xf numFmtId="44" fontId="6" fillId="0" borderId="3" xfId="7" applyFont="1" applyFill="1" applyBorder="1"/>
    <xf numFmtId="164" fontId="7" fillId="0" borderId="69" xfId="3" applyNumberFormat="1" applyFont="1" applyFill="1" applyBorder="1"/>
    <xf numFmtId="164" fontId="6" fillId="0" borderId="81" xfId="3" applyNumberFormat="1" applyFont="1" applyFill="1" applyBorder="1"/>
    <xf numFmtId="164" fontId="7" fillId="0" borderId="81" xfId="3" applyNumberFormat="1" applyFont="1" applyFill="1" applyBorder="1"/>
    <xf numFmtId="164" fontId="6" fillId="0" borderId="49" xfId="3" applyNumberFormat="1" applyFont="1" applyFill="1" applyBorder="1" applyAlignment="1">
      <alignment horizontal="center"/>
    </xf>
    <xf numFmtId="164" fontId="6" fillId="0" borderId="18" xfId="3" applyNumberFormat="1" applyFont="1" applyFill="1" applyBorder="1"/>
    <xf numFmtId="164" fontId="6" fillId="0" borderId="3" xfId="3" applyNumberFormat="1" applyFont="1" applyFill="1" applyBorder="1"/>
    <xf numFmtId="164" fontId="6" fillId="0" borderId="3" xfId="3" applyNumberFormat="1" applyFont="1" applyFill="1" applyBorder="1" applyAlignment="1">
      <alignment horizontal="center"/>
    </xf>
    <xf numFmtId="164" fontId="7" fillId="0" borderId="60" xfId="3" applyNumberFormat="1" applyFont="1" applyFill="1" applyBorder="1"/>
    <xf numFmtId="164" fontId="7" fillId="0" borderId="4" xfId="3" applyNumberFormat="1" applyFont="1" applyFill="1" applyBorder="1"/>
    <xf numFmtId="164" fontId="0" fillId="0" borderId="9" xfId="3" applyNumberFormat="1" applyFont="1" applyFill="1" applyBorder="1"/>
    <xf numFmtId="44" fontId="7" fillId="0" borderId="9" xfId="7" applyFont="1" applyFill="1" applyBorder="1"/>
    <xf numFmtId="43" fontId="0" fillId="0" borderId="60" xfId="3" applyFont="1" applyFill="1" applyBorder="1"/>
    <xf numFmtId="164" fontId="4" fillId="0" borderId="2" xfId="3" applyNumberFormat="1" applyFont="1" applyFill="1" applyBorder="1"/>
    <xf numFmtId="43" fontId="6" fillId="92" borderId="6" xfId="3" applyFont="1" applyFill="1" applyBorder="1"/>
    <xf numFmtId="164" fontId="6" fillId="0" borderId="4" xfId="3" applyNumberFormat="1" applyFont="1" applyFill="1" applyBorder="1"/>
    <xf numFmtId="43" fontId="23" fillId="0" borderId="0" xfId="3" applyFont="1" applyFill="1" applyBorder="1"/>
    <xf numFmtId="43" fontId="23" fillId="0" borderId="6" xfId="3" applyFont="1" applyFill="1" applyBorder="1"/>
    <xf numFmtId="43" fontId="157" fillId="3" borderId="12" xfId="3" applyFont="1" applyFill="1" applyBorder="1"/>
    <xf numFmtId="43" fontId="157" fillId="3" borderId="11" xfId="3" applyFont="1" applyFill="1" applyBorder="1"/>
    <xf numFmtId="43" fontId="6" fillId="0" borderId="63" xfId="3" applyFont="1" applyFill="1" applyBorder="1"/>
    <xf numFmtId="44" fontId="6" fillId="0" borderId="63" xfId="7" applyFont="1" applyFill="1" applyBorder="1"/>
    <xf numFmtId="44" fontId="155" fillId="0" borderId="12" xfId="7" applyFont="1" applyBorder="1"/>
    <xf numFmtId="43" fontId="23" fillId="3" borderId="0" xfId="3" applyFont="1" applyFill="1" applyBorder="1"/>
    <xf numFmtId="43" fontId="23" fillId="3" borderId="6" xfId="3" applyFont="1" applyFill="1" applyBorder="1"/>
    <xf numFmtId="164" fontId="23" fillId="3" borderId="9" xfId="3" applyNumberFormat="1" applyFont="1" applyFill="1" applyBorder="1"/>
    <xf numFmtId="166" fontId="6" fillId="0" borderId="0" xfId="7" applyNumberFormat="1" applyFont="1" applyFill="1" applyBorder="1"/>
    <xf numFmtId="166" fontId="6" fillId="0" borderId="46" xfId="7" applyNumberFormat="1" applyFont="1" applyFill="1" applyBorder="1"/>
    <xf numFmtId="164" fontId="157" fillId="0" borderId="0" xfId="3" applyNumberFormat="1" applyFont="1" applyFill="1" applyBorder="1"/>
    <xf numFmtId="164" fontId="23" fillId="0" borderId="6" xfId="3" applyNumberFormat="1" applyFont="1" applyFill="1" applyBorder="1"/>
    <xf numFmtId="164" fontId="0" fillId="0" borderId="0" xfId="3" applyNumberFormat="1" applyFont="1" applyFill="1" applyBorder="1" applyAlignment="1">
      <alignment horizontal="center"/>
    </xf>
    <xf numFmtId="164" fontId="0" fillId="0" borderId="75" xfId="3" applyNumberFormat="1" applyFont="1" applyFill="1" applyBorder="1" applyAlignment="1">
      <alignment horizontal="center"/>
    </xf>
    <xf numFmtId="43" fontId="0" fillId="0" borderId="2" xfId="3" applyFont="1" applyFill="1" applyBorder="1" applyAlignment="1">
      <alignment horizontal="center"/>
    </xf>
    <xf numFmtId="43" fontId="0" fillId="0" borderId="11" xfId="3" applyFont="1" applyFill="1" applyBorder="1"/>
    <xf numFmtId="43" fontId="5" fillId="0" borderId="0" xfId="0" applyNumberFormat="1" applyFont="1"/>
    <xf numFmtId="164" fontId="10" fillId="0" borderId="0" xfId="3" applyNumberFormat="1" applyFont="1"/>
    <xf numFmtId="0" fontId="0" fillId="0" borderId="0" xfId="0" applyAlignment="1">
      <alignment horizontal="center"/>
    </xf>
    <xf numFmtId="164" fontId="157" fillId="0" borderId="2" xfId="3" applyNumberFormat="1" applyFont="1" applyFill="1" applyBorder="1"/>
    <xf numFmtId="166" fontId="6" fillId="0" borderId="2" xfId="7" applyNumberFormat="1" applyFont="1" applyFill="1" applyBorder="1"/>
    <xf numFmtId="166" fontId="6" fillId="0" borderId="75" xfId="7" applyNumberFormat="1" applyFont="1" applyFill="1" applyBorder="1"/>
    <xf numFmtId="164" fontId="0" fillId="0" borderId="2" xfId="3" applyNumberFormat="1" applyFont="1" applyFill="1" applyBorder="1" applyAlignment="1">
      <alignment horizontal="center"/>
    </xf>
    <xf numFmtId="164" fontId="0" fillId="0" borderId="46" xfId="3" applyNumberFormat="1" applyFont="1" applyFill="1" applyBorder="1" applyAlignment="1">
      <alignment horizontal="center"/>
    </xf>
    <xf numFmtId="164" fontId="0" fillId="0" borderId="46" xfId="3" applyNumberFormat="1" applyFont="1" applyFill="1" applyBorder="1"/>
    <xf numFmtId="43" fontId="157" fillId="0" borderId="49" xfId="3" applyFont="1" applyFill="1" applyBorder="1"/>
    <xf numFmtId="43" fontId="0" fillId="0" borderId="75" xfId="3" applyFont="1" applyFill="1" applyBorder="1" applyAlignment="1">
      <alignment horizontal="center"/>
    </xf>
    <xf numFmtId="43" fontId="157" fillId="0" borderId="50" xfId="3" applyFont="1" applyFill="1" applyBorder="1"/>
    <xf numFmtId="0" fontId="0" fillId="0" borderId="61" xfId="0" applyBorder="1"/>
    <xf numFmtId="0" fontId="5" fillId="0" borderId="61" xfId="0" applyFont="1" applyBorder="1" applyAlignment="1">
      <alignment horizontal="center"/>
    </xf>
    <xf numFmtId="0" fontId="158" fillId="0" borderId="56" xfId="0" applyFont="1" applyBorder="1"/>
    <xf numFmtId="0" fontId="5" fillId="0" borderId="56" xfId="0" applyFont="1" applyBorder="1" applyAlignment="1">
      <alignment horizontal="center"/>
    </xf>
    <xf numFmtId="0" fontId="55" fillId="3" borderId="62" xfId="0" quotePrefix="1" applyFont="1" applyFill="1" applyBorder="1"/>
    <xf numFmtId="0" fontId="0" fillId="3" borderId="62" xfId="0" applyFill="1" applyBorder="1"/>
    <xf numFmtId="0" fontId="53" fillId="3" borderId="62" xfId="1758" applyNumberFormat="1" applyFont="1" applyFill="1" applyBorder="1" applyAlignment="1"/>
    <xf numFmtId="0" fontId="10" fillId="3" borderId="62" xfId="1758" applyNumberFormat="1" applyFont="1" applyFill="1" applyBorder="1" applyAlignment="1"/>
    <xf numFmtId="1" fontId="0" fillId="0" borderId="0" xfId="0" applyNumberFormat="1"/>
    <xf numFmtId="2" fontId="0" fillId="0" borderId="0" xfId="0" applyNumberFormat="1"/>
    <xf numFmtId="43" fontId="0" fillId="0" borderId="62" xfId="3" applyFont="1" applyBorder="1"/>
    <xf numFmtId="43" fontId="0" fillId="3" borderId="62" xfId="3" applyFont="1" applyFill="1" applyBorder="1"/>
    <xf numFmtId="43" fontId="5" fillId="3" borderId="62" xfId="3" applyFont="1" applyFill="1" applyBorder="1"/>
    <xf numFmtId="43" fontId="5" fillId="0" borderId="62" xfId="3" applyFont="1" applyBorder="1" applyAlignment="1">
      <alignment horizontal="center"/>
    </xf>
    <xf numFmtId="43" fontId="5" fillId="0" borderId="56" xfId="3" applyFont="1" applyBorder="1" applyAlignment="1">
      <alignment horizontal="center"/>
    </xf>
    <xf numFmtId="10" fontId="0" fillId="0" borderId="0" xfId="4" applyNumberFormat="1" applyFont="1"/>
    <xf numFmtId="164" fontId="23" fillId="0" borderId="0" xfId="3" applyNumberFormat="1" applyFont="1" applyFill="1" applyBorder="1"/>
    <xf numFmtId="44" fontId="23" fillId="0" borderId="0" xfId="7" applyFont="1" applyFill="1" applyBorder="1"/>
    <xf numFmtId="44" fontId="23" fillId="0" borderId="6" xfId="7" applyFont="1" applyFill="1" applyBorder="1"/>
    <xf numFmtId="43" fontId="159" fillId="0" borderId="0" xfId="3" applyFont="1" applyFill="1" applyBorder="1" applyAlignment="1">
      <alignment horizontal="center"/>
    </xf>
    <xf numFmtId="164" fontId="23" fillId="0" borderId="9" xfId="3" applyNumberFormat="1" applyFont="1" applyFill="1" applyBorder="1"/>
    <xf numFmtId="43" fontId="159" fillId="0" borderId="0" xfId="3" applyFont="1" applyFill="1" applyBorder="1" applyAlignment="1"/>
    <xf numFmtId="43" fontId="23" fillId="0" borderId="12" xfId="3" applyFont="1" applyFill="1" applyBorder="1"/>
    <xf numFmtId="43" fontId="0" fillId="0" borderId="0" xfId="1758" applyFont="1" applyBorder="1"/>
    <xf numFmtId="43" fontId="0" fillId="0" borderId="49" xfId="1758" applyFont="1" applyBorder="1"/>
    <xf numFmtId="43" fontId="0" fillId="3" borderId="2" xfId="3" applyFont="1" applyFill="1" applyBorder="1" applyAlignment="1">
      <alignment horizontal="center"/>
    </xf>
    <xf numFmtId="43" fontId="5" fillId="0" borderId="2" xfId="3" applyFont="1" applyFill="1" applyBorder="1"/>
    <xf numFmtId="43" fontId="4" fillId="0" borderId="5" xfId="3" applyFont="1" applyFill="1" applyBorder="1"/>
    <xf numFmtId="43" fontId="7" fillId="0" borderId="78" xfId="3" applyFont="1" applyFill="1" applyBorder="1"/>
    <xf numFmtId="43" fontId="7" fillId="0" borderId="76" xfId="3" applyFont="1" applyFill="1" applyBorder="1"/>
    <xf numFmtId="43" fontId="7" fillId="0" borderId="46" xfId="3" applyFont="1" applyFill="1" applyBorder="1"/>
    <xf numFmtId="164" fontId="6" fillId="0" borderId="82" xfId="3" applyNumberFormat="1" applyFont="1" applyFill="1" applyBorder="1"/>
    <xf numFmtId="164" fontId="5" fillId="0" borderId="2" xfId="3" applyNumberFormat="1" applyFont="1" applyBorder="1"/>
    <xf numFmtId="44" fontId="155" fillId="0" borderId="58" xfId="7" applyFont="1" applyBorder="1"/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indent="1"/>
    </xf>
    <xf numFmtId="43" fontId="6" fillId="0" borderId="60" xfId="3" applyFont="1" applyFill="1" applyBorder="1" applyAlignment="1"/>
    <xf numFmtId="43" fontId="0" fillId="0" borderId="63" xfId="3" applyFont="1" applyFill="1" applyBorder="1"/>
    <xf numFmtId="43" fontId="5" fillId="0" borderId="55" xfId="3" applyFont="1" applyFill="1" applyBorder="1"/>
    <xf numFmtId="43" fontId="0" fillId="0" borderId="82" xfId="3" applyFont="1" applyFill="1" applyBorder="1"/>
    <xf numFmtId="43" fontId="23" fillId="89" borderId="0" xfId="3" applyFont="1" applyFill="1" applyBorder="1"/>
    <xf numFmtId="0" fontId="6" fillId="0" borderId="68" xfId="0" applyFont="1" applyBorder="1"/>
    <xf numFmtId="10" fontId="157" fillId="0" borderId="0" xfId="4" applyNumberFormat="1" applyFont="1"/>
    <xf numFmtId="165" fontId="157" fillId="0" borderId="0" xfId="4" applyNumberFormat="1" applyFont="1"/>
    <xf numFmtId="164" fontId="6" fillId="0" borderId="50" xfId="3" applyNumberFormat="1" applyFont="1" applyFill="1" applyBorder="1"/>
    <xf numFmtId="164" fontId="157" fillId="0" borderId="11" xfId="3" applyNumberFormat="1" applyFont="1" applyFill="1" applyBorder="1"/>
    <xf numFmtId="164" fontId="157" fillId="0" borderId="12" xfId="3" applyNumberFormat="1" applyFont="1" applyFill="1" applyBorder="1"/>
    <xf numFmtId="164" fontId="157" fillId="0" borderId="50" xfId="3" applyNumberFormat="1" applyFont="1" applyFill="1" applyBorder="1"/>
    <xf numFmtId="44" fontId="7" fillId="0" borderId="8" xfId="7" applyFont="1" applyFill="1" applyBorder="1"/>
    <xf numFmtId="164" fontId="6" fillId="0" borderId="14" xfId="3" applyNumberFormat="1" applyFont="1" applyFill="1" applyBorder="1"/>
    <xf numFmtId="44" fontId="7" fillId="0" borderId="18" xfId="7" applyFont="1" applyFill="1" applyBorder="1"/>
    <xf numFmtId="44" fontId="7" fillId="0" borderId="80" xfId="7" applyFont="1" applyFill="1" applyBorder="1"/>
    <xf numFmtId="43" fontId="7" fillId="0" borderId="46" xfId="3" applyFont="1" applyFill="1" applyBorder="1" applyAlignment="1">
      <alignment horizontal="center"/>
    </xf>
    <xf numFmtId="43" fontId="7" fillId="0" borderId="46" xfId="3" applyFont="1" applyFill="1" applyBorder="1" applyAlignment="1"/>
    <xf numFmtId="43" fontId="6" fillId="0" borderId="76" xfId="3" applyFont="1" applyFill="1" applyBorder="1"/>
    <xf numFmtId="43" fontId="23" fillId="3" borderId="2" xfId="3" applyFont="1" applyFill="1" applyBorder="1"/>
    <xf numFmtId="43" fontId="23" fillId="3" borderId="5" xfId="3" applyFont="1" applyFill="1" applyBorder="1"/>
    <xf numFmtId="164" fontId="23" fillId="3" borderId="8" xfId="3" applyNumberFormat="1" applyFont="1" applyFill="1" applyBorder="1"/>
    <xf numFmtId="0" fontId="0" fillId="0" borderId="2" xfId="0" applyBorder="1"/>
    <xf numFmtId="43" fontId="6" fillId="0" borderId="66" xfId="3" applyFont="1" applyFill="1" applyBorder="1"/>
    <xf numFmtId="43" fontId="157" fillId="0" borderId="62" xfId="3" applyFont="1" applyBorder="1"/>
    <xf numFmtId="43" fontId="160" fillId="3" borderId="62" xfId="3" applyFont="1" applyFill="1" applyBorder="1"/>
    <xf numFmtId="43" fontId="157" fillId="3" borderId="62" xfId="3" applyFont="1" applyFill="1" applyBorder="1"/>
    <xf numFmtId="43" fontId="157" fillId="0" borderId="62" xfId="3" applyFont="1" applyFill="1" applyBorder="1"/>
    <xf numFmtId="0" fontId="5" fillId="0" borderId="61" xfId="3" applyNumberFormat="1" applyFont="1" applyBorder="1" applyAlignment="1">
      <alignment horizontal="center"/>
    </xf>
    <xf numFmtId="43" fontId="157" fillId="0" borderId="63" xfId="3" applyFont="1" applyFill="1" applyBorder="1"/>
    <xf numFmtId="0" fontId="7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6" fillId="0" borderId="3" xfId="0" applyFont="1" applyBorder="1"/>
    <xf numFmtId="43" fontId="7" fillId="0" borderId="3" xfId="3" applyFont="1" applyFill="1" applyBorder="1"/>
    <xf numFmtId="43" fontId="7" fillId="0" borderId="3" xfId="3" applyFont="1" applyFill="1" applyBorder="1" applyAlignment="1">
      <alignment horizontal="center"/>
    </xf>
    <xf numFmtId="43" fontId="6" fillId="0" borderId="49" xfId="3" applyFont="1" applyFill="1" applyBorder="1" applyAlignment="1">
      <alignment horizontal="center"/>
    </xf>
    <xf numFmtId="44" fontId="6" fillId="3" borderId="71" xfId="7" applyFont="1" applyFill="1" applyBorder="1"/>
    <xf numFmtId="44" fontId="6" fillId="3" borderId="63" xfId="7" applyFont="1" applyFill="1" applyBorder="1"/>
    <xf numFmtId="43" fontId="0" fillId="3" borderId="71" xfId="3" applyFont="1" applyFill="1" applyBorder="1"/>
    <xf numFmtId="43" fontId="0" fillId="3" borderId="63" xfId="3" applyFont="1" applyFill="1" applyBorder="1"/>
    <xf numFmtId="43" fontId="0" fillId="3" borderId="65" xfId="3" applyFont="1" applyFill="1" applyBorder="1"/>
    <xf numFmtId="164" fontId="6" fillId="3" borderId="65" xfId="3" applyNumberFormat="1" applyFont="1" applyFill="1" applyBorder="1"/>
    <xf numFmtId="43" fontId="157" fillId="3" borderId="5" xfId="3" applyFont="1" applyFill="1" applyBorder="1"/>
    <xf numFmtId="43" fontId="157" fillId="3" borderId="6" xfId="3" applyFont="1" applyFill="1" applyBorder="1"/>
    <xf numFmtId="164" fontId="6" fillId="3" borderId="57" xfId="3" applyNumberFormat="1" applyFont="1" applyFill="1" applyBorder="1"/>
    <xf numFmtId="164" fontId="6" fillId="3" borderId="58" xfId="3" applyNumberFormat="1" applyFont="1" applyFill="1" applyBorder="1"/>
    <xf numFmtId="164" fontId="23" fillId="3" borderId="2" xfId="3" applyNumberFormat="1" applyFont="1" applyFill="1" applyBorder="1"/>
    <xf numFmtId="164" fontId="23" fillId="3" borderId="0" xfId="3" applyNumberFormat="1" applyFont="1" applyFill="1" applyBorder="1"/>
    <xf numFmtId="44" fontId="23" fillId="3" borderId="2" xfId="7" applyFont="1" applyFill="1" applyBorder="1"/>
    <xf numFmtId="44" fontId="23" fillId="3" borderId="0" xfId="7" applyFont="1" applyFill="1" applyBorder="1"/>
    <xf numFmtId="44" fontId="23" fillId="3" borderId="5" xfId="7" applyFont="1" applyFill="1" applyBorder="1"/>
    <xf numFmtId="44" fontId="23" fillId="3" borderId="6" xfId="7" applyFont="1" applyFill="1" applyBorder="1"/>
    <xf numFmtId="43" fontId="159" fillId="3" borderId="2" xfId="3" applyFont="1" applyFill="1" applyBorder="1" applyAlignment="1">
      <alignment horizontal="center"/>
    </xf>
    <xf numFmtId="43" fontId="159" fillId="3" borderId="0" xfId="3" applyFont="1" applyFill="1" applyBorder="1" applyAlignment="1">
      <alignment horizontal="center"/>
    </xf>
    <xf numFmtId="43" fontId="159" fillId="3" borderId="2" xfId="3" applyFont="1" applyFill="1" applyBorder="1" applyAlignment="1"/>
    <xf numFmtId="43" fontId="159" fillId="3" borderId="0" xfId="3" applyFont="1" applyFill="1" applyBorder="1" applyAlignment="1"/>
    <xf numFmtId="43" fontId="23" fillId="3" borderId="11" xfId="3" applyFont="1" applyFill="1" applyBorder="1"/>
    <xf numFmtId="43" fontId="23" fillId="3" borderId="12" xfId="3" applyFont="1" applyFill="1" applyBorder="1"/>
    <xf numFmtId="43" fontId="23" fillId="3" borderId="2" xfId="3" applyFont="1" applyFill="1" applyBorder="1" applyAlignment="1">
      <alignment horizontal="center"/>
    </xf>
    <xf numFmtId="43" fontId="23" fillId="3" borderId="0" xfId="3" applyFont="1" applyFill="1" applyBorder="1" applyAlignment="1">
      <alignment horizontal="center"/>
    </xf>
    <xf numFmtId="164" fontId="159" fillId="3" borderId="71" xfId="3" applyNumberFormat="1" applyFont="1" applyFill="1" applyBorder="1"/>
    <xf numFmtId="164" fontId="159" fillId="3" borderId="63" xfId="3" applyNumberFormat="1" applyFont="1" applyFill="1" applyBorder="1"/>
    <xf numFmtId="164" fontId="159" fillId="3" borderId="5" xfId="3" applyNumberFormat="1" applyFont="1" applyFill="1" applyBorder="1"/>
    <xf numFmtId="164" fontId="159" fillId="3" borderId="6" xfId="3" applyNumberFormat="1" applyFont="1" applyFill="1" applyBorder="1"/>
    <xf numFmtId="164" fontId="23" fillId="3" borderId="2" xfId="3" applyNumberFormat="1" applyFont="1" applyFill="1" applyBorder="1" applyAlignment="1">
      <alignment horizontal="center"/>
    </xf>
    <xf numFmtId="164" fontId="23" fillId="3" borderId="0" xfId="3" applyNumberFormat="1" applyFont="1" applyFill="1" applyBorder="1" applyAlignment="1">
      <alignment horizontal="center"/>
    </xf>
    <xf numFmtId="164" fontId="7" fillId="3" borderId="70" xfId="3" applyNumberFormat="1" applyFont="1" applyFill="1" applyBorder="1"/>
    <xf numFmtId="164" fontId="6" fillId="3" borderId="76" xfId="3" applyNumberFormat="1" applyFont="1" applyFill="1" applyBorder="1"/>
    <xf numFmtId="164" fontId="7" fillId="3" borderId="76" xfId="3" applyNumberFormat="1" applyFont="1" applyFill="1" applyBorder="1"/>
    <xf numFmtId="164" fontId="6" fillId="0" borderId="80" xfId="3" applyNumberFormat="1" applyFont="1" applyFill="1" applyBorder="1"/>
    <xf numFmtId="164" fontId="6" fillId="0" borderId="77" xfId="3" applyNumberFormat="1" applyFont="1" applyFill="1" applyBorder="1"/>
    <xf numFmtId="43" fontId="6" fillId="0" borderId="9" xfId="3" applyFont="1" applyFill="1" applyBorder="1"/>
    <xf numFmtId="43" fontId="23" fillId="89" borderId="9" xfId="3" applyFont="1" applyFill="1" applyBorder="1"/>
    <xf numFmtId="43" fontId="6" fillId="89" borderId="9" xfId="3" applyFont="1" applyFill="1" applyBorder="1"/>
    <xf numFmtId="43" fontId="5" fillId="0" borderId="0" xfId="0" applyNumberFormat="1" applyFont="1" applyAlignment="1">
      <alignment horizontal="center"/>
    </xf>
    <xf numFmtId="43" fontId="0" fillId="0" borderId="0" xfId="0" applyNumberFormat="1" applyAlignment="1">
      <alignment horizontal="center"/>
    </xf>
    <xf numFmtId="0" fontId="162" fillId="0" borderId="0" xfId="0" applyFont="1"/>
    <xf numFmtId="0" fontId="163" fillId="0" borderId="0" xfId="0" applyFont="1"/>
    <xf numFmtId="0" fontId="162" fillId="0" borderId="12" xfId="0" applyFont="1" applyBorder="1" applyAlignment="1">
      <alignment horizontal="center"/>
    </xf>
    <xf numFmtId="0" fontId="54" fillId="0" borderId="0" xfId="0" applyFont="1"/>
    <xf numFmtId="164" fontId="156" fillId="0" borderId="75" xfId="3" applyNumberFormat="1" applyFont="1" applyFill="1" applyBorder="1"/>
    <xf numFmtId="164" fontId="156" fillId="0" borderId="78" xfId="3" applyNumberFormat="1" applyFont="1" applyFill="1" applyBorder="1"/>
    <xf numFmtId="164" fontId="156" fillId="0" borderId="46" xfId="3" applyNumberFormat="1" applyFont="1" applyFill="1" applyBorder="1"/>
    <xf numFmtId="0" fontId="162" fillId="0" borderId="54" xfId="0" applyFont="1" applyBorder="1" applyAlignment="1">
      <alignment horizontal="center"/>
    </xf>
    <xf numFmtId="164" fontId="54" fillId="0" borderId="46" xfId="1757" applyNumberFormat="1" applyFont="1" applyBorder="1"/>
    <xf numFmtId="164" fontId="54" fillId="0" borderId="0" xfId="1757" applyNumberFormat="1" applyFont="1" applyBorder="1"/>
    <xf numFmtId="0" fontId="162" fillId="0" borderId="50" xfId="0" applyFont="1" applyBorder="1" applyAlignment="1">
      <alignment horizontal="center"/>
    </xf>
    <xf numFmtId="164" fontId="54" fillId="0" borderId="49" xfId="1757" applyNumberFormat="1" applyFont="1" applyBorder="1"/>
    <xf numFmtId="0" fontId="161" fillId="90" borderId="70" xfId="0" quotePrefix="1" applyFont="1" applyFill="1" applyBorder="1" applyAlignment="1">
      <alignment horizontal="left"/>
    </xf>
    <xf numFmtId="0" fontId="162" fillId="90" borderId="63" xfId="0" applyFont="1" applyFill="1" applyBorder="1"/>
    <xf numFmtId="0" fontId="163" fillId="90" borderId="70" xfId="0" quotePrefix="1" applyFont="1" applyFill="1" applyBorder="1" applyAlignment="1">
      <alignment horizontal="left"/>
    </xf>
    <xf numFmtId="164" fontId="54" fillId="0" borderId="46" xfId="1757" applyNumberFormat="1" applyFont="1" applyFill="1" applyBorder="1"/>
    <xf numFmtId="164" fontId="10" fillId="0" borderId="46" xfId="1757" applyNumberFormat="1" applyFont="1" applyFill="1" applyBorder="1"/>
    <xf numFmtId="164" fontId="10" fillId="0" borderId="0" xfId="1757" applyNumberFormat="1" applyFont="1" applyBorder="1"/>
    <xf numFmtId="164" fontId="10" fillId="0" borderId="49" xfId="1757" applyNumberFormat="1" applyFont="1" applyBorder="1"/>
    <xf numFmtId="164" fontId="10" fillId="0" borderId="46" xfId="1757" applyNumberFormat="1" applyFont="1" applyBorder="1"/>
    <xf numFmtId="0" fontId="163" fillId="90" borderId="69" xfId="0" applyFont="1" applyFill="1" applyBorder="1"/>
    <xf numFmtId="164" fontId="155" fillId="0" borderId="80" xfId="3" applyNumberFormat="1" applyFont="1" applyFill="1" applyBorder="1"/>
    <xf numFmtId="164" fontId="155" fillId="0" borderId="57" xfId="3" applyNumberFormat="1" applyFont="1" applyFill="1" applyBorder="1"/>
    <xf numFmtId="164" fontId="155" fillId="0" borderId="58" xfId="3" applyNumberFormat="1" applyFont="1" applyFill="1" applyBorder="1"/>
    <xf numFmtId="164" fontId="155" fillId="0" borderId="83" xfId="3" applyNumberFormat="1" applyFont="1" applyFill="1" applyBorder="1"/>
    <xf numFmtId="0" fontId="162" fillId="0" borderId="12" xfId="0" applyFont="1" applyBorder="1"/>
    <xf numFmtId="164" fontId="10" fillId="0" borderId="54" xfId="1757" applyNumberFormat="1" applyFont="1" applyFill="1" applyBorder="1"/>
    <xf numFmtId="164" fontId="10" fillId="0" borderId="12" xfId="1757" applyNumberFormat="1" applyFont="1" applyBorder="1"/>
    <xf numFmtId="164" fontId="10" fillId="0" borderId="50" xfId="1757" applyNumberFormat="1" applyFont="1" applyBorder="1"/>
    <xf numFmtId="164" fontId="10" fillId="0" borderId="54" xfId="1757" applyNumberFormat="1" applyFont="1" applyBorder="1"/>
    <xf numFmtId="164" fontId="54" fillId="0" borderId="54" xfId="1757" applyNumberFormat="1" applyFont="1" applyFill="1" applyBorder="1"/>
    <xf numFmtId="164" fontId="54" fillId="0" borderId="12" xfId="1757" applyNumberFormat="1" applyFont="1" applyBorder="1"/>
    <xf numFmtId="164" fontId="54" fillId="0" borderId="50" xfId="1757" applyNumberFormat="1" applyFont="1" applyBorder="1"/>
    <xf numFmtId="164" fontId="54" fillId="0" borderId="54" xfId="1757" applyNumberFormat="1" applyFont="1" applyBorder="1"/>
    <xf numFmtId="44" fontId="6" fillId="0" borderId="11" xfId="7" applyFont="1" applyFill="1" applyBorder="1"/>
    <xf numFmtId="43" fontId="0" fillId="0" borderId="2" xfId="1758" applyFont="1" applyBorder="1"/>
    <xf numFmtId="0" fontId="163" fillId="93" borderId="0" xfId="0" applyFont="1" applyFill="1"/>
    <xf numFmtId="0" fontId="53" fillId="90" borderId="70" xfId="0" quotePrefix="1" applyFont="1" applyFill="1" applyBorder="1" applyAlignment="1">
      <alignment horizontal="left"/>
    </xf>
    <xf numFmtId="164" fontId="156" fillId="0" borderId="76" xfId="3" applyNumberFormat="1" applyFont="1" applyFill="1" applyBorder="1"/>
    <xf numFmtId="164" fontId="156" fillId="0" borderId="74" xfId="3" applyNumberFormat="1" applyFont="1" applyFill="1" applyBorder="1"/>
    <xf numFmtId="164" fontId="10" fillId="0" borderId="84" xfId="3" applyNumberFormat="1" applyFont="1" applyBorder="1"/>
    <xf numFmtId="164" fontId="10" fillId="0" borderId="64" xfId="3" applyNumberFormat="1" applyFont="1" applyBorder="1"/>
    <xf numFmtId="164" fontId="10" fillId="0" borderId="49" xfId="3" applyNumberFormat="1" applyFont="1" applyBorder="1"/>
    <xf numFmtId="164" fontId="10" fillId="0" borderId="46" xfId="3" applyNumberFormat="1" applyFont="1" applyBorder="1"/>
    <xf numFmtId="43" fontId="156" fillId="0" borderId="76" xfId="3" applyFont="1" applyFill="1" applyBorder="1"/>
    <xf numFmtId="43" fontId="156" fillId="0" borderId="6" xfId="3" applyFont="1" applyFill="1" applyBorder="1"/>
    <xf numFmtId="43" fontId="155" fillId="0" borderId="5" xfId="1758" applyFont="1" applyFill="1" applyBorder="1" applyAlignment="1">
      <alignment horizontal="center"/>
    </xf>
    <xf numFmtId="43" fontId="155" fillId="0" borderId="6" xfId="1758" applyFont="1" applyFill="1" applyBorder="1" applyAlignment="1">
      <alignment horizontal="center"/>
    </xf>
    <xf numFmtId="43" fontId="155" fillId="0" borderId="81" xfId="1758" applyFont="1" applyFill="1" applyBorder="1" applyAlignment="1">
      <alignment horizontal="center"/>
    </xf>
    <xf numFmtId="43" fontId="156" fillId="0" borderId="74" xfId="3" applyFont="1" applyFill="1" applyBorder="1"/>
    <xf numFmtId="0" fontId="163" fillId="2" borderId="12" xfId="0" applyFont="1" applyFill="1" applyBorder="1"/>
    <xf numFmtId="0" fontId="162" fillId="2" borderId="50" xfId="0" applyFont="1" applyFill="1" applyBorder="1"/>
    <xf numFmtId="164" fontId="54" fillId="91" borderId="46" xfId="3" applyNumberFormat="1" applyFont="1" applyFill="1" applyBorder="1"/>
    <xf numFmtId="43" fontId="155" fillId="0" borderId="5" xfId="1758" applyFont="1" applyBorder="1"/>
    <xf numFmtId="43" fontId="155" fillId="0" borderId="6" xfId="1758" applyFont="1" applyBorder="1"/>
    <xf numFmtId="164" fontId="155" fillId="0" borderId="81" xfId="3" applyNumberFormat="1" applyFont="1" applyBorder="1"/>
    <xf numFmtId="164" fontId="54" fillId="91" borderId="0" xfId="3" applyNumberFormat="1" applyFont="1" applyFill="1"/>
    <xf numFmtId="164" fontId="159" fillId="0" borderId="6" xfId="3" applyNumberFormat="1" applyFont="1" applyFill="1" applyBorder="1"/>
    <xf numFmtId="164" fontId="157" fillId="0" borderId="0" xfId="3" applyNumberFormat="1" applyFont="1"/>
    <xf numFmtId="0" fontId="5" fillId="2" borderId="12" xfId="0" applyFont="1" applyFill="1" applyBorder="1" applyAlignment="1">
      <alignment horizontal="center"/>
    </xf>
    <xf numFmtId="164" fontId="6" fillId="2" borderId="0" xfId="3" applyNumberFormat="1" applyFont="1" applyFill="1"/>
    <xf numFmtId="164" fontId="6" fillId="2" borderId="6" xfId="3" applyNumberFormat="1" applyFont="1" applyFill="1" applyBorder="1"/>
    <xf numFmtId="44" fontId="155" fillId="0" borderId="9" xfId="7" applyFont="1" applyBorder="1"/>
    <xf numFmtId="43" fontId="7" fillId="0" borderId="1" xfId="3" applyFont="1" applyFill="1" applyBorder="1"/>
    <xf numFmtId="164" fontId="155" fillId="0" borderId="4" xfId="3" applyNumberFormat="1" applyFont="1" applyFill="1" applyBorder="1"/>
    <xf numFmtId="164" fontId="155" fillId="0" borderId="4" xfId="3" applyNumberFormat="1" applyFont="1" applyBorder="1"/>
    <xf numFmtId="164" fontId="6" fillId="0" borderId="13" xfId="3" applyNumberFormat="1" applyFont="1" applyFill="1" applyBorder="1"/>
    <xf numFmtId="164" fontId="155" fillId="0" borderId="72" xfId="3" applyNumberFormat="1" applyFont="1" applyFill="1" applyBorder="1"/>
    <xf numFmtId="164" fontId="6" fillId="0" borderId="39" xfId="3" applyNumberFormat="1" applyFont="1" applyFill="1" applyBorder="1"/>
    <xf numFmtId="164" fontId="6" fillId="0" borderId="67" xfId="3" applyNumberFormat="1" applyFont="1" applyFill="1" applyBorder="1"/>
    <xf numFmtId="164" fontId="7" fillId="94" borderId="4" xfId="3" applyNumberFormat="1" applyFont="1" applyFill="1" applyBorder="1"/>
    <xf numFmtId="164" fontId="157" fillId="2" borderId="0" xfId="3" applyNumberFormat="1" applyFont="1" applyFill="1"/>
    <xf numFmtId="164" fontId="6" fillId="2" borderId="63" xfId="3" applyNumberFormat="1" applyFont="1" applyFill="1" applyBorder="1"/>
    <xf numFmtId="164" fontId="6" fillId="2" borderId="0" xfId="3" applyNumberFormat="1" applyFont="1" applyFill="1" applyBorder="1"/>
    <xf numFmtId="164" fontId="5" fillId="94" borderId="6" xfId="3" applyNumberFormat="1" applyFont="1" applyFill="1" applyBorder="1"/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right" indent="1"/>
    </xf>
    <xf numFmtId="43" fontId="155" fillId="0" borderId="65" xfId="3" applyFont="1" applyFill="1" applyBorder="1"/>
    <xf numFmtId="0" fontId="6" fillId="0" borderId="11" xfId="0" applyFont="1" applyBorder="1"/>
    <xf numFmtId="164" fontId="153" fillId="0" borderId="0" xfId="1757" applyNumberFormat="1" applyFont="1" applyFill="1" applyBorder="1"/>
    <xf numFmtId="164" fontId="10" fillId="0" borderId="0" xfId="1757" applyNumberFormat="1" applyFont="1" applyFill="1" applyBorder="1"/>
    <xf numFmtId="164" fontId="10" fillId="0" borderId="49" xfId="1757" applyNumberFormat="1" applyFont="1" applyFill="1" applyBorder="1"/>
    <xf numFmtId="164" fontId="10" fillId="0" borderId="12" xfId="1757" applyNumberFormat="1" applyFont="1" applyFill="1" applyBorder="1"/>
    <xf numFmtId="164" fontId="10" fillId="0" borderId="50" xfId="1757" applyNumberFormat="1" applyFont="1" applyFill="1" applyBorder="1"/>
    <xf numFmtId="164" fontId="54" fillId="0" borderId="0" xfId="1757" applyNumberFormat="1" applyFont="1" applyFill="1" applyBorder="1"/>
    <xf numFmtId="164" fontId="157" fillId="0" borderId="9" xfId="3" applyNumberFormat="1" applyFont="1" applyFill="1" applyBorder="1"/>
    <xf numFmtId="44" fontId="157" fillId="0" borderId="0" xfId="7" applyFont="1" applyFill="1" applyBorder="1"/>
    <xf numFmtId="43" fontId="157" fillId="0" borderId="9" xfId="3" applyFont="1" applyFill="1" applyBorder="1"/>
    <xf numFmtId="44" fontId="7" fillId="0" borderId="2" xfId="7" applyFont="1" applyFill="1" applyBorder="1"/>
    <xf numFmtId="44" fontId="7" fillId="0" borderId="0" xfId="7" applyFont="1" applyFill="1" applyBorder="1"/>
    <xf numFmtId="44" fontId="7" fillId="0" borderId="49" xfId="7" applyFont="1" applyFill="1" applyBorder="1"/>
    <xf numFmtId="44" fontId="7" fillId="0" borderId="3" xfId="7" applyFont="1" applyFill="1" applyBorder="1"/>
    <xf numFmtId="164" fontId="6" fillId="0" borderId="78" xfId="3" applyNumberFormat="1" applyFont="1" applyFill="1" applyBorder="1"/>
    <xf numFmtId="0" fontId="5" fillId="2" borderId="85" xfId="0" applyFont="1" applyFill="1" applyBorder="1" applyAlignment="1">
      <alignment horizontal="center"/>
    </xf>
    <xf numFmtId="0" fontId="5" fillId="2" borderId="86" xfId="0" applyFont="1" applyFill="1" applyBorder="1" applyAlignment="1">
      <alignment horizontal="center"/>
    </xf>
    <xf numFmtId="0" fontId="5" fillId="2" borderId="87" xfId="0" applyFont="1" applyFill="1" applyBorder="1" applyAlignment="1">
      <alignment horizontal="center"/>
    </xf>
    <xf numFmtId="0" fontId="5" fillId="2" borderId="88" xfId="0" applyFont="1" applyFill="1" applyBorder="1" applyAlignment="1">
      <alignment horizontal="center" wrapText="1"/>
    </xf>
    <xf numFmtId="0" fontId="5" fillId="0" borderId="89" xfId="0" applyFont="1" applyBorder="1" applyAlignment="1">
      <alignment horizontal="center"/>
    </xf>
    <xf numFmtId="164" fontId="5" fillId="0" borderId="90" xfId="3" applyNumberFormat="1" applyFont="1" applyFill="1" applyBorder="1" applyAlignment="1">
      <alignment horizontal="center"/>
    </xf>
    <xf numFmtId="164" fontId="5" fillId="0" borderId="91" xfId="3" applyNumberFormat="1" applyFont="1" applyFill="1" applyBorder="1" applyAlignment="1">
      <alignment horizontal="center"/>
    </xf>
    <xf numFmtId="164" fontId="5" fillId="0" borderId="91" xfId="3" applyNumberFormat="1" applyFont="1" applyBorder="1" applyAlignment="1">
      <alignment horizontal="center"/>
    </xf>
    <xf numFmtId="164" fontId="5" fillId="0" borderId="92" xfId="3" applyNumberFormat="1" applyFont="1" applyBorder="1" applyAlignment="1">
      <alignment horizontal="center"/>
    </xf>
    <xf numFmtId="43" fontId="155" fillId="0" borderId="82" xfId="3" applyFont="1" applyFill="1" applyBorder="1"/>
    <xf numFmtId="0" fontId="5" fillId="2" borderId="85" xfId="0" applyFont="1" applyFill="1" applyBorder="1" applyAlignment="1">
      <alignment horizontal="left"/>
    </xf>
    <xf numFmtId="0" fontId="5" fillId="0" borderId="85" xfId="0" applyFont="1" applyBorder="1" applyAlignment="1">
      <alignment horizontal="right"/>
    </xf>
    <xf numFmtId="0" fontId="5" fillId="0" borderId="86" xfId="0" applyFont="1" applyBorder="1" applyAlignment="1">
      <alignment horizontal="right"/>
    </xf>
    <xf numFmtId="0" fontId="5" fillId="0" borderId="87" xfId="0" applyFont="1" applyBorder="1" applyAlignment="1">
      <alignment horizontal="right"/>
    </xf>
    <xf numFmtId="0" fontId="5" fillId="0" borderId="88" xfId="0" applyFont="1" applyBorder="1" applyAlignment="1">
      <alignment horizontal="center"/>
    </xf>
    <xf numFmtId="164" fontId="5" fillId="0" borderId="90" xfId="3" applyNumberFormat="1" applyFont="1" applyBorder="1" applyAlignment="1">
      <alignment horizontal="center"/>
    </xf>
    <xf numFmtId="164" fontId="5" fillId="0" borderId="93" xfId="3" applyNumberFormat="1" applyFont="1" applyBorder="1" applyAlignment="1">
      <alignment horizontal="center"/>
    </xf>
    <xf numFmtId="164" fontId="5" fillId="0" borderId="94" xfId="3" applyNumberFormat="1" applyFont="1" applyBorder="1" applyAlignment="1">
      <alignment horizontal="center"/>
    </xf>
    <xf numFmtId="164" fontId="5" fillId="0" borderId="93" xfId="3" applyNumberFormat="1" applyFont="1" applyFill="1" applyBorder="1" applyAlignment="1">
      <alignment horizontal="center"/>
    </xf>
    <xf numFmtId="0" fontId="5" fillId="0" borderId="85" xfId="0" applyFont="1" applyBorder="1" applyAlignment="1">
      <alignment horizontal="left"/>
    </xf>
    <xf numFmtId="164" fontId="5" fillId="0" borderId="92" xfId="3" applyNumberFormat="1" applyFont="1" applyFill="1" applyBorder="1" applyAlignment="1">
      <alignment horizontal="center"/>
    </xf>
    <xf numFmtId="0" fontId="5" fillId="2" borderId="85" xfId="0" applyFont="1" applyFill="1" applyBorder="1" applyAlignment="1">
      <alignment horizontal="center"/>
    </xf>
    <xf numFmtId="0" fontId="5" fillId="2" borderId="86" xfId="0" applyFont="1" applyFill="1" applyBorder="1" applyAlignment="1">
      <alignment horizontal="center"/>
    </xf>
    <xf numFmtId="0" fontId="5" fillId="2" borderId="87" xfId="0" applyFont="1" applyFill="1" applyBorder="1" applyAlignment="1">
      <alignment horizontal="center"/>
    </xf>
    <xf numFmtId="0" fontId="5" fillId="0" borderId="85" xfId="0" applyFont="1" applyBorder="1" applyAlignment="1">
      <alignment horizontal="center"/>
    </xf>
    <xf numFmtId="0" fontId="5" fillId="0" borderId="86" xfId="0" applyFont="1" applyBorder="1" applyAlignment="1">
      <alignment horizontal="center"/>
    </xf>
    <xf numFmtId="0" fontId="5" fillId="0" borderId="87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70" xfId="3" applyNumberFormat="1" applyFont="1" applyBorder="1" applyAlignment="1">
      <alignment horizontal="center"/>
    </xf>
    <xf numFmtId="0" fontId="5" fillId="0" borderId="63" xfId="3" applyNumberFormat="1" applyFont="1" applyBorder="1" applyAlignment="1">
      <alignment horizontal="center"/>
    </xf>
    <xf numFmtId="0" fontId="5" fillId="0" borderId="69" xfId="3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54471">
    <cellStyle name="_x000d__x000a_JournalTemplate=C:\COMFO\CTALK\JOURSTD.TPL_x000d__x000a_LbStateAddress=3 3 0 251 1 89 2 311_x000d__x000a_LbStateJou" xfId="3822" xr:uid="{00000000-0005-0000-0000-000000000000}"/>
    <cellStyle name="_x000d__x000a_JournalTemplate=C:\COMFO\CTALK\JOURSTD.TPL_x000d__x000a_LbStateAddress=3 3 0 251 1 89 2 311_x000d__x000a_LbStateJou 10" xfId="3823" xr:uid="{00000000-0005-0000-0000-000001000000}"/>
    <cellStyle name="_x000d__x000a_JournalTemplate=C:\COMFO\CTALK\JOURSTD.TPL_x000d__x000a_LbStateAddress=3 3 0 251 1 89 2 311_x000d__x000a_LbStateJou 11" xfId="3824" xr:uid="{00000000-0005-0000-0000-000002000000}"/>
    <cellStyle name="_x000d__x000a_JournalTemplate=C:\COMFO\CTALK\JOURSTD.TPL_x000d__x000a_LbStateAddress=3 3 0 251 1 89 2 311_x000d__x000a_LbStateJou 12" xfId="3825" xr:uid="{00000000-0005-0000-0000-000003000000}"/>
    <cellStyle name="_x000d__x000a_JournalTemplate=C:\COMFO\CTALK\JOURSTD.TPL_x000d__x000a_LbStateAddress=3 3 0 251 1 89 2 311_x000d__x000a_LbStateJou 14" xfId="3826" xr:uid="{00000000-0005-0000-0000-000004000000}"/>
    <cellStyle name="_x000d__x000a_JournalTemplate=C:\COMFO\CTALK\JOURSTD.TPL_x000d__x000a_LbStateAddress=3 3 0 251 1 89 2 311_x000d__x000a_LbStateJou 15" xfId="3827" xr:uid="{00000000-0005-0000-0000-000005000000}"/>
    <cellStyle name="_x000d__x000a_JournalTemplate=C:\COMFO\CTALK\JOURSTD.TPL_x000d__x000a_LbStateAddress=3 3 0 251 1 89 2 311_x000d__x000a_LbStateJou 16" xfId="3828" xr:uid="{00000000-0005-0000-0000-000006000000}"/>
    <cellStyle name="_x000d__x000a_JournalTemplate=C:\COMFO\CTALK\JOURSTD.TPL_x000d__x000a_LbStateAddress=3 3 0 251 1 89 2 311_x000d__x000a_LbStateJou 17" xfId="3829" xr:uid="{00000000-0005-0000-0000-000007000000}"/>
    <cellStyle name="_x000d__x000a_JournalTemplate=C:\COMFO\CTALK\JOURSTD.TPL_x000d__x000a_LbStateAddress=3 3 0 251 1 89 2 311_x000d__x000a_LbStateJou 18" xfId="3830" xr:uid="{00000000-0005-0000-0000-000008000000}"/>
    <cellStyle name="_x000d__x000a_JournalTemplate=C:\COMFO\CTALK\JOURSTD.TPL_x000d__x000a_LbStateAddress=3 3 0 251 1 89 2 311_x000d__x000a_LbStateJou 3" xfId="3831" xr:uid="{00000000-0005-0000-0000-000009000000}"/>
    <cellStyle name="_x000d__x000a_JournalTemplate=C:\COMFO\CTALK\JOURSTD.TPL_x000d__x000a_LbStateAddress=3 3 0 251 1 89 2 311_x000d__x000a_LbStateJou 7" xfId="3832" xr:uid="{00000000-0005-0000-0000-00000A000000}"/>
    <cellStyle name="_x000d__x000a_JournalTemplate=C:\COMFO\CTALK\JOURSTD.TPL_x000d__x000a_LbStateAddress=3 3 0 251 1 89 2 311_x000d__x000a_LbStateJou 8" xfId="3833" xr:uid="{00000000-0005-0000-0000-00000B000000}"/>
    <cellStyle name="_x000d__x000a_JournalTemplate=C:\COMFO\CTALK\JOURSTD.TPL_x000d__x000a_LbStateAddress=3 3 0 251 1 89 2 311_x000d__x000a_LbStateJou 9" xfId="3834" xr:uid="{00000000-0005-0000-0000-00000C000000}"/>
    <cellStyle name="$" xfId="3835" xr:uid="{00000000-0005-0000-0000-00000D000000}"/>
    <cellStyle name="$.00" xfId="3836" xr:uid="{00000000-0005-0000-0000-00000E000000}"/>
    <cellStyle name="$_9. Rev2Cost_GDPIPI" xfId="3837" xr:uid="{00000000-0005-0000-0000-00000F000000}"/>
    <cellStyle name="$_Brampton Comparision of TB  pre  post entries" xfId="3838" xr:uid="{00000000-0005-0000-0000-000010000000}"/>
    <cellStyle name="$_CCA-Request_H11bps" xfId="3839" xr:uid="{00000000-0005-0000-0000-000011000000}"/>
    <cellStyle name="$_CCA-Request_H11bps July 9" xfId="3840" xr:uid="{00000000-0005-0000-0000-000012000000}"/>
    <cellStyle name="$_CCA-Request_H11bps July 9_Brampton Comparision of TB  pre  post entries" xfId="3841" xr:uid="{00000000-0005-0000-0000-000013000000}"/>
    <cellStyle name="$_CCA-Request_H11bps_Brampton Comparision of TB  pre  post entries" xfId="3842" xr:uid="{00000000-0005-0000-0000-000014000000}"/>
    <cellStyle name="$_lists" xfId="3843" xr:uid="{00000000-0005-0000-0000-000015000000}"/>
    <cellStyle name="$_lists_4. Current Monthly Fixed Charge" xfId="3844" xr:uid="{00000000-0005-0000-0000-000016000000}"/>
    <cellStyle name="$_Sheet4" xfId="3845" xr:uid="{00000000-0005-0000-0000-000017000000}"/>
    <cellStyle name="$1000s (0)" xfId="3846" xr:uid="{00000000-0005-0000-0000-000018000000}"/>
    <cellStyle name="$comma" xfId="3847" xr:uid="{00000000-0005-0000-0000-000019000000}"/>
    <cellStyle name="$comma 2" xfId="3848" xr:uid="{00000000-0005-0000-0000-00001A000000}"/>
    <cellStyle name="$M" xfId="3849" xr:uid="{00000000-0005-0000-0000-00001B000000}"/>
    <cellStyle name="$M.00" xfId="3850" xr:uid="{00000000-0005-0000-0000-00001C000000}"/>
    <cellStyle name="$M_9. Rev2Cost_GDPIPI" xfId="3851" xr:uid="{00000000-0005-0000-0000-00001D000000}"/>
    <cellStyle name="%" xfId="3852" xr:uid="{00000000-0005-0000-0000-00001E000000}"/>
    <cellStyle name="??" xfId="3853" xr:uid="{00000000-0005-0000-0000-00001F000000}"/>
    <cellStyle name="?? [0.00]_Sheet1" xfId="3854" xr:uid="{00000000-0005-0000-0000-000020000000}"/>
    <cellStyle name="?? [0]_??" xfId="3855" xr:uid="{00000000-0005-0000-0000-000021000000}"/>
    <cellStyle name="???? [0.00]_Sheet1" xfId="3856" xr:uid="{00000000-0005-0000-0000-000022000000}"/>
    <cellStyle name="????_Sheet1" xfId="3857" xr:uid="{00000000-0005-0000-0000-000023000000}"/>
    <cellStyle name="??_?.????" xfId="3858" xr:uid="{00000000-0005-0000-0000-000024000000}"/>
    <cellStyle name="_12-09-05 Goldfish software Cost Estimate v6" xfId="3859" xr:uid="{00000000-0005-0000-0000-000025000000}"/>
    <cellStyle name="_14000 Aug 06" xfId="3860" xr:uid="{00000000-0005-0000-0000-000026000000}"/>
    <cellStyle name="_20061023--v2_320 OIO-CE-V8Cb-9-11" xfId="3861" xr:uid="{00000000-0005-0000-0000-000027000000}"/>
    <cellStyle name="_20061218_Duke Energy-v1-CE-V11Ba-12-12-06-5x5x10" xfId="3862" xr:uid="{00000000-0005-0000-0000-000028000000}"/>
    <cellStyle name="_20070126-Verso-v1-CE-V16B-01-24-07-5x5x10-RL" xfId="3863" xr:uid="{00000000-0005-0000-0000-000029000000}"/>
    <cellStyle name="_20070206-Verso-v2-CE-V16B-01-24-07-5x5x10-RL" xfId="3864" xr:uid="{00000000-0005-0000-0000-00002A000000}"/>
    <cellStyle name="_20070321- PEP BOYS Q04-v2_5yr-CE-V17Ab-03-01-07-10x5x10-RL" xfId="3865" xr:uid="{00000000-0005-0000-0000-00002B000000}"/>
    <cellStyle name="_20070321- PEP BOYS Q04-v2_7yrs-CE access fees-V17Ab-03-01-07-10x5x10-RL" xfId="3866" xr:uid="{00000000-0005-0000-0000-00002C000000}"/>
    <cellStyle name="_Allergan - 20070517-ALLERGAN NT-v1-CE-V16A-02-13-07-10x5x10-RL-WIP10yr-test" xfId="3867" xr:uid="{00000000-0005-0000-0000-00002D000000}"/>
    <cellStyle name="_Allergan - 20070517-ALLERGAN TRAN-v1-CE-V16A-02-13-07-10x5x10-RL-WIP10yr-test" xfId="3868" xr:uid="{00000000-0005-0000-0000-00002E000000}"/>
    <cellStyle name="_AMR deal approval" xfId="3869" xr:uid="{00000000-0005-0000-0000-00002F000000}"/>
    <cellStyle name="_AMR NRES" xfId="3870" xr:uid="{00000000-0005-0000-0000-000030000000}"/>
    <cellStyle name="_AMR.1.24.2005. V23 W.SAP" xfId="3871" xr:uid="{00000000-0005-0000-0000-000031000000}"/>
    <cellStyle name="_AMR.1.9.2005. V19 W.SAP" xfId="3872" xr:uid="{00000000-0005-0000-0000-000032000000}"/>
    <cellStyle name="_Appendix 11 - Pricing Forms - 111907 - V2" xfId="3873" xr:uid="{00000000-0005-0000-0000-000033000000}"/>
    <cellStyle name="_Appendix 11 - Pricing Forms - 113007 - V3" xfId="3874" xr:uid="{00000000-0005-0000-0000-000034000000}"/>
    <cellStyle name="_Appendix 13 - Financial Base Case - ELC - 120707 - V4" xfId="3875" xr:uid="{00000000-0005-0000-0000-000035000000}"/>
    <cellStyle name="_Appendix I Allergan Pricing Matrix 051107 COMPUCOM REV4 NoGrowth 061207" xfId="3876" xr:uid="{00000000-0005-0000-0000-000036000000}"/>
    <cellStyle name="_ARM_CF model 06042007" xfId="3877" xr:uid="{00000000-0005-0000-0000-000037000000}"/>
    <cellStyle name="_ARM_Server Cost Worksheet_US_r1" xfId="3878" xr:uid="{00000000-0005-0000-0000-000038000000}"/>
    <cellStyle name="_Arvin Meritor Desktop Support Cost Model 070602 (2)" xfId="3879" xr:uid="{00000000-0005-0000-0000-000039000000}"/>
    <cellStyle name="_ASE - Financial Approval - 05.18.05" xfId="3880" xr:uid="{00000000-0005-0000-0000-00003A000000}"/>
    <cellStyle name="_Attachment 4-A Supplier Pricing Forms-RFP v2.3" xfId="3881" xr:uid="{00000000-0005-0000-0000-00003B000000}"/>
    <cellStyle name="_Attachment 4-A Supplier Pricing Forms-RFP v3.0 Working" xfId="3882" xr:uid="{00000000-0005-0000-0000-00003C000000}"/>
    <cellStyle name="_Attachment 4-A Supplier Pricing Forms-RFP-v2" xfId="3883" xr:uid="{00000000-0005-0000-0000-00003D000000}"/>
    <cellStyle name="_Blades" xfId="3884" xr:uid="{00000000-0005-0000-0000-00003E000000}"/>
    <cellStyle name="_Book2" xfId="3885" xr:uid="{00000000-0005-0000-0000-00003F000000}"/>
    <cellStyle name="_CICS-COBOL costs 02-12-2007" xfId="3886" xr:uid="{00000000-0005-0000-0000-000040000000}"/>
    <cellStyle name="_Comma" xfId="3887" xr:uid="{00000000-0005-0000-0000-000041000000}"/>
    <cellStyle name="_Copy of 20070321- ARM 06-01-07 Arvin Meritor US -V17Ab-03-01-07-10x5x10-RL" xfId="3888" xr:uid="{00000000-0005-0000-0000-000042000000}"/>
    <cellStyle name="_Copy of 20070321- PEP BOYS Q04-v1-CE-V17Ab-03-01-07-10x5x10-RL" xfId="3889" xr:uid="{00000000-0005-0000-0000-000043000000}"/>
    <cellStyle name="_Copy of American RFP Juarez v11 Standard - Offshore 12-15-05" xfId="3890" xr:uid="{00000000-0005-0000-0000-000044000000}"/>
    <cellStyle name="_Copy of AMR Pricing Assumptions" xfId="3891" xr:uid="{00000000-0005-0000-0000-000045000000}"/>
    <cellStyle name="_Currency" xfId="3892" xr:uid="{00000000-0005-0000-0000-000046000000}"/>
    <cellStyle name="_CurrencySpace" xfId="3893" xr:uid="{00000000-0005-0000-0000-000047000000}"/>
    <cellStyle name="_DCP Midstream Pricing Forms 020708" xfId="3894" xr:uid="{00000000-0005-0000-0000-000048000000}"/>
    <cellStyle name="_DCP Midstream v3.1" xfId="3895" xr:uid="{00000000-0005-0000-0000-000049000000}"/>
    <cellStyle name="_Deal Approval Template v42 5-3-05 JWK" xfId="3896" xr:uid="{00000000-0005-0000-0000-00004A000000}"/>
    <cellStyle name="_Deal Approval Template v42 5-3-05 JWK2" xfId="3897" xr:uid="{00000000-0005-0000-0000-00004B000000}"/>
    <cellStyle name="_Deal Approval Template v46" xfId="3898" xr:uid="{00000000-0005-0000-0000-00004C000000}"/>
    <cellStyle name="_Deal Approval Template v47" xfId="3899" xr:uid="{00000000-0005-0000-0000-00004D000000}"/>
    <cellStyle name="_ELC - Affiliates v1.4" xfId="3900" xr:uid="{00000000-0005-0000-0000-00004E000000}"/>
    <cellStyle name="_ELC - EMEA v1.6" xfId="3901" xr:uid="{00000000-0005-0000-0000-00004F000000}"/>
    <cellStyle name="_GMAC_HRO PRI-G02 FinRespMatrix" xfId="3902" xr:uid="{00000000-0005-0000-0000-000050000000}"/>
    <cellStyle name="_GMAC_HRO PRI-G03 BaseCase V1 wlinks" xfId="3903" xr:uid="{00000000-0005-0000-0000-000051000000}"/>
    <cellStyle name="_GMAC_HRO PRI-S01 SupplierPricingForms" xfId="3904" xr:uid="{00000000-0005-0000-0000-000052000000}"/>
    <cellStyle name="_Goodyear 2007-02-12-goodyear v3-CE-V1" xfId="3905" xr:uid="{00000000-0005-0000-0000-000053000000}"/>
    <cellStyle name="_Goodyear SW Start date 12-01-07 #-CE-V8Cb-9-11" xfId="3906" xr:uid="{00000000-0005-0000-0000-000054000000}"/>
    <cellStyle name="_GSK Server Cost Worksheet - V14 JMC" xfId="3907" xr:uid="{00000000-0005-0000-0000-000055000000}"/>
    <cellStyle name="_IP (DRAFT) v1" xfId="3908" xr:uid="{00000000-0005-0000-0000-000056000000}"/>
    <cellStyle name="_IP (DRAFT) v6" xfId="3909" xr:uid="{00000000-0005-0000-0000-000057000000}"/>
    <cellStyle name="_Multiple" xfId="3910" xr:uid="{00000000-0005-0000-0000-000058000000}"/>
    <cellStyle name="_MultipleSpace" xfId="3911" xr:uid="{00000000-0005-0000-0000-000059000000}"/>
    <cellStyle name="_ODE Transaction Model_India_v2" xfId="3912" xr:uid="{00000000-0005-0000-0000-00005A000000}"/>
    <cellStyle name="_Offshore Pricing Model_United_10 31 05" xfId="3913" xr:uid="{00000000-0005-0000-0000-00005B000000}"/>
    <cellStyle name="_PDS Pricing Sheets v5 - WORKING" xfId="3914" xr:uid="{00000000-0005-0000-0000-00005C000000}"/>
    <cellStyle name="_PDS Pricing Sheets v6.1" xfId="3915" xr:uid="{00000000-0005-0000-0000-00005D000000}"/>
    <cellStyle name="_Pep Boys hardware refresh v1" xfId="3916" xr:uid="{00000000-0005-0000-0000-00005E000000}"/>
    <cellStyle name="_Percent" xfId="3917" xr:uid="{00000000-0005-0000-0000-00005F000000}"/>
    <cellStyle name="_PercentSpace" xfId="3918" xr:uid="{00000000-0005-0000-0000-000060000000}"/>
    <cellStyle name="_Perot - IS CS Pricing Analysis_v2_RandyH_06222005" xfId="3919" xr:uid="{00000000-0005-0000-0000-000061000000}"/>
    <cellStyle name="_Project SIERRA - RFP Addendum II - Appendix B - Core Personnel PM - V2.0" xfId="3920" xr:uid="{00000000-0005-0000-0000-000062000000}"/>
    <cellStyle name="_REVISED - Appendix I Allergan Pricing Matrix 051107 COMPUCOM REV1 (2)" xfId="3921" xr:uid="{00000000-0005-0000-0000-000063000000}"/>
    <cellStyle name="_SOFTWARE 5Y" xfId="3922" xr:uid="{00000000-0005-0000-0000-000064000000}"/>
    <cellStyle name="_Starbucks Siebel CPA G09305" xfId="3923" xr:uid="{00000000-0005-0000-0000-000065000000}"/>
    <cellStyle name="_Sunlife 20070301-Sun Life-v#-CE-V17Ab-03-01-07-10x5x10-RL" xfId="3924" xr:uid="{00000000-0005-0000-0000-000066000000}"/>
    <cellStyle name="_TBO Staff Costs" xfId="3925" xr:uid="{00000000-0005-0000-0000-000067000000}"/>
    <cellStyle name="_TBO Wages (2)" xfId="3926" xr:uid="{00000000-0005-0000-0000-000068000000}"/>
    <cellStyle name="_UBS DR Server Cost Worksheet Global with Swiss v1.0" xfId="3927" xr:uid="{00000000-0005-0000-0000-000069000000}"/>
    <cellStyle name="_UBS Server Cost Worksheet Global with Swiss v1.0" xfId="3928" xr:uid="{00000000-0005-0000-0000-00006A000000}"/>
    <cellStyle name="_UTC - BAFO 3.51" xfId="3929" xr:uid="{00000000-0005-0000-0000-00006B000000}"/>
    <cellStyle name="_UTC - RFP DRAFT 1.4" xfId="3930" xr:uid="{00000000-0005-0000-0000-00006C000000}"/>
    <cellStyle name="_UTC Opportunity Review 05.18.05" xfId="3931" xr:uid="{00000000-0005-0000-0000-00006D000000}"/>
    <cellStyle name="_Version Control" xfId="3932" xr:uid="{00000000-0005-0000-0000-00006E000000}"/>
    <cellStyle name="_Verso Quote CompuCom ver2" xfId="3933" xr:uid="{00000000-0005-0000-0000-00006F000000}"/>
    <cellStyle name="¨_x000c_ LŒB" xfId="3934" xr:uid="{00000000-0005-0000-0000-000070000000}"/>
    <cellStyle name="0%" xfId="3935" xr:uid="{00000000-0005-0000-0000-000071000000}"/>
    <cellStyle name="0.0%" xfId="3936" xr:uid="{00000000-0005-0000-0000-000072000000}"/>
    <cellStyle name="0.00%" xfId="3937" xr:uid="{00000000-0005-0000-0000-000073000000}"/>
    <cellStyle name="1" xfId="3938" xr:uid="{00000000-0005-0000-0000-000074000000}"/>
    <cellStyle name="1000s (0)" xfId="3939" xr:uid="{00000000-0005-0000-0000-000075000000}"/>
    <cellStyle name="2" xfId="3940" xr:uid="{00000000-0005-0000-0000-000076000000}"/>
    <cellStyle name="20% - Accent1 10" xfId="11" xr:uid="{00000000-0005-0000-0000-000077000000}"/>
    <cellStyle name="20% - Accent1 10 10" xfId="3941" xr:uid="{00000000-0005-0000-0000-000078000000}"/>
    <cellStyle name="20% - Accent1 10 11" xfId="3942" xr:uid="{00000000-0005-0000-0000-000079000000}"/>
    <cellStyle name="20% - Accent1 10 2" xfId="12" xr:uid="{00000000-0005-0000-0000-00007A000000}"/>
    <cellStyle name="20% - Accent1 10 2 2" xfId="3943" xr:uid="{00000000-0005-0000-0000-00007B000000}"/>
    <cellStyle name="20% - Accent1 10 2 2 2" xfId="3944" xr:uid="{00000000-0005-0000-0000-00007C000000}"/>
    <cellStyle name="20% - Accent1 10 2 2 2 2" xfId="3945" xr:uid="{00000000-0005-0000-0000-00007D000000}"/>
    <cellStyle name="20% - Accent1 10 2 2 2 3" xfId="3946" xr:uid="{00000000-0005-0000-0000-00007E000000}"/>
    <cellStyle name="20% - Accent1 10 2 2 3" xfId="3947" xr:uid="{00000000-0005-0000-0000-00007F000000}"/>
    <cellStyle name="20% - Accent1 10 2 2 3 2" xfId="3948" xr:uid="{00000000-0005-0000-0000-000080000000}"/>
    <cellStyle name="20% - Accent1 10 2 2 3 3" xfId="3949" xr:uid="{00000000-0005-0000-0000-000081000000}"/>
    <cellStyle name="20% - Accent1 10 2 2 4" xfId="3950" xr:uid="{00000000-0005-0000-0000-000082000000}"/>
    <cellStyle name="20% - Accent1 10 2 2 5" xfId="3951" xr:uid="{00000000-0005-0000-0000-000083000000}"/>
    <cellStyle name="20% - Accent1 10 2 2 6" xfId="3952" xr:uid="{00000000-0005-0000-0000-000084000000}"/>
    <cellStyle name="20% - Accent1 10 2 3" xfId="3953" xr:uid="{00000000-0005-0000-0000-000085000000}"/>
    <cellStyle name="20% - Accent1 10 2 3 2" xfId="3954" xr:uid="{00000000-0005-0000-0000-000086000000}"/>
    <cellStyle name="20% - Accent1 10 2 3 3" xfId="3955" xr:uid="{00000000-0005-0000-0000-000087000000}"/>
    <cellStyle name="20% - Accent1 10 2 4" xfId="3956" xr:uid="{00000000-0005-0000-0000-000088000000}"/>
    <cellStyle name="20% - Accent1 10 2 4 2" xfId="3957" xr:uid="{00000000-0005-0000-0000-000089000000}"/>
    <cellStyle name="20% - Accent1 10 2 4 3" xfId="3958" xr:uid="{00000000-0005-0000-0000-00008A000000}"/>
    <cellStyle name="20% - Accent1 10 2 5" xfId="3959" xr:uid="{00000000-0005-0000-0000-00008B000000}"/>
    <cellStyle name="20% - Accent1 10 2 6" xfId="3960" xr:uid="{00000000-0005-0000-0000-00008C000000}"/>
    <cellStyle name="20% - Accent1 10 2 7" xfId="3961" xr:uid="{00000000-0005-0000-0000-00008D000000}"/>
    <cellStyle name="20% - Accent1 10 2 8" xfId="3962" xr:uid="{00000000-0005-0000-0000-00008E000000}"/>
    <cellStyle name="20% - Accent1 10 3" xfId="3963" xr:uid="{00000000-0005-0000-0000-00008F000000}"/>
    <cellStyle name="20% - Accent1 10 3 2" xfId="3964" xr:uid="{00000000-0005-0000-0000-000090000000}"/>
    <cellStyle name="20% - Accent1 10 3 2 2" xfId="3965" xr:uid="{00000000-0005-0000-0000-000091000000}"/>
    <cellStyle name="20% - Accent1 10 3 2 3" xfId="3966" xr:uid="{00000000-0005-0000-0000-000092000000}"/>
    <cellStyle name="20% - Accent1 10 3 3" xfId="3967" xr:uid="{00000000-0005-0000-0000-000093000000}"/>
    <cellStyle name="20% - Accent1 10 3 3 2" xfId="3968" xr:uid="{00000000-0005-0000-0000-000094000000}"/>
    <cellStyle name="20% - Accent1 10 3 3 3" xfId="3969" xr:uid="{00000000-0005-0000-0000-000095000000}"/>
    <cellStyle name="20% - Accent1 10 3 4" xfId="3970" xr:uid="{00000000-0005-0000-0000-000096000000}"/>
    <cellStyle name="20% - Accent1 10 3 5" xfId="3971" xr:uid="{00000000-0005-0000-0000-000097000000}"/>
    <cellStyle name="20% - Accent1 10 3 6" xfId="3972" xr:uid="{00000000-0005-0000-0000-000098000000}"/>
    <cellStyle name="20% - Accent1 10 4" xfId="3973" xr:uid="{00000000-0005-0000-0000-000099000000}"/>
    <cellStyle name="20% - Accent1 10 4 2" xfId="3974" xr:uid="{00000000-0005-0000-0000-00009A000000}"/>
    <cellStyle name="20% - Accent1 10 4 3" xfId="3975" xr:uid="{00000000-0005-0000-0000-00009B000000}"/>
    <cellStyle name="20% - Accent1 10 5" xfId="3976" xr:uid="{00000000-0005-0000-0000-00009C000000}"/>
    <cellStyle name="20% - Accent1 10 5 2" xfId="3977" xr:uid="{00000000-0005-0000-0000-00009D000000}"/>
    <cellStyle name="20% - Accent1 10 5 3" xfId="3978" xr:uid="{00000000-0005-0000-0000-00009E000000}"/>
    <cellStyle name="20% - Accent1 10 6" xfId="3979" xr:uid="{00000000-0005-0000-0000-00009F000000}"/>
    <cellStyle name="20% - Accent1 10 7" xfId="3980" xr:uid="{00000000-0005-0000-0000-0000A0000000}"/>
    <cellStyle name="20% - Accent1 10 8" xfId="3981" xr:uid="{00000000-0005-0000-0000-0000A1000000}"/>
    <cellStyle name="20% - Accent1 10 9" xfId="3982" xr:uid="{00000000-0005-0000-0000-0000A2000000}"/>
    <cellStyle name="20% - Accent1 11" xfId="13" xr:uid="{00000000-0005-0000-0000-0000A3000000}"/>
    <cellStyle name="20% - Accent1 11 10" xfId="3983" xr:uid="{00000000-0005-0000-0000-0000A4000000}"/>
    <cellStyle name="20% - Accent1 11 2" xfId="14" xr:uid="{00000000-0005-0000-0000-0000A5000000}"/>
    <cellStyle name="20% - Accent1 11 2 2" xfId="3984" xr:uid="{00000000-0005-0000-0000-0000A6000000}"/>
    <cellStyle name="20% - Accent1 11 2 2 2" xfId="3985" xr:uid="{00000000-0005-0000-0000-0000A7000000}"/>
    <cellStyle name="20% - Accent1 11 2 2 3" xfId="3986" xr:uid="{00000000-0005-0000-0000-0000A8000000}"/>
    <cellStyle name="20% - Accent1 11 2 3" xfId="3987" xr:uid="{00000000-0005-0000-0000-0000A9000000}"/>
    <cellStyle name="20% - Accent1 11 2 3 2" xfId="3988" xr:uid="{00000000-0005-0000-0000-0000AA000000}"/>
    <cellStyle name="20% - Accent1 11 2 3 3" xfId="3989" xr:uid="{00000000-0005-0000-0000-0000AB000000}"/>
    <cellStyle name="20% - Accent1 11 2 4" xfId="3990" xr:uid="{00000000-0005-0000-0000-0000AC000000}"/>
    <cellStyle name="20% - Accent1 11 2 5" xfId="3991" xr:uid="{00000000-0005-0000-0000-0000AD000000}"/>
    <cellStyle name="20% - Accent1 11 2 6" xfId="3992" xr:uid="{00000000-0005-0000-0000-0000AE000000}"/>
    <cellStyle name="20% - Accent1 11 3" xfId="3993" xr:uid="{00000000-0005-0000-0000-0000AF000000}"/>
    <cellStyle name="20% - Accent1 11 3 2" xfId="3994" xr:uid="{00000000-0005-0000-0000-0000B0000000}"/>
    <cellStyle name="20% - Accent1 11 3 3" xfId="3995" xr:uid="{00000000-0005-0000-0000-0000B1000000}"/>
    <cellStyle name="20% - Accent1 11 4" xfId="3996" xr:uid="{00000000-0005-0000-0000-0000B2000000}"/>
    <cellStyle name="20% - Accent1 11 4 2" xfId="3997" xr:uid="{00000000-0005-0000-0000-0000B3000000}"/>
    <cellStyle name="20% - Accent1 11 4 3" xfId="3998" xr:uid="{00000000-0005-0000-0000-0000B4000000}"/>
    <cellStyle name="20% - Accent1 11 5" xfId="3999" xr:uid="{00000000-0005-0000-0000-0000B5000000}"/>
    <cellStyle name="20% - Accent1 11 6" xfId="4000" xr:uid="{00000000-0005-0000-0000-0000B6000000}"/>
    <cellStyle name="20% - Accent1 11 7" xfId="4001" xr:uid="{00000000-0005-0000-0000-0000B7000000}"/>
    <cellStyle name="20% - Accent1 11 8" xfId="4002" xr:uid="{00000000-0005-0000-0000-0000B8000000}"/>
    <cellStyle name="20% - Accent1 11 9" xfId="4003" xr:uid="{00000000-0005-0000-0000-0000B9000000}"/>
    <cellStyle name="20% - Accent1 12" xfId="15" xr:uid="{00000000-0005-0000-0000-0000BA000000}"/>
    <cellStyle name="20% - Accent1 12 2" xfId="16" xr:uid="{00000000-0005-0000-0000-0000BB000000}"/>
    <cellStyle name="20% - Accent1 12 3" xfId="4004" xr:uid="{00000000-0005-0000-0000-0000BC000000}"/>
    <cellStyle name="20% - Accent1 12 4" xfId="4005" xr:uid="{00000000-0005-0000-0000-0000BD000000}"/>
    <cellStyle name="20% - Accent1 12 5" xfId="4006" xr:uid="{00000000-0005-0000-0000-0000BE000000}"/>
    <cellStyle name="20% - Accent1 13" xfId="17" xr:uid="{00000000-0005-0000-0000-0000BF000000}"/>
    <cellStyle name="20% - Accent1 13 2" xfId="18" xr:uid="{00000000-0005-0000-0000-0000C0000000}"/>
    <cellStyle name="20% - Accent1 13 3" xfId="4007" xr:uid="{00000000-0005-0000-0000-0000C1000000}"/>
    <cellStyle name="20% - Accent1 13 4" xfId="4008" xr:uid="{00000000-0005-0000-0000-0000C2000000}"/>
    <cellStyle name="20% - Accent1 14" xfId="19" xr:uid="{00000000-0005-0000-0000-0000C3000000}"/>
    <cellStyle name="20% - Accent1 14 2" xfId="20" xr:uid="{00000000-0005-0000-0000-0000C4000000}"/>
    <cellStyle name="20% - Accent1 14 3" xfId="4009" xr:uid="{00000000-0005-0000-0000-0000C5000000}"/>
    <cellStyle name="20% - Accent1 15" xfId="21" xr:uid="{00000000-0005-0000-0000-0000C6000000}"/>
    <cellStyle name="20% - Accent1 15 2" xfId="22" xr:uid="{00000000-0005-0000-0000-0000C7000000}"/>
    <cellStyle name="20% - Accent1 15 3" xfId="4010" xr:uid="{00000000-0005-0000-0000-0000C8000000}"/>
    <cellStyle name="20% - Accent1 16" xfId="23" xr:uid="{00000000-0005-0000-0000-0000C9000000}"/>
    <cellStyle name="20% - Accent1 16 2" xfId="24" xr:uid="{00000000-0005-0000-0000-0000CA000000}"/>
    <cellStyle name="20% - Accent1 17" xfId="25" xr:uid="{00000000-0005-0000-0000-0000CB000000}"/>
    <cellStyle name="20% - Accent1 17 2" xfId="26" xr:uid="{00000000-0005-0000-0000-0000CC000000}"/>
    <cellStyle name="20% - Accent1 18" xfId="27" xr:uid="{00000000-0005-0000-0000-0000CD000000}"/>
    <cellStyle name="20% - Accent1 18 2" xfId="28" xr:uid="{00000000-0005-0000-0000-0000CE000000}"/>
    <cellStyle name="20% - Accent1 19" xfId="29" xr:uid="{00000000-0005-0000-0000-0000CF000000}"/>
    <cellStyle name="20% - Accent1 19 2" xfId="30" xr:uid="{00000000-0005-0000-0000-0000D0000000}"/>
    <cellStyle name="20% - Accent1 2" xfId="31" xr:uid="{00000000-0005-0000-0000-0000D1000000}"/>
    <cellStyle name="20% - Accent1 2 10" xfId="4011" xr:uid="{00000000-0005-0000-0000-0000D2000000}"/>
    <cellStyle name="20% - Accent1 2 11" xfId="4012" xr:uid="{00000000-0005-0000-0000-0000D3000000}"/>
    <cellStyle name="20% - Accent1 2 12" xfId="4013" xr:uid="{00000000-0005-0000-0000-0000D4000000}"/>
    <cellStyle name="20% - Accent1 2 13" xfId="4014" xr:uid="{00000000-0005-0000-0000-0000D5000000}"/>
    <cellStyle name="20% - Accent1 2 2" xfId="32" xr:uid="{00000000-0005-0000-0000-0000D6000000}"/>
    <cellStyle name="20% - Accent1 2 2 10" xfId="4015" xr:uid="{00000000-0005-0000-0000-0000D7000000}"/>
    <cellStyle name="20% - Accent1 2 2 11" xfId="4016" xr:uid="{00000000-0005-0000-0000-0000D8000000}"/>
    <cellStyle name="20% - Accent1 2 2 12" xfId="4017" xr:uid="{00000000-0005-0000-0000-0000D9000000}"/>
    <cellStyle name="20% - Accent1 2 2 13" xfId="4018" xr:uid="{00000000-0005-0000-0000-0000DA000000}"/>
    <cellStyle name="20% - Accent1 2 2 2" xfId="33" xr:uid="{00000000-0005-0000-0000-0000DB000000}"/>
    <cellStyle name="20% - Accent1 2 2 2 10" xfId="4019" xr:uid="{00000000-0005-0000-0000-0000DC000000}"/>
    <cellStyle name="20% - Accent1 2 2 2 2" xfId="34" xr:uid="{00000000-0005-0000-0000-0000DD000000}"/>
    <cellStyle name="20% - Accent1 2 2 2 2 2" xfId="35" xr:uid="{00000000-0005-0000-0000-0000DE000000}"/>
    <cellStyle name="20% - Accent1 2 2 2 2 2 2" xfId="36" xr:uid="{00000000-0005-0000-0000-0000DF000000}"/>
    <cellStyle name="20% - Accent1 2 2 2 2 2 2 2" xfId="52832" xr:uid="{00000000-0005-0000-0000-0000E0000000}"/>
    <cellStyle name="20% - Accent1 2 2 2 2 2 2 2 2" xfId="52833" xr:uid="{00000000-0005-0000-0000-0000E1000000}"/>
    <cellStyle name="20% - Accent1 2 2 2 2 2 2 3" xfId="52834" xr:uid="{00000000-0005-0000-0000-0000E2000000}"/>
    <cellStyle name="20% - Accent1 2 2 2 2 2 3" xfId="37" xr:uid="{00000000-0005-0000-0000-0000E3000000}"/>
    <cellStyle name="20% - Accent1 2 2 2 2 2 3 2" xfId="52835" xr:uid="{00000000-0005-0000-0000-0000E4000000}"/>
    <cellStyle name="20% - Accent1 2 2 2 2 2 3 2 2" xfId="52836" xr:uid="{00000000-0005-0000-0000-0000E5000000}"/>
    <cellStyle name="20% - Accent1 2 2 2 2 2 3 3" xfId="52837" xr:uid="{00000000-0005-0000-0000-0000E6000000}"/>
    <cellStyle name="20% - Accent1 2 2 2 2 2 4" xfId="4020" xr:uid="{00000000-0005-0000-0000-0000E7000000}"/>
    <cellStyle name="20% - Accent1 2 2 2 2 2 4 2" xfId="52838" xr:uid="{00000000-0005-0000-0000-0000E8000000}"/>
    <cellStyle name="20% - Accent1 2 2 2 2 2 5" xfId="4021" xr:uid="{00000000-0005-0000-0000-0000E9000000}"/>
    <cellStyle name="20% - Accent1 2 2 2 2 3" xfId="38" xr:uid="{00000000-0005-0000-0000-0000EA000000}"/>
    <cellStyle name="20% - Accent1 2 2 2 2 3 2" xfId="4022" xr:uid="{00000000-0005-0000-0000-0000EB000000}"/>
    <cellStyle name="20% - Accent1 2 2 2 2 3 2 2" xfId="52839" xr:uid="{00000000-0005-0000-0000-0000EC000000}"/>
    <cellStyle name="20% - Accent1 2 2 2 2 3 3" xfId="4023" xr:uid="{00000000-0005-0000-0000-0000ED000000}"/>
    <cellStyle name="20% - Accent1 2 2 2 2 4" xfId="39" xr:uid="{00000000-0005-0000-0000-0000EE000000}"/>
    <cellStyle name="20% - Accent1 2 2 2 2 4 2" xfId="52840" xr:uid="{00000000-0005-0000-0000-0000EF000000}"/>
    <cellStyle name="20% - Accent1 2 2 2 2 4 2 2" xfId="52841" xr:uid="{00000000-0005-0000-0000-0000F0000000}"/>
    <cellStyle name="20% - Accent1 2 2 2 2 4 3" xfId="52842" xr:uid="{00000000-0005-0000-0000-0000F1000000}"/>
    <cellStyle name="20% - Accent1 2 2 2 2 5" xfId="4024" xr:uid="{00000000-0005-0000-0000-0000F2000000}"/>
    <cellStyle name="20% - Accent1 2 2 2 2 5 2" xfId="52843" xr:uid="{00000000-0005-0000-0000-0000F3000000}"/>
    <cellStyle name="20% - Accent1 2 2 2 2 6" xfId="4025" xr:uid="{00000000-0005-0000-0000-0000F4000000}"/>
    <cellStyle name="20% - Accent1 2 2 2 2 7" xfId="4026" xr:uid="{00000000-0005-0000-0000-0000F5000000}"/>
    <cellStyle name="20% - Accent1 2 2 2 2 8" xfId="4027" xr:uid="{00000000-0005-0000-0000-0000F6000000}"/>
    <cellStyle name="20% - Accent1 2 2 2 3" xfId="40" xr:uid="{00000000-0005-0000-0000-0000F7000000}"/>
    <cellStyle name="20% - Accent1 2 2 2 3 2" xfId="41" xr:uid="{00000000-0005-0000-0000-0000F8000000}"/>
    <cellStyle name="20% - Accent1 2 2 2 3 2 2" xfId="42" xr:uid="{00000000-0005-0000-0000-0000F9000000}"/>
    <cellStyle name="20% - Accent1 2 2 2 3 2 2 2" xfId="52844" xr:uid="{00000000-0005-0000-0000-0000FA000000}"/>
    <cellStyle name="20% - Accent1 2 2 2 3 2 2 2 2" xfId="52845" xr:uid="{00000000-0005-0000-0000-0000FB000000}"/>
    <cellStyle name="20% - Accent1 2 2 2 3 2 2 3" xfId="52846" xr:uid="{00000000-0005-0000-0000-0000FC000000}"/>
    <cellStyle name="20% - Accent1 2 2 2 3 2 3" xfId="4028" xr:uid="{00000000-0005-0000-0000-0000FD000000}"/>
    <cellStyle name="20% - Accent1 2 2 2 3 2 3 2" xfId="52847" xr:uid="{00000000-0005-0000-0000-0000FE000000}"/>
    <cellStyle name="20% - Accent1 2 2 2 3 2 3 2 2" xfId="52848" xr:uid="{00000000-0005-0000-0000-0000FF000000}"/>
    <cellStyle name="20% - Accent1 2 2 2 3 2 3 3" xfId="52849" xr:uid="{00000000-0005-0000-0000-000000010000}"/>
    <cellStyle name="20% - Accent1 2 2 2 3 2 4" xfId="52850" xr:uid="{00000000-0005-0000-0000-000001010000}"/>
    <cellStyle name="20% - Accent1 2 2 2 3 2 4 2" xfId="52851" xr:uid="{00000000-0005-0000-0000-000002010000}"/>
    <cellStyle name="20% - Accent1 2 2 2 3 2 5" xfId="52852" xr:uid="{00000000-0005-0000-0000-000003010000}"/>
    <cellStyle name="20% - Accent1 2 2 2 3 3" xfId="43" xr:uid="{00000000-0005-0000-0000-000004010000}"/>
    <cellStyle name="20% - Accent1 2 2 2 3 3 2" xfId="52853" xr:uid="{00000000-0005-0000-0000-000005010000}"/>
    <cellStyle name="20% - Accent1 2 2 2 3 3 2 2" xfId="52854" xr:uid="{00000000-0005-0000-0000-000006010000}"/>
    <cellStyle name="20% - Accent1 2 2 2 3 3 3" xfId="52855" xr:uid="{00000000-0005-0000-0000-000007010000}"/>
    <cellStyle name="20% - Accent1 2 2 2 3 4" xfId="4029" xr:uid="{00000000-0005-0000-0000-000008010000}"/>
    <cellStyle name="20% - Accent1 2 2 2 3 4 2" xfId="52856" xr:uid="{00000000-0005-0000-0000-000009010000}"/>
    <cellStyle name="20% - Accent1 2 2 2 3 4 2 2" xfId="52857" xr:uid="{00000000-0005-0000-0000-00000A010000}"/>
    <cellStyle name="20% - Accent1 2 2 2 3 4 3" xfId="52858" xr:uid="{00000000-0005-0000-0000-00000B010000}"/>
    <cellStyle name="20% - Accent1 2 2 2 3 5" xfId="4030" xr:uid="{00000000-0005-0000-0000-00000C010000}"/>
    <cellStyle name="20% - Accent1 2 2 2 3 5 2" xfId="52859" xr:uid="{00000000-0005-0000-0000-00000D010000}"/>
    <cellStyle name="20% - Accent1 2 2 2 3 6" xfId="52860" xr:uid="{00000000-0005-0000-0000-00000E010000}"/>
    <cellStyle name="20% - Accent1 2 2 2 4" xfId="44" xr:uid="{00000000-0005-0000-0000-00000F010000}"/>
    <cellStyle name="20% - Accent1 2 2 2 4 2" xfId="45" xr:uid="{00000000-0005-0000-0000-000010010000}"/>
    <cellStyle name="20% - Accent1 2 2 2 4 2 2" xfId="52861" xr:uid="{00000000-0005-0000-0000-000011010000}"/>
    <cellStyle name="20% - Accent1 2 2 2 4 2 2 2" xfId="52862" xr:uid="{00000000-0005-0000-0000-000012010000}"/>
    <cellStyle name="20% - Accent1 2 2 2 4 2 3" xfId="52863" xr:uid="{00000000-0005-0000-0000-000013010000}"/>
    <cellStyle name="20% - Accent1 2 2 2 4 3" xfId="4031" xr:uid="{00000000-0005-0000-0000-000014010000}"/>
    <cellStyle name="20% - Accent1 2 2 2 4 3 2" xfId="52864" xr:uid="{00000000-0005-0000-0000-000015010000}"/>
    <cellStyle name="20% - Accent1 2 2 2 4 3 2 2" xfId="52865" xr:uid="{00000000-0005-0000-0000-000016010000}"/>
    <cellStyle name="20% - Accent1 2 2 2 4 3 3" xfId="52866" xr:uid="{00000000-0005-0000-0000-000017010000}"/>
    <cellStyle name="20% - Accent1 2 2 2 4 4" xfId="4032" xr:uid="{00000000-0005-0000-0000-000018010000}"/>
    <cellStyle name="20% - Accent1 2 2 2 4 4 2" xfId="52867" xr:uid="{00000000-0005-0000-0000-000019010000}"/>
    <cellStyle name="20% - Accent1 2 2 2 4 5" xfId="4033" xr:uid="{00000000-0005-0000-0000-00001A010000}"/>
    <cellStyle name="20% - Accent1 2 2 2 5" xfId="46" xr:uid="{00000000-0005-0000-0000-00001B010000}"/>
    <cellStyle name="20% - Accent1 2 2 2 5 2" xfId="4034" xr:uid="{00000000-0005-0000-0000-00001C010000}"/>
    <cellStyle name="20% - Accent1 2 2 2 5 2 2" xfId="52868" xr:uid="{00000000-0005-0000-0000-00001D010000}"/>
    <cellStyle name="20% - Accent1 2 2 2 5 3" xfId="4035" xr:uid="{00000000-0005-0000-0000-00001E010000}"/>
    <cellStyle name="20% - Accent1 2 2 2 6" xfId="4036" xr:uid="{00000000-0005-0000-0000-00001F010000}"/>
    <cellStyle name="20% - Accent1 2 2 2 6 2" xfId="52869" xr:uid="{00000000-0005-0000-0000-000020010000}"/>
    <cellStyle name="20% - Accent1 2 2 2 6 2 2" xfId="52870" xr:uid="{00000000-0005-0000-0000-000021010000}"/>
    <cellStyle name="20% - Accent1 2 2 2 6 3" xfId="52871" xr:uid="{00000000-0005-0000-0000-000022010000}"/>
    <cellStyle name="20% - Accent1 2 2 2 7" xfId="4037" xr:uid="{00000000-0005-0000-0000-000023010000}"/>
    <cellStyle name="20% - Accent1 2 2 2 7 2" xfId="52872" xr:uid="{00000000-0005-0000-0000-000024010000}"/>
    <cellStyle name="20% - Accent1 2 2 2 8" xfId="4038" xr:uid="{00000000-0005-0000-0000-000025010000}"/>
    <cellStyle name="20% - Accent1 2 2 2 9" xfId="4039" xr:uid="{00000000-0005-0000-0000-000026010000}"/>
    <cellStyle name="20% - Accent1 2 2 3" xfId="47" xr:uid="{00000000-0005-0000-0000-000027010000}"/>
    <cellStyle name="20% - Accent1 2 2 3 2" xfId="48" xr:uid="{00000000-0005-0000-0000-000028010000}"/>
    <cellStyle name="20% - Accent1 2 2 3 2 2" xfId="49" xr:uid="{00000000-0005-0000-0000-000029010000}"/>
    <cellStyle name="20% - Accent1 2 2 3 2 2 2" xfId="52873" xr:uid="{00000000-0005-0000-0000-00002A010000}"/>
    <cellStyle name="20% - Accent1 2 2 3 2 2 2 2" xfId="52874" xr:uid="{00000000-0005-0000-0000-00002B010000}"/>
    <cellStyle name="20% - Accent1 2 2 3 2 2 3" xfId="52875" xr:uid="{00000000-0005-0000-0000-00002C010000}"/>
    <cellStyle name="20% - Accent1 2 2 3 2 3" xfId="50" xr:uid="{00000000-0005-0000-0000-00002D010000}"/>
    <cellStyle name="20% - Accent1 2 2 3 2 3 2" xfId="52876" xr:uid="{00000000-0005-0000-0000-00002E010000}"/>
    <cellStyle name="20% - Accent1 2 2 3 2 3 2 2" xfId="52877" xr:uid="{00000000-0005-0000-0000-00002F010000}"/>
    <cellStyle name="20% - Accent1 2 2 3 2 3 3" xfId="52878" xr:uid="{00000000-0005-0000-0000-000030010000}"/>
    <cellStyle name="20% - Accent1 2 2 3 2 4" xfId="4040" xr:uid="{00000000-0005-0000-0000-000031010000}"/>
    <cellStyle name="20% - Accent1 2 2 3 2 4 2" xfId="52879" xr:uid="{00000000-0005-0000-0000-000032010000}"/>
    <cellStyle name="20% - Accent1 2 2 3 2 5" xfId="4041" xr:uid="{00000000-0005-0000-0000-000033010000}"/>
    <cellStyle name="20% - Accent1 2 2 3 3" xfId="51" xr:uid="{00000000-0005-0000-0000-000034010000}"/>
    <cellStyle name="20% - Accent1 2 2 3 3 2" xfId="4042" xr:uid="{00000000-0005-0000-0000-000035010000}"/>
    <cellStyle name="20% - Accent1 2 2 3 3 2 2" xfId="52880" xr:uid="{00000000-0005-0000-0000-000036010000}"/>
    <cellStyle name="20% - Accent1 2 2 3 3 3" xfId="4043" xr:uid="{00000000-0005-0000-0000-000037010000}"/>
    <cellStyle name="20% - Accent1 2 2 3 4" xfId="52" xr:uid="{00000000-0005-0000-0000-000038010000}"/>
    <cellStyle name="20% - Accent1 2 2 3 4 2" xfId="52881" xr:uid="{00000000-0005-0000-0000-000039010000}"/>
    <cellStyle name="20% - Accent1 2 2 3 4 2 2" xfId="52882" xr:uid="{00000000-0005-0000-0000-00003A010000}"/>
    <cellStyle name="20% - Accent1 2 2 3 4 3" xfId="52883" xr:uid="{00000000-0005-0000-0000-00003B010000}"/>
    <cellStyle name="20% - Accent1 2 2 3 5" xfId="4044" xr:uid="{00000000-0005-0000-0000-00003C010000}"/>
    <cellStyle name="20% - Accent1 2 2 3 5 2" xfId="52884" xr:uid="{00000000-0005-0000-0000-00003D010000}"/>
    <cellStyle name="20% - Accent1 2 2 3 6" xfId="4045" xr:uid="{00000000-0005-0000-0000-00003E010000}"/>
    <cellStyle name="20% - Accent1 2 2 3 7" xfId="4046" xr:uid="{00000000-0005-0000-0000-00003F010000}"/>
    <cellStyle name="20% - Accent1 2 2 3 8" xfId="4047" xr:uid="{00000000-0005-0000-0000-000040010000}"/>
    <cellStyle name="20% - Accent1 2 2 4" xfId="53" xr:uid="{00000000-0005-0000-0000-000041010000}"/>
    <cellStyle name="20% - Accent1 2 2 4 2" xfId="54" xr:uid="{00000000-0005-0000-0000-000042010000}"/>
    <cellStyle name="20% - Accent1 2 2 4 2 2" xfId="55" xr:uid="{00000000-0005-0000-0000-000043010000}"/>
    <cellStyle name="20% - Accent1 2 2 4 2 2 2" xfId="52885" xr:uid="{00000000-0005-0000-0000-000044010000}"/>
    <cellStyle name="20% - Accent1 2 2 4 2 2 2 2" xfId="52886" xr:uid="{00000000-0005-0000-0000-000045010000}"/>
    <cellStyle name="20% - Accent1 2 2 4 2 2 3" xfId="52887" xr:uid="{00000000-0005-0000-0000-000046010000}"/>
    <cellStyle name="20% - Accent1 2 2 4 2 3" xfId="4048" xr:uid="{00000000-0005-0000-0000-000047010000}"/>
    <cellStyle name="20% - Accent1 2 2 4 2 3 2" xfId="52888" xr:uid="{00000000-0005-0000-0000-000048010000}"/>
    <cellStyle name="20% - Accent1 2 2 4 2 3 2 2" xfId="52889" xr:uid="{00000000-0005-0000-0000-000049010000}"/>
    <cellStyle name="20% - Accent1 2 2 4 2 3 3" xfId="52890" xr:uid="{00000000-0005-0000-0000-00004A010000}"/>
    <cellStyle name="20% - Accent1 2 2 4 2 4" xfId="52891" xr:uid="{00000000-0005-0000-0000-00004B010000}"/>
    <cellStyle name="20% - Accent1 2 2 4 2 4 2" xfId="52892" xr:uid="{00000000-0005-0000-0000-00004C010000}"/>
    <cellStyle name="20% - Accent1 2 2 4 2 5" xfId="52893" xr:uid="{00000000-0005-0000-0000-00004D010000}"/>
    <cellStyle name="20% - Accent1 2 2 4 3" xfId="56" xr:uid="{00000000-0005-0000-0000-00004E010000}"/>
    <cellStyle name="20% - Accent1 2 2 4 3 2" xfId="52894" xr:uid="{00000000-0005-0000-0000-00004F010000}"/>
    <cellStyle name="20% - Accent1 2 2 4 3 2 2" xfId="52895" xr:uid="{00000000-0005-0000-0000-000050010000}"/>
    <cellStyle name="20% - Accent1 2 2 4 3 3" xfId="52896" xr:uid="{00000000-0005-0000-0000-000051010000}"/>
    <cellStyle name="20% - Accent1 2 2 4 4" xfId="4049" xr:uid="{00000000-0005-0000-0000-000052010000}"/>
    <cellStyle name="20% - Accent1 2 2 4 4 2" xfId="52897" xr:uid="{00000000-0005-0000-0000-000053010000}"/>
    <cellStyle name="20% - Accent1 2 2 4 4 2 2" xfId="52898" xr:uid="{00000000-0005-0000-0000-000054010000}"/>
    <cellStyle name="20% - Accent1 2 2 4 4 3" xfId="52899" xr:uid="{00000000-0005-0000-0000-000055010000}"/>
    <cellStyle name="20% - Accent1 2 2 4 5" xfId="4050" xr:uid="{00000000-0005-0000-0000-000056010000}"/>
    <cellStyle name="20% - Accent1 2 2 4 5 2" xfId="52900" xr:uid="{00000000-0005-0000-0000-000057010000}"/>
    <cellStyle name="20% - Accent1 2 2 4 6" xfId="52901" xr:uid="{00000000-0005-0000-0000-000058010000}"/>
    <cellStyle name="20% - Accent1 2 2 5" xfId="57" xr:uid="{00000000-0005-0000-0000-000059010000}"/>
    <cellStyle name="20% - Accent1 2 2 5 2" xfId="58" xr:uid="{00000000-0005-0000-0000-00005A010000}"/>
    <cellStyle name="20% - Accent1 2 2 5 2 2" xfId="52902" xr:uid="{00000000-0005-0000-0000-00005B010000}"/>
    <cellStyle name="20% - Accent1 2 2 5 2 2 2" xfId="52903" xr:uid="{00000000-0005-0000-0000-00005C010000}"/>
    <cellStyle name="20% - Accent1 2 2 5 2 3" xfId="52904" xr:uid="{00000000-0005-0000-0000-00005D010000}"/>
    <cellStyle name="20% - Accent1 2 2 5 3" xfId="4051" xr:uid="{00000000-0005-0000-0000-00005E010000}"/>
    <cellStyle name="20% - Accent1 2 2 5 3 2" xfId="52905" xr:uid="{00000000-0005-0000-0000-00005F010000}"/>
    <cellStyle name="20% - Accent1 2 2 5 3 2 2" xfId="52906" xr:uid="{00000000-0005-0000-0000-000060010000}"/>
    <cellStyle name="20% - Accent1 2 2 5 3 3" xfId="52907" xr:uid="{00000000-0005-0000-0000-000061010000}"/>
    <cellStyle name="20% - Accent1 2 2 5 4" xfId="4052" xr:uid="{00000000-0005-0000-0000-000062010000}"/>
    <cellStyle name="20% - Accent1 2 2 5 4 2" xfId="52908" xr:uid="{00000000-0005-0000-0000-000063010000}"/>
    <cellStyle name="20% - Accent1 2 2 5 5" xfId="4053" xr:uid="{00000000-0005-0000-0000-000064010000}"/>
    <cellStyle name="20% - Accent1 2 2 6" xfId="59" xr:uid="{00000000-0005-0000-0000-000065010000}"/>
    <cellStyle name="20% - Accent1 2 2 6 2" xfId="4054" xr:uid="{00000000-0005-0000-0000-000066010000}"/>
    <cellStyle name="20% - Accent1 2 2 6 2 2" xfId="52909" xr:uid="{00000000-0005-0000-0000-000067010000}"/>
    <cellStyle name="20% - Accent1 2 2 6 3" xfId="4055" xr:uid="{00000000-0005-0000-0000-000068010000}"/>
    <cellStyle name="20% - Accent1 2 2 7" xfId="4056" xr:uid="{00000000-0005-0000-0000-000069010000}"/>
    <cellStyle name="20% - Accent1 2 2 7 2" xfId="52910" xr:uid="{00000000-0005-0000-0000-00006A010000}"/>
    <cellStyle name="20% - Accent1 2 2 7 2 2" xfId="52911" xr:uid="{00000000-0005-0000-0000-00006B010000}"/>
    <cellStyle name="20% - Accent1 2 2 7 3" xfId="52912" xr:uid="{00000000-0005-0000-0000-00006C010000}"/>
    <cellStyle name="20% - Accent1 2 2 8" xfId="4057" xr:uid="{00000000-0005-0000-0000-00006D010000}"/>
    <cellStyle name="20% - Accent1 2 2 8 2" xfId="52913" xr:uid="{00000000-0005-0000-0000-00006E010000}"/>
    <cellStyle name="20% - Accent1 2 2 9" xfId="4058" xr:uid="{00000000-0005-0000-0000-00006F010000}"/>
    <cellStyle name="20% - Accent1 2 3" xfId="60" xr:uid="{00000000-0005-0000-0000-000070010000}"/>
    <cellStyle name="20% - Accent1 2 3 10" xfId="4059" xr:uid="{00000000-0005-0000-0000-000071010000}"/>
    <cellStyle name="20% - Accent1 2 3 2" xfId="61" xr:uid="{00000000-0005-0000-0000-000072010000}"/>
    <cellStyle name="20% - Accent1 2 3 2 2" xfId="62" xr:uid="{00000000-0005-0000-0000-000073010000}"/>
    <cellStyle name="20% - Accent1 2 3 2 2 2" xfId="63" xr:uid="{00000000-0005-0000-0000-000074010000}"/>
    <cellStyle name="20% - Accent1 2 3 2 2 2 2" xfId="52914" xr:uid="{00000000-0005-0000-0000-000075010000}"/>
    <cellStyle name="20% - Accent1 2 3 2 2 2 2 2" xfId="52915" xr:uid="{00000000-0005-0000-0000-000076010000}"/>
    <cellStyle name="20% - Accent1 2 3 2 2 2 3" xfId="52916" xr:uid="{00000000-0005-0000-0000-000077010000}"/>
    <cellStyle name="20% - Accent1 2 3 2 2 3" xfId="64" xr:uid="{00000000-0005-0000-0000-000078010000}"/>
    <cellStyle name="20% - Accent1 2 3 2 2 3 2" xfId="52917" xr:uid="{00000000-0005-0000-0000-000079010000}"/>
    <cellStyle name="20% - Accent1 2 3 2 2 3 2 2" xfId="52918" xr:uid="{00000000-0005-0000-0000-00007A010000}"/>
    <cellStyle name="20% - Accent1 2 3 2 2 3 3" xfId="52919" xr:uid="{00000000-0005-0000-0000-00007B010000}"/>
    <cellStyle name="20% - Accent1 2 3 2 2 4" xfId="4060" xr:uid="{00000000-0005-0000-0000-00007C010000}"/>
    <cellStyle name="20% - Accent1 2 3 2 2 4 2" xfId="52920" xr:uid="{00000000-0005-0000-0000-00007D010000}"/>
    <cellStyle name="20% - Accent1 2 3 2 2 5" xfId="4061" xr:uid="{00000000-0005-0000-0000-00007E010000}"/>
    <cellStyle name="20% - Accent1 2 3 2 3" xfId="65" xr:uid="{00000000-0005-0000-0000-00007F010000}"/>
    <cellStyle name="20% - Accent1 2 3 2 3 2" xfId="4062" xr:uid="{00000000-0005-0000-0000-000080010000}"/>
    <cellStyle name="20% - Accent1 2 3 2 3 2 2" xfId="52921" xr:uid="{00000000-0005-0000-0000-000081010000}"/>
    <cellStyle name="20% - Accent1 2 3 2 3 3" xfId="4063" xr:uid="{00000000-0005-0000-0000-000082010000}"/>
    <cellStyle name="20% - Accent1 2 3 2 4" xfId="66" xr:uid="{00000000-0005-0000-0000-000083010000}"/>
    <cellStyle name="20% - Accent1 2 3 2 4 2" xfId="52922" xr:uid="{00000000-0005-0000-0000-000084010000}"/>
    <cellStyle name="20% - Accent1 2 3 2 4 2 2" xfId="52923" xr:uid="{00000000-0005-0000-0000-000085010000}"/>
    <cellStyle name="20% - Accent1 2 3 2 4 3" xfId="52924" xr:uid="{00000000-0005-0000-0000-000086010000}"/>
    <cellStyle name="20% - Accent1 2 3 2 5" xfId="4064" xr:uid="{00000000-0005-0000-0000-000087010000}"/>
    <cellStyle name="20% - Accent1 2 3 2 5 2" xfId="52925" xr:uid="{00000000-0005-0000-0000-000088010000}"/>
    <cellStyle name="20% - Accent1 2 3 2 6" xfId="4065" xr:uid="{00000000-0005-0000-0000-000089010000}"/>
    <cellStyle name="20% - Accent1 2 3 2 7" xfId="4066" xr:uid="{00000000-0005-0000-0000-00008A010000}"/>
    <cellStyle name="20% - Accent1 2 3 2 8" xfId="4067" xr:uid="{00000000-0005-0000-0000-00008B010000}"/>
    <cellStyle name="20% - Accent1 2 3 3" xfId="67" xr:uid="{00000000-0005-0000-0000-00008C010000}"/>
    <cellStyle name="20% - Accent1 2 3 3 2" xfId="68" xr:uid="{00000000-0005-0000-0000-00008D010000}"/>
    <cellStyle name="20% - Accent1 2 3 3 2 2" xfId="69" xr:uid="{00000000-0005-0000-0000-00008E010000}"/>
    <cellStyle name="20% - Accent1 2 3 3 2 2 2" xfId="52926" xr:uid="{00000000-0005-0000-0000-00008F010000}"/>
    <cellStyle name="20% - Accent1 2 3 3 2 2 2 2" xfId="52927" xr:uid="{00000000-0005-0000-0000-000090010000}"/>
    <cellStyle name="20% - Accent1 2 3 3 2 2 3" xfId="52928" xr:uid="{00000000-0005-0000-0000-000091010000}"/>
    <cellStyle name="20% - Accent1 2 3 3 2 3" xfId="4068" xr:uid="{00000000-0005-0000-0000-000092010000}"/>
    <cellStyle name="20% - Accent1 2 3 3 2 3 2" xfId="52929" xr:uid="{00000000-0005-0000-0000-000093010000}"/>
    <cellStyle name="20% - Accent1 2 3 3 2 3 2 2" xfId="52930" xr:uid="{00000000-0005-0000-0000-000094010000}"/>
    <cellStyle name="20% - Accent1 2 3 3 2 3 3" xfId="52931" xr:uid="{00000000-0005-0000-0000-000095010000}"/>
    <cellStyle name="20% - Accent1 2 3 3 2 4" xfId="52932" xr:uid="{00000000-0005-0000-0000-000096010000}"/>
    <cellStyle name="20% - Accent1 2 3 3 2 4 2" xfId="52933" xr:uid="{00000000-0005-0000-0000-000097010000}"/>
    <cellStyle name="20% - Accent1 2 3 3 2 5" xfId="52934" xr:uid="{00000000-0005-0000-0000-000098010000}"/>
    <cellStyle name="20% - Accent1 2 3 3 3" xfId="70" xr:uid="{00000000-0005-0000-0000-000099010000}"/>
    <cellStyle name="20% - Accent1 2 3 3 3 2" xfId="52935" xr:uid="{00000000-0005-0000-0000-00009A010000}"/>
    <cellStyle name="20% - Accent1 2 3 3 3 2 2" xfId="52936" xr:uid="{00000000-0005-0000-0000-00009B010000}"/>
    <cellStyle name="20% - Accent1 2 3 3 3 3" xfId="52937" xr:uid="{00000000-0005-0000-0000-00009C010000}"/>
    <cellStyle name="20% - Accent1 2 3 3 4" xfId="4069" xr:uid="{00000000-0005-0000-0000-00009D010000}"/>
    <cellStyle name="20% - Accent1 2 3 3 4 2" xfId="52938" xr:uid="{00000000-0005-0000-0000-00009E010000}"/>
    <cellStyle name="20% - Accent1 2 3 3 4 2 2" xfId="52939" xr:uid="{00000000-0005-0000-0000-00009F010000}"/>
    <cellStyle name="20% - Accent1 2 3 3 4 3" xfId="52940" xr:uid="{00000000-0005-0000-0000-0000A0010000}"/>
    <cellStyle name="20% - Accent1 2 3 3 5" xfId="4070" xr:uid="{00000000-0005-0000-0000-0000A1010000}"/>
    <cellStyle name="20% - Accent1 2 3 3 5 2" xfId="52941" xr:uid="{00000000-0005-0000-0000-0000A2010000}"/>
    <cellStyle name="20% - Accent1 2 3 3 6" xfId="52942" xr:uid="{00000000-0005-0000-0000-0000A3010000}"/>
    <cellStyle name="20% - Accent1 2 3 4" xfId="71" xr:uid="{00000000-0005-0000-0000-0000A4010000}"/>
    <cellStyle name="20% - Accent1 2 3 4 2" xfId="72" xr:uid="{00000000-0005-0000-0000-0000A5010000}"/>
    <cellStyle name="20% - Accent1 2 3 4 2 2" xfId="52943" xr:uid="{00000000-0005-0000-0000-0000A6010000}"/>
    <cellStyle name="20% - Accent1 2 3 4 2 2 2" xfId="52944" xr:uid="{00000000-0005-0000-0000-0000A7010000}"/>
    <cellStyle name="20% - Accent1 2 3 4 2 3" xfId="52945" xr:uid="{00000000-0005-0000-0000-0000A8010000}"/>
    <cellStyle name="20% - Accent1 2 3 4 3" xfId="4071" xr:uid="{00000000-0005-0000-0000-0000A9010000}"/>
    <cellStyle name="20% - Accent1 2 3 4 3 2" xfId="52946" xr:uid="{00000000-0005-0000-0000-0000AA010000}"/>
    <cellStyle name="20% - Accent1 2 3 4 3 2 2" xfId="52947" xr:uid="{00000000-0005-0000-0000-0000AB010000}"/>
    <cellStyle name="20% - Accent1 2 3 4 3 3" xfId="52948" xr:uid="{00000000-0005-0000-0000-0000AC010000}"/>
    <cellStyle name="20% - Accent1 2 3 4 4" xfId="4072" xr:uid="{00000000-0005-0000-0000-0000AD010000}"/>
    <cellStyle name="20% - Accent1 2 3 4 4 2" xfId="52949" xr:uid="{00000000-0005-0000-0000-0000AE010000}"/>
    <cellStyle name="20% - Accent1 2 3 4 5" xfId="4073" xr:uid="{00000000-0005-0000-0000-0000AF010000}"/>
    <cellStyle name="20% - Accent1 2 3 5" xfId="73" xr:uid="{00000000-0005-0000-0000-0000B0010000}"/>
    <cellStyle name="20% - Accent1 2 3 5 2" xfId="4074" xr:uid="{00000000-0005-0000-0000-0000B1010000}"/>
    <cellStyle name="20% - Accent1 2 3 5 2 2" xfId="52950" xr:uid="{00000000-0005-0000-0000-0000B2010000}"/>
    <cellStyle name="20% - Accent1 2 3 5 3" xfId="4075" xr:uid="{00000000-0005-0000-0000-0000B3010000}"/>
    <cellStyle name="20% - Accent1 2 3 6" xfId="4076" xr:uid="{00000000-0005-0000-0000-0000B4010000}"/>
    <cellStyle name="20% - Accent1 2 3 6 2" xfId="52951" xr:uid="{00000000-0005-0000-0000-0000B5010000}"/>
    <cellStyle name="20% - Accent1 2 3 6 2 2" xfId="52952" xr:uid="{00000000-0005-0000-0000-0000B6010000}"/>
    <cellStyle name="20% - Accent1 2 3 6 3" xfId="52953" xr:uid="{00000000-0005-0000-0000-0000B7010000}"/>
    <cellStyle name="20% - Accent1 2 3 7" xfId="4077" xr:uid="{00000000-0005-0000-0000-0000B8010000}"/>
    <cellStyle name="20% - Accent1 2 3 7 2" xfId="52954" xr:uid="{00000000-0005-0000-0000-0000B9010000}"/>
    <cellStyle name="20% - Accent1 2 3 8" xfId="4078" xr:uid="{00000000-0005-0000-0000-0000BA010000}"/>
    <cellStyle name="20% - Accent1 2 3 9" xfId="4079" xr:uid="{00000000-0005-0000-0000-0000BB010000}"/>
    <cellStyle name="20% - Accent1 2 4" xfId="74" xr:uid="{00000000-0005-0000-0000-0000BC010000}"/>
    <cellStyle name="20% - Accent1 2 4 2" xfId="75" xr:uid="{00000000-0005-0000-0000-0000BD010000}"/>
    <cellStyle name="20% - Accent1 2 4 2 2" xfId="76" xr:uid="{00000000-0005-0000-0000-0000BE010000}"/>
    <cellStyle name="20% - Accent1 2 4 2 2 2" xfId="52955" xr:uid="{00000000-0005-0000-0000-0000BF010000}"/>
    <cellStyle name="20% - Accent1 2 4 2 2 2 2" xfId="52956" xr:uid="{00000000-0005-0000-0000-0000C0010000}"/>
    <cellStyle name="20% - Accent1 2 4 2 2 3" xfId="52957" xr:uid="{00000000-0005-0000-0000-0000C1010000}"/>
    <cellStyle name="20% - Accent1 2 4 2 3" xfId="77" xr:uid="{00000000-0005-0000-0000-0000C2010000}"/>
    <cellStyle name="20% - Accent1 2 4 2 3 2" xfId="52958" xr:uid="{00000000-0005-0000-0000-0000C3010000}"/>
    <cellStyle name="20% - Accent1 2 4 2 3 2 2" xfId="52959" xr:uid="{00000000-0005-0000-0000-0000C4010000}"/>
    <cellStyle name="20% - Accent1 2 4 2 3 3" xfId="52960" xr:uid="{00000000-0005-0000-0000-0000C5010000}"/>
    <cellStyle name="20% - Accent1 2 4 2 4" xfId="4080" xr:uid="{00000000-0005-0000-0000-0000C6010000}"/>
    <cellStyle name="20% - Accent1 2 4 2 4 2" xfId="52961" xr:uid="{00000000-0005-0000-0000-0000C7010000}"/>
    <cellStyle name="20% - Accent1 2 4 2 5" xfId="4081" xr:uid="{00000000-0005-0000-0000-0000C8010000}"/>
    <cellStyle name="20% - Accent1 2 4 3" xfId="78" xr:uid="{00000000-0005-0000-0000-0000C9010000}"/>
    <cellStyle name="20% - Accent1 2 4 3 2" xfId="4082" xr:uid="{00000000-0005-0000-0000-0000CA010000}"/>
    <cellStyle name="20% - Accent1 2 4 3 2 2" xfId="52962" xr:uid="{00000000-0005-0000-0000-0000CB010000}"/>
    <cellStyle name="20% - Accent1 2 4 3 3" xfId="4083" xr:uid="{00000000-0005-0000-0000-0000CC010000}"/>
    <cellStyle name="20% - Accent1 2 4 4" xfId="79" xr:uid="{00000000-0005-0000-0000-0000CD010000}"/>
    <cellStyle name="20% - Accent1 2 4 4 2" xfId="52963" xr:uid="{00000000-0005-0000-0000-0000CE010000}"/>
    <cellStyle name="20% - Accent1 2 4 4 2 2" xfId="52964" xr:uid="{00000000-0005-0000-0000-0000CF010000}"/>
    <cellStyle name="20% - Accent1 2 4 4 3" xfId="52965" xr:uid="{00000000-0005-0000-0000-0000D0010000}"/>
    <cellStyle name="20% - Accent1 2 4 5" xfId="4084" xr:uid="{00000000-0005-0000-0000-0000D1010000}"/>
    <cellStyle name="20% - Accent1 2 4 5 2" xfId="52966" xr:uid="{00000000-0005-0000-0000-0000D2010000}"/>
    <cellStyle name="20% - Accent1 2 4 6" xfId="4085" xr:uid="{00000000-0005-0000-0000-0000D3010000}"/>
    <cellStyle name="20% - Accent1 2 4 7" xfId="4086" xr:uid="{00000000-0005-0000-0000-0000D4010000}"/>
    <cellStyle name="20% - Accent1 2 4 8" xfId="4087" xr:uid="{00000000-0005-0000-0000-0000D5010000}"/>
    <cellStyle name="20% - Accent1 2 5" xfId="80" xr:uid="{00000000-0005-0000-0000-0000D6010000}"/>
    <cellStyle name="20% - Accent1 2 5 2" xfId="81" xr:uid="{00000000-0005-0000-0000-0000D7010000}"/>
    <cellStyle name="20% - Accent1 2 5 2 2" xfId="82" xr:uid="{00000000-0005-0000-0000-0000D8010000}"/>
    <cellStyle name="20% - Accent1 2 5 2 2 2" xfId="52967" xr:uid="{00000000-0005-0000-0000-0000D9010000}"/>
    <cellStyle name="20% - Accent1 2 5 2 2 2 2" xfId="52968" xr:uid="{00000000-0005-0000-0000-0000DA010000}"/>
    <cellStyle name="20% - Accent1 2 5 2 2 3" xfId="52969" xr:uid="{00000000-0005-0000-0000-0000DB010000}"/>
    <cellStyle name="20% - Accent1 2 5 2 3" xfId="4088" xr:uid="{00000000-0005-0000-0000-0000DC010000}"/>
    <cellStyle name="20% - Accent1 2 5 2 3 2" xfId="52970" xr:uid="{00000000-0005-0000-0000-0000DD010000}"/>
    <cellStyle name="20% - Accent1 2 5 2 3 2 2" xfId="52971" xr:uid="{00000000-0005-0000-0000-0000DE010000}"/>
    <cellStyle name="20% - Accent1 2 5 2 3 3" xfId="52972" xr:uid="{00000000-0005-0000-0000-0000DF010000}"/>
    <cellStyle name="20% - Accent1 2 5 2 4" xfId="52973" xr:uid="{00000000-0005-0000-0000-0000E0010000}"/>
    <cellStyle name="20% - Accent1 2 5 2 4 2" xfId="52974" xr:uid="{00000000-0005-0000-0000-0000E1010000}"/>
    <cellStyle name="20% - Accent1 2 5 2 5" xfId="52975" xr:uid="{00000000-0005-0000-0000-0000E2010000}"/>
    <cellStyle name="20% - Accent1 2 5 3" xfId="83" xr:uid="{00000000-0005-0000-0000-0000E3010000}"/>
    <cellStyle name="20% - Accent1 2 5 3 2" xfId="52976" xr:uid="{00000000-0005-0000-0000-0000E4010000}"/>
    <cellStyle name="20% - Accent1 2 5 3 2 2" xfId="52977" xr:uid="{00000000-0005-0000-0000-0000E5010000}"/>
    <cellStyle name="20% - Accent1 2 5 3 3" xfId="52978" xr:uid="{00000000-0005-0000-0000-0000E6010000}"/>
    <cellStyle name="20% - Accent1 2 5 4" xfId="4089" xr:uid="{00000000-0005-0000-0000-0000E7010000}"/>
    <cellStyle name="20% - Accent1 2 5 4 2" xfId="52979" xr:uid="{00000000-0005-0000-0000-0000E8010000}"/>
    <cellStyle name="20% - Accent1 2 5 4 2 2" xfId="52980" xr:uid="{00000000-0005-0000-0000-0000E9010000}"/>
    <cellStyle name="20% - Accent1 2 5 4 3" xfId="52981" xr:uid="{00000000-0005-0000-0000-0000EA010000}"/>
    <cellStyle name="20% - Accent1 2 5 5" xfId="4090" xr:uid="{00000000-0005-0000-0000-0000EB010000}"/>
    <cellStyle name="20% - Accent1 2 5 5 2" xfId="52982" xr:uid="{00000000-0005-0000-0000-0000EC010000}"/>
    <cellStyle name="20% - Accent1 2 5 6" xfId="52983" xr:uid="{00000000-0005-0000-0000-0000ED010000}"/>
    <cellStyle name="20% - Accent1 2 6" xfId="84" xr:uid="{00000000-0005-0000-0000-0000EE010000}"/>
    <cellStyle name="20% - Accent1 2 6 2" xfId="85" xr:uid="{00000000-0005-0000-0000-0000EF010000}"/>
    <cellStyle name="20% - Accent1 2 6 2 2" xfId="52984" xr:uid="{00000000-0005-0000-0000-0000F0010000}"/>
    <cellStyle name="20% - Accent1 2 6 2 2 2" xfId="52985" xr:uid="{00000000-0005-0000-0000-0000F1010000}"/>
    <cellStyle name="20% - Accent1 2 6 2 3" xfId="52986" xr:uid="{00000000-0005-0000-0000-0000F2010000}"/>
    <cellStyle name="20% - Accent1 2 6 3" xfId="4091" xr:uid="{00000000-0005-0000-0000-0000F3010000}"/>
    <cellStyle name="20% - Accent1 2 6 3 2" xfId="52987" xr:uid="{00000000-0005-0000-0000-0000F4010000}"/>
    <cellStyle name="20% - Accent1 2 6 3 2 2" xfId="52988" xr:uid="{00000000-0005-0000-0000-0000F5010000}"/>
    <cellStyle name="20% - Accent1 2 6 3 3" xfId="52989" xr:uid="{00000000-0005-0000-0000-0000F6010000}"/>
    <cellStyle name="20% - Accent1 2 6 4" xfId="4092" xr:uid="{00000000-0005-0000-0000-0000F7010000}"/>
    <cellStyle name="20% - Accent1 2 6 4 2" xfId="52990" xr:uid="{00000000-0005-0000-0000-0000F8010000}"/>
    <cellStyle name="20% - Accent1 2 6 5" xfId="4093" xr:uid="{00000000-0005-0000-0000-0000F9010000}"/>
    <cellStyle name="20% - Accent1 2 7" xfId="86" xr:uid="{00000000-0005-0000-0000-0000FA010000}"/>
    <cellStyle name="20% - Accent1 2 7 2" xfId="4094" xr:uid="{00000000-0005-0000-0000-0000FB010000}"/>
    <cellStyle name="20% - Accent1 2 7 2 2" xfId="52991" xr:uid="{00000000-0005-0000-0000-0000FC010000}"/>
    <cellStyle name="20% - Accent1 2 7 3" xfId="4095" xr:uid="{00000000-0005-0000-0000-0000FD010000}"/>
    <cellStyle name="20% - Accent1 2 8" xfId="4096" xr:uid="{00000000-0005-0000-0000-0000FE010000}"/>
    <cellStyle name="20% - Accent1 2 8 2" xfId="52992" xr:uid="{00000000-0005-0000-0000-0000FF010000}"/>
    <cellStyle name="20% - Accent1 2 8 2 2" xfId="52993" xr:uid="{00000000-0005-0000-0000-000000020000}"/>
    <cellStyle name="20% - Accent1 2 8 3" xfId="52994" xr:uid="{00000000-0005-0000-0000-000001020000}"/>
    <cellStyle name="20% - Accent1 2 9" xfId="4097" xr:uid="{00000000-0005-0000-0000-000002020000}"/>
    <cellStyle name="20% - Accent1 2 9 2" xfId="52995" xr:uid="{00000000-0005-0000-0000-000003020000}"/>
    <cellStyle name="20% - Accent1 20" xfId="87" xr:uid="{00000000-0005-0000-0000-000004020000}"/>
    <cellStyle name="20% - Accent1 20 2" xfId="88" xr:uid="{00000000-0005-0000-0000-000005020000}"/>
    <cellStyle name="20% - Accent1 21" xfId="89" xr:uid="{00000000-0005-0000-0000-000006020000}"/>
    <cellStyle name="20% - Accent1 21 2" xfId="90" xr:uid="{00000000-0005-0000-0000-000007020000}"/>
    <cellStyle name="20% - Accent1 22" xfId="91" xr:uid="{00000000-0005-0000-0000-000008020000}"/>
    <cellStyle name="20% - Accent1 22 2" xfId="92" xr:uid="{00000000-0005-0000-0000-000009020000}"/>
    <cellStyle name="20% - Accent1 23" xfId="93" xr:uid="{00000000-0005-0000-0000-00000A020000}"/>
    <cellStyle name="20% - Accent1 23 2" xfId="94" xr:uid="{00000000-0005-0000-0000-00000B020000}"/>
    <cellStyle name="20% - Accent1 24" xfId="95" xr:uid="{00000000-0005-0000-0000-00000C020000}"/>
    <cellStyle name="20% - Accent1 24 2" xfId="96" xr:uid="{00000000-0005-0000-0000-00000D020000}"/>
    <cellStyle name="20% - Accent1 25" xfId="97" xr:uid="{00000000-0005-0000-0000-00000E020000}"/>
    <cellStyle name="20% - Accent1 25 2" xfId="98" xr:uid="{00000000-0005-0000-0000-00000F020000}"/>
    <cellStyle name="20% - Accent1 26" xfId="99" xr:uid="{00000000-0005-0000-0000-000010020000}"/>
    <cellStyle name="20% - Accent1 26 2" xfId="100" xr:uid="{00000000-0005-0000-0000-000011020000}"/>
    <cellStyle name="20% - Accent1 27" xfId="101" xr:uid="{00000000-0005-0000-0000-000012020000}"/>
    <cellStyle name="20% - Accent1 27 2" xfId="102" xr:uid="{00000000-0005-0000-0000-000013020000}"/>
    <cellStyle name="20% - Accent1 28" xfId="103" xr:uid="{00000000-0005-0000-0000-000014020000}"/>
    <cellStyle name="20% - Accent1 28 2" xfId="104" xr:uid="{00000000-0005-0000-0000-000015020000}"/>
    <cellStyle name="20% - Accent1 29" xfId="105" xr:uid="{00000000-0005-0000-0000-000016020000}"/>
    <cellStyle name="20% - Accent1 29 2" xfId="106" xr:uid="{00000000-0005-0000-0000-000017020000}"/>
    <cellStyle name="20% - Accent1 3" xfId="107" xr:uid="{00000000-0005-0000-0000-000018020000}"/>
    <cellStyle name="20% - Accent1 3 10" xfId="4098" xr:uid="{00000000-0005-0000-0000-000019020000}"/>
    <cellStyle name="20% - Accent1 3 10 2" xfId="4099" xr:uid="{00000000-0005-0000-0000-00001A020000}"/>
    <cellStyle name="20% - Accent1 3 10 3" xfId="4100" xr:uid="{00000000-0005-0000-0000-00001B020000}"/>
    <cellStyle name="20% - Accent1 3 11" xfId="4101" xr:uid="{00000000-0005-0000-0000-00001C020000}"/>
    <cellStyle name="20% - Accent1 3 11 2" xfId="4102" xr:uid="{00000000-0005-0000-0000-00001D020000}"/>
    <cellStyle name="20% - Accent1 3 12" xfId="4103" xr:uid="{00000000-0005-0000-0000-00001E020000}"/>
    <cellStyle name="20% - Accent1 3 13" xfId="4104" xr:uid="{00000000-0005-0000-0000-00001F020000}"/>
    <cellStyle name="20% - Accent1 3 14" xfId="4105" xr:uid="{00000000-0005-0000-0000-000020020000}"/>
    <cellStyle name="20% - Accent1 3 15" xfId="4106" xr:uid="{00000000-0005-0000-0000-000021020000}"/>
    <cellStyle name="20% - Accent1 3 16" xfId="4107" xr:uid="{00000000-0005-0000-0000-000022020000}"/>
    <cellStyle name="20% - Accent1 3 2" xfId="108" xr:uid="{00000000-0005-0000-0000-000023020000}"/>
    <cellStyle name="20% - Accent1 3 2 10" xfId="4108" xr:uid="{00000000-0005-0000-0000-000024020000}"/>
    <cellStyle name="20% - Accent1 3 2 11" xfId="4109" xr:uid="{00000000-0005-0000-0000-000025020000}"/>
    <cellStyle name="20% - Accent1 3 2 12" xfId="4110" xr:uid="{00000000-0005-0000-0000-000026020000}"/>
    <cellStyle name="20% - Accent1 3 2 13" xfId="4111" xr:uid="{00000000-0005-0000-0000-000027020000}"/>
    <cellStyle name="20% - Accent1 3 2 2" xfId="109" xr:uid="{00000000-0005-0000-0000-000028020000}"/>
    <cellStyle name="20% - Accent1 3 2 2 10" xfId="4112" xr:uid="{00000000-0005-0000-0000-000029020000}"/>
    <cellStyle name="20% - Accent1 3 2 2 11" xfId="4113" xr:uid="{00000000-0005-0000-0000-00002A020000}"/>
    <cellStyle name="20% - Accent1 3 2 2 12" xfId="4114" xr:uid="{00000000-0005-0000-0000-00002B020000}"/>
    <cellStyle name="20% - Accent1 3 2 2 2" xfId="4115" xr:uid="{00000000-0005-0000-0000-00002C020000}"/>
    <cellStyle name="20% - Accent1 3 2 2 2 2" xfId="4116" xr:uid="{00000000-0005-0000-0000-00002D020000}"/>
    <cellStyle name="20% - Accent1 3 2 2 2 2 2" xfId="4117" xr:uid="{00000000-0005-0000-0000-00002E020000}"/>
    <cellStyle name="20% - Accent1 3 2 2 2 2 3" xfId="4118" xr:uid="{00000000-0005-0000-0000-00002F020000}"/>
    <cellStyle name="20% - Accent1 3 2 2 2 3" xfId="4119" xr:uid="{00000000-0005-0000-0000-000030020000}"/>
    <cellStyle name="20% - Accent1 3 2 2 2 3 2" xfId="4120" xr:uid="{00000000-0005-0000-0000-000031020000}"/>
    <cellStyle name="20% - Accent1 3 2 2 2 3 3" xfId="4121" xr:uid="{00000000-0005-0000-0000-000032020000}"/>
    <cellStyle name="20% - Accent1 3 2 2 2 4" xfId="4122" xr:uid="{00000000-0005-0000-0000-000033020000}"/>
    <cellStyle name="20% - Accent1 3 2 2 2 5" xfId="4123" xr:uid="{00000000-0005-0000-0000-000034020000}"/>
    <cellStyle name="20% - Accent1 3 2 2 2 6" xfId="4124" xr:uid="{00000000-0005-0000-0000-000035020000}"/>
    <cellStyle name="20% - Accent1 3 2 2 2 7" xfId="4125" xr:uid="{00000000-0005-0000-0000-000036020000}"/>
    <cellStyle name="20% - Accent1 3 2 2 3" xfId="4126" xr:uid="{00000000-0005-0000-0000-000037020000}"/>
    <cellStyle name="20% - Accent1 3 2 2 3 2" xfId="4127" xr:uid="{00000000-0005-0000-0000-000038020000}"/>
    <cellStyle name="20% - Accent1 3 2 2 3 3" xfId="4128" xr:uid="{00000000-0005-0000-0000-000039020000}"/>
    <cellStyle name="20% - Accent1 3 2 2 4" xfId="4129" xr:uid="{00000000-0005-0000-0000-00003A020000}"/>
    <cellStyle name="20% - Accent1 3 2 2 4 2" xfId="4130" xr:uid="{00000000-0005-0000-0000-00003B020000}"/>
    <cellStyle name="20% - Accent1 3 2 2 4 3" xfId="4131" xr:uid="{00000000-0005-0000-0000-00003C020000}"/>
    <cellStyle name="20% - Accent1 3 2 2 5" xfId="4132" xr:uid="{00000000-0005-0000-0000-00003D020000}"/>
    <cellStyle name="20% - Accent1 3 2 2 6" xfId="4133" xr:uid="{00000000-0005-0000-0000-00003E020000}"/>
    <cellStyle name="20% - Accent1 3 2 2 7" xfId="4134" xr:uid="{00000000-0005-0000-0000-00003F020000}"/>
    <cellStyle name="20% - Accent1 3 2 2 8" xfId="4135" xr:uid="{00000000-0005-0000-0000-000040020000}"/>
    <cellStyle name="20% - Accent1 3 2 2 9" xfId="4136" xr:uid="{00000000-0005-0000-0000-000041020000}"/>
    <cellStyle name="20% - Accent1 3 2 3" xfId="4137" xr:uid="{00000000-0005-0000-0000-000042020000}"/>
    <cellStyle name="20% - Accent1 3 2 3 2" xfId="4138" xr:uid="{00000000-0005-0000-0000-000043020000}"/>
    <cellStyle name="20% - Accent1 3 2 3 2 2" xfId="4139" xr:uid="{00000000-0005-0000-0000-000044020000}"/>
    <cellStyle name="20% - Accent1 3 2 3 2 3" xfId="4140" xr:uid="{00000000-0005-0000-0000-000045020000}"/>
    <cellStyle name="20% - Accent1 3 2 3 3" xfId="4141" xr:uid="{00000000-0005-0000-0000-000046020000}"/>
    <cellStyle name="20% - Accent1 3 2 3 3 2" xfId="4142" xr:uid="{00000000-0005-0000-0000-000047020000}"/>
    <cellStyle name="20% - Accent1 3 2 3 3 3" xfId="4143" xr:uid="{00000000-0005-0000-0000-000048020000}"/>
    <cellStyle name="20% - Accent1 3 2 3 4" xfId="4144" xr:uid="{00000000-0005-0000-0000-000049020000}"/>
    <cellStyle name="20% - Accent1 3 2 3 5" xfId="4145" xr:uid="{00000000-0005-0000-0000-00004A020000}"/>
    <cellStyle name="20% - Accent1 3 2 3 6" xfId="4146" xr:uid="{00000000-0005-0000-0000-00004B020000}"/>
    <cellStyle name="20% - Accent1 3 2 3 7" xfId="4147" xr:uid="{00000000-0005-0000-0000-00004C020000}"/>
    <cellStyle name="20% - Accent1 3 2 3 8" xfId="4148" xr:uid="{00000000-0005-0000-0000-00004D020000}"/>
    <cellStyle name="20% - Accent1 3 2 4" xfId="4149" xr:uid="{00000000-0005-0000-0000-00004E020000}"/>
    <cellStyle name="20% - Accent1 3 2 4 2" xfId="4150" xr:uid="{00000000-0005-0000-0000-00004F020000}"/>
    <cellStyle name="20% - Accent1 3 2 4 3" xfId="4151" xr:uid="{00000000-0005-0000-0000-000050020000}"/>
    <cellStyle name="20% - Accent1 3 2 4 4" xfId="4152" xr:uid="{00000000-0005-0000-0000-000051020000}"/>
    <cellStyle name="20% - Accent1 3 2 4 5" xfId="4153" xr:uid="{00000000-0005-0000-0000-000052020000}"/>
    <cellStyle name="20% - Accent1 3 2 5" xfId="4154" xr:uid="{00000000-0005-0000-0000-000053020000}"/>
    <cellStyle name="20% - Accent1 3 2 5 2" xfId="4155" xr:uid="{00000000-0005-0000-0000-000054020000}"/>
    <cellStyle name="20% - Accent1 3 2 5 3" xfId="4156" xr:uid="{00000000-0005-0000-0000-000055020000}"/>
    <cellStyle name="20% - Accent1 3 2 5 4" xfId="4157" xr:uid="{00000000-0005-0000-0000-000056020000}"/>
    <cellStyle name="20% - Accent1 3 2 5 5" xfId="4158" xr:uid="{00000000-0005-0000-0000-000057020000}"/>
    <cellStyle name="20% - Accent1 3 2 6" xfId="4159" xr:uid="{00000000-0005-0000-0000-000058020000}"/>
    <cellStyle name="20% - Accent1 3 2 7" xfId="4160" xr:uid="{00000000-0005-0000-0000-000059020000}"/>
    <cellStyle name="20% - Accent1 3 2 8" xfId="4161" xr:uid="{00000000-0005-0000-0000-00005A020000}"/>
    <cellStyle name="20% - Accent1 3 2 9" xfId="4162" xr:uid="{00000000-0005-0000-0000-00005B020000}"/>
    <cellStyle name="20% - Accent1 3 3" xfId="110" xr:uid="{00000000-0005-0000-0000-00005C020000}"/>
    <cellStyle name="20% - Accent1 3 3 10" xfId="4163" xr:uid="{00000000-0005-0000-0000-00005D020000}"/>
    <cellStyle name="20% - Accent1 3 3 11" xfId="4164" xr:uid="{00000000-0005-0000-0000-00005E020000}"/>
    <cellStyle name="20% - Accent1 3 3 12" xfId="4165" xr:uid="{00000000-0005-0000-0000-00005F020000}"/>
    <cellStyle name="20% - Accent1 3 3 2" xfId="4166" xr:uid="{00000000-0005-0000-0000-000060020000}"/>
    <cellStyle name="20% - Accent1 3 3 2 2" xfId="4167" xr:uid="{00000000-0005-0000-0000-000061020000}"/>
    <cellStyle name="20% - Accent1 3 3 2 2 2" xfId="4168" xr:uid="{00000000-0005-0000-0000-000062020000}"/>
    <cellStyle name="20% - Accent1 3 3 2 2 3" xfId="4169" xr:uid="{00000000-0005-0000-0000-000063020000}"/>
    <cellStyle name="20% - Accent1 3 3 2 3" xfId="4170" xr:uid="{00000000-0005-0000-0000-000064020000}"/>
    <cellStyle name="20% - Accent1 3 3 2 3 2" xfId="4171" xr:uid="{00000000-0005-0000-0000-000065020000}"/>
    <cellStyle name="20% - Accent1 3 3 2 3 3" xfId="4172" xr:uid="{00000000-0005-0000-0000-000066020000}"/>
    <cellStyle name="20% - Accent1 3 3 2 4" xfId="4173" xr:uid="{00000000-0005-0000-0000-000067020000}"/>
    <cellStyle name="20% - Accent1 3 3 2 5" xfId="4174" xr:uid="{00000000-0005-0000-0000-000068020000}"/>
    <cellStyle name="20% - Accent1 3 3 2 6" xfId="4175" xr:uid="{00000000-0005-0000-0000-000069020000}"/>
    <cellStyle name="20% - Accent1 3 3 2 7" xfId="4176" xr:uid="{00000000-0005-0000-0000-00006A020000}"/>
    <cellStyle name="20% - Accent1 3 3 2 8" xfId="4177" xr:uid="{00000000-0005-0000-0000-00006B020000}"/>
    <cellStyle name="20% - Accent1 3 3 2 9" xfId="4178" xr:uid="{00000000-0005-0000-0000-00006C020000}"/>
    <cellStyle name="20% - Accent1 3 3 3" xfId="4179" xr:uid="{00000000-0005-0000-0000-00006D020000}"/>
    <cellStyle name="20% - Accent1 3 3 3 2" xfId="4180" xr:uid="{00000000-0005-0000-0000-00006E020000}"/>
    <cellStyle name="20% - Accent1 3 3 3 3" xfId="4181" xr:uid="{00000000-0005-0000-0000-00006F020000}"/>
    <cellStyle name="20% - Accent1 3 3 3 4" xfId="4182" xr:uid="{00000000-0005-0000-0000-000070020000}"/>
    <cellStyle name="20% - Accent1 3 3 3 5" xfId="4183" xr:uid="{00000000-0005-0000-0000-000071020000}"/>
    <cellStyle name="20% - Accent1 3 3 4" xfId="4184" xr:uid="{00000000-0005-0000-0000-000072020000}"/>
    <cellStyle name="20% - Accent1 3 3 4 2" xfId="4185" xr:uid="{00000000-0005-0000-0000-000073020000}"/>
    <cellStyle name="20% - Accent1 3 3 4 3" xfId="4186" xr:uid="{00000000-0005-0000-0000-000074020000}"/>
    <cellStyle name="20% - Accent1 3 3 4 4" xfId="4187" xr:uid="{00000000-0005-0000-0000-000075020000}"/>
    <cellStyle name="20% - Accent1 3 3 4 5" xfId="4188" xr:uid="{00000000-0005-0000-0000-000076020000}"/>
    <cellStyle name="20% - Accent1 3 3 5" xfId="4189" xr:uid="{00000000-0005-0000-0000-000077020000}"/>
    <cellStyle name="20% - Accent1 3 3 5 2" xfId="4190" xr:uid="{00000000-0005-0000-0000-000078020000}"/>
    <cellStyle name="20% - Accent1 3 3 5 3" xfId="4191" xr:uid="{00000000-0005-0000-0000-000079020000}"/>
    <cellStyle name="20% - Accent1 3 3 6" xfId="4192" xr:uid="{00000000-0005-0000-0000-00007A020000}"/>
    <cellStyle name="20% - Accent1 3 3 7" xfId="4193" xr:uid="{00000000-0005-0000-0000-00007B020000}"/>
    <cellStyle name="20% - Accent1 3 3 8" xfId="4194" xr:uid="{00000000-0005-0000-0000-00007C020000}"/>
    <cellStyle name="20% - Accent1 3 3 9" xfId="4195" xr:uid="{00000000-0005-0000-0000-00007D020000}"/>
    <cellStyle name="20% - Accent1 3 4" xfId="4196" xr:uid="{00000000-0005-0000-0000-00007E020000}"/>
    <cellStyle name="20% - Accent1 3 4 2" xfId="4197" xr:uid="{00000000-0005-0000-0000-00007F020000}"/>
    <cellStyle name="20% - Accent1 3 4 2 2" xfId="4198" xr:uid="{00000000-0005-0000-0000-000080020000}"/>
    <cellStyle name="20% - Accent1 3 4 2 3" xfId="4199" xr:uid="{00000000-0005-0000-0000-000081020000}"/>
    <cellStyle name="20% - Accent1 3 4 2 4" xfId="4200" xr:uid="{00000000-0005-0000-0000-000082020000}"/>
    <cellStyle name="20% - Accent1 3 4 2 5" xfId="4201" xr:uid="{00000000-0005-0000-0000-000083020000}"/>
    <cellStyle name="20% - Accent1 3 4 2 6" xfId="4202" xr:uid="{00000000-0005-0000-0000-000084020000}"/>
    <cellStyle name="20% - Accent1 3 4 3" xfId="4203" xr:uid="{00000000-0005-0000-0000-000085020000}"/>
    <cellStyle name="20% - Accent1 3 4 3 2" xfId="4204" xr:uid="{00000000-0005-0000-0000-000086020000}"/>
    <cellStyle name="20% - Accent1 3 4 3 3" xfId="4205" xr:uid="{00000000-0005-0000-0000-000087020000}"/>
    <cellStyle name="20% - Accent1 3 4 3 4" xfId="4206" xr:uid="{00000000-0005-0000-0000-000088020000}"/>
    <cellStyle name="20% - Accent1 3 4 3 5" xfId="4207" xr:uid="{00000000-0005-0000-0000-000089020000}"/>
    <cellStyle name="20% - Accent1 3 4 4" xfId="4208" xr:uid="{00000000-0005-0000-0000-00008A020000}"/>
    <cellStyle name="20% - Accent1 3 4 4 2" xfId="4209" xr:uid="{00000000-0005-0000-0000-00008B020000}"/>
    <cellStyle name="20% - Accent1 3 4 4 3" xfId="4210" xr:uid="{00000000-0005-0000-0000-00008C020000}"/>
    <cellStyle name="20% - Accent1 3 4 5" xfId="4211" xr:uid="{00000000-0005-0000-0000-00008D020000}"/>
    <cellStyle name="20% - Accent1 3 4 5 2" xfId="4212" xr:uid="{00000000-0005-0000-0000-00008E020000}"/>
    <cellStyle name="20% - Accent1 3 4 5 3" xfId="4213" xr:uid="{00000000-0005-0000-0000-00008F020000}"/>
    <cellStyle name="20% - Accent1 3 4 6" xfId="4214" xr:uid="{00000000-0005-0000-0000-000090020000}"/>
    <cellStyle name="20% - Accent1 3 4 7" xfId="4215" xr:uid="{00000000-0005-0000-0000-000091020000}"/>
    <cellStyle name="20% - Accent1 3 4 8" xfId="4216" xr:uid="{00000000-0005-0000-0000-000092020000}"/>
    <cellStyle name="20% - Accent1 3 4 9" xfId="4217" xr:uid="{00000000-0005-0000-0000-000093020000}"/>
    <cellStyle name="20% - Accent1 3 5" xfId="4218" xr:uid="{00000000-0005-0000-0000-000094020000}"/>
    <cellStyle name="20% - Accent1 3 5 2" xfId="4219" xr:uid="{00000000-0005-0000-0000-000095020000}"/>
    <cellStyle name="20% - Accent1 3 5 2 2" xfId="4220" xr:uid="{00000000-0005-0000-0000-000096020000}"/>
    <cellStyle name="20% - Accent1 3 5 2 3" xfId="4221" xr:uid="{00000000-0005-0000-0000-000097020000}"/>
    <cellStyle name="20% - Accent1 3 5 2 4" xfId="4222" xr:uid="{00000000-0005-0000-0000-000098020000}"/>
    <cellStyle name="20% - Accent1 3 5 3" xfId="4223" xr:uid="{00000000-0005-0000-0000-000099020000}"/>
    <cellStyle name="20% - Accent1 3 5 3 2" xfId="4224" xr:uid="{00000000-0005-0000-0000-00009A020000}"/>
    <cellStyle name="20% - Accent1 3 5 3 3" xfId="4225" xr:uid="{00000000-0005-0000-0000-00009B020000}"/>
    <cellStyle name="20% - Accent1 3 5 4" xfId="4226" xr:uid="{00000000-0005-0000-0000-00009C020000}"/>
    <cellStyle name="20% - Accent1 3 5 4 2" xfId="4227" xr:uid="{00000000-0005-0000-0000-00009D020000}"/>
    <cellStyle name="20% - Accent1 3 5 5" xfId="4228" xr:uid="{00000000-0005-0000-0000-00009E020000}"/>
    <cellStyle name="20% - Accent1 3 5 5 2" xfId="4229" xr:uid="{00000000-0005-0000-0000-00009F020000}"/>
    <cellStyle name="20% - Accent1 3 5 6" xfId="4230" xr:uid="{00000000-0005-0000-0000-0000A0020000}"/>
    <cellStyle name="20% - Accent1 3 5 7" xfId="4231" xr:uid="{00000000-0005-0000-0000-0000A1020000}"/>
    <cellStyle name="20% - Accent1 3 5 8" xfId="4232" xr:uid="{00000000-0005-0000-0000-0000A2020000}"/>
    <cellStyle name="20% - Accent1 3 6" xfId="4233" xr:uid="{00000000-0005-0000-0000-0000A3020000}"/>
    <cellStyle name="20% - Accent1 3 6 2" xfId="4234" xr:uid="{00000000-0005-0000-0000-0000A4020000}"/>
    <cellStyle name="20% - Accent1 3 6 2 2" xfId="4235" xr:uid="{00000000-0005-0000-0000-0000A5020000}"/>
    <cellStyle name="20% - Accent1 3 6 2 3" xfId="4236" xr:uid="{00000000-0005-0000-0000-0000A6020000}"/>
    <cellStyle name="20% - Accent1 3 6 2 4" xfId="4237" xr:uid="{00000000-0005-0000-0000-0000A7020000}"/>
    <cellStyle name="20% - Accent1 3 6 3" xfId="4238" xr:uid="{00000000-0005-0000-0000-0000A8020000}"/>
    <cellStyle name="20% - Accent1 3 6 3 2" xfId="4239" xr:uid="{00000000-0005-0000-0000-0000A9020000}"/>
    <cellStyle name="20% - Accent1 3 6 3 3" xfId="4240" xr:uid="{00000000-0005-0000-0000-0000AA020000}"/>
    <cellStyle name="20% - Accent1 3 6 4" xfId="4241" xr:uid="{00000000-0005-0000-0000-0000AB020000}"/>
    <cellStyle name="20% - Accent1 3 6 4 2" xfId="4242" xr:uid="{00000000-0005-0000-0000-0000AC020000}"/>
    <cellStyle name="20% - Accent1 3 6 5" xfId="4243" xr:uid="{00000000-0005-0000-0000-0000AD020000}"/>
    <cellStyle name="20% - Accent1 3 6 5 2" xfId="4244" xr:uid="{00000000-0005-0000-0000-0000AE020000}"/>
    <cellStyle name="20% - Accent1 3 6 6" xfId="4245" xr:uid="{00000000-0005-0000-0000-0000AF020000}"/>
    <cellStyle name="20% - Accent1 3 6 7" xfId="4246" xr:uid="{00000000-0005-0000-0000-0000B0020000}"/>
    <cellStyle name="20% - Accent1 3 6 8" xfId="4247" xr:uid="{00000000-0005-0000-0000-0000B1020000}"/>
    <cellStyle name="20% - Accent1 3 7" xfId="4248" xr:uid="{00000000-0005-0000-0000-0000B2020000}"/>
    <cellStyle name="20% - Accent1 3 7 2" xfId="4249" xr:uid="{00000000-0005-0000-0000-0000B3020000}"/>
    <cellStyle name="20% - Accent1 3 7 2 2" xfId="4250" xr:uid="{00000000-0005-0000-0000-0000B4020000}"/>
    <cellStyle name="20% - Accent1 3 7 2 3" xfId="4251" xr:uid="{00000000-0005-0000-0000-0000B5020000}"/>
    <cellStyle name="20% - Accent1 3 7 3" xfId="4252" xr:uid="{00000000-0005-0000-0000-0000B6020000}"/>
    <cellStyle name="20% - Accent1 3 7 3 2" xfId="4253" xr:uid="{00000000-0005-0000-0000-0000B7020000}"/>
    <cellStyle name="20% - Accent1 3 7 4" xfId="4254" xr:uid="{00000000-0005-0000-0000-0000B8020000}"/>
    <cellStyle name="20% - Accent1 3 7 4 2" xfId="4255" xr:uid="{00000000-0005-0000-0000-0000B9020000}"/>
    <cellStyle name="20% - Accent1 3 7 5" xfId="4256" xr:uid="{00000000-0005-0000-0000-0000BA020000}"/>
    <cellStyle name="20% - Accent1 3 7 5 2" xfId="4257" xr:uid="{00000000-0005-0000-0000-0000BB020000}"/>
    <cellStyle name="20% - Accent1 3 7 6" xfId="4258" xr:uid="{00000000-0005-0000-0000-0000BC020000}"/>
    <cellStyle name="20% - Accent1 3 7 7" xfId="4259" xr:uid="{00000000-0005-0000-0000-0000BD020000}"/>
    <cellStyle name="20% - Accent1 3 7 8" xfId="4260" xr:uid="{00000000-0005-0000-0000-0000BE020000}"/>
    <cellStyle name="20% - Accent1 3 8" xfId="4261" xr:uid="{00000000-0005-0000-0000-0000BF020000}"/>
    <cellStyle name="20% - Accent1 3 8 2" xfId="4262" xr:uid="{00000000-0005-0000-0000-0000C0020000}"/>
    <cellStyle name="20% - Accent1 3 8 3" xfId="4263" xr:uid="{00000000-0005-0000-0000-0000C1020000}"/>
    <cellStyle name="20% - Accent1 3 8 4" xfId="4264" xr:uid="{00000000-0005-0000-0000-0000C2020000}"/>
    <cellStyle name="20% - Accent1 3 9" xfId="4265" xr:uid="{00000000-0005-0000-0000-0000C3020000}"/>
    <cellStyle name="20% - Accent1 3 9 2" xfId="4266" xr:uid="{00000000-0005-0000-0000-0000C4020000}"/>
    <cellStyle name="20% - Accent1 3 9 3" xfId="4267" xr:uid="{00000000-0005-0000-0000-0000C5020000}"/>
    <cellStyle name="20% - Accent1 30" xfId="111" xr:uid="{00000000-0005-0000-0000-0000C6020000}"/>
    <cellStyle name="20% - Accent1 30 2" xfId="112" xr:uid="{00000000-0005-0000-0000-0000C7020000}"/>
    <cellStyle name="20% - Accent1 31" xfId="113" xr:uid="{00000000-0005-0000-0000-0000C8020000}"/>
    <cellStyle name="20% - Accent1 31 2" xfId="114" xr:uid="{00000000-0005-0000-0000-0000C9020000}"/>
    <cellStyle name="20% - Accent1 32" xfId="115" xr:uid="{00000000-0005-0000-0000-0000CA020000}"/>
    <cellStyle name="20% - Accent1 32 2" xfId="116" xr:uid="{00000000-0005-0000-0000-0000CB020000}"/>
    <cellStyle name="20% - Accent1 33" xfId="117" xr:uid="{00000000-0005-0000-0000-0000CC020000}"/>
    <cellStyle name="20% - Accent1 33 2" xfId="118" xr:uid="{00000000-0005-0000-0000-0000CD020000}"/>
    <cellStyle name="20% - Accent1 34" xfId="119" xr:uid="{00000000-0005-0000-0000-0000CE020000}"/>
    <cellStyle name="20% - Accent1 34 2" xfId="120" xr:uid="{00000000-0005-0000-0000-0000CF020000}"/>
    <cellStyle name="20% - Accent1 35" xfId="121" xr:uid="{00000000-0005-0000-0000-0000D0020000}"/>
    <cellStyle name="20% - Accent1 35 2" xfId="122" xr:uid="{00000000-0005-0000-0000-0000D1020000}"/>
    <cellStyle name="20% - Accent1 36" xfId="123" xr:uid="{00000000-0005-0000-0000-0000D2020000}"/>
    <cellStyle name="20% - Accent1 36 2" xfId="124" xr:uid="{00000000-0005-0000-0000-0000D3020000}"/>
    <cellStyle name="20% - Accent1 37" xfId="125" xr:uid="{00000000-0005-0000-0000-0000D4020000}"/>
    <cellStyle name="20% - Accent1 37 2" xfId="126" xr:uid="{00000000-0005-0000-0000-0000D5020000}"/>
    <cellStyle name="20% - Accent1 38" xfId="127" xr:uid="{00000000-0005-0000-0000-0000D6020000}"/>
    <cellStyle name="20% - Accent1 39" xfId="128" xr:uid="{00000000-0005-0000-0000-0000D7020000}"/>
    <cellStyle name="20% - Accent1 4" xfId="129" xr:uid="{00000000-0005-0000-0000-0000D8020000}"/>
    <cellStyle name="20% - Accent1 4 10" xfId="4268" xr:uid="{00000000-0005-0000-0000-0000D9020000}"/>
    <cellStyle name="20% - Accent1 4 11" xfId="4269" xr:uid="{00000000-0005-0000-0000-0000DA020000}"/>
    <cellStyle name="20% - Accent1 4 12" xfId="4270" xr:uid="{00000000-0005-0000-0000-0000DB020000}"/>
    <cellStyle name="20% - Accent1 4 13" xfId="4271" xr:uid="{00000000-0005-0000-0000-0000DC020000}"/>
    <cellStyle name="20% - Accent1 4 14" xfId="4272" xr:uid="{00000000-0005-0000-0000-0000DD020000}"/>
    <cellStyle name="20% - Accent1 4 2" xfId="130" xr:uid="{00000000-0005-0000-0000-0000DE020000}"/>
    <cellStyle name="20% - Accent1 4 2 10" xfId="4273" xr:uid="{00000000-0005-0000-0000-0000DF020000}"/>
    <cellStyle name="20% - Accent1 4 2 11" xfId="4274" xr:uid="{00000000-0005-0000-0000-0000E0020000}"/>
    <cellStyle name="20% - Accent1 4 2 2" xfId="131" xr:uid="{00000000-0005-0000-0000-0000E1020000}"/>
    <cellStyle name="20% - Accent1 4 2 2 2" xfId="4275" xr:uid="{00000000-0005-0000-0000-0000E2020000}"/>
    <cellStyle name="20% - Accent1 4 2 2 2 2" xfId="4276" xr:uid="{00000000-0005-0000-0000-0000E3020000}"/>
    <cellStyle name="20% - Accent1 4 2 2 2 2 2" xfId="4277" xr:uid="{00000000-0005-0000-0000-0000E4020000}"/>
    <cellStyle name="20% - Accent1 4 2 2 2 2 3" xfId="4278" xr:uid="{00000000-0005-0000-0000-0000E5020000}"/>
    <cellStyle name="20% - Accent1 4 2 2 2 3" xfId="4279" xr:uid="{00000000-0005-0000-0000-0000E6020000}"/>
    <cellStyle name="20% - Accent1 4 2 2 2 3 2" xfId="4280" xr:uid="{00000000-0005-0000-0000-0000E7020000}"/>
    <cellStyle name="20% - Accent1 4 2 2 2 3 3" xfId="4281" xr:uid="{00000000-0005-0000-0000-0000E8020000}"/>
    <cellStyle name="20% - Accent1 4 2 2 2 4" xfId="4282" xr:uid="{00000000-0005-0000-0000-0000E9020000}"/>
    <cellStyle name="20% - Accent1 4 2 2 2 5" xfId="4283" xr:uid="{00000000-0005-0000-0000-0000EA020000}"/>
    <cellStyle name="20% - Accent1 4 2 2 2 6" xfId="4284" xr:uid="{00000000-0005-0000-0000-0000EB020000}"/>
    <cellStyle name="20% - Accent1 4 2 2 3" xfId="4285" xr:uid="{00000000-0005-0000-0000-0000EC020000}"/>
    <cellStyle name="20% - Accent1 4 2 2 3 2" xfId="4286" xr:uid="{00000000-0005-0000-0000-0000ED020000}"/>
    <cellStyle name="20% - Accent1 4 2 2 3 3" xfId="4287" xr:uid="{00000000-0005-0000-0000-0000EE020000}"/>
    <cellStyle name="20% - Accent1 4 2 2 4" xfId="4288" xr:uid="{00000000-0005-0000-0000-0000EF020000}"/>
    <cellStyle name="20% - Accent1 4 2 2 4 2" xfId="4289" xr:uid="{00000000-0005-0000-0000-0000F0020000}"/>
    <cellStyle name="20% - Accent1 4 2 2 4 3" xfId="4290" xr:uid="{00000000-0005-0000-0000-0000F1020000}"/>
    <cellStyle name="20% - Accent1 4 2 2 5" xfId="4291" xr:uid="{00000000-0005-0000-0000-0000F2020000}"/>
    <cellStyle name="20% - Accent1 4 2 2 6" xfId="4292" xr:uid="{00000000-0005-0000-0000-0000F3020000}"/>
    <cellStyle name="20% - Accent1 4 2 2 7" xfId="4293" xr:uid="{00000000-0005-0000-0000-0000F4020000}"/>
    <cellStyle name="20% - Accent1 4 2 2 8" xfId="4294" xr:uid="{00000000-0005-0000-0000-0000F5020000}"/>
    <cellStyle name="20% - Accent1 4 2 3" xfId="132" xr:uid="{00000000-0005-0000-0000-0000F6020000}"/>
    <cellStyle name="20% - Accent1 4 2 3 2" xfId="4295" xr:uid="{00000000-0005-0000-0000-0000F7020000}"/>
    <cellStyle name="20% - Accent1 4 2 3 2 2" xfId="4296" xr:uid="{00000000-0005-0000-0000-0000F8020000}"/>
    <cellStyle name="20% - Accent1 4 2 3 2 3" xfId="4297" xr:uid="{00000000-0005-0000-0000-0000F9020000}"/>
    <cellStyle name="20% - Accent1 4 2 3 3" xfId="4298" xr:uid="{00000000-0005-0000-0000-0000FA020000}"/>
    <cellStyle name="20% - Accent1 4 2 3 3 2" xfId="4299" xr:uid="{00000000-0005-0000-0000-0000FB020000}"/>
    <cellStyle name="20% - Accent1 4 2 3 3 3" xfId="4300" xr:uid="{00000000-0005-0000-0000-0000FC020000}"/>
    <cellStyle name="20% - Accent1 4 2 3 4" xfId="4301" xr:uid="{00000000-0005-0000-0000-0000FD020000}"/>
    <cellStyle name="20% - Accent1 4 2 3 5" xfId="4302" xr:uid="{00000000-0005-0000-0000-0000FE020000}"/>
    <cellStyle name="20% - Accent1 4 2 3 6" xfId="4303" xr:uid="{00000000-0005-0000-0000-0000FF020000}"/>
    <cellStyle name="20% - Accent1 4 2 4" xfId="4304" xr:uid="{00000000-0005-0000-0000-000000030000}"/>
    <cellStyle name="20% - Accent1 4 2 4 2" xfId="4305" xr:uid="{00000000-0005-0000-0000-000001030000}"/>
    <cellStyle name="20% - Accent1 4 2 4 3" xfId="4306" xr:uid="{00000000-0005-0000-0000-000002030000}"/>
    <cellStyle name="20% - Accent1 4 2 5" xfId="4307" xr:uid="{00000000-0005-0000-0000-000003030000}"/>
    <cellStyle name="20% - Accent1 4 2 5 2" xfId="4308" xr:uid="{00000000-0005-0000-0000-000004030000}"/>
    <cellStyle name="20% - Accent1 4 2 5 3" xfId="4309" xr:uid="{00000000-0005-0000-0000-000005030000}"/>
    <cellStyle name="20% - Accent1 4 2 6" xfId="4310" xr:uid="{00000000-0005-0000-0000-000006030000}"/>
    <cellStyle name="20% - Accent1 4 2 7" xfId="4311" xr:uid="{00000000-0005-0000-0000-000007030000}"/>
    <cellStyle name="20% - Accent1 4 2 8" xfId="4312" xr:uid="{00000000-0005-0000-0000-000008030000}"/>
    <cellStyle name="20% - Accent1 4 2 9" xfId="4313" xr:uid="{00000000-0005-0000-0000-000009030000}"/>
    <cellStyle name="20% - Accent1 4 3" xfId="133" xr:uid="{00000000-0005-0000-0000-00000A030000}"/>
    <cellStyle name="20% - Accent1 4 3 10" xfId="4314" xr:uid="{00000000-0005-0000-0000-00000B030000}"/>
    <cellStyle name="20% - Accent1 4 3 2" xfId="4315" xr:uid="{00000000-0005-0000-0000-00000C030000}"/>
    <cellStyle name="20% - Accent1 4 3 2 2" xfId="4316" xr:uid="{00000000-0005-0000-0000-00000D030000}"/>
    <cellStyle name="20% - Accent1 4 3 2 2 2" xfId="4317" xr:uid="{00000000-0005-0000-0000-00000E030000}"/>
    <cellStyle name="20% - Accent1 4 3 2 2 3" xfId="4318" xr:uid="{00000000-0005-0000-0000-00000F030000}"/>
    <cellStyle name="20% - Accent1 4 3 2 3" xfId="4319" xr:uid="{00000000-0005-0000-0000-000010030000}"/>
    <cellStyle name="20% - Accent1 4 3 2 3 2" xfId="4320" xr:uid="{00000000-0005-0000-0000-000011030000}"/>
    <cellStyle name="20% - Accent1 4 3 2 3 3" xfId="4321" xr:uid="{00000000-0005-0000-0000-000012030000}"/>
    <cellStyle name="20% - Accent1 4 3 2 4" xfId="4322" xr:uid="{00000000-0005-0000-0000-000013030000}"/>
    <cellStyle name="20% - Accent1 4 3 2 5" xfId="4323" xr:uid="{00000000-0005-0000-0000-000014030000}"/>
    <cellStyle name="20% - Accent1 4 3 2 6" xfId="4324" xr:uid="{00000000-0005-0000-0000-000015030000}"/>
    <cellStyle name="20% - Accent1 4 3 3" xfId="4325" xr:uid="{00000000-0005-0000-0000-000016030000}"/>
    <cellStyle name="20% - Accent1 4 3 3 2" xfId="4326" xr:uid="{00000000-0005-0000-0000-000017030000}"/>
    <cellStyle name="20% - Accent1 4 3 3 3" xfId="4327" xr:uid="{00000000-0005-0000-0000-000018030000}"/>
    <cellStyle name="20% - Accent1 4 3 4" xfId="4328" xr:uid="{00000000-0005-0000-0000-000019030000}"/>
    <cellStyle name="20% - Accent1 4 3 4 2" xfId="4329" xr:uid="{00000000-0005-0000-0000-00001A030000}"/>
    <cellStyle name="20% - Accent1 4 3 4 3" xfId="4330" xr:uid="{00000000-0005-0000-0000-00001B030000}"/>
    <cellStyle name="20% - Accent1 4 3 5" xfId="4331" xr:uid="{00000000-0005-0000-0000-00001C030000}"/>
    <cellStyle name="20% - Accent1 4 3 6" xfId="4332" xr:uid="{00000000-0005-0000-0000-00001D030000}"/>
    <cellStyle name="20% - Accent1 4 3 7" xfId="4333" xr:uid="{00000000-0005-0000-0000-00001E030000}"/>
    <cellStyle name="20% - Accent1 4 3 8" xfId="4334" xr:uid="{00000000-0005-0000-0000-00001F030000}"/>
    <cellStyle name="20% - Accent1 4 3 9" xfId="4335" xr:uid="{00000000-0005-0000-0000-000020030000}"/>
    <cellStyle name="20% - Accent1 4 4" xfId="134" xr:uid="{00000000-0005-0000-0000-000021030000}"/>
    <cellStyle name="20% - Accent1 4 4 2" xfId="4336" xr:uid="{00000000-0005-0000-0000-000022030000}"/>
    <cellStyle name="20% - Accent1 4 4 2 2" xfId="4337" xr:uid="{00000000-0005-0000-0000-000023030000}"/>
    <cellStyle name="20% - Accent1 4 4 2 3" xfId="4338" xr:uid="{00000000-0005-0000-0000-000024030000}"/>
    <cellStyle name="20% - Accent1 4 4 3" xfId="4339" xr:uid="{00000000-0005-0000-0000-000025030000}"/>
    <cellStyle name="20% - Accent1 4 4 3 2" xfId="4340" xr:uid="{00000000-0005-0000-0000-000026030000}"/>
    <cellStyle name="20% - Accent1 4 4 3 3" xfId="4341" xr:uid="{00000000-0005-0000-0000-000027030000}"/>
    <cellStyle name="20% - Accent1 4 4 4" xfId="4342" xr:uid="{00000000-0005-0000-0000-000028030000}"/>
    <cellStyle name="20% - Accent1 4 4 5" xfId="4343" xr:uid="{00000000-0005-0000-0000-000029030000}"/>
    <cellStyle name="20% - Accent1 4 4 6" xfId="4344" xr:uid="{00000000-0005-0000-0000-00002A030000}"/>
    <cellStyle name="20% - Accent1 4 5" xfId="4345" xr:uid="{00000000-0005-0000-0000-00002B030000}"/>
    <cellStyle name="20% - Accent1 4 5 2" xfId="4346" xr:uid="{00000000-0005-0000-0000-00002C030000}"/>
    <cellStyle name="20% - Accent1 4 5 3" xfId="4347" xr:uid="{00000000-0005-0000-0000-00002D030000}"/>
    <cellStyle name="20% - Accent1 4 6" xfId="4348" xr:uid="{00000000-0005-0000-0000-00002E030000}"/>
    <cellStyle name="20% - Accent1 4 6 2" xfId="4349" xr:uid="{00000000-0005-0000-0000-00002F030000}"/>
    <cellStyle name="20% - Accent1 4 6 3" xfId="4350" xr:uid="{00000000-0005-0000-0000-000030030000}"/>
    <cellStyle name="20% - Accent1 4 7" xfId="4351" xr:uid="{00000000-0005-0000-0000-000031030000}"/>
    <cellStyle name="20% - Accent1 4 8" xfId="4352" xr:uid="{00000000-0005-0000-0000-000032030000}"/>
    <cellStyle name="20% - Accent1 4 9" xfId="4353" xr:uid="{00000000-0005-0000-0000-000033030000}"/>
    <cellStyle name="20% - Accent1 40" xfId="135" xr:uid="{00000000-0005-0000-0000-000034030000}"/>
    <cellStyle name="20% - Accent1 41" xfId="136" xr:uid="{00000000-0005-0000-0000-000035030000}"/>
    <cellStyle name="20% - Accent1 42" xfId="137" xr:uid="{00000000-0005-0000-0000-000036030000}"/>
    <cellStyle name="20% - Accent1 43" xfId="4354" xr:uid="{00000000-0005-0000-0000-000037030000}"/>
    <cellStyle name="20% - Accent1 44" xfId="4355" xr:uid="{00000000-0005-0000-0000-000038030000}"/>
    <cellStyle name="20% - Accent1 45" xfId="4356" xr:uid="{00000000-0005-0000-0000-000039030000}"/>
    <cellStyle name="20% - Accent1 46" xfId="4357" xr:uid="{00000000-0005-0000-0000-00003A030000}"/>
    <cellStyle name="20% - Accent1 47" xfId="4358" xr:uid="{00000000-0005-0000-0000-00003B030000}"/>
    <cellStyle name="20% - Accent1 48" xfId="4359" xr:uid="{00000000-0005-0000-0000-00003C030000}"/>
    <cellStyle name="20% - Accent1 5" xfId="138" xr:uid="{00000000-0005-0000-0000-00003D030000}"/>
    <cellStyle name="20% - Accent1 5 2" xfId="139" xr:uid="{00000000-0005-0000-0000-00003E030000}"/>
    <cellStyle name="20% - Accent1 5 2 2" xfId="140" xr:uid="{00000000-0005-0000-0000-00003F030000}"/>
    <cellStyle name="20% - Accent1 5 2 3" xfId="141" xr:uid="{00000000-0005-0000-0000-000040030000}"/>
    <cellStyle name="20% - Accent1 5 3" xfId="142" xr:uid="{00000000-0005-0000-0000-000041030000}"/>
    <cellStyle name="20% - Accent1 5 4" xfId="143" xr:uid="{00000000-0005-0000-0000-000042030000}"/>
    <cellStyle name="20% - Accent1 5 5" xfId="4360" xr:uid="{00000000-0005-0000-0000-000043030000}"/>
    <cellStyle name="20% - Accent1 6" xfId="144" xr:uid="{00000000-0005-0000-0000-000044030000}"/>
    <cellStyle name="20% - Accent1 6 10" xfId="4361" xr:uid="{00000000-0005-0000-0000-000045030000}"/>
    <cellStyle name="20% - Accent1 6 11" xfId="4362" xr:uid="{00000000-0005-0000-0000-000046030000}"/>
    <cellStyle name="20% - Accent1 6 12" xfId="4363" xr:uid="{00000000-0005-0000-0000-000047030000}"/>
    <cellStyle name="20% - Accent1 6 2" xfId="145" xr:uid="{00000000-0005-0000-0000-000048030000}"/>
    <cellStyle name="20% - Accent1 6 2 2" xfId="4364" xr:uid="{00000000-0005-0000-0000-000049030000}"/>
    <cellStyle name="20% - Accent1 6 2 2 2" xfId="4365" xr:uid="{00000000-0005-0000-0000-00004A030000}"/>
    <cellStyle name="20% - Accent1 6 2 2 2 2" xfId="4366" xr:uid="{00000000-0005-0000-0000-00004B030000}"/>
    <cellStyle name="20% - Accent1 6 2 2 2 3" xfId="4367" xr:uid="{00000000-0005-0000-0000-00004C030000}"/>
    <cellStyle name="20% - Accent1 6 2 2 3" xfId="4368" xr:uid="{00000000-0005-0000-0000-00004D030000}"/>
    <cellStyle name="20% - Accent1 6 2 2 3 2" xfId="4369" xr:uid="{00000000-0005-0000-0000-00004E030000}"/>
    <cellStyle name="20% - Accent1 6 2 2 3 3" xfId="4370" xr:uid="{00000000-0005-0000-0000-00004F030000}"/>
    <cellStyle name="20% - Accent1 6 2 2 4" xfId="4371" xr:uid="{00000000-0005-0000-0000-000050030000}"/>
    <cellStyle name="20% - Accent1 6 2 2 5" xfId="4372" xr:uid="{00000000-0005-0000-0000-000051030000}"/>
    <cellStyle name="20% - Accent1 6 2 2 6" xfId="4373" xr:uid="{00000000-0005-0000-0000-000052030000}"/>
    <cellStyle name="20% - Accent1 6 2 3" xfId="4374" xr:uid="{00000000-0005-0000-0000-000053030000}"/>
    <cellStyle name="20% - Accent1 6 2 3 2" xfId="4375" xr:uid="{00000000-0005-0000-0000-000054030000}"/>
    <cellStyle name="20% - Accent1 6 2 3 3" xfId="4376" xr:uid="{00000000-0005-0000-0000-000055030000}"/>
    <cellStyle name="20% - Accent1 6 2 4" xfId="4377" xr:uid="{00000000-0005-0000-0000-000056030000}"/>
    <cellStyle name="20% - Accent1 6 2 4 2" xfId="4378" xr:uid="{00000000-0005-0000-0000-000057030000}"/>
    <cellStyle name="20% - Accent1 6 2 4 3" xfId="4379" xr:uid="{00000000-0005-0000-0000-000058030000}"/>
    <cellStyle name="20% - Accent1 6 2 5" xfId="4380" xr:uid="{00000000-0005-0000-0000-000059030000}"/>
    <cellStyle name="20% - Accent1 6 2 6" xfId="4381" xr:uid="{00000000-0005-0000-0000-00005A030000}"/>
    <cellStyle name="20% - Accent1 6 2 7" xfId="4382" xr:uid="{00000000-0005-0000-0000-00005B030000}"/>
    <cellStyle name="20% - Accent1 6 2 8" xfId="4383" xr:uid="{00000000-0005-0000-0000-00005C030000}"/>
    <cellStyle name="20% - Accent1 6 3" xfId="146" xr:uid="{00000000-0005-0000-0000-00005D030000}"/>
    <cellStyle name="20% - Accent1 6 3 2" xfId="4384" xr:uid="{00000000-0005-0000-0000-00005E030000}"/>
    <cellStyle name="20% - Accent1 6 3 2 2" xfId="4385" xr:uid="{00000000-0005-0000-0000-00005F030000}"/>
    <cellStyle name="20% - Accent1 6 3 2 2 2" xfId="4386" xr:uid="{00000000-0005-0000-0000-000060030000}"/>
    <cellStyle name="20% - Accent1 6 3 2 3" xfId="4387" xr:uid="{00000000-0005-0000-0000-000061030000}"/>
    <cellStyle name="20% - Accent1 6 3 3" xfId="4388" xr:uid="{00000000-0005-0000-0000-000062030000}"/>
    <cellStyle name="20% - Accent1 6 3 3 2" xfId="4389" xr:uid="{00000000-0005-0000-0000-000063030000}"/>
    <cellStyle name="20% - Accent1 6 3 3 3" xfId="4390" xr:uid="{00000000-0005-0000-0000-000064030000}"/>
    <cellStyle name="20% - Accent1 6 3 4" xfId="4391" xr:uid="{00000000-0005-0000-0000-000065030000}"/>
    <cellStyle name="20% - Accent1 6 3 5" xfId="4392" xr:uid="{00000000-0005-0000-0000-000066030000}"/>
    <cellStyle name="20% - Accent1 6 3 6" xfId="4393" xr:uid="{00000000-0005-0000-0000-000067030000}"/>
    <cellStyle name="20% - Accent1 6 4" xfId="4394" xr:uid="{00000000-0005-0000-0000-000068030000}"/>
    <cellStyle name="20% - Accent1 6 4 2" xfId="4395" xr:uid="{00000000-0005-0000-0000-000069030000}"/>
    <cellStyle name="20% - Accent1 6 4 3" xfId="4396" xr:uid="{00000000-0005-0000-0000-00006A030000}"/>
    <cellStyle name="20% - Accent1 6 5" xfId="4397" xr:uid="{00000000-0005-0000-0000-00006B030000}"/>
    <cellStyle name="20% - Accent1 6 5 2" xfId="4398" xr:uid="{00000000-0005-0000-0000-00006C030000}"/>
    <cellStyle name="20% - Accent1 6 5 3" xfId="4399" xr:uid="{00000000-0005-0000-0000-00006D030000}"/>
    <cellStyle name="20% - Accent1 6 6" xfId="4400" xr:uid="{00000000-0005-0000-0000-00006E030000}"/>
    <cellStyle name="20% - Accent1 6 7" xfId="4401" xr:uid="{00000000-0005-0000-0000-00006F030000}"/>
    <cellStyle name="20% - Accent1 6 8" xfId="4402" xr:uid="{00000000-0005-0000-0000-000070030000}"/>
    <cellStyle name="20% - Accent1 6 9" xfId="4403" xr:uid="{00000000-0005-0000-0000-000071030000}"/>
    <cellStyle name="20% - Accent1 7" xfId="147" xr:uid="{00000000-0005-0000-0000-000072030000}"/>
    <cellStyle name="20% - Accent1 7 10" xfId="4404" xr:uid="{00000000-0005-0000-0000-000073030000}"/>
    <cellStyle name="20% - Accent1 7 11" xfId="4405" xr:uid="{00000000-0005-0000-0000-000074030000}"/>
    <cellStyle name="20% - Accent1 7 2" xfId="148" xr:uid="{00000000-0005-0000-0000-000075030000}"/>
    <cellStyle name="20% - Accent1 7 2 2" xfId="4406" xr:uid="{00000000-0005-0000-0000-000076030000}"/>
    <cellStyle name="20% - Accent1 7 2 2 2" xfId="4407" xr:uid="{00000000-0005-0000-0000-000077030000}"/>
    <cellStyle name="20% - Accent1 7 2 2 2 2" xfId="4408" xr:uid="{00000000-0005-0000-0000-000078030000}"/>
    <cellStyle name="20% - Accent1 7 2 2 2 3" xfId="4409" xr:uid="{00000000-0005-0000-0000-000079030000}"/>
    <cellStyle name="20% - Accent1 7 2 2 3" xfId="4410" xr:uid="{00000000-0005-0000-0000-00007A030000}"/>
    <cellStyle name="20% - Accent1 7 2 2 3 2" xfId="4411" xr:uid="{00000000-0005-0000-0000-00007B030000}"/>
    <cellStyle name="20% - Accent1 7 2 2 3 3" xfId="4412" xr:uid="{00000000-0005-0000-0000-00007C030000}"/>
    <cellStyle name="20% - Accent1 7 2 2 4" xfId="4413" xr:uid="{00000000-0005-0000-0000-00007D030000}"/>
    <cellStyle name="20% - Accent1 7 2 2 5" xfId="4414" xr:uid="{00000000-0005-0000-0000-00007E030000}"/>
    <cellStyle name="20% - Accent1 7 2 2 6" xfId="4415" xr:uid="{00000000-0005-0000-0000-00007F030000}"/>
    <cellStyle name="20% - Accent1 7 2 3" xfId="4416" xr:uid="{00000000-0005-0000-0000-000080030000}"/>
    <cellStyle name="20% - Accent1 7 2 3 2" xfId="4417" xr:uid="{00000000-0005-0000-0000-000081030000}"/>
    <cellStyle name="20% - Accent1 7 2 3 3" xfId="4418" xr:uid="{00000000-0005-0000-0000-000082030000}"/>
    <cellStyle name="20% - Accent1 7 2 4" xfId="4419" xr:uid="{00000000-0005-0000-0000-000083030000}"/>
    <cellStyle name="20% - Accent1 7 2 4 2" xfId="4420" xr:uid="{00000000-0005-0000-0000-000084030000}"/>
    <cellStyle name="20% - Accent1 7 2 4 3" xfId="4421" xr:uid="{00000000-0005-0000-0000-000085030000}"/>
    <cellStyle name="20% - Accent1 7 2 5" xfId="4422" xr:uid="{00000000-0005-0000-0000-000086030000}"/>
    <cellStyle name="20% - Accent1 7 2 6" xfId="4423" xr:uid="{00000000-0005-0000-0000-000087030000}"/>
    <cellStyle name="20% - Accent1 7 2 7" xfId="4424" xr:uid="{00000000-0005-0000-0000-000088030000}"/>
    <cellStyle name="20% - Accent1 7 2 8" xfId="4425" xr:uid="{00000000-0005-0000-0000-000089030000}"/>
    <cellStyle name="20% - Accent1 7 3" xfId="149" xr:uid="{00000000-0005-0000-0000-00008A030000}"/>
    <cellStyle name="20% - Accent1 7 3 2" xfId="4426" xr:uid="{00000000-0005-0000-0000-00008B030000}"/>
    <cellStyle name="20% - Accent1 7 3 2 2" xfId="4427" xr:uid="{00000000-0005-0000-0000-00008C030000}"/>
    <cellStyle name="20% - Accent1 7 3 2 2 2" xfId="4428" xr:uid="{00000000-0005-0000-0000-00008D030000}"/>
    <cellStyle name="20% - Accent1 7 3 2 3" xfId="4429" xr:uid="{00000000-0005-0000-0000-00008E030000}"/>
    <cellStyle name="20% - Accent1 7 3 3" xfId="4430" xr:uid="{00000000-0005-0000-0000-00008F030000}"/>
    <cellStyle name="20% - Accent1 7 3 3 2" xfId="4431" xr:uid="{00000000-0005-0000-0000-000090030000}"/>
    <cellStyle name="20% - Accent1 7 3 3 3" xfId="4432" xr:uid="{00000000-0005-0000-0000-000091030000}"/>
    <cellStyle name="20% - Accent1 7 3 4" xfId="4433" xr:uid="{00000000-0005-0000-0000-000092030000}"/>
    <cellStyle name="20% - Accent1 7 3 5" xfId="4434" xr:uid="{00000000-0005-0000-0000-000093030000}"/>
    <cellStyle name="20% - Accent1 7 3 6" xfId="4435" xr:uid="{00000000-0005-0000-0000-000094030000}"/>
    <cellStyle name="20% - Accent1 7 4" xfId="4436" xr:uid="{00000000-0005-0000-0000-000095030000}"/>
    <cellStyle name="20% - Accent1 7 4 2" xfId="4437" xr:uid="{00000000-0005-0000-0000-000096030000}"/>
    <cellStyle name="20% - Accent1 7 4 3" xfId="4438" xr:uid="{00000000-0005-0000-0000-000097030000}"/>
    <cellStyle name="20% - Accent1 7 5" xfId="4439" xr:uid="{00000000-0005-0000-0000-000098030000}"/>
    <cellStyle name="20% - Accent1 7 5 2" xfId="4440" xr:uid="{00000000-0005-0000-0000-000099030000}"/>
    <cellStyle name="20% - Accent1 7 5 3" xfId="4441" xr:uid="{00000000-0005-0000-0000-00009A030000}"/>
    <cellStyle name="20% - Accent1 7 6" xfId="4442" xr:uid="{00000000-0005-0000-0000-00009B030000}"/>
    <cellStyle name="20% - Accent1 7 7" xfId="4443" xr:uid="{00000000-0005-0000-0000-00009C030000}"/>
    <cellStyle name="20% - Accent1 7 8" xfId="4444" xr:uid="{00000000-0005-0000-0000-00009D030000}"/>
    <cellStyle name="20% - Accent1 7 9" xfId="4445" xr:uid="{00000000-0005-0000-0000-00009E030000}"/>
    <cellStyle name="20% - Accent1 8" xfId="150" xr:uid="{00000000-0005-0000-0000-00009F030000}"/>
    <cellStyle name="20% - Accent1 8 10" xfId="4446" xr:uid="{00000000-0005-0000-0000-0000A0030000}"/>
    <cellStyle name="20% - Accent1 8 11" xfId="4447" xr:uid="{00000000-0005-0000-0000-0000A1030000}"/>
    <cellStyle name="20% - Accent1 8 2" xfId="151" xr:uid="{00000000-0005-0000-0000-0000A2030000}"/>
    <cellStyle name="20% - Accent1 8 2 2" xfId="4448" xr:uid="{00000000-0005-0000-0000-0000A3030000}"/>
    <cellStyle name="20% - Accent1 8 2 2 2" xfId="4449" xr:uid="{00000000-0005-0000-0000-0000A4030000}"/>
    <cellStyle name="20% - Accent1 8 2 2 2 2" xfId="4450" xr:uid="{00000000-0005-0000-0000-0000A5030000}"/>
    <cellStyle name="20% - Accent1 8 2 2 2 3" xfId="4451" xr:uid="{00000000-0005-0000-0000-0000A6030000}"/>
    <cellStyle name="20% - Accent1 8 2 2 3" xfId="4452" xr:uid="{00000000-0005-0000-0000-0000A7030000}"/>
    <cellStyle name="20% - Accent1 8 2 2 3 2" xfId="4453" xr:uid="{00000000-0005-0000-0000-0000A8030000}"/>
    <cellStyle name="20% - Accent1 8 2 2 3 3" xfId="4454" xr:uid="{00000000-0005-0000-0000-0000A9030000}"/>
    <cellStyle name="20% - Accent1 8 2 2 4" xfId="4455" xr:uid="{00000000-0005-0000-0000-0000AA030000}"/>
    <cellStyle name="20% - Accent1 8 2 2 5" xfId="4456" xr:uid="{00000000-0005-0000-0000-0000AB030000}"/>
    <cellStyle name="20% - Accent1 8 2 2 6" xfId="4457" xr:uid="{00000000-0005-0000-0000-0000AC030000}"/>
    <cellStyle name="20% - Accent1 8 2 3" xfId="4458" xr:uid="{00000000-0005-0000-0000-0000AD030000}"/>
    <cellStyle name="20% - Accent1 8 2 3 2" xfId="4459" xr:uid="{00000000-0005-0000-0000-0000AE030000}"/>
    <cellStyle name="20% - Accent1 8 2 3 3" xfId="4460" xr:uid="{00000000-0005-0000-0000-0000AF030000}"/>
    <cellStyle name="20% - Accent1 8 2 4" xfId="4461" xr:uid="{00000000-0005-0000-0000-0000B0030000}"/>
    <cellStyle name="20% - Accent1 8 2 4 2" xfId="4462" xr:uid="{00000000-0005-0000-0000-0000B1030000}"/>
    <cellStyle name="20% - Accent1 8 2 4 3" xfId="4463" xr:uid="{00000000-0005-0000-0000-0000B2030000}"/>
    <cellStyle name="20% - Accent1 8 2 5" xfId="4464" xr:uid="{00000000-0005-0000-0000-0000B3030000}"/>
    <cellStyle name="20% - Accent1 8 2 6" xfId="4465" xr:uid="{00000000-0005-0000-0000-0000B4030000}"/>
    <cellStyle name="20% - Accent1 8 2 7" xfId="4466" xr:uid="{00000000-0005-0000-0000-0000B5030000}"/>
    <cellStyle name="20% - Accent1 8 2 8" xfId="4467" xr:uid="{00000000-0005-0000-0000-0000B6030000}"/>
    <cellStyle name="20% - Accent1 8 3" xfId="4468" xr:uid="{00000000-0005-0000-0000-0000B7030000}"/>
    <cellStyle name="20% - Accent1 8 3 2" xfId="4469" xr:uid="{00000000-0005-0000-0000-0000B8030000}"/>
    <cellStyle name="20% - Accent1 8 3 2 2" xfId="4470" xr:uid="{00000000-0005-0000-0000-0000B9030000}"/>
    <cellStyle name="20% - Accent1 8 3 2 2 2" xfId="4471" xr:uid="{00000000-0005-0000-0000-0000BA030000}"/>
    <cellStyle name="20% - Accent1 8 3 2 3" xfId="4472" xr:uid="{00000000-0005-0000-0000-0000BB030000}"/>
    <cellStyle name="20% - Accent1 8 3 3" xfId="4473" xr:uid="{00000000-0005-0000-0000-0000BC030000}"/>
    <cellStyle name="20% - Accent1 8 3 3 2" xfId="4474" xr:uid="{00000000-0005-0000-0000-0000BD030000}"/>
    <cellStyle name="20% - Accent1 8 3 3 3" xfId="4475" xr:uid="{00000000-0005-0000-0000-0000BE030000}"/>
    <cellStyle name="20% - Accent1 8 3 4" xfId="4476" xr:uid="{00000000-0005-0000-0000-0000BF030000}"/>
    <cellStyle name="20% - Accent1 8 3 5" xfId="4477" xr:uid="{00000000-0005-0000-0000-0000C0030000}"/>
    <cellStyle name="20% - Accent1 8 3 6" xfId="4478" xr:uid="{00000000-0005-0000-0000-0000C1030000}"/>
    <cellStyle name="20% - Accent1 8 4" xfId="4479" xr:uid="{00000000-0005-0000-0000-0000C2030000}"/>
    <cellStyle name="20% - Accent1 8 4 2" xfId="4480" xr:uid="{00000000-0005-0000-0000-0000C3030000}"/>
    <cellStyle name="20% - Accent1 8 4 3" xfId="4481" xr:uid="{00000000-0005-0000-0000-0000C4030000}"/>
    <cellStyle name="20% - Accent1 8 5" xfId="4482" xr:uid="{00000000-0005-0000-0000-0000C5030000}"/>
    <cellStyle name="20% - Accent1 8 5 2" xfId="4483" xr:uid="{00000000-0005-0000-0000-0000C6030000}"/>
    <cellStyle name="20% - Accent1 8 5 3" xfId="4484" xr:uid="{00000000-0005-0000-0000-0000C7030000}"/>
    <cellStyle name="20% - Accent1 8 6" xfId="4485" xr:uid="{00000000-0005-0000-0000-0000C8030000}"/>
    <cellStyle name="20% - Accent1 8 7" xfId="4486" xr:uid="{00000000-0005-0000-0000-0000C9030000}"/>
    <cellStyle name="20% - Accent1 8 8" xfId="4487" xr:uid="{00000000-0005-0000-0000-0000CA030000}"/>
    <cellStyle name="20% - Accent1 8 9" xfId="4488" xr:uid="{00000000-0005-0000-0000-0000CB030000}"/>
    <cellStyle name="20% - Accent1 9" xfId="152" xr:uid="{00000000-0005-0000-0000-0000CC030000}"/>
    <cellStyle name="20% - Accent1 9 10" xfId="4489" xr:uid="{00000000-0005-0000-0000-0000CD030000}"/>
    <cellStyle name="20% - Accent1 9 11" xfId="4490" xr:uid="{00000000-0005-0000-0000-0000CE030000}"/>
    <cellStyle name="20% - Accent1 9 2" xfId="153" xr:uid="{00000000-0005-0000-0000-0000CF030000}"/>
    <cellStyle name="20% - Accent1 9 2 2" xfId="4491" xr:uid="{00000000-0005-0000-0000-0000D0030000}"/>
    <cellStyle name="20% - Accent1 9 2 2 2" xfId="4492" xr:uid="{00000000-0005-0000-0000-0000D1030000}"/>
    <cellStyle name="20% - Accent1 9 2 2 2 2" xfId="4493" xr:uid="{00000000-0005-0000-0000-0000D2030000}"/>
    <cellStyle name="20% - Accent1 9 2 2 2 3" xfId="4494" xr:uid="{00000000-0005-0000-0000-0000D3030000}"/>
    <cellStyle name="20% - Accent1 9 2 2 3" xfId="4495" xr:uid="{00000000-0005-0000-0000-0000D4030000}"/>
    <cellStyle name="20% - Accent1 9 2 2 3 2" xfId="4496" xr:uid="{00000000-0005-0000-0000-0000D5030000}"/>
    <cellStyle name="20% - Accent1 9 2 2 3 3" xfId="4497" xr:uid="{00000000-0005-0000-0000-0000D6030000}"/>
    <cellStyle name="20% - Accent1 9 2 2 4" xfId="4498" xr:uid="{00000000-0005-0000-0000-0000D7030000}"/>
    <cellStyle name="20% - Accent1 9 2 2 5" xfId="4499" xr:uid="{00000000-0005-0000-0000-0000D8030000}"/>
    <cellStyle name="20% - Accent1 9 2 2 6" xfId="4500" xr:uid="{00000000-0005-0000-0000-0000D9030000}"/>
    <cellStyle name="20% - Accent1 9 2 3" xfId="4501" xr:uid="{00000000-0005-0000-0000-0000DA030000}"/>
    <cellStyle name="20% - Accent1 9 2 3 2" xfId="4502" xr:uid="{00000000-0005-0000-0000-0000DB030000}"/>
    <cellStyle name="20% - Accent1 9 2 3 3" xfId="4503" xr:uid="{00000000-0005-0000-0000-0000DC030000}"/>
    <cellStyle name="20% - Accent1 9 2 4" xfId="4504" xr:uid="{00000000-0005-0000-0000-0000DD030000}"/>
    <cellStyle name="20% - Accent1 9 2 4 2" xfId="4505" xr:uid="{00000000-0005-0000-0000-0000DE030000}"/>
    <cellStyle name="20% - Accent1 9 2 4 3" xfId="4506" xr:uid="{00000000-0005-0000-0000-0000DF030000}"/>
    <cellStyle name="20% - Accent1 9 2 5" xfId="4507" xr:uid="{00000000-0005-0000-0000-0000E0030000}"/>
    <cellStyle name="20% - Accent1 9 2 6" xfId="4508" xr:uid="{00000000-0005-0000-0000-0000E1030000}"/>
    <cellStyle name="20% - Accent1 9 2 7" xfId="4509" xr:uid="{00000000-0005-0000-0000-0000E2030000}"/>
    <cellStyle name="20% - Accent1 9 2 8" xfId="4510" xr:uid="{00000000-0005-0000-0000-0000E3030000}"/>
    <cellStyle name="20% - Accent1 9 3" xfId="4511" xr:uid="{00000000-0005-0000-0000-0000E4030000}"/>
    <cellStyle name="20% - Accent1 9 3 2" xfId="4512" xr:uid="{00000000-0005-0000-0000-0000E5030000}"/>
    <cellStyle name="20% - Accent1 9 3 2 2" xfId="4513" xr:uid="{00000000-0005-0000-0000-0000E6030000}"/>
    <cellStyle name="20% - Accent1 9 3 2 2 2" xfId="4514" xr:uid="{00000000-0005-0000-0000-0000E7030000}"/>
    <cellStyle name="20% - Accent1 9 3 2 3" xfId="4515" xr:uid="{00000000-0005-0000-0000-0000E8030000}"/>
    <cellStyle name="20% - Accent1 9 3 3" xfId="4516" xr:uid="{00000000-0005-0000-0000-0000E9030000}"/>
    <cellStyle name="20% - Accent1 9 3 3 2" xfId="4517" xr:uid="{00000000-0005-0000-0000-0000EA030000}"/>
    <cellStyle name="20% - Accent1 9 3 3 3" xfId="4518" xr:uid="{00000000-0005-0000-0000-0000EB030000}"/>
    <cellStyle name="20% - Accent1 9 3 4" xfId="4519" xr:uid="{00000000-0005-0000-0000-0000EC030000}"/>
    <cellStyle name="20% - Accent1 9 3 5" xfId="4520" xr:uid="{00000000-0005-0000-0000-0000ED030000}"/>
    <cellStyle name="20% - Accent1 9 3 6" xfId="4521" xr:uid="{00000000-0005-0000-0000-0000EE030000}"/>
    <cellStyle name="20% - Accent1 9 4" xfId="4522" xr:uid="{00000000-0005-0000-0000-0000EF030000}"/>
    <cellStyle name="20% - Accent1 9 4 2" xfId="4523" xr:uid="{00000000-0005-0000-0000-0000F0030000}"/>
    <cellStyle name="20% - Accent1 9 4 3" xfId="4524" xr:uid="{00000000-0005-0000-0000-0000F1030000}"/>
    <cellStyle name="20% - Accent1 9 5" xfId="4525" xr:uid="{00000000-0005-0000-0000-0000F2030000}"/>
    <cellStyle name="20% - Accent1 9 5 2" xfId="4526" xr:uid="{00000000-0005-0000-0000-0000F3030000}"/>
    <cellStyle name="20% - Accent1 9 5 3" xfId="4527" xr:uid="{00000000-0005-0000-0000-0000F4030000}"/>
    <cellStyle name="20% - Accent1 9 6" xfId="4528" xr:uid="{00000000-0005-0000-0000-0000F5030000}"/>
    <cellStyle name="20% - Accent1 9 7" xfId="4529" xr:uid="{00000000-0005-0000-0000-0000F6030000}"/>
    <cellStyle name="20% - Accent1 9 8" xfId="4530" xr:uid="{00000000-0005-0000-0000-0000F7030000}"/>
    <cellStyle name="20% - Accent1 9 9" xfId="4531" xr:uid="{00000000-0005-0000-0000-0000F8030000}"/>
    <cellStyle name="20% - Accent2 10" xfId="154" xr:uid="{00000000-0005-0000-0000-0000F9030000}"/>
    <cellStyle name="20% - Accent2 10 10" xfId="4532" xr:uid="{00000000-0005-0000-0000-0000FA030000}"/>
    <cellStyle name="20% - Accent2 10 11" xfId="4533" xr:uid="{00000000-0005-0000-0000-0000FB030000}"/>
    <cellStyle name="20% - Accent2 10 2" xfId="155" xr:uid="{00000000-0005-0000-0000-0000FC030000}"/>
    <cellStyle name="20% - Accent2 10 2 2" xfId="4534" xr:uid="{00000000-0005-0000-0000-0000FD030000}"/>
    <cellStyle name="20% - Accent2 10 2 2 2" xfId="4535" xr:uid="{00000000-0005-0000-0000-0000FE030000}"/>
    <cellStyle name="20% - Accent2 10 2 2 2 2" xfId="4536" xr:uid="{00000000-0005-0000-0000-0000FF030000}"/>
    <cellStyle name="20% - Accent2 10 2 2 2 3" xfId="4537" xr:uid="{00000000-0005-0000-0000-000000040000}"/>
    <cellStyle name="20% - Accent2 10 2 2 3" xfId="4538" xr:uid="{00000000-0005-0000-0000-000001040000}"/>
    <cellStyle name="20% - Accent2 10 2 2 3 2" xfId="4539" xr:uid="{00000000-0005-0000-0000-000002040000}"/>
    <cellStyle name="20% - Accent2 10 2 2 3 3" xfId="4540" xr:uid="{00000000-0005-0000-0000-000003040000}"/>
    <cellStyle name="20% - Accent2 10 2 2 4" xfId="4541" xr:uid="{00000000-0005-0000-0000-000004040000}"/>
    <cellStyle name="20% - Accent2 10 2 2 5" xfId="4542" xr:uid="{00000000-0005-0000-0000-000005040000}"/>
    <cellStyle name="20% - Accent2 10 2 2 6" xfId="4543" xr:uid="{00000000-0005-0000-0000-000006040000}"/>
    <cellStyle name="20% - Accent2 10 2 3" xfId="4544" xr:uid="{00000000-0005-0000-0000-000007040000}"/>
    <cellStyle name="20% - Accent2 10 2 3 2" xfId="4545" xr:uid="{00000000-0005-0000-0000-000008040000}"/>
    <cellStyle name="20% - Accent2 10 2 3 3" xfId="4546" xr:uid="{00000000-0005-0000-0000-000009040000}"/>
    <cellStyle name="20% - Accent2 10 2 4" xfId="4547" xr:uid="{00000000-0005-0000-0000-00000A040000}"/>
    <cellStyle name="20% - Accent2 10 2 4 2" xfId="4548" xr:uid="{00000000-0005-0000-0000-00000B040000}"/>
    <cellStyle name="20% - Accent2 10 2 4 3" xfId="4549" xr:uid="{00000000-0005-0000-0000-00000C040000}"/>
    <cellStyle name="20% - Accent2 10 2 5" xfId="4550" xr:uid="{00000000-0005-0000-0000-00000D040000}"/>
    <cellStyle name="20% - Accent2 10 2 6" xfId="4551" xr:uid="{00000000-0005-0000-0000-00000E040000}"/>
    <cellStyle name="20% - Accent2 10 2 7" xfId="4552" xr:uid="{00000000-0005-0000-0000-00000F040000}"/>
    <cellStyle name="20% - Accent2 10 2 8" xfId="4553" xr:uid="{00000000-0005-0000-0000-000010040000}"/>
    <cellStyle name="20% - Accent2 10 3" xfId="4554" xr:uid="{00000000-0005-0000-0000-000011040000}"/>
    <cellStyle name="20% - Accent2 10 3 2" xfId="4555" xr:uid="{00000000-0005-0000-0000-000012040000}"/>
    <cellStyle name="20% - Accent2 10 3 2 2" xfId="4556" xr:uid="{00000000-0005-0000-0000-000013040000}"/>
    <cellStyle name="20% - Accent2 10 3 2 3" xfId="4557" xr:uid="{00000000-0005-0000-0000-000014040000}"/>
    <cellStyle name="20% - Accent2 10 3 3" xfId="4558" xr:uid="{00000000-0005-0000-0000-000015040000}"/>
    <cellStyle name="20% - Accent2 10 3 3 2" xfId="4559" xr:uid="{00000000-0005-0000-0000-000016040000}"/>
    <cellStyle name="20% - Accent2 10 3 3 3" xfId="4560" xr:uid="{00000000-0005-0000-0000-000017040000}"/>
    <cellStyle name="20% - Accent2 10 3 4" xfId="4561" xr:uid="{00000000-0005-0000-0000-000018040000}"/>
    <cellStyle name="20% - Accent2 10 3 5" xfId="4562" xr:uid="{00000000-0005-0000-0000-000019040000}"/>
    <cellStyle name="20% - Accent2 10 3 6" xfId="4563" xr:uid="{00000000-0005-0000-0000-00001A040000}"/>
    <cellStyle name="20% - Accent2 10 4" xfId="4564" xr:uid="{00000000-0005-0000-0000-00001B040000}"/>
    <cellStyle name="20% - Accent2 10 4 2" xfId="4565" xr:uid="{00000000-0005-0000-0000-00001C040000}"/>
    <cellStyle name="20% - Accent2 10 4 3" xfId="4566" xr:uid="{00000000-0005-0000-0000-00001D040000}"/>
    <cellStyle name="20% - Accent2 10 5" xfId="4567" xr:uid="{00000000-0005-0000-0000-00001E040000}"/>
    <cellStyle name="20% - Accent2 10 5 2" xfId="4568" xr:uid="{00000000-0005-0000-0000-00001F040000}"/>
    <cellStyle name="20% - Accent2 10 5 3" xfId="4569" xr:uid="{00000000-0005-0000-0000-000020040000}"/>
    <cellStyle name="20% - Accent2 10 6" xfId="4570" xr:uid="{00000000-0005-0000-0000-000021040000}"/>
    <cellStyle name="20% - Accent2 10 7" xfId="4571" xr:uid="{00000000-0005-0000-0000-000022040000}"/>
    <cellStyle name="20% - Accent2 10 8" xfId="4572" xr:uid="{00000000-0005-0000-0000-000023040000}"/>
    <cellStyle name="20% - Accent2 10 9" xfId="4573" xr:uid="{00000000-0005-0000-0000-000024040000}"/>
    <cellStyle name="20% - Accent2 11" xfId="156" xr:uid="{00000000-0005-0000-0000-000025040000}"/>
    <cellStyle name="20% - Accent2 11 10" xfId="4574" xr:uid="{00000000-0005-0000-0000-000026040000}"/>
    <cellStyle name="20% - Accent2 11 2" xfId="157" xr:uid="{00000000-0005-0000-0000-000027040000}"/>
    <cellStyle name="20% - Accent2 11 2 2" xfId="4575" xr:uid="{00000000-0005-0000-0000-000028040000}"/>
    <cellStyle name="20% - Accent2 11 2 2 2" xfId="4576" xr:uid="{00000000-0005-0000-0000-000029040000}"/>
    <cellStyle name="20% - Accent2 11 2 2 3" xfId="4577" xr:uid="{00000000-0005-0000-0000-00002A040000}"/>
    <cellStyle name="20% - Accent2 11 2 3" xfId="4578" xr:uid="{00000000-0005-0000-0000-00002B040000}"/>
    <cellStyle name="20% - Accent2 11 2 3 2" xfId="4579" xr:uid="{00000000-0005-0000-0000-00002C040000}"/>
    <cellStyle name="20% - Accent2 11 2 3 3" xfId="4580" xr:uid="{00000000-0005-0000-0000-00002D040000}"/>
    <cellStyle name="20% - Accent2 11 2 4" xfId="4581" xr:uid="{00000000-0005-0000-0000-00002E040000}"/>
    <cellStyle name="20% - Accent2 11 2 5" xfId="4582" xr:uid="{00000000-0005-0000-0000-00002F040000}"/>
    <cellStyle name="20% - Accent2 11 2 6" xfId="4583" xr:uid="{00000000-0005-0000-0000-000030040000}"/>
    <cellStyle name="20% - Accent2 11 3" xfId="4584" xr:uid="{00000000-0005-0000-0000-000031040000}"/>
    <cellStyle name="20% - Accent2 11 3 2" xfId="4585" xr:uid="{00000000-0005-0000-0000-000032040000}"/>
    <cellStyle name="20% - Accent2 11 3 3" xfId="4586" xr:uid="{00000000-0005-0000-0000-000033040000}"/>
    <cellStyle name="20% - Accent2 11 4" xfId="4587" xr:uid="{00000000-0005-0000-0000-000034040000}"/>
    <cellStyle name="20% - Accent2 11 4 2" xfId="4588" xr:uid="{00000000-0005-0000-0000-000035040000}"/>
    <cellStyle name="20% - Accent2 11 4 3" xfId="4589" xr:uid="{00000000-0005-0000-0000-000036040000}"/>
    <cellStyle name="20% - Accent2 11 5" xfId="4590" xr:uid="{00000000-0005-0000-0000-000037040000}"/>
    <cellStyle name="20% - Accent2 11 6" xfId="4591" xr:uid="{00000000-0005-0000-0000-000038040000}"/>
    <cellStyle name="20% - Accent2 11 7" xfId="4592" xr:uid="{00000000-0005-0000-0000-000039040000}"/>
    <cellStyle name="20% - Accent2 11 8" xfId="4593" xr:uid="{00000000-0005-0000-0000-00003A040000}"/>
    <cellStyle name="20% - Accent2 11 9" xfId="4594" xr:uid="{00000000-0005-0000-0000-00003B040000}"/>
    <cellStyle name="20% - Accent2 12" xfId="158" xr:uid="{00000000-0005-0000-0000-00003C040000}"/>
    <cellStyle name="20% - Accent2 12 2" xfId="159" xr:uid="{00000000-0005-0000-0000-00003D040000}"/>
    <cellStyle name="20% - Accent2 12 3" xfId="4595" xr:uid="{00000000-0005-0000-0000-00003E040000}"/>
    <cellStyle name="20% - Accent2 12 4" xfId="4596" xr:uid="{00000000-0005-0000-0000-00003F040000}"/>
    <cellStyle name="20% - Accent2 12 5" xfId="4597" xr:uid="{00000000-0005-0000-0000-000040040000}"/>
    <cellStyle name="20% - Accent2 13" xfId="160" xr:uid="{00000000-0005-0000-0000-000041040000}"/>
    <cellStyle name="20% - Accent2 13 2" xfId="161" xr:uid="{00000000-0005-0000-0000-000042040000}"/>
    <cellStyle name="20% - Accent2 13 3" xfId="4598" xr:uid="{00000000-0005-0000-0000-000043040000}"/>
    <cellStyle name="20% - Accent2 13 4" xfId="4599" xr:uid="{00000000-0005-0000-0000-000044040000}"/>
    <cellStyle name="20% - Accent2 14" xfId="162" xr:uid="{00000000-0005-0000-0000-000045040000}"/>
    <cellStyle name="20% - Accent2 14 2" xfId="163" xr:uid="{00000000-0005-0000-0000-000046040000}"/>
    <cellStyle name="20% - Accent2 14 3" xfId="4600" xr:uid="{00000000-0005-0000-0000-000047040000}"/>
    <cellStyle name="20% - Accent2 15" xfId="164" xr:uid="{00000000-0005-0000-0000-000048040000}"/>
    <cellStyle name="20% - Accent2 15 2" xfId="165" xr:uid="{00000000-0005-0000-0000-000049040000}"/>
    <cellStyle name="20% - Accent2 15 3" xfId="4601" xr:uid="{00000000-0005-0000-0000-00004A040000}"/>
    <cellStyle name="20% - Accent2 16" xfId="166" xr:uid="{00000000-0005-0000-0000-00004B040000}"/>
    <cellStyle name="20% - Accent2 16 2" xfId="167" xr:uid="{00000000-0005-0000-0000-00004C040000}"/>
    <cellStyle name="20% - Accent2 17" xfId="168" xr:uid="{00000000-0005-0000-0000-00004D040000}"/>
    <cellStyle name="20% - Accent2 17 2" xfId="169" xr:uid="{00000000-0005-0000-0000-00004E040000}"/>
    <cellStyle name="20% - Accent2 18" xfId="170" xr:uid="{00000000-0005-0000-0000-00004F040000}"/>
    <cellStyle name="20% - Accent2 18 2" xfId="171" xr:uid="{00000000-0005-0000-0000-000050040000}"/>
    <cellStyle name="20% - Accent2 19" xfId="172" xr:uid="{00000000-0005-0000-0000-000051040000}"/>
    <cellStyle name="20% - Accent2 19 2" xfId="173" xr:uid="{00000000-0005-0000-0000-000052040000}"/>
    <cellStyle name="20% - Accent2 2" xfId="174" xr:uid="{00000000-0005-0000-0000-000053040000}"/>
    <cellStyle name="20% - Accent2 2 10" xfId="4602" xr:uid="{00000000-0005-0000-0000-000054040000}"/>
    <cellStyle name="20% - Accent2 2 11" xfId="4603" xr:uid="{00000000-0005-0000-0000-000055040000}"/>
    <cellStyle name="20% - Accent2 2 12" xfId="4604" xr:uid="{00000000-0005-0000-0000-000056040000}"/>
    <cellStyle name="20% - Accent2 2 13" xfId="4605" xr:uid="{00000000-0005-0000-0000-000057040000}"/>
    <cellStyle name="20% - Accent2 2 2" xfId="175" xr:uid="{00000000-0005-0000-0000-000058040000}"/>
    <cellStyle name="20% - Accent2 2 2 10" xfId="4606" xr:uid="{00000000-0005-0000-0000-000059040000}"/>
    <cellStyle name="20% - Accent2 2 2 11" xfId="4607" xr:uid="{00000000-0005-0000-0000-00005A040000}"/>
    <cellStyle name="20% - Accent2 2 2 12" xfId="4608" xr:uid="{00000000-0005-0000-0000-00005B040000}"/>
    <cellStyle name="20% - Accent2 2 2 13" xfId="4609" xr:uid="{00000000-0005-0000-0000-00005C040000}"/>
    <cellStyle name="20% - Accent2 2 2 2" xfId="176" xr:uid="{00000000-0005-0000-0000-00005D040000}"/>
    <cellStyle name="20% - Accent2 2 2 2 10" xfId="4610" xr:uid="{00000000-0005-0000-0000-00005E040000}"/>
    <cellStyle name="20% - Accent2 2 2 2 2" xfId="177" xr:uid="{00000000-0005-0000-0000-00005F040000}"/>
    <cellStyle name="20% - Accent2 2 2 2 2 2" xfId="178" xr:uid="{00000000-0005-0000-0000-000060040000}"/>
    <cellStyle name="20% - Accent2 2 2 2 2 2 2" xfId="179" xr:uid="{00000000-0005-0000-0000-000061040000}"/>
    <cellStyle name="20% - Accent2 2 2 2 2 2 2 2" xfId="52996" xr:uid="{00000000-0005-0000-0000-000062040000}"/>
    <cellStyle name="20% - Accent2 2 2 2 2 2 2 2 2" xfId="52997" xr:uid="{00000000-0005-0000-0000-000063040000}"/>
    <cellStyle name="20% - Accent2 2 2 2 2 2 2 3" xfId="52998" xr:uid="{00000000-0005-0000-0000-000064040000}"/>
    <cellStyle name="20% - Accent2 2 2 2 2 2 3" xfId="180" xr:uid="{00000000-0005-0000-0000-000065040000}"/>
    <cellStyle name="20% - Accent2 2 2 2 2 2 3 2" xfId="52999" xr:uid="{00000000-0005-0000-0000-000066040000}"/>
    <cellStyle name="20% - Accent2 2 2 2 2 2 3 2 2" xfId="53000" xr:uid="{00000000-0005-0000-0000-000067040000}"/>
    <cellStyle name="20% - Accent2 2 2 2 2 2 3 3" xfId="53001" xr:uid="{00000000-0005-0000-0000-000068040000}"/>
    <cellStyle name="20% - Accent2 2 2 2 2 2 4" xfId="4611" xr:uid="{00000000-0005-0000-0000-000069040000}"/>
    <cellStyle name="20% - Accent2 2 2 2 2 2 4 2" xfId="53002" xr:uid="{00000000-0005-0000-0000-00006A040000}"/>
    <cellStyle name="20% - Accent2 2 2 2 2 2 5" xfId="4612" xr:uid="{00000000-0005-0000-0000-00006B040000}"/>
    <cellStyle name="20% - Accent2 2 2 2 2 3" xfId="181" xr:uid="{00000000-0005-0000-0000-00006C040000}"/>
    <cellStyle name="20% - Accent2 2 2 2 2 3 2" xfId="4613" xr:uid="{00000000-0005-0000-0000-00006D040000}"/>
    <cellStyle name="20% - Accent2 2 2 2 2 3 2 2" xfId="53003" xr:uid="{00000000-0005-0000-0000-00006E040000}"/>
    <cellStyle name="20% - Accent2 2 2 2 2 3 3" xfId="4614" xr:uid="{00000000-0005-0000-0000-00006F040000}"/>
    <cellStyle name="20% - Accent2 2 2 2 2 4" xfId="182" xr:uid="{00000000-0005-0000-0000-000070040000}"/>
    <cellStyle name="20% - Accent2 2 2 2 2 4 2" xfId="53004" xr:uid="{00000000-0005-0000-0000-000071040000}"/>
    <cellStyle name="20% - Accent2 2 2 2 2 4 2 2" xfId="53005" xr:uid="{00000000-0005-0000-0000-000072040000}"/>
    <cellStyle name="20% - Accent2 2 2 2 2 4 3" xfId="53006" xr:uid="{00000000-0005-0000-0000-000073040000}"/>
    <cellStyle name="20% - Accent2 2 2 2 2 5" xfId="4615" xr:uid="{00000000-0005-0000-0000-000074040000}"/>
    <cellStyle name="20% - Accent2 2 2 2 2 5 2" xfId="53007" xr:uid="{00000000-0005-0000-0000-000075040000}"/>
    <cellStyle name="20% - Accent2 2 2 2 2 6" xfId="4616" xr:uid="{00000000-0005-0000-0000-000076040000}"/>
    <cellStyle name="20% - Accent2 2 2 2 2 7" xfId="4617" xr:uid="{00000000-0005-0000-0000-000077040000}"/>
    <cellStyle name="20% - Accent2 2 2 2 2 8" xfId="4618" xr:uid="{00000000-0005-0000-0000-000078040000}"/>
    <cellStyle name="20% - Accent2 2 2 2 3" xfId="183" xr:uid="{00000000-0005-0000-0000-000079040000}"/>
    <cellStyle name="20% - Accent2 2 2 2 3 2" xfId="184" xr:uid="{00000000-0005-0000-0000-00007A040000}"/>
    <cellStyle name="20% - Accent2 2 2 2 3 2 2" xfId="185" xr:uid="{00000000-0005-0000-0000-00007B040000}"/>
    <cellStyle name="20% - Accent2 2 2 2 3 2 2 2" xfId="53008" xr:uid="{00000000-0005-0000-0000-00007C040000}"/>
    <cellStyle name="20% - Accent2 2 2 2 3 2 2 2 2" xfId="53009" xr:uid="{00000000-0005-0000-0000-00007D040000}"/>
    <cellStyle name="20% - Accent2 2 2 2 3 2 2 3" xfId="53010" xr:uid="{00000000-0005-0000-0000-00007E040000}"/>
    <cellStyle name="20% - Accent2 2 2 2 3 2 3" xfId="4619" xr:uid="{00000000-0005-0000-0000-00007F040000}"/>
    <cellStyle name="20% - Accent2 2 2 2 3 2 3 2" xfId="53011" xr:uid="{00000000-0005-0000-0000-000080040000}"/>
    <cellStyle name="20% - Accent2 2 2 2 3 2 3 2 2" xfId="53012" xr:uid="{00000000-0005-0000-0000-000081040000}"/>
    <cellStyle name="20% - Accent2 2 2 2 3 2 3 3" xfId="53013" xr:uid="{00000000-0005-0000-0000-000082040000}"/>
    <cellStyle name="20% - Accent2 2 2 2 3 2 4" xfId="53014" xr:uid="{00000000-0005-0000-0000-000083040000}"/>
    <cellStyle name="20% - Accent2 2 2 2 3 2 4 2" xfId="53015" xr:uid="{00000000-0005-0000-0000-000084040000}"/>
    <cellStyle name="20% - Accent2 2 2 2 3 2 5" xfId="53016" xr:uid="{00000000-0005-0000-0000-000085040000}"/>
    <cellStyle name="20% - Accent2 2 2 2 3 3" xfId="186" xr:uid="{00000000-0005-0000-0000-000086040000}"/>
    <cellStyle name="20% - Accent2 2 2 2 3 3 2" xfId="53017" xr:uid="{00000000-0005-0000-0000-000087040000}"/>
    <cellStyle name="20% - Accent2 2 2 2 3 3 2 2" xfId="53018" xr:uid="{00000000-0005-0000-0000-000088040000}"/>
    <cellStyle name="20% - Accent2 2 2 2 3 3 3" xfId="53019" xr:uid="{00000000-0005-0000-0000-000089040000}"/>
    <cellStyle name="20% - Accent2 2 2 2 3 4" xfId="4620" xr:uid="{00000000-0005-0000-0000-00008A040000}"/>
    <cellStyle name="20% - Accent2 2 2 2 3 4 2" xfId="53020" xr:uid="{00000000-0005-0000-0000-00008B040000}"/>
    <cellStyle name="20% - Accent2 2 2 2 3 4 2 2" xfId="53021" xr:uid="{00000000-0005-0000-0000-00008C040000}"/>
    <cellStyle name="20% - Accent2 2 2 2 3 4 3" xfId="53022" xr:uid="{00000000-0005-0000-0000-00008D040000}"/>
    <cellStyle name="20% - Accent2 2 2 2 3 5" xfId="4621" xr:uid="{00000000-0005-0000-0000-00008E040000}"/>
    <cellStyle name="20% - Accent2 2 2 2 3 5 2" xfId="53023" xr:uid="{00000000-0005-0000-0000-00008F040000}"/>
    <cellStyle name="20% - Accent2 2 2 2 3 6" xfId="53024" xr:uid="{00000000-0005-0000-0000-000090040000}"/>
    <cellStyle name="20% - Accent2 2 2 2 4" xfId="187" xr:uid="{00000000-0005-0000-0000-000091040000}"/>
    <cellStyle name="20% - Accent2 2 2 2 4 2" xfId="188" xr:uid="{00000000-0005-0000-0000-000092040000}"/>
    <cellStyle name="20% - Accent2 2 2 2 4 2 2" xfId="53025" xr:uid="{00000000-0005-0000-0000-000093040000}"/>
    <cellStyle name="20% - Accent2 2 2 2 4 2 2 2" xfId="53026" xr:uid="{00000000-0005-0000-0000-000094040000}"/>
    <cellStyle name="20% - Accent2 2 2 2 4 2 3" xfId="53027" xr:uid="{00000000-0005-0000-0000-000095040000}"/>
    <cellStyle name="20% - Accent2 2 2 2 4 3" xfId="4622" xr:uid="{00000000-0005-0000-0000-000096040000}"/>
    <cellStyle name="20% - Accent2 2 2 2 4 3 2" xfId="53028" xr:uid="{00000000-0005-0000-0000-000097040000}"/>
    <cellStyle name="20% - Accent2 2 2 2 4 3 2 2" xfId="53029" xr:uid="{00000000-0005-0000-0000-000098040000}"/>
    <cellStyle name="20% - Accent2 2 2 2 4 3 3" xfId="53030" xr:uid="{00000000-0005-0000-0000-000099040000}"/>
    <cellStyle name="20% - Accent2 2 2 2 4 4" xfId="4623" xr:uid="{00000000-0005-0000-0000-00009A040000}"/>
    <cellStyle name="20% - Accent2 2 2 2 4 4 2" xfId="53031" xr:uid="{00000000-0005-0000-0000-00009B040000}"/>
    <cellStyle name="20% - Accent2 2 2 2 4 5" xfId="4624" xr:uid="{00000000-0005-0000-0000-00009C040000}"/>
    <cellStyle name="20% - Accent2 2 2 2 5" xfId="189" xr:uid="{00000000-0005-0000-0000-00009D040000}"/>
    <cellStyle name="20% - Accent2 2 2 2 5 2" xfId="4625" xr:uid="{00000000-0005-0000-0000-00009E040000}"/>
    <cellStyle name="20% - Accent2 2 2 2 5 2 2" xfId="53032" xr:uid="{00000000-0005-0000-0000-00009F040000}"/>
    <cellStyle name="20% - Accent2 2 2 2 5 3" xfId="4626" xr:uid="{00000000-0005-0000-0000-0000A0040000}"/>
    <cellStyle name="20% - Accent2 2 2 2 6" xfId="4627" xr:uid="{00000000-0005-0000-0000-0000A1040000}"/>
    <cellStyle name="20% - Accent2 2 2 2 6 2" xfId="53033" xr:uid="{00000000-0005-0000-0000-0000A2040000}"/>
    <cellStyle name="20% - Accent2 2 2 2 6 2 2" xfId="53034" xr:uid="{00000000-0005-0000-0000-0000A3040000}"/>
    <cellStyle name="20% - Accent2 2 2 2 6 3" xfId="53035" xr:uid="{00000000-0005-0000-0000-0000A4040000}"/>
    <cellStyle name="20% - Accent2 2 2 2 7" xfId="4628" xr:uid="{00000000-0005-0000-0000-0000A5040000}"/>
    <cellStyle name="20% - Accent2 2 2 2 7 2" xfId="53036" xr:uid="{00000000-0005-0000-0000-0000A6040000}"/>
    <cellStyle name="20% - Accent2 2 2 2 8" xfId="4629" xr:uid="{00000000-0005-0000-0000-0000A7040000}"/>
    <cellStyle name="20% - Accent2 2 2 2 9" xfId="4630" xr:uid="{00000000-0005-0000-0000-0000A8040000}"/>
    <cellStyle name="20% - Accent2 2 2 3" xfId="190" xr:uid="{00000000-0005-0000-0000-0000A9040000}"/>
    <cellStyle name="20% - Accent2 2 2 3 2" xfId="191" xr:uid="{00000000-0005-0000-0000-0000AA040000}"/>
    <cellStyle name="20% - Accent2 2 2 3 2 2" xfId="192" xr:uid="{00000000-0005-0000-0000-0000AB040000}"/>
    <cellStyle name="20% - Accent2 2 2 3 2 2 2" xfId="53037" xr:uid="{00000000-0005-0000-0000-0000AC040000}"/>
    <cellStyle name="20% - Accent2 2 2 3 2 2 2 2" xfId="53038" xr:uid="{00000000-0005-0000-0000-0000AD040000}"/>
    <cellStyle name="20% - Accent2 2 2 3 2 2 3" xfId="53039" xr:uid="{00000000-0005-0000-0000-0000AE040000}"/>
    <cellStyle name="20% - Accent2 2 2 3 2 3" xfId="193" xr:uid="{00000000-0005-0000-0000-0000AF040000}"/>
    <cellStyle name="20% - Accent2 2 2 3 2 3 2" xfId="53040" xr:uid="{00000000-0005-0000-0000-0000B0040000}"/>
    <cellStyle name="20% - Accent2 2 2 3 2 3 2 2" xfId="53041" xr:uid="{00000000-0005-0000-0000-0000B1040000}"/>
    <cellStyle name="20% - Accent2 2 2 3 2 3 3" xfId="53042" xr:uid="{00000000-0005-0000-0000-0000B2040000}"/>
    <cellStyle name="20% - Accent2 2 2 3 2 4" xfId="4631" xr:uid="{00000000-0005-0000-0000-0000B3040000}"/>
    <cellStyle name="20% - Accent2 2 2 3 2 4 2" xfId="53043" xr:uid="{00000000-0005-0000-0000-0000B4040000}"/>
    <cellStyle name="20% - Accent2 2 2 3 2 5" xfId="4632" xr:uid="{00000000-0005-0000-0000-0000B5040000}"/>
    <cellStyle name="20% - Accent2 2 2 3 3" xfId="194" xr:uid="{00000000-0005-0000-0000-0000B6040000}"/>
    <cellStyle name="20% - Accent2 2 2 3 3 2" xfId="4633" xr:uid="{00000000-0005-0000-0000-0000B7040000}"/>
    <cellStyle name="20% - Accent2 2 2 3 3 2 2" xfId="53044" xr:uid="{00000000-0005-0000-0000-0000B8040000}"/>
    <cellStyle name="20% - Accent2 2 2 3 3 3" xfId="4634" xr:uid="{00000000-0005-0000-0000-0000B9040000}"/>
    <cellStyle name="20% - Accent2 2 2 3 4" xfId="195" xr:uid="{00000000-0005-0000-0000-0000BA040000}"/>
    <cellStyle name="20% - Accent2 2 2 3 4 2" xfId="53045" xr:uid="{00000000-0005-0000-0000-0000BB040000}"/>
    <cellStyle name="20% - Accent2 2 2 3 4 2 2" xfId="53046" xr:uid="{00000000-0005-0000-0000-0000BC040000}"/>
    <cellStyle name="20% - Accent2 2 2 3 4 3" xfId="53047" xr:uid="{00000000-0005-0000-0000-0000BD040000}"/>
    <cellStyle name="20% - Accent2 2 2 3 5" xfId="4635" xr:uid="{00000000-0005-0000-0000-0000BE040000}"/>
    <cellStyle name="20% - Accent2 2 2 3 5 2" xfId="53048" xr:uid="{00000000-0005-0000-0000-0000BF040000}"/>
    <cellStyle name="20% - Accent2 2 2 3 6" xfId="4636" xr:uid="{00000000-0005-0000-0000-0000C0040000}"/>
    <cellStyle name="20% - Accent2 2 2 3 7" xfId="4637" xr:uid="{00000000-0005-0000-0000-0000C1040000}"/>
    <cellStyle name="20% - Accent2 2 2 3 8" xfId="4638" xr:uid="{00000000-0005-0000-0000-0000C2040000}"/>
    <cellStyle name="20% - Accent2 2 2 4" xfId="196" xr:uid="{00000000-0005-0000-0000-0000C3040000}"/>
    <cellStyle name="20% - Accent2 2 2 4 2" xfId="197" xr:uid="{00000000-0005-0000-0000-0000C4040000}"/>
    <cellStyle name="20% - Accent2 2 2 4 2 2" xfId="198" xr:uid="{00000000-0005-0000-0000-0000C5040000}"/>
    <cellStyle name="20% - Accent2 2 2 4 2 2 2" xfId="53049" xr:uid="{00000000-0005-0000-0000-0000C6040000}"/>
    <cellStyle name="20% - Accent2 2 2 4 2 2 2 2" xfId="53050" xr:uid="{00000000-0005-0000-0000-0000C7040000}"/>
    <cellStyle name="20% - Accent2 2 2 4 2 2 3" xfId="53051" xr:uid="{00000000-0005-0000-0000-0000C8040000}"/>
    <cellStyle name="20% - Accent2 2 2 4 2 3" xfId="4639" xr:uid="{00000000-0005-0000-0000-0000C9040000}"/>
    <cellStyle name="20% - Accent2 2 2 4 2 3 2" xfId="53052" xr:uid="{00000000-0005-0000-0000-0000CA040000}"/>
    <cellStyle name="20% - Accent2 2 2 4 2 3 2 2" xfId="53053" xr:uid="{00000000-0005-0000-0000-0000CB040000}"/>
    <cellStyle name="20% - Accent2 2 2 4 2 3 3" xfId="53054" xr:uid="{00000000-0005-0000-0000-0000CC040000}"/>
    <cellStyle name="20% - Accent2 2 2 4 2 4" xfId="53055" xr:uid="{00000000-0005-0000-0000-0000CD040000}"/>
    <cellStyle name="20% - Accent2 2 2 4 2 4 2" xfId="53056" xr:uid="{00000000-0005-0000-0000-0000CE040000}"/>
    <cellStyle name="20% - Accent2 2 2 4 2 5" xfId="53057" xr:uid="{00000000-0005-0000-0000-0000CF040000}"/>
    <cellStyle name="20% - Accent2 2 2 4 3" xfId="199" xr:uid="{00000000-0005-0000-0000-0000D0040000}"/>
    <cellStyle name="20% - Accent2 2 2 4 3 2" xfId="53058" xr:uid="{00000000-0005-0000-0000-0000D1040000}"/>
    <cellStyle name="20% - Accent2 2 2 4 3 2 2" xfId="53059" xr:uid="{00000000-0005-0000-0000-0000D2040000}"/>
    <cellStyle name="20% - Accent2 2 2 4 3 3" xfId="53060" xr:uid="{00000000-0005-0000-0000-0000D3040000}"/>
    <cellStyle name="20% - Accent2 2 2 4 4" xfId="4640" xr:uid="{00000000-0005-0000-0000-0000D4040000}"/>
    <cellStyle name="20% - Accent2 2 2 4 4 2" xfId="53061" xr:uid="{00000000-0005-0000-0000-0000D5040000}"/>
    <cellStyle name="20% - Accent2 2 2 4 4 2 2" xfId="53062" xr:uid="{00000000-0005-0000-0000-0000D6040000}"/>
    <cellStyle name="20% - Accent2 2 2 4 4 3" xfId="53063" xr:uid="{00000000-0005-0000-0000-0000D7040000}"/>
    <cellStyle name="20% - Accent2 2 2 4 5" xfId="4641" xr:uid="{00000000-0005-0000-0000-0000D8040000}"/>
    <cellStyle name="20% - Accent2 2 2 4 5 2" xfId="53064" xr:uid="{00000000-0005-0000-0000-0000D9040000}"/>
    <cellStyle name="20% - Accent2 2 2 4 6" xfId="53065" xr:uid="{00000000-0005-0000-0000-0000DA040000}"/>
    <cellStyle name="20% - Accent2 2 2 5" xfId="200" xr:uid="{00000000-0005-0000-0000-0000DB040000}"/>
    <cellStyle name="20% - Accent2 2 2 5 2" xfId="201" xr:uid="{00000000-0005-0000-0000-0000DC040000}"/>
    <cellStyle name="20% - Accent2 2 2 5 2 2" xfId="53066" xr:uid="{00000000-0005-0000-0000-0000DD040000}"/>
    <cellStyle name="20% - Accent2 2 2 5 2 2 2" xfId="53067" xr:uid="{00000000-0005-0000-0000-0000DE040000}"/>
    <cellStyle name="20% - Accent2 2 2 5 2 3" xfId="53068" xr:uid="{00000000-0005-0000-0000-0000DF040000}"/>
    <cellStyle name="20% - Accent2 2 2 5 3" xfId="4642" xr:uid="{00000000-0005-0000-0000-0000E0040000}"/>
    <cellStyle name="20% - Accent2 2 2 5 3 2" xfId="53069" xr:uid="{00000000-0005-0000-0000-0000E1040000}"/>
    <cellStyle name="20% - Accent2 2 2 5 3 2 2" xfId="53070" xr:uid="{00000000-0005-0000-0000-0000E2040000}"/>
    <cellStyle name="20% - Accent2 2 2 5 3 3" xfId="53071" xr:uid="{00000000-0005-0000-0000-0000E3040000}"/>
    <cellStyle name="20% - Accent2 2 2 5 4" xfId="4643" xr:uid="{00000000-0005-0000-0000-0000E4040000}"/>
    <cellStyle name="20% - Accent2 2 2 5 4 2" xfId="53072" xr:uid="{00000000-0005-0000-0000-0000E5040000}"/>
    <cellStyle name="20% - Accent2 2 2 5 5" xfId="4644" xr:uid="{00000000-0005-0000-0000-0000E6040000}"/>
    <cellStyle name="20% - Accent2 2 2 6" xfId="202" xr:uid="{00000000-0005-0000-0000-0000E7040000}"/>
    <cellStyle name="20% - Accent2 2 2 6 2" xfId="4645" xr:uid="{00000000-0005-0000-0000-0000E8040000}"/>
    <cellStyle name="20% - Accent2 2 2 6 2 2" xfId="53073" xr:uid="{00000000-0005-0000-0000-0000E9040000}"/>
    <cellStyle name="20% - Accent2 2 2 6 3" xfId="4646" xr:uid="{00000000-0005-0000-0000-0000EA040000}"/>
    <cellStyle name="20% - Accent2 2 2 7" xfId="4647" xr:uid="{00000000-0005-0000-0000-0000EB040000}"/>
    <cellStyle name="20% - Accent2 2 2 7 2" xfId="53074" xr:uid="{00000000-0005-0000-0000-0000EC040000}"/>
    <cellStyle name="20% - Accent2 2 2 7 2 2" xfId="53075" xr:uid="{00000000-0005-0000-0000-0000ED040000}"/>
    <cellStyle name="20% - Accent2 2 2 7 3" xfId="53076" xr:uid="{00000000-0005-0000-0000-0000EE040000}"/>
    <cellStyle name="20% - Accent2 2 2 8" xfId="4648" xr:uid="{00000000-0005-0000-0000-0000EF040000}"/>
    <cellStyle name="20% - Accent2 2 2 8 2" xfId="53077" xr:uid="{00000000-0005-0000-0000-0000F0040000}"/>
    <cellStyle name="20% - Accent2 2 2 9" xfId="4649" xr:uid="{00000000-0005-0000-0000-0000F1040000}"/>
    <cellStyle name="20% - Accent2 2 3" xfId="203" xr:uid="{00000000-0005-0000-0000-0000F2040000}"/>
    <cellStyle name="20% - Accent2 2 3 10" xfId="4650" xr:uid="{00000000-0005-0000-0000-0000F3040000}"/>
    <cellStyle name="20% - Accent2 2 3 2" xfId="204" xr:uid="{00000000-0005-0000-0000-0000F4040000}"/>
    <cellStyle name="20% - Accent2 2 3 2 2" xfId="205" xr:uid="{00000000-0005-0000-0000-0000F5040000}"/>
    <cellStyle name="20% - Accent2 2 3 2 2 2" xfId="206" xr:uid="{00000000-0005-0000-0000-0000F6040000}"/>
    <cellStyle name="20% - Accent2 2 3 2 2 2 2" xfId="53078" xr:uid="{00000000-0005-0000-0000-0000F7040000}"/>
    <cellStyle name="20% - Accent2 2 3 2 2 2 2 2" xfId="53079" xr:uid="{00000000-0005-0000-0000-0000F8040000}"/>
    <cellStyle name="20% - Accent2 2 3 2 2 2 3" xfId="53080" xr:uid="{00000000-0005-0000-0000-0000F9040000}"/>
    <cellStyle name="20% - Accent2 2 3 2 2 3" xfId="207" xr:uid="{00000000-0005-0000-0000-0000FA040000}"/>
    <cellStyle name="20% - Accent2 2 3 2 2 3 2" xfId="53081" xr:uid="{00000000-0005-0000-0000-0000FB040000}"/>
    <cellStyle name="20% - Accent2 2 3 2 2 3 2 2" xfId="53082" xr:uid="{00000000-0005-0000-0000-0000FC040000}"/>
    <cellStyle name="20% - Accent2 2 3 2 2 3 3" xfId="53083" xr:uid="{00000000-0005-0000-0000-0000FD040000}"/>
    <cellStyle name="20% - Accent2 2 3 2 2 4" xfId="4651" xr:uid="{00000000-0005-0000-0000-0000FE040000}"/>
    <cellStyle name="20% - Accent2 2 3 2 2 4 2" xfId="53084" xr:uid="{00000000-0005-0000-0000-0000FF040000}"/>
    <cellStyle name="20% - Accent2 2 3 2 2 5" xfId="4652" xr:uid="{00000000-0005-0000-0000-000000050000}"/>
    <cellStyle name="20% - Accent2 2 3 2 3" xfId="208" xr:uid="{00000000-0005-0000-0000-000001050000}"/>
    <cellStyle name="20% - Accent2 2 3 2 3 2" xfId="4653" xr:uid="{00000000-0005-0000-0000-000002050000}"/>
    <cellStyle name="20% - Accent2 2 3 2 3 2 2" xfId="53085" xr:uid="{00000000-0005-0000-0000-000003050000}"/>
    <cellStyle name="20% - Accent2 2 3 2 3 3" xfId="4654" xr:uid="{00000000-0005-0000-0000-000004050000}"/>
    <cellStyle name="20% - Accent2 2 3 2 4" xfId="209" xr:uid="{00000000-0005-0000-0000-000005050000}"/>
    <cellStyle name="20% - Accent2 2 3 2 4 2" xfId="53086" xr:uid="{00000000-0005-0000-0000-000006050000}"/>
    <cellStyle name="20% - Accent2 2 3 2 4 2 2" xfId="53087" xr:uid="{00000000-0005-0000-0000-000007050000}"/>
    <cellStyle name="20% - Accent2 2 3 2 4 3" xfId="53088" xr:uid="{00000000-0005-0000-0000-000008050000}"/>
    <cellStyle name="20% - Accent2 2 3 2 5" xfId="4655" xr:uid="{00000000-0005-0000-0000-000009050000}"/>
    <cellStyle name="20% - Accent2 2 3 2 5 2" xfId="53089" xr:uid="{00000000-0005-0000-0000-00000A050000}"/>
    <cellStyle name="20% - Accent2 2 3 2 6" xfId="4656" xr:uid="{00000000-0005-0000-0000-00000B050000}"/>
    <cellStyle name="20% - Accent2 2 3 2 7" xfId="4657" xr:uid="{00000000-0005-0000-0000-00000C050000}"/>
    <cellStyle name="20% - Accent2 2 3 2 8" xfId="4658" xr:uid="{00000000-0005-0000-0000-00000D050000}"/>
    <cellStyle name="20% - Accent2 2 3 3" xfId="210" xr:uid="{00000000-0005-0000-0000-00000E050000}"/>
    <cellStyle name="20% - Accent2 2 3 3 2" xfId="211" xr:uid="{00000000-0005-0000-0000-00000F050000}"/>
    <cellStyle name="20% - Accent2 2 3 3 2 2" xfId="212" xr:uid="{00000000-0005-0000-0000-000010050000}"/>
    <cellStyle name="20% - Accent2 2 3 3 2 2 2" xfId="53090" xr:uid="{00000000-0005-0000-0000-000011050000}"/>
    <cellStyle name="20% - Accent2 2 3 3 2 2 2 2" xfId="53091" xr:uid="{00000000-0005-0000-0000-000012050000}"/>
    <cellStyle name="20% - Accent2 2 3 3 2 2 3" xfId="53092" xr:uid="{00000000-0005-0000-0000-000013050000}"/>
    <cellStyle name="20% - Accent2 2 3 3 2 3" xfId="4659" xr:uid="{00000000-0005-0000-0000-000014050000}"/>
    <cellStyle name="20% - Accent2 2 3 3 2 3 2" xfId="53093" xr:uid="{00000000-0005-0000-0000-000015050000}"/>
    <cellStyle name="20% - Accent2 2 3 3 2 3 2 2" xfId="53094" xr:uid="{00000000-0005-0000-0000-000016050000}"/>
    <cellStyle name="20% - Accent2 2 3 3 2 3 3" xfId="53095" xr:uid="{00000000-0005-0000-0000-000017050000}"/>
    <cellStyle name="20% - Accent2 2 3 3 2 4" xfId="53096" xr:uid="{00000000-0005-0000-0000-000018050000}"/>
    <cellStyle name="20% - Accent2 2 3 3 2 4 2" xfId="53097" xr:uid="{00000000-0005-0000-0000-000019050000}"/>
    <cellStyle name="20% - Accent2 2 3 3 2 5" xfId="53098" xr:uid="{00000000-0005-0000-0000-00001A050000}"/>
    <cellStyle name="20% - Accent2 2 3 3 3" xfId="213" xr:uid="{00000000-0005-0000-0000-00001B050000}"/>
    <cellStyle name="20% - Accent2 2 3 3 3 2" xfId="53099" xr:uid="{00000000-0005-0000-0000-00001C050000}"/>
    <cellStyle name="20% - Accent2 2 3 3 3 2 2" xfId="53100" xr:uid="{00000000-0005-0000-0000-00001D050000}"/>
    <cellStyle name="20% - Accent2 2 3 3 3 3" xfId="53101" xr:uid="{00000000-0005-0000-0000-00001E050000}"/>
    <cellStyle name="20% - Accent2 2 3 3 4" xfId="4660" xr:uid="{00000000-0005-0000-0000-00001F050000}"/>
    <cellStyle name="20% - Accent2 2 3 3 4 2" xfId="53102" xr:uid="{00000000-0005-0000-0000-000020050000}"/>
    <cellStyle name="20% - Accent2 2 3 3 4 2 2" xfId="53103" xr:uid="{00000000-0005-0000-0000-000021050000}"/>
    <cellStyle name="20% - Accent2 2 3 3 4 3" xfId="53104" xr:uid="{00000000-0005-0000-0000-000022050000}"/>
    <cellStyle name="20% - Accent2 2 3 3 5" xfId="4661" xr:uid="{00000000-0005-0000-0000-000023050000}"/>
    <cellStyle name="20% - Accent2 2 3 3 5 2" xfId="53105" xr:uid="{00000000-0005-0000-0000-000024050000}"/>
    <cellStyle name="20% - Accent2 2 3 3 6" xfId="53106" xr:uid="{00000000-0005-0000-0000-000025050000}"/>
    <cellStyle name="20% - Accent2 2 3 4" xfId="214" xr:uid="{00000000-0005-0000-0000-000026050000}"/>
    <cellStyle name="20% - Accent2 2 3 4 2" xfId="215" xr:uid="{00000000-0005-0000-0000-000027050000}"/>
    <cellStyle name="20% - Accent2 2 3 4 2 2" xfId="53107" xr:uid="{00000000-0005-0000-0000-000028050000}"/>
    <cellStyle name="20% - Accent2 2 3 4 2 2 2" xfId="53108" xr:uid="{00000000-0005-0000-0000-000029050000}"/>
    <cellStyle name="20% - Accent2 2 3 4 2 3" xfId="53109" xr:uid="{00000000-0005-0000-0000-00002A050000}"/>
    <cellStyle name="20% - Accent2 2 3 4 3" xfId="4662" xr:uid="{00000000-0005-0000-0000-00002B050000}"/>
    <cellStyle name="20% - Accent2 2 3 4 3 2" xfId="53110" xr:uid="{00000000-0005-0000-0000-00002C050000}"/>
    <cellStyle name="20% - Accent2 2 3 4 3 2 2" xfId="53111" xr:uid="{00000000-0005-0000-0000-00002D050000}"/>
    <cellStyle name="20% - Accent2 2 3 4 3 3" xfId="53112" xr:uid="{00000000-0005-0000-0000-00002E050000}"/>
    <cellStyle name="20% - Accent2 2 3 4 4" xfId="4663" xr:uid="{00000000-0005-0000-0000-00002F050000}"/>
    <cellStyle name="20% - Accent2 2 3 4 4 2" xfId="53113" xr:uid="{00000000-0005-0000-0000-000030050000}"/>
    <cellStyle name="20% - Accent2 2 3 4 5" xfId="4664" xr:uid="{00000000-0005-0000-0000-000031050000}"/>
    <cellStyle name="20% - Accent2 2 3 5" xfId="216" xr:uid="{00000000-0005-0000-0000-000032050000}"/>
    <cellStyle name="20% - Accent2 2 3 5 2" xfId="4665" xr:uid="{00000000-0005-0000-0000-000033050000}"/>
    <cellStyle name="20% - Accent2 2 3 5 2 2" xfId="53114" xr:uid="{00000000-0005-0000-0000-000034050000}"/>
    <cellStyle name="20% - Accent2 2 3 5 3" xfId="4666" xr:uid="{00000000-0005-0000-0000-000035050000}"/>
    <cellStyle name="20% - Accent2 2 3 6" xfId="4667" xr:uid="{00000000-0005-0000-0000-000036050000}"/>
    <cellStyle name="20% - Accent2 2 3 6 2" xfId="53115" xr:uid="{00000000-0005-0000-0000-000037050000}"/>
    <cellStyle name="20% - Accent2 2 3 6 2 2" xfId="53116" xr:uid="{00000000-0005-0000-0000-000038050000}"/>
    <cellStyle name="20% - Accent2 2 3 6 3" xfId="53117" xr:uid="{00000000-0005-0000-0000-000039050000}"/>
    <cellStyle name="20% - Accent2 2 3 7" xfId="4668" xr:uid="{00000000-0005-0000-0000-00003A050000}"/>
    <cellStyle name="20% - Accent2 2 3 7 2" xfId="53118" xr:uid="{00000000-0005-0000-0000-00003B050000}"/>
    <cellStyle name="20% - Accent2 2 3 8" xfId="4669" xr:uid="{00000000-0005-0000-0000-00003C050000}"/>
    <cellStyle name="20% - Accent2 2 3 9" xfId="4670" xr:uid="{00000000-0005-0000-0000-00003D050000}"/>
    <cellStyle name="20% - Accent2 2 4" xfId="217" xr:uid="{00000000-0005-0000-0000-00003E050000}"/>
    <cellStyle name="20% - Accent2 2 4 2" xfId="218" xr:uid="{00000000-0005-0000-0000-00003F050000}"/>
    <cellStyle name="20% - Accent2 2 4 2 2" xfId="219" xr:uid="{00000000-0005-0000-0000-000040050000}"/>
    <cellStyle name="20% - Accent2 2 4 2 2 2" xfId="53119" xr:uid="{00000000-0005-0000-0000-000041050000}"/>
    <cellStyle name="20% - Accent2 2 4 2 2 2 2" xfId="53120" xr:uid="{00000000-0005-0000-0000-000042050000}"/>
    <cellStyle name="20% - Accent2 2 4 2 2 3" xfId="53121" xr:uid="{00000000-0005-0000-0000-000043050000}"/>
    <cellStyle name="20% - Accent2 2 4 2 3" xfId="220" xr:uid="{00000000-0005-0000-0000-000044050000}"/>
    <cellStyle name="20% - Accent2 2 4 2 3 2" xfId="53122" xr:uid="{00000000-0005-0000-0000-000045050000}"/>
    <cellStyle name="20% - Accent2 2 4 2 3 2 2" xfId="53123" xr:uid="{00000000-0005-0000-0000-000046050000}"/>
    <cellStyle name="20% - Accent2 2 4 2 3 3" xfId="53124" xr:uid="{00000000-0005-0000-0000-000047050000}"/>
    <cellStyle name="20% - Accent2 2 4 2 4" xfId="4671" xr:uid="{00000000-0005-0000-0000-000048050000}"/>
    <cellStyle name="20% - Accent2 2 4 2 4 2" xfId="53125" xr:uid="{00000000-0005-0000-0000-000049050000}"/>
    <cellStyle name="20% - Accent2 2 4 2 5" xfId="4672" xr:uid="{00000000-0005-0000-0000-00004A050000}"/>
    <cellStyle name="20% - Accent2 2 4 3" xfId="221" xr:uid="{00000000-0005-0000-0000-00004B050000}"/>
    <cellStyle name="20% - Accent2 2 4 3 2" xfId="4673" xr:uid="{00000000-0005-0000-0000-00004C050000}"/>
    <cellStyle name="20% - Accent2 2 4 3 2 2" xfId="53126" xr:uid="{00000000-0005-0000-0000-00004D050000}"/>
    <cellStyle name="20% - Accent2 2 4 3 3" xfId="4674" xr:uid="{00000000-0005-0000-0000-00004E050000}"/>
    <cellStyle name="20% - Accent2 2 4 4" xfId="222" xr:uid="{00000000-0005-0000-0000-00004F050000}"/>
    <cellStyle name="20% - Accent2 2 4 4 2" xfId="53127" xr:uid="{00000000-0005-0000-0000-000050050000}"/>
    <cellStyle name="20% - Accent2 2 4 4 2 2" xfId="53128" xr:uid="{00000000-0005-0000-0000-000051050000}"/>
    <cellStyle name="20% - Accent2 2 4 4 3" xfId="53129" xr:uid="{00000000-0005-0000-0000-000052050000}"/>
    <cellStyle name="20% - Accent2 2 4 5" xfId="4675" xr:uid="{00000000-0005-0000-0000-000053050000}"/>
    <cellStyle name="20% - Accent2 2 4 5 2" xfId="53130" xr:uid="{00000000-0005-0000-0000-000054050000}"/>
    <cellStyle name="20% - Accent2 2 4 6" xfId="4676" xr:uid="{00000000-0005-0000-0000-000055050000}"/>
    <cellStyle name="20% - Accent2 2 4 7" xfId="4677" xr:uid="{00000000-0005-0000-0000-000056050000}"/>
    <cellStyle name="20% - Accent2 2 4 8" xfId="4678" xr:uid="{00000000-0005-0000-0000-000057050000}"/>
    <cellStyle name="20% - Accent2 2 5" xfId="223" xr:uid="{00000000-0005-0000-0000-000058050000}"/>
    <cellStyle name="20% - Accent2 2 5 2" xfId="224" xr:uid="{00000000-0005-0000-0000-000059050000}"/>
    <cellStyle name="20% - Accent2 2 5 2 2" xfId="225" xr:uid="{00000000-0005-0000-0000-00005A050000}"/>
    <cellStyle name="20% - Accent2 2 5 2 2 2" xfId="53131" xr:uid="{00000000-0005-0000-0000-00005B050000}"/>
    <cellStyle name="20% - Accent2 2 5 2 2 2 2" xfId="53132" xr:uid="{00000000-0005-0000-0000-00005C050000}"/>
    <cellStyle name="20% - Accent2 2 5 2 2 3" xfId="53133" xr:uid="{00000000-0005-0000-0000-00005D050000}"/>
    <cellStyle name="20% - Accent2 2 5 2 3" xfId="4679" xr:uid="{00000000-0005-0000-0000-00005E050000}"/>
    <cellStyle name="20% - Accent2 2 5 2 3 2" xfId="53134" xr:uid="{00000000-0005-0000-0000-00005F050000}"/>
    <cellStyle name="20% - Accent2 2 5 2 3 2 2" xfId="53135" xr:uid="{00000000-0005-0000-0000-000060050000}"/>
    <cellStyle name="20% - Accent2 2 5 2 3 3" xfId="53136" xr:uid="{00000000-0005-0000-0000-000061050000}"/>
    <cellStyle name="20% - Accent2 2 5 2 4" xfId="53137" xr:uid="{00000000-0005-0000-0000-000062050000}"/>
    <cellStyle name="20% - Accent2 2 5 2 4 2" xfId="53138" xr:uid="{00000000-0005-0000-0000-000063050000}"/>
    <cellStyle name="20% - Accent2 2 5 2 5" xfId="53139" xr:uid="{00000000-0005-0000-0000-000064050000}"/>
    <cellStyle name="20% - Accent2 2 5 3" xfId="226" xr:uid="{00000000-0005-0000-0000-000065050000}"/>
    <cellStyle name="20% - Accent2 2 5 3 2" xfId="53140" xr:uid="{00000000-0005-0000-0000-000066050000}"/>
    <cellStyle name="20% - Accent2 2 5 3 2 2" xfId="53141" xr:uid="{00000000-0005-0000-0000-000067050000}"/>
    <cellStyle name="20% - Accent2 2 5 3 3" xfId="53142" xr:uid="{00000000-0005-0000-0000-000068050000}"/>
    <cellStyle name="20% - Accent2 2 5 4" xfId="4680" xr:uid="{00000000-0005-0000-0000-000069050000}"/>
    <cellStyle name="20% - Accent2 2 5 4 2" xfId="53143" xr:uid="{00000000-0005-0000-0000-00006A050000}"/>
    <cellStyle name="20% - Accent2 2 5 4 2 2" xfId="53144" xr:uid="{00000000-0005-0000-0000-00006B050000}"/>
    <cellStyle name="20% - Accent2 2 5 4 3" xfId="53145" xr:uid="{00000000-0005-0000-0000-00006C050000}"/>
    <cellStyle name="20% - Accent2 2 5 5" xfId="4681" xr:uid="{00000000-0005-0000-0000-00006D050000}"/>
    <cellStyle name="20% - Accent2 2 5 5 2" xfId="53146" xr:uid="{00000000-0005-0000-0000-00006E050000}"/>
    <cellStyle name="20% - Accent2 2 5 6" xfId="53147" xr:uid="{00000000-0005-0000-0000-00006F050000}"/>
    <cellStyle name="20% - Accent2 2 6" xfId="227" xr:uid="{00000000-0005-0000-0000-000070050000}"/>
    <cellStyle name="20% - Accent2 2 6 2" xfId="228" xr:uid="{00000000-0005-0000-0000-000071050000}"/>
    <cellStyle name="20% - Accent2 2 6 2 2" xfId="53148" xr:uid="{00000000-0005-0000-0000-000072050000}"/>
    <cellStyle name="20% - Accent2 2 6 2 2 2" xfId="53149" xr:uid="{00000000-0005-0000-0000-000073050000}"/>
    <cellStyle name="20% - Accent2 2 6 2 3" xfId="53150" xr:uid="{00000000-0005-0000-0000-000074050000}"/>
    <cellStyle name="20% - Accent2 2 6 3" xfId="4682" xr:uid="{00000000-0005-0000-0000-000075050000}"/>
    <cellStyle name="20% - Accent2 2 6 3 2" xfId="53151" xr:uid="{00000000-0005-0000-0000-000076050000}"/>
    <cellStyle name="20% - Accent2 2 6 3 2 2" xfId="53152" xr:uid="{00000000-0005-0000-0000-000077050000}"/>
    <cellStyle name="20% - Accent2 2 6 3 3" xfId="53153" xr:uid="{00000000-0005-0000-0000-000078050000}"/>
    <cellStyle name="20% - Accent2 2 6 4" xfId="4683" xr:uid="{00000000-0005-0000-0000-000079050000}"/>
    <cellStyle name="20% - Accent2 2 6 4 2" xfId="53154" xr:uid="{00000000-0005-0000-0000-00007A050000}"/>
    <cellStyle name="20% - Accent2 2 6 5" xfId="4684" xr:uid="{00000000-0005-0000-0000-00007B050000}"/>
    <cellStyle name="20% - Accent2 2 7" xfId="229" xr:uid="{00000000-0005-0000-0000-00007C050000}"/>
    <cellStyle name="20% - Accent2 2 7 2" xfId="4685" xr:uid="{00000000-0005-0000-0000-00007D050000}"/>
    <cellStyle name="20% - Accent2 2 7 2 2" xfId="53155" xr:uid="{00000000-0005-0000-0000-00007E050000}"/>
    <cellStyle name="20% - Accent2 2 7 3" xfId="4686" xr:uid="{00000000-0005-0000-0000-00007F050000}"/>
    <cellStyle name="20% - Accent2 2 8" xfId="4687" xr:uid="{00000000-0005-0000-0000-000080050000}"/>
    <cellStyle name="20% - Accent2 2 8 2" xfId="53156" xr:uid="{00000000-0005-0000-0000-000081050000}"/>
    <cellStyle name="20% - Accent2 2 8 2 2" xfId="53157" xr:uid="{00000000-0005-0000-0000-000082050000}"/>
    <cellStyle name="20% - Accent2 2 8 3" xfId="53158" xr:uid="{00000000-0005-0000-0000-000083050000}"/>
    <cellStyle name="20% - Accent2 2 9" xfId="4688" xr:uid="{00000000-0005-0000-0000-000084050000}"/>
    <cellStyle name="20% - Accent2 2 9 2" xfId="53159" xr:uid="{00000000-0005-0000-0000-000085050000}"/>
    <cellStyle name="20% - Accent2 20" xfId="230" xr:uid="{00000000-0005-0000-0000-000086050000}"/>
    <cellStyle name="20% - Accent2 20 2" xfId="231" xr:uid="{00000000-0005-0000-0000-000087050000}"/>
    <cellStyle name="20% - Accent2 21" xfId="232" xr:uid="{00000000-0005-0000-0000-000088050000}"/>
    <cellStyle name="20% - Accent2 21 2" xfId="233" xr:uid="{00000000-0005-0000-0000-000089050000}"/>
    <cellStyle name="20% - Accent2 22" xfId="234" xr:uid="{00000000-0005-0000-0000-00008A050000}"/>
    <cellStyle name="20% - Accent2 22 2" xfId="235" xr:uid="{00000000-0005-0000-0000-00008B050000}"/>
    <cellStyle name="20% - Accent2 23" xfId="236" xr:uid="{00000000-0005-0000-0000-00008C050000}"/>
    <cellStyle name="20% - Accent2 23 2" xfId="237" xr:uid="{00000000-0005-0000-0000-00008D050000}"/>
    <cellStyle name="20% - Accent2 24" xfId="238" xr:uid="{00000000-0005-0000-0000-00008E050000}"/>
    <cellStyle name="20% - Accent2 24 2" xfId="239" xr:uid="{00000000-0005-0000-0000-00008F050000}"/>
    <cellStyle name="20% - Accent2 25" xfId="240" xr:uid="{00000000-0005-0000-0000-000090050000}"/>
    <cellStyle name="20% - Accent2 25 2" xfId="241" xr:uid="{00000000-0005-0000-0000-000091050000}"/>
    <cellStyle name="20% - Accent2 26" xfId="242" xr:uid="{00000000-0005-0000-0000-000092050000}"/>
    <cellStyle name="20% - Accent2 26 2" xfId="243" xr:uid="{00000000-0005-0000-0000-000093050000}"/>
    <cellStyle name="20% - Accent2 27" xfId="244" xr:uid="{00000000-0005-0000-0000-000094050000}"/>
    <cellStyle name="20% - Accent2 27 2" xfId="245" xr:uid="{00000000-0005-0000-0000-000095050000}"/>
    <cellStyle name="20% - Accent2 28" xfId="246" xr:uid="{00000000-0005-0000-0000-000096050000}"/>
    <cellStyle name="20% - Accent2 28 2" xfId="247" xr:uid="{00000000-0005-0000-0000-000097050000}"/>
    <cellStyle name="20% - Accent2 29" xfId="248" xr:uid="{00000000-0005-0000-0000-000098050000}"/>
    <cellStyle name="20% - Accent2 29 2" xfId="249" xr:uid="{00000000-0005-0000-0000-000099050000}"/>
    <cellStyle name="20% - Accent2 3" xfId="250" xr:uid="{00000000-0005-0000-0000-00009A050000}"/>
    <cellStyle name="20% - Accent2 3 10" xfId="4689" xr:uid="{00000000-0005-0000-0000-00009B050000}"/>
    <cellStyle name="20% - Accent2 3 10 2" xfId="4690" xr:uid="{00000000-0005-0000-0000-00009C050000}"/>
    <cellStyle name="20% - Accent2 3 10 3" xfId="4691" xr:uid="{00000000-0005-0000-0000-00009D050000}"/>
    <cellStyle name="20% - Accent2 3 11" xfId="4692" xr:uid="{00000000-0005-0000-0000-00009E050000}"/>
    <cellStyle name="20% - Accent2 3 11 2" xfId="4693" xr:uid="{00000000-0005-0000-0000-00009F050000}"/>
    <cellStyle name="20% - Accent2 3 12" xfId="4694" xr:uid="{00000000-0005-0000-0000-0000A0050000}"/>
    <cellStyle name="20% - Accent2 3 13" xfId="4695" xr:uid="{00000000-0005-0000-0000-0000A1050000}"/>
    <cellStyle name="20% - Accent2 3 14" xfId="4696" xr:uid="{00000000-0005-0000-0000-0000A2050000}"/>
    <cellStyle name="20% - Accent2 3 15" xfId="4697" xr:uid="{00000000-0005-0000-0000-0000A3050000}"/>
    <cellStyle name="20% - Accent2 3 16" xfId="4698" xr:uid="{00000000-0005-0000-0000-0000A4050000}"/>
    <cellStyle name="20% - Accent2 3 2" xfId="251" xr:uid="{00000000-0005-0000-0000-0000A5050000}"/>
    <cellStyle name="20% - Accent2 3 2 10" xfId="4699" xr:uid="{00000000-0005-0000-0000-0000A6050000}"/>
    <cellStyle name="20% - Accent2 3 2 11" xfId="4700" xr:uid="{00000000-0005-0000-0000-0000A7050000}"/>
    <cellStyle name="20% - Accent2 3 2 12" xfId="4701" xr:uid="{00000000-0005-0000-0000-0000A8050000}"/>
    <cellStyle name="20% - Accent2 3 2 13" xfId="4702" xr:uid="{00000000-0005-0000-0000-0000A9050000}"/>
    <cellStyle name="20% - Accent2 3 2 2" xfId="252" xr:uid="{00000000-0005-0000-0000-0000AA050000}"/>
    <cellStyle name="20% - Accent2 3 2 2 10" xfId="4703" xr:uid="{00000000-0005-0000-0000-0000AB050000}"/>
    <cellStyle name="20% - Accent2 3 2 2 11" xfId="4704" xr:uid="{00000000-0005-0000-0000-0000AC050000}"/>
    <cellStyle name="20% - Accent2 3 2 2 12" xfId="4705" xr:uid="{00000000-0005-0000-0000-0000AD050000}"/>
    <cellStyle name="20% - Accent2 3 2 2 2" xfId="4706" xr:uid="{00000000-0005-0000-0000-0000AE050000}"/>
    <cellStyle name="20% - Accent2 3 2 2 2 2" xfId="4707" xr:uid="{00000000-0005-0000-0000-0000AF050000}"/>
    <cellStyle name="20% - Accent2 3 2 2 2 2 2" xfId="4708" xr:uid="{00000000-0005-0000-0000-0000B0050000}"/>
    <cellStyle name="20% - Accent2 3 2 2 2 2 3" xfId="4709" xr:uid="{00000000-0005-0000-0000-0000B1050000}"/>
    <cellStyle name="20% - Accent2 3 2 2 2 3" xfId="4710" xr:uid="{00000000-0005-0000-0000-0000B2050000}"/>
    <cellStyle name="20% - Accent2 3 2 2 2 3 2" xfId="4711" xr:uid="{00000000-0005-0000-0000-0000B3050000}"/>
    <cellStyle name="20% - Accent2 3 2 2 2 3 3" xfId="4712" xr:uid="{00000000-0005-0000-0000-0000B4050000}"/>
    <cellStyle name="20% - Accent2 3 2 2 2 4" xfId="4713" xr:uid="{00000000-0005-0000-0000-0000B5050000}"/>
    <cellStyle name="20% - Accent2 3 2 2 2 5" xfId="4714" xr:uid="{00000000-0005-0000-0000-0000B6050000}"/>
    <cellStyle name="20% - Accent2 3 2 2 2 6" xfId="4715" xr:uid="{00000000-0005-0000-0000-0000B7050000}"/>
    <cellStyle name="20% - Accent2 3 2 2 2 7" xfId="4716" xr:uid="{00000000-0005-0000-0000-0000B8050000}"/>
    <cellStyle name="20% - Accent2 3 2 2 3" xfId="4717" xr:uid="{00000000-0005-0000-0000-0000B9050000}"/>
    <cellStyle name="20% - Accent2 3 2 2 3 2" xfId="4718" xr:uid="{00000000-0005-0000-0000-0000BA050000}"/>
    <cellStyle name="20% - Accent2 3 2 2 3 3" xfId="4719" xr:uid="{00000000-0005-0000-0000-0000BB050000}"/>
    <cellStyle name="20% - Accent2 3 2 2 4" xfId="4720" xr:uid="{00000000-0005-0000-0000-0000BC050000}"/>
    <cellStyle name="20% - Accent2 3 2 2 4 2" xfId="4721" xr:uid="{00000000-0005-0000-0000-0000BD050000}"/>
    <cellStyle name="20% - Accent2 3 2 2 4 3" xfId="4722" xr:uid="{00000000-0005-0000-0000-0000BE050000}"/>
    <cellStyle name="20% - Accent2 3 2 2 5" xfId="4723" xr:uid="{00000000-0005-0000-0000-0000BF050000}"/>
    <cellStyle name="20% - Accent2 3 2 2 6" xfId="4724" xr:uid="{00000000-0005-0000-0000-0000C0050000}"/>
    <cellStyle name="20% - Accent2 3 2 2 7" xfId="4725" xr:uid="{00000000-0005-0000-0000-0000C1050000}"/>
    <cellStyle name="20% - Accent2 3 2 2 8" xfId="4726" xr:uid="{00000000-0005-0000-0000-0000C2050000}"/>
    <cellStyle name="20% - Accent2 3 2 2 9" xfId="4727" xr:uid="{00000000-0005-0000-0000-0000C3050000}"/>
    <cellStyle name="20% - Accent2 3 2 3" xfId="4728" xr:uid="{00000000-0005-0000-0000-0000C4050000}"/>
    <cellStyle name="20% - Accent2 3 2 3 2" xfId="4729" xr:uid="{00000000-0005-0000-0000-0000C5050000}"/>
    <cellStyle name="20% - Accent2 3 2 3 2 2" xfId="4730" xr:uid="{00000000-0005-0000-0000-0000C6050000}"/>
    <cellStyle name="20% - Accent2 3 2 3 2 3" xfId="4731" xr:uid="{00000000-0005-0000-0000-0000C7050000}"/>
    <cellStyle name="20% - Accent2 3 2 3 3" xfId="4732" xr:uid="{00000000-0005-0000-0000-0000C8050000}"/>
    <cellStyle name="20% - Accent2 3 2 3 3 2" xfId="4733" xr:uid="{00000000-0005-0000-0000-0000C9050000}"/>
    <cellStyle name="20% - Accent2 3 2 3 3 3" xfId="4734" xr:uid="{00000000-0005-0000-0000-0000CA050000}"/>
    <cellStyle name="20% - Accent2 3 2 3 4" xfId="4735" xr:uid="{00000000-0005-0000-0000-0000CB050000}"/>
    <cellStyle name="20% - Accent2 3 2 3 5" xfId="4736" xr:uid="{00000000-0005-0000-0000-0000CC050000}"/>
    <cellStyle name="20% - Accent2 3 2 3 6" xfId="4737" xr:uid="{00000000-0005-0000-0000-0000CD050000}"/>
    <cellStyle name="20% - Accent2 3 2 3 7" xfId="4738" xr:uid="{00000000-0005-0000-0000-0000CE050000}"/>
    <cellStyle name="20% - Accent2 3 2 3 8" xfId="4739" xr:uid="{00000000-0005-0000-0000-0000CF050000}"/>
    <cellStyle name="20% - Accent2 3 2 4" xfId="4740" xr:uid="{00000000-0005-0000-0000-0000D0050000}"/>
    <cellStyle name="20% - Accent2 3 2 4 2" xfId="4741" xr:uid="{00000000-0005-0000-0000-0000D1050000}"/>
    <cellStyle name="20% - Accent2 3 2 4 3" xfId="4742" xr:uid="{00000000-0005-0000-0000-0000D2050000}"/>
    <cellStyle name="20% - Accent2 3 2 4 4" xfId="4743" xr:uid="{00000000-0005-0000-0000-0000D3050000}"/>
    <cellStyle name="20% - Accent2 3 2 4 5" xfId="4744" xr:uid="{00000000-0005-0000-0000-0000D4050000}"/>
    <cellStyle name="20% - Accent2 3 2 5" xfId="4745" xr:uid="{00000000-0005-0000-0000-0000D5050000}"/>
    <cellStyle name="20% - Accent2 3 2 5 2" xfId="4746" xr:uid="{00000000-0005-0000-0000-0000D6050000}"/>
    <cellStyle name="20% - Accent2 3 2 5 3" xfId="4747" xr:uid="{00000000-0005-0000-0000-0000D7050000}"/>
    <cellStyle name="20% - Accent2 3 2 5 4" xfId="4748" xr:uid="{00000000-0005-0000-0000-0000D8050000}"/>
    <cellStyle name="20% - Accent2 3 2 5 5" xfId="4749" xr:uid="{00000000-0005-0000-0000-0000D9050000}"/>
    <cellStyle name="20% - Accent2 3 2 6" xfId="4750" xr:uid="{00000000-0005-0000-0000-0000DA050000}"/>
    <cellStyle name="20% - Accent2 3 2 7" xfId="4751" xr:uid="{00000000-0005-0000-0000-0000DB050000}"/>
    <cellStyle name="20% - Accent2 3 2 8" xfId="4752" xr:uid="{00000000-0005-0000-0000-0000DC050000}"/>
    <cellStyle name="20% - Accent2 3 2 9" xfId="4753" xr:uid="{00000000-0005-0000-0000-0000DD050000}"/>
    <cellStyle name="20% - Accent2 3 3" xfId="253" xr:uid="{00000000-0005-0000-0000-0000DE050000}"/>
    <cellStyle name="20% - Accent2 3 3 10" xfId="4754" xr:uid="{00000000-0005-0000-0000-0000DF050000}"/>
    <cellStyle name="20% - Accent2 3 3 11" xfId="4755" xr:uid="{00000000-0005-0000-0000-0000E0050000}"/>
    <cellStyle name="20% - Accent2 3 3 12" xfId="4756" xr:uid="{00000000-0005-0000-0000-0000E1050000}"/>
    <cellStyle name="20% - Accent2 3 3 2" xfId="4757" xr:uid="{00000000-0005-0000-0000-0000E2050000}"/>
    <cellStyle name="20% - Accent2 3 3 2 2" xfId="4758" xr:uid="{00000000-0005-0000-0000-0000E3050000}"/>
    <cellStyle name="20% - Accent2 3 3 2 2 2" xfId="4759" xr:uid="{00000000-0005-0000-0000-0000E4050000}"/>
    <cellStyle name="20% - Accent2 3 3 2 2 3" xfId="4760" xr:uid="{00000000-0005-0000-0000-0000E5050000}"/>
    <cellStyle name="20% - Accent2 3 3 2 3" xfId="4761" xr:uid="{00000000-0005-0000-0000-0000E6050000}"/>
    <cellStyle name="20% - Accent2 3 3 2 3 2" xfId="4762" xr:uid="{00000000-0005-0000-0000-0000E7050000}"/>
    <cellStyle name="20% - Accent2 3 3 2 3 3" xfId="4763" xr:uid="{00000000-0005-0000-0000-0000E8050000}"/>
    <cellStyle name="20% - Accent2 3 3 2 4" xfId="4764" xr:uid="{00000000-0005-0000-0000-0000E9050000}"/>
    <cellStyle name="20% - Accent2 3 3 2 5" xfId="4765" xr:uid="{00000000-0005-0000-0000-0000EA050000}"/>
    <cellStyle name="20% - Accent2 3 3 2 6" xfId="4766" xr:uid="{00000000-0005-0000-0000-0000EB050000}"/>
    <cellStyle name="20% - Accent2 3 3 2 7" xfId="4767" xr:uid="{00000000-0005-0000-0000-0000EC050000}"/>
    <cellStyle name="20% - Accent2 3 3 2 8" xfId="4768" xr:uid="{00000000-0005-0000-0000-0000ED050000}"/>
    <cellStyle name="20% - Accent2 3 3 2 9" xfId="4769" xr:uid="{00000000-0005-0000-0000-0000EE050000}"/>
    <cellStyle name="20% - Accent2 3 3 3" xfId="4770" xr:uid="{00000000-0005-0000-0000-0000EF050000}"/>
    <cellStyle name="20% - Accent2 3 3 3 2" xfId="4771" xr:uid="{00000000-0005-0000-0000-0000F0050000}"/>
    <cellStyle name="20% - Accent2 3 3 3 3" xfId="4772" xr:uid="{00000000-0005-0000-0000-0000F1050000}"/>
    <cellStyle name="20% - Accent2 3 3 3 4" xfId="4773" xr:uid="{00000000-0005-0000-0000-0000F2050000}"/>
    <cellStyle name="20% - Accent2 3 3 3 5" xfId="4774" xr:uid="{00000000-0005-0000-0000-0000F3050000}"/>
    <cellStyle name="20% - Accent2 3 3 4" xfId="4775" xr:uid="{00000000-0005-0000-0000-0000F4050000}"/>
    <cellStyle name="20% - Accent2 3 3 4 2" xfId="4776" xr:uid="{00000000-0005-0000-0000-0000F5050000}"/>
    <cellStyle name="20% - Accent2 3 3 4 3" xfId="4777" xr:uid="{00000000-0005-0000-0000-0000F6050000}"/>
    <cellStyle name="20% - Accent2 3 3 4 4" xfId="4778" xr:uid="{00000000-0005-0000-0000-0000F7050000}"/>
    <cellStyle name="20% - Accent2 3 3 4 5" xfId="4779" xr:uid="{00000000-0005-0000-0000-0000F8050000}"/>
    <cellStyle name="20% - Accent2 3 3 5" xfId="4780" xr:uid="{00000000-0005-0000-0000-0000F9050000}"/>
    <cellStyle name="20% - Accent2 3 3 5 2" xfId="4781" xr:uid="{00000000-0005-0000-0000-0000FA050000}"/>
    <cellStyle name="20% - Accent2 3 3 5 3" xfId="4782" xr:uid="{00000000-0005-0000-0000-0000FB050000}"/>
    <cellStyle name="20% - Accent2 3 3 6" xfId="4783" xr:uid="{00000000-0005-0000-0000-0000FC050000}"/>
    <cellStyle name="20% - Accent2 3 3 7" xfId="4784" xr:uid="{00000000-0005-0000-0000-0000FD050000}"/>
    <cellStyle name="20% - Accent2 3 3 8" xfId="4785" xr:uid="{00000000-0005-0000-0000-0000FE050000}"/>
    <cellStyle name="20% - Accent2 3 3 9" xfId="4786" xr:uid="{00000000-0005-0000-0000-0000FF050000}"/>
    <cellStyle name="20% - Accent2 3 4" xfId="4787" xr:uid="{00000000-0005-0000-0000-000000060000}"/>
    <cellStyle name="20% - Accent2 3 4 2" xfId="4788" xr:uid="{00000000-0005-0000-0000-000001060000}"/>
    <cellStyle name="20% - Accent2 3 4 2 2" xfId="4789" xr:uid="{00000000-0005-0000-0000-000002060000}"/>
    <cellStyle name="20% - Accent2 3 4 2 3" xfId="4790" xr:uid="{00000000-0005-0000-0000-000003060000}"/>
    <cellStyle name="20% - Accent2 3 4 2 4" xfId="4791" xr:uid="{00000000-0005-0000-0000-000004060000}"/>
    <cellStyle name="20% - Accent2 3 4 2 5" xfId="4792" xr:uid="{00000000-0005-0000-0000-000005060000}"/>
    <cellStyle name="20% - Accent2 3 4 2 6" xfId="4793" xr:uid="{00000000-0005-0000-0000-000006060000}"/>
    <cellStyle name="20% - Accent2 3 4 3" xfId="4794" xr:uid="{00000000-0005-0000-0000-000007060000}"/>
    <cellStyle name="20% - Accent2 3 4 3 2" xfId="4795" xr:uid="{00000000-0005-0000-0000-000008060000}"/>
    <cellStyle name="20% - Accent2 3 4 3 3" xfId="4796" xr:uid="{00000000-0005-0000-0000-000009060000}"/>
    <cellStyle name="20% - Accent2 3 4 3 4" xfId="4797" xr:uid="{00000000-0005-0000-0000-00000A060000}"/>
    <cellStyle name="20% - Accent2 3 4 3 5" xfId="4798" xr:uid="{00000000-0005-0000-0000-00000B060000}"/>
    <cellStyle name="20% - Accent2 3 4 4" xfId="4799" xr:uid="{00000000-0005-0000-0000-00000C060000}"/>
    <cellStyle name="20% - Accent2 3 4 4 2" xfId="4800" xr:uid="{00000000-0005-0000-0000-00000D060000}"/>
    <cellStyle name="20% - Accent2 3 4 4 3" xfId="4801" xr:uid="{00000000-0005-0000-0000-00000E060000}"/>
    <cellStyle name="20% - Accent2 3 4 5" xfId="4802" xr:uid="{00000000-0005-0000-0000-00000F060000}"/>
    <cellStyle name="20% - Accent2 3 4 5 2" xfId="4803" xr:uid="{00000000-0005-0000-0000-000010060000}"/>
    <cellStyle name="20% - Accent2 3 4 5 3" xfId="4804" xr:uid="{00000000-0005-0000-0000-000011060000}"/>
    <cellStyle name="20% - Accent2 3 4 6" xfId="4805" xr:uid="{00000000-0005-0000-0000-000012060000}"/>
    <cellStyle name="20% - Accent2 3 4 7" xfId="4806" xr:uid="{00000000-0005-0000-0000-000013060000}"/>
    <cellStyle name="20% - Accent2 3 4 8" xfId="4807" xr:uid="{00000000-0005-0000-0000-000014060000}"/>
    <cellStyle name="20% - Accent2 3 4 9" xfId="4808" xr:uid="{00000000-0005-0000-0000-000015060000}"/>
    <cellStyle name="20% - Accent2 3 5" xfId="4809" xr:uid="{00000000-0005-0000-0000-000016060000}"/>
    <cellStyle name="20% - Accent2 3 5 2" xfId="4810" xr:uid="{00000000-0005-0000-0000-000017060000}"/>
    <cellStyle name="20% - Accent2 3 5 2 2" xfId="4811" xr:uid="{00000000-0005-0000-0000-000018060000}"/>
    <cellStyle name="20% - Accent2 3 5 2 3" xfId="4812" xr:uid="{00000000-0005-0000-0000-000019060000}"/>
    <cellStyle name="20% - Accent2 3 5 2 4" xfId="4813" xr:uid="{00000000-0005-0000-0000-00001A060000}"/>
    <cellStyle name="20% - Accent2 3 5 3" xfId="4814" xr:uid="{00000000-0005-0000-0000-00001B060000}"/>
    <cellStyle name="20% - Accent2 3 5 3 2" xfId="4815" xr:uid="{00000000-0005-0000-0000-00001C060000}"/>
    <cellStyle name="20% - Accent2 3 5 3 3" xfId="4816" xr:uid="{00000000-0005-0000-0000-00001D060000}"/>
    <cellStyle name="20% - Accent2 3 5 4" xfId="4817" xr:uid="{00000000-0005-0000-0000-00001E060000}"/>
    <cellStyle name="20% - Accent2 3 5 4 2" xfId="4818" xr:uid="{00000000-0005-0000-0000-00001F060000}"/>
    <cellStyle name="20% - Accent2 3 5 5" xfId="4819" xr:uid="{00000000-0005-0000-0000-000020060000}"/>
    <cellStyle name="20% - Accent2 3 5 5 2" xfId="4820" xr:uid="{00000000-0005-0000-0000-000021060000}"/>
    <cellStyle name="20% - Accent2 3 5 6" xfId="4821" xr:uid="{00000000-0005-0000-0000-000022060000}"/>
    <cellStyle name="20% - Accent2 3 5 7" xfId="4822" xr:uid="{00000000-0005-0000-0000-000023060000}"/>
    <cellStyle name="20% - Accent2 3 5 8" xfId="4823" xr:uid="{00000000-0005-0000-0000-000024060000}"/>
    <cellStyle name="20% - Accent2 3 6" xfId="4824" xr:uid="{00000000-0005-0000-0000-000025060000}"/>
    <cellStyle name="20% - Accent2 3 6 2" xfId="4825" xr:uid="{00000000-0005-0000-0000-000026060000}"/>
    <cellStyle name="20% - Accent2 3 6 2 2" xfId="4826" xr:uid="{00000000-0005-0000-0000-000027060000}"/>
    <cellStyle name="20% - Accent2 3 6 2 3" xfId="4827" xr:uid="{00000000-0005-0000-0000-000028060000}"/>
    <cellStyle name="20% - Accent2 3 6 2 4" xfId="4828" xr:uid="{00000000-0005-0000-0000-000029060000}"/>
    <cellStyle name="20% - Accent2 3 6 3" xfId="4829" xr:uid="{00000000-0005-0000-0000-00002A060000}"/>
    <cellStyle name="20% - Accent2 3 6 3 2" xfId="4830" xr:uid="{00000000-0005-0000-0000-00002B060000}"/>
    <cellStyle name="20% - Accent2 3 6 3 3" xfId="4831" xr:uid="{00000000-0005-0000-0000-00002C060000}"/>
    <cellStyle name="20% - Accent2 3 6 4" xfId="4832" xr:uid="{00000000-0005-0000-0000-00002D060000}"/>
    <cellStyle name="20% - Accent2 3 6 4 2" xfId="4833" xr:uid="{00000000-0005-0000-0000-00002E060000}"/>
    <cellStyle name="20% - Accent2 3 6 5" xfId="4834" xr:uid="{00000000-0005-0000-0000-00002F060000}"/>
    <cellStyle name="20% - Accent2 3 6 5 2" xfId="4835" xr:uid="{00000000-0005-0000-0000-000030060000}"/>
    <cellStyle name="20% - Accent2 3 6 6" xfId="4836" xr:uid="{00000000-0005-0000-0000-000031060000}"/>
    <cellStyle name="20% - Accent2 3 6 7" xfId="4837" xr:uid="{00000000-0005-0000-0000-000032060000}"/>
    <cellStyle name="20% - Accent2 3 6 8" xfId="4838" xr:uid="{00000000-0005-0000-0000-000033060000}"/>
    <cellStyle name="20% - Accent2 3 7" xfId="4839" xr:uid="{00000000-0005-0000-0000-000034060000}"/>
    <cellStyle name="20% - Accent2 3 7 2" xfId="4840" xr:uid="{00000000-0005-0000-0000-000035060000}"/>
    <cellStyle name="20% - Accent2 3 7 2 2" xfId="4841" xr:uid="{00000000-0005-0000-0000-000036060000}"/>
    <cellStyle name="20% - Accent2 3 7 2 3" xfId="4842" xr:uid="{00000000-0005-0000-0000-000037060000}"/>
    <cellStyle name="20% - Accent2 3 7 3" xfId="4843" xr:uid="{00000000-0005-0000-0000-000038060000}"/>
    <cellStyle name="20% - Accent2 3 7 3 2" xfId="4844" xr:uid="{00000000-0005-0000-0000-000039060000}"/>
    <cellStyle name="20% - Accent2 3 7 4" xfId="4845" xr:uid="{00000000-0005-0000-0000-00003A060000}"/>
    <cellStyle name="20% - Accent2 3 7 4 2" xfId="4846" xr:uid="{00000000-0005-0000-0000-00003B060000}"/>
    <cellStyle name="20% - Accent2 3 7 5" xfId="4847" xr:uid="{00000000-0005-0000-0000-00003C060000}"/>
    <cellStyle name="20% - Accent2 3 7 5 2" xfId="4848" xr:uid="{00000000-0005-0000-0000-00003D060000}"/>
    <cellStyle name="20% - Accent2 3 7 6" xfId="4849" xr:uid="{00000000-0005-0000-0000-00003E060000}"/>
    <cellStyle name="20% - Accent2 3 7 7" xfId="4850" xr:uid="{00000000-0005-0000-0000-00003F060000}"/>
    <cellStyle name="20% - Accent2 3 7 8" xfId="4851" xr:uid="{00000000-0005-0000-0000-000040060000}"/>
    <cellStyle name="20% - Accent2 3 8" xfId="4852" xr:uid="{00000000-0005-0000-0000-000041060000}"/>
    <cellStyle name="20% - Accent2 3 8 2" xfId="4853" xr:uid="{00000000-0005-0000-0000-000042060000}"/>
    <cellStyle name="20% - Accent2 3 8 3" xfId="4854" xr:uid="{00000000-0005-0000-0000-000043060000}"/>
    <cellStyle name="20% - Accent2 3 8 4" xfId="4855" xr:uid="{00000000-0005-0000-0000-000044060000}"/>
    <cellStyle name="20% - Accent2 3 9" xfId="4856" xr:uid="{00000000-0005-0000-0000-000045060000}"/>
    <cellStyle name="20% - Accent2 3 9 2" xfId="4857" xr:uid="{00000000-0005-0000-0000-000046060000}"/>
    <cellStyle name="20% - Accent2 3 9 3" xfId="4858" xr:uid="{00000000-0005-0000-0000-000047060000}"/>
    <cellStyle name="20% - Accent2 30" xfId="254" xr:uid="{00000000-0005-0000-0000-000048060000}"/>
    <cellStyle name="20% - Accent2 30 2" xfId="255" xr:uid="{00000000-0005-0000-0000-000049060000}"/>
    <cellStyle name="20% - Accent2 31" xfId="256" xr:uid="{00000000-0005-0000-0000-00004A060000}"/>
    <cellStyle name="20% - Accent2 31 2" xfId="257" xr:uid="{00000000-0005-0000-0000-00004B060000}"/>
    <cellStyle name="20% - Accent2 32" xfId="258" xr:uid="{00000000-0005-0000-0000-00004C060000}"/>
    <cellStyle name="20% - Accent2 32 2" xfId="259" xr:uid="{00000000-0005-0000-0000-00004D060000}"/>
    <cellStyle name="20% - Accent2 33" xfId="260" xr:uid="{00000000-0005-0000-0000-00004E060000}"/>
    <cellStyle name="20% - Accent2 33 2" xfId="261" xr:uid="{00000000-0005-0000-0000-00004F060000}"/>
    <cellStyle name="20% - Accent2 34" xfId="262" xr:uid="{00000000-0005-0000-0000-000050060000}"/>
    <cellStyle name="20% - Accent2 34 2" xfId="263" xr:uid="{00000000-0005-0000-0000-000051060000}"/>
    <cellStyle name="20% - Accent2 35" xfId="264" xr:uid="{00000000-0005-0000-0000-000052060000}"/>
    <cellStyle name="20% - Accent2 35 2" xfId="265" xr:uid="{00000000-0005-0000-0000-000053060000}"/>
    <cellStyle name="20% - Accent2 36" xfId="266" xr:uid="{00000000-0005-0000-0000-000054060000}"/>
    <cellStyle name="20% - Accent2 36 2" xfId="267" xr:uid="{00000000-0005-0000-0000-000055060000}"/>
    <cellStyle name="20% - Accent2 37" xfId="268" xr:uid="{00000000-0005-0000-0000-000056060000}"/>
    <cellStyle name="20% - Accent2 37 2" xfId="269" xr:uid="{00000000-0005-0000-0000-000057060000}"/>
    <cellStyle name="20% - Accent2 38" xfId="270" xr:uid="{00000000-0005-0000-0000-000058060000}"/>
    <cellStyle name="20% - Accent2 39" xfId="271" xr:uid="{00000000-0005-0000-0000-000059060000}"/>
    <cellStyle name="20% - Accent2 4" xfId="272" xr:uid="{00000000-0005-0000-0000-00005A060000}"/>
    <cellStyle name="20% - Accent2 4 10" xfId="4859" xr:uid="{00000000-0005-0000-0000-00005B060000}"/>
    <cellStyle name="20% - Accent2 4 11" xfId="4860" xr:uid="{00000000-0005-0000-0000-00005C060000}"/>
    <cellStyle name="20% - Accent2 4 12" xfId="4861" xr:uid="{00000000-0005-0000-0000-00005D060000}"/>
    <cellStyle name="20% - Accent2 4 13" xfId="4862" xr:uid="{00000000-0005-0000-0000-00005E060000}"/>
    <cellStyle name="20% - Accent2 4 14" xfId="4863" xr:uid="{00000000-0005-0000-0000-00005F060000}"/>
    <cellStyle name="20% - Accent2 4 2" xfId="273" xr:uid="{00000000-0005-0000-0000-000060060000}"/>
    <cellStyle name="20% - Accent2 4 2 10" xfId="4864" xr:uid="{00000000-0005-0000-0000-000061060000}"/>
    <cellStyle name="20% - Accent2 4 2 11" xfId="4865" xr:uid="{00000000-0005-0000-0000-000062060000}"/>
    <cellStyle name="20% - Accent2 4 2 2" xfId="274" xr:uid="{00000000-0005-0000-0000-000063060000}"/>
    <cellStyle name="20% - Accent2 4 2 2 2" xfId="4866" xr:uid="{00000000-0005-0000-0000-000064060000}"/>
    <cellStyle name="20% - Accent2 4 2 2 2 2" xfId="4867" xr:uid="{00000000-0005-0000-0000-000065060000}"/>
    <cellStyle name="20% - Accent2 4 2 2 2 2 2" xfId="4868" xr:uid="{00000000-0005-0000-0000-000066060000}"/>
    <cellStyle name="20% - Accent2 4 2 2 2 2 3" xfId="4869" xr:uid="{00000000-0005-0000-0000-000067060000}"/>
    <cellStyle name="20% - Accent2 4 2 2 2 3" xfId="4870" xr:uid="{00000000-0005-0000-0000-000068060000}"/>
    <cellStyle name="20% - Accent2 4 2 2 2 3 2" xfId="4871" xr:uid="{00000000-0005-0000-0000-000069060000}"/>
    <cellStyle name="20% - Accent2 4 2 2 2 3 3" xfId="4872" xr:uid="{00000000-0005-0000-0000-00006A060000}"/>
    <cellStyle name="20% - Accent2 4 2 2 2 4" xfId="4873" xr:uid="{00000000-0005-0000-0000-00006B060000}"/>
    <cellStyle name="20% - Accent2 4 2 2 2 5" xfId="4874" xr:uid="{00000000-0005-0000-0000-00006C060000}"/>
    <cellStyle name="20% - Accent2 4 2 2 2 6" xfId="4875" xr:uid="{00000000-0005-0000-0000-00006D060000}"/>
    <cellStyle name="20% - Accent2 4 2 2 3" xfId="4876" xr:uid="{00000000-0005-0000-0000-00006E060000}"/>
    <cellStyle name="20% - Accent2 4 2 2 3 2" xfId="4877" xr:uid="{00000000-0005-0000-0000-00006F060000}"/>
    <cellStyle name="20% - Accent2 4 2 2 3 3" xfId="4878" xr:uid="{00000000-0005-0000-0000-000070060000}"/>
    <cellStyle name="20% - Accent2 4 2 2 4" xfId="4879" xr:uid="{00000000-0005-0000-0000-000071060000}"/>
    <cellStyle name="20% - Accent2 4 2 2 4 2" xfId="4880" xr:uid="{00000000-0005-0000-0000-000072060000}"/>
    <cellStyle name="20% - Accent2 4 2 2 4 3" xfId="4881" xr:uid="{00000000-0005-0000-0000-000073060000}"/>
    <cellStyle name="20% - Accent2 4 2 2 5" xfId="4882" xr:uid="{00000000-0005-0000-0000-000074060000}"/>
    <cellStyle name="20% - Accent2 4 2 2 6" xfId="4883" xr:uid="{00000000-0005-0000-0000-000075060000}"/>
    <cellStyle name="20% - Accent2 4 2 2 7" xfId="4884" xr:uid="{00000000-0005-0000-0000-000076060000}"/>
    <cellStyle name="20% - Accent2 4 2 2 8" xfId="4885" xr:uid="{00000000-0005-0000-0000-000077060000}"/>
    <cellStyle name="20% - Accent2 4 2 3" xfId="275" xr:uid="{00000000-0005-0000-0000-000078060000}"/>
    <cellStyle name="20% - Accent2 4 2 3 2" xfId="4886" xr:uid="{00000000-0005-0000-0000-000079060000}"/>
    <cellStyle name="20% - Accent2 4 2 3 2 2" xfId="4887" xr:uid="{00000000-0005-0000-0000-00007A060000}"/>
    <cellStyle name="20% - Accent2 4 2 3 2 3" xfId="4888" xr:uid="{00000000-0005-0000-0000-00007B060000}"/>
    <cellStyle name="20% - Accent2 4 2 3 3" xfId="4889" xr:uid="{00000000-0005-0000-0000-00007C060000}"/>
    <cellStyle name="20% - Accent2 4 2 3 3 2" xfId="4890" xr:uid="{00000000-0005-0000-0000-00007D060000}"/>
    <cellStyle name="20% - Accent2 4 2 3 3 3" xfId="4891" xr:uid="{00000000-0005-0000-0000-00007E060000}"/>
    <cellStyle name="20% - Accent2 4 2 3 4" xfId="4892" xr:uid="{00000000-0005-0000-0000-00007F060000}"/>
    <cellStyle name="20% - Accent2 4 2 3 5" xfId="4893" xr:uid="{00000000-0005-0000-0000-000080060000}"/>
    <cellStyle name="20% - Accent2 4 2 3 6" xfId="4894" xr:uid="{00000000-0005-0000-0000-000081060000}"/>
    <cellStyle name="20% - Accent2 4 2 4" xfId="4895" xr:uid="{00000000-0005-0000-0000-000082060000}"/>
    <cellStyle name="20% - Accent2 4 2 4 2" xfId="4896" xr:uid="{00000000-0005-0000-0000-000083060000}"/>
    <cellStyle name="20% - Accent2 4 2 4 3" xfId="4897" xr:uid="{00000000-0005-0000-0000-000084060000}"/>
    <cellStyle name="20% - Accent2 4 2 5" xfId="4898" xr:uid="{00000000-0005-0000-0000-000085060000}"/>
    <cellStyle name="20% - Accent2 4 2 5 2" xfId="4899" xr:uid="{00000000-0005-0000-0000-000086060000}"/>
    <cellStyle name="20% - Accent2 4 2 5 3" xfId="4900" xr:uid="{00000000-0005-0000-0000-000087060000}"/>
    <cellStyle name="20% - Accent2 4 2 6" xfId="4901" xr:uid="{00000000-0005-0000-0000-000088060000}"/>
    <cellStyle name="20% - Accent2 4 2 7" xfId="4902" xr:uid="{00000000-0005-0000-0000-000089060000}"/>
    <cellStyle name="20% - Accent2 4 2 8" xfId="4903" xr:uid="{00000000-0005-0000-0000-00008A060000}"/>
    <cellStyle name="20% - Accent2 4 2 9" xfId="4904" xr:uid="{00000000-0005-0000-0000-00008B060000}"/>
    <cellStyle name="20% - Accent2 4 3" xfId="276" xr:uid="{00000000-0005-0000-0000-00008C060000}"/>
    <cellStyle name="20% - Accent2 4 3 10" xfId="4905" xr:uid="{00000000-0005-0000-0000-00008D060000}"/>
    <cellStyle name="20% - Accent2 4 3 2" xfId="4906" xr:uid="{00000000-0005-0000-0000-00008E060000}"/>
    <cellStyle name="20% - Accent2 4 3 2 2" xfId="4907" xr:uid="{00000000-0005-0000-0000-00008F060000}"/>
    <cellStyle name="20% - Accent2 4 3 2 2 2" xfId="4908" xr:uid="{00000000-0005-0000-0000-000090060000}"/>
    <cellStyle name="20% - Accent2 4 3 2 2 3" xfId="4909" xr:uid="{00000000-0005-0000-0000-000091060000}"/>
    <cellStyle name="20% - Accent2 4 3 2 3" xfId="4910" xr:uid="{00000000-0005-0000-0000-000092060000}"/>
    <cellStyle name="20% - Accent2 4 3 2 3 2" xfId="4911" xr:uid="{00000000-0005-0000-0000-000093060000}"/>
    <cellStyle name="20% - Accent2 4 3 2 3 3" xfId="4912" xr:uid="{00000000-0005-0000-0000-000094060000}"/>
    <cellStyle name="20% - Accent2 4 3 2 4" xfId="4913" xr:uid="{00000000-0005-0000-0000-000095060000}"/>
    <cellStyle name="20% - Accent2 4 3 2 5" xfId="4914" xr:uid="{00000000-0005-0000-0000-000096060000}"/>
    <cellStyle name="20% - Accent2 4 3 2 6" xfId="4915" xr:uid="{00000000-0005-0000-0000-000097060000}"/>
    <cellStyle name="20% - Accent2 4 3 3" xfId="4916" xr:uid="{00000000-0005-0000-0000-000098060000}"/>
    <cellStyle name="20% - Accent2 4 3 3 2" xfId="4917" xr:uid="{00000000-0005-0000-0000-000099060000}"/>
    <cellStyle name="20% - Accent2 4 3 3 3" xfId="4918" xr:uid="{00000000-0005-0000-0000-00009A060000}"/>
    <cellStyle name="20% - Accent2 4 3 4" xfId="4919" xr:uid="{00000000-0005-0000-0000-00009B060000}"/>
    <cellStyle name="20% - Accent2 4 3 4 2" xfId="4920" xr:uid="{00000000-0005-0000-0000-00009C060000}"/>
    <cellStyle name="20% - Accent2 4 3 4 3" xfId="4921" xr:uid="{00000000-0005-0000-0000-00009D060000}"/>
    <cellStyle name="20% - Accent2 4 3 5" xfId="4922" xr:uid="{00000000-0005-0000-0000-00009E060000}"/>
    <cellStyle name="20% - Accent2 4 3 6" xfId="4923" xr:uid="{00000000-0005-0000-0000-00009F060000}"/>
    <cellStyle name="20% - Accent2 4 3 7" xfId="4924" xr:uid="{00000000-0005-0000-0000-0000A0060000}"/>
    <cellStyle name="20% - Accent2 4 3 8" xfId="4925" xr:uid="{00000000-0005-0000-0000-0000A1060000}"/>
    <cellStyle name="20% - Accent2 4 3 9" xfId="4926" xr:uid="{00000000-0005-0000-0000-0000A2060000}"/>
    <cellStyle name="20% - Accent2 4 4" xfId="277" xr:uid="{00000000-0005-0000-0000-0000A3060000}"/>
    <cellStyle name="20% - Accent2 4 4 2" xfId="4927" xr:uid="{00000000-0005-0000-0000-0000A4060000}"/>
    <cellStyle name="20% - Accent2 4 4 2 2" xfId="4928" xr:uid="{00000000-0005-0000-0000-0000A5060000}"/>
    <cellStyle name="20% - Accent2 4 4 2 3" xfId="4929" xr:uid="{00000000-0005-0000-0000-0000A6060000}"/>
    <cellStyle name="20% - Accent2 4 4 3" xfId="4930" xr:uid="{00000000-0005-0000-0000-0000A7060000}"/>
    <cellStyle name="20% - Accent2 4 4 3 2" xfId="4931" xr:uid="{00000000-0005-0000-0000-0000A8060000}"/>
    <cellStyle name="20% - Accent2 4 4 3 3" xfId="4932" xr:uid="{00000000-0005-0000-0000-0000A9060000}"/>
    <cellStyle name="20% - Accent2 4 4 4" xfId="4933" xr:uid="{00000000-0005-0000-0000-0000AA060000}"/>
    <cellStyle name="20% - Accent2 4 4 5" xfId="4934" xr:uid="{00000000-0005-0000-0000-0000AB060000}"/>
    <cellStyle name="20% - Accent2 4 4 6" xfId="4935" xr:uid="{00000000-0005-0000-0000-0000AC060000}"/>
    <cellStyle name="20% - Accent2 4 5" xfId="4936" xr:uid="{00000000-0005-0000-0000-0000AD060000}"/>
    <cellStyle name="20% - Accent2 4 5 2" xfId="4937" xr:uid="{00000000-0005-0000-0000-0000AE060000}"/>
    <cellStyle name="20% - Accent2 4 5 3" xfId="4938" xr:uid="{00000000-0005-0000-0000-0000AF060000}"/>
    <cellStyle name="20% - Accent2 4 6" xfId="4939" xr:uid="{00000000-0005-0000-0000-0000B0060000}"/>
    <cellStyle name="20% - Accent2 4 6 2" xfId="4940" xr:uid="{00000000-0005-0000-0000-0000B1060000}"/>
    <cellStyle name="20% - Accent2 4 6 3" xfId="4941" xr:uid="{00000000-0005-0000-0000-0000B2060000}"/>
    <cellStyle name="20% - Accent2 4 7" xfId="4942" xr:uid="{00000000-0005-0000-0000-0000B3060000}"/>
    <cellStyle name="20% - Accent2 4 8" xfId="4943" xr:uid="{00000000-0005-0000-0000-0000B4060000}"/>
    <cellStyle name="20% - Accent2 4 9" xfId="4944" xr:uid="{00000000-0005-0000-0000-0000B5060000}"/>
    <cellStyle name="20% - Accent2 40" xfId="278" xr:uid="{00000000-0005-0000-0000-0000B6060000}"/>
    <cellStyle name="20% - Accent2 41" xfId="279" xr:uid="{00000000-0005-0000-0000-0000B7060000}"/>
    <cellStyle name="20% - Accent2 42" xfId="280" xr:uid="{00000000-0005-0000-0000-0000B8060000}"/>
    <cellStyle name="20% - Accent2 43" xfId="4945" xr:uid="{00000000-0005-0000-0000-0000B9060000}"/>
    <cellStyle name="20% - Accent2 44" xfId="4946" xr:uid="{00000000-0005-0000-0000-0000BA060000}"/>
    <cellStyle name="20% - Accent2 45" xfId="4947" xr:uid="{00000000-0005-0000-0000-0000BB060000}"/>
    <cellStyle name="20% - Accent2 46" xfId="4948" xr:uid="{00000000-0005-0000-0000-0000BC060000}"/>
    <cellStyle name="20% - Accent2 47" xfId="4949" xr:uid="{00000000-0005-0000-0000-0000BD060000}"/>
    <cellStyle name="20% - Accent2 48" xfId="4950" xr:uid="{00000000-0005-0000-0000-0000BE060000}"/>
    <cellStyle name="20% - Accent2 5" xfId="281" xr:uid="{00000000-0005-0000-0000-0000BF060000}"/>
    <cellStyle name="20% - Accent2 5 2" xfId="282" xr:uid="{00000000-0005-0000-0000-0000C0060000}"/>
    <cellStyle name="20% - Accent2 5 2 2" xfId="283" xr:uid="{00000000-0005-0000-0000-0000C1060000}"/>
    <cellStyle name="20% - Accent2 5 2 3" xfId="284" xr:uid="{00000000-0005-0000-0000-0000C2060000}"/>
    <cellStyle name="20% - Accent2 5 3" xfId="285" xr:uid="{00000000-0005-0000-0000-0000C3060000}"/>
    <cellStyle name="20% - Accent2 5 4" xfId="286" xr:uid="{00000000-0005-0000-0000-0000C4060000}"/>
    <cellStyle name="20% - Accent2 5 5" xfId="4951" xr:uid="{00000000-0005-0000-0000-0000C5060000}"/>
    <cellStyle name="20% - Accent2 6" xfId="287" xr:uid="{00000000-0005-0000-0000-0000C6060000}"/>
    <cellStyle name="20% - Accent2 6 10" xfId="4952" xr:uid="{00000000-0005-0000-0000-0000C7060000}"/>
    <cellStyle name="20% - Accent2 6 11" xfId="4953" xr:uid="{00000000-0005-0000-0000-0000C8060000}"/>
    <cellStyle name="20% - Accent2 6 12" xfId="4954" xr:uid="{00000000-0005-0000-0000-0000C9060000}"/>
    <cellStyle name="20% - Accent2 6 2" xfId="288" xr:uid="{00000000-0005-0000-0000-0000CA060000}"/>
    <cellStyle name="20% - Accent2 6 2 2" xfId="4955" xr:uid="{00000000-0005-0000-0000-0000CB060000}"/>
    <cellStyle name="20% - Accent2 6 2 2 2" xfId="4956" xr:uid="{00000000-0005-0000-0000-0000CC060000}"/>
    <cellStyle name="20% - Accent2 6 2 2 2 2" xfId="4957" xr:uid="{00000000-0005-0000-0000-0000CD060000}"/>
    <cellStyle name="20% - Accent2 6 2 2 2 3" xfId="4958" xr:uid="{00000000-0005-0000-0000-0000CE060000}"/>
    <cellStyle name="20% - Accent2 6 2 2 3" xfId="4959" xr:uid="{00000000-0005-0000-0000-0000CF060000}"/>
    <cellStyle name="20% - Accent2 6 2 2 3 2" xfId="4960" xr:uid="{00000000-0005-0000-0000-0000D0060000}"/>
    <cellStyle name="20% - Accent2 6 2 2 3 3" xfId="4961" xr:uid="{00000000-0005-0000-0000-0000D1060000}"/>
    <cellStyle name="20% - Accent2 6 2 2 4" xfId="4962" xr:uid="{00000000-0005-0000-0000-0000D2060000}"/>
    <cellStyle name="20% - Accent2 6 2 2 5" xfId="4963" xr:uid="{00000000-0005-0000-0000-0000D3060000}"/>
    <cellStyle name="20% - Accent2 6 2 2 6" xfId="4964" xr:uid="{00000000-0005-0000-0000-0000D4060000}"/>
    <cellStyle name="20% - Accent2 6 2 3" xfId="4965" xr:uid="{00000000-0005-0000-0000-0000D5060000}"/>
    <cellStyle name="20% - Accent2 6 2 3 2" xfId="4966" xr:uid="{00000000-0005-0000-0000-0000D6060000}"/>
    <cellStyle name="20% - Accent2 6 2 3 3" xfId="4967" xr:uid="{00000000-0005-0000-0000-0000D7060000}"/>
    <cellStyle name="20% - Accent2 6 2 4" xfId="4968" xr:uid="{00000000-0005-0000-0000-0000D8060000}"/>
    <cellStyle name="20% - Accent2 6 2 4 2" xfId="4969" xr:uid="{00000000-0005-0000-0000-0000D9060000}"/>
    <cellStyle name="20% - Accent2 6 2 4 3" xfId="4970" xr:uid="{00000000-0005-0000-0000-0000DA060000}"/>
    <cellStyle name="20% - Accent2 6 2 5" xfId="4971" xr:uid="{00000000-0005-0000-0000-0000DB060000}"/>
    <cellStyle name="20% - Accent2 6 2 6" xfId="4972" xr:uid="{00000000-0005-0000-0000-0000DC060000}"/>
    <cellStyle name="20% - Accent2 6 2 7" xfId="4973" xr:uid="{00000000-0005-0000-0000-0000DD060000}"/>
    <cellStyle name="20% - Accent2 6 2 8" xfId="4974" xr:uid="{00000000-0005-0000-0000-0000DE060000}"/>
    <cellStyle name="20% - Accent2 6 3" xfId="289" xr:uid="{00000000-0005-0000-0000-0000DF060000}"/>
    <cellStyle name="20% - Accent2 6 3 2" xfId="4975" xr:uid="{00000000-0005-0000-0000-0000E0060000}"/>
    <cellStyle name="20% - Accent2 6 3 2 2" xfId="4976" xr:uid="{00000000-0005-0000-0000-0000E1060000}"/>
    <cellStyle name="20% - Accent2 6 3 2 2 2" xfId="4977" xr:uid="{00000000-0005-0000-0000-0000E2060000}"/>
    <cellStyle name="20% - Accent2 6 3 2 3" xfId="4978" xr:uid="{00000000-0005-0000-0000-0000E3060000}"/>
    <cellStyle name="20% - Accent2 6 3 3" xfId="4979" xr:uid="{00000000-0005-0000-0000-0000E4060000}"/>
    <cellStyle name="20% - Accent2 6 3 3 2" xfId="4980" xr:uid="{00000000-0005-0000-0000-0000E5060000}"/>
    <cellStyle name="20% - Accent2 6 3 3 3" xfId="4981" xr:uid="{00000000-0005-0000-0000-0000E6060000}"/>
    <cellStyle name="20% - Accent2 6 3 4" xfId="4982" xr:uid="{00000000-0005-0000-0000-0000E7060000}"/>
    <cellStyle name="20% - Accent2 6 3 5" xfId="4983" xr:uid="{00000000-0005-0000-0000-0000E8060000}"/>
    <cellStyle name="20% - Accent2 6 3 6" xfId="4984" xr:uid="{00000000-0005-0000-0000-0000E9060000}"/>
    <cellStyle name="20% - Accent2 6 4" xfId="4985" xr:uid="{00000000-0005-0000-0000-0000EA060000}"/>
    <cellStyle name="20% - Accent2 6 4 2" xfId="4986" xr:uid="{00000000-0005-0000-0000-0000EB060000}"/>
    <cellStyle name="20% - Accent2 6 4 3" xfId="4987" xr:uid="{00000000-0005-0000-0000-0000EC060000}"/>
    <cellStyle name="20% - Accent2 6 5" xfId="4988" xr:uid="{00000000-0005-0000-0000-0000ED060000}"/>
    <cellStyle name="20% - Accent2 6 5 2" xfId="4989" xr:uid="{00000000-0005-0000-0000-0000EE060000}"/>
    <cellStyle name="20% - Accent2 6 5 3" xfId="4990" xr:uid="{00000000-0005-0000-0000-0000EF060000}"/>
    <cellStyle name="20% - Accent2 6 6" xfId="4991" xr:uid="{00000000-0005-0000-0000-0000F0060000}"/>
    <cellStyle name="20% - Accent2 6 7" xfId="4992" xr:uid="{00000000-0005-0000-0000-0000F1060000}"/>
    <cellStyle name="20% - Accent2 6 8" xfId="4993" xr:uid="{00000000-0005-0000-0000-0000F2060000}"/>
    <cellStyle name="20% - Accent2 6 9" xfId="4994" xr:uid="{00000000-0005-0000-0000-0000F3060000}"/>
    <cellStyle name="20% - Accent2 7" xfId="290" xr:uid="{00000000-0005-0000-0000-0000F4060000}"/>
    <cellStyle name="20% - Accent2 7 10" xfId="4995" xr:uid="{00000000-0005-0000-0000-0000F5060000}"/>
    <cellStyle name="20% - Accent2 7 11" xfId="4996" xr:uid="{00000000-0005-0000-0000-0000F6060000}"/>
    <cellStyle name="20% - Accent2 7 2" xfId="291" xr:uid="{00000000-0005-0000-0000-0000F7060000}"/>
    <cellStyle name="20% - Accent2 7 2 2" xfId="4997" xr:uid="{00000000-0005-0000-0000-0000F8060000}"/>
    <cellStyle name="20% - Accent2 7 2 2 2" xfId="4998" xr:uid="{00000000-0005-0000-0000-0000F9060000}"/>
    <cellStyle name="20% - Accent2 7 2 2 2 2" xfId="4999" xr:uid="{00000000-0005-0000-0000-0000FA060000}"/>
    <cellStyle name="20% - Accent2 7 2 2 2 3" xfId="5000" xr:uid="{00000000-0005-0000-0000-0000FB060000}"/>
    <cellStyle name="20% - Accent2 7 2 2 3" xfId="5001" xr:uid="{00000000-0005-0000-0000-0000FC060000}"/>
    <cellStyle name="20% - Accent2 7 2 2 3 2" xfId="5002" xr:uid="{00000000-0005-0000-0000-0000FD060000}"/>
    <cellStyle name="20% - Accent2 7 2 2 3 3" xfId="5003" xr:uid="{00000000-0005-0000-0000-0000FE060000}"/>
    <cellStyle name="20% - Accent2 7 2 2 4" xfId="5004" xr:uid="{00000000-0005-0000-0000-0000FF060000}"/>
    <cellStyle name="20% - Accent2 7 2 2 5" xfId="5005" xr:uid="{00000000-0005-0000-0000-000000070000}"/>
    <cellStyle name="20% - Accent2 7 2 2 6" xfId="5006" xr:uid="{00000000-0005-0000-0000-000001070000}"/>
    <cellStyle name="20% - Accent2 7 2 3" xfId="5007" xr:uid="{00000000-0005-0000-0000-000002070000}"/>
    <cellStyle name="20% - Accent2 7 2 3 2" xfId="5008" xr:uid="{00000000-0005-0000-0000-000003070000}"/>
    <cellStyle name="20% - Accent2 7 2 3 3" xfId="5009" xr:uid="{00000000-0005-0000-0000-000004070000}"/>
    <cellStyle name="20% - Accent2 7 2 4" xfId="5010" xr:uid="{00000000-0005-0000-0000-000005070000}"/>
    <cellStyle name="20% - Accent2 7 2 4 2" xfId="5011" xr:uid="{00000000-0005-0000-0000-000006070000}"/>
    <cellStyle name="20% - Accent2 7 2 4 3" xfId="5012" xr:uid="{00000000-0005-0000-0000-000007070000}"/>
    <cellStyle name="20% - Accent2 7 2 5" xfId="5013" xr:uid="{00000000-0005-0000-0000-000008070000}"/>
    <cellStyle name="20% - Accent2 7 2 6" xfId="5014" xr:uid="{00000000-0005-0000-0000-000009070000}"/>
    <cellStyle name="20% - Accent2 7 2 7" xfId="5015" xr:uid="{00000000-0005-0000-0000-00000A070000}"/>
    <cellStyle name="20% - Accent2 7 2 8" xfId="5016" xr:uid="{00000000-0005-0000-0000-00000B070000}"/>
    <cellStyle name="20% - Accent2 7 3" xfId="292" xr:uid="{00000000-0005-0000-0000-00000C070000}"/>
    <cellStyle name="20% - Accent2 7 3 2" xfId="5017" xr:uid="{00000000-0005-0000-0000-00000D070000}"/>
    <cellStyle name="20% - Accent2 7 3 2 2" xfId="5018" xr:uid="{00000000-0005-0000-0000-00000E070000}"/>
    <cellStyle name="20% - Accent2 7 3 2 2 2" xfId="5019" xr:uid="{00000000-0005-0000-0000-00000F070000}"/>
    <cellStyle name="20% - Accent2 7 3 2 3" xfId="5020" xr:uid="{00000000-0005-0000-0000-000010070000}"/>
    <cellStyle name="20% - Accent2 7 3 3" xfId="5021" xr:uid="{00000000-0005-0000-0000-000011070000}"/>
    <cellStyle name="20% - Accent2 7 3 3 2" xfId="5022" xr:uid="{00000000-0005-0000-0000-000012070000}"/>
    <cellStyle name="20% - Accent2 7 3 3 3" xfId="5023" xr:uid="{00000000-0005-0000-0000-000013070000}"/>
    <cellStyle name="20% - Accent2 7 3 4" xfId="5024" xr:uid="{00000000-0005-0000-0000-000014070000}"/>
    <cellStyle name="20% - Accent2 7 3 5" xfId="5025" xr:uid="{00000000-0005-0000-0000-000015070000}"/>
    <cellStyle name="20% - Accent2 7 3 6" xfId="5026" xr:uid="{00000000-0005-0000-0000-000016070000}"/>
    <cellStyle name="20% - Accent2 7 4" xfId="5027" xr:uid="{00000000-0005-0000-0000-000017070000}"/>
    <cellStyle name="20% - Accent2 7 4 2" xfId="5028" xr:uid="{00000000-0005-0000-0000-000018070000}"/>
    <cellStyle name="20% - Accent2 7 4 3" xfId="5029" xr:uid="{00000000-0005-0000-0000-000019070000}"/>
    <cellStyle name="20% - Accent2 7 5" xfId="5030" xr:uid="{00000000-0005-0000-0000-00001A070000}"/>
    <cellStyle name="20% - Accent2 7 5 2" xfId="5031" xr:uid="{00000000-0005-0000-0000-00001B070000}"/>
    <cellStyle name="20% - Accent2 7 5 3" xfId="5032" xr:uid="{00000000-0005-0000-0000-00001C070000}"/>
    <cellStyle name="20% - Accent2 7 6" xfId="5033" xr:uid="{00000000-0005-0000-0000-00001D070000}"/>
    <cellStyle name="20% - Accent2 7 7" xfId="5034" xr:uid="{00000000-0005-0000-0000-00001E070000}"/>
    <cellStyle name="20% - Accent2 7 8" xfId="5035" xr:uid="{00000000-0005-0000-0000-00001F070000}"/>
    <cellStyle name="20% - Accent2 7 9" xfId="5036" xr:uid="{00000000-0005-0000-0000-000020070000}"/>
    <cellStyle name="20% - Accent2 8" xfId="293" xr:uid="{00000000-0005-0000-0000-000021070000}"/>
    <cellStyle name="20% - Accent2 8 10" xfId="5037" xr:uid="{00000000-0005-0000-0000-000022070000}"/>
    <cellStyle name="20% - Accent2 8 11" xfId="5038" xr:uid="{00000000-0005-0000-0000-000023070000}"/>
    <cellStyle name="20% - Accent2 8 2" xfId="294" xr:uid="{00000000-0005-0000-0000-000024070000}"/>
    <cellStyle name="20% - Accent2 8 2 2" xfId="5039" xr:uid="{00000000-0005-0000-0000-000025070000}"/>
    <cellStyle name="20% - Accent2 8 2 2 2" xfId="5040" xr:uid="{00000000-0005-0000-0000-000026070000}"/>
    <cellStyle name="20% - Accent2 8 2 2 2 2" xfId="5041" xr:uid="{00000000-0005-0000-0000-000027070000}"/>
    <cellStyle name="20% - Accent2 8 2 2 2 3" xfId="5042" xr:uid="{00000000-0005-0000-0000-000028070000}"/>
    <cellStyle name="20% - Accent2 8 2 2 3" xfId="5043" xr:uid="{00000000-0005-0000-0000-000029070000}"/>
    <cellStyle name="20% - Accent2 8 2 2 3 2" xfId="5044" xr:uid="{00000000-0005-0000-0000-00002A070000}"/>
    <cellStyle name="20% - Accent2 8 2 2 3 3" xfId="5045" xr:uid="{00000000-0005-0000-0000-00002B070000}"/>
    <cellStyle name="20% - Accent2 8 2 2 4" xfId="5046" xr:uid="{00000000-0005-0000-0000-00002C070000}"/>
    <cellStyle name="20% - Accent2 8 2 2 5" xfId="5047" xr:uid="{00000000-0005-0000-0000-00002D070000}"/>
    <cellStyle name="20% - Accent2 8 2 2 6" xfId="5048" xr:uid="{00000000-0005-0000-0000-00002E070000}"/>
    <cellStyle name="20% - Accent2 8 2 3" xfId="5049" xr:uid="{00000000-0005-0000-0000-00002F070000}"/>
    <cellStyle name="20% - Accent2 8 2 3 2" xfId="5050" xr:uid="{00000000-0005-0000-0000-000030070000}"/>
    <cellStyle name="20% - Accent2 8 2 3 3" xfId="5051" xr:uid="{00000000-0005-0000-0000-000031070000}"/>
    <cellStyle name="20% - Accent2 8 2 4" xfId="5052" xr:uid="{00000000-0005-0000-0000-000032070000}"/>
    <cellStyle name="20% - Accent2 8 2 4 2" xfId="5053" xr:uid="{00000000-0005-0000-0000-000033070000}"/>
    <cellStyle name="20% - Accent2 8 2 4 3" xfId="5054" xr:uid="{00000000-0005-0000-0000-000034070000}"/>
    <cellStyle name="20% - Accent2 8 2 5" xfId="5055" xr:uid="{00000000-0005-0000-0000-000035070000}"/>
    <cellStyle name="20% - Accent2 8 2 6" xfId="5056" xr:uid="{00000000-0005-0000-0000-000036070000}"/>
    <cellStyle name="20% - Accent2 8 2 7" xfId="5057" xr:uid="{00000000-0005-0000-0000-000037070000}"/>
    <cellStyle name="20% - Accent2 8 2 8" xfId="5058" xr:uid="{00000000-0005-0000-0000-000038070000}"/>
    <cellStyle name="20% - Accent2 8 3" xfId="5059" xr:uid="{00000000-0005-0000-0000-000039070000}"/>
    <cellStyle name="20% - Accent2 8 3 2" xfId="5060" xr:uid="{00000000-0005-0000-0000-00003A070000}"/>
    <cellStyle name="20% - Accent2 8 3 2 2" xfId="5061" xr:uid="{00000000-0005-0000-0000-00003B070000}"/>
    <cellStyle name="20% - Accent2 8 3 2 2 2" xfId="5062" xr:uid="{00000000-0005-0000-0000-00003C070000}"/>
    <cellStyle name="20% - Accent2 8 3 2 3" xfId="5063" xr:uid="{00000000-0005-0000-0000-00003D070000}"/>
    <cellStyle name="20% - Accent2 8 3 3" xfId="5064" xr:uid="{00000000-0005-0000-0000-00003E070000}"/>
    <cellStyle name="20% - Accent2 8 3 3 2" xfId="5065" xr:uid="{00000000-0005-0000-0000-00003F070000}"/>
    <cellStyle name="20% - Accent2 8 3 3 3" xfId="5066" xr:uid="{00000000-0005-0000-0000-000040070000}"/>
    <cellStyle name="20% - Accent2 8 3 4" xfId="5067" xr:uid="{00000000-0005-0000-0000-000041070000}"/>
    <cellStyle name="20% - Accent2 8 3 5" xfId="5068" xr:uid="{00000000-0005-0000-0000-000042070000}"/>
    <cellStyle name="20% - Accent2 8 3 6" xfId="5069" xr:uid="{00000000-0005-0000-0000-000043070000}"/>
    <cellStyle name="20% - Accent2 8 4" xfId="5070" xr:uid="{00000000-0005-0000-0000-000044070000}"/>
    <cellStyle name="20% - Accent2 8 4 2" xfId="5071" xr:uid="{00000000-0005-0000-0000-000045070000}"/>
    <cellStyle name="20% - Accent2 8 4 3" xfId="5072" xr:uid="{00000000-0005-0000-0000-000046070000}"/>
    <cellStyle name="20% - Accent2 8 5" xfId="5073" xr:uid="{00000000-0005-0000-0000-000047070000}"/>
    <cellStyle name="20% - Accent2 8 5 2" xfId="5074" xr:uid="{00000000-0005-0000-0000-000048070000}"/>
    <cellStyle name="20% - Accent2 8 5 3" xfId="5075" xr:uid="{00000000-0005-0000-0000-000049070000}"/>
    <cellStyle name="20% - Accent2 8 6" xfId="5076" xr:uid="{00000000-0005-0000-0000-00004A070000}"/>
    <cellStyle name="20% - Accent2 8 7" xfId="5077" xr:uid="{00000000-0005-0000-0000-00004B070000}"/>
    <cellStyle name="20% - Accent2 8 8" xfId="5078" xr:uid="{00000000-0005-0000-0000-00004C070000}"/>
    <cellStyle name="20% - Accent2 8 9" xfId="5079" xr:uid="{00000000-0005-0000-0000-00004D070000}"/>
    <cellStyle name="20% - Accent2 9" xfId="295" xr:uid="{00000000-0005-0000-0000-00004E070000}"/>
    <cellStyle name="20% - Accent2 9 10" xfId="5080" xr:uid="{00000000-0005-0000-0000-00004F070000}"/>
    <cellStyle name="20% - Accent2 9 11" xfId="5081" xr:uid="{00000000-0005-0000-0000-000050070000}"/>
    <cellStyle name="20% - Accent2 9 2" xfId="296" xr:uid="{00000000-0005-0000-0000-000051070000}"/>
    <cellStyle name="20% - Accent2 9 2 2" xfId="5082" xr:uid="{00000000-0005-0000-0000-000052070000}"/>
    <cellStyle name="20% - Accent2 9 2 2 2" xfId="5083" xr:uid="{00000000-0005-0000-0000-000053070000}"/>
    <cellStyle name="20% - Accent2 9 2 2 2 2" xfId="5084" xr:uid="{00000000-0005-0000-0000-000054070000}"/>
    <cellStyle name="20% - Accent2 9 2 2 2 3" xfId="5085" xr:uid="{00000000-0005-0000-0000-000055070000}"/>
    <cellStyle name="20% - Accent2 9 2 2 3" xfId="5086" xr:uid="{00000000-0005-0000-0000-000056070000}"/>
    <cellStyle name="20% - Accent2 9 2 2 3 2" xfId="5087" xr:uid="{00000000-0005-0000-0000-000057070000}"/>
    <cellStyle name="20% - Accent2 9 2 2 3 3" xfId="5088" xr:uid="{00000000-0005-0000-0000-000058070000}"/>
    <cellStyle name="20% - Accent2 9 2 2 4" xfId="5089" xr:uid="{00000000-0005-0000-0000-000059070000}"/>
    <cellStyle name="20% - Accent2 9 2 2 5" xfId="5090" xr:uid="{00000000-0005-0000-0000-00005A070000}"/>
    <cellStyle name="20% - Accent2 9 2 2 6" xfId="5091" xr:uid="{00000000-0005-0000-0000-00005B070000}"/>
    <cellStyle name="20% - Accent2 9 2 3" xfId="5092" xr:uid="{00000000-0005-0000-0000-00005C070000}"/>
    <cellStyle name="20% - Accent2 9 2 3 2" xfId="5093" xr:uid="{00000000-0005-0000-0000-00005D070000}"/>
    <cellStyle name="20% - Accent2 9 2 3 3" xfId="5094" xr:uid="{00000000-0005-0000-0000-00005E070000}"/>
    <cellStyle name="20% - Accent2 9 2 4" xfId="5095" xr:uid="{00000000-0005-0000-0000-00005F070000}"/>
    <cellStyle name="20% - Accent2 9 2 4 2" xfId="5096" xr:uid="{00000000-0005-0000-0000-000060070000}"/>
    <cellStyle name="20% - Accent2 9 2 4 3" xfId="5097" xr:uid="{00000000-0005-0000-0000-000061070000}"/>
    <cellStyle name="20% - Accent2 9 2 5" xfId="5098" xr:uid="{00000000-0005-0000-0000-000062070000}"/>
    <cellStyle name="20% - Accent2 9 2 6" xfId="5099" xr:uid="{00000000-0005-0000-0000-000063070000}"/>
    <cellStyle name="20% - Accent2 9 2 7" xfId="5100" xr:uid="{00000000-0005-0000-0000-000064070000}"/>
    <cellStyle name="20% - Accent2 9 2 8" xfId="5101" xr:uid="{00000000-0005-0000-0000-000065070000}"/>
    <cellStyle name="20% - Accent2 9 3" xfId="5102" xr:uid="{00000000-0005-0000-0000-000066070000}"/>
    <cellStyle name="20% - Accent2 9 3 2" xfId="5103" xr:uid="{00000000-0005-0000-0000-000067070000}"/>
    <cellStyle name="20% - Accent2 9 3 2 2" xfId="5104" xr:uid="{00000000-0005-0000-0000-000068070000}"/>
    <cellStyle name="20% - Accent2 9 3 2 2 2" xfId="5105" xr:uid="{00000000-0005-0000-0000-000069070000}"/>
    <cellStyle name="20% - Accent2 9 3 2 3" xfId="5106" xr:uid="{00000000-0005-0000-0000-00006A070000}"/>
    <cellStyle name="20% - Accent2 9 3 3" xfId="5107" xr:uid="{00000000-0005-0000-0000-00006B070000}"/>
    <cellStyle name="20% - Accent2 9 3 3 2" xfId="5108" xr:uid="{00000000-0005-0000-0000-00006C070000}"/>
    <cellStyle name="20% - Accent2 9 3 3 3" xfId="5109" xr:uid="{00000000-0005-0000-0000-00006D070000}"/>
    <cellStyle name="20% - Accent2 9 3 4" xfId="5110" xr:uid="{00000000-0005-0000-0000-00006E070000}"/>
    <cellStyle name="20% - Accent2 9 3 5" xfId="5111" xr:uid="{00000000-0005-0000-0000-00006F070000}"/>
    <cellStyle name="20% - Accent2 9 3 6" xfId="5112" xr:uid="{00000000-0005-0000-0000-000070070000}"/>
    <cellStyle name="20% - Accent2 9 4" xfId="5113" xr:uid="{00000000-0005-0000-0000-000071070000}"/>
    <cellStyle name="20% - Accent2 9 4 2" xfId="5114" xr:uid="{00000000-0005-0000-0000-000072070000}"/>
    <cellStyle name="20% - Accent2 9 4 3" xfId="5115" xr:uid="{00000000-0005-0000-0000-000073070000}"/>
    <cellStyle name="20% - Accent2 9 5" xfId="5116" xr:uid="{00000000-0005-0000-0000-000074070000}"/>
    <cellStyle name="20% - Accent2 9 5 2" xfId="5117" xr:uid="{00000000-0005-0000-0000-000075070000}"/>
    <cellStyle name="20% - Accent2 9 5 3" xfId="5118" xr:uid="{00000000-0005-0000-0000-000076070000}"/>
    <cellStyle name="20% - Accent2 9 6" xfId="5119" xr:uid="{00000000-0005-0000-0000-000077070000}"/>
    <cellStyle name="20% - Accent2 9 7" xfId="5120" xr:uid="{00000000-0005-0000-0000-000078070000}"/>
    <cellStyle name="20% - Accent2 9 8" xfId="5121" xr:uid="{00000000-0005-0000-0000-000079070000}"/>
    <cellStyle name="20% - Accent2 9 9" xfId="5122" xr:uid="{00000000-0005-0000-0000-00007A070000}"/>
    <cellStyle name="20% - Accent3 10" xfId="297" xr:uid="{00000000-0005-0000-0000-00007B070000}"/>
    <cellStyle name="20% - Accent3 10 10" xfId="5123" xr:uid="{00000000-0005-0000-0000-00007C070000}"/>
    <cellStyle name="20% - Accent3 10 11" xfId="5124" xr:uid="{00000000-0005-0000-0000-00007D070000}"/>
    <cellStyle name="20% - Accent3 10 2" xfId="298" xr:uid="{00000000-0005-0000-0000-00007E070000}"/>
    <cellStyle name="20% - Accent3 10 2 2" xfId="5125" xr:uid="{00000000-0005-0000-0000-00007F070000}"/>
    <cellStyle name="20% - Accent3 10 2 2 2" xfId="5126" xr:uid="{00000000-0005-0000-0000-000080070000}"/>
    <cellStyle name="20% - Accent3 10 2 2 2 2" xfId="5127" xr:uid="{00000000-0005-0000-0000-000081070000}"/>
    <cellStyle name="20% - Accent3 10 2 2 2 3" xfId="5128" xr:uid="{00000000-0005-0000-0000-000082070000}"/>
    <cellStyle name="20% - Accent3 10 2 2 3" xfId="5129" xr:uid="{00000000-0005-0000-0000-000083070000}"/>
    <cellStyle name="20% - Accent3 10 2 2 3 2" xfId="5130" xr:uid="{00000000-0005-0000-0000-000084070000}"/>
    <cellStyle name="20% - Accent3 10 2 2 3 3" xfId="5131" xr:uid="{00000000-0005-0000-0000-000085070000}"/>
    <cellStyle name="20% - Accent3 10 2 2 4" xfId="5132" xr:uid="{00000000-0005-0000-0000-000086070000}"/>
    <cellStyle name="20% - Accent3 10 2 2 5" xfId="5133" xr:uid="{00000000-0005-0000-0000-000087070000}"/>
    <cellStyle name="20% - Accent3 10 2 2 6" xfId="5134" xr:uid="{00000000-0005-0000-0000-000088070000}"/>
    <cellStyle name="20% - Accent3 10 2 3" xfId="5135" xr:uid="{00000000-0005-0000-0000-000089070000}"/>
    <cellStyle name="20% - Accent3 10 2 3 2" xfId="5136" xr:uid="{00000000-0005-0000-0000-00008A070000}"/>
    <cellStyle name="20% - Accent3 10 2 3 3" xfId="5137" xr:uid="{00000000-0005-0000-0000-00008B070000}"/>
    <cellStyle name="20% - Accent3 10 2 4" xfId="5138" xr:uid="{00000000-0005-0000-0000-00008C070000}"/>
    <cellStyle name="20% - Accent3 10 2 4 2" xfId="5139" xr:uid="{00000000-0005-0000-0000-00008D070000}"/>
    <cellStyle name="20% - Accent3 10 2 4 3" xfId="5140" xr:uid="{00000000-0005-0000-0000-00008E070000}"/>
    <cellStyle name="20% - Accent3 10 2 5" xfId="5141" xr:uid="{00000000-0005-0000-0000-00008F070000}"/>
    <cellStyle name="20% - Accent3 10 2 6" xfId="5142" xr:uid="{00000000-0005-0000-0000-000090070000}"/>
    <cellStyle name="20% - Accent3 10 2 7" xfId="5143" xr:uid="{00000000-0005-0000-0000-000091070000}"/>
    <cellStyle name="20% - Accent3 10 2 8" xfId="5144" xr:uid="{00000000-0005-0000-0000-000092070000}"/>
    <cellStyle name="20% - Accent3 10 3" xfId="5145" xr:uid="{00000000-0005-0000-0000-000093070000}"/>
    <cellStyle name="20% - Accent3 10 3 2" xfId="5146" xr:uid="{00000000-0005-0000-0000-000094070000}"/>
    <cellStyle name="20% - Accent3 10 3 2 2" xfId="5147" xr:uid="{00000000-0005-0000-0000-000095070000}"/>
    <cellStyle name="20% - Accent3 10 3 2 3" xfId="5148" xr:uid="{00000000-0005-0000-0000-000096070000}"/>
    <cellStyle name="20% - Accent3 10 3 3" xfId="5149" xr:uid="{00000000-0005-0000-0000-000097070000}"/>
    <cellStyle name="20% - Accent3 10 3 3 2" xfId="5150" xr:uid="{00000000-0005-0000-0000-000098070000}"/>
    <cellStyle name="20% - Accent3 10 3 3 3" xfId="5151" xr:uid="{00000000-0005-0000-0000-000099070000}"/>
    <cellStyle name="20% - Accent3 10 3 4" xfId="5152" xr:uid="{00000000-0005-0000-0000-00009A070000}"/>
    <cellStyle name="20% - Accent3 10 3 5" xfId="5153" xr:uid="{00000000-0005-0000-0000-00009B070000}"/>
    <cellStyle name="20% - Accent3 10 3 6" xfId="5154" xr:uid="{00000000-0005-0000-0000-00009C070000}"/>
    <cellStyle name="20% - Accent3 10 4" xfId="5155" xr:uid="{00000000-0005-0000-0000-00009D070000}"/>
    <cellStyle name="20% - Accent3 10 4 2" xfId="5156" xr:uid="{00000000-0005-0000-0000-00009E070000}"/>
    <cellStyle name="20% - Accent3 10 4 3" xfId="5157" xr:uid="{00000000-0005-0000-0000-00009F070000}"/>
    <cellStyle name="20% - Accent3 10 5" xfId="5158" xr:uid="{00000000-0005-0000-0000-0000A0070000}"/>
    <cellStyle name="20% - Accent3 10 5 2" xfId="5159" xr:uid="{00000000-0005-0000-0000-0000A1070000}"/>
    <cellStyle name="20% - Accent3 10 5 3" xfId="5160" xr:uid="{00000000-0005-0000-0000-0000A2070000}"/>
    <cellStyle name="20% - Accent3 10 6" xfId="5161" xr:uid="{00000000-0005-0000-0000-0000A3070000}"/>
    <cellStyle name="20% - Accent3 10 7" xfId="5162" xr:uid="{00000000-0005-0000-0000-0000A4070000}"/>
    <cellStyle name="20% - Accent3 10 8" xfId="5163" xr:uid="{00000000-0005-0000-0000-0000A5070000}"/>
    <cellStyle name="20% - Accent3 10 9" xfId="5164" xr:uid="{00000000-0005-0000-0000-0000A6070000}"/>
    <cellStyle name="20% - Accent3 11" xfId="299" xr:uid="{00000000-0005-0000-0000-0000A7070000}"/>
    <cellStyle name="20% - Accent3 11 10" xfId="5165" xr:uid="{00000000-0005-0000-0000-0000A8070000}"/>
    <cellStyle name="20% - Accent3 11 2" xfId="300" xr:uid="{00000000-0005-0000-0000-0000A9070000}"/>
    <cellStyle name="20% - Accent3 11 2 2" xfId="5166" xr:uid="{00000000-0005-0000-0000-0000AA070000}"/>
    <cellStyle name="20% - Accent3 11 2 2 2" xfId="5167" xr:uid="{00000000-0005-0000-0000-0000AB070000}"/>
    <cellStyle name="20% - Accent3 11 2 2 3" xfId="5168" xr:uid="{00000000-0005-0000-0000-0000AC070000}"/>
    <cellStyle name="20% - Accent3 11 2 3" xfId="5169" xr:uid="{00000000-0005-0000-0000-0000AD070000}"/>
    <cellStyle name="20% - Accent3 11 2 3 2" xfId="5170" xr:uid="{00000000-0005-0000-0000-0000AE070000}"/>
    <cellStyle name="20% - Accent3 11 2 3 3" xfId="5171" xr:uid="{00000000-0005-0000-0000-0000AF070000}"/>
    <cellStyle name="20% - Accent3 11 2 4" xfId="5172" xr:uid="{00000000-0005-0000-0000-0000B0070000}"/>
    <cellStyle name="20% - Accent3 11 2 5" xfId="5173" xr:uid="{00000000-0005-0000-0000-0000B1070000}"/>
    <cellStyle name="20% - Accent3 11 2 6" xfId="5174" xr:uid="{00000000-0005-0000-0000-0000B2070000}"/>
    <cellStyle name="20% - Accent3 11 3" xfId="5175" xr:uid="{00000000-0005-0000-0000-0000B3070000}"/>
    <cellStyle name="20% - Accent3 11 3 2" xfId="5176" xr:uid="{00000000-0005-0000-0000-0000B4070000}"/>
    <cellStyle name="20% - Accent3 11 3 3" xfId="5177" xr:uid="{00000000-0005-0000-0000-0000B5070000}"/>
    <cellStyle name="20% - Accent3 11 4" xfId="5178" xr:uid="{00000000-0005-0000-0000-0000B6070000}"/>
    <cellStyle name="20% - Accent3 11 4 2" xfId="5179" xr:uid="{00000000-0005-0000-0000-0000B7070000}"/>
    <cellStyle name="20% - Accent3 11 4 3" xfId="5180" xr:uid="{00000000-0005-0000-0000-0000B8070000}"/>
    <cellStyle name="20% - Accent3 11 5" xfId="5181" xr:uid="{00000000-0005-0000-0000-0000B9070000}"/>
    <cellStyle name="20% - Accent3 11 6" xfId="5182" xr:uid="{00000000-0005-0000-0000-0000BA070000}"/>
    <cellStyle name="20% - Accent3 11 7" xfId="5183" xr:uid="{00000000-0005-0000-0000-0000BB070000}"/>
    <cellStyle name="20% - Accent3 11 8" xfId="5184" xr:uid="{00000000-0005-0000-0000-0000BC070000}"/>
    <cellStyle name="20% - Accent3 11 9" xfId="5185" xr:uid="{00000000-0005-0000-0000-0000BD070000}"/>
    <cellStyle name="20% - Accent3 12" xfId="301" xr:uid="{00000000-0005-0000-0000-0000BE070000}"/>
    <cellStyle name="20% - Accent3 12 2" xfId="302" xr:uid="{00000000-0005-0000-0000-0000BF070000}"/>
    <cellStyle name="20% - Accent3 12 3" xfId="5186" xr:uid="{00000000-0005-0000-0000-0000C0070000}"/>
    <cellStyle name="20% - Accent3 12 4" xfId="5187" xr:uid="{00000000-0005-0000-0000-0000C1070000}"/>
    <cellStyle name="20% - Accent3 12 5" xfId="5188" xr:uid="{00000000-0005-0000-0000-0000C2070000}"/>
    <cellStyle name="20% - Accent3 13" xfId="303" xr:uid="{00000000-0005-0000-0000-0000C3070000}"/>
    <cellStyle name="20% - Accent3 13 2" xfId="304" xr:uid="{00000000-0005-0000-0000-0000C4070000}"/>
    <cellStyle name="20% - Accent3 13 3" xfId="5189" xr:uid="{00000000-0005-0000-0000-0000C5070000}"/>
    <cellStyle name="20% - Accent3 13 4" xfId="5190" xr:uid="{00000000-0005-0000-0000-0000C6070000}"/>
    <cellStyle name="20% - Accent3 14" xfId="305" xr:uid="{00000000-0005-0000-0000-0000C7070000}"/>
    <cellStyle name="20% - Accent3 14 2" xfId="306" xr:uid="{00000000-0005-0000-0000-0000C8070000}"/>
    <cellStyle name="20% - Accent3 14 3" xfId="5191" xr:uid="{00000000-0005-0000-0000-0000C9070000}"/>
    <cellStyle name="20% - Accent3 15" xfId="307" xr:uid="{00000000-0005-0000-0000-0000CA070000}"/>
    <cellStyle name="20% - Accent3 15 2" xfId="308" xr:uid="{00000000-0005-0000-0000-0000CB070000}"/>
    <cellStyle name="20% - Accent3 15 3" xfId="5192" xr:uid="{00000000-0005-0000-0000-0000CC070000}"/>
    <cellStyle name="20% - Accent3 16" xfId="309" xr:uid="{00000000-0005-0000-0000-0000CD070000}"/>
    <cellStyle name="20% - Accent3 16 2" xfId="310" xr:uid="{00000000-0005-0000-0000-0000CE070000}"/>
    <cellStyle name="20% - Accent3 17" xfId="311" xr:uid="{00000000-0005-0000-0000-0000CF070000}"/>
    <cellStyle name="20% - Accent3 17 2" xfId="312" xr:uid="{00000000-0005-0000-0000-0000D0070000}"/>
    <cellStyle name="20% - Accent3 18" xfId="313" xr:uid="{00000000-0005-0000-0000-0000D1070000}"/>
    <cellStyle name="20% - Accent3 18 2" xfId="314" xr:uid="{00000000-0005-0000-0000-0000D2070000}"/>
    <cellStyle name="20% - Accent3 19" xfId="315" xr:uid="{00000000-0005-0000-0000-0000D3070000}"/>
    <cellStyle name="20% - Accent3 19 2" xfId="316" xr:uid="{00000000-0005-0000-0000-0000D4070000}"/>
    <cellStyle name="20% - Accent3 2" xfId="317" xr:uid="{00000000-0005-0000-0000-0000D5070000}"/>
    <cellStyle name="20% - Accent3 2 10" xfId="5193" xr:uid="{00000000-0005-0000-0000-0000D6070000}"/>
    <cellStyle name="20% - Accent3 2 11" xfId="5194" xr:uid="{00000000-0005-0000-0000-0000D7070000}"/>
    <cellStyle name="20% - Accent3 2 12" xfId="5195" xr:uid="{00000000-0005-0000-0000-0000D8070000}"/>
    <cellStyle name="20% - Accent3 2 13" xfId="5196" xr:uid="{00000000-0005-0000-0000-0000D9070000}"/>
    <cellStyle name="20% - Accent3 2 2" xfId="318" xr:uid="{00000000-0005-0000-0000-0000DA070000}"/>
    <cellStyle name="20% - Accent3 2 2 10" xfId="5197" xr:uid="{00000000-0005-0000-0000-0000DB070000}"/>
    <cellStyle name="20% - Accent3 2 2 11" xfId="5198" xr:uid="{00000000-0005-0000-0000-0000DC070000}"/>
    <cellStyle name="20% - Accent3 2 2 12" xfId="5199" xr:uid="{00000000-0005-0000-0000-0000DD070000}"/>
    <cellStyle name="20% - Accent3 2 2 13" xfId="5200" xr:uid="{00000000-0005-0000-0000-0000DE070000}"/>
    <cellStyle name="20% - Accent3 2 2 2" xfId="319" xr:uid="{00000000-0005-0000-0000-0000DF070000}"/>
    <cellStyle name="20% - Accent3 2 2 2 10" xfId="5201" xr:uid="{00000000-0005-0000-0000-0000E0070000}"/>
    <cellStyle name="20% - Accent3 2 2 2 2" xfId="320" xr:uid="{00000000-0005-0000-0000-0000E1070000}"/>
    <cellStyle name="20% - Accent3 2 2 2 2 2" xfId="321" xr:uid="{00000000-0005-0000-0000-0000E2070000}"/>
    <cellStyle name="20% - Accent3 2 2 2 2 2 2" xfId="322" xr:uid="{00000000-0005-0000-0000-0000E3070000}"/>
    <cellStyle name="20% - Accent3 2 2 2 2 2 2 2" xfId="53160" xr:uid="{00000000-0005-0000-0000-0000E4070000}"/>
    <cellStyle name="20% - Accent3 2 2 2 2 2 2 2 2" xfId="53161" xr:uid="{00000000-0005-0000-0000-0000E5070000}"/>
    <cellStyle name="20% - Accent3 2 2 2 2 2 2 3" xfId="53162" xr:uid="{00000000-0005-0000-0000-0000E6070000}"/>
    <cellStyle name="20% - Accent3 2 2 2 2 2 3" xfId="323" xr:uid="{00000000-0005-0000-0000-0000E7070000}"/>
    <cellStyle name="20% - Accent3 2 2 2 2 2 3 2" xfId="53163" xr:uid="{00000000-0005-0000-0000-0000E8070000}"/>
    <cellStyle name="20% - Accent3 2 2 2 2 2 3 2 2" xfId="53164" xr:uid="{00000000-0005-0000-0000-0000E9070000}"/>
    <cellStyle name="20% - Accent3 2 2 2 2 2 3 3" xfId="53165" xr:uid="{00000000-0005-0000-0000-0000EA070000}"/>
    <cellStyle name="20% - Accent3 2 2 2 2 2 4" xfId="5202" xr:uid="{00000000-0005-0000-0000-0000EB070000}"/>
    <cellStyle name="20% - Accent3 2 2 2 2 2 4 2" xfId="53166" xr:uid="{00000000-0005-0000-0000-0000EC070000}"/>
    <cellStyle name="20% - Accent3 2 2 2 2 2 5" xfId="5203" xr:uid="{00000000-0005-0000-0000-0000ED070000}"/>
    <cellStyle name="20% - Accent3 2 2 2 2 3" xfId="324" xr:uid="{00000000-0005-0000-0000-0000EE070000}"/>
    <cellStyle name="20% - Accent3 2 2 2 2 3 2" xfId="5204" xr:uid="{00000000-0005-0000-0000-0000EF070000}"/>
    <cellStyle name="20% - Accent3 2 2 2 2 3 2 2" xfId="53167" xr:uid="{00000000-0005-0000-0000-0000F0070000}"/>
    <cellStyle name="20% - Accent3 2 2 2 2 3 3" xfId="5205" xr:uid="{00000000-0005-0000-0000-0000F1070000}"/>
    <cellStyle name="20% - Accent3 2 2 2 2 4" xfId="325" xr:uid="{00000000-0005-0000-0000-0000F2070000}"/>
    <cellStyle name="20% - Accent3 2 2 2 2 4 2" xfId="53168" xr:uid="{00000000-0005-0000-0000-0000F3070000}"/>
    <cellStyle name="20% - Accent3 2 2 2 2 4 2 2" xfId="53169" xr:uid="{00000000-0005-0000-0000-0000F4070000}"/>
    <cellStyle name="20% - Accent3 2 2 2 2 4 3" xfId="53170" xr:uid="{00000000-0005-0000-0000-0000F5070000}"/>
    <cellStyle name="20% - Accent3 2 2 2 2 5" xfId="5206" xr:uid="{00000000-0005-0000-0000-0000F6070000}"/>
    <cellStyle name="20% - Accent3 2 2 2 2 5 2" xfId="53171" xr:uid="{00000000-0005-0000-0000-0000F7070000}"/>
    <cellStyle name="20% - Accent3 2 2 2 2 6" xfId="5207" xr:uid="{00000000-0005-0000-0000-0000F8070000}"/>
    <cellStyle name="20% - Accent3 2 2 2 2 7" xfId="5208" xr:uid="{00000000-0005-0000-0000-0000F9070000}"/>
    <cellStyle name="20% - Accent3 2 2 2 2 8" xfId="5209" xr:uid="{00000000-0005-0000-0000-0000FA070000}"/>
    <cellStyle name="20% - Accent3 2 2 2 3" xfId="326" xr:uid="{00000000-0005-0000-0000-0000FB070000}"/>
    <cellStyle name="20% - Accent3 2 2 2 3 2" xfId="327" xr:uid="{00000000-0005-0000-0000-0000FC070000}"/>
    <cellStyle name="20% - Accent3 2 2 2 3 2 2" xfId="328" xr:uid="{00000000-0005-0000-0000-0000FD070000}"/>
    <cellStyle name="20% - Accent3 2 2 2 3 2 2 2" xfId="53172" xr:uid="{00000000-0005-0000-0000-0000FE070000}"/>
    <cellStyle name="20% - Accent3 2 2 2 3 2 2 2 2" xfId="53173" xr:uid="{00000000-0005-0000-0000-0000FF070000}"/>
    <cellStyle name="20% - Accent3 2 2 2 3 2 2 3" xfId="53174" xr:uid="{00000000-0005-0000-0000-000000080000}"/>
    <cellStyle name="20% - Accent3 2 2 2 3 2 3" xfId="5210" xr:uid="{00000000-0005-0000-0000-000001080000}"/>
    <cellStyle name="20% - Accent3 2 2 2 3 2 3 2" xfId="53175" xr:uid="{00000000-0005-0000-0000-000002080000}"/>
    <cellStyle name="20% - Accent3 2 2 2 3 2 3 2 2" xfId="53176" xr:uid="{00000000-0005-0000-0000-000003080000}"/>
    <cellStyle name="20% - Accent3 2 2 2 3 2 3 3" xfId="53177" xr:uid="{00000000-0005-0000-0000-000004080000}"/>
    <cellStyle name="20% - Accent3 2 2 2 3 2 4" xfId="53178" xr:uid="{00000000-0005-0000-0000-000005080000}"/>
    <cellStyle name="20% - Accent3 2 2 2 3 2 4 2" xfId="53179" xr:uid="{00000000-0005-0000-0000-000006080000}"/>
    <cellStyle name="20% - Accent3 2 2 2 3 2 5" xfId="53180" xr:uid="{00000000-0005-0000-0000-000007080000}"/>
    <cellStyle name="20% - Accent3 2 2 2 3 3" xfId="329" xr:uid="{00000000-0005-0000-0000-000008080000}"/>
    <cellStyle name="20% - Accent3 2 2 2 3 3 2" xfId="53181" xr:uid="{00000000-0005-0000-0000-000009080000}"/>
    <cellStyle name="20% - Accent3 2 2 2 3 3 2 2" xfId="53182" xr:uid="{00000000-0005-0000-0000-00000A080000}"/>
    <cellStyle name="20% - Accent3 2 2 2 3 3 3" xfId="53183" xr:uid="{00000000-0005-0000-0000-00000B080000}"/>
    <cellStyle name="20% - Accent3 2 2 2 3 4" xfId="5211" xr:uid="{00000000-0005-0000-0000-00000C080000}"/>
    <cellStyle name="20% - Accent3 2 2 2 3 4 2" xfId="53184" xr:uid="{00000000-0005-0000-0000-00000D080000}"/>
    <cellStyle name="20% - Accent3 2 2 2 3 4 2 2" xfId="53185" xr:uid="{00000000-0005-0000-0000-00000E080000}"/>
    <cellStyle name="20% - Accent3 2 2 2 3 4 3" xfId="53186" xr:uid="{00000000-0005-0000-0000-00000F080000}"/>
    <cellStyle name="20% - Accent3 2 2 2 3 5" xfId="5212" xr:uid="{00000000-0005-0000-0000-000010080000}"/>
    <cellStyle name="20% - Accent3 2 2 2 3 5 2" xfId="53187" xr:uid="{00000000-0005-0000-0000-000011080000}"/>
    <cellStyle name="20% - Accent3 2 2 2 3 6" xfId="53188" xr:uid="{00000000-0005-0000-0000-000012080000}"/>
    <cellStyle name="20% - Accent3 2 2 2 4" xfId="330" xr:uid="{00000000-0005-0000-0000-000013080000}"/>
    <cellStyle name="20% - Accent3 2 2 2 4 2" xfId="331" xr:uid="{00000000-0005-0000-0000-000014080000}"/>
    <cellStyle name="20% - Accent3 2 2 2 4 2 2" xfId="53189" xr:uid="{00000000-0005-0000-0000-000015080000}"/>
    <cellStyle name="20% - Accent3 2 2 2 4 2 2 2" xfId="53190" xr:uid="{00000000-0005-0000-0000-000016080000}"/>
    <cellStyle name="20% - Accent3 2 2 2 4 2 3" xfId="53191" xr:uid="{00000000-0005-0000-0000-000017080000}"/>
    <cellStyle name="20% - Accent3 2 2 2 4 3" xfId="5213" xr:uid="{00000000-0005-0000-0000-000018080000}"/>
    <cellStyle name="20% - Accent3 2 2 2 4 3 2" xfId="53192" xr:uid="{00000000-0005-0000-0000-000019080000}"/>
    <cellStyle name="20% - Accent3 2 2 2 4 3 2 2" xfId="53193" xr:uid="{00000000-0005-0000-0000-00001A080000}"/>
    <cellStyle name="20% - Accent3 2 2 2 4 3 3" xfId="53194" xr:uid="{00000000-0005-0000-0000-00001B080000}"/>
    <cellStyle name="20% - Accent3 2 2 2 4 4" xfId="5214" xr:uid="{00000000-0005-0000-0000-00001C080000}"/>
    <cellStyle name="20% - Accent3 2 2 2 4 4 2" xfId="53195" xr:uid="{00000000-0005-0000-0000-00001D080000}"/>
    <cellStyle name="20% - Accent3 2 2 2 4 5" xfId="5215" xr:uid="{00000000-0005-0000-0000-00001E080000}"/>
    <cellStyle name="20% - Accent3 2 2 2 5" xfId="332" xr:uid="{00000000-0005-0000-0000-00001F080000}"/>
    <cellStyle name="20% - Accent3 2 2 2 5 2" xfId="5216" xr:uid="{00000000-0005-0000-0000-000020080000}"/>
    <cellStyle name="20% - Accent3 2 2 2 5 2 2" xfId="53196" xr:uid="{00000000-0005-0000-0000-000021080000}"/>
    <cellStyle name="20% - Accent3 2 2 2 5 3" xfId="5217" xr:uid="{00000000-0005-0000-0000-000022080000}"/>
    <cellStyle name="20% - Accent3 2 2 2 6" xfId="5218" xr:uid="{00000000-0005-0000-0000-000023080000}"/>
    <cellStyle name="20% - Accent3 2 2 2 6 2" xfId="53197" xr:uid="{00000000-0005-0000-0000-000024080000}"/>
    <cellStyle name="20% - Accent3 2 2 2 6 2 2" xfId="53198" xr:uid="{00000000-0005-0000-0000-000025080000}"/>
    <cellStyle name="20% - Accent3 2 2 2 6 3" xfId="53199" xr:uid="{00000000-0005-0000-0000-000026080000}"/>
    <cellStyle name="20% - Accent3 2 2 2 7" xfId="5219" xr:uid="{00000000-0005-0000-0000-000027080000}"/>
    <cellStyle name="20% - Accent3 2 2 2 7 2" xfId="53200" xr:uid="{00000000-0005-0000-0000-000028080000}"/>
    <cellStyle name="20% - Accent3 2 2 2 8" xfId="5220" xr:uid="{00000000-0005-0000-0000-000029080000}"/>
    <cellStyle name="20% - Accent3 2 2 2 9" xfId="5221" xr:uid="{00000000-0005-0000-0000-00002A080000}"/>
    <cellStyle name="20% - Accent3 2 2 3" xfId="333" xr:uid="{00000000-0005-0000-0000-00002B080000}"/>
    <cellStyle name="20% - Accent3 2 2 3 2" xfId="334" xr:uid="{00000000-0005-0000-0000-00002C080000}"/>
    <cellStyle name="20% - Accent3 2 2 3 2 2" xfId="335" xr:uid="{00000000-0005-0000-0000-00002D080000}"/>
    <cellStyle name="20% - Accent3 2 2 3 2 2 2" xfId="53201" xr:uid="{00000000-0005-0000-0000-00002E080000}"/>
    <cellStyle name="20% - Accent3 2 2 3 2 2 2 2" xfId="53202" xr:uid="{00000000-0005-0000-0000-00002F080000}"/>
    <cellStyle name="20% - Accent3 2 2 3 2 2 3" xfId="53203" xr:uid="{00000000-0005-0000-0000-000030080000}"/>
    <cellStyle name="20% - Accent3 2 2 3 2 3" xfId="336" xr:uid="{00000000-0005-0000-0000-000031080000}"/>
    <cellStyle name="20% - Accent3 2 2 3 2 3 2" xfId="53204" xr:uid="{00000000-0005-0000-0000-000032080000}"/>
    <cellStyle name="20% - Accent3 2 2 3 2 3 2 2" xfId="53205" xr:uid="{00000000-0005-0000-0000-000033080000}"/>
    <cellStyle name="20% - Accent3 2 2 3 2 3 3" xfId="53206" xr:uid="{00000000-0005-0000-0000-000034080000}"/>
    <cellStyle name="20% - Accent3 2 2 3 2 4" xfId="5222" xr:uid="{00000000-0005-0000-0000-000035080000}"/>
    <cellStyle name="20% - Accent3 2 2 3 2 4 2" xfId="53207" xr:uid="{00000000-0005-0000-0000-000036080000}"/>
    <cellStyle name="20% - Accent3 2 2 3 2 5" xfId="5223" xr:uid="{00000000-0005-0000-0000-000037080000}"/>
    <cellStyle name="20% - Accent3 2 2 3 3" xfId="337" xr:uid="{00000000-0005-0000-0000-000038080000}"/>
    <cellStyle name="20% - Accent3 2 2 3 3 2" xfId="5224" xr:uid="{00000000-0005-0000-0000-000039080000}"/>
    <cellStyle name="20% - Accent3 2 2 3 3 2 2" xfId="53208" xr:uid="{00000000-0005-0000-0000-00003A080000}"/>
    <cellStyle name="20% - Accent3 2 2 3 3 3" xfId="5225" xr:uid="{00000000-0005-0000-0000-00003B080000}"/>
    <cellStyle name="20% - Accent3 2 2 3 4" xfId="338" xr:uid="{00000000-0005-0000-0000-00003C080000}"/>
    <cellStyle name="20% - Accent3 2 2 3 4 2" xfId="53209" xr:uid="{00000000-0005-0000-0000-00003D080000}"/>
    <cellStyle name="20% - Accent3 2 2 3 4 2 2" xfId="53210" xr:uid="{00000000-0005-0000-0000-00003E080000}"/>
    <cellStyle name="20% - Accent3 2 2 3 4 3" xfId="53211" xr:uid="{00000000-0005-0000-0000-00003F080000}"/>
    <cellStyle name="20% - Accent3 2 2 3 5" xfId="5226" xr:uid="{00000000-0005-0000-0000-000040080000}"/>
    <cellStyle name="20% - Accent3 2 2 3 5 2" xfId="53212" xr:uid="{00000000-0005-0000-0000-000041080000}"/>
    <cellStyle name="20% - Accent3 2 2 3 6" xfId="5227" xr:uid="{00000000-0005-0000-0000-000042080000}"/>
    <cellStyle name="20% - Accent3 2 2 3 7" xfId="5228" xr:uid="{00000000-0005-0000-0000-000043080000}"/>
    <cellStyle name="20% - Accent3 2 2 3 8" xfId="5229" xr:uid="{00000000-0005-0000-0000-000044080000}"/>
    <cellStyle name="20% - Accent3 2 2 4" xfId="339" xr:uid="{00000000-0005-0000-0000-000045080000}"/>
    <cellStyle name="20% - Accent3 2 2 4 2" xfId="340" xr:uid="{00000000-0005-0000-0000-000046080000}"/>
    <cellStyle name="20% - Accent3 2 2 4 2 2" xfId="341" xr:uid="{00000000-0005-0000-0000-000047080000}"/>
    <cellStyle name="20% - Accent3 2 2 4 2 2 2" xfId="53213" xr:uid="{00000000-0005-0000-0000-000048080000}"/>
    <cellStyle name="20% - Accent3 2 2 4 2 2 2 2" xfId="53214" xr:uid="{00000000-0005-0000-0000-000049080000}"/>
    <cellStyle name="20% - Accent3 2 2 4 2 2 3" xfId="53215" xr:uid="{00000000-0005-0000-0000-00004A080000}"/>
    <cellStyle name="20% - Accent3 2 2 4 2 3" xfId="5230" xr:uid="{00000000-0005-0000-0000-00004B080000}"/>
    <cellStyle name="20% - Accent3 2 2 4 2 3 2" xfId="53216" xr:uid="{00000000-0005-0000-0000-00004C080000}"/>
    <cellStyle name="20% - Accent3 2 2 4 2 3 2 2" xfId="53217" xr:uid="{00000000-0005-0000-0000-00004D080000}"/>
    <cellStyle name="20% - Accent3 2 2 4 2 3 3" xfId="53218" xr:uid="{00000000-0005-0000-0000-00004E080000}"/>
    <cellStyle name="20% - Accent3 2 2 4 2 4" xfId="53219" xr:uid="{00000000-0005-0000-0000-00004F080000}"/>
    <cellStyle name="20% - Accent3 2 2 4 2 4 2" xfId="53220" xr:uid="{00000000-0005-0000-0000-000050080000}"/>
    <cellStyle name="20% - Accent3 2 2 4 2 5" xfId="53221" xr:uid="{00000000-0005-0000-0000-000051080000}"/>
    <cellStyle name="20% - Accent3 2 2 4 3" xfId="342" xr:uid="{00000000-0005-0000-0000-000052080000}"/>
    <cellStyle name="20% - Accent3 2 2 4 3 2" xfId="53222" xr:uid="{00000000-0005-0000-0000-000053080000}"/>
    <cellStyle name="20% - Accent3 2 2 4 3 2 2" xfId="53223" xr:uid="{00000000-0005-0000-0000-000054080000}"/>
    <cellStyle name="20% - Accent3 2 2 4 3 3" xfId="53224" xr:uid="{00000000-0005-0000-0000-000055080000}"/>
    <cellStyle name="20% - Accent3 2 2 4 4" xfId="5231" xr:uid="{00000000-0005-0000-0000-000056080000}"/>
    <cellStyle name="20% - Accent3 2 2 4 4 2" xfId="53225" xr:uid="{00000000-0005-0000-0000-000057080000}"/>
    <cellStyle name="20% - Accent3 2 2 4 4 2 2" xfId="53226" xr:uid="{00000000-0005-0000-0000-000058080000}"/>
    <cellStyle name="20% - Accent3 2 2 4 4 3" xfId="53227" xr:uid="{00000000-0005-0000-0000-000059080000}"/>
    <cellStyle name="20% - Accent3 2 2 4 5" xfId="5232" xr:uid="{00000000-0005-0000-0000-00005A080000}"/>
    <cellStyle name="20% - Accent3 2 2 4 5 2" xfId="53228" xr:uid="{00000000-0005-0000-0000-00005B080000}"/>
    <cellStyle name="20% - Accent3 2 2 4 6" xfId="53229" xr:uid="{00000000-0005-0000-0000-00005C080000}"/>
    <cellStyle name="20% - Accent3 2 2 5" xfId="343" xr:uid="{00000000-0005-0000-0000-00005D080000}"/>
    <cellStyle name="20% - Accent3 2 2 5 2" xfId="344" xr:uid="{00000000-0005-0000-0000-00005E080000}"/>
    <cellStyle name="20% - Accent3 2 2 5 2 2" xfId="53230" xr:uid="{00000000-0005-0000-0000-00005F080000}"/>
    <cellStyle name="20% - Accent3 2 2 5 2 2 2" xfId="53231" xr:uid="{00000000-0005-0000-0000-000060080000}"/>
    <cellStyle name="20% - Accent3 2 2 5 2 3" xfId="53232" xr:uid="{00000000-0005-0000-0000-000061080000}"/>
    <cellStyle name="20% - Accent3 2 2 5 3" xfId="5233" xr:uid="{00000000-0005-0000-0000-000062080000}"/>
    <cellStyle name="20% - Accent3 2 2 5 3 2" xfId="53233" xr:uid="{00000000-0005-0000-0000-000063080000}"/>
    <cellStyle name="20% - Accent3 2 2 5 3 2 2" xfId="53234" xr:uid="{00000000-0005-0000-0000-000064080000}"/>
    <cellStyle name="20% - Accent3 2 2 5 3 3" xfId="53235" xr:uid="{00000000-0005-0000-0000-000065080000}"/>
    <cellStyle name="20% - Accent3 2 2 5 4" xfId="5234" xr:uid="{00000000-0005-0000-0000-000066080000}"/>
    <cellStyle name="20% - Accent3 2 2 5 4 2" xfId="53236" xr:uid="{00000000-0005-0000-0000-000067080000}"/>
    <cellStyle name="20% - Accent3 2 2 5 5" xfId="5235" xr:uid="{00000000-0005-0000-0000-000068080000}"/>
    <cellStyle name="20% - Accent3 2 2 6" xfId="345" xr:uid="{00000000-0005-0000-0000-000069080000}"/>
    <cellStyle name="20% - Accent3 2 2 6 2" xfId="5236" xr:uid="{00000000-0005-0000-0000-00006A080000}"/>
    <cellStyle name="20% - Accent3 2 2 6 2 2" xfId="53237" xr:uid="{00000000-0005-0000-0000-00006B080000}"/>
    <cellStyle name="20% - Accent3 2 2 6 3" xfId="5237" xr:uid="{00000000-0005-0000-0000-00006C080000}"/>
    <cellStyle name="20% - Accent3 2 2 7" xfId="5238" xr:uid="{00000000-0005-0000-0000-00006D080000}"/>
    <cellStyle name="20% - Accent3 2 2 7 2" xfId="53238" xr:uid="{00000000-0005-0000-0000-00006E080000}"/>
    <cellStyle name="20% - Accent3 2 2 7 2 2" xfId="53239" xr:uid="{00000000-0005-0000-0000-00006F080000}"/>
    <cellStyle name="20% - Accent3 2 2 7 3" xfId="53240" xr:uid="{00000000-0005-0000-0000-000070080000}"/>
    <cellStyle name="20% - Accent3 2 2 8" xfId="5239" xr:uid="{00000000-0005-0000-0000-000071080000}"/>
    <cellStyle name="20% - Accent3 2 2 8 2" xfId="53241" xr:uid="{00000000-0005-0000-0000-000072080000}"/>
    <cellStyle name="20% - Accent3 2 2 9" xfId="5240" xr:uid="{00000000-0005-0000-0000-000073080000}"/>
    <cellStyle name="20% - Accent3 2 3" xfId="346" xr:uid="{00000000-0005-0000-0000-000074080000}"/>
    <cellStyle name="20% - Accent3 2 3 10" xfId="5241" xr:uid="{00000000-0005-0000-0000-000075080000}"/>
    <cellStyle name="20% - Accent3 2 3 2" xfId="347" xr:uid="{00000000-0005-0000-0000-000076080000}"/>
    <cellStyle name="20% - Accent3 2 3 2 2" xfId="348" xr:uid="{00000000-0005-0000-0000-000077080000}"/>
    <cellStyle name="20% - Accent3 2 3 2 2 2" xfId="349" xr:uid="{00000000-0005-0000-0000-000078080000}"/>
    <cellStyle name="20% - Accent3 2 3 2 2 2 2" xfId="53242" xr:uid="{00000000-0005-0000-0000-000079080000}"/>
    <cellStyle name="20% - Accent3 2 3 2 2 2 2 2" xfId="53243" xr:uid="{00000000-0005-0000-0000-00007A080000}"/>
    <cellStyle name="20% - Accent3 2 3 2 2 2 3" xfId="53244" xr:uid="{00000000-0005-0000-0000-00007B080000}"/>
    <cellStyle name="20% - Accent3 2 3 2 2 3" xfId="350" xr:uid="{00000000-0005-0000-0000-00007C080000}"/>
    <cellStyle name="20% - Accent3 2 3 2 2 3 2" xfId="53245" xr:uid="{00000000-0005-0000-0000-00007D080000}"/>
    <cellStyle name="20% - Accent3 2 3 2 2 3 2 2" xfId="53246" xr:uid="{00000000-0005-0000-0000-00007E080000}"/>
    <cellStyle name="20% - Accent3 2 3 2 2 3 3" xfId="53247" xr:uid="{00000000-0005-0000-0000-00007F080000}"/>
    <cellStyle name="20% - Accent3 2 3 2 2 4" xfId="5242" xr:uid="{00000000-0005-0000-0000-000080080000}"/>
    <cellStyle name="20% - Accent3 2 3 2 2 4 2" xfId="53248" xr:uid="{00000000-0005-0000-0000-000081080000}"/>
    <cellStyle name="20% - Accent3 2 3 2 2 5" xfId="5243" xr:uid="{00000000-0005-0000-0000-000082080000}"/>
    <cellStyle name="20% - Accent3 2 3 2 3" xfId="351" xr:uid="{00000000-0005-0000-0000-000083080000}"/>
    <cellStyle name="20% - Accent3 2 3 2 3 2" xfId="5244" xr:uid="{00000000-0005-0000-0000-000084080000}"/>
    <cellStyle name="20% - Accent3 2 3 2 3 2 2" xfId="53249" xr:uid="{00000000-0005-0000-0000-000085080000}"/>
    <cellStyle name="20% - Accent3 2 3 2 3 3" xfId="5245" xr:uid="{00000000-0005-0000-0000-000086080000}"/>
    <cellStyle name="20% - Accent3 2 3 2 4" xfId="352" xr:uid="{00000000-0005-0000-0000-000087080000}"/>
    <cellStyle name="20% - Accent3 2 3 2 4 2" xfId="53250" xr:uid="{00000000-0005-0000-0000-000088080000}"/>
    <cellStyle name="20% - Accent3 2 3 2 4 2 2" xfId="53251" xr:uid="{00000000-0005-0000-0000-000089080000}"/>
    <cellStyle name="20% - Accent3 2 3 2 4 3" xfId="53252" xr:uid="{00000000-0005-0000-0000-00008A080000}"/>
    <cellStyle name="20% - Accent3 2 3 2 5" xfId="5246" xr:uid="{00000000-0005-0000-0000-00008B080000}"/>
    <cellStyle name="20% - Accent3 2 3 2 5 2" xfId="53253" xr:uid="{00000000-0005-0000-0000-00008C080000}"/>
    <cellStyle name="20% - Accent3 2 3 2 6" xfId="5247" xr:uid="{00000000-0005-0000-0000-00008D080000}"/>
    <cellStyle name="20% - Accent3 2 3 2 7" xfId="5248" xr:uid="{00000000-0005-0000-0000-00008E080000}"/>
    <cellStyle name="20% - Accent3 2 3 2 8" xfId="5249" xr:uid="{00000000-0005-0000-0000-00008F080000}"/>
    <cellStyle name="20% - Accent3 2 3 3" xfId="353" xr:uid="{00000000-0005-0000-0000-000090080000}"/>
    <cellStyle name="20% - Accent3 2 3 3 2" xfId="354" xr:uid="{00000000-0005-0000-0000-000091080000}"/>
    <cellStyle name="20% - Accent3 2 3 3 2 2" xfId="355" xr:uid="{00000000-0005-0000-0000-000092080000}"/>
    <cellStyle name="20% - Accent3 2 3 3 2 2 2" xfId="53254" xr:uid="{00000000-0005-0000-0000-000093080000}"/>
    <cellStyle name="20% - Accent3 2 3 3 2 2 2 2" xfId="53255" xr:uid="{00000000-0005-0000-0000-000094080000}"/>
    <cellStyle name="20% - Accent3 2 3 3 2 2 3" xfId="53256" xr:uid="{00000000-0005-0000-0000-000095080000}"/>
    <cellStyle name="20% - Accent3 2 3 3 2 3" xfId="5250" xr:uid="{00000000-0005-0000-0000-000096080000}"/>
    <cellStyle name="20% - Accent3 2 3 3 2 3 2" xfId="53257" xr:uid="{00000000-0005-0000-0000-000097080000}"/>
    <cellStyle name="20% - Accent3 2 3 3 2 3 2 2" xfId="53258" xr:uid="{00000000-0005-0000-0000-000098080000}"/>
    <cellStyle name="20% - Accent3 2 3 3 2 3 3" xfId="53259" xr:uid="{00000000-0005-0000-0000-000099080000}"/>
    <cellStyle name="20% - Accent3 2 3 3 2 4" xfId="53260" xr:uid="{00000000-0005-0000-0000-00009A080000}"/>
    <cellStyle name="20% - Accent3 2 3 3 2 4 2" xfId="53261" xr:uid="{00000000-0005-0000-0000-00009B080000}"/>
    <cellStyle name="20% - Accent3 2 3 3 2 5" xfId="53262" xr:uid="{00000000-0005-0000-0000-00009C080000}"/>
    <cellStyle name="20% - Accent3 2 3 3 3" xfId="356" xr:uid="{00000000-0005-0000-0000-00009D080000}"/>
    <cellStyle name="20% - Accent3 2 3 3 3 2" xfId="53263" xr:uid="{00000000-0005-0000-0000-00009E080000}"/>
    <cellStyle name="20% - Accent3 2 3 3 3 2 2" xfId="53264" xr:uid="{00000000-0005-0000-0000-00009F080000}"/>
    <cellStyle name="20% - Accent3 2 3 3 3 3" xfId="53265" xr:uid="{00000000-0005-0000-0000-0000A0080000}"/>
    <cellStyle name="20% - Accent3 2 3 3 4" xfId="5251" xr:uid="{00000000-0005-0000-0000-0000A1080000}"/>
    <cellStyle name="20% - Accent3 2 3 3 4 2" xfId="53266" xr:uid="{00000000-0005-0000-0000-0000A2080000}"/>
    <cellStyle name="20% - Accent3 2 3 3 4 2 2" xfId="53267" xr:uid="{00000000-0005-0000-0000-0000A3080000}"/>
    <cellStyle name="20% - Accent3 2 3 3 4 3" xfId="53268" xr:uid="{00000000-0005-0000-0000-0000A4080000}"/>
    <cellStyle name="20% - Accent3 2 3 3 5" xfId="5252" xr:uid="{00000000-0005-0000-0000-0000A5080000}"/>
    <cellStyle name="20% - Accent3 2 3 3 5 2" xfId="53269" xr:uid="{00000000-0005-0000-0000-0000A6080000}"/>
    <cellStyle name="20% - Accent3 2 3 3 6" xfId="53270" xr:uid="{00000000-0005-0000-0000-0000A7080000}"/>
    <cellStyle name="20% - Accent3 2 3 4" xfId="357" xr:uid="{00000000-0005-0000-0000-0000A8080000}"/>
    <cellStyle name="20% - Accent3 2 3 4 2" xfId="358" xr:uid="{00000000-0005-0000-0000-0000A9080000}"/>
    <cellStyle name="20% - Accent3 2 3 4 2 2" xfId="53271" xr:uid="{00000000-0005-0000-0000-0000AA080000}"/>
    <cellStyle name="20% - Accent3 2 3 4 2 2 2" xfId="53272" xr:uid="{00000000-0005-0000-0000-0000AB080000}"/>
    <cellStyle name="20% - Accent3 2 3 4 2 3" xfId="53273" xr:uid="{00000000-0005-0000-0000-0000AC080000}"/>
    <cellStyle name="20% - Accent3 2 3 4 3" xfId="5253" xr:uid="{00000000-0005-0000-0000-0000AD080000}"/>
    <cellStyle name="20% - Accent3 2 3 4 3 2" xfId="53274" xr:uid="{00000000-0005-0000-0000-0000AE080000}"/>
    <cellStyle name="20% - Accent3 2 3 4 3 2 2" xfId="53275" xr:uid="{00000000-0005-0000-0000-0000AF080000}"/>
    <cellStyle name="20% - Accent3 2 3 4 3 3" xfId="53276" xr:uid="{00000000-0005-0000-0000-0000B0080000}"/>
    <cellStyle name="20% - Accent3 2 3 4 4" xfId="5254" xr:uid="{00000000-0005-0000-0000-0000B1080000}"/>
    <cellStyle name="20% - Accent3 2 3 4 4 2" xfId="53277" xr:uid="{00000000-0005-0000-0000-0000B2080000}"/>
    <cellStyle name="20% - Accent3 2 3 4 5" xfId="5255" xr:uid="{00000000-0005-0000-0000-0000B3080000}"/>
    <cellStyle name="20% - Accent3 2 3 5" xfId="359" xr:uid="{00000000-0005-0000-0000-0000B4080000}"/>
    <cellStyle name="20% - Accent3 2 3 5 2" xfId="5256" xr:uid="{00000000-0005-0000-0000-0000B5080000}"/>
    <cellStyle name="20% - Accent3 2 3 5 2 2" xfId="53278" xr:uid="{00000000-0005-0000-0000-0000B6080000}"/>
    <cellStyle name="20% - Accent3 2 3 5 3" xfId="5257" xr:uid="{00000000-0005-0000-0000-0000B7080000}"/>
    <cellStyle name="20% - Accent3 2 3 6" xfId="5258" xr:uid="{00000000-0005-0000-0000-0000B8080000}"/>
    <cellStyle name="20% - Accent3 2 3 6 2" xfId="53279" xr:uid="{00000000-0005-0000-0000-0000B9080000}"/>
    <cellStyle name="20% - Accent3 2 3 6 2 2" xfId="53280" xr:uid="{00000000-0005-0000-0000-0000BA080000}"/>
    <cellStyle name="20% - Accent3 2 3 6 3" xfId="53281" xr:uid="{00000000-0005-0000-0000-0000BB080000}"/>
    <cellStyle name="20% - Accent3 2 3 7" xfId="5259" xr:uid="{00000000-0005-0000-0000-0000BC080000}"/>
    <cellStyle name="20% - Accent3 2 3 7 2" xfId="53282" xr:uid="{00000000-0005-0000-0000-0000BD080000}"/>
    <cellStyle name="20% - Accent3 2 3 8" xfId="5260" xr:uid="{00000000-0005-0000-0000-0000BE080000}"/>
    <cellStyle name="20% - Accent3 2 3 9" xfId="5261" xr:uid="{00000000-0005-0000-0000-0000BF080000}"/>
    <cellStyle name="20% - Accent3 2 4" xfId="360" xr:uid="{00000000-0005-0000-0000-0000C0080000}"/>
    <cellStyle name="20% - Accent3 2 4 2" xfId="361" xr:uid="{00000000-0005-0000-0000-0000C1080000}"/>
    <cellStyle name="20% - Accent3 2 4 2 2" xfId="362" xr:uid="{00000000-0005-0000-0000-0000C2080000}"/>
    <cellStyle name="20% - Accent3 2 4 2 2 2" xfId="53283" xr:uid="{00000000-0005-0000-0000-0000C3080000}"/>
    <cellStyle name="20% - Accent3 2 4 2 2 2 2" xfId="53284" xr:uid="{00000000-0005-0000-0000-0000C4080000}"/>
    <cellStyle name="20% - Accent3 2 4 2 2 3" xfId="53285" xr:uid="{00000000-0005-0000-0000-0000C5080000}"/>
    <cellStyle name="20% - Accent3 2 4 2 3" xfId="363" xr:uid="{00000000-0005-0000-0000-0000C6080000}"/>
    <cellStyle name="20% - Accent3 2 4 2 3 2" xfId="53286" xr:uid="{00000000-0005-0000-0000-0000C7080000}"/>
    <cellStyle name="20% - Accent3 2 4 2 3 2 2" xfId="53287" xr:uid="{00000000-0005-0000-0000-0000C8080000}"/>
    <cellStyle name="20% - Accent3 2 4 2 3 3" xfId="53288" xr:uid="{00000000-0005-0000-0000-0000C9080000}"/>
    <cellStyle name="20% - Accent3 2 4 2 4" xfId="5262" xr:uid="{00000000-0005-0000-0000-0000CA080000}"/>
    <cellStyle name="20% - Accent3 2 4 2 4 2" xfId="53289" xr:uid="{00000000-0005-0000-0000-0000CB080000}"/>
    <cellStyle name="20% - Accent3 2 4 2 5" xfId="5263" xr:uid="{00000000-0005-0000-0000-0000CC080000}"/>
    <cellStyle name="20% - Accent3 2 4 3" xfId="364" xr:uid="{00000000-0005-0000-0000-0000CD080000}"/>
    <cellStyle name="20% - Accent3 2 4 3 2" xfId="5264" xr:uid="{00000000-0005-0000-0000-0000CE080000}"/>
    <cellStyle name="20% - Accent3 2 4 3 2 2" xfId="53290" xr:uid="{00000000-0005-0000-0000-0000CF080000}"/>
    <cellStyle name="20% - Accent3 2 4 3 3" xfId="5265" xr:uid="{00000000-0005-0000-0000-0000D0080000}"/>
    <cellStyle name="20% - Accent3 2 4 4" xfId="365" xr:uid="{00000000-0005-0000-0000-0000D1080000}"/>
    <cellStyle name="20% - Accent3 2 4 4 2" xfId="53291" xr:uid="{00000000-0005-0000-0000-0000D2080000}"/>
    <cellStyle name="20% - Accent3 2 4 4 2 2" xfId="53292" xr:uid="{00000000-0005-0000-0000-0000D3080000}"/>
    <cellStyle name="20% - Accent3 2 4 4 3" xfId="53293" xr:uid="{00000000-0005-0000-0000-0000D4080000}"/>
    <cellStyle name="20% - Accent3 2 4 5" xfId="5266" xr:uid="{00000000-0005-0000-0000-0000D5080000}"/>
    <cellStyle name="20% - Accent3 2 4 5 2" xfId="53294" xr:uid="{00000000-0005-0000-0000-0000D6080000}"/>
    <cellStyle name="20% - Accent3 2 4 6" xfId="5267" xr:uid="{00000000-0005-0000-0000-0000D7080000}"/>
    <cellStyle name="20% - Accent3 2 4 7" xfId="5268" xr:uid="{00000000-0005-0000-0000-0000D8080000}"/>
    <cellStyle name="20% - Accent3 2 4 8" xfId="5269" xr:uid="{00000000-0005-0000-0000-0000D9080000}"/>
    <cellStyle name="20% - Accent3 2 5" xfId="366" xr:uid="{00000000-0005-0000-0000-0000DA080000}"/>
    <cellStyle name="20% - Accent3 2 5 2" xfId="367" xr:uid="{00000000-0005-0000-0000-0000DB080000}"/>
    <cellStyle name="20% - Accent3 2 5 2 2" xfId="368" xr:uid="{00000000-0005-0000-0000-0000DC080000}"/>
    <cellStyle name="20% - Accent3 2 5 2 2 2" xfId="53295" xr:uid="{00000000-0005-0000-0000-0000DD080000}"/>
    <cellStyle name="20% - Accent3 2 5 2 2 2 2" xfId="53296" xr:uid="{00000000-0005-0000-0000-0000DE080000}"/>
    <cellStyle name="20% - Accent3 2 5 2 2 3" xfId="53297" xr:uid="{00000000-0005-0000-0000-0000DF080000}"/>
    <cellStyle name="20% - Accent3 2 5 2 3" xfId="5270" xr:uid="{00000000-0005-0000-0000-0000E0080000}"/>
    <cellStyle name="20% - Accent3 2 5 2 3 2" xfId="53298" xr:uid="{00000000-0005-0000-0000-0000E1080000}"/>
    <cellStyle name="20% - Accent3 2 5 2 3 2 2" xfId="53299" xr:uid="{00000000-0005-0000-0000-0000E2080000}"/>
    <cellStyle name="20% - Accent3 2 5 2 3 3" xfId="53300" xr:uid="{00000000-0005-0000-0000-0000E3080000}"/>
    <cellStyle name="20% - Accent3 2 5 2 4" xfId="53301" xr:uid="{00000000-0005-0000-0000-0000E4080000}"/>
    <cellStyle name="20% - Accent3 2 5 2 4 2" xfId="53302" xr:uid="{00000000-0005-0000-0000-0000E5080000}"/>
    <cellStyle name="20% - Accent3 2 5 2 5" xfId="53303" xr:uid="{00000000-0005-0000-0000-0000E6080000}"/>
    <cellStyle name="20% - Accent3 2 5 3" xfId="369" xr:uid="{00000000-0005-0000-0000-0000E7080000}"/>
    <cellStyle name="20% - Accent3 2 5 3 2" xfId="53304" xr:uid="{00000000-0005-0000-0000-0000E8080000}"/>
    <cellStyle name="20% - Accent3 2 5 3 2 2" xfId="53305" xr:uid="{00000000-0005-0000-0000-0000E9080000}"/>
    <cellStyle name="20% - Accent3 2 5 3 3" xfId="53306" xr:uid="{00000000-0005-0000-0000-0000EA080000}"/>
    <cellStyle name="20% - Accent3 2 5 4" xfId="5271" xr:uid="{00000000-0005-0000-0000-0000EB080000}"/>
    <cellStyle name="20% - Accent3 2 5 4 2" xfId="53307" xr:uid="{00000000-0005-0000-0000-0000EC080000}"/>
    <cellStyle name="20% - Accent3 2 5 4 2 2" xfId="53308" xr:uid="{00000000-0005-0000-0000-0000ED080000}"/>
    <cellStyle name="20% - Accent3 2 5 4 3" xfId="53309" xr:uid="{00000000-0005-0000-0000-0000EE080000}"/>
    <cellStyle name="20% - Accent3 2 5 5" xfId="5272" xr:uid="{00000000-0005-0000-0000-0000EF080000}"/>
    <cellStyle name="20% - Accent3 2 5 5 2" xfId="53310" xr:uid="{00000000-0005-0000-0000-0000F0080000}"/>
    <cellStyle name="20% - Accent3 2 5 6" xfId="53311" xr:uid="{00000000-0005-0000-0000-0000F1080000}"/>
    <cellStyle name="20% - Accent3 2 6" xfId="370" xr:uid="{00000000-0005-0000-0000-0000F2080000}"/>
    <cellStyle name="20% - Accent3 2 6 2" xfId="371" xr:uid="{00000000-0005-0000-0000-0000F3080000}"/>
    <cellStyle name="20% - Accent3 2 6 2 2" xfId="53312" xr:uid="{00000000-0005-0000-0000-0000F4080000}"/>
    <cellStyle name="20% - Accent3 2 6 2 2 2" xfId="53313" xr:uid="{00000000-0005-0000-0000-0000F5080000}"/>
    <cellStyle name="20% - Accent3 2 6 2 3" xfId="53314" xr:uid="{00000000-0005-0000-0000-0000F6080000}"/>
    <cellStyle name="20% - Accent3 2 6 3" xfId="5273" xr:uid="{00000000-0005-0000-0000-0000F7080000}"/>
    <cellStyle name="20% - Accent3 2 6 3 2" xfId="53315" xr:uid="{00000000-0005-0000-0000-0000F8080000}"/>
    <cellStyle name="20% - Accent3 2 6 3 2 2" xfId="53316" xr:uid="{00000000-0005-0000-0000-0000F9080000}"/>
    <cellStyle name="20% - Accent3 2 6 3 3" xfId="53317" xr:uid="{00000000-0005-0000-0000-0000FA080000}"/>
    <cellStyle name="20% - Accent3 2 6 4" xfId="5274" xr:uid="{00000000-0005-0000-0000-0000FB080000}"/>
    <cellStyle name="20% - Accent3 2 6 4 2" xfId="53318" xr:uid="{00000000-0005-0000-0000-0000FC080000}"/>
    <cellStyle name="20% - Accent3 2 6 5" xfId="5275" xr:uid="{00000000-0005-0000-0000-0000FD080000}"/>
    <cellStyle name="20% - Accent3 2 7" xfId="372" xr:uid="{00000000-0005-0000-0000-0000FE080000}"/>
    <cellStyle name="20% - Accent3 2 7 2" xfId="5276" xr:uid="{00000000-0005-0000-0000-0000FF080000}"/>
    <cellStyle name="20% - Accent3 2 7 2 2" xfId="53319" xr:uid="{00000000-0005-0000-0000-000000090000}"/>
    <cellStyle name="20% - Accent3 2 7 3" xfId="5277" xr:uid="{00000000-0005-0000-0000-000001090000}"/>
    <cellStyle name="20% - Accent3 2 8" xfId="5278" xr:uid="{00000000-0005-0000-0000-000002090000}"/>
    <cellStyle name="20% - Accent3 2 8 2" xfId="53320" xr:uid="{00000000-0005-0000-0000-000003090000}"/>
    <cellStyle name="20% - Accent3 2 8 2 2" xfId="53321" xr:uid="{00000000-0005-0000-0000-000004090000}"/>
    <cellStyle name="20% - Accent3 2 8 3" xfId="53322" xr:uid="{00000000-0005-0000-0000-000005090000}"/>
    <cellStyle name="20% - Accent3 2 9" xfId="5279" xr:uid="{00000000-0005-0000-0000-000006090000}"/>
    <cellStyle name="20% - Accent3 2 9 2" xfId="53323" xr:uid="{00000000-0005-0000-0000-000007090000}"/>
    <cellStyle name="20% - Accent3 20" xfId="373" xr:uid="{00000000-0005-0000-0000-000008090000}"/>
    <cellStyle name="20% - Accent3 20 2" xfId="374" xr:uid="{00000000-0005-0000-0000-000009090000}"/>
    <cellStyle name="20% - Accent3 21" xfId="375" xr:uid="{00000000-0005-0000-0000-00000A090000}"/>
    <cellStyle name="20% - Accent3 21 2" xfId="376" xr:uid="{00000000-0005-0000-0000-00000B090000}"/>
    <cellStyle name="20% - Accent3 22" xfId="377" xr:uid="{00000000-0005-0000-0000-00000C090000}"/>
    <cellStyle name="20% - Accent3 22 2" xfId="378" xr:uid="{00000000-0005-0000-0000-00000D090000}"/>
    <cellStyle name="20% - Accent3 23" xfId="379" xr:uid="{00000000-0005-0000-0000-00000E090000}"/>
    <cellStyle name="20% - Accent3 23 2" xfId="380" xr:uid="{00000000-0005-0000-0000-00000F090000}"/>
    <cellStyle name="20% - Accent3 24" xfId="381" xr:uid="{00000000-0005-0000-0000-000010090000}"/>
    <cellStyle name="20% - Accent3 24 2" xfId="382" xr:uid="{00000000-0005-0000-0000-000011090000}"/>
    <cellStyle name="20% - Accent3 25" xfId="383" xr:uid="{00000000-0005-0000-0000-000012090000}"/>
    <cellStyle name="20% - Accent3 25 2" xfId="384" xr:uid="{00000000-0005-0000-0000-000013090000}"/>
    <cellStyle name="20% - Accent3 26" xfId="385" xr:uid="{00000000-0005-0000-0000-000014090000}"/>
    <cellStyle name="20% - Accent3 26 2" xfId="386" xr:uid="{00000000-0005-0000-0000-000015090000}"/>
    <cellStyle name="20% - Accent3 27" xfId="387" xr:uid="{00000000-0005-0000-0000-000016090000}"/>
    <cellStyle name="20% - Accent3 27 2" xfId="388" xr:uid="{00000000-0005-0000-0000-000017090000}"/>
    <cellStyle name="20% - Accent3 28" xfId="389" xr:uid="{00000000-0005-0000-0000-000018090000}"/>
    <cellStyle name="20% - Accent3 28 2" xfId="390" xr:uid="{00000000-0005-0000-0000-000019090000}"/>
    <cellStyle name="20% - Accent3 29" xfId="391" xr:uid="{00000000-0005-0000-0000-00001A090000}"/>
    <cellStyle name="20% - Accent3 29 2" xfId="392" xr:uid="{00000000-0005-0000-0000-00001B090000}"/>
    <cellStyle name="20% - Accent3 3" xfId="393" xr:uid="{00000000-0005-0000-0000-00001C090000}"/>
    <cellStyle name="20% - Accent3 3 10" xfId="5280" xr:uid="{00000000-0005-0000-0000-00001D090000}"/>
    <cellStyle name="20% - Accent3 3 10 2" xfId="5281" xr:uid="{00000000-0005-0000-0000-00001E090000}"/>
    <cellStyle name="20% - Accent3 3 10 3" xfId="5282" xr:uid="{00000000-0005-0000-0000-00001F090000}"/>
    <cellStyle name="20% - Accent3 3 11" xfId="5283" xr:uid="{00000000-0005-0000-0000-000020090000}"/>
    <cellStyle name="20% - Accent3 3 11 2" xfId="5284" xr:uid="{00000000-0005-0000-0000-000021090000}"/>
    <cellStyle name="20% - Accent3 3 12" xfId="5285" xr:uid="{00000000-0005-0000-0000-000022090000}"/>
    <cellStyle name="20% - Accent3 3 13" xfId="5286" xr:uid="{00000000-0005-0000-0000-000023090000}"/>
    <cellStyle name="20% - Accent3 3 14" xfId="5287" xr:uid="{00000000-0005-0000-0000-000024090000}"/>
    <cellStyle name="20% - Accent3 3 15" xfId="5288" xr:uid="{00000000-0005-0000-0000-000025090000}"/>
    <cellStyle name="20% - Accent3 3 16" xfId="5289" xr:uid="{00000000-0005-0000-0000-000026090000}"/>
    <cellStyle name="20% - Accent3 3 2" xfId="394" xr:uid="{00000000-0005-0000-0000-000027090000}"/>
    <cellStyle name="20% - Accent3 3 2 10" xfId="5290" xr:uid="{00000000-0005-0000-0000-000028090000}"/>
    <cellStyle name="20% - Accent3 3 2 11" xfId="5291" xr:uid="{00000000-0005-0000-0000-000029090000}"/>
    <cellStyle name="20% - Accent3 3 2 12" xfId="5292" xr:uid="{00000000-0005-0000-0000-00002A090000}"/>
    <cellStyle name="20% - Accent3 3 2 13" xfId="5293" xr:uid="{00000000-0005-0000-0000-00002B090000}"/>
    <cellStyle name="20% - Accent3 3 2 2" xfId="395" xr:uid="{00000000-0005-0000-0000-00002C090000}"/>
    <cellStyle name="20% - Accent3 3 2 2 10" xfId="5294" xr:uid="{00000000-0005-0000-0000-00002D090000}"/>
    <cellStyle name="20% - Accent3 3 2 2 11" xfId="5295" xr:uid="{00000000-0005-0000-0000-00002E090000}"/>
    <cellStyle name="20% - Accent3 3 2 2 12" xfId="5296" xr:uid="{00000000-0005-0000-0000-00002F090000}"/>
    <cellStyle name="20% - Accent3 3 2 2 2" xfId="5297" xr:uid="{00000000-0005-0000-0000-000030090000}"/>
    <cellStyle name="20% - Accent3 3 2 2 2 2" xfId="5298" xr:uid="{00000000-0005-0000-0000-000031090000}"/>
    <cellStyle name="20% - Accent3 3 2 2 2 2 2" xfId="5299" xr:uid="{00000000-0005-0000-0000-000032090000}"/>
    <cellStyle name="20% - Accent3 3 2 2 2 2 3" xfId="5300" xr:uid="{00000000-0005-0000-0000-000033090000}"/>
    <cellStyle name="20% - Accent3 3 2 2 2 3" xfId="5301" xr:uid="{00000000-0005-0000-0000-000034090000}"/>
    <cellStyle name="20% - Accent3 3 2 2 2 3 2" xfId="5302" xr:uid="{00000000-0005-0000-0000-000035090000}"/>
    <cellStyle name="20% - Accent3 3 2 2 2 3 3" xfId="5303" xr:uid="{00000000-0005-0000-0000-000036090000}"/>
    <cellStyle name="20% - Accent3 3 2 2 2 4" xfId="5304" xr:uid="{00000000-0005-0000-0000-000037090000}"/>
    <cellStyle name="20% - Accent3 3 2 2 2 5" xfId="5305" xr:uid="{00000000-0005-0000-0000-000038090000}"/>
    <cellStyle name="20% - Accent3 3 2 2 2 6" xfId="5306" xr:uid="{00000000-0005-0000-0000-000039090000}"/>
    <cellStyle name="20% - Accent3 3 2 2 2 7" xfId="5307" xr:uid="{00000000-0005-0000-0000-00003A090000}"/>
    <cellStyle name="20% - Accent3 3 2 2 3" xfId="5308" xr:uid="{00000000-0005-0000-0000-00003B090000}"/>
    <cellStyle name="20% - Accent3 3 2 2 3 2" xfId="5309" xr:uid="{00000000-0005-0000-0000-00003C090000}"/>
    <cellStyle name="20% - Accent3 3 2 2 3 3" xfId="5310" xr:uid="{00000000-0005-0000-0000-00003D090000}"/>
    <cellStyle name="20% - Accent3 3 2 2 4" xfId="5311" xr:uid="{00000000-0005-0000-0000-00003E090000}"/>
    <cellStyle name="20% - Accent3 3 2 2 4 2" xfId="5312" xr:uid="{00000000-0005-0000-0000-00003F090000}"/>
    <cellStyle name="20% - Accent3 3 2 2 4 3" xfId="5313" xr:uid="{00000000-0005-0000-0000-000040090000}"/>
    <cellStyle name="20% - Accent3 3 2 2 5" xfId="5314" xr:uid="{00000000-0005-0000-0000-000041090000}"/>
    <cellStyle name="20% - Accent3 3 2 2 6" xfId="5315" xr:uid="{00000000-0005-0000-0000-000042090000}"/>
    <cellStyle name="20% - Accent3 3 2 2 7" xfId="5316" xr:uid="{00000000-0005-0000-0000-000043090000}"/>
    <cellStyle name="20% - Accent3 3 2 2 8" xfId="5317" xr:uid="{00000000-0005-0000-0000-000044090000}"/>
    <cellStyle name="20% - Accent3 3 2 2 9" xfId="5318" xr:uid="{00000000-0005-0000-0000-000045090000}"/>
    <cellStyle name="20% - Accent3 3 2 3" xfId="5319" xr:uid="{00000000-0005-0000-0000-000046090000}"/>
    <cellStyle name="20% - Accent3 3 2 3 2" xfId="5320" xr:uid="{00000000-0005-0000-0000-000047090000}"/>
    <cellStyle name="20% - Accent3 3 2 3 2 2" xfId="5321" xr:uid="{00000000-0005-0000-0000-000048090000}"/>
    <cellStyle name="20% - Accent3 3 2 3 2 3" xfId="5322" xr:uid="{00000000-0005-0000-0000-000049090000}"/>
    <cellStyle name="20% - Accent3 3 2 3 3" xfId="5323" xr:uid="{00000000-0005-0000-0000-00004A090000}"/>
    <cellStyle name="20% - Accent3 3 2 3 3 2" xfId="5324" xr:uid="{00000000-0005-0000-0000-00004B090000}"/>
    <cellStyle name="20% - Accent3 3 2 3 3 3" xfId="5325" xr:uid="{00000000-0005-0000-0000-00004C090000}"/>
    <cellStyle name="20% - Accent3 3 2 3 4" xfId="5326" xr:uid="{00000000-0005-0000-0000-00004D090000}"/>
    <cellStyle name="20% - Accent3 3 2 3 5" xfId="5327" xr:uid="{00000000-0005-0000-0000-00004E090000}"/>
    <cellStyle name="20% - Accent3 3 2 3 6" xfId="5328" xr:uid="{00000000-0005-0000-0000-00004F090000}"/>
    <cellStyle name="20% - Accent3 3 2 3 7" xfId="5329" xr:uid="{00000000-0005-0000-0000-000050090000}"/>
    <cellStyle name="20% - Accent3 3 2 3 8" xfId="5330" xr:uid="{00000000-0005-0000-0000-000051090000}"/>
    <cellStyle name="20% - Accent3 3 2 4" xfId="5331" xr:uid="{00000000-0005-0000-0000-000052090000}"/>
    <cellStyle name="20% - Accent3 3 2 4 2" xfId="5332" xr:uid="{00000000-0005-0000-0000-000053090000}"/>
    <cellStyle name="20% - Accent3 3 2 4 3" xfId="5333" xr:uid="{00000000-0005-0000-0000-000054090000}"/>
    <cellStyle name="20% - Accent3 3 2 4 4" xfId="5334" xr:uid="{00000000-0005-0000-0000-000055090000}"/>
    <cellStyle name="20% - Accent3 3 2 4 5" xfId="5335" xr:uid="{00000000-0005-0000-0000-000056090000}"/>
    <cellStyle name="20% - Accent3 3 2 5" xfId="5336" xr:uid="{00000000-0005-0000-0000-000057090000}"/>
    <cellStyle name="20% - Accent3 3 2 5 2" xfId="5337" xr:uid="{00000000-0005-0000-0000-000058090000}"/>
    <cellStyle name="20% - Accent3 3 2 5 3" xfId="5338" xr:uid="{00000000-0005-0000-0000-000059090000}"/>
    <cellStyle name="20% - Accent3 3 2 5 4" xfId="5339" xr:uid="{00000000-0005-0000-0000-00005A090000}"/>
    <cellStyle name="20% - Accent3 3 2 5 5" xfId="5340" xr:uid="{00000000-0005-0000-0000-00005B090000}"/>
    <cellStyle name="20% - Accent3 3 2 6" xfId="5341" xr:uid="{00000000-0005-0000-0000-00005C090000}"/>
    <cellStyle name="20% - Accent3 3 2 7" xfId="5342" xr:uid="{00000000-0005-0000-0000-00005D090000}"/>
    <cellStyle name="20% - Accent3 3 2 8" xfId="5343" xr:uid="{00000000-0005-0000-0000-00005E090000}"/>
    <cellStyle name="20% - Accent3 3 2 9" xfId="5344" xr:uid="{00000000-0005-0000-0000-00005F090000}"/>
    <cellStyle name="20% - Accent3 3 3" xfId="396" xr:uid="{00000000-0005-0000-0000-000060090000}"/>
    <cellStyle name="20% - Accent3 3 3 10" xfId="5345" xr:uid="{00000000-0005-0000-0000-000061090000}"/>
    <cellStyle name="20% - Accent3 3 3 11" xfId="5346" xr:uid="{00000000-0005-0000-0000-000062090000}"/>
    <cellStyle name="20% - Accent3 3 3 12" xfId="5347" xr:uid="{00000000-0005-0000-0000-000063090000}"/>
    <cellStyle name="20% - Accent3 3 3 2" xfId="5348" xr:uid="{00000000-0005-0000-0000-000064090000}"/>
    <cellStyle name="20% - Accent3 3 3 2 2" xfId="5349" xr:uid="{00000000-0005-0000-0000-000065090000}"/>
    <cellStyle name="20% - Accent3 3 3 2 2 2" xfId="5350" xr:uid="{00000000-0005-0000-0000-000066090000}"/>
    <cellStyle name="20% - Accent3 3 3 2 2 3" xfId="5351" xr:uid="{00000000-0005-0000-0000-000067090000}"/>
    <cellStyle name="20% - Accent3 3 3 2 3" xfId="5352" xr:uid="{00000000-0005-0000-0000-000068090000}"/>
    <cellStyle name="20% - Accent3 3 3 2 3 2" xfId="5353" xr:uid="{00000000-0005-0000-0000-000069090000}"/>
    <cellStyle name="20% - Accent3 3 3 2 3 3" xfId="5354" xr:uid="{00000000-0005-0000-0000-00006A090000}"/>
    <cellStyle name="20% - Accent3 3 3 2 4" xfId="5355" xr:uid="{00000000-0005-0000-0000-00006B090000}"/>
    <cellStyle name="20% - Accent3 3 3 2 5" xfId="5356" xr:uid="{00000000-0005-0000-0000-00006C090000}"/>
    <cellStyle name="20% - Accent3 3 3 2 6" xfId="5357" xr:uid="{00000000-0005-0000-0000-00006D090000}"/>
    <cellStyle name="20% - Accent3 3 3 2 7" xfId="5358" xr:uid="{00000000-0005-0000-0000-00006E090000}"/>
    <cellStyle name="20% - Accent3 3 3 2 8" xfId="5359" xr:uid="{00000000-0005-0000-0000-00006F090000}"/>
    <cellStyle name="20% - Accent3 3 3 2 9" xfId="5360" xr:uid="{00000000-0005-0000-0000-000070090000}"/>
    <cellStyle name="20% - Accent3 3 3 3" xfId="5361" xr:uid="{00000000-0005-0000-0000-000071090000}"/>
    <cellStyle name="20% - Accent3 3 3 3 2" xfId="5362" xr:uid="{00000000-0005-0000-0000-000072090000}"/>
    <cellStyle name="20% - Accent3 3 3 3 3" xfId="5363" xr:uid="{00000000-0005-0000-0000-000073090000}"/>
    <cellStyle name="20% - Accent3 3 3 3 4" xfId="5364" xr:uid="{00000000-0005-0000-0000-000074090000}"/>
    <cellStyle name="20% - Accent3 3 3 3 5" xfId="5365" xr:uid="{00000000-0005-0000-0000-000075090000}"/>
    <cellStyle name="20% - Accent3 3 3 4" xfId="5366" xr:uid="{00000000-0005-0000-0000-000076090000}"/>
    <cellStyle name="20% - Accent3 3 3 4 2" xfId="5367" xr:uid="{00000000-0005-0000-0000-000077090000}"/>
    <cellStyle name="20% - Accent3 3 3 4 3" xfId="5368" xr:uid="{00000000-0005-0000-0000-000078090000}"/>
    <cellStyle name="20% - Accent3 3 3 4 4" xfId="5369" xr:uid="{00000000-0005-0000-0000-000079090000}"/>
    <cellStyle name="20% - Accent3 3 3 4 5" xfId="5370" xr:uid="{00000000-0005-0000-0000-00007A090000}"/>
    <cellStyle name="20% - Accent3 3 3 5" xfId="5371" xr:uid="{00000000-0005-0000-0000-00007B090000}"/>
    <cellStyle name="20% - Accent3 3 3 5 2" xfId="5372" xr:uid="{00000000-0005-0000-0000-00007C090000}"/>
    <cellStyle name="20% - Accent3 3 3 5 3" xfId="5373" xr:uid="{00000000-0005-0000-0000-00007D090000}"/>
    <cellStyle name="20% - Accent3 3 3 6" xfId="5374" xr:uid="{00000000-0005-0000-0000-00007E090000}"/>
    <cellStyle name="20% - Accent3 3 3 7" xfId="5375" xr:uid="{00000000-0005-0000-0000-00007F090000}"/>
    <cellStyle name="20% - Accent3 3 3 8" xfId="5376" xr:uid="{00000000-0005-0000-0000-000080090000}"/>
    <cellStyle name="20% - Accent3 3 3 9" xfId="5377" xr:uid="{00000000-0005-0000-0000-000081090000}"/>
    <cellStyle name="20% - Accent3 3 4" xfId="5378" xr:uid="{00000000-0005-0000-0000-000082090000}"/>
    <cellStyle name="20% - Accent3 3 4 2" xfId="5379" xr:uid="{00000000-0005-0000-0000-000083090000}"/>
    <cellStyle name="20% - Accent3 3 4 2 2" xfId="5380" xr:uid="{00000000-0005-0000-0000-000084090000}"/>
    <cellStyle name="20% - Accent3 3 4 2 3" xfId="5381" xr:uid="{00000000-0005-0000-0000-000085090000}"/>
    <cellStyle name="20% - Accent3 3 4 2 4" xfId="5382" xr:uid="{00000000-0005-0000-0000-000086090000}"/>
    <cellStyle name="20% - Accent3 3 4 2 5" xfId="5383" xr:uid="{00000000-0005-0000-0000-000087090000}"/>
    <cellStyle name="20% - Accent3 3 4 2 6" xfId="5384" xr:uid="{00000000-0005-0000-0000-000088090000}"/>
    <cellStyle name="20% - Accent3 3 4 3" xfId="5385" xr:uid="{00000000-0005-0000-0000-000089090000}"/>
    <cellStyle name="20% - Accent3 3 4 3 2" xfId="5386" xr:uid="{00000000-0005-0000-0000-00008A090000}"/>
    <cellStyle name="20% - Accent3 3 4 3 3" xfId="5387" xr:uid="{00000000-0005-0000-0000-00008B090000}"/>
    <cellStyle name="20% - Accent3 3 4 3 4" xfId="5388" xr:uid="{00000000-0005-0000-0000-00008C090000}"/>
    <cellStyle name="20% - Accent3 3 4 3 5" xfId="5389" xr:uid="{00000000-0005-0000-0000-00008D090000}"/>
    <cellStyle name="20% - Accent3 3 4 4" xfId="5390" xr:uid="{00000000-0005-0000-0000-00008E090000}"/>
    <cellStyle name="20% - Accent3 3 4 4 2" xfId="5391" xr:uid="{00000000-0005-0000-0000-00008F090000}"/>
    <cellStyle name="20% - Accent3 3 4 4 3" xfId="5392" xr:uid="{00000000-0005-0000-0000-000090090000}"/>
    <cellStyle name="20% - Accent3 3 4 5" xfId="5393" xr:uid="{00000000-0005-0000-0000-000091090000}"/>
    <cellStyle name="20% - Accent3 3 4 5 2" xfId="5394" xr:uid="{00000000-0005-0000-0000-000092090000}"/>
    <cellStyle name="20% - Accent3 3 4 5 3" xfId="5395" xr:uid="{00000000-0005-0000-0000-000093090000}"/>
    <cellStyle name="20% - Accent3 3 4 6" xfId="5396" xr:uid="{00000000-0005-0000-0000-000094090000}"/>
    <cellStyle name="20% - Accent3 3 4 7" xfId="5397" xr:uid="{00000000-0005-0000-0000-000095090000}"/>
    <cellStyle name="20% - Accent3 3 4 8" xfId="5398" xr:uid="{00000000-0005-0000-0000-000096090000}"/>
    <cellStyle name="20% - Accent3 3 4 9" xfId="5399" xr:uid="{00000000-0005-0000-0000-000097090000}"/>
    <cellStyle name="20% - Accent3 3 5" xfId="5400" xr:uid="{00000000-0005-0000-0000-000098090000}"/>
    <cellStyle name="20% - Accent3 3 5 2" xfId="5401" xr:uid="{00000000-0005-0000-0000-000099090000}"/>
    <cellStyle name="20% - Accent3 3 5 2 2" xfId="5402" xr:uid="{00000000-0005-0000-0000-00009A090000}"/>
    <cellStyle name="20% - Accent3 3 5 2 3" xfId="5403" xr:uid="{00000000-0005-0000-0000-00009B090000}"/>
    <cellStyle name="20% - Accent3 3 5 2 4" xfId="5404" xr:uid="{00000000-0005-0000-0000-00009C090000}"/>
    <cellStyle name="20% - Accent3 3 5 3" xfId="5405" xr:uid="{00000000-0005-0000-0000-00009D090000}"/>
    <cellStyle name="20% - Accent3 3 5 3 2" xfId="5406" xr:uid="{00000000-0005-0000-0000-00009E090000}"/>
    <cellStyle name="20% - Accent3 3 5 3 3" xfId="5407" xr:uid="{00000000-0005-0000-0000-00009F090000}"/>
    <cellStyle name="20% - Accent3 3 5 4" xfId="5408" xr:uid="{00000000-0005-0000-0000-0000A0090000}"/>
    <cellStyle name="20% - Accent3 3 5 4 2" xfId="5409" xr:uid="{00000000-0005-0000-0000-0000A1090000}"/>
    <cellStyle name="20% - Accent3 3 5 5" xfId="5410" xr:uid="{00000000-0005-0000-0000-0000A2090000}"/>
    <cellStyle name="20% - Accent3 3 5 5 2" xfId="5411" xr:uid="{00000000-0005-0000-0000-0000A3090000}"/>
    <cellStyle name="20% - Accent3 3 5 6" xfId="5412" xr:uid="{00000000-0005-0000-0000-0000A4090000}"/>
    <cellStyle name="20% - Accent3 3 5 7" xfId="5413" xr:uid="{00000000-0005-0000-0000-0000A5090000}"/>
    <cellStyle name="20% - Accent3 3 5 8" xfId="5414" xr:uid="{00000000-0005-0000-0000-0000A6090000}"/>
    <cellStyle name="20% - Accent3 3 6" xfId="5415" xr:uid="{00000000-0005-0000-0000-0000A7090000}"/>
    <cellStyle name="20% - Accent3 3 6 2" xfId="5416" xr:uid="{00000000-0005-0000-0000-0000A8090000}"/>
    <cellStyle name="20% - Accent3 3 6 2 2" xfId="5417" xr:uid="{00000000-0005-0000-0000-0000A9090000}"/>
    <cellStyle name="20% - Accent3 3 6 2 3" xfId="5418" xr:uid="{00000000-0005-0000-0000-0000AA090000}"/>
    <cellStyle name="20% - Accent3 3 6 2 4" xfId="5419" xr:uid="{00000000-0005-0000-0000-0000AB090000}"/>
    <cellStyle name="20% - Accent3 3 6 3" xfId="5420" xr:uid="{00000000-0005-0000-0000-0000AC090000}"/>
    <cellStyle name="20% - Accent3 3 6 3 2" xfId="5421" xr:uid="{00000000-0005-0000-0000-0000AD090000}"/>
    <cellStyle name="20% - Accent3 3 6 3 3" xfId="5422" xr:uid="{00000000-0005-0000-0000-0000AE090000}"/>
    <cellStyle name="20% - Accent3 3 6 4" xfId="5423" xr:uid="{00000000-0005-0000-0000-0000AF090000}"/>
    <cellStyle name="20% - Accent3 3 6 4 2" xfId="5424" xr:uid="{00000000-0005-0000-0000-0000B0090000}"/>
    <cellStyle name="20% - Accent3 3 6 5" xfId="5425" xr:uid="{00000000-0005-0000-0000-0000B1090000}"/>
    <cellStyle name="20% - Accent3 3 6 5 2" xfId="5426" xr:uid="{00000000-0005-0000-0000-0000B2090000}"/>
    <cellStyle name="20% - Accent3 3 6 6" xfId="5427" xr:uid="{00000000-0005-0000-0000-0000B3090000}"/>
    <cellStyle name="20% - Accent3 3 6 7" xfId="5428" xr:uid="{00000000-0005-0000-0000-0000B4090000}"/>
    <cellStyle name="20% - Accent3 3 6 8" xfId="5429" xr:uid="{00000000-0005-0000-0000-0000B5090000}"/>
    <cellStyle name="20% - Accent3 3 7" xfId="5430" xr:uid="{00000000-0005-0000-0000-0000B6090000}"/>
    <cellStyle name="20% - Accent3 3 7 2" xfId="5431" xr:uid="{00000000-0005-0000-0000-0000B7090000}"/>
    <cellStyle name="20% - Accent3 3 7 2 2" xfId="5432" xr:uid="{00000000-0005-0000-0000-0000B8090000}"/>
    <cellStyle name="20% - Accent3 3 7 2 3" xfId="5433" xr:uid="{00000000-0005-0000-0000-0000B9090000}"/>
    <cellStyle name="20% - Accent3 3 7 3" xfId="5434" xr:uid="{00000000-0005-0000-0000-0000BA090000}"/>
    <cellStyle name="20% - Accent3 3 7 3 2" xfId="5435" xr:uid="{00000000-0005-0000-0000-0000BB090000}"/>
    <cellStyle name="20% - Accent3 3 7 4" xfId="5436" xr:uid="{00000000-0005-0000-0000-0000BC090000}"/>
    <cellStyle name="20% - Accent3 3 7 4 2" xfId="5437" xr:uid="{00000000-0005-0000-0000-0000BD090000}"/>
    <cellStyle name="20% - Accent3 3 7 5" xfId="5438" xr:uid="{00000000-0005-0000-0000-0000BE090000}"/>
    <cellStyle name="20% - Accent3 3 7 5 2" xfId="5439" xr:uid="{00000000-0005-0000-0000-0000BF090000}"/>
    <cellStyle name="20% - Accent3 3 7 6" xfId="5440" xr:uid="{00000000-0005-0000-0000-0000C0090000}"/>
    <cellStyle name="20% - Accent3 3 7 7" xfId="5441" xr:uid="{00000000-0005-0000-0000-0000C1090000}"/>
    <cellStyle name="20% - Accent3 3 7 8" xfId="5442" xr:uid="{00000000-0005-0000-0000-0000C2090000}"/>
    <cellStyle name="20% - Accent3 3 8" xfId="5443" xr:uid="{00000000-0005-0000-0000-0000C3090000}"/>
    <cellStyle name="20% - Accent3 3 8 2" xfId="5444" xr:uid="{00000000-0005-0000-0000-0000C4090000}"/>
    <cellStyle name="20% - Accent3 3 8 3" xfId="5445" xr:uid="{00000000-0005-0000-0000-0000C5090000}"/>
    <cellStyle name="20% - Accent3 3 8 4" xfId="5446" xr:uid="{00000000-0005-0000-0000-0000C6090000}"/>
    <cellStyle name="20% - Accent3 3 9" xfId="5447" xr:uid="{00000000-0005-0000-0000-0000C7090000}"/>
    <cellStyle name="20% - Accent3 3 9 2" xfId="5448" xr:uid="{00000000-0005-0000-0000-0000C8090000}"/>
    <cellStyle name="20% - Accent3 3 9 3" xfId="5449" xr:uid="{00000000-0005-0000-0000-0000C9090000}"/>
    <cellStyle name="20% - Accent3 30" xfId="397" xr:uid="{00000000-0005-0000-0000-0000CA090000}"/>
    <cellStyle name="20% - Accent3 30 2" xfId="398" xr:uid="{00000000-0005-0000-0000-0000CB090000}"/>
    <cellStyle name="20% - Accent3 31" xfId="399" xr:uid="{00000000-0005-0000-0000-0000CC090000}"/>
    <cellStyle name="20% - Accent3 31 2" xfId="400" xr:uid="{00000000-0005-0000-0000-0000CD090000}"/>
    <cellStyle name="20% - Accent3 32" xfId="401" xr:uid="{00000000-0005-0000-0000-0000CE090000}"/>
    <cellStyle name="20% - Accent3 32 2" xfId="402" xr:uid="{00000000-0005-0000-0000-0000CF090000}"/>
    <cellStyle name="20% - Accent3 33" xfId="403" xr:uid="{00000000-0005-0000-0000-0000D0090000}"/>
    <cellStyle name="20% - Accent3 33 2" xfId="404" xr:uid="{00000000-0005-0000-0000-0000D1090000}"/>
    <cellStyle name="20% - Accent3 34" xfId="405" xr:uid="{00000000-0005-0000-0000-0000D2090000}"/>
    <cellStyle name="20% - Accent3 34 2" xfId="406" xr:uid="{00000000-0005-0000-0000-0000D3090000}"/>
    <cellStyle name="20% - Accent3 35" xfId="407" xr:uid="{00000000-0005-0000-0000-0000D4090000}"/>
    <cellStyle name="20% - Accent3 35 2" xfId="408" xr:uid="{00000000-0005-0000-0000-0000D5090000}"/>
    <cellStyle name="20% - Accent3 36" xfId="409" xr:uid="{00000000-0005-0000-0000-0000D6090000}"/>
    <cellStyle name="20% - Accent3 36 2" xfId="410" xr:uid="{00000000-0005-0000-0000-0000D7090000}"/>
    <cellStyle name="20% - Accent3 37" xfId="411" xr:uid="{00000000-0005-0000-0000-0000D8090000}"/>
    <cellStyle name="20% - Accent3 37 2" xfId="412" xr:uid="{00000000-0005-0000-0000-0000D9090000}"/>
    <cellStyle name="20% - Accent3 38" xfId="413" xr:uid="{00000000-0005-0000-0000-0000DA090000}"/>
    <cellStyle name="20% - Accent3 39" xfId="414" xr:uid="{00000000-0005-0000-0000-0000DB090000}"/>
    <cellStyle name="20% - Accent3 4" xfId="415" xr:uid="{00000000-0005-0000-0000-0000DC090000}"/>
    <cellStyle name="20% - Accent3 4 10" xfId="5450" xr:uid="{00000000-0005-0000-0000-0000DD090000}"/>
    <cellStyle name="20% - Accent3 4 11" xfId="5451" xr:uid="{00000000-0005-0000-0000-0000DE090000}"/>
    <cellStyle name="20% - Accent3 4 12" xfId="5452" xr:uid="{00000000-0005-0000-0000-0000DF090000}"/>
    <cellStyle name="20% - Accent3 4 13" xfId="5453" xr:uid="{00000000-0005-0000-0000-0000E0090000}"/>
    <cellStyle name="20% - Accent3 4 14" xfId="5454" xr:uid="{00000000-0005-0000-0000-0000E1090000}"/>
    <cellStyle name="20% - Accent3 4 2" xfId="416" xr:uid="{00000000-0005-0000-0000-0000E2090000}"/>
    <cellStyle name="20% - Accent3 4 2 10" xfId="5455" xr:uid="{00000000-0005-0000-0000-0000E3090000}"/>
    <cellStyle name="20% - Accent3 4 2 11" xfId="5456" xr:uid="{00000000-0005-0000-0000-0000E4090000}"/>
    <cellStyle name="20% - Accent3 4 2 2" xfId="417" xr:uid="{00000000-0005-0000-0000-0000E5090000}"/>
    <cellStyle name="20% - Accent3 4 2 2 2" xfId="5457" xr:uid="{00000000-0005-0000-0000-0000E6090000}"/>
    <cellStyle name="20% - Accent3 4 2 2 2 2" xfId="5458" xr:uid="{00000000-0005-0000-0000-0000E7090000}"/>
    <cellStyle name="20% - Accent3 4 2 2 2 2 2" xfId="5459" xr:uid="{00000000-0005-0000-0000-0000E8090000}"/>
    <cellStyle name="20% - Accent3 4 2 2 2 2 3" xfId="5460" xr:uid="{00000000-0005-0000-0000-0000E9090000}"/>
    <cellStyle name="20% - Accent3 4 2 2 2 3" xfId="5461" xr:uid="{00000000-0005-0000-0000-0000EA090000}"/>
    <cellStyle name="20% - Accent3 4 2 2 2 3 2" xfId="5462" xr:uid="{00000000-0005-0000-0000-0000EB090000}"/>
    <cellStyle name="20% - Accent3 4 2 2 2 3 3" xfId="5463" xr:uid="{00000000-0005-0000-0000-0000EC090000}"/>
    <cellStyle name="20% - Accent3 4 2 2 2 4" xfId="5464" xr:uid="{00000000-0005-0000-0000-0000ED090000}"/>
    <cellStyle name="20% - Accent3 4 2 2 2 5" xfId="5465" xr:uid="{00000000-0005-0000-0000-0000EE090000}"/>
    <cellStyle name="20% - Accent3 4 2 2 2 6" xfId="5466" xr:uid="{00000000-0005-0000-0000-0000EF090000}"/>
    <cellStyle name="20% - Accent3 4 2 2 3" xfId="5467" xr:uid="{00000000-0005-0000-0000-0000F0090000}"/>
    <cellStyle name="20% - Accent3 4 2 2 3 2" xfId="5468" xr:uid="{00000000-0005-0000-0000-0000F1090000}"/>
    <cellStyle name="20% - Accent3 4 2 2 3 3" xfId="5469" xr:uid="{00000000-0005-0000-0000-0000F2090000}"/>
    <cellStyle name="20% - Accent3 4 2 2 4" xfId="5470" xr:uid="{00000000-0005-0000-0000-0000F3090000}"/>
    <cellStyle name="20% - Accent3 4 2 2 4 2" xfId="5471" xr:uid="{00000000-0005-0000-0000-0000F4090000}"/>
    <cellStyle name="20% - Accent3 4 2 2 4 3" xfId="5472" xr:uid="{00000000-0005-0000-0000-0000F5090000}"/>
    <cellStyle name="20% - Accent3 4 2 2 5" xfId="5473" xr:uid="{00000000-0005-0000-0000-0000F6090000}"/>
    <cellStyle name="20% - Accent3 4 2 2 6" xfId="5474" xr:uid="{00000000-0005-0000-0000-0000F7090000}"/>
    <cellStyle name="20% - Accent3 4 2 2 7" xfId="5475" xr:uid="{00000000-0005-0000-0000-0000F8090000}"/>
    <cellStyle name="20% - Accent3 4 2 2 8" xfId="5476" xr:uid="{00000000-0005-0000-0000-0000F9090000}"/>
    <cellStyle name="20% - Accent3 4 2 3" xfId="418" xr:uid="{00000000-0005-0000-0000-0000FA090000}"/>
    <cellStyle name="20% - Accent3 4 2 3 2" xfId="5477" xr:uid="{00000000-0005-0000-0000-0000FB090000}"/>
    <cellStyle name="20% - Accent3 4 2 3 2 2" xfId="5478" xr:uid="{00000000-0005-0000-0000-0000FC090000}"/>
    <cellStyle name="20% - Accent3 4 2 3 2 3" xfId="5479" xr:uid="{00000000-0005-0000-0000-0000FD090000}"/>
    <cellStyle name="20% - Accent3 4 2 3 3" xfId="5480" xr:uid="{00000000-0005-0000-0000-0000FE090000}"/>
    <cellStyle name="20% - Accent3 4 2 3 3 2" xfId="5481" xr:uid="{00000000-0005-0000-0000-0000FF090000}"/>
    <cellStyle name="20% - Accent3 4 2 3 3 3" xfId="5482" xr:uid="{00000000-0005-0000-0000-0000000A0000}"/>
    <cellStyle name="20% - Accent3 4 2 3 4" xfId="5483" xr:uid="{00000000-0005-0000-0000-0000010A0000}"/>
    <cellStyle name="20% - Accent3 4 2 3 5" xfId="5484" xr:uid="{00000000-0005-0000-0000-0000020A0000}"/>
    <cellStyle name="20% - Accent3 4 2 3 6" xfId="5485" xr:uid="{00000000-0005-0000-0000-0000030A0000}"/>
    <cellStyle name="20% - Accent3 4 2 4" xfId="5486" xr:uid="{00000000-0005-0000-0000-0000040A0000}"/>
    <cellStyle name="20% - Accent3 4 2 4 2" xfId="5487" xr:uid="{00000000-0005-0000-0000-0000050A0000}"/>
    <cellStyle name="20% - Accent3 4 2 4 3" xfId="5488" xr:uid="{00000000-0005-0000-0000-0000060A0000}"/>
    <cellStyle name="20% - Accent3 4 2 5" xfId="5489" xr:uid="{00000000-0005-0000-0000-0000070A0000}"/>
    <cellStyle name="20% - Accent3 4 2 5 2" xfId="5490" xr:uid="{00000000-0005-0000-0000-0000080A0000}"/>
    <cellStyle name="20% - Accent3 4 2 5 3" xfId="5491" xr:uid="{00000000-0005-0000-0000-0000090A0000}"/>
    <cellStyle name="20% - Accent3 4 2 6" xfId="5492" xr:uid="{00000000-0005-0000-0000-00000A0A0000}"/>
    <cellStyle name="20% - Accent3 4 2 7" xfId="5493" xr:uid="{00000000-0005-0000-0000-00000B0A0000}"/>
    <cellStyle name="20% - Accent3 4 2 8" xfId="5494" xr:uid="{00000000-0005-0000-0000-00000C0A0000}"/>
    <cellStyle name="20% - Accent3 4 2 9" xfId="5495" xr:uid="{00000000-0005-0000-0000-00000D0A0000}"/>
    <cellStyle name="20% - Accent3 4 3" xfId="419" xr:uid="{00000000-0005-0000-0000-00000E0A0000}"/>
    <cellStyle name="20% - Accent3 4 3 10" xfId="5496" xr:uid="{00000000-0005-0000-0000-00000F0A0000}"/>
    <cellStyle name="20% - Accent3 4 3 2" xfId="5497" xr:uid="{00000000-0005-0000-0000-0000100A0000}"/>
    <cellStyle name="20% - Accent3 4 3 2 2" xfId="5498" xr:uid="{00000000-0005-0000-0000-0000110A0000}"/>
    <cellStyle name="20% - Accent3 4 3 2 2 2" xfId="5499" xr:uid="{00000000-0005-0000-0000-0000120A0000}"/>
    <cellStyle name="20% - Accent3 4 3 2 2 3" xfId="5500" xr:uid="{00000000-0005-0000-0000-0000130A0000}"/>
    <cellStyle name="20% - Accent3 4 3 2 3" xfId="5501" xr:uid="{00000000-0005-0000-0000-0000140A0000}"/>
    <cellStyle name="20% - Accent3 4 3 2 3 2" xfId="5502" xr:uid="{00000000-0005-0000-0000-0000150A0000}"/>
    <cellStyle name="20% - Accent3 4 3 2 3 3" xfId="5503" xr:uid="{00000000-0005-0000-0000-0000160A0000}"/>
    <cellStyle name="20% - Accent3 4 3 2 4" xfId="5504" xr:uid="{00000000-0005-0000-0000-0000170A0000}"/>
    <cellStyle name="20% - Accent3 4 3 2 5" xfId="5505" xr:uid="{00000000-0005-0000-0000-0000180A0000}"/>
    <cellStyle name="20% - Accent3 4 3 2 6" xfId="5506" xr:uid="{00000000-0005-0000-0000-0000190A0000}"/>
    <cellStyle name="20% - Accent3 4 3 3" xfId="5507" xr:uid="{00000000-0005-0000-0000-00001A0A0000}"/>
    <cellStyle name="20% - Accent3 4 3 3 2" xfId="5508" xr:uid="{00000000-0005-0000-0000-00001B0A0000}"/>
    <cellStyle name="20% - Accent3 4 3 3 3" xfId="5509" xr:uid="{00000000-0005-0000-0000-00001C0A0000}"/>
    <cellStyle name="20% - Accent3 4 3 4" xfId="5510" xr:uid="{00000000-0005-0000-0000-00001D0A0000}"/>
    <cellStyle name="20% - Accent3 4 3 4 2" xfId="5511" xr:uid="{00000000-0005-0000-0000-00001E0A0000}"/>
    <cellStyle name="20% - Accent3 4 3 4 3" xfId="5512" xr:uid="{00000000-0005-0000-0000-00001F0A0000}"/>
    <cellStyle name="20% - Accent3 4 3 5" xfId="5513" xr:uid="{00000000-0005-0000-0000-0000200A0000}"/>
    <cellStyle name="20% - Accent3 4 3 6" xfId="5514" xr:uid="{00000000-0005-0000-0000-0000210A0000}"/>
    <cellStyle name="20% - Accent3 4 3 7" xfId="5515" xr:uid="{00000000-0005-0000-0000-0000220A0000}"/>
    <cellStyle name="20% - Accent3 4 3 8" xfId="5516" xr:uid="{00000000-0005-0000-0000-0000230A0000}"/>
    <cellStyle name="20% - Accent3 4 3 9" xfId="5517" xr:uid="{00000000-0005-0000-0000-0000240A0000}"/>
    <cellStyle name="20% - Accent3 4 4" xfId="420" xr:uid="{00000000-0005-0000-0000-0000250A0000}"/>
    <cellStyle name="20% - Accent3 4 4 2" xfId="5518" xr:uid="{00000000-0005-0000-0000-0000260A0000}"/>
    <cellStyle name="20% - Accent3 4 4 2 2" xfId="5519" xr:uid="{00000000-0005-0000-0000-0000270A0000}"/>
    <cellStyle name="20% - Accent3 4 4 2 3" xfId="5520" xr:uid="{00000000-0005-0000-0000-0000280A0000}"/>
    <cellStyle name="20% - Accent3 4 4 3" xfId="5521" xr:uid="{00000000-0005-0000-0000-0000290A0000}"/>
    <cellStyle name="20% - Accent3 4 4 3 2" xfId="5522" xr:uid="{00000000-0005-0000-0000-00002A0A0000}"/>
    <cellStyle name="20% - Accent3 4 4 3 3" xfId="5523" xr:uid="{00000000-0005-0000-0000-00002B0A0000}"/>
    <cellStyle name="20% - Accent3 4 4 4" xfId="5524" xr:uid="{00000000-0005-0000-0000-00002C0A0000}"/>
    <cellStyle name="20% - Accent3 4 4 5" xfId="5525" xr:uid="{00000000-0005-0000-0000-00002D0A0000}"/>
    <cellStyle name="20% - Accent3 4 4 6" xfId="5526" xr:uid="{00000000-0005-0000-0000-00002E0A0000}"/>
    <cellStyle name="20% - Accent3 4 5" xfId="5527" xr:uid="{00000000-0005-0000-0000-00002F0A0000}"/>
    <cellStyle name="20% - Accent3 4 5 2" xfId="5528" xr:uid="{00000000-0005-0000-0000-0000300A0000}"/>
    <cellStyle name="20% - Accent3 4 5 3" xfId="5529" xr:uid="{00000000-0005-0000-0000-0000310A0000}"/>
    <cellStyle name="20% - Accent3 4 6" xfId="5530" xr:uid="{00000000-0005-0000-0000-0000320A0000}"/>
    <cellStyle name="20% - Accent3 4 6 2" xfId="5531" xr:uid="{00000000-0005-0000-0000-0000330A0000}"/>
    <cellStyle name="20% - Accent3 4 6 3" xfId="5532" xr:uid="{00000000-0005-0000-0000-0000340A0000}"/>
    <cellStyle name="20% - Accent3 4 7" xfId="5533" xr:uid="{00000000-0005-0000-0000-0000350A0000}"/>
    <cellStyle name="20% - Accent3 4 8" xfId="5534" xr:uid="{00000000-0005-0000-0000-0000360A0000}"/>
    <cellStyle name="20% - Accent3 4 9" xfId="5535" xr:uid="{00000000-0005-0000-0000-0000370A0000}"/>
    <cellStyle name="20% - Accent3 40" xfId="421" xr:uid="{00000000-0005-0000-0000-0000380A0000}"/>
    <cellStyle name="20% - Accent3 41" xfId="422" xr:uid="{00000000-0005-0000-0000-0000390A0000}"/>
    <cellStyle name="20% - Accent3 42" xfId="423" xr:uid="{00000000-0005-0000-0000-00003A0A0000}"/>
    <cellStyle name="20% - Accent3 43" xfId="5536" xr:uid="{00000000-0005-0000-0000-00003B0A0000}"/>
    <cellStyle name="20% - Accent3 44" xfId="5537" xr:uid="{00000000-0005-0000-0000-00003C0A0000}"/>
    <cellStyle name="20% - Accent3 45" xfId="5538" xr:uid="{00000000-0005-0000-0000-00003D0A0000}"/>
    <cellStyle name="20% - Accent3 46" xfId="5539" xr:uid="{00000000-0005-0000-0000-00003E0A0000}"/>
    <cellStyle name="20% - Accent3 47" xfId="5540" xr:uid="{00000000-0005-0000-0000-00003F0A0000}"/>
    <cellStyle name="20% - Accent3 48" xfId="5541" xr:uid="{00000000-0005-0000-0000-0000400A0000}"/>
    <cellStyle name="20% - Accent3 5" xfId="424" xr:uid="{00000000-0005-0000-0000-0000410A0000}"/>
    <cellStyle name="20% - Accent3 5 2" xfId="425" xr:uid="{00000000-0005-0000-0000-0000420A0000}"/>
    <cellStyle name="20% - Accent3 5 2 2" xfId="426" xr:uid="{00000000-0005-0000-0000-0000430A0000}"/>
    <cellStyle name="20% - Accent3 5 2 3" xfId="427" xr:uid="{00000000-0005-0000-0000-0000440A0000}"/>
    <cellStyle name="20% - Accent3 5 3" xfId="428" xr:uid="{00000000-0005-0000-0000-0000450A0000}"/>
    <cellStyle name="20% - Accent3 5 4" xfId="429" xr:uid="{00000000-0005-0000-0000-0000460A0000}"/>
    <cellStyle name="20% - Accent3 5 5" xfId="5542" xr:uid="{00000000-0005-0000-0000-0000470A0000}"/>
    <cellStyle name="20% - Accent3 6" xfId="430" xr:uid="{00000000-0005-0000-0000-0000480A0000}"/>
    <cellStyle name="20% - Accent3 6 10" xfId="5543" xr:uid="{00000000-0005-0000-0000-0000490A0000}"/>
    <cellStyle name="20% - Accent3 6 11" xfId="5544" xr:uid="{00000000-0005-0000-0000-00004A0A0000}"/>
    <cellStyle name="20% - Accent3 6 12" xfId="5545" xr:uid="{00000000-0005-0000-0000-00004B0A0000}"/>
    <cellStyle name="20% - Accent3 6 2" xfId="431" xr:uid="{00000000-0005-0000-0000-00004C0A0000}"/>
    <cellStyle name="20% - Accent3 6 2 2" xfId="5546" xr:uid="{00000000-0005-0000-0000-00004D0A0000}"/>
    <cellStyle name="20% - Accent3 6 2 2 2" xfId="5547" xr:uid="{00000000-0005-0000-0000-00004E0A0000}"/>
    <cellStyle name="20% - Accent3 6 2 2 2 2" xfId="5548" xr:uid="{00000000-0005-0000-0000-00004F0A0000}"/>
    <cellStyle name="20% - Accent3 6 2 2 2 3" xfId="5549" xr:uid="{00000000-0005-0000-0000-0000500A0000}"/>
    <cellStyle name="20% - Accent3 6 2 2 3" xfId="5550" xr:uid="{00000000-0005-0000-0000-0000510A0000}"/>
    <cellStyle name="20% - Accent3 6 2 2 3 2" xfId="5551" xr:uid="{00000000-0005-0000-0000-0000520A0000}"/>
    <cellStyle name="20% - Accent3 6 2 2 3 3" xfId="5552" xr:uid="{00000000-0005-0000-0000-0000530A0000}"/>
    <cellStyle name="20% - Accent3 6 2 2 4" xfId="5553" xr:uid="{00000000-0005-0000-0000-0000540A0000}"/>
    <cellStyle name="20% - Accent3 6 2 2 5" xfId="5554" xr:uid="{00000000-0005-0000-0000-0000550A0000}"/>
    <cellStyle name="20% - Accent3 6 2 2 6" xfId="5555" xr:uid="{00000000-0005-0000-0000-0000560A0000}"/>
    <cellStyle name="20% - Accent3 6 2 3" xfId="5556" xr:uid="{00000000-0005-0000-0000-0000570A0000}"/>
    <cellStyle name="20% - Accent3 6 2 3 2" xfId="5557" xr:uid="{00000000-0005-0000-0000-0000580A0000}"/>
    <cellStyle name="20% - Accent3 6 2 3 3" xfId="5558" xr:uid="{00000000-0005-0000-0000-0000590A0000}"/>
    <cellStyle name="20% - Accent3 6 2 4" xfId="5559" xr:uid="{00000000-0005-0000-0000-00005A0A0000}"/>
    <cellStyle name="20% - Accent3 6 2 4 2" xfId="5560" xr:uid="{00000000-0005-0000-0000-00005B0A0000}"/>
    <cellStyle name="20% - Accent3 6 2 4 3" xfId="5561" xr:uid="{00000000-0005-0000-0000-00005C0A0000}"/>
    <cellStyle name="20% - Accent3 6 2 5" xfId="5562" xr:uid="{00000000-0005-0000-0000-00005D0A0000}"/>
    <cellStyle name="20% - Accent3 6 2 6" xfId="5563" xr:uid="{00000000-0005-0000-0000-00005E0A0000}"/>
    <cellStyle name="20% - Accent3 6 2 7" xfId="5564" xr:uid="{00000000-0005-0000-0000-00005F0A0000}"/>
    <cellStyle name="20% - Accent3 6 2 8" xfId="5565" xr:uid="{00000000-0005-0000-0000-0000600A0000}"/>
    <cellStyle name="20% - Accent3 6 3" xfId="432" xr:uid="{00000000-0005-0000-0000-0000610A0000}"/>
    <cellStyle name="20% - Accent3 6 3 2" xfId="5566" xr:uid="{00000000-0005-0000-0000-0000620A0000}"/>
    <cellStyle name="20% - Accent3 6 3 2 2" xfId="5567" xr:uid="{00000000-0005-0000-0000-0000630A0000}"/>
    <cellStyle name="20% - Accent3 6 3 2 2 2" xfId="5568" xr:uid="{00000000-0005-0000-0000-0000640A0000}"/>
    <cellStyle name="20% - Accent3 6 3 2 3" xfId="5569" xr:uid="{00000000-0005-0000-0000-0000650A0000}"/>
    <cellStyle name="20% - Accent3 6 3 3" xfId="5570" xr:uid="{00000000-0005-0000-0000-0000660A0000}"/>
    <cellStyle name="20% - Accent3 6 3 3 2" xfId="5571" xr:uid="{00000000-0005-0000-0000-0000670A0000}"/>
    <cellStyle name="20% - Accent3 6 3 3 3" xfId="5572" xr:uid="{00000000-0005-0000-0000-0000680A0000}"/>
    <cellStyle name="20% - Accent3 6 3 4" xfId="5573" xr:uid="{00000000-0005-0000-0000-0000690A0000}"/>
    <cellStyle name="20% - Accent3 6 3 5" xfId="5574" xr:uid="{00000000-0005-0000-0000-00006A0A0000}"/>
    <cellStyle name="20% - Accent3 6 3 6" xfId="5575" xr:uid="{00000000-0005-0000-0000-00006B0A0000}"/>
    <cellStyle name="20% - Accent3 6 4" xfId="5576" xr:uid="{00000000-0005-0000-0000-00006C0A0000}"/>
    <cellStyle name="20% - Accent3 6 4 2" xfId="5577" xr:uid="{00000000-0005-0000-0000-00006D0A0000}"/>
    <cellStyle name="20% - Accent3 6 4 3" xfId="5578" xr:uid="{00000000-0005-0000-0000-00006E0A0000}"/>
    <cellStyle name="20% - Accent3 6 5" xfId="5579" xr:uid="{00000000-0005-0000-0000-00006F0A0000}"/>
    <cellStyle name="20% - Accent3 6 5 2" xfId="5580" xr:uid="{00000000-0005-0000-0000-0000700A0000}"/>
    <cellStyle name="20% - Accent3 6 5 3" xfId="5581" xr:uid="{00000000-0005-0000-0000-0000710A0000}"/>
    <cellStyle name="20% - Accent3 6 6" xfId="5582" xr:uid="{00000000-0005-0000-0000-0000720A0000}"/>
    <cellStyle name="20% - Accent3 6 7" xfId="5583" xr:uid="{00000000-0005-0000-0000-0000730A0000}"/>
    <cellStyle name="20% - Accent3 6 8" xfId="5584" xr:uid="{00000000-0005-0000-0000-0000740A0000}"/>
    <cellStyle name="20% - Accent3 6 9" xfId="5585" xr:uid="{00000000-0005-0000-0000-0000750A0000}"/>
    <cellStyle name="20% - Accent3 7" xfId="433" xr:uid="{00000000-0005-0000-0000-0000760A0000}"/>
    <cellStyle name="20% - Accent3 7 10" xfId="5586" xr:uid="{00000000-0005-0000-0000-0000770A0000}"/>
    <cellStyle name="20% - Accent3 7 11" xfId="5587" xr:uid="{00000000-0005-0000-0000-0000780A0000}"/>
    <cellStyle name="20% - Accent3 7 2" xfId="434" xr:uid="{00000000-0005-0000-0000-0000790A0000}"/>
    <cellStyle name="20% - Accent3 7 2 2" xfId="5588" xr:uid="{00000000-0005-0000-0000-00007A0A0000}"/>
    <cellStyle name="20% - Accent3 7 2 2 2" xfId="5589" xr:uid="{00000000-0005-0000-0000-00007B0A0000}"/>
    <cellStyle name="20% - Accent3 7 2 2 2 2" xfId="5590" xr:uid="{00000000-0005-0000-0000-00007C0A0000}"/>
    <cellStyle name="20% - Accent3 7 2 2 2 3" xfId="5591" xr:uid="{00000000-0005-0000-0000-00007D0A0000}"/>
    <cellStyle name="20% - Accent3 7 2 2 3" xfId="5592" xr:uid="{00000000-0005-0000-0000-00007E0A0000}"/>
    <cellStyle name="20% - Accent3 7 2 2 3 2" xfId="5593" xr:uid="{00000000-0005-0000-0000-00007F0A0000}"/>
    <cellStyle name="20% - Accent3 7 2 2 3 3" xfId="5594" xr:uid="{00000000-0005-0000-0000-0000800A0000}"/>
    <cellStyle name="20% - Accent3 7 2 2 4" xfId="5595" xr:uid="{00000000-0005-0000-0000-0000810A0000}"/>
    <cellStyle name="20% - Accent3 7 2 2 5" xfId="5596" xr:uid="{00000000-0005-0000-0000-0000820A0000}"/>
    <cellStyle name="20% - Accent3 7 2 2 6" xfId="5597" xr:uid="{00000000-0005-0000-0000-0000830A0000}"/>
    <cellStyle name="20% - Accent3 7 2 3" xfId="5598" xr:uid="{00000000-0005-0000-0000-0000840A0000}"/>
    <cellStyle name="20% - Accent3 7 2 3 2" xfId="5599" xr:uid="{00000000-0005-0000-0000-0000850A0000}"/>
    <cellStyle name="20% - Accent3 7 2 3 3" xfId="5600" xr:uid="{00000000-0005-0000-0000-0000860A0000}"/>
    <cellStyle name="20% - Accent3 7 2 4" xfId="5601" xr:uid="{00000000-0005-0000-0000-0000870A0000}"/>
    <cellStyle name="20% - Accent3 7 2 4 2" xfId="5602" xr:uid="{00000000-0005-0000-0000-0000880A0000}"/>
    <cellStyle name="20% - Accent3 7 2 4 3" xfId="5603" xr:uid="{00000000-0005-0000-0000-0000890A0000}"/>
    <cellStyle name="20% - Accent3 7 2 5" xfId="5604" xr:uid="{00000000-0005-0000-0000-00008A0A0000}"/>
    <cellStyle name="20% - Accent3 7 2 6" xfId="5605" xr:uid="{00000000-0005-0000-0000-00008B0A0000}"/>
    <cellStyle name="20% - Accent3 7 2 7" xfId="5606" xr:uid="{00000000-0005-0000-0000-00008C0A0000}"/>
    <cellStyle name="20% - Accent3 7 2 8" xfId="5607" xr:uid="{00000000-0005-0000-0000-00008D0A0000}"/>
    <cellStyle name="20% - Accent3 7 3" xfId="435" xr:uid="{00000000-0005-0000-0000-00008E0A0000}"/>
    <cellStyle name="20% - Accent3 7 3 2" xfId="5608" xr:uid="{00000000-0005-0000-0000-00008F0A0000}"/>
    <cellStyle name="20% - Accent3 7 3 2 2" xfId="5609" xr:uid="{00000000-0005-0000-0000-0000900A0000}"/>
    <cellStyle name="20% - Accent3 7 3 2 2 2" xfId="5610" xr:uid="{00000000-0005-0000-0000-0000910A0000}"/>
    <cellStyle name="20% - Accent3 7 3 2 3" xfId="5611" xr:uid="{00000000-0005-0000-0000-0000920A0000}"/>
    <cellStyle name="20% - Accent3 7 3 3" xfId="5612" xr:uid="{00000000-0005-0000-0000-0000930A0000}"/>
    <cellStyle name="20% - Accent3 7 3 3 2" xfId="5613" xr:uid="{00000000-0005-0000-0000-0000940A0000}"/>
    <cellStyle name="20% - Accent3 7 3 3 3" xfId="5614" xr:uid="{00000000-0005-0000-0000-0000950A0000}"/>
    <cellStyle name="20% - Accent3 7 3 4" xfId="5615" xr:uid="{00000000-0005-0000-0000-0000960A0000}"/>
    <cellStyle name="20% - Accent3 7 3 5" xfId="5616" xr:uid="{00000000-0005-0000-0000-0000970A0000}"/>
    <cellStyle name="20% - Accent3 7 3 6" xfId="5617" xr:uid="{00000000-0005-0000-0000-0000980A0000}"/>
    <cellStyle name="20% - Accent3 7 4" xfId="5618" xr:uid="{00000000-0005-0000-0000-0000990A0000}"/>
    <cellStyle name="20% - Accent3 7 4 2" xfId="5619" xr:uid="{00000000-0005-0000-0000-00009A0A0000}"/>
    <cellStyle name="20% - Accent3 7 4 3" xfId="5620" xr:uid="{00000000-0005-0000-0000-00009B0A0000}"/>
    <cellStyle name="20% - Accent3 7 5" xfId="5621" xr:uid="{00000000-0005-0000-0000-00009C0A0000}"/>
    <cellStyle name="20% - Accent3 7 5 2" xfId="5622" xr:uid="{00000000-0005-0000-0000-00009D0A0000}"/>
    <cellStyle name="20% - Accent3 7 5 3" xfId="5623" xr:uid="{00000000-0005-0000-0000-00009E0A0000}"/>
    <cellStyle name="20% - Accent3 7 6" xfId="5624" xr:uid="{00000000-0005-0000-0000-00009F0A0000}"/>
    <cellStyle name="20% - Accent3 7 7" xfId="5625" xr:uid="{00000000-0005-0000-0000-0000A00A0000}"/>
    <cellStyle name="20% - Accent3 7 8" xfId="5626" xr:uid="{00000000-0005-0000-0000-0000A10A0000}"/>
    <cellStyle name="20% - Accent3 7 9" xfId="5627" xr:uid="{00000000-0005-0000-0000-0000A20A0000}"/>
    <cellStyle name="20% - Accent3 8" xfId="436" xr:uid="{00000000-0005-0000-0000-0000A30A0000}"/>
    <cellStyle name="20% - Accent3 8 10" xfId="5628" xr:uid="{00000000-0005-0000-0000-0000A40A0000}"/>
    <cellStyle name="20% - Accent3 8 11" xfId="5629" xr:uid="{00000000-0005-0000-0000-0000A50A0000}"/>
    <cellStyle name="20% - Accent3 8 2" xfId="437" xr:uid="{00000000-0005-0000-0000-0000A60A0000}"/>
    <cellStyle name="20% - Accent3 8 2 2" xfId="5630" xr:uid="{00000000-0005-0000-0000-0000A70A0000}"/>
    <cellStyle name="20% - Accent3 8 2 2 2" xfId="5631" xr:uid="{00000000-0005-0000-0000-0000A80A0000}"/>
    <cellStyle name="20% - Accent3 8 2 2 2 2" xfId="5632" xr:uid="{00000000-0005-0000-0000-0000A90A0000}"/>
    <cellStyle name="20% - Accent3 8 2 2 2 3" xfId="5633" xr:uid="{00000000-0005-0000-0000-0000AA0A0000}"/>
    <cellStyle name="20% - Accent3 8 2 2 3" xfId="5634" xr:uid="{00000000-0005-0000-0000-0000AB0A0000}"/>
    <cellStyle name="20% - Accent3 8 2 2 3 2" xfId="5635" xr:uid="{00000000-0005-0000-0000-0000AC0A0000}"/>
    <cellStyle name="20% - Accent3 8 2 2 3 3" xfId="5636" xr:uid="{00000000-0005-0000-0000-0000AD0A0000}"/>
    <cellStyle name="20% - Accent3 8 2 2 4" xfId="5637" xr:uid="{00000000-0005-0000-0000-0000AE0A0000}"/>
    <cellStyle name="20% - Accent3 8 2 2 5" xfId="5638" xr:uid="{00000000-0005-0000-0000-0000AF0A0000}"/>
    <cellStyle name="20% - Accent3 8 2 2 6" xfId="5639" xr:uid="{00000000-0005-0000-0000-0000B00A0000}"/>
    <cellStyle name="20% - Accent3 8 2 3" xfId="5640" xr:uid="{00000000-0005-0000-0000-0000B10A0000}"/>
    <cellStyle name="20% - Accent3 8 2 3 2" xfId="5641" xr:uid="{00000000-0005-0000-0000-0000B20A0000}"/>
    <cellStyle name="20% - Accent3 8 2 3 3" xfId="5642" xr:uid="{00000000-0005-0000-0000-0000B30A0000}"/>
    <cellStyle name="20% - Accent3 8 2 4" xfId="5643" xr:uid="{00000000-0005-0000-0000-0000B40A0000}"/>
    <cellStyle name="20% - Accent3 8 2 4 2" xfId="5644" xr:uid="{00000000-0005-0000-0000-0000B50A0000}"/>
    <cellStyle name="20% - Accent3 8 2 4 3" xfId="5645" xr:uid="{00000000-0005-0000-0000-0000B60A0000}"/>
    <cellStyle name="20% - Accent3 8 2 5" xfId="5646" xr:uid="{00000000-0005-0000-0000-0000B70A0000}"/>
    <cellStyle name="20% - Accent3 8 2 6" xfId="5647" xr:uid="{00000000-0005-0000-0000-0000B80A0000}"/>
    <cellStyle name="20% - Accent3 8 2 7" xfId="5648" xr:uid="{00000000-0005-0000-0000-0000B90A0000}"/>
    <cellStyle name="20% - Accent3 8 2 8" xfId="5649" xr:uid="{00000000-0005-0000-0000-0000BA0A0000}"/>
    <cellStyle name="20% - Accent3 8 3" xfId="5650" xr:uid="{00000000-0005-0000-0000-0000BB0A0000}"/>
    <cellStyle name="20% - Accent3 8 3 2" xfId="5651" xr:uid="{00000000-0005-0000-0000-0000BC0A0000}"/>
    <cellStyle name="20% - Accent3 8 3 2 2" xfId="5652" xr:uid="{00000000-0005-0000-0000-0000BD0A0000}"/>
    <cellStyle name="20% - Accent3 8 3 2 2 2" xfId="5653" xr:uid="{00000000-0005-0000-0000-0000BE0A0000}"/>
    <cellStyle name="20% - Accent3 8 3 2 3" xfId="5654" xr:uid="{00000000-0005-0000-0000-0000BF0A0000}"/>
    <cellStyle name="20% - Accent3 8 3 3" xfId="5655" xr:uid="{00000000-0005-0000-0000-0000C00A0000}"/>
    <cellStyle name="20% - Accent3 8 3 3 2" xfId="5656" xr:uid="{00000000-0005-0000-0000-0000C10A0000}"/>
    <cellStyle name="20% - Accent3 8 3 3 3" xfId="5657" xr:uid="{00000000-0005-0000-0000-0000C20A0000}"/>
    <cellStyle name="20% - Accent3 8 3 4" xfId="5658" xr:uid="{00000000-0005-0000-0000-0000C30A0000}"/>
    <cellStyle name="20% - Accent3 8 3 5" xfId="5659" xr:uid="{00000000-0005-0000-0000-0000C40A0000}"/>
    <cellStyle name="20% - Accent3 8 3 6" xfId="5660" xr:uid="{00000000-0005-0000-0000-0000C50A0000}"/>
    <cellStyle name="20% - Accent3 8 4" xfId="5661" xr:uid="{00000000-0005-0000-0000-0000C60A0000}"/>
    <cellStyle name="20% - Accent3 8 4 2" xfId="5662" xr:uid="{00000000-0005-0000-0000-0000C70A0000}"/>
    <cellStyle name="20% - Accent3 8 4 3" xfId="5663" xr:uid="{00000000-0005-0000-0000-0000C80A0000}"/>
    <cellStyle name="20% - Accent3 8 5" xfId="5664" xr:uid="{00000000-0005-0000-0000-0000C90A0000}"/>
    <cellStyle name="20% - Accent3 8 5 2" xfId="5665" xr:uid="{00000000-0005-0000-0000-0000CA0A0000}"/>
    <cellStyle name="20% - Accent3 8 5 3" xfId="5666" xr:uid="{00000000-0005-0000-0000-0000CB0A0000}"/>
    <cellStyle name="20% - Accent3 8 6" xfId="5667" xr:uid="{00000000-0005-0000-0000-0000CC0A0000}"/>
    <cellStyle name="20% - Accent3 8 7" xfId="5668" xr:uid="{00000000-0005-0000-0000-0000CD0A0000}"/>
    <cellStyle name="20% - Accent3 8 8" xfId="5669" xr:uid="{00000000-0005-0000-0000-0000CE0A0000}"/>
    <cellStyle name="20% - Accent3 8 9" xfId="5670" xr:uid="{00000000-0005-0000-0000-0000CF0A0000}"/>
    <cellStyle name="20% - Accent3 9" xfId="438" xr:uid="{00000000-0005-0000-0000-0000D00A0000}"/>
    <cellStyle name="20% - Accent3 9 10" xfId="5671" xr:uid="{00000000-0005-0000-0000-0000D10A0000}"/>
    <cellStyle name="20% - Accent3 9 11" xfId="5672" xr:uid="{00000000-0005-0000-0000-0000D20A0000}"/>
    <cellStyle name="20% - Accent3 9 2" xfId="439" xr:uid="{00000000-0005-0000-0000-0000D30A0000}"/>
    <cellStyle name="20% - Accent3 9 2 2" xfId="5673" xr:uid="{00000000-0005-0000-0000-0000D40A0000}"/>
    <cellStyle name="20% - Accent3 9 2 2 2" xfId="5674" xr:uid="{00000000-0005-0000-0000-0000D50A0000}"/>
    <cellStyle name="20% - Accent3 9 2 2 2 2" xfId="5675" xr:uid="{00000000-0005-0000-0000-0000D60A0000}"/>
    <cellStyle name="20% - Accent3 9 2 2 2 3" xfId="5676" xr:uid="{00000000-0005-0000-0000-0000D70A0000}"/>
    <cellStyle name="20% - Accent3 9 2 2 3" xfId="5677" xr:uid="{00000000-0005-0000-0000-0000D80A0000}"/>
    <cellStyle name="20% - Accent3 9 2 2 3 2" xfId="5678" xr:uid="{00000000-0005-0000-0000-0000D90A0000}"/>
    <cellStyle name="20% - Accent3 9 2 2 3 3" xfId="5679" xr:uid="{00000000-0005-0000-0000-0000DA0A0000}"/>
    <cellStyle name="20% - Accent3 9 2 2 4" xfId="5680" xr:uid="{00000000-0005-0000-0000-0000DB0A0000}"/>
    <cellStyle name="20% - Accent3 9 2 2 5" xfId="5681" xr:uid="{00000000-0005-0000-0000-0000DC0A0000}"/>
    <cellStyle name="20% - Accent3 9 2 2 6" xfId="5682" xr:uid="{00000000-0005-0000-0000-0000DD0A0000}"/>
    <cellStyle name="20% - Accent3 9 2 3" xfId="5683" xr:uid="{00000000-0005-0000-0000-0000DE0A0000}"/>
    <cellStyle name="20% - Accent3 9 2 3 2" xfId="5684" xr:uid="{00000000-0005-0000-0000-0000DF0A0000}"/>
    <cellStyle name="20% - Accent3 9 2 3 3" xfId="5685" xr:uid="{00000000-0005-0000-0000-0000E00A0000}"/>
    <cellStyle name="20% - Accent3 9 2 4" xfId="5686" xr:uid="{00000000-0005-0000-0000-0000E10A0000}"/>
    <cellStyle name="20% - Accent3 9 2 4 2" xfId="5687" xr:uid="{00000000-0005-0000-0000-0000E20A0000}"/>
    <cellStyle name="20% - Accent3 9 2 4 3" xfId="5688" xr:uid="{00000000-0005-0000-0000-0000E30A0000}"/>
    <cellStyle name="20% - Accent3 9 2 5" xfId="5689" xr:uid="{00000000-0005-0000-0000-0000E40A0000}"/>
    <cellStyle name="20% - Accent3 9 2 6" xfId="5690" xr:uid="{00000000-0005-0000-0000-0000E50A0000}"/>
    <cellStyle name="20% - Accent3 9 2 7" xfId="5691" xr:uid="{00000000-0005-0000-0000-0000E60A0000}"/>
    <cellStyle name="20% - Accent3 9 2 8" xfId="5692" xr:uid="{00000000-0005-0000-0000-0000E70A0000}"/>
    <cellStyle name="20% - Accent3 9 3" xfId="5693" xr:uid="{00000000-0005-0000-0000-0000E80A0000}"/>
    <cellStyle name="20% - Accent3 9 3 2" xfId="5694" xr:uid="{00000000-0005-0000-0000-0000E90A0000}"/>
    <cellStyle name="20% - Accent3 9 3 2 2" xfId="5695" xr:uid="{00000000-0005-0000-0000-0000EA0A0000}"/>
    <cellStyle name="20% - Accent3 9 3 2 2 2" xfId="5696" xr:uid="{00000000-0005-0000-0000-0000EB0A0000}"/>
    <cellStyle name="20% - Accent3 9 3 2 3" xfId="5697" xr:uid="{00000000-0005-0000-0000-0000EC0A0000}"/>
    <cellStyle name="20% - Accent3 9 3 3" xfId="5698" xr:uid="{00000000-0005-0000-0000-0000ED0A0000}"/>
    <cellStyle name="20% - Accent3 9 3 3 2" xfId="5699" xr:uid="{00000000-0005-0000-0000-0000EE0A0000}"/>
    <cellStyle name="20% - Accent3 9 3 3 3" xfId="5700" xr:uid="{00000000-0005-0000-0000-0000EF0A0000}"/>
    <cellStyle name="20% - Accent3 9 3 4" xfId="5701" xr:uid="{00000000-0005-0000-0000-0000F00A0000}"/>
    <cellStyle name="20% - Accent3 9 3 5" xfId="5702" xr:uid="{00000000-0005-0000-0000-0000F10A0000}"/>
    <cellStyle name="20% - Accent3 9 3 6" xfId="5703" xr:uid="{00000000-0005-0000-0000-0000F20A0000}"/>
    <cellStyle name="20% - Accent3 9 4" xfId="5704" xr:uid="{00000000-0005-0000-0000-0000F30A0000}"/>
    <cellStyle name="20% - Accent3 9 4 2" xfId="5705" xr:uid="{00000000-0005-0000-0000-0000F40A0000}"/>
    <cellStyle name="20% - Accent3 9 4 3" xfId="5706" xr:uid="{00000000-0005-0000-0000-0000F50A0000}"/>
    <cellStyle name="20% - Accent3 9 5" xfId="5707" xr:uid="{00000000-0005-0000-0000-0000F60A0000}"/>
    <cellStyle name="20% - Accent3 9 5 2" xfId="5708" xr:uid="{00000000-0005-0000-0000-0000F70A0000}"/>
    <cellStyle name="20% - Accent3 9 5 3" xfId="5709" xr:uid="{00000000-0005-0000-0000-0000F80A0000}"/>
    <cellStyle name="20% - Accent3 9 6" xfId="5710" xr:uid="{00000000-0005-0000-0000-0000F90A0000}"/>
    <cellStyle name="20% - Accent3 9 7" xfId="5711" xr:uid="{00000000-0005-0000-0000-0000FA0A0000}"/>
    <cellStyle name="20% - Accent3 9 8" xfId="5712" xr:uid="{00000000-0005-0000-0000-0000FB0A0000}"/>
    <cellStyle name="20% - Accent3 9 9" xfId="5713" xr:uid="{00000000-0005-0000-0000-0000FC0A0000}"/>
    <cellStyle name="20% - Accent4 10" xfId="440" xr:uid="{00000000-0005-0000-0000-0000FD0A0000}"/>
    <cellStyle name="20% - Accent4 10 10" xfId="5714" xr:uid="{00000000-0005-0000-0000-0000FE0A0000}"/>
    <cellStyle name="20% - Accent4 10 11" xfId="5715" xr:uid="{00000000-0005-0000-0000-0000FF0A0000}"/>
    <cellStyle name="20% - Accent4 10 2" xfId="441" xr:uid="{00000000-0005-0000-0000-0000000B0000}"/>
    <cellStyle name="20% - Accent4 10 2 2" xfId="5716" xr:uid="{00000000-0005-0000-0000-0000010B0000}"/>
    <cellStyle name="20% - Accent4 10 2 2 2" xfId="5717" xr:uid="{00000000-0005-0000-0000-0000020B0000}"/>
    <cellStyle name="20% - Accent4 10 2 2 2 2" xfId="5718" xr:uid="{00000000-0005-0000-0000-0000030B0000}"/>
    <cellStyle name="20% - Accent4 10 2 2 2 3" xfId="5719" xr:uid="{00000000-0005-0000-0000-0000040B0000}"/>
    <cellStyle name="20% - Accent4 10 2 2 3" xfId="5720" xr:uid="{00000000-0005-0000-0000-0000050B0000}"/>
    <cellStyle name="20% - Accent4 10 2 2 3 2" xfId="5721" xr:uid="{00000000-0005-0000-0000-0000060B0000}"/>
    <cellStyle name="20% - Accent4 10 2 2 3 3" xfId="5722" xr:uid="{00000000-0005-0000-0000-0000070B0000}"/>
    <cellStyle name="20% - Accent4 10 2 2 4" xfId="5723" xr:uid="{00000000-0005-0000-0000-0000080B0000}"/>
    <cellStyle name="20% - Accent4 10 2 2 5" xfId="5724" xr:uid="{00000000-0005-0000-0000-0000090B0000}"/>
    <cellStyle name="20% - Accent4 10 2 2 6" xfId="5725" xr:uid="{00000000-0005-0000-0000-00000A0B0000}"/>
    <cellStyle name="20% - Accent4 10 2 3" xfId="5726" xr:uid="{00000000-0005-0000-0000-00000B0B0000}"/>
    <cellStyle name="20% - Accent4 10 2 3 2" xfId="5727" xr:uid="{00000000-0005-0000-0000-00000C0B0000}"/>
    <cellStyle name="20% - Accent4 10 2 3 3" xfId="5728" xr:uid="{00000000-0005-0000-0000-00000D0B0000}"/>
    <cellStyle name="20% - Accent4 10 2 4" xfId="5729" xr:uid="{00000000-0005-0000-0000-00000E0B0000}"/>
    <cellStyle name="20% - Accent4 10 2 4 2" xfId="5730" xr:uid="{00000000-0005-0000-0000-00000F0B0000}"/>
    <cellStyle name="20% - Accent4 10 2 4 3" xfId="5731" xr:uid="{00000000-0005-0000-0000-0000100B0000}"/>
    <cellStyle name="20% - Accent4 10 2 5" xfId="5732" xr:uid="{00000000-0005-0000-0000-0000110B0000}"/>
    <cellStyle name="20% - Accent4 10 2 6" xfId="5733" xr:uid="{00000000-0005-0000-0000-0000120B0000}"/>
    <cellStyle name="20% - Accent4 10 2 7" xfId="5734" xr:uid="{00000000-0005-0000-0000-0000130B0000}"/>
    <cellStyle name="20% - Accent4 10 2 8" xfId="5735" xr:uid="{00000000-0005-0000-0000-0000140B0000}"/>
    <cellStyle name="20% - Accent4 10 3" xfId="5736" xr:uid="{00000000-0005-0000-0000-0000150B0000}"/>
    <cellStyle name="20% - Accent4 10 3 2" xfId="5737" xr:uid="{00000000-0005-0000-0000-0000160B0000}"/>
    <cellStyle name="20% - Accent4 10 3 2 2" xfId="5738" xr:uid="{00000000-0005-0000-0000-0000170B0000}"/>
    <cellStyle name="20% - Accent4 10 3 2 3" xfId="5739" xr:uid="{00000000-0005-0000-0000-0000180B0000}"/>
    <cellStyle name="20% - Accent4 10 3 3" xfId="5740" xr:uid="{00000000-0005-0000-0000-0000190B0000}"/>
    <cellStyle name="20% - Accent4 10 3 3 2" xfId="5741" xr:uid="{00000000-0005-0000-0000-00001A0B0000}"/>
    <cellStyle name="20% - Accent4 10 3 3 3" xfId="5742" xr:uid="{00000000-0005-0000-0000-00001B0B0000}"/>
    <cellStyle name="20% - Accent4 10 3 4" xfId="5743" xr:uid="{00000000-0005-0000-0000-00001C0B0000}"/>
    <cellStyle name="20% - Accent4 10 3 5" xfId="5744" xr:uid="{00000000-0005-0000-0000-00001D0B0000}"/>
    <cellStyle name="20% - Accent4 10 3 6" xfId="5745" xr:uid="{00000000-0005-0000-0000-00001E0B0000}"/>
    <cellStyle name="20% - Accent4 10 4" xfId="5746" xr:uid="{00000000-0005-0000-0000-00001F0B0000}"/>
    <cellStyle name="20% - Accent4 10 4 2" xfId="5747" xr:uid="{00000000-0005-0000-0000-0000200B0000}"/>
    <cellStyle name="20% - Accent4 10 4 3" xfId="5748" xr:uid="{00000000-0005-0000-0000-0000210B0000}"/>
    <cellStyle name="20% - Accent4 10 5" xfId="5749" xr:uid="{00000000-0005-0000-0000-0000220B0000}"/>
    <cellStyle name="20% - Accent4 10 5 2" xfId="5750" xr:uid="{00000000-0005-0000-0000-0000230B0000}"/>
    <cellStyle name="20% - Accent4 10 5 3" xfId="5751" xr:uid="{00000000-0005-0000-0000-0000240B0000}"/>
    <cellStyle name="20% - Accent4 10 6" xfId="5752" xr:uid="{00000000-0005-0000-0000-0000250B0000}"/>
    <cellStyle name="20% - Accent4 10 7" xfId="5753" xr:uid="{00000000-0005-0000-0000-0000260B0000}"/>
    <cellStyle name="20% - Accent4 10 8" xfId="5754" xr:uid="{00000000-0005-0000-0000-0000270B0000}"/>
    <cellStyle name="20% - Accent4 10 9" xfId="5755" xr:uid="{00000000-0005-0000-0000-0000280B0000}"/>
    <cellStyle name="20% - Accent4 11" xfId="442" xr:uid="{00000000-0005-0000-0000-0000290B0000}"/>
    <cellStyle name="20% - Accent4 11 10" xfId="5756" xr:uid="{00000000-0005-0000-0000-00002A0B0000}"/>
    <cellStyle name="20% - Accent4 11 2" xfId="443" xr:uid="{00000000-0005-0000-0000-00002B0B0000}"/>
    <cellStyle name="20% - Accent4 11 2 2" xfId="5757" xr:uid="{00000000-0005-0000-0000-00002C0B0000}"/>
    <cellStyle name="20% - Accent4 11 2 2 2" xfId="5758" xr:uid="{00000000-0005-0000-0000-00002D0B0000}"/>
    <cellStyle name="20% - Accent4 11 2 2 3" xfId="5759" xr:uid="{00000000-0005-0000-0000-00002E0B0000}"/>
    <cellStyle name="20% - Accent4 11 2 3" xfId="5760" xr:uid="{00000000-0005-0000-0000-00002F0B0000}"/>
    <cellStyle name="20% - Accent4 11 2 3 2" xfId="5761" xr:uid="{00000000-0005-0000-0000-0000300B0000}"/>
    <cellStyle name="20% - Accent4 11 2 3 3" xfId="5762" xr:uid="{00000000-0005-0000-0000-0000310B0000}"/>
    <cellStyle name="20% - Accent4 11 2 4" xfId="5763" xr:uid="{00000000-0005-0000-0000-0000320B0000}"/>
    <cellStyle name="20% - Accent4 11 2 5" xfId="5764" xr:uid="{00000000-0005-0000-0000-0000330B0000}"/>
    <cellStyle name="20% - Accent4 11 2 6" xfId="5765" xr:uid="{00000000-0005-0000-0000-0000340B0000}"/>
    <cellStyle name="20% - Accent4 11 3" xfId="5766" xr:uid="{00000000-0005-0000-0000-0000350B0000}"/>
    <cellStyle name="20% - Accent4 11 3 2" xfId="5767" xr:uid="{00000000-0005-0000-0000-0000360B0000}"/>
    <cellStyle name="20% - Accent4 11 3 3" xfId="5768" xr:uid="{00000000-0005-0000-0000-0000370B0000}"/>
    <cellStyle name="20% - Accent4 11 4" xfId="5769" xr:uid="{00000000-0005-0000-0000-0000380B0000}"/>
    <cellStyle name="20% - Accent4 11 4 2" xfId="5770" xr:uid="{00000000-0005-0000-0000-0000390B0000}"/>
    <cellStyle name="20% - Accent4 11 4 3" xfId="5771" xr:uid="{00000000-0005-0000-0000-00003A0B0000}"/>
    <cellStyle name="20% - Accent4 11 5" xfId="5772" xr:uid="{00000000-0005-0000-0000-00003B0B0000}"/>
    <cellStyle name="20% - Accent4 11 6" xfId="5773" xr:uid="{00000000-0005-0000-0000-00003C0B0000}"/>
    <cellStyle name="20% - Accent4 11 7" xfId="5774" xr:uid="{00000000-0005-0000-0000-00003D0B0000}"/>
    <cellStyle name="20% - Accent4 11 8" xfId="5775" xr:uid="{00000000-0005-0000-0000-00003E0B0000}"/>
    <cellStyle name="20% - Accent4 11 9" xfId="5776" xr:uid="{00000000-0005-0000-0000-00003F0B0000}"/>
    <cellStyle name="20% - Accent4 12" xfId="444" xr:uid="{00000000-0005-0000-0000-0000400B0000}"/>
    <cellStyle name="20% - Accent4 12 2" xfId="445" xr:uid="{00000000-0005-0000-0000-0000410B0000}"/>
    <cellStyle name="20% - Accent4 12 3" xfId="5777" xr:uid="{00000000-0005-0000-0000-0000420B0000}"/>
    <cellStyle name="20% - Accent4 12 4" xfId="5778" xr:uid="{00000000-0005-0000-0000-0000430B0000}"/>
    <cellStyle name="20% - Accent4 12 5" xfId="5779" xr:uid="{00000000-0005-0000-0000-0000440B0000}"/>
    <cellStyle name="20% - Accent4 13" xfId="446" xr:uid="{00000000-0005-0000-0000-0000450B0000}"/>
    <cellStyle name="20% - Accent4 13 2" xfId="447" xr:uid="{00000000-0005-0000-0000-0000460B0000}"/>
    <cellStyle name="20% - Accent4 13 3" xfId="5780" xr:uid="{00000000-0005-0000-0000-0000470B0000}"/>
    <cellStyle name="20% - Accent4 13 4" xfId="5781" xr:uid="{00000000-0005-0000-0000-0000480B0000}"/>
    <cellStyle name="20% - Accent4 14" xfId="448" xr:uid="{00000000-0005-0000-0000-0000490B0000}"/>
    <cellStyle name="20% - Accent4 14 2" xfId="449" xr:uid="{00000000-0005-0000-0000-00004A0B0000}"/>
    <cellStyle name="20% - Accent4 14 3" xfId="5782" xr:uid="{00000000-0005-0000-0000-00004B0B0000}"/>
    <cellStyle name="20% - Accent4 15" xfId="450" xr:uid="{00000000-0005-0000-0000-00004C0B0000}"/>
    <cellStyle name="20% - Accent4 15 2" xfId="451" xr:uid="{00000000-0005-0000-0000-00004D0B0000}"/>
    <cellStyle name="20% - Accent4 15 3" xfId="5783" xr:uid="{00000000-0005-0000-0000-00004E0B0000}"/>
    <cellStyle name="20% - Accent4 16" xfId="452" xr:uid="{00000000-0005-0000-0000-00004F0B0000}"/>
    <cellStyle name="20% - Accent4 16 2" xfId="453" xr:uid="{00000000-0005-0000-0000-0000500B0000}"/>
    <cellStyle name="20% - Accent4 17" xfId="454" xr:uid="{00000000-0005-0000-0000-0000510B0000}"/>
    <cellStyle name="20% - Accent4 17 2" xfId="455" xr:uid="{00000000-0005-0000-0000-0000520B0000}"/>
    <cellStyle name="20% - Accent4 18" xfId="456" xr:uid="{00000000-0005-0000-0000-0000530B0000}"/>
    <cellStyle name="20% - Accent4 18 2" xfId="457" xr:uid="{00000000-0005-0000-0000-0000540B0000}"/>
    <cellStyle name="20% - Accent4 19" xfId="458" xr:uid="{00000000-0005-0000-0000-0000550B0000}"/>
    <cellStyle name="20% - Accent4 19 2" xfId="459" xr:uid="{00000000-0005-0000-0000-0000560B0000}"/>
    <cellStyle name="20% - Accent4 2" xfId="460" xr:uid="{00000000-0005-0000-0000-0000570B0000}"/>
    <cellStyle name="20% - Accent4 2 10" xfId="5784" xr:uid="{00000000-0005-0000-0000-0000580B0000}"/>
    <cellStyle name="20% - Accent4 2 11" xfId="5785" xr:uid="{00000000-0005-0000-0000-0000590B0000}"/>
    <cellStyle name="20% - Accent4 2 12" xfId="5786" xr:uid="{00000000-0005-0000-0000-00005A0B0000}"/>
    <cellStyle name="20% - Accent4 2 13" xfId="5787" xr:uid="{00000000-0005-0000-0000-00005B0B0000}"/>
    <cellStyle name="20% - Accent4 2 2" xfId="461" xr:uid="{00000000-0005-0000-0000-00005C0B0000}"/>
    <cellStyle name="20% - Accent4 2 2 10" xfId="5788" xr:uid="{00000000-0005-0000-0000-00005D0B0000}"/>
    <cellStyle name="20% - Accent4 2 2 11" xfId="5789" xr:uid="{00000000-0005-0000-0000-00005E0B0000}"/>
    <cellStyle name="20% - Accent4 2 2 12" xfId="5790" xr:uid="{00000000-0005-0000-0000-00005F0B0000}"/>
    <cellStyle name="20% - Accent4 2 2 13" xfId="5791" xr:uid="{00000000-0005-0000-0000-0000600B0000}"/>
    <cellStyle name="20% - Accent4 2 2 2" xfId="462" xr:uid="{00000000-0005-0000-0000-0000610B0000}"/>
    <cellStyle name="20% - Accent4 2 2 2 10" xfId="5792" xr:uid="{00000000-0005-0000-0000-0000620B0000}"/>
    <cellStyle name="20% - Accent4 2 2 2 2" xfId="463" xr:uid="{00000000-0005-0000-0000-0000630B0000}"/>
    <cellStyle name="20% - Accent4 2 2 2 2 2" xfId="464" xr:uid="{00000000-0005-0000-0000-0000640B0000}"/>
    <cellStyle name="20% - Accent4 2 2 2 2 2 2" xfId="465" xr:uid="{00000000-0005-0000-0000-0000650B0000}"/>
    <cellStyle name="20% - Accent4 2 2 2 2 2 2 2" xfId="53324" xr:uid="{00000000-0005-0000-0000-0000660B0000}"/>
    <cellStyle name="20% - Accent4 2 2 2 2 2 2 2 2" xfId="53325" xr:uid="{00000000-0005-0000-0000-0000670B0000}"/>
    <cellStyle name="20% - Accent4 2 2 2 2 2 2 3" xfId="53326" xr:uid="{00000000-0005-0000-0000-0000680B0000}"/>
    <cellStyle name="20% - Accent4 2 2 2 2 2 3" xfId="466" xr:uid="{00000000-0005-0000-0000-0000690B0000}"/>
    <cellStyle name="20% - Accent4 2 2 2 2 2 3 2" xfId="53327" xr:uid="{00000000-0005-0000-0000-00006A0B0000}"/>
    <cellStyle name="20% - Accent4 2 2 2 2 2 3 2 2" xfId="53328" xr:uid="{00000000-0005-0000-0000-00006B0B0000}"/>
    <cellStyle name="20% - Accent4 2 2 2 2 2 3 3" xfId="53329" xr:uid="{00000000-0005-0000-0000-00006C0B0000}"/>
    <cellStyle name="20% - Accent4 2 2 2 2 2 4" xfId="5793" xr:uid="{00000000-0005-0000-0000-00006D0B0000}"/>
    <cellStyle name="20% - Accent4 2 2 2 2 2 4 2" xfId="53330" xr:uid="{00000000-0005-0000-0000-00006E0B0000}"/>
    <cellStyle name="20% - Accent4 2 2 2 2 2 5" xfId="5794" xr:uid="{00000000-0005-0000-0000-00006F0B0000}"/>
    <cellStyle name="20% - Accent4 2 2 2 2 3" xfId="467" xr:uid="{00000000-0005-0000-0000-0000700B0000}"/>
    <cellStyle name="20% - Accent4 2 2 2 2 3 2" xfId="5795" xr:uid="{00000000-0005-0000-0000-0000710B0000}"/>
    <cellStyle name="20% - Accent4 2 2 2 2 3 2 2" xfId="53331" xr:uid="{00000000-0005-0000-0000-0000720B0000}"/>
    <cellStyle name="20% - Accent4 2 2 2 2 3 3" xfId="5796" xr:uid="{00000000-0005-0000-0000-0000730B0000}"/>
    <cellStyle name="20% - Accent4 2 2 2 2 4" xfId="468" xr:uid="{00000000-0005-0000-0000-0000740B0000}"/>
    <cellStyle name="20% - Accent4 2 2 2 2 4 2" xfId="53332" xr:uid="{00000000-0005-0000-0000-0000750B0000}"/>
    <cellStyle name="20% - Accent4 2 2 2 2 4 2 2" xfId="53333" xr:uid="{00000000-0005-0000-0000-0000760B0000}"/>
    <cellStyle name="20% - Accent4 2 2 2 2 4 3" xfId="53334" xr:uid="{00000000-0005-0000-0000-0000770B0000}"/>
    <cellStyle name="20% - Accent4 2 2 2 2 5" xfId="5797" xr:uid="{00000000-0005-0000-0000-0000780B0000}"/>
    <cellStyle name="20% - Accent4 2 2 2 2 5 2" xfId="53335" xr:uid="{00000000-0005-0000-0000-0000790B0000}"/>
    <cellStyle name="20% - Accent4 2 2 2 2 6" xfId="5798" xr:uid="{00000000-0005-0000-0000-00007A0B0000}"/>
    <cellStyle name="20% - Accent4 2 2 2 2 7" xfId="5799" xr:uid="{00000000-0005-0000-0000-00007B0B0000}"/>
    <cellStyle name="20% - Accent4 2 2 2 2 8" xfId="5800" xr:uid="{00000000-0005-0000-0000-00007C0B0000}"/>
    <cellStyle name="20% - Accent4 2 2 2 3" xfId="469" xr:uid="{00000000-0005-0000-0000-00007D0B0000}"/>
    <cellStyle name="20% - Accent4 2 2 2 3 2" xfId="470" xr:uid="{00000000-0005-0000-0000-00007E0B0000}"/>
    <cellStyle name="20% - Accent4 2 2 2 3 2 2" xfId="471" xr:uid="{00000000-0005-0000-0000-00007F0B0000}"/>
    <cellStyle name="20% - Accent4 2 2 2 3 2 2 2" xfId="53336" xr:uid="{00000000-0005-0000-0000-0000800B0000}"/>
    <cellStyle name="20% - Accent4 2 2 2 3 2 2 2 2" xfId="53337" xr:uid="{00000000-0005-0000-0000-0000810B0000}"/>
    <cellStyle name="20% - Accent4 2 2 2 3 2 2 3" xfId="53338" xr:uid="{00000000-0005-0000-0000-0000820B0000}"/>
    <cellStyle name="20% - Accent4 2 2 2 3 2 3" xfId="5801" xr:uid="{00000000-0005-0000-0000-0000830B0000}"/>
    <cellStyle name="20% - Accent4 2 2 2 3 2 3 2" xfId="53339" xr:uid="{00000000-0005-0000-0000-0000840B0000}"/>
    <cellStyle name="20% - Accent4 2 2 2 3 2 3 2 2" xfId="53340" xr:uid="{00000000-0005-0000-0000-0000850B0000}"/>
    <cellStyle name="20% - Accent4 2 2 2 3 2 3 3" xfId="53341" xr:uid="{00000000-0005-0000-0000-0000860B0000}"/>
    <cellStyle name="20% - Accent4 2 2 2 3 2 4" xfId="53342" xr:uid="{00000000-0005-0000-0000-0000870B0000}"/>
    <cellStyle name="20% - Accent4 2 2 2 3 2 4 2" xfId="53343" xr:uid="{00000000-0005-0000-0000-0000880B0000}"/>
    <cellStyle name="20% - Accent4 2 2 2 3 2 5" xfId="53344" xr:uid="{00000000-0005-0000-0000-0000890B0000}"/>
    <cellStyle name="20% - Accent4 2 2 2 3 3" xfId="472" xr:uid="{00000000-0005-0000-0000-00008A0B0000}"/>
    <cellStyle name="20% - Accent4 2 2 2 3 3 2" xfId="53345" xr:uid="{00000000-0005-0000-0000-00008B0B0000}"/>
    <cellStyle name="20% - Accent4 2 2 2 3 3 2 2" xfId="53346" xr:uid="{00000000-0005-0000-0000-00008C0B0000}"/>
    <cellStyle name="20% - Accent4 2 2 2 3 3 3" xfId="53347" xr:uid="{00000000-0005-0000-0000-00008D0B0000}"/>
    <cellStyle name="20% - Accent4 2 2 2 3 4" xfId="5802" xr:uid="{00000000-0005-0000-0000-00008E0B0000}"/>
    <cellStyle name="20% - Accent4 2 2 2 3 4 2" xfId="53348" xr:uid="{00000000-0005-0000-0000-00008F0B0000}"/>
    <cellStyle name="20% - Accent4 2 2 2 3 4 2 2" xfId="53349" xr:uid="{00000000-0005-0000-0000-0000900B0000}"/>
    <cellStyle name="20% - Accent4 2 2 2 3 4 3" xfId="53350" xr:uid="{00000000-0005-0000-0000-0000910B0000}"/>
    <cellStyle name="20% - Accent4 2 2 2 3 5" xfId="5803" xr:uid="{00000000-0005-0000-0000-0000920B0000}"/>
    <cellStyle name="20% - Accent4 2 2 2 3 5 2" xfId="53351" xr:uid="{00000000-0005-0000-0000-0000930B0000}"/>
    <cellStyle name="20% - Accent4 2 2 2 3 6" xfId="53352" xr:uid="{00000000-0005-0000-0000-0000940B0000}"/>
    <cellStyle name="20% - Accent4 2 2 2 4" xfId="473" xr:uid="{00000000-0005-0000-0000-0000950B0000}"/>
    <cellStyle name="20% - Accent4 2 2 2 4 2" xfId="474" xr:uid="{00000000-0005-0000-0000-0000960B0000}"/>
    <cellStyle name="20% - Accent4 2 2 2 4 2 2" xfId="53353" xr:uid="{00000000-0005-0000-0000-0000970B0000}"/>
    <cellStyle name="20% - Accent4 2 2 2 4 2 2 2" xfId="53354" xr:uid="{00000000-0005-0000-0000-0000980B0000}"/>
    <cellStyle name="20% - Accent4 2 2 2 4 2 3" xfId="53355" xr:uid="{00000000-0005-0000-0000-0000990B0000}"/>
    <cellStyle name="20% - Accent4 2 2 2 4 3" xfId="5804" xr:uid="{00000000-0005-0000-0000-00009A0B0000}"/>
    <cellStyle name="20% - Accent4 2 2 2 4 3 2" xfId="53356" xr:uid="{00000000-0005-0000-0000-00009B0B0000}"/>
    <cellStyle name="20% - Accent4 2 2 2 4 3 2 2" xfId="53357" xr:uid="{00000000-0005-0000-0000-00009C0B0000}"/>
    <cellStyle name="20% - Accent4 2 2 2 4 3 3" xfId="53358" xr:uid="{00000000-0005-0000-0000-00009D0B0000}"/>
    <cellStyle name="20% - Accent4 2 2 2 4 4" xfId="5805" xr:uid="{00000000-0005-0000-0000-00009E0B0000}"/>
    <cellStyle name="20% - Accent4 2 2 2 4 4 2" xfId="53359" xr:uid="{00000000-0005-0000-0000-00009F0B0000}"/>
    <cellStyle name="20% - Accent4 2 2 2 4 5" xfId="5806" xr:uid="{00000000-0005-0000-0000-0000A00B0000}"/>
    <cellStyle name="20% - Accent4 2 2 2 5" xfId="475" xr:uid="{00000000-0005-0000-0000-0000A10B0000}"/>
    <cellStyle name="20% - Accent4 2 2 2 5 2" xfId="5807" xr:uid="{00000000-0005-0000-0000-0000A20B0000}"/>
    <cellStyle name="20% - Accent4 2 2 2 5 2 2" xfId="53360" xr:uid="{00000000-0005-0000-0000-0000A30B0000}"/>
    <cellStyle name="20% - Accent4 2 2 2 5 3" xfId="5808" xr:uid="{00000000-0005-0000-0000-0000A40B0000}"/>
    <cellStyle name="20% - Accent4 2 2 2 6" xfId="5809" xr:uid="{00000000-0005-0000-0000-0000A50B0000}"/>
    <cellStyle name="20% - Accent4 2 2 2 6 2" xfId="53361" xr:uid="{00000000-0005-0000-0000-0000A60B0000}"/>
    <cellStyle name="20% - Accent4 2 2 2 6 2 2" xfId="53362" xr:uid="{00000000-0005-0000-0000-0000A70B0000}"/>
    <cellStyle name="20% - Accent4 2 2 2 6 3" xfId="53363" xr:uid="{00000000-0005-0000-0000-0000A80B0000}"/>
    <cellStyle name="20% - Accent4 2 2 2 7" xfId="5810" xr:uid="{00000000-0005-0000-0000-0000A90B0000}"/>
    <cellStyle name="20% - Accent4 2 2 2 7 2" xfId="53364" xr:uid="{00000000-0005-0000-0000-0000AA0B0000}"/>
    <cellStyle name="20% - Accent4 2 2 2 8" xfId="5811" xr:uid="{00000000-0005-0000-0000-0000AB0B0000}"/>
    <cellStyle name="20% - Accent4 2 2 2 9" xfId="5812" xr:uid="{00000000-0005-0000-0000-0000AC0B0000}"/>
    <cellStyle name="20% - Accent4 2 2 3" xfId="476" xr:uid="{00000000-0005-0000-0000-0000AD0B0000}"/>
    <cellStyle name="20% - Accent4 2 2 3 2" xfId="477" xr:uid="{00000000-0005-0000-0000-0000AE0B0000}"/>
    <cellStyle name="20% - Accent4 2 2 3 2 2" xfId="478" xr:uid="{00000000-0005-0000-0000-0000AF0B0000}"/>
    <cellStyle name="20% - Accent4 2 2 3 2 2 2" xfId="53365" xr:uid="{00000000-0005-0000-0000-0000B00B0000}"/>
    <cellStyle name="20% - Accent4 2 2 3 2 2 2 2" xfId="53366" xr:uid="{00000000-0005-0000-0000-0000B10B0000}"/>
    <cellStyle name="20% - Accent4 2 2 3 2 2 3" xfId="53367" xr:uid="{00000000-0005-0000-0000-0000B20B0000}"/>
    <cellStyle name="20% - Accent4 2 2 3 2 3" xfId="479" xr:uid="{00000000-0005-0000-0000-0000B30B0000}"/>
    <cellStyle name="20% - Accent4 2 2 3 2 3 2" xfId="53368" xr:uid="{00000000-0005-0000-0000-0000B40B0000}"/>
    <cellStyle name="20% - Accent4 2 2 3 2 3 2 2" xfId="53369" xr:uid="{00000000-0005-0000-0000-0000B50B0000}"/>
    <cellStyle name="20% - Accent4 2 2 3 2 3 3" xfId="53370" xr:uid="{00000000-0005-0000-0000-0000B60B0000}"/>
    <cellStyle name="20% - Accent4 2 2 3 2 4" xfId="5813" xr:uid="{00000000-0005-0000-0000-0000B70B0000}"/>
    <cellStyle name="20% - Accent4 2 2 3 2 4 2" xfId="53371" xr:uid="{00000000-0005-0000-0000-0000B80B0000}"/>
    <cellStyle name="20% - Accent4 2 2 3 2 5" xfId="5814" xr:uid="{00000000-0005-0000-0000-0000B90B0000}"/>
    <cellStyle name="20% - Accent4 2 2 3 3" xfId="480" xr:uid="{00000000-0005-0000-0000-0000BA0B0000}"/>
    <cellStyle name="20% - Accent4 2 2 3 3 2" xfId="5815" xr:uid="{00000000-0005-0000-0000-0000BB0B0000}"/>
    <cellStyle name="20% - Accent4 2 2 3 3 2 2" xfId="53372" xr:uid="{00000000-0005-0000-0000-0000BC0B0000}"/>
    <cellStyle name="20% - Accent4 2 2 3 3 3" xfId="5816" xr:uid="{00000000-0005-0000-0000-0000BD0B0000}"/>
    <cellStyle name="20% - Accent4 2 2 3 4" xfId="481" xr:uid="{00000000-0005-0000-0000-0000BE0B0000}"/>
    <cellStyle name="20% - Accent4 2 2 3 4 2" xfId="53373" xr:uid="{00000000-0005-0000-0000-0000BF0B0000}"/>
    <cellStyle name="20% - Accent4 2 2 3 4 2 2" xfId="53374" xr:uid="{00000000-0005-0000-0000-0000C00B0000}"/>
    <cellStyle name="20% - Accent4 2 2 3 4 3" xfId="53375" xr:uid="{00000000-0005-0000-0000-0000C10B0000}"/>
    <cellStyle name="20% - Accent4 2 2 3 5" xfId="5817" xr:uid="{00000000-0005-0000-0000-0000C20B0000}"/>
    <cellStyle name="20% - Accent4 2 2 3 5 2" xfId="53376" xr:uid="{00000000-0005-0000-0000-0000C30B0000}"/>
    <cellStyle name="20% - Accent4 2 2 3 6" xfId="5818" xr:uid="{00000000-0005-0000-0000-0000C40B0000}"/>
    <cellStyle name="20% - Accent4 2 2 3 7" xfId="5819" xr:uid="{00000000-0005-0000-0000-0000C50B0000}"/>
    <cellStyle name="20% - Accent4 2 2 3 8" xfId="5820" xr:uid="{00000000-0005-0000-0000-0000C60B0000}"/>
    <cellStyle name="20% - Accent4 2 2 4" xfId="482" xr:uid="{00000000-0005-0000-0000-0000C70B0000}"/>
    <cellStyle name="20% - Accent4 2 2 4 2" xfId="483" xr:uid="{00000000-0005-0000-0000-0000C80B0000}"/>
    <cellStyle name="20% - Accent4 2 2 4 2 2" xfId="484" xr:uid="{00000000-0005-0000-0000-0000C90B0000}"/>
    <cellStyle name="20% - Accent4 2 2 4 2 2 2" xfId="53377" xr:uid="{00000000-0005-0000-0000-0000CA0B0000}"/>
    <cellStyle name="20% - Accent4 2 2 4 2 2 2 2" xfId="53378" xr:uid="{00000000-0005-0000-0000-0000CB0B0000}"/>
    <cellStyle name="20% - Accent4 2 2 4 2 2 3" xfId="53379" xr:uid="{00000000-0005-0000-0000-0000CC0B0000}"/>
    <cellStyle name="20% - Accent4 2 2 4 2 3" xfId="5821" xr:uid="{00000000-0005-0000-0000-0000CD0B0000}"/>
    <cellStyle name="20% - Accent4 2 2 4 2 3 2" xfId="53380" xr:uid="{00000000-0005-0000-0000-0000CE0B0000}"/>
    <cellStyle name="20% - Accent4 2 2 4 2 3 2 2" xfId="53381" xr:uid="{00000000-0005-0000-0000-0000CF0B0000}"/>
    <cellStyle name="20% - Accent4 2 2 4 2 3 3" xfId="53382" xr:uid="{00000000-0005-0000-0000-0000D00B0000}"/>
    <cellStyle name="20% - Accent4 2 2 4 2 4" xfId="53383" xr:uid="{00000000-0005-0000-0000-0000D10B0000}"/>
    <cellStyle name="20% - Accent4 2 2 4 2 4 2" xfId="53384" xr:uid="{00000000-0005-0000-0000-0000D20B0000}"/>
    <cellStyle name="20% - Accent4 2 2 4 2 5" xfId="53385" xr:uid="{00000000-0005-0000-0000-0000D30B0000}"/>
    <cellStyle name="20% - Accent4 2 2 4 3" xfId="485" xr:uid="{00000000-0005-0000-0000-0000D40B0000}"/>
    <cellStyle name="20% - Accent4 2 2 4 3 2" xfId="53386" xr:uid="{00000000-0005-0000-0000-0000D50B0000}"/>
    <cellStyle name="20% - Accent4 2 2 4 3 2 2" xfId="53387" xr:uid="{00000000-0005-0000-0000-0000D60B0000}"/>
    <cellStyle name="20% - Accent4 2 2 4 3 3" xfId="53388" xr:uid="{00000000-0005-0000-0000-0000D70B0000}"/>
    <cellStyle name="20% - Accent4 2 2 4 4" xfId="5822" xr:uid="{00000000-0005-0000-0000-0000D80B0000}"/>
    <cellStyle name="20% - Accent4 2 2 4 4 2" xfId="53389" xr:uid="{00000000-0005-0000-0000-0000D90B0000}"/>
    <cellStyle name="20% - Accent4 2 2 4 4 2 2" xfId="53390" xr:uid="{00000000-0005-0000-0000-0000DA0B0000}"/>
    <cellStyle name="20% - Accent4 2 2 4 4 3" xfId="53391" xr:uid="{00000000-0005-0000-0000-0000DB0B0000}"/>
    <cellStyle name="20% - Accent4 2 2 4 5" xfId="5823" xr:uid="{00000000-0005-0000-0000-0000DC0B0000}"/>
    <cellStyle name="20% - Accent4 2 2 4 5 2" xfId="53392" xr:uid="{00000000-0005-0000-0000-0000DD0B0000}"/>
    <cellStyle name="20% - Accent4 2 2 4 6" xfId="53393" xr:uid="{00000000-0005-0000-0000-0000DE0B0000}"/>
    <cellStyle name="20% - Accent4 2 2 5" xfId="486" xr:uid="{00000000-0005-0000-0000-0000DF0B0000}"/>
    <cellStyle name="20% - Accent4 2 2 5 2" xfId="487" xr:uid="{00000000-0005-0000-0000-0000E00B0000}"/>
    <cellStyle name="20% - Accent4 2 2 5 2 2" xfId="53394" xr:uid="{00000000-0005-0000-0000-0000E10B0000}"/>
    <cellStyle name="20% - Accent4 2 2 5 2 2 2" xfId="53395" xr:uid="{00000000-0005-0000-0000-0000E20B0000}"/>
    <cellStyle name="20% - Accent4 2 2 5 2 3" xfId="53396" xr:uid="{00000000-0005-0000-0000-0000E30B0000}"/>
    <cellStyle name="20% - Accent4 2 2 5 3" xfId="5824" xr:uid="{00000000-0005-0000-0000-0000E40B0000}"/>
    <cellStyle name="20% - Accent4 2 2 5 3 2" xfId="53397" xr:uid="{00000000-0005-0000-0000-0000E50B0000}"/>
    <cellStyle name="20% - Accent4 2 2 5 3 2 2" xfId="53398" xr:uid="{00000000-0005-0000-0000-0000E60B0000}"/>
    <cellStyle name="20% - Accent4 2 2 5 3 3" xfId="53399" xr:uid="{00000000-0005-0000-0000-0000E70B0000}"/>
    <cellStyle name="20% - Accent4 2 2 5 4" xfId="5825" xr:uid="{00000000-0005-0000-0000-0000E80B0000}"/>
    <cellStyle name="20% - Accent4 2 2 5 4 2" xfId="53400" xr:uid="{00000000-0005-0000-0000-0000E90B0000}"/>
    <cellStyle name="20% - Accent4 2 2 5 5" xfId="5826" xr:uid="{00000000-0005-0000-0000-0000EA0B0000}"/>
    <cellStyle name="20% - Accent4 2 2 6" xfId="488" xr:uid="{00000000-0005-0000-0000-0000EB0B0000}"/>
    <cellStyle name="20% - Accent4 2 2 6 2" xfId="5827" xr:uid="{00000000-0005-0000-0000-0000EC0B0000}"/>
    <cellStyle name="20% - Accent4 2 2 6 2 2" xfId="53401" xr:uid="{00000000-0005-0000-0000-0000ED0B0000}"/>
    <cellStyle name="20% - Accent4 2 2 6 3" xfId="5828" xr:uid="{00000000-0005-0000-0000-0000EE0B0000}"/>
    <cellStyle name="20% - Accent4 2 2 7" xfId="5829" xr:uid="{00000000-0005-0000-0000-0000EF0B0000}"/>
    <cellStyle name="20% - Accent4 2 2 7 2" xfId="53402" xr:uid="{00000000-0005-0000-0000-0000F00B0000}"/>
    <cellStyle name="20% - Accent4 2 2 7 2 2" xfId="53403" xr:uid="{00000000-0005-0000-0000-0000F10B0000}"/>
    <cellStyle name="20% - Accent4 2 2 7 3" xfId="53404" xr:uid="{00000000-0005-0000-0000-0000F20B0000}"/>
    <cellStyle name="20% - Accent4 2 2 8" xfId="5830" xr:uid="{00000000-0005-0000-0000-0000F30B0000}"/>
    <cellStyle name="20% - Accent4 2 2 8 2" xfId="53405" xr:uid="{00000000-0005-0000-0000-0000F40B0000}"/>
    <cellStyle name="20% - Accent4 2 2 9" xfId="5831" xr:uid="{00000000-0005-0000-0000-0000F50B0000}"/>
    <cellStyle name="20% - Accent4 2 3" xfId="489" xr:uid="{00000000-0005-0000-0000-0000F60B0000}"/>
    <cellStyle name="20% - Accent4 2 3 10" xfId="5832" xr:uid="{00000000-0005-0000-0000-0000F70B0000}"/>
    <cellStyle name="20% - Accent4 2 3 2" xfId="490" xr:uid="{00000000-0005-0000-0000-0000F80B0000}"/>
    <cellStyle name="20% - Accent4 2 3 2 2" xfId="491" xr:uid="{00000000-0005-0000-0000-0000F90B0000}"/>
    <cellStyle name="20% - Accent4 2 3 2 2 2" xfId="492" xr:uid="{00000000-0005-0000-0000-0000FA0B0000}"/>
    <cellStyle name="20% - Accent4 2 3 2 2 2 2" xfId="53406" xr:uid="{00000000-0005-0000-0000-0000FB0B0000}"/>
    <cellStyle name="20% - Accent4 2 3 2 2 2 2 2" xfId="53407" xr:uid="{00000000-0005-0000-0000-0000FC0B0000}"/>
    <cellStyle name="20% - Accent4 2 3 2 2 2 3" xfId="53408" xr:uid="{00000000-0005-0000-0000-0000FD0B0000}"/>
    <cellStyle name="20% - Accent4 2 3 2 2 3" xfId="493" xr:uid="{00000000-0005-0000-0000-0000FE0B0000}"/>
    <cellStyle name="20% - Accent4 2 3 2 2 3 2" xfId="53409" xr:uid="{00000000-0005-0000-0000-0000FF0B0000}"/>
    <cellStyle name="20% - Accent4 2 3 2 2 3 2 2" xfId="53410" xr:uid="{00000000-0005-0000-0000-0000000C0000}"/>
    <cellStyle name="20% - Accent4 2 3 2 2 3 3" xfId="53411" xr:uid="{00000000-0005-0000-0000-0000010C0000}"/>
    <cellStyle name="20% - Accent4 2 3 2 2 4" xfId="5833" xr:uid="{00000000-0005-0000-0000-0000020C0000}"/>
    <cellStyle name="20% - Accent4 2 3 2 2 4 2" xfId="53412" xr:uid="{00000000-0005-0000-0000-0000030C0000}"/>
    <cellStyle name="20% - Accent4 2 3 2 2 5" xfId="5834" xr:uid="{00000000-0005-0000-0000-0000040C0000}"/>
    <cellStyle name="20% - Accent4 2 3 2 3" xfId="494" xr:uid="{00000000-0005-0000-0000-0000050C0000}"/>
    <cellStyle name="20% - Accent4 2 3 2 3 2" xfId="5835" xr:uid="{00000000-0005-0000-0000-0000060C0000}"/>
    <cellStyle name="20% - Accent4 2 3 2 3 2 2" xfId="53413" xr:uid="{00000000-0005-0000-0000-0000070C0000}"/>
    <cellStyle name="20% - Accent4 2 3 2 3 3" xfId="5836" xr:uid="{00000000-0005-0000-0000-0000080C0000}"/>
    <cellStyle name="20% - Accent4 2 3 2 4" xfId="495" xr:uid="{00000000-0005-0000-0000-0000090C0000}"/>
    <cellStyle name="20% - Accent4 2 3 2 4 2" xfId="53414" xr:uid="{00000000-0005-0000-0000-00000A0C0000}"/>
    <cellStyle name="20% - Accent4 2 3 2 4 2 2" xfId="53415" xr:uid="{00000000-0005-0000-0000-00000B0C0000}"/>
    <cellStyle name="20% - Accent4 2 3 2 4 3" xfId="53416" xr:uid="{00000000-0005-0000-0000-00000C0C0000}"/>
    <cellStyle name="20% - Accent4 2 3 2 5" xfId="5837" xr:uid="{00000000-0005-0000-0000-00000D0C0000}"/>
    <cellStyle name="20% - Accent4 2 3 2 5 2" xfId="53417" xr:uid="{00000000-0005-0000-0000-00000E0C0000}"/>
    <cellStyle name="20% - Accent4 2 3 2 6" xfId="5838" xr:uid="{00000000-0005-0000-0000-00000F0C0000}"/>
    <cellStyle name="20% - Accent4 2 3 2 7" xfId="5839" xr:uid="{00000000-0005-0000-0000-0000100C0000}"/>
    <cellStyle name="20% - Accent4 2 3 2 8" xfId="5840" xr:uid="{00000000-0005-0000-0000-0000110C0000}"/>
    <cellStyle name="20% - Accent4 2 3 3" xfId="496" xr:uid="{00000000-0005-0000-0000-0000120C0000}"/>
    <cellStyle name="20% - Accent4 2 3 3 2" xfId="497" xr:uid="{00000000-0005-0000-0000-0000130C0000}"/>
    <cellStyle name="20% - Accent4 2 3 3 2 2" xfId="498" xr:uid="{00000000-0005-0000-0000-0000140C0000}"/>
    <cellStyle name="20% - Accent4 2 3 3 2 2 2" xfId="53418" xr:uid="{00000000-0005-0000-0000-0000150C0000}"/>
    <cellStyle name="20% - Accent4 2 3 3 2 2 2 2" xfId="53419" xr:uid="{00000000-0005-0000-0000-0000160C0000}"/>
    <cellStyle name="20% - Accent4 2 3 3 2 2 3" xfId="53420" xr:uid="{00000000-0005-0000-0000-0000170C0000}"/>
    <cellStyle name="20% - Accent4 2 3 3 2 3" xfId="5841" xr:uid="{00000000-0005-0000-0000-0000180C0000}"/>
    <cellStyle name="20% - Accent4 2 3 3 2 3 2" xfId="53421" xr:uid="{00000000-0005-0000-0000-0000190C0000}"/>
    <cellStyle name="20% - Accent4 2 3 3 2 3 2 2" xfId="53422" xr:uid="{00000000-0005-0000-0000-00001A0C0000}"/>
    <cellStyle name="20% - Accent4 2 3 3 2 3 3" xfId="53423" xr:uid="{00000000-0005-0000-0000-00001B0C0000}"/>
    <cellStyle name="20% - Accent4 2 3 3 2 4" xfId="53424" xr:uid="{00000000-0005-0000-0000-00001C0C0000}"/>
    <cellStyle name="20% - Accent4 2 3 3 2 4 2" xfId="53425" xr:uid="{00000000-0005-0000-0000-00001D0C0000}"/>
    <cellStyle name="20% - Accent4 2 3 3 2 5" xfId="53426" xr:uid="{00000000-0005-0000-0000-00001E0C0000}"/>
    <cellStyle name="20% - Accent4 2 3 3 3" xfId="499" xr:uid="{00000000-0005-0000-0000-00001F0C0000}"/>
    <cellStyle name="20% - Accent4 2 3 3 3 2" xfId="53427" xr:uid="{00000000-0005-0000-0000-0000200C0000}"/>
    <cellStyle name="20% - Accent4 2 3 3 3 2 2" xfId="53428" xr:uid="{00000000-0005-0000-0000-0000210C0000}"/>
    <cellStyle name="20% - Accent4 2 3 3 3 3" xfId="53429" xr:uid="{00000000-0005-0000-0000-0000220C0000}"/>
    <cellStyle name="20% - Accent4 2 3 3 4" xfId="5842" xr:uid="{00000000-0005-0000-0000-0000230C0000}"/>
    <cellStyle name="20% - Accent4 2 3 3 4 2" xfId="53430" xr:uid="{00000000-0005-0000-0000-0000240C0000}"/>
    <cellStyle name="20% - Accent4 2 3 3 4 2 2" xfId="53431" xr:uid="{00000000-0005-0000-0000-0000250C0000}"/>
    <cellStyle name="20% - Accent4 2 3 3 4 3" xfId="53432" xr:uid="{00000000-0005-0000-0000-0000260C0000}"/>
    <cellStyle name="20% - Accent4 2 3 3 5" xfId="5843" xr:uid="{00000000-0005-0000-0000-0000270C0000}"/>
    <cellStyle name="20% - Accent4 2 3 3 5 2" xfId="53433" xr:uid="{00000000-0005-0000-0000-0000280C0000}"/>
    <cellStyle name="20% - Accent4 2 3 3 6" xfId="53434" xr:uid="{00000000-0005-0000-0000-0000290C0000}"/>
    <cellStyle name="20% - Accent4 2 3 4" xfId="500" xr:uid="{00000000-0005-0000-0000-00002A0C0000}"/>
    <cellStyle name="20% - Accent4 2 3 4 2" xfId="501" xr:uid="{00000000-0005-0000-0000-00002B0C0000}"/>
    <cellStyle name="20% - Accent4 2 3 4 2 2" xfId="53435" xr:uid="{00000000-0005-0000-0000-00002C0C0000}"/>
    <cellStyle name="20% - Accent4 2 3 4 2 2 2" xfId="53436" xr:uid="{00000000-0005-0000-0000-00002D0C0000}"/>
    <cellStyle name="20% - Accent4 2 3 4 2 3" xfId="53437" xr:uid="{00000000-0005-0000-0000-00002E0C0000}"/>
    <cellStyle name="20% - Accent4 2 3 4 3" xfId="5844" xr:uid="{00000000-0005-0000-0000-00002F0C0000}"/>
    <cellStyle name="20% - Accent4 2 3 4 3 2" xfId="53438" xr:uid="{00000000-0005-0000-0000-0000300C0000}"/>
    <cellStyle name="20% - Accent4 2 3 4 3 2 2" xfId="53439" xr:uid="{00000000-0005-0000-0000-0000310C0000}"/>
    <cellStyle name="20% - Accent4 2 3 4 3 3" xfId="53440" xr:uid="{00000000-0005-0000-0000-0000320C0000}"/>
    <cellStyle name="20% - Accent4 2 3 4 4" xfId="5845" xr:uid="{00000000-0005-0000-0000-0000330C0000}"/>
    <cellStyle name="20% - Accent4 2 3 4 4 2" xfId="53441" xr:uid="{00000000-0005-0000-0000-0000340C0000}"/>
    <cellStyle name="20% - Accent4 2 3 4 5" xfId="5846" xr:uid="{00000000-0005-0000-0000-0000350C0000}"/>
    <cellStyle name="20% - Accent4 2 3 5" xfId="502" xr:uid="{00000000-0005-0000-0000-0000360C0000}"/>
    <cellStyle name="20% - Accent4 2 3 5 2" xfId="5847" xr:uid="{00000000-0005-0000-0000-0000370C0000}"/>
    <cellStyle name="20% - Accent4 2 3 5 2 2" xfId="53442" xr:uid="{00000000-0005-0000-0000-0000380C0000}"/>
    <cellStyle name="20% - Accent4 2 3 5 3" xfId="5848" xr:uid="{00000000-0005-0000-0000-0000390C0000}"/>
    <cellStyle name="20% - Accent4 2 3 6" xfId="5849" xr:uid="{00000000-0005-0000-0000-00003A0C0000}"/>
    <cellStyle name="20% - Accent4 2 3 6 2" xfId="53443" xr:uid="{00000000-0005-0000-0000-00003B0C0000}"/>
    <cellStyle name="20% - Accent4 2 3 6 2 2" xfId="53444" xr:uid="{00000000-0005-0000-0000-00003C0C0000}"/>
    <cellStyle name="20% - Accent4 2 3 6 3" xfId="53445" xr:uid="{00000000-0005-0000-0000-00003D0C0000}"/>
    <cellStyle name="20% - Accent4 2 3 7" xfId="5850" xr:uid="{00000000-0005-0000-0000-00003E0C0000}"/>
    <cellStyle name="20% - Accent4 2 3 7 2" xfId="53446" xr:uid="{00000000-0005-0000-0000-00003F0C0000}"/>
    <cellStyle name="20% - Accent4 2 3 8" xfId="5851" xr:uid="{00000000-0005-0000-0000-0000400C0000}"/>
    <cellStyle name="20% - Accent4 2 3 9" xfId="5852" xr:uid="{00000000-0005-0000-0000-0000410C0000}"/>
    <cellStyle name="20% - Accent4 2 4" xfId="503" xr:uid="{00000000-0005-0000-0000-0000420C0000}"/>
    <cellStyle name="20% - Accent4 2 4 2" xfId="504" xr:uid="{00000000-0005-0000-0000-0000430C0000}"/>
    <cellStyle name="20% - Accent4 2 4 2 2" xfId="505" xr:uid="{00000000-0005-0000-0000-0000440C0000}"/>
    <cellStyle name="20% - Accent4 2 4 2 2 2" xfId="53447" xr:uid="{00000000-0005-0000-0000-0000450C0000}"/>
    <cellStyle name="20% - Accent4 2 4 2 2 2 2" xfId="53448" xr:uid="{00000000-0005-0000-0000-0000460C0000}"/>
    <cellStyle name="20% - Accent4 2 4 2 2 3" xfId="53449" xr:uid="{00000000-0005-0000-0000-0000470C0000}"/>
    <cellStyle name="20% - Accent4 2 4 2 3" xfId="506" xr:uid="{00000000-0005-0000-0000-0000480C0000}"/>
    <cellStyle name="20% - Accent4 2 4 2 3 2" xfId="53450" xr:uid="{00000000-0005-0000-0000-0000490C0000}"/>
    <cellStyle name="20% - Accent4 2 4 2 3 2 2" xfId="53451" xr:uid="{00000000-0005-0000-0000-00004A0C0000}"/>
    <cellStyle name="20% - Accent4 2 4 2 3 3" xfId="53452" xr:uid="{00000000-0005-0000-0000-00004B0C0000}"/>
    <cellStyle name="20% - Accent4 2 4 2 4" xfId="5853" xr:uid="{00000000-0005-0000-0000-00004C0C0000}"/>
    <cellStyle name="20% - Accent4 2 4 2 4 2" xfId="53453" xr:uid="{00000000-0005-0000-0000-00004D0C0000}"/>
    <cellStyle name="20% - Accent4 2 4 2 5" xfId="5854" xr:uid="{00000000-0005-0000-0000-00004E0C0000}"/>
    <cellStyle name="20% - Accent4 2 4 3" xfId="507" xr:uid="{00000000-0005-0000-0000-00004F0C0000}"/>
    <cellStyle name="20% - Accent4 2 4 3 2" xfId="5855" xr:uid="{00000000-0005-0000-0000-0000500C0000}"/>
    <cellStyle name="20% - Accent4 2 4 3 2 2" xfId="53454" xr:uid="{00000000-0005-0000-0000-0000510C0000}"/>
    <cellStyle name="20% - Accent4 2 4 3 3" xfId="5856" xr:uid="{00000000-0005-0000-0000-0000520C0000}"/>
    <cellStyle name="20% - Accent4 2 4 4" xfId="508" xr:uid="{00000000-0005-0000-0000-0000530C0000}"/>
    <cellStyle name="20% - Accent4 2 4 4 2" xfId="53455" xr:uid="{00000000-0005-0000-0000-0000540C0000}"/>
    <cellStyle name="20% - Accent4 2 4 4 2 2" xfId="53456" xr:uid="{00000000-0005-0000-0000-0000550C0000}"/>
    <cellStyle name="20% - Accent4 2 4 4 3" xfId="53457" xr:uid="{00000000-0005-0000-0000-0000560C0000}"/>
    <cellStyle name="20% - Accent4 2 4 5" xfId="5857" xr:uid="{00000000-0005-0000-0000-0000570C0000}"/>
    <cellStyle name="20% - Accent4 2 4 5 2" xfId="53458" xr:uid="{00000000-0005-0000-0000-0000580C0000}"/>
    <cellStyle name="20% - Accent4 2 4 6" xfId="5858" xr:uid="{00000000-0005-0000-0000-0000590C0000}"/>
    <cellStyle name="20% - Accent4 2 4 7" xfId="5859" xr:uid="{00000000-0005-0000-0000-00005A0C0000}"/>
    <cellStyle name="20% - Accent4 2 4 8" xfId="5860" xr:uid="{00000000-0005-0000-0000-00005B0C0000}"/>
    <cellStyle name="20% - Accent4 2 5" xfId="509" xr:uid="{00000000-0005-0000-0000-00005C0C0000}"/>
    <cellStyle name="20% - Accent4 2 5 2" xfId="510" xr:uid="{00000000-0005-0000-0000-00005D0C0000}"/>
    <cellStyle name="20% - Accent4 2 5 2 2" xfId="511" xr:uid="{00000000-0005-0000-0000-00005E0C0000}"/>
    <cellStyle name="20% - Accent4 2 5 2 2 2" xfId="53459" xr:uid="{00000000-0005-0000-0000-00005F0C0000}"/>
    <cellStyle name="20% - Accent4 2 5 2 2 2 2" xfId="53460" xr:uid="{00000000-0005-0000-0000-0000600C0000}"/>
    <cellStyle name="20% - Accent4 2 5 2 2 3" xfId="53461" xr:uid="{00000000-0005-0000-0000-0000610C0000}"/>
    <cellStyle name="20% - Accent4 2 5 2 3" xfId="5861" xr:uid="{00000000-0005-0000-0000-0000620C0000}"/>
    <cellStyle name="20% - Accent4 2 5 2 3 2" xfId="53462" xr:uid="{00000000-0005-0000-0000-0000630C0000}"/>
    <cellStyle name="20% - Accent4 2 5 2 3 2 2" xfId="53463" xr:uid="{00000000-0005-0000-0000-0000640C0000}"/>
    <cellStyle name="20% - Accent4 2 5 2 3 3" xfId="53464" xr:uid="{00000000-0005-0000-0000-0000650C0000}"/>
    <cellStyle name="20% - Accent4 2 5 2 4" xfId="53465" xr:uid="{00000000-0005-0000-0000-0000660C0000}"/>
    <cellStyle name="20% - Accent4 2 5 2 4 2" xfId="53466" xr:uid="{00000000-0005-0000-0000-0000670C0000}"/>
    <cellStyle name="20% - Accent4 2 5 2 5" xfId="53467" xr:uid="{00000000-0005-0000-0000-0000680C0000}"/>
    <cellStyle name="20% - Accent4 2 5 3" xfId="512" xr:uid="{00000000-0005-0000-0000-0000690C0000}"/>
    <cellStyle name="20% - Accent4 2 5 3 2" xfId="53468" xr:uid="{00000000-0005-0000-0000-00006A0C0000}"/>
    <cellStyle name="20% - Accent4 2 5 3 2 2" xfId="53469" xr:uid="{00000000-0005-0000-0000-00006B0C0000}"/>
    <cellStyle name="20% - Accent4 2 5 3 3" xfId="53470" xr:uid="{00000000-0005-0000-0000-00006C0C0000}"/>
    <cellStyle name="20% - Accent4 2 5 4" xfId="5862" xr:uid="{00000000-0005-0000-0000-00006D0C0000}"/>
    <cellStyle name="20% - Accent4 2 5 4 2" xfId="53471" xr:uid="{00000000-0005-0000-0000-00006E0C0000}"/>
    <cellStyle name="20% - Accent4 2 5 4 2 2" xfId="53472" xr:uid="{00000000-0005-0000-0000-00006F0C0000}"/>
    <cellStyle name="20% - Accent4 2 5 4 3" xfId="53473" xr:uid="{00000000-0005-0000-0000-0000700C0000}"/>
    <cellStyle name="20% - Accent4 2 5 5" xfId="5863" xr:uid="{00000000-0005-0000-0000-0000710C0000}"/>
    <cellStyle name="20% - Accent4 2 5 5 2" xfId="53474" xr:uid="{00000000-0005-0000-0000-0000720C0000}"/>
    <cellStyle name="20% - Accent4 2 5 6" xfId="53475" xr:uid="{00000000-0005-0000-0000-0000730C0000}"/>
    <cellStyle name="20% - Accent4 2 6" xfId="513" xr:uid="{00000000-0005-0000-0000-0000740C0000}"/>
    <cellStyle name="20% - Accent4 2 6 2" xfId="514" xr:uid="{00000000-0005-0000-0000-0000750C0000}"/>
    <cellStyle name="20% - Accent4 2 6 2 2" xfId="53476" xr:uid="{00000000-0005-0000-0000-0000760C0000}"/>
    <cellStyle name="20% - Accent4 2 6 2 2 2" xfId="53477" xr:uid="{00000000-0005-0000-0000-0000770C0000}"/>
    <cellStyle name="20% - Accent4 2 6 2 3" xfId="53478" xr:uid="{00000000-0005-0000-0000-0000780C0000}"/>
    <cellStyle name="20% - Accent4 2 6 3" xfId="5864" xr:uid="{00000000-0005-0000-0000-0000790C0000}"/>
    <cellStyle name="20% - Accent4 2 6 3 2" xfId="53479" xr:uid="{00000000-0005-0000-0000-00007A0C0000}"/>
    <cellStyle name="20% - Accent4 2 6 3 2 2" xfId="53480" xr:uid="{00000000-0005-0000-0000-00007B0C0000}"/>
    <cellStyle name="20% - Accent4 2 6 3 3" xfId="53481" xr:uid="{00000000-0005-0000-0000-00007C0C0000}"/>
    <cellStyle name="20% - Accent4 2 6 4" xfId="5865" xr:uid="{00000000-0005-0000-0000-00007D0C0000}"/>
    <cellStyle name="20% - Accent4 2 6 4 2" xfId="53482" xr:uid="{00000000-0005-0000-0000-00007E0C0000}"/>
    <cellStyle name="20% - Accent4 2 6 5" xfId="5866" xr:uid="{00000000-0005-0000-0000-00007F0C0000}"/>
    <cellStyle name="20% - Accent4 2 7" xfId="515" xr:uid="{00000000-0005-0000-0000-0000800C0000}"/>
    <cellStyle name="20% - Accent4 2 7 2" xfId="5867" xr:uid="{00000000-0005-0000-0000-0000810C0000}"/>
    <cellStyle name="20% - Accent4 2 7 2 2" xfId="53483" xr:uid="{00000000-0005-0000-0000-0000820C0000}"/>
    <cellStyle name="20% - Accent4 2 7 3" xfId="5868" xr:uid="{00000000-0005-0000-0000-0000830C0000}"/>
    <cellStyle name="20% - Accent4 2 8" xfId="5869" xr:uid="{00000000-0005-0000-0000-0000840C0000}"/>
    <cellStyle name="20% - Accent4 2 8 2" xfId="53484" xr:uid="{00000000-0005-0000-0000-0000850C0000}"/>
    <cellStyle name="20% - Accent4 2 8 2 2" xfId="53485" xr:uid="{00000000-0005-0000-0000-0000860C0000}"/>
    <cellStyle name="20% - Accent4 2 8 3" xfId="53486" xr:uid="{00000000-0005-0000-0000-0000870C0000}"/>
    <cellStyle name="20% - Accent4 2 9" xfId="5870" xr:uid="{00000000-0005-0000-0000-0000880C0000}"/>
    <cellStyle name="20% - Accent4 2 9 2" xfId="53487" xr:uid="{00000000-0005-0000-0000-0000890C0000}"/>
    <cellStyle name="20% - Accent4 20" xfId="516" xr:uid="{00000000-0005-0000-0000-00008A0C0000}"/>
    <cellStyle name="20% - Accent4 20 2" xfId="517" xr:uid="{00000000-0005-0000-0000-00008B0C0000}"/>
    <cellStyle name="20% - Accent4 21" xfId="518" xr:uid="{00000000-0005-0000-0000-00008C0C0000}"/>
    <cellStyle name="20% - Accent4 21 2" xfId="519" xr:uid="{00000000-0005-0000-0000-00008D0C0000}"/>
    <cellStyle name="20% - Accent4 22" xfId="520" xr:uid="{00000000-0005-0000-0000-00008E0C0000}"/>
    <cellStyle name="20% - Accent4 22 2" xfId="521" xr:uid="{00000000-0005-0000-0000-00008F0C0000}"/>
    <cellStyle name="20% - Accent4 23" xfId="522" xr:uid="{00000000-0005-0000-0000-0000900C0000}"/>
    <cellStyle name="20% - Accent4 23 2" xfId="523" xr:uid="{00000000-0005-0000-0000-0000910C0000}"/>
    <cellStyle name="20% - Accent4 24" xfId="524" xr:uid="{00000000-0005-0000-0000-0000920C0000}"/>
    <cellStyle name="20% - Accent4 24 2" xfId="525" xr:uid="{00000000-0005-0000-0000-0000930C0000}"/>
    <cellStyle name="20% - Accent4 25" xfId="526" xr:uid="{00000000-0005-0000-0000-0000940C0000}"/>
    <cellStyle name="20% - Accent4 25 2" xfId="527" xr:uid="{00000000-0005-0000-0000-0000950C0000}"/>
    <cellStyle name="20% - Accent4 26" xfId="528" xr:uid="{00000000-0005-0000-0000-0000960C0000}"/>
    <cellStyle name="20% - Accent4 26 2" xfId="529" xr:uid="{00000000-0005-0000-0000-0000970C0000}"/>
    <cellStyle name="20% - Accent4 27" xfId="530" xr:uid="{00000000-0005-0000-0000-0000980C0000}"/>
    <cellStyle name="20% - Accent4 27 2" xfId="531" xr:uid="{00000000-0005-0000-0000-0000990C0000}"/>
    <cellStyle name="20% - Accent4 28" xfId="532" xr:uid="{00000000-0005-0000-0000-00009A0C0000}"/>
    <cellStyle name="20% - Accent4 28 2" xfId="533" xr:uid="{00000000-0005-0000-0000-00009B0C0000}"/>
    <cellStyle name="20% - Accent4 29" xfId="534" xr:uid="{00000000-0005-0000-0000-00009C0C0000}"/>
    <cellStyle name="20% - Accent4 29 2" xfId="535" xr:uid="{00000000-0005-0000-0000-00009D0C0000}"/>
    <cellStyle name="20% - Accent4 3" xfId="536" xr:uid="{00000000-0005-0000-0000-00009E0C0000}"/>
    <cellStyle name="20% - Accent4 3 10" xfId="5871" xr:uid="{00000000-0005-0000-0000-00009F0C0000}"/>
    <cellStyle name="20% - Accent4 3 10 2" xfId="5872" xr:uid="{00000000-0005-0000-0000-0000A00C0000}"/>
    <cellStyle name="20% - Accent4 3 10 3" xfId="5873" xr:uid="{00000000-0005-0000-0000-0000A10C0000}"/>
    <cellStyle name="20% - Accent4 3 11" xfId="5874" xr:uid="{00000000-0005-0000-0000-0000A20C0000}"/>
    <cellStyle name="20% - Accent4 3 11 2" xfId="5875" xr:uid="{00000000-0005-0000-0000-0000A30C0000}"/>
    <cellStyle name="20% - Accent4 3 12" xfId="5876" xr:uid="{00000000-0005-0000-0000-0000A40C0000}"/>
    <cellStyle name="20% - Accent4 3 13" xfId="5877" xr:uid="{00000000-0005-0000-0000-0000A50C0000}"/>
    <cellStyle name="20% - Accent4 3 14" xfId="5878" xr:uid="{00000000-0005-0000-0000-0000A60C0000}"/>
    <cellStyle name="20% - Accent4 3 15" xfId="5879" xr:uid="{00000000-0005-0000-0000-0000A70C0000}"/>
    <cellStyle name="20% - Accent4 3 16" xfId="5880" xr:uid="{00000000-0005-0000-0000-0000A80C0000}"/>
    <cellStyle name="20% - Accent4 3 2" xfId="537" xr:uid="{00000000-0005-0000-0000-0000A90C0000}"/>
    <cellStyle name="20% - Accent4 3 2 10" xfId="5881" xr:uid="{00000000-0005-0000-0000-0000AA0C0000}"/>
    <cellStyle name="20% - Accent4 3 2 11" xfId="5882" xr:uid="{00000000-0005-0000-0000-0000AB0C0000}"/>
    <cellStyle name="20% - Accent4 3 2 12" xfId="5883" xr:uid="{00000000-0005-0000-0000-0000AC0C0000}"/>
    <cellStyle name="20% - Accent4 3 2 13" xfId="5884" xr:uid="{00000000-0005-0000-0000-0000AD0C0000}"/>
    <cellStyle name="20% - Accent4 3 2 2" xfId="538" xr:uid="{00000000-0005-0000-0000-0000AE0C0000}"/>
    <cellStyle name="20% - Accent4 3 2 2 10" xfId="5885" xr:uid="{00000000-0005-0000-0000-0000AF0C0000}"/>
    <cellStyle name="20% - Accent4 3 2 2 11" xfId="5886" xr:uid="{00000000-0005-0000-0000-0000B00C0000}"/>
    <cellStyle name="20% - Accent4 3 2 2 12" xfId="5887" xr:uid="{00000000-0005-0000-0000-0000B10C0000}"/>
    <cellStyle name="20% - Accent4 3 2 2 2" xfId="5888" xr:uid="{00000000-0005-0000-0000-0000B20C0000}"/>
    <cellStyle name="20% - Accent4 3 2 2 2 2" xfId="5889" xr:uid="{00000000-0005-0000-0000-0000B30C0000}"/>
    <cellStyle name="20% - Accent4 3 2 2 2 2 2" xfId="5890" xr:uid="{00000000-0005-0000-0000-0000B40C0000}"/>
    <cellStyle name="20% - Accent4 3 2 2 2 2 3" xfId="5891" xr:uid="{00000000-0005-0000-0000-0000B50C0000}"/>
    <cellStyle name="20% - Accent4 3 2 2 2 3" xfId="5892" xr:uid="{00000000-0005-0000-0000-0000B60C0000}"/>
    <cellStyle name="20% - Accent4 3 2 2 2 3 2" xfId="5893" xr:uid="{00000000-0005-0000-0000-0000B70C0000}"/>
    <cellStyle name="20% - Accent4 3 2 2 2 3 3" xfId="5894" xr:uid="{00000000-0005-0000-0000-0000B80C0000}"/>
    <cellStyle name="20% - Accent4 3 2 2 2 4" xfId="5895" xr:uid="{00000000-0005-0000-0000-0000B90C0000}"/>
    <cellStyle name="20% - Accent4 3 2 2 2 5" xfId="5896" xr:uid="{00000000-0005-0000-0000-0000BA0C0000}"/>
    <cellStyle name="20% - Accent4 3 2 2 2 6" xfId="5897" xr:uid="{00000000-0005-0000-0000-0000BB0C0000}"/>
    <cellStyle name="20% - Accent4 3 2 2 2 7" xfId="5898" xr:uid="{00000000-0005-0000-0000-0000BC0C0000}"/>
    <cellStyle name="20% - Accent4 3 2 2 3" xfId="5899" xr:uid="{00000000-0005-0000-0000-0000BD0C0000}"/>
    <cellStyle name="20% - Accent4 3 2 2 3 2" xfId="5900" xr:uid="{00000000-0005-0000-0000-0000BE0C0000}"/>
    <cellStyle name="20% - Accent4 3 2 2 3 3" xfId="5901" xr:uid="{00000000-0005-0000-0000-0000BF0C0000}"/>
    <cellStyle name="20% - Accent4 3 2 2 4" xfId="5902" xr:uid="{00000000-0005-0000-0000-0000C00C0000}"/>
    <cellStyle name="20% - Accent4 3 2 2 4 2" xfId="5903" xr:uid="{00000000-0005-0000-0000-0000C10C0000}"/>
    <cellStyle name="20% - Accent4 3 2 2 4 3" xfId="5904" xr:uid="{00000000-0005-0000-0000-0000C20C0000}"/>
    <cellStyle name="20% - Accent4 3 2 2 5" xfId="5905" xr:uid="{00000000-0005-0000-0000-0000C30C0000}"/>
    <cellStyle name="20% - Accent4 3 2 2 6" xfId="5906" xr:uid="{00000000-0005-0000-0000-0000C40C0000}"/>
    <cellStyle name="20% - Accent4 3 2 2 7" xfId="5907" xr:uid="{00000000-0005-0000-0000-0000C50C0000}"/>
    <cellStyle name="20% - Accent4 3 2 2 8" xfId="5908" xr:uid="{00000000-0005-0000-0000-0000C60C0000}"/>
    <cellStyle name="20% - Accent4 3 2 2 9" xfId="5909" xr:uid="{00000000-0005-0000-0000-0000C70C0000}"/>
    <cellStyle name="20% - Accent4 3 2 3" xfId="5910" xr:uid="{00000000-0005-0000-0000-0000C80C0000}"/>
    <cellStyle name="20% - Accent4 3 2 3 2" xfId="5911" xr:uid="{00000000-0005-0000-0000-0000C90C0000}"/>
    <cellStyle name="20% - Accent4 3 2 3 2 2" xfId="5912" xr:uid="{00000000-0005-0000-0000-0000CA0C0000}"/>
    <cellStyle name="20% - Accent4 3 2 3 2 3" xfId="5913" xr:uid="{00000000-0005-0000-0000-0000CB0C0000}"/>
    <cellStyle name="20% - Accent4 3 2 3 3" xfId="5914" xr:uid="{00000000-0005-0000-0000-0000CC0C0000}"/>
    <cellStyle name="20% - Accent4 3 2 3 3 2" xfId="5915" xr:uid="{00000000-0005-0000-0000-0000CD0C0000}"/>
    <cellStyle name="20% - Accent4 3 2 3 3 3" xfId="5916" xr:uid="{00000000-0005-0000-0000-0000CE0C0000}"/>
    <cellStyle name="20% - Accent4 3 2 3 4" xfId="5917" xr:uid="{00000000-0005-0000-0000-0000CF0C0000}"/>
    <cellStyle name="20% - Accent4 3 2 3 5" xfId="5918" xr:uid="{00000000-0005-0000-0000-0000D00C0000}"/>
    <cellStyle name="20% - Accent4 3 2 3 6" xfId="5919" xr:uid="{00000000-0005-0000-0000-0000D10C0000}"/>
    <cellStyle name="20% - Accent4 3 2 3 7" xfId="5920" xr:uid="{00000000-0005-0000-0000-0000D20C0000}"/>
    <cellStyle name="20% - Accent4 3 2 3 8" xfId="5921" xr:uid="{00000000-0005-0000-0000-0000D30C0000}"/>
    <cellStyle name="20% - Accent4 3 2 4" xfId="5922" xr:uid="{00000000-0005-0000-0000-0000D40C0000}"/>
    <cellStyle name="20% - Accent4 3 2 4 2" xfId="5923" xr:uid="{00000000-0005-0000-0000-0000D50C0000}"/>
    <cellStyle name="20% - Accent4 3 2 4 3" xfId="5924" xr:uid="{00000000-0005-0000-0000-0000D60C0000}"/>
    <cellStyle name="20% - Accent4 3 2 4 4" xfId="5925" xr:uid="{00000000-0005-0000-0000-0000D70C0000}"/>
    <cellStyle name="20% - Accent4 3 2 4 5" xfId="5926" xr:uid="{00000000-0005-0000-0000-0000D80C0000}"/>
    <cellStyle name="20% - Accent4 3 2 5" xfId="5927" xr:uid="{00000000-0005-0000-0000-0000D90C0000}"/>
    <cellStyle name="20% - Accent4 3 2 5 2" xfId="5928" xr:uid="{00000000-0005-0000-0000-0000DA0C0000}"/>
    <cellStyle name="20% - Accent4 3 2 5 3" xfId="5929" xr:uid="{00000000-0005-0000-0000-0000DB0C0000}"/>
    <cellStyle name="20% - Accent4 3 2 5 4" xfId="5930" xr:uid="{00000000-0005-0000-0000-0000DC0C0000}"/>
    <cellStyle name="20% - Accent4 3 2 5 5" xfId="5931" xr:uid="{00000000-0005-0000-0000-0000DD0C0000}"/>
    <cellStyle name="20% - Accent4 3 2 6" xfId="5932" xr:uid="{00000000-0005-0000-0000-0000DE0C0000}"/>
    <cellStyle name="20% - Accent4 3 2 7" xfId="5933" xr:uid="{00000000-0005-0000-0000-0000DF0C0000}"/>
    <cellStyle name="20% - Accent4 3 2 8" xfId="5934" xr:uid="{00000000-0005-0000-0000-0000E00C0000}"/>
    <cellStyle name="20% - Accent4 3 2 9" xfId="5935" xr:uid="{00000000-0005-0000-0000-0000E10C0000}"/>
    <cellStyle name="20% - Accent4 3 3" xfId="539" xr:uid="{00000000-0005-0000-0000-0000E20C0000}"/>
    <cellStyle name="20% - Accent4 3 3 10" xfId="5936" xr:uid="{00000000-0005-0000-0000-0000E30C0000}"/>
    <cellStyle name="20% - Accent4 3 3 11" xfId="5937" xr:uid="{00000000-0005-0000-0000-0000E40C0000}"/>
    <cellStyle name="20% - Accent4 3 3 12" xfId="5938" xr:uid="{00000000-0005-0000-0000-0000E50C0000}"/>
    <cellStyle name="20% - Accent4 3 3 2" xfId="5939" xr:uid="{00000000-0005-0000-0000-0000E60C0000}"/>
    <cellStyle name="20% - Accent4 3 3 2 2" xfId="5940" xr:uid="{00000000-0005-0000-0000-0000E70C0000}"/>
    <cellStyle name="20% - Accent4 3 3 2 2 2" xfId="5941" xr:uid="{00000000-0005-0000-0000-0000E80C0000}"/>
    <cellStyle name="20% - Accent4 3 3 2 2 3" xfId="5942" xr:uid="{00000000-0005-0000-0000-0000E90C0000}"/>
    <cellStyle name="20% - Accent4 3 3 2 3" xfId="5943" xr:uid="{00000000-0005-0000-0000-0000EA0C0000}"/>
    <cellStyle name="20% - Accent4 3 3 2 3 2" xfId="5944" xr:uid="{00000000-0005-0000-0000-0000EB0C0000}"/>
    <cellStyle name="20% - Accent4 3 3 2 3 3" xfId="5945" xr:uid="{00000000-0005-0000-0000-0000EC0C0000}"/>
    <cellStyle name="20% - Accent4 3 3 2 4" xfId="5946" xr:uid="{00000000-0005-0000-0000-0000ED0C0000}"/>
    <cellStyle name="20% - Accent4 3 3 2 5" xfId="5947" xr:uid="{00000000-0005-0000-0000-0000EE0C0000}"/>
    <cellStyle name="20% - Accent4 3 3 2 6" xfId="5948" xr:uid="{00000000-0005-0000-0000-0000EF0C0000}"/>
    <cellStyle name="20% - Accent4 3 3 2 7" xfId="5949" xr:uid="{00000000-0005-0000-0000-0000F00C0000}"/>
    <cellStyle name="20% - Accent4 3 3 2 8" xfId="5950" xr:uid="{00000000-0005-0000-0000-0000F10C0000}"/>
    <cellStyle name="20% - Accent4 3 3 2 9" xfId="5951" xr:uid="{00000000-0005-0000-0000-0000F20C0000}"/>
    <cellStyle name="20% - Accent4 3 3 3" xfId="5952" xr:uid="{00000000-0005-0000-0000-0000F30C0000}"/>
    <cellStyle name="20% - Accent4 3 3 3 2" xfId="5953" xr:uid="{00000000-0005-0000-0000-0000F40C0000}"/>
    <cellStyle name="20% - Accent4 3 3 3 3" xfId="5954" xr:uid="{00000000-0005-0000-0000-0000F50C0000}"/>
    <cellStyle name="20% - Accent4 3 3 3 4" xfId="5955" xr:uid="{00000000-0005-0000-0000-0000F60C0000}"/>
    <cellStyle name="20% - Accent4 3 3 3 5" xfId="5956" xr:uid="{00000000-0005-0000-0000-0000F70C0000}"/>
    <cellStyle name="20% - Accent4 3 3 4" xfId="5957" xr:uid="{00000000-0005-0000-0000-0000F80C0000}"/>
    <cellStyle name="20% - Accent4 3 3 4 2" xfId="5958" xr:uid="{00000000-0005-0000-0000-0000F90C0000}"/>
    <cellStyle name="20% - Accent4 3 3 4 3" xfId="5959" xr:uid="{00000000-0005-0000-0000-0000FA0C0000}"/>
    <cellStyle name="20% - Accent4 3 3 4 4" xfId="5960" xr:uid="{00000000-0005-0000-0000-0000FB0C0000}"/>
    <cellStyle name="20% - Accent4 3 3 4 5" xfId="5961" xr:uid="{00000000-0005-0000-0000-0000FC0C0000}"/>
    <cellStyle name="20% - Accent4 3 3 5" xfId="5962" xr:uid="{00000000-0005-0000-0000-0000FD0C0000}"/>
    <cellStyle name="20% - Accent4 3 3 5 2" xfId="5963" xr:uid="{00000000-0005-0000-0000-0000FE0C0000}"/>
    <cellStyle name="20% - Accent4 3 3 5 3" xfId="5964" xr:uid="{00000000-0005-0000-0000-0000FF0C0000}"/>
    <cellStyle name="20% - Accent4 3 3 6" xfId="5965" xr:uid="{00000000-0005-0000-0000-0000000D0000}"/>
    <cellStyle name="20% - Accent4 3 3 7" xfId="5966" xr:uid="{00000000-0005-0000-0000-0000010D0000}"/>
    <cellStyle name="20% - Accent4 3 3 8" xfId="5967" xr:uid="{00000000-0005-0000-0000-0000020D0000}"/>
    <cellStyle name="20% - Accent4 3 3 9" xfId="5968" xr:uid="{00000000-0005-0000-0000-0000030D0000}"/>
    <cellStyle name="20% - Accent4 3 4" xfId="5969" xr:uid="{00000000-0005-0000-0000-0000040D0000}"/>
    <cellStyle name="20% - Accent4 3 4 2" xfId="5970" xr:uid="{00000000-0005-0000-0000-0000050D0000}"/>
    <cellStyle name="20% - Accent4 3 4 2 2" xfId="5971" xr:uid="{00000000-0005-0000-0000-0000060D0000}"/>
    <cellStyle name="20% - Accent4 3 4 2 3" xfId="5972" xr:uid="{00000000-0005-0000-0000-0000070D0000}"/>
    <cellStyle name="20% - Accent4 3 4 2 4" xfId="5973" xr:uid="{00000000-0005-0000-0000-0000080D0000}"/>
    <cellStyle name="20% - Accent4 3 4 2 5" xfId="5974" xr:uid="{00000000-0005-0000-0000-0000090D0000}"/>
    <cellStyle name="20% - Accent4 3 4 2 6" xfId="5975" xr:uid="{00000000-0005-0000-0000-00000A0D0000}"/>
    <cellStyle name="20% - Accent4 3 4 3" xfId="5976" xr:uid="{00000000-0005-0000-0000-00000B0D0000}"/>
    <cellStyle name="20% - Accent4 3 4 3 2" xfId="5977" xr:uid="{00000000-0005-0000-0000-00000C0D0000}"/>
    <cellStyle name="20% - Accent4 3 4 3 3" xfId="5978" xr:uid="{00000000-0005-0000-0000-00000D0D0000}"/>
    <cellStyle name="20% - Accent4 3 4 3 4" xfId="5979" xr:uid="{00000000-0005-0000-0000-00000E0D0000}"/>
    <cellStyle name="20% - Accent4 3 4 3 5" xfId="5980" xr:uid="{00000000-0005-0000-0000-00000F0D0000}"/>
    <cellStyle name="20% - Accent4 3 4 4" xfId="5981" xr:uid="{00000000-0005-0000-0000-0000100D0000}"/>
    <cellStyle name="20% - Accent4 3 4 4 2" xfId="5982" xr:uid="{00000000-0005-0000-0000-0000110D0000}"/>
    <cellStyle name="20% - Accent4 3 4 4 3" xfId="5983" xr:uid="{00000000-0005-0000-0000-0000120D0000}"/>
    <cellStyle name="20% - Accent4 3 4 5" xfId="5984" xr:uid="{00000000-0005-0000-0000-0000130D0000}"/>
    <cellStyle name="20% - Accent4 3 4 5 2" xfId="5985" xr:uid="{00000000-0005-0000-0000-0000140D0000}"/>
    <cellStyle name="20% - Accent4 3 4 5 3" xfId="5986" xr:uid="{00000000-0005-0000-0000-0000150D0000}"/>
    <cellStyle name="20% - Accent4 3 4 6" xfId="5987" xr:uid="{00000000-0005-0000-0000-0000160D0000}"/>
    <cellStyle name="20% - Accent4 3 4 7" xfId="5988" xr:uid="{00000000-0005-0000-0000-0000170D0000}"/>
    <cellStyle name="20% - Accent4 3 4 8" xfId="5989" xr:uid="{00000000-0005-0000-0000-0000180D0000}"/>
    <cellStyle name="20% - Accent4 3 4 9" xfId="5990" xr:uid="{00000000-0005-0000-0000-0000190D0000}"/>
    <cellStyle name="20% - Accent4 3 5" xfId="5991" xr:uid="{00000000-0005-0000-0000-00001A0D0000}"/>
    <cellStyle name="20% - Accent4 3 5 2" xfId="5992" xr:uid="{00000000-0005-0000-0000-00001B0D0000}"/>
    <cellStyle name="20% - Accent4 3 5 2 2" xfId="5993" xr:uid="{00000000-0005-0000-0000-00001C0D0000}"/>
    <cellStyle name="20% - Accent4 3 5 2 3" xfId="5994" xr:uid="{00000000-0005-0000-0000-00001D0D0000}"/>
    <cellStyle name="20% - Accent4 3 5 2 4" xfId="5995" xr:uid="{00000000-0005-0000-0000-00001E0D0000}"/>
    <cellStyle name="20% - Accent4 3 5 3" xfId="5996" xr:uid="{00000000-0005-0000-0000-00001F0D0000}"/>
    <cellStyle name="20% - Accent4 3 5 3 2" xfId="5997" xr:uid="{00000000-0005-0000-0000-0000200D0000}"/>
    <cellStyle name="20% - Accent4 3 5 3 3" xfId="5998" xr:uid="{00000000-0005-0000-0000-0000210D0000}"/>
    <cellStyle name="20% - Accent4 3 5 4" xfId="5999" xr:uid="{00000000-0005-0000-0000-0000220D0000}"/>
    <cellStyle name="20% - Accent4 3 5 4 2" xfId="6000" xr:uid="{00000000-0005-0000-0000-0000230D0000}"/>
    <cellStyle name="20% - Accent4 3 5 5" xfId="6001" xr:uid="{00000000-0005-0000-0000-0000240D0000}"/>
    <cellStyle name="20% - Accent4 3 5 5 2" xfId="6002" xr:uid="{00000000-0005-0000-0000-0000250D0000}"/>
    <cellStyle name="20% - Accent4 3 5 6" xfId="6003" xr:uid="{00000000-0005-0000-0000-0000260D0000}"/>
    <cellStyle name="20% - Accent4 3 5 7" xfId="6004" xr:uid="{00000000-0005-0000-0000-0000270D0000}"/>
    <cellStyle name="20% - Accent4 3 5 8" xfId="6005" xr:uid="{00000000-0005-0000-0000-0000280D0000}"/>
    <cellStyle name="20% - Accent4 3 6" xfId="6006" xr:uid="{00000000-0005-0000-0000-0000290D0000}"/>
    <cellStyle name="20% - Accent4 3 6 2" xfId="6007" xr:uid="{00000000-0005-0000-0000-00002A0D0000}"/>
    <cellStyle name="20% - Accent4 3 6 2 2" xfId="6008" xr:uid="{00000000-0005-0000-0000-00002B0D0000}"/>
    <cellStyle name="20% - Accent4 3 6 2 3" xfId="6009" xr:uid="{00000000-0005-0000-0000-00002C0D0000}"/>
    <cellStyle name="20% - Accent4 3 6 2 4" xfId="6010" xr:uid="{00000000-0005-0000-0000-00002D0D0000}"/>
    <cellStyle name="20% - Accent4 3 6 3" xfId="6011" xr:uid="{00000000-0005-0000-0000-00002E0D0000}"/>
    <cellStyle name="20% - Accent4 3 6 3 2" xfId="6012" xr:uid="{00000000-0005-0000-0000-00002F0D0000}"/>
    <cellStyle name="20% - Accent4 3 6 3 3" xfId="6013" xr:uid="{00000000-0005-0000-0000-0000300D0000}"/>
    <cellStyle name="20% - Accent4 3 6 4" xfId="6014" xr:uid="{00000000-0005-0000-0000-0000310D0000}"/>
    <cellStyle name="20% - Accent4 3 6 4 2" xfId="6015" xr:uid="{00000000-0005-0000-0000-0000320D0000}"/>
    <cellStyle name="20% - Accent4 3 6 5" xfId="6016" xr:uid="{00000000-0005-0000-0000-0000330D0000}"/>
    <cellStyle name="20% - Accent4 3 6 5 2" xfId="6017" xr:uid="{00000000-0005-0000-0000-0000340D0000}"/>
    <cellStyle name="20% - Accent4 3 6 6" xfId="6018" xr:uid="{00000000-0005-0000-0000-0000350D0000}"/>
    <cellStyle name="20% - Accent4 3 6 7" xfId="6019" xr:uid="{00000000-0005-0000-0000-0000360D0000}"/>
    <cellStyle name="20% - Accent4 3 6 8" xfId="6020" xr:uid="{00000000-0005-0000-0000-0000370D0000}"/>
    <cellStyle name="20% - Accent4 3 7" xfId="6021" xr:uid="{00000000-0005-0000-0000-0000380D0000}"/>
    <cellStyle name="20% - Accent4 3 7 2" xfId="6022" xr:uid="{00000000-0005-0000-0000-0000390D0000}"/>
    <cellStyle name="20% - Accent4 3 7 2 2" xfId="6023" xr:uid="{00000000-0005-0000-0000-00003A0D0000}"/>
    <cellStyle name="20% - Accent4 3 7 2 3" xfId="6024" xr:uid="{00000000-0005-0000-0000-00003B0D0000}"/>
    <cellStyle name="20% - Accent4 3 7 3" xfId="6025" xr:uid="{00000000-0005-0000-0000-00003C0D0000}"/>
    <cellStyle name="20% - Accent4 3 7 3 2" xfId="6026" xr:uid="{00000000-0005-0000-0000-00003D0D0000}"/>
    <cellStyle name="20% - Accent4 3 7 4" xfId="6027" xr:uid="{00000000-0005-0000-0000-00003E0D0000}"/>
    <cellStyle name="20% - Accent4 3 7 4 2" xfId="6028" xr:uid="{00000000-0005-0000-0000-00003F0D0000}"/>
    <cellStyle name="20% - Accent4 3 7 5" xfId="6029" xr:uid="{00000000-0005-0000-0000-0000400D0000}"/>
    <cellStyle name="20% - Accent4 3 7 5 2" xfId="6030" xr:uid="{00000000-0005-0000-0000-0000410D0000}"/>
    <cellStyle name="20% - Accent4 3 7 6" xfId="6031" xr:uid="{00000000-0005-0000-0000-0000420D0000}"/>
    <cellStyle name="20% - Accent4 3 7 7" xfId="6032" xr:uid="{00000000-0005-0000-0000-0000430D0000}"/>
    <cellStyle name="20% - Accent4 3 7 8" xfId="6033" xr:uid="{00000000-0005-0000-0000-0000440D0000}"/>
    <cellStyle name="20% - Accent4 3 8" xfId="6034" xr:uid="{00000000-0005-0000-0000-0000450D0000}"/>
    <cellStyle name="20% - Accent4 3 8 2" xfId="6035" xr:uid="{00000000-0005-0000-0000-0000460D0000}"/>
    <cellStyle name="20% - Accent4 3 8 3" xfId="6036" xr:uid="{00000000-0005-0000-0000-0000470D0000}"/>
    <cellStyle name="20% - Accent4 3 8 4" xfId="6037" xr:uid="{00000000-0005-0000-0000-0000480D0000}"/>
    <cellStyle name="20% - Accent4 3 9" xfId="6038" xr:uid="{00000000-0005-0000-0000-0000490D0000}"/>
    <cellStyle name="20% - Accent4 3 9 2" xfId="6039" xr:uid="{00000000-0005-0000-0000-00004A0D0000}"/>
    <cellStyle name="20% - Accent4 3 9 3" xfId="6040" xr:uid="{00000000-0005-0000-0000-00004B0D0000}"/>
    <cellStyle name="20% - Accent4 30" xfId="540" xr:uid="{00000000-0005-0000-0000-00004C0D0000}"/>
    <cellStyle name="20% - Accent4 30 2" xfId="541" xr:uid="{00000000-0005-0000-0000-00004D0D0000}"/>
    <cellStyle name="20% - Accent4 31" xfId="542" xr:uid="{00000000-0005-0000-0000-00004E0D0000}"/>
    <cellStyle name="20% - Accent4 31 2" xfId="543" xr:uid="{00000000-0005-0000-0000-00004F0D0000}"/>
    <cellStyle name="20% - Accent4 32" xfId="544" xr:uid="{00000000-0005-0000-0000-0000500D0000}"/>
    <cellStyle name="20% - Accent4 32 2" xfId="545" xr:uid="{00000000-0005-0000-0000-0000510D0000}"/>
    <cellStyle name="20% - Accent4 33" xfId="546" xr:uid="{00000000-0005-0000-0000-0000520D0000}"/>
    <cellStyle name="20% - Accent4 33 2" xfId="547" xr:uid="{00000000-0005-0000-0000-0000530D0000}"/>
    <cellStyle name="20% - Accent4 34" xfId="548" xr:uid="{00000000-0005-0000-0000-0000540D0000}"/>
    <cellStyle name="20% - Accent4 34 2" xfId="549" xr:uid="{00000000-0005-0000-0000-0000550D0000}"/>
    <cellStyle name="20% - Accent4 35" xfId="550" xr:uid="{00000000-0005-0000-0000-0000560D0000}"/>
    <cellStyle name="20% - Accent4 35 2" xfId="551" xr:uid="{00000000-0005-0000-0000-0000570D0000}"/>
    <cellStyle name="20% - Accent4 36" xfId="552" xr:uid="{00000000-0005-0000-0000-0000580D0000}"/>
    <cellStyle name="20% - Accent4 36 2" xfId="553" xr:uid="{00000000-0005-0000-0000-0000590D0000}"/>
    <cellStyle name="20% - Accent4 37" xfId="554" xr:uid="{00000000-0005-0000-0000-00005A0D0000}"/>
    <cellStyle name="20% - Accent4 37 2" xfId="555" xr:uid="{00000000-0005-0000-0000-00005B0D0000}"/>
    <cellStyle name="20% - Accent4 38" xfId="556" xr:uid="{00000000-0005-0000-0000-00005C0D0000}"/>
    <cellStyle name="20% - Accent4 39" xfId="557" xr:uid="{00000000-0005-0000-0000-00005D0D0000}"/>
    <cellStyle name="20% - Accent4 4" xfId="558" xr:uid="{00000000-0005-0000-0000-00005E0D0000}"/>
    <cellStyle name="20% - Accent4 4 10" xfId="6041" xr:uid="{00000000-0005-0000-0000-00005F0D0000}"/>
    <cellStyle name="20% - Accent4 4 11" xfId="6042" xr:uid="{00000000-0005-0000-0000-0000600D0000}"/>
    <cellStyle name="20% - Accent4 4 12" xfId="6043" xr:uid="{00000000-0005-0000-0000-0000610D0000}"/>
    <cellStyle name="20% - Accent4 4 13" xfId="6044" xr:uid="{00000000-0005-0000-0000-0000620D0000}"/>
    <cellStyle name="20% - Accent4 4 14" xfId="6045" xr:uid="{00000000-0005-0000-0000-0000630D0000}"/>
    <cellStyle name="20% - Accent4 4 2" xfId="559" xr:uid="{00000000-0005-0000-0000-0000640D0000}"/>
    <cellStyle name="20% - Accent4 4 2 10" xfId="6046" xr:uid="{00000000-0005-0000-0000-0000650D0000}"/>
    <cellStyle name="20% - Accent4 4 2 11" xfId="6047" xr:uid="{00000000-0005-0000-0000-0000660D0000}"/>
    <cellStyle name="20% - Accent4 4 2 2" xfId="560" xr:uid="{00000000-0005-0000-0000-0000670D0000}"/>
    <cellStyle name="20% - Accent4 4 2 2 2" xfId="6048" xr:uid="{00000000-0005-0000-0000-0000680D0000}"/>
    <cellStyle name="20% - Accent4 4 2 2 2 2" xfId="6049" xr:uid="{00000000-0005-0000-0000-0000690D0000}"/>
    <cellStyle name="20% - Accent4 4 2 2 2 2 2" xfId="6050" xr:uid="{00000000-0005-0000-0000-00006A0D0000}"/>
    <cellStyle name="20% - Accent4 4 2 2 2 2 3" xfId="6051" xr:uid="{00000000-0005-0000-0000-00006B0D0000}"/>
    <cellStyle name="20% - Accent4 4 2 2 2 3" xfId="6052" xr:uid="{00000000-0005-0000-0000-00006C0D0000}"/>
    <cellStyle name="20% - Accent4 4 2 2 2 3 2" xfId="6053" xr:uid="{00000000-0005-0000-0000-00006D0D0000}"/>
    <cellStyle name="20% - Accent4 4 2 2 2 3 3" xfId="6054" xr:uid="{00000000-0005-0000-0000-00006E0D0000}"/>
    <cellStyle name="20% - Accent4 4 2 2 2 4" xfId="6055" xr:uid="{00000000-0005-0000-0000-00006F0D0000}"/>
    <cellStyle name="20% - Accent4 4 2 2 2 5" xfId="6056" xr:uid="{00000000-0005-0000-0000-0000700D0000}"/>
    <cellStyle name="20% - Accent4 4 2 2 2 6" xfId="6057" xr:uid="{00000000-0005-0000-0000-0000710D0000}"/>
    <cellStyle name="20% - Accent4 4 2 2 3" xfId="6058" xr:uid="{00000000-0005-0000-0000-0000720D0000}"/>
    <cellStyle name="20% - Accent4 4 2 2 3 2" xfId="6059" xr:uid="{00000000-0005-0000-0000-0000730D0000}"/>
    <cellStyle name="20% - Accent4 4 2 2 3 3" xfId="6060" xr:uid="{00000000-0005-0000-0000-0000740D0000}"/>
    <cellStyle name="20% - Accent4 4 2 2 4" xfId="6061" xr:uid="{00000000-0005-0000-0000-0000750D0000}"/>
    <cellStyle name="20% - Accent4 4 2 2 4 2" xfId="6062" xr:uid="{00000000-0005-0000-0000-0000760D0000}"/>
    <cellStyle name="20% - Accent4 4 2 2 4 3" xfId="6063" xr:uid="{00000000-0005-0000-0000-0000770D0000}"/>
    <cellStyle name="20% - Accent4 4 2 2 5" xfId="6064" xr:uid="{00000000-0005-0000-0000-0000780D0000}"/>
    <cellStyle name="20% - Accent4 4 2 2 6" xfId="6065" xr:uid="{00000000-0005-0000-0000-0000790D0000}"/>
    <cellStyle name="20% - Accent4 4 2 2 7" xfId="6066" xr:uid="{00000000-0005-0000-0000-00007A0D0000}"/>
    <cellStyle name="20% - Accent4 4 2 2 8" xfId="6067" xr:uid="{00000000-0005-0000-0000-00007B0D0000}"/>
    <cellStyle name="20% - Accent4 4 2 3" xfId="561" xr:uid="{00000000-0005-0000-0000-00007C0D0000}"/>
    <cellStyle name="20% - Accent4 4 2 3 2" xfId="6068" xr:uid="{00000000-0005-0000-0000-00007D0D0000}"/>
    <cellStyle name="20% - Accent4 4 2 3 2 2" xfId="6069" xr:uid="{00000000-0005-0000-0000-00007E0D0000}"/>
    <cellStyle name="20% - Accent4 4 2 3 2 3" xfId="6070" xr:uid="{00000000-0005-0000-0000-00007F0D0000}"/>
    <cellStyle name="20% - Accent4 4 2 3 3" xfId="6071" xr:uid="{00000000-0005-0000-0000-0000800D0000}"/>
    <cellStyle name="20% - Accent4 4 2 3 3 2" xfId="6072" xr:uid="{00000000-0005-0000-0000-0000810D0000}"/>
    <cellStyle name="20% - Accent4 4 2 3 3 3" xfId="6073" xr:uid="{00000000-0005-0000-0000-0000820D0000}"/>
    <cellStyle name="20% - Accent4 4 2 3 4" xfId="6074" xr:uid="{00000000-0005-0000-0000-0000830D0000}"/>
    <cellStyle name="20% - Accent4 4 2 3 5" xfId="6075" xr:uid="{00000000-0005-0000-0000-0000840D0000}"/>
    <cellStyle name="20% - Accent4 4 2 3 6" xfId="6076" xr:uid="{00000000-0005-0000-0000-0000850D0000}"/>
    <cellStyle name="20% - Accent4 4 2 4" xfId="6077" xr:uid="{00000000-0005-0000-0000-0000860D0000}"/>
    <cellStyle name="20% - Accent4 4 2 4 2" xfId="6078" xr:uid="{00000000-0005-0000-0000-0000870D0000}"/>
    <cellStyle name="20% - Accent4 4 2 4 3" xfId="6079" xr:uid="{00000000-0005-0000-0000-0000880D0000}"/>
    <cellStyle name="20% - Accent4 4 2 5" xfId="6080" xr:uid="{00000000-0005-0000-0000-0000890D0000}"/>
    <cellStyle name="20% - Accent4 4 2 5 2" xfId="6081" xr:uid="{00000000-0005-0000-0000-00008A0D0000}"/>
    <cellStyle name="20% - Accent4 4 2 5 3" xfId="6082" xr:uid="{00000000-0005-0000-0000-00008B0D0000}"/>
    <cellStyle name="20% - Accent4 4 2 6" xfId="6083" xr:uid="{00000000-0005-0000-0000-00008C0D0000}"/>
    <cellStyle name="20% - Accent4 4 2 7" xfId="6084" xr:uid="{00000000-0005-0000-0000-00008D0D0000}"/>
    <cellStyle name="20% - Accent4 4 2 8" xfId="6085" xr:uid="{00000000-0005-0000-0000-00008E0D0000}"/>
    <cellStyle name="20% - Accent4 4 2 9" xfId="6086" xr:uid="{00000000-0005-0000-0000-00008F0D0000}"/>
    <cellStyle name="20% - Accent4 4 3" xfId="562" xr:uid="{00000000-0005-0000-0000-0000900D0000}"/>
    <cellStyle name="20% - Accent4 4 3 10" xfId="6087" xr:uid="{00000000-0005-0000-0000-0000910D0000}"/>
    <cellStyle name="20% - Accent4 4 3 2" xfId="6088" xr:uid="{00000000-0005-0000-0000-0000920D0000}"/>
    <cellStyle name="20% - Accent4 4 3 2 2" xfId="6089" xr:uid="{00000000-0005-0000-0000-0000930D0000}"/>
    <cellStyle name="20% - Accent4 4 3 2 2 2" xfId="6090" xr:uid="{00000000-0005-0000-0000-0000940D0000}"/>
    <cellStyle name="20% - Accent4 4 3 2 2 3" xfId="6091" xr:uid="{00000000-0005-0000-0000-0000950D0000}"/>
    <cellStyle name="20% - Accent4 4 3 2 3" xfId="6092" xr:uid="{00000000-0005-0000-0000-0000960D0000}"/>
    <cellStyle name="20% - Accent4 4 3 2 3 2" xfId="6093" xr:uid="{00000000-0005-0000-0000-0000970D0000}"/>
    <cellStyle name="20% - Accent4 4 3 2 3 3" xfId="6094" xr:uid="{00000000-0005-0000-0000-0000980D0000}"/>
    <cellStyle name="20% - Accent4 4 3 2 4" xfId="6095" xr:uid="{00000000-0005-0000-0000-0000990D0000}"/>
    <cellStyle name="20% - Accent4 4 3 2 5" xfId="6096" xr:uid="{00000000-0005-0000-0000-00009A0D0000}"/>
    <cellStyle name="20% - Accent4 4 3 2 6" xfId="6097" xr:uid="{00000000-0005-0000-0000-00009B0D0000}"/>
    <cellStyle name="20% - Accent4 4 3 3" xfId="6098" xr:uid="{00000000-0005-0000-0000-00009C0D0000}"/>
    <cellStyle name="20% - Accent4 4 3 3 2" xfId="6099" xr:uid="{00000000-0005-0000-0000-00009D0D0000}"/>
    <cellStyle name="20% - Accent4 4 3 3 3" xfId="6100" xr:uid="{00000000-0005-0000-0000-00009E0D0000}"/>
    <cellStyle name="20% - Accent4 4 3 4" xfId="6101" xr:uid="{00000000-0005-0000-0000-00009F0D0000}"/>
    <cellStyle name="20% - Accent4 4 3 4 2" xfId="6102" xr:uid="{00000000-0005-0000-0000-0000A00D0000}"/>
    <cellStyle name="20% - Accent4 4 3 4 3" xfId="6103" xr:uid="{00000000-0005-0000-0000-0000A10D0000}"/>
    <cellStyle name="20% - Accent4 4 3 5" xfId="6104" xr:uid="{00000000-0005-0000-0000-0000A20D0000}"/>
    <cellStyle name="20% - Accent4 4 3 6" xfId="6105" xr:uid="{00000000-0005-0000-0000-0000A30D0000}"/>
    <cellStyle name="20% - Accent4 4 3 7" xfId="6106" xr:uid="{00000000-0005-0000-0000-0000A40D0000}"/>
    <cellStyle name="20% - Accent4 4 3 8" xfId="6107" xr:uid="{00000000-0005-0000-0000-0000A50D0000}"/>
    <cellStyle name="20% - Accent4 4 3 9" xfId="6108" xr:uid="{00000000-0005-0000-0000-0000A60D0000}"/>
    <cellStyle name="20% - Accent4 4 4" xfId="563" xr:uid="{00000000-0005-0000-0000-0000A70D0000}"/>
    <cellStyle name="20% - Accent4 4 4 2" xfId="6109" xr:uid="{00000000-0005-0000-0000-0000A80D0000}"/>
    <cellStyle name="20% - Accent4 4 4 2 2" xfId="6110" xr:uid="{00000000-0005-0000-0000-0000A90D0000}"/>
    <cellStyle name="20% - Accent4 4 4 2 3" xfId="6111" xr:uid="{00000000-0005-0000-0000-0000AA0D0000}"/>
    <cellStyle name="20% - Accent4 4 4 3" xfId="6112" xr:uid="{00000000-0005-0000-0000-0000AB0D0000}"/>
    <cellStyle name="20% - Accent4 4 4 3 2" xfId="6113" xr:uid="{00000000-0005-0000-0000-0000AC0D0000}"/>
    <cellStyle name="20% - Accent4 4 4 3 3" xfId="6114" xr:uid="{00000000-0005-0000-0000-0000AD0D0000}"/>
    <cellStyle name="20% - Accent4 4 4 4" xfId="6115" xr:uid="{00000000-0005-0000-0000-0000AE0D0000}"/>
    <cellStyle name="20% - Accent4 4 4 5" xfId="6116" xr:uid="{00000000-0005-0000-0000-0000AF0D0000}"/>
    <cellStyle name="20% - Accent4 4 4 6" xfId="6117" xr:uid="{00000000-0005-0000-0000-0000B00D0000}"/>
    <cellStyle name="20% - Accent4 4 5" xfId="6118" xr:uid="{00000000-0005-0000-0000-0000B10D0000}"/>
    <cellStyle name="20% - Accent4 4 5 2" xfId="6119" xr:uid="{00000000-0005-0000-0000-0000B20D0000}"/>
    <cellStyle name="20% - Accent4 4 5 3" xfId="6120" xr:uid="{00000000-0005-0000-0000-0000B30D0000}"/>
    <cellStyle name="20% - Accent4 4 6" xfId="6121" xr:uid="{00000000-0005-0000-0000-0000B40D0000}"/>
    <cellStyle name="20% - Accent4 4 6 2" xfId="6122" xr:uid="{00000000-0005-0000-0000-0000B50D0000}"/>
    <cellStyle name="20% - Accent4 4 6 3" xfId="6123" xr:uid="{00000000-0005-0000-0000-0000B60D0000}"/>
    <cellStyle name="20% - Accent4 4 7" xfId="6124" xr:uid="{00000000-0005-0000-0000-0000B70D0000}"/>
    <cellStyle name="20% - Accent4 4 8" xfId="6125" xr:uid="{00000000-0005-0000-0000-0000B80D0000}"/>
    <cellStyle name="20% - Accent4 4 9" xfId="6126" xr:uid="{00000000-0005-0000-0000-0000B90D0000}"/>
    <cellStyle name="20% - Accent4 40" xfId="564" xr:uid="{00000000-0005-0000-0000-0000BA0D0000}"/>
    <cellStyle name="20% - Accent4 41" xfId="565" xr:uid="{00000000-0005-0000-0000-0000BB0D0000}"/>
    <cellStyle name="20% - Accent4 42" xfId="566" xr:uid="{00000000-0005-0000-0000-0000BC0D0000}"/>
    <cellStyle name="20% - Accent4 43" xfId="6127" xr:uid="{00000000-0005-0000-0000-0000BD0D0000}"/>
    <cellStyle name="20% - Accent4 44" xfId="6128" xr:uid="{00000000-0005-0000-0000-0000BE0D0000}"/>
    <cellStyle name="20% - Accent4 45" xfId="6129" xr:uid="{00000000-0005-0000-0000-0000BF0D0000}"/>
    <cellStyle name="20% - Accent4 46" xfId="6130" xr:uid="{00000000-0005-0000-0000-0000C00D0000}"/>
    <cellStyle name="20% - Accent4 47" xfId="6131" xr:uid="{00000000-0005-0000-0000-0000C10D0000}"/>
    <cellStyle name="20% - Accent4 48" xfId="6132" xr:uid="{00000000-0005-0000-0000-0000C20D0000}"/>
    <cellStyle name="20% - Accent4 5" xfId="567" xr:uid="{00000000-0005-0000-0000-0000C30D0000}"/>
    <cellStyle name="20% - Accent4 5 2" xfId="568" xr:uid="{00000000-0005-0000-0000-0000C40D0000}"/>
    <cellStyle name="20% - Accent4 5 2 2" xfId="569" xr:uid="{00000000-0005-0000-0000-0000C50D0000}"/>
    <cellStyle name="20% - Accent4 5 2 3" xfId="570" xr:uid="{00000000-0005-0000-0000-0000C60D0000}"/>
    <cellStyle name="20% - Accent4 5 3" xfId="571" xr:uid="{00000000-0005-0000-0000-0000C70D0000}"/>
    <cellStyle name="20% - Accent4 5 4" xfId="572" xr:uid="{00000000-0005-0000-0000-0000C80D0000}"/>
    <cellStyle name="20% - Accent4 5 5" xfId="6133" xr:uid="{00000000-0005-0000-0000-0000C90D0000}"/>
    <cellStyle name="20% - Accent4 6" xfId="573" xr:uid="{00000000-0005-0000-0000-0000CA0D0000}"/>
    <cellStyle name="20% - Accent4 6 10" xfId="6134" xr:uid="{00000000-0005-0000-0000-0000CB0D0000}"/>
    <cellStyle name="20% - Accent4 6 11" xfId="6135" xr:uid="{00000000-0005-0000-0000-0000CC0D0000}"/>
    <cellStyle name="20% - Accent4 6 12" xfId="6136" xr:uid="{00000000-0005-0000-0000-0000CD0D0000}"/>
    <cellStyle name="20% - Accent4 6 2" xfId="574" xr:uid="{00000000-0005-0000-0000-0000CE0D0000}"/>
    <cellStyle name="20% - Accent4 6 2 2" xfId="6137" xr:uid="{00000000-0005-0000-0000-0000CF0D0000}"/>
    <cellStyle name="20% - Accent4 6 2 2 2" xfId="6138" xr:uid="{00000000-0005-0000-0000-0000D00D0000}"/>
    <cellStyle name="20% - Accent4 6 2 2 2 2" xfId="6139" xr:uid="{00000000-0005-0000-0000-0000D10D0000}"/>
    <cellStyle name="20% - Accent4 6 2 2 2 3" xfId="6140" xr:uid="{00000000-0005-0000-0000-0000D20D0000}"/>
    <cellStyle name="20% - Accent4 6 2 2 3" xfId="6141" xr:uid="{00000000-0005-0000-0000-0000D30D0000}"/>
    <cellStyle name="20% - Accent4 6 2 2 3 2" xfId="6142" xr:uid="{00000000-0005-0000-0000-0000D40D0000}"/>
    <cellStyle name="20% - Accent4 6 2 2 3 3" xfId="6143" xr:uid="{00000000-0005-0000-0000-0000D50D0000}"/>
    <cellStyle name="20% - Accent4 6 2 2 4" xfId="6144" xr:uid="{00000000-0005-0000-0000-0000D60D0000}"/>
    <cellStyle name="20% - Accent4 6 2 2 5" xfId="6145" xr:uid="{00000000-0005-0000-0000-0000D70D0000}"/>
    <cellStyle name="20% - Accent4 6 2 2 6" xfId="6146" xr:uid="{00000000-0005-0000-0000-0000D80D0000}"/>
    <cellStyle name="20% - Accent4 6 2 3" xfId="6147" xr:uid="{00000000-0005-0000-0000-0000D90D0000}"/>
    <cellStyle name="20% - Accent4 6 2 3 2" xfId="6148" xr:uid="{00000000-0005-0000-0000-0000DA0D0000}"/>
    <cellStyle name="20% - Accent4 6 2 3 3" xfId="6149" xr:uid="{00000000-0005-0000-0000-0000DB0D0000}"/>
    <cellStyle name="20% - Accent4 6 2 4" xfId="6150" xr:uid="{00000000-0005-0000-0000-0000DC0D0000}"/>
    <cellStyle name="20% - Accent4 6 2 4 2" xfId="6151" xr:uid="{00000000-0005-0000-0000-0000DD0D0000}"/>
    <cellStyle name="20% - Accent4 6 2 4 3" xfId="6152" xr:uid="{00000000-0005-0000-0000-0000DE0D0000}"/>
    <cellStyle name="20% - Accent4 6 2 5" xfId="6153" xr:uid="{00000000-0005-0000-0000-0000DF0D0000}"/>
    <cellStyle name="20% - Accent4 6 2 6" xfId="6154" xr:uid="{00000000-0005-0000-0000-0000E00D0000}"/>
    <cellStyle name="20% - Accent4 6 2 7" xfId="6155" xr:uid="{00000000-0005-0000-0000-0000E10D0000}"/>
    <cellStyle name="20% - Accent4 6 2 8" xfId="6156" xr:uid="{00000000-0005-0000-0000-0000E20D0000}"/>
    <cellStyle name="20% - Accent4 6 3" xfId="575" xr:uid="{00000000-0005-0000-0000-0000E30D0000}"/>
    <cellStyle name="20% - Accent4 6 3 2" xfId="6157" xr:uid="{00000000-0005-0000-0000-0000E40D0000}"/>
    <cellStyle name="20% - Accent4 6 3 2 2" xfId="6158" xr:uid="{00000000-0005-0000-0000-0000E50D0000}"/>
    <cellStyle name="20% - Accent4 6 3 2 2 2" xfId="6159" xr:uid="{00000000-0005-0000-0000-0000E60D0000}"/>
    <cellStyle name="20% - Accent4 6 3 2 3" xfId="6160" xr:uid="{00000000-0005-0000-0000-0000E70D0000}"/>
    <cellStyle name="20% - Accent4 6 3 3" xfId="6161" xr:uid="{00000000-0005-0000-0000-0000E80D0000}"/>
    <cellStyle name="20% - Accent4 6 3 3 2" xfId="6162" xr:uid="{00000000-0005-0000-0000-0000E90D0000}"/>
    <cellStyle name="20% - Accent4 6 3 3 3" xfId="6163" xr:uid="{00000000-0005-0000-0000-0000EA0D0000}"/>
    <cellStyle name="20% - Accent4 6 3 4" xfId="6164" xr:uid="{00000000-0005-0000-0000-0000EB0D0000}"/>
    <cellStyle name="20% - Accent4 6 3 5" xfId="6165" xr:uid="{00000000-0005-0000-0000-0000EC0D0000}"/>
    <cellStyle name="20% - Accent4 6 3 6" xfId="6166" xr:uid="{00000000-0005-0000-0000-0000ED0D0000}"/>
    <cellStyle name="20% - Accent4 6 4" xfId="6167" xr:uid="{00000000-0005-0000-0000-0000EE0D0000}"/>
    <cellStyle name="20% - Accent4 6 4 2" xfId="6168" xr:uid="{00000000-0005-0000-0000-0000EF0D0000}"/>
    <cellStyle name="20% - Accent4 6 4 3" xfId="6169" xr:uid="{00000000-0005-0000-0000-0000F00D0000}"/>
    <cellStyle name="20% - Accent4 6 5" xfId="6170" xr:uid="{00000000-0005-0000-0000-0000F10D0000}"/>
    <cellStyle name="20% - Accent4 6 5 2" xfId="6171" xr:uid="{00000000-0005-0000-0000-0000F20D0000}"/>
    <cellStyle name="20% - Accent4 6 5 3" xfId="6172" xr:uid="{00000000-0005-0000-0000-0000F30D0000}"/>
    <cellStyle name="20% - Accent4 6 6" xfId="6173" xr:uid="{00000000-0005-0000-0000-0000F40D0000}"/>
    <cellStyle name="20% - Accent4 6 7" xfId="6174" xr:uid="{00000000-0005-0000-0000-0000F50D0000}"/>
    <cellStyle name="20% - Accent4 6 8" xfId="6175" xr:uid="{00000000-0005-0000-0000-0000F60D0000}"/>
    <cellStyle name="20% - Accent4 6 9" xfId="6176" xr:uid="{00000000-0005-0000-0000-0000F70D0000}"/>
    <cellStyle name="20% - Accent4 7" xfId="576" xr:uid="{00000000-0005-0000-0000-0000F80D0000}"/>
    <cellStyle name="20% - Accent4 7 10" xfId="6177" xr:uid="{00000000-0005-0000-0000-0000F90D0000}"/>
    <cellStyle name="20% - Accent4 7 11" xfId="6178" xr:uid="{00000000-0005-0000-0000-0000FA0D0000}"/>
    <cellStyle name="20% - Accent4 7 2" xfId="577" xr:uid="{00000000-0005-0000-0000-0000FB0D0000}"/>
    <cellStyle name="20% - Accent4 7 2 2" xfId="6179" xr:uid="{00000000-0005-0000-0000-0000FC0D0000}"/>
    <cellStyle name="20% - Accent4 7 2 2 2" xfId="6180" xr:uid="{00000000-0005-0000-0000-0000FD0D0000}"/>
    <cellStyle name="20% - Accent4 7 2 2 2 2" xfId="6181" xr:uid="{00000000-0005-0000-0000-0000FE0D0000}"/>
    <cellStyle name="20% - Accent4 7 2 2 2 3" xfId="6182" xr:uid="{00000000-0005-0000-0000-0000FF0D0000}"/>
    <cellStyle name="20% - Accent4 7 2 2 3" xfId="6183" xr:uid="{00000000-0005-0000-0000-0000000E0000}"/>
    <cellStyle name="20% - Accent4 7 2 2 3 2" xfId="6184" xr:uid="{00000000-0005-0000-0000-0000010E0000}"/>
    <cellStyle name="20% - Accent4 7 2 2 3 3" xfId="6185" xr:uid="{00000000-0005-0000-0000-0000020E0000}"/>
    <cellStyle name="20% - Accent4 7 2 2 4" xfId="6186" xr:uid="{00000000-0005-0000-0000-0000030E0000}"/>
    <cellStyle name="20% - Accent4 7 2 2 5" xfId="6187" xr:uid="{00000000-0005-0000-0000-0000040E0000}"/>
    <cellStyle name="20% - Accent4 7 2 2 6" xfId="6188" xr:uid="{00000000-0005-0000-0000-0000050E0000}"/>
    <cellStyle name="20% - Accent4 7 2 3" xfId="6189" xr:uid="{00000000-0005-0000-0000-0000060E0000}"/>
    <cellStyle name="20% - Accent4 7 2 3 2" xfId="6190" xr:uid="{00000000-0005-0000-0000-0000070E0000}"/>
    <cellStyle name="20% - Accent4 7 2 3 3" xfId="6191" xr:uid="{00000000-0005-0000-0000-0000080E0000}"/>
    <cellStyle name="20% - Accent4 7 2 4" xfId="6192" xr:uid="{00000000-0005-0000-0000-0000090E0000}"/>
    <cellStyle name="20% - Accent4 7 2 4 2" xfId="6193" xr:uid="{00000000-0005-0000-0000-00000A0E0000}"/>
    <cellStyle name="20% - Accent4 7 2 4 3" xfId="6194" xr:uid="{00000000-0005-0000-0000-00000B0E0000}"/>
    <cellStyle name="20% - Accent4 7 2 5" xfId="6195" xr:uid="{00000000-0005-0000-0000-00000C0E0000}"/>
    <cellStyle name="20% - Accent4 7 2 6" xfId="6196" xr:uid="{00000000-0005-0000-0000-00000D0E0000}"/>
    <cellStyle name="20% - Accent4 7 2 7" xfId="6197" xr:uid="{00000000-0005-0000-0000-00000E0E0000}"/>
    <cellStyle name="20% - Accent4 7 2 8" xfId="6198" xr:uid="{00000000-0005-0000-0000-00000F0E0000}"/>
    <cellStyle name="20% - Accent4 7 3" xfId="578" xr:uid="{00000000-0005-0000-0000-0000100E0000}"/>
    <cellStyle name="20% - Accent4 7 3 2" xfId="6199" xr:uid="{00000000-0005-0000-0000-0000110E0000}"/>
    <cellStyle name="20% - Accent4 7 3 2 2" xfId="6200" xr:uid="{00000000-0005-0000-0000-0000120E0000}"/>
    <cellStyle name="20% - Accent4 7 3 2 2 2" xfId="6201" xr:uid="{00000000-0005-0000-0000-0000130E0000}"/>
    <cellStyle name="20% - Accent4 7 3 2 3" xfId="6202" xr:uid="{00000000-0005-0000-0000-0000140E0000}"/>
    <cellStyle name="20% - Accent4 7 3 3" xfId="6203" xr:uid="{00000000-0005-0000-0000-0000150E0000}"/>
    <cellStyle name="20% - Accent4 7 3 3 2" xfId="6204" xr:uid="{00000000-0005-0000-0000-0000160E0000}"/>
    <cellStyle name="20% - Accent4 7 3 3 3" xfId="6205" xr:uid="{00000000-0005-0000-0000-0000170E0000}"/>
    <cellStyle name="20% - Accent4 7 3 4" xfId="6206" xr:uid="{00000000-0005-0000-0000-0000180E0000}"/>
    <cellStyle name="20% - Accent4 7 3 5" xfId="6207" xr:uid="{00000000-0005-0000-0000-0000190E0000}"/>
    <cellStyle name="20% - Accent4 7 3 6" xfId="6208" xr:uid="{00000000-0005-0000-0000-00001A0E0000}"/>
    <cellStyle name="20% - Accent4 7 4" xfId="6209" xr:uid="{00000000-0005-0000-0000-00001B0E0000}"/>
    <cellStyle name="20% - Accent4 7 4 2" xfId="6210" xr:uid="{00000000-0005-0000-0000-00001C0E0000}"/>
    <cellStyle name="20% - Accent4 7 4 3" xfId="6211" xr:uid="{00000000-0005-0000-0000-00001D0E0000}"/>
    <cellStyle name="20% - Accent4 7 5" xfId="6212" xr:uid="{00000000-0005-0000-0000-00001E0E0000}"/>
    <cellStyle name="20% - Accent4 7 5 2" xfId="6213" xr:uid="{00000000-0005-0000-0000-00001F0E0000}"/>
    <cellStyle name="20% - Accent4 7 5 3" xfId="6214" xr:uid="{00000000-0005-0000-0000-0000200E0000}"/>
    <cellStyle name="20% - Accent4 7 6" xfId="6215" xr:uid="{00000000-0005-0000-0000-0000210E0000}"/>
    <cellStyle name="20% - Accent4 7 7" xfId="6216" xr:uid="{00000000-0005-0000-0000-0000220E0000}"/>
    <cellStyle name="20% - Accent4 7 8" xfId="6217" xr:uid="{00000000-0005-0000-0000-0000230E0000}"/>
    <cellStyle name="20% - Accent4 7 9" xfId="6218" xr:uid="{00000000-0005-0000-0000-0000240E0000}"/>
    <cellStyle name="20% - Accent4 8" xfId="579" xr:uid="{00000000-0005-0000-0000-0000250E0000}"/>
    <cellStyle name="20% - Accent4 8 10" xfId="6219" xr:uid="{00000000-0005-0000-0000-0000260E0000}"/>
    <cellStyle name="20% - Accent4 8 11" xfId="6220" xr:uid="{00000000-0005-0000-0000-0000270E0000}"/>
    <cellStyle name="20% - Accent4 8 2" xfId="580" xr:uid="{00000000-0005-0000-0000-0000280E0000}"/>
    <cellStyle name="20% - Accent4 8 2 2" xfId="6221" xr:uid="{00000000-0005-0000-0000-0000290E0000}"/>
    <cellStyle name="20% - Accent4 8 2 2 2" xfId="6222" xr:uid="{00000000-0005-0000-0000-00002A0E0000}"/>
    <cellStyle name="20% - Accent4 8 2 2 2 2" xfId="6223" xr:uid="{00000000-0005-0000-0000-00002B0E0000}"/>
    <cellStyle name="20% - Accent4 8 2 2 2 3" xfId="6224" xr:uid="{00000000-0005-0000-0000-00002C0E0000}"/>
    <cellStyle name="20% - Accent4 8 2 2 3" xfId="6225" xr:uid="{00000000-0005-0000-0000-00002D0E0000}"/>
    <cellStyle name="20% - Accent4 8 2 2 3 2" xfId="6226" xr:uid="{00000000-0005-0000-0000-00002E0E0000}"/>
    <cellStyle name="20% - Accent4 8 2 2 3 3" xfId="6227" xr:uid="{00000000-0005-0000-0000-00002F0E0000}"/>
    <cellStyle name="20% - Accent4 8 2 2 4" xfId="6228" xr:uid="{00000000-0005-0000-0000-0000300E0000}"/>
    <cellStyle name="20% - Accent4 8 2 2 5" xfId="6229" xr:uid="{00000000-0005-0000-0000-0000310E0000}"/>
    <cellStyle name="20% - Accent4 8 2 2 6" xfId="6230" xr:uid="{00000000-0005-0000-0000-0000320E0000}"/>
    <cellStyle name="20% - Accent4 8 2 3" xfId="6231" xr:uid="{00000000-0005-0000-0000-0000330E0000}"/>
    <cellStyle name="20% - Accent4 8 2 3 2" xfId="6232" xr:uid="{00000000-0005-0000-0000-0000340E0000}"/>
    <cellStyle name="20% - Accent4 8 2 3 3" xfId="6233" xr:uid="{00000000-0005-0000-0000-0000350E0000}"/>
    <cellStyle name="20% - Accent4 8 2 4" xfId="6234" xr:uid="{00000000-0005-0000-0000-0000360E0000}"/>
    <cellStyle name="20% - Accent4 8 2 4 2" xfId="6235" xr:uid="{00000000-0005-0000-0000-0000370E0000}"/>
    <cellStyle name="20% - Accent4 8 2 4 3" xfId="6236" xr:uid="{00000000-0005-0000-0000-0000380E0000}"/>
    <cellStyle name="20% - Accent4 8 2 5" xfId="6237" xr:uid="{00000000-0005-0000-0000-0000390E0000}"/>
    <cellStyle name="20% - Accent4 8 2 6" xfId="6238" xr:uid="{00000000-0005-0000-0000-00003A0E0000}"/>
    <cellStyle name="20% - Accent4 8 2 7" xfId="6239" xr:uid="{00000000-0005-0000-0000-00003B0E0000}"/>
    <cellStyle name="20% - Accent4 8 2 8" xfId="6240" xr:uid="{00000000-0005-0000-0000-00003C0E0000}"/>
    <cellStyle name="20% - Accent4 8 3" xfId="6241" xr:uid="{00000000-0005-0000-0000-00003D0E0000}"/>
    <cellStyle name="20% - Accent4 8 3 2" xfId="6242" xr:uid="{00000000-0005-0000-0000-00003E0E0000}"/>
    <cellStyle name="20% - Accent4 8 3 2 2" xfId="6243" xr:uid="{00000000-0005-0000-0000-00003F0E0000}"/>
    <cellStyle name="20% - Accent4 8 3 2 2 2" xfId="6244" xr:uid="{00000000-0005-0000-0000-0000400E0000}"/>
    <cellStyle name="20% - Accent4 8 3 2 3" xfId="6245" xr:uid="{00000000-0005-0000-0000-0000410E0000}"/>
    <cellStyle name="20% - Accent4 8 3 3" xfId="6246" xr:uid="{00000000-0005-0000-0000-0000420E0000}"/>
    <cellStyle name="20% - Accent4 8 3 3 2" xfId="6247" xr:uid="{00000000-0005-0000-0000-0000430E0000}"/>
    <cellStyle name="20% - Accent4 8 3 3 3" xfId="6248" xr:uid="{00000000-0005-0000-0000-0000440E0000}"/>
    <cellStyle name="20% - Accent4 8 3 4" xfId="6249" xr:uid="{00000000-0005-0000-0000-0000450E0000}"/>
    <cellStyle name="20% - Accent4 8 3 5" xfId="6250" xr:uid="{00000000-0005-0000-0000-0000460E0000}"/>
    <cellStyle name="20% - Accent4 8 3 6" xfId="6251" xr:uid="{00000000-0005-0000-0000-0000470E0000}"/>
    <cellStyle name="20% - Accent4 8 4" xfId="6252" xr:uid="{00000000-0005-0000-0000-0000480E0000}"/>
    <cellStyle name="20% - Accent4 8 4 2" xfId="6253" xr:uid="{00000000-0005-0000-0000-0000490E0000}"/>
    <cellStyle name="20% - Accent4 8 4 3" xfId="6254" xr:uid="{00000000-0005-0000-0000-00004A0E0000}"/>
    <cellStyle name="20% - Accent4 8 5" xfId="6255" xr:uid="{00000000-0005-0000-0000-00004B0E0000}"/>
    <cellStyle name="20% - Accent4 8 5 2" xfId="6256" xr:uid="{00000000-0005-0000-0000-00004C0E0000}"/>
    <cellStyle name="20% - Accent4 8 5 3" xfId="6257" xr:uid="{00000000-0005-0000-0000-00004D0E0000}"/>
    <cellStyle name="20% - Accent4 8 6" xfId="6258" xr:uid="{00000000-0005-0000-0000-00004E0E0000}"/>
    <cellStyle name="20% - Accent4 8 7" xfId="6259" xr:uid="{00000000-0005-0000-0000-00004F0E0000}"/>
    <cellStyle name="20% - Accent4 8 8" xfId="6260" xr:uid="{00000000-0005-0000-0000-0000500E0000}"/>
    <cellStyle name="20% - Accent4 8 9" xfId="6261" xr:uid="{00000000-0005-0000-0000-0000510E0000}"/>
    <cellStyle name="20% - Accent4 9" xfId="581" xr:uid="{00000000-0005-0000-0000-0000520E0000}"/>
    <cellStyle name="20% - Accent4 9 10" xfId="6262" xr:uid="{00000000-0005-0000-0000-0000530E0000}"/>
    <cellStyle name="20% - Accent4 9 11" xfId="6263" xr:uid="{00000000-0005-0000-0000-0000540E0000}"/>
    <cellStyle name="20% - Accent4 9 2" xfId="582" xr:uid="{00000000-0005-0000-0000-0000550E0000}"/>
    <cellStyle name="20% - Accent4 9 2 2" xfId="6264" xr:uid="{00000000-0005-0000-0000-0000560E0000}"/>
    <cellStyle name="20% - Accent4 9 2 2 2" xfId="6265" xr:uid="{00000000-0005-0000-0000-0000570E0000}"/>
    <cellStyle name="20% - Accent4 9 2 2 2 2" xfId="6266" xr:uid="{00000000-0005-0000-0000-0000580E0000}"/>
    <cellStyle name="20% - Accent4 9 2 2 2 3" xfId="6267" xr:uid="{00000000-0005-0000-0000-0000590E0000}"/>
    <cellStyle name="20% - Accent4 9 2 2 3" xfId="6268" xr:uid="{00000000-0005-0000-0000-00005A0E0000}"/>
    <cellStyle name="20% - Accent4 9 2 2 3 2" xfId="6269" xr:uid="{00000000-0005-0000-0000-00005B0E0000}"/>
    <cellStyle name="20% - Accent4 9 2 2 3 3" xfId="6270" xr:uid="{00000000-0005-0000-0000-00005C0E0000}"/>
    <cellStyle name="20% - Accent4 9 2 2 4" xfId="6271" xr:uid="{00000000-0005-0000-0000-00005D0E0000}"/>
    <cellStyle name="20% - Accent4 9 2 2 5" xfId="6272" xr:uid="{00000000-0005-0000-0000-00005E0E0000}"/>
    <cellStyle name="20% - Accent4 9 2 2 6" xfId="6273" xr:uid="{00000000-0005-0000-0000-00005F0E0000}"/>
    <cellStyle name="20% - Accent4 9 2 3" xfId="6274" xr:uid="{00000000-0005-0000-0000-0000600E0000}"/>
    <cellStyle name="20% - Accent4 9 2 3 2" xfId="6275" xr:uid="{00000000-0005-0000-0000-0000610E0000}"/>
    <cellStyle name="20% - Accent4 9 2 3 3" xfId="6276" xr:uid="{00000000-0005-0000-0000-0000620E0000}"/>
    <cellStyle name="20% - Accent4 9 2 4" xfId="6277" xr:uid="{00000000-0005-0000-0000-0000630E0000}"/>
    <cellStyle name="20% - Accent4 9 2 4 2" xfId="6278" xr:uid="{00000000-0005-0000-0000-0000640E0000}"/>
    <cellStyle name="20% - Accent4 9 2 4 3" xfId="6279" xr:uid="{00000000-0005-0000-0000-0000650E0000}"/>
    <cellStyle name="20% - Accent4 9 2 5" xfId="6280" xr:uid="{00000000-0005-0000-0000-0000660E0000}"/>
    <cellStyle name="20% - Accent4 9 2 6" xfId="6281" xr:uid="{00000000-0005-0000-0000-0000670E0000}"/>
    <cellStyle name="20% - Accent4 9 2 7" xfId="6282" xr:uid="{00000000-0005-0000-0000-0000680E0000}"/>
    <cellStyle name="20% - Accent4 9 2 8" xfId="6283" xr:uid="{00000000-0005-0000-0000-0000690E0000}"/>
    <cellStyle name="20% - Accent4 9 3" xfId="6284" xr:uid="{00000000-0005-0000-0000-00006A0E0000}"/>
    <cellStyle name="20% - Accent4 9 3 2" xfId="6285" xr:uid="{00000000-0005-0000-0000-00006B0E0000}"/>
    <cellStyle name="20% - Accent4 9 3 2 2" xfId="6286" xr:uid="{00000000-0005-0000-0000-00006C0E0000}"/>
    <cellStyle name="20% - Accent4 9 3 2 2 2" xfId="6287" xr:uid="{00000000-0005-0000-0000-00006D0E0000}"/>
    <cellStyle name="20% - Accent4 9 3 2 3" xfId="6288" xr:uid="{00000000-0005-0000-0000-00006E0E0000}"/>
    <cellStyle name="20% - Accent4 9 3 3" xfId="6289" xr:uid="{00000000-0005-0000-0000-00006F0E0000}"/>
    <cellStyle name="20% - Accent4 9 3 3 2" xfId="6290" xr:uid="{00000000-0005-0000-0000-0000700E0000}"/>
    <cellStyle name="20% - Accent4 9 3 3 3" xfId="6291" xr:uid="{00000000-0005-0000-0000-0000710E0000}"/>
    <cellStyle name="20% - Accent4 9 3 4" xfId="6292" xr:uid="{00000000-0005-0000-0000-0000720E0000}"/>
    <cellStyle name="20% - Accent4 9 3 5" xfId="6293" xr:uid="{00000000-0005-0000-0000-0000730E0000}"/>
    <cellStyle name="20% - Accent4 9 3 6" xfId="6294" xr:uid="{00000000-0005-0000-0000-0000740E0000}"/>
    <cellStyle name="20% - Accent4 9 4" xfId="6295" xr:uid="{00000000-0005-0000-0000-0000750E0000}"/>
    <cellStyle name="20% - Accent4 9 4 2" xfId="6296" xr:uid="{00000000-0005-0000-0000-0000760E0000}"/>
    <cellStyle name="20% - Accent4 9 4 3" xfId="6297" xr:uid="{00000000-0005-0000-0000-0000770E0000}"/>
    <cellStyle name="20% - Accent4 9 5" xfId="6298" xr:uid="{00000000-0005-0000-0000-0000780E0000}"/>
    <cellStyle name="20% - Accent4 9 5 2" xfId="6299" xr:uid="{00000000-0005-0000-0000-0000790E0000}"/>
    <cellStyle name="20% - Accent4 9 5 3" xfId="6300" xr:uid="{00000000-0005-0000-0000-00007A0E0000}"/>
    <cellStyle name="20% - Accent4 9 6" xfId="6301" xr:uid="{00000000-0005-0000-0000-00007B0E0000}"/>
    <cellStyle name="20% - Accent4 9 7" xfId="6302" xr:uid="{00000000-0005-0000-0000-00007C0E0000}"/>
    <cellStyle name="20% - Accent4 9 8" xfId="6303" xr:uid="{00000000-0005-0000-0000-00007D0E0000}"/>
    <cellStyle name="20% - Accent4 9 9" xfId="6304" xr:uid="{00000000-0005-0000-0000-00007E0E0000}"/>
    <cellStyle name="20% - Accent5 10" xfId="583" xr:uid="{00000000-0005-0000-0000-00007F0E0000}"/>
    <cellStyle name="20% - Accent5 10 10" xfId="6305" xr:uid="{00000000-0005-0000-0000-0000800E0000}"/>
    <cellStyle name="20% - Accent5 10 11" xfId="6306" xr:uid="{00000000-0005-0000-0000-0000810E0000}"/>
    <cellStyle name="20% - Accent5 10 2" xfId="584" xr:uid="{00000000-0005-0000-0000-0000820E0000}"/>
    <cellStyle name="20% - Accent5 10 2 2" xfId="6307" xr:uid="{00000000-0005-0000-0000-0000830E0000}"/>
    <cellStyle name="20% - Accent5 10 2 2 2" xfId="6308" xr:uid="{00000000-0005-0000-0000-0000840E0000}"/>
    <cellStyle name="20% - Accent5 10 2 2 2 2" xfId="6309" xr:uid="{00000000-0005-0000-0000-0000850E0000}"/>
    <cellStyle name="20% - Accent5 10 2 2 2 3" xfId="6310" xr:uid="{00000000-0005-0000-0000-0000860E0000}"/>
    <cellStyle name="20% - Accent5 10 2 2 3" xfId="6311" xr:uid="{00000000-0005-0000-0000-0000870E0000}"/>
    <cellStyle name="20% - Accent5 10 2 2 3 2" xfId="6312" xr:uid="{00000000-0005-0000-0000-0000880E0000}"/>
    <cellStyle name="20% - Accent5 10 2 2 3 3" xfId="6313" xr:uid="{00000000-0005-0000-0000-0000890E0000}"/>
    <cellStyle name="20% - Accent5 10 2 2 4" xfId="6314" xr:uid="{00000000-0005-0000-0000-00008A0E0000}"/>
    <cellStyle name="20% - Accent5 10 2 2 5" xfId="6315" xr:uid="{00000000-0005-0000-0000-00008B0E0000}"/>
    <cellStyle name="20% - Accent5 10 2 2 6" xfId="6316" xr:uid="{00000000-0005-0000-0000-00008C0E0000}"/>
    <cellStyle name="20% - Accent5 10 2 3" xfId="6317" xr:uid="{00000000-0005-0000-0000-00008D0E0000}"/>
    <cellStyle name="20% - Accent5 10 2 3 2" xfId="6318" xr:uid="{00000000-0005-0000-0000-00008E0E0000}"/>
    <cellStyle name="20% - Accent5 10 2 3 3" xfId="6319" xr:uid="{00000000-0005-0000-0000-00008F0E0000}"/>
    <cellStyle name="20% - Accent5 10 2 4" xfId="6320" xr:uid="{00000000-0005-0000-0000-0000900E0000}"/>
    <cellStyle name="20% - Accent5 10 2 4 2" xfId="6321" xr:uid="{00000000-0005-0000-0000-0000910E0000}"/>
    <cellStyle name="20% - Accent5 10 2 4 3" xfId="6322" xr:uid="{00000000-0005-0000-0000-0000920E0000}"/>
    <cellStyle name="20% - Accent5 10 2 5" xfId="6323" xr:uid="{00000000-0005-0000-0000-0000930E0000}"/>
    <cellStyle name="20% - Accent5 10 2 6" xfId="6324" xr:uid="{00000000-0005-0000-0000-0000940E0000}"/>
    <cellStyle name="20% - Accent5 10 2 7" xfId="6325" xr:uid="{00000000-0005-0000-0000-0000950E0000}"/>
    <cellStyle name="20% - Accent5 10 2 8" xfId="6326" xr:uid="{00000000-0005-0000-0000-0000960E0000}"/>
    <cellStyle name="20% - Accent5 10 3" xfId="6327" xr:uid="{00000000-0005-0000-0000-0000970E0000}"/>
    <cellStyle name="20% - Accent5 10 3 2" xfId="6328" xr:uid="{00000000-0005-0000-0000-0000980E0000}"/>
    <cellStyle name="20% - Accent5 10 3 2 2" xfId="6329" xr:uid="{00000000-0005-0000-0000-0000990E0000}"/>
    <cellStyle name="20% - Accent5 10 3 2 3" xfId="6330" xr:uid="{00000000-0005-0000-0000-00009A0E0000}"/>
    <cellStyle name="20% - Accent5 10 3 3" xfId="6331" xr:uid="{00000000-0005-0000-0000-00009B0E0000}"/>
    <cellStyle name="20% - Accent5 10 3 3 2" xfId="6332" xr:uid="{00000000-0005-0000-0000-00009C0E0000}"/>
    <cellStyle name="20% - Accent5 10 3 3 3" xfId="6333" xr:uid="{00000000-0005-0000-0000-00009D0E0000}"/>
    <cellStyle name="20% - Accent5 10 3 4" xfId="6334" xr:uid="{00000000-0005-0000-0000-00009E0E0000}"/>
    <cellStyle name="20% - Accent5 10 3 5" xfId="6335" xr:uid="{00000000-0005-0000-0000-00009F0E0000}"/>
    <cellStyle name="20% - Accent5 10 3 6" xfId="6336" xr:uid="{00000000-0005-0000-0000-0000A00E0000}"/>
    <cellStyle name="20% - Accent5 10 4" xfId="6337" xr:uid="{00000000-0005-0000-0000-0000A10E0000}"/>
    <cellStyle name="20% - Accent5 10 4 2" xfId="6338" xr:uid="{00000000-0005-0000-0000-0000A20E0000}"/>
    <cellStyle name="20% - Accent5 10 4 3" xfId="6339" xr:uid="{00000000-0005-0000-0000-0000A30E0000}"/>
    <cellStyle name="20% - Accent5 10 5" xfId="6340" xr:uid="{00000000-0005-0000-0000-0000A40E0000}"/>
    <cellStyle name="20% - Accent5 10 5 2" xfId="6341" xr:uid="{00000000-0005-0000-0000-0000A50E0000}"/>
    <cellStyle name="20% - Accent5 10 5 3" xfId="6342" xr:uid="{00000000-0005-0000-0000-0000A60E0000}"/>
    <cellStyle name="20% - Accent5 10 6" xfId="6343" xr:uid="{00000000-0005-0000-0000-0000A70E0000}"/>
    <cellStyle name="20% - Accent5 10 7" xfId="6344" xr:uid="{00000000-0005-0000-0000-0000A80E0000}"/>
    <cellStyle name="20% - Accent5 10 8" xfId="6345" xr:uid="{00000000-0005-0000-0000-0000A90E0000}"/>
    <cellStyle name="20% - Accent5 10 9" xfId="6346" xr:uid="{00000000-0005-0000-0000-0000AA0E0000}"/>
    <cellStyle name="20% - Accent5 11" xfId="585" xr:uid="{00000000-0005-0000-0000-0000AB0E0000}"/>
    <cellStyle name="20% - Accent5 11 10" xfId="6347" xr:uid="{00000000-0005-0000-0000-0000AC0E0000}"/>
    <cellStyle name="20% - Accent5 11 2" xfId="586" xr:uid="{00000000-0005-0000-0000-0000AD0E0000}"/>
    <cellStyle name="20% - Accent5 11 2 2" xfId="6348" xr:uid="{00000000-0005-0000-0000-0000AE0E0000}"/>
    <cellStyle name="20% - Accent5 11 2 2 2" xfId="6349" xr:uid="{00000000-0005-0000-0000-0000AF0E0000}"/>
    <cellStyle name="20% - Accent5 11 2 2 3" xfId="6350" xr:uid="{00000000-0005-0000-0000-0000B00E0000}"/>
    <cellStyle name="20% - Accent5 11 2 3" xfId="6351" xr:uid="{00000000-0005-0000-0000-0000B10E0000}"/>
    <cellStyle name="20% - Accent5 11 2 3 2" xfId="6352" xr:uid="{00000000-0005-0000-0000-0000B20E0000}"/>
    <cellStyle name="20% - Accent5 11 2 3 3" xfId="6353" xr:uid="{00000000-0005-0000-0000-0000B30E0000}"/>
    <cellStyle name="20% - Accent5 11 2 4" xfId="6354" xr:uid="{00000000-0005-0000-0000-0000B40E0000}"/>
    <cellStyle name="20% - Accent5 11 2 5" xfId="6355" xr:uid="{00000000-0005-0000-0000-0000B50E0000}"/>
    <cellStyle name="20% - Accent5 11 2 6" xfId="6356" xr:uid="{00000000-0005-0000-0000-0000B60E0000}"/>
    <cellStyle name="20% - Accent5 11 3" xfId="6357" xr:uid="{00000000-0005-0000-0000-0000B70E0000}"/>
    <cellStyle name="20% - Accent5 11 3 2" xfId="6358" xr:uid="{00000000-0005-0000-0000-0000B80E0000}"/>
    <cellStyle name="20% - Accent5 11 3 3" xfId="6359" xr:uid="{00000000-0005-0000-0000-0000B90E0000}"/>
    <cellStyle name="20% - Accent5 11 4" xfId="6360" xr:uid="{00000000-0005-0000-0000-0000BA0E0000}"/>
    <cellStyle name="20% - Accent5 11 4 2" xfId="6361" xr:uid="{00000000-0005-0000-0000-0000BB0E0000}"/>
    <cellStyle name="20% - Accent5 11 4 3" xfId="6362" xr:uid="{00000000-0005-0000-0000-0000BC0E0000}"/>
    <cellStyle name="20% - Accent5 11 5" xfId="6363" xr:uid="{00000000-0005-0000-0000-0000BD0E0000}"/>
    <cellStyle name="20% - Accent5 11 6" xfId="6364" xr:uid="{00000000-0005-0000-0000-0000BE0E0000}"/>
    <cellStyle name="20% - Accent5 11 7" xfId="6365" xr:uid="{00000000-0005-0000-0000-0000BF0E0000}"/>
    <cellStyle name="20% - Accent5 11 8" xfId="6366" xr:uid="{00000000-0005-0000-0000-0000C00E0000}"/>
    <cellStyle name="20% - Accent5 11 9" xfId="6367" xr:uid="{00000000-0005-0000-0000-0000C10E0000}"/>
    <cellStyle name="20% - Accent5 12" xfId="587" xr:uid="{00000000-0005-0000-0000-0000C20E0000}"/>
    <cellStyle name="20% - Accent5 12 2" xfId="588" xr:uid="{00000000-0005-0000-0000-0000C30E0000}"/>
    <cellStyle name="20% - Accent5 12 3" xfId="6368" xr:uid="{00000000-0005-0000-0000-0000C40E0000}"/>
    <cellStyle name="20% - Accent5 12 4" xfId="6369" xr:uid="{00000000-0005-0000-0000-0000C50E0000}"/>
    <cellStyle name="20% - Accent5 12 5" xfId="6370" xr:uid="{00000000-0005-0000-0000-0000C60E0000}"/>
    <cellStyle name="20% - Accent5 13" xfId="589" xr:uid="{00000000-0005-0000-0000-0000C70E0000}"/>
    <cellStyle name="20% - Accent5 13 2" xfId="590" xr:uid="{00000000-0005-0000-0000-0000C80E0000}"/>
    <cellStyle name="20% - Accent5 13 3" xfId="6371" xr:uid="{00000000-0005-0000-0000-0000C90E0000}"/>
    <cellStyle name="20% - Accent5 13 4" xfId="6372" xr:uid="{00000000-0005-0000-0000-0000CA0E0000}"/>
    <cellStyle name="20% - Accent5 14" xfId="591" xr:uid="{00000000-0005-0000-0000-0000CB0E0000}"/>
    <cellStyle name="20% - Accent5 14 2" xfId="592" xr:uid="{00000000-0005-0000-0000-0000CC0E0000}"/>
    <cellStyle name="20% - Accent5 14 3" xfId="6373" xr:uid="{00000000-0005-0000-0000-0000CD0E0000}"/>
    <cellStyle name="20% - Accent5 15" xfId="593" xr:uid="{00000000-0005-0000-0000-0000CE0E0000}"/>
    <cellStyle name="20% - Accent5 15 2" xfId="594" xr:uid="{00000000-0005-0000-0000-0000CF0E0000}"/>
    <cellStyle name="20% - Accent5 15 3" xfId="6374" xr:uid="{00000000-0005-0000-0000-0000D00E0000}"/>
    <cellStyle name="20% - Accent5 16" xfId="595" xr:uid="{00000000-0005-0000-0000-0000D10E0000}"/>
    <cellStyle name="20% - Accent5 16 2" xfId="596" xr:uid="{00000000-0005-0000-0000-0000D20E0000}"/>
    <cellStyle name="20% - Accent5 17" xfId="597" xr:uid="{00000000-0005-0000-0000-0000D30E0000}"/>
    <cellStyle name="20% - Accent5 17 2" xfId="598" xr:uid="{00000000-0005-0000-0000-0000D40E0000}"/>
    <cellStyle name="20% - Accent5 18" xfId="599" xr:uid="{00000000-0005-0000-0000-0000D50E0000}"/>
    <cellStyle name="20% - Accent5 18 2" xfId="600" xr:uid="{00000000-0005-0000-0000-0000D60E0000}"/>
    <cellStyle name="20% - Accent5 19" xfId="601" xr:uid="{00000000-0005-0000-0000-0000D70E0000}"/>
    <cellStyle name="20% - Accent5 19 2" xfId="602" xr:uid="{00000000-0005-0000-0000-0000D80E0000}"/>
    <cellStyle name="20% - Accent5 2" xfId="603" xr:uid="{00000000-0005-0000-0000-0000D90E0000}"/>
    <cellStyle name="20% - Accent5 2 10" xfId="6375" xr:uid="{00000000-0005-0000-0000-0000DA0E0000}"/>
    <cellStyle name="20% - Accent5 2 11" xfId="6376" xr:uid="{00000000-0005-0000-0000-0000DB0E0000}"/>
    <cellStyle name="20% - Accent5 2 12" xfId="6377" xr:uid="{00000000-0005-0000-0000-0000DC0E0000}"/>
    <cellStyle name="20% - Accent5 2 13" xfId="6378" xr:uid="{00000000-0005-0000-0000-0000DD0E0000}"/>
    <cellStyle name="20% - Accent5 2 2" xfId="604" xr:uid="{00000000-0005-0000-0000-0000DE0E0000}"/>
    <cellStyle name="20% - Accent5 2 2 10" xfId="6379" xr:uid="{00000000-0005-0000-0000-0000DF0E0000}"/>
    <cellStyle name="20% - Accent5 2 2 11" xfId="6380" xr:uid="{00000000-0005-0000-0000-0000E00E0000}"/>
    <cellStyle name="20% - Accent5 2 2 12" xfId="6381" xr:uid="{00000000-0005-0000-0000-0000E10E0000}"/>
    <cellStyle name="20% - Accent5 2 2 13" xfId="6382" xr:uid="{00000000-0005-0000-0000-0000E20E0000}"/>
    <cellStyle name="20% - Accent5 2 2 2" xfId="605" xr:uid="{00000000-0005-0000-0000-0000E30E0000}"/>
    <cellStyle name="20% - Accent5 2 2 2 10" xfId="6383" xr:uid="{00000000-0005-0000-0000-0000E40E0000}"/>
    <cellStyle name="20% - Accent5 2 2 2 2" xfId="606" xr:uid="{00000000-0005-0000-0000-0000E50E0000}"/>
    <cellStyle name="20% - Accent5 2 2 2 2 2" xfId="607" xr:uid="{00000000-0005-0000-0000-0000E60E0000}"/>
    <cellStyle name="20% - Accent5 2 2 2 2 2 2" xfId="608" xr:uid="{00000000-0005-0000-0000-0000E70E0000}"/>
    <cellStyle name="20% - Accent5 2 2 2 2 2 2 2" xfId="53488" xr:uid="{00000000-0005-0000-0000-0000E80E0000}"/>
    <cellStyle name="20% - Accent5 2 2 2 2 2 3" xfId="609" xr:uid="{00000000-0005-0000-0000-0000E90E0000}"/>
    <cellStyle name="20% - Accent5 2 2 2 2 2 4" xfId="6384" xr:uid="{00000000-0005-0000-0000-0000EA0E0000}"/>
    <cellStyle name="20% - Accent5 2 2 2 2 2 5" xfId="6385" xr:uid="{00000000-0005-0000-0000-0000EB0E0000}"/>
    <cellStyle name="20% - Accent5 2 2 2 2 3" xfId="610" xr:uid="{00000000-0005-0000-0000-0000EC0E0000}"/>
    <cellStyle name="20% - Accent5 2 2 2 2 3 2" xfId="6386" xr:uid="{00000000-0005-0000-0000-0000ED0E0000}"/>
    <cellStyle name="20% - Accent5 2 2 2 2 3 2 2" xfId="53489" xr:uid="{00000000-0005-0000-0000-0000EE0E0000}"/>
    <cellStyle name="20% - Accent5 2 2 2 2 3 3" xfId="6387" xr:uid="{00000000-0005-0000-0000-0000EF0E0000}"/>
    <cellStyle name="20% - Accent5 2 2 2 2 4" xfId="611" xr:uid="{00000000-0005-0000-0000-0000F00E0000}"/>
    <cellStyle name="20% - Accent5 2 2 2 2 4 2" xfId="53490" xr:uid="{00000000-0005-0000-0000-0000F10E0000}"/>
    <cellStyle name="20% - Accent5 2 2 2 2 5" xfId="6388" xr:uid="{00000000-0005-0000-0000-0000F20E0000}"/>
    <cellStyle name="20% - Accent5 2 2 2 2 6" xfId="6389" xr:uid="{00000000-0005-0000-0000-0000F30E0000}"/>
    <cellStyle name="20% - Accent5 2 2 2 2 7" xfId="6390" xr:uid="{00000000-0005-0000-0000-0000F40E0000}"/>
    <cellStyle name="20% - Accent5 2 2 2 2 8" xfId="6391" xr:uid="{00000000-0005-0000-0000-0000F50E0000}"/>
    <cellStyle name="20% - Accent5 2 2 2 3" xfId="612" xr:uid="{00000000-0005-0000-0000-0000F60E0000}"/>
    <cellStyle name="20% - Accent5 2 2 2 3 2" xfId="613" xr:uid="{00000000-0005-0000-0000-0000F70E0000}"/>
    <cellStyle name="20% - Accent5 2 2 2 3 2 2" xfId="614" xr:uid="{00000000-0005-0000-0000-0000F80E0000}"/>
    <cellStyle name="20% - Accent5 2 2 2 3 2 3" xfId="6392" xr:uid="{00000000-0005-0000-0000-0000F90E0000}"/>
    <cellStyle name="20% - Accent5 2 2 2 3 3" xfId="615" xr:uid="{00000000-0005-0000-0000-0000FA0E0000}"/>
    <cellStyle name="20% - Accent5 2 2 2 3 4" xfId="6393" xr:uid="{00000000-0005-0000-0000-0000FB0E0000}"/>
    <cellStyle name="20% - Accent5 2 2 2 3 5" xfId="6394" xr:uid="{00000000-0005-0000-0000-0000FC0E0000}"/>
    <cellStyle name="20% - Accent5 2 2 2 4" xfId="616" xr:uid="{00000000-0005-0000-0000-0000FD0E0000}"/>
    <cellStyle name="20% - Accent5 2 2 2 4 2" xfId="617" xr:uid="{00000000-0005-0000-0000-0000FE0E0000}"/>
    <cellStyle name="20% - Accent5 2 2 2 4 2 2" xfId="53491" xr:uid="{00000000-0005-0000-0000-0000FF0E0000}"/>
    <cellStyle name="20% - Accent5 2 2 2 4 3" xfId="6395" xr:uid="{00000000-0005-0000-0000-0000000F0000}"/>
    <cellStyle name="20% - Accent5 2 2 2 4 4" xfId="6396" xr:uid="{00000000-0005-0000-0000-0000010F0000}"/>
    <cellStyle name="20% - Accent5 2 2 2 4 5" xfId="6397" xr:uid="{00000000-0005-0000-0000-0000020F0000}"/>
    <cellStyle name="20% - Accent5 2 2 2 5" xfId="618" xr:uid="{00000000-0005-0000-0000-0000030F0000}"/>
    <cellStyle name="20% - Accent5 2 2 2 5 2" xfId="6398" xr:uid="{00000000-0005-0000-0000-0000040F0000}"/>
    <cellStyle name="20% - Accent5 2 2 2 5 3" xfId="6399" xr:uid="{00000000-0005-0000-0000-0000050F0000}"/>
    <cellStyle name="20% - Accent5 2 2 2 6" xfId="6400" xr:uid="{00000000-0005-0000-0000-0000060F0000}"/>
    <cellStyle name="20% - Accent5 2 2 2 7" xfId="6401" xr:uid="{00000000-0005-0000-0000-0000070F0000}"/>
    <cellStyle name="20% - Accent5 2 2 2 8" xfId="6402" xr:uid="{00000000-0005-0000-0000-0000080F0000}"/>
    <cellStyle name="20% - Accent5 2 2 2 9" xfId="6403" xr:uid="{00000000-0005-0000-0000-0000090F0000}"/>
    <cellStyle name="20% - Accent5 2 2 3" xfId="619" xr:uid="{00000000-0005-0000-0000-00000A0F0000}"/>
    <cellStyle name="20% - Accent5 2 2 3 2" xfId="620" xr:uid="{00000000-0005-0000-0000-00000B0F0000}"/>
    <cellStyle name="20% - Accent5 2 2 3 2 2" xfId="621" xr:uid="{00000000-0005-0000-0000-00000C0F0000}"/>
    <cellStyle name="20% - Accent5 2 2 3 2 2 2" xfId="53492" xr:uid="{00000000-0005-0000-0000-00000D0F0000}"/>
    <cellStyle name="20% - Accent5 2 2 3 2 2 2 2" xfId="53493" xr:uid="{00000000-0005-0000-0000-00000E0F0000}"/>
    <cellStyle name="20% - Accent5 2 2 3 2 2 3" xfId="53494" xr:uid="{00000000-0005-0000-0000-00000F0F0000}"/>
    <cellStyle name="20% - Accent5 2 2 3 2 3" xfId="622" xr:uid="{00000000-0005-0000-0000-0000100F0000}"/>
    <cellStyle name="20% - Accent5 2 2 3 2 3 2" xfId="53495" xr:uid="{00000000-0005-0000-0000-0000110F0000}"/>
    <cellStyle name="20% - Accent5 2 2 3 2 3 2 2" xfId="53496" xr:uid="{00000000-0005-0000-0000-0000120F0000}"/>
    <cellStyle name="20% - Accent5 2 2 3 2 3 3" xfId="53497" xr:uid="{00000000-0005-0000-0000-0000130F0000}"/>
    <cellStyle name="20% - Accent5 2 2 3 2 4" xfId="6404" xr:uid="{00000000-0005-0000-0000-0000140F0000}"/>
    <cellStyle name="20% - Accent5 2 2 3 2 4 2" xfId="53498" xr:uid="{00000000-0005-0000-0000-0000150F0000}"/>
    <cellStyle name="20% - Accent5 2 2 3 2 5" xfId="6405" xr:uid="{00000000-0005-0000-0000-0000160F0000}"/>
    <cellStyle name="20% - Accent5 2 2 3 3" xfId="623" xr:uid="{00000000-0005-0000-0000-0000170F0000}"/>
    <cellStyle name="20% - Accent5 2 2 3 3 2" xfId="6406" xr:uid="{00000000-0005-0000-0000-0000180F0000}"/>
    <cellStyle name="20% - Accent5 2 2 3 3 2 2" xfId="53499" xr:uid="{00000000-0005-0000-0000-0000190F0000}"/>
    <cellStyle name="20% - Accent5 2 2 3 3 3" xfId="6407" xr:uid="{00000000-0005-0000-0000-00001A0F0000}"/>
    <cellStyle name="20% - Accent5 2 2 3 4" xfId="624" xr:uid="{00000000-0005-0000-0000-00001B0F0000}"/>
    <cellStyle name="20% - Accent5 2 2 3 4 2" xfId="53500" xr:uid="{00000000-0005-0000-0000-00001C0F0000}"/>
    <cellStyle name="20% - Accent5 2 2 3 4 2 2" xfId="53501" xr:uid="{00000000-0005-0000-0000-00001D0F0000}"/>
    <cellStyle name="20% - Accent5 2 2 3 4 3" xfId="53502" xr:uid="{00000000-0005-0000-0000-00001E0F0000}"/>
    <cellStyle name="20% - Accent5 2 2 3 5" xfId="6408" xr:uid="{00000000-0005-0000-0000-00001F0F0000}"/>
    <cellStyle name="20% - Accent5 2 2 3 5 2" xfId="53503" xr:uid="{00000000-0005-0000-0000-0000200F0000}"/>
    <cellStyle name="20% - Accent5 2 2 3 6" xfId="6409" xr:uid="{00000000-0005-0000-0000-0000210F0000}"/>
    <cellStyle name="20% - Accent5 2 2 3 7" xfId="6410" xr:uid="{00000000-0005-0000-0000-0000220F0000}"/>
    <cellStyle name="20% - Accent5 2 2 3 8" xfId="6411" xr:uid="{00000000-0005-0000-0000-0000230F0000}"/>
    <cellStyle name="20% - Accent5 2 2 4" xfId="625" xr:uid="{00000000-0005-0000-0000-0000240F0000}"/>
    <cellStyle name="20% - Accent5 2 2 4 2" xfId="626" xr:uid="{00000000-0005-0000-0000-0000250F0000}"/>
    <cellStyle name="20% - Accent5 2 2 4 2 2" xfId="627" xr:uid="{00000000-0005-0000-0000-0000260F0000}"/>
    <cellStyle name="20% - Accent5 2 2 4 2 2 2" xfId="53504" xr:uid="{00000000-0005-0000-0000-0000270F0000}"/>
    <cellStyle name="20% - Accent5 2 2 4 2 3" xfId="6412" xr:uid="{00000000-0005-0000-0000-0000280F0000}"/>
    <cellStyle name="20% - Accent5 2 2 4 3" xfId="628" xr:uid="{00000000-0005-0000-0000-0000290F0000}"/>
    <cellStyle name="20% - Accent5 2 2 4 3 2" xfId="53505" xr:uid="{00000000-0005-0000-0000-00002A0F0000}"/>
    <cellStyle name="20% - Accent5 2 2 4 3 2 2" xfId="53506" xr:uid="{00000000-0005-0000-0000-00002B0F0000}"/>
    <cellStyle name="20% - Accent5 2 2 4 3 3" xfId="53507" xr:uid="{00000000-0005-0000-0000-00002C0F0000}"/>
    <cellStyle name="20% - Accent5 2 2 4 4" xfId="6413" xr:uid="{00000000-0005-0000-0000-00002D0F0000}"/>
    <cellStyle name="20% - Accent5 2 2 4 4 2" xfId="53508" xr:uid="{00000000-0005-0000-0000-00002E0F0000}"/>
    <cellStyle name="20% - Accent5 2 2 4 5" xfId="6414" xr:uid="{00000000-0005-0000-0000-00002F0F0000}"/>
    <cellStyle name="20% - Accent5 2 2 5" xfId="629" xr:uid="{00000000-0005-0000-0000-0000300F0000}"/>
    <cellStyle name="20% - Accent5 2 2 5 2" xfId="630" xr:uid="{00000000-0005-0000-0000-0000310F0000}"/>
    <cellStyle name="20% - Accent5 2 2 5 2 2" xfId="53509" xr:uid="{00000000-0005-0000-0000-0000320F0000}"/>
    <cellStyle name="20% - Accent5 2 2 5 3" xfId="6415" xr:uid="{00000000-0005-0000-0000-0000330F0000}"/>
    <cellStyle name="20% - Accent5 2 2 5 4" xfId="6416" xr:uid="{00000000-0005-0000-0000-0000340F0000}"/>
    <cellStyle name="20% - Accent5 2 2 5 5" xfId="6417" xr:uid="{00000000-0005-0000-0000-0000350F0000}"/>
    <cellStyle name="20% - Accent5 2 2 6" xfId="631" xr:uid="{00000000-0005-0000-0000-0000360F0000}"/>
    <cellStyle name="20% - Accent5 2 2 6 2" xfId="6418" xr:uid="{00000000-0005-0000-0000-0000370F0000}"/>
    <cellStyle name="20% - Accent5 2 2 6 2 2" xfId="53510" xr:uid="{00000000-0005-0000-0000-0000380F0000}"/>
    <cellStyle name="20% - Accent5 2 2 6 3" xfId="6419" xr:uid="{00000000-0005-0000-0000-0000390F0000}"/>
    <cellStyle name="20% - Accent5 2 2 7" xfId="6420" xr:uid="{00000000-0005-0000-0000-00003A0F0000}"/>
    <cellStyle name="20% - Accent5 2 2 7 2" xfId="53511" xr:uid="{00000000-0005-0000-0000-00003B0F0000}"/>
    <cellStyle name="20% - Accent5 2 2 8" xfId="6421" xr:uid="{00000000-0005-0000-0000-00003C0F0000}"/>
    <cellStyle name="20% - Accent5 2 2 9" xfId="6422" xr:uid="{00000000-0005-0000-0000-00003D0F0000}"/>
    <cellStyle name="20% - Accent5 2 3" xfId="632" xr:uid="{00000000-0005-0000-0000-00003E0F0000}"/>
    <cellStyle name="20% - Accent5 2 3 10" xfId="6423" xr:uid="{00000000-0005-0000-0000-00003F0F0000}"/>
    <cellStyle name="20% - Accent5 2 3 2" xfId="633" xr:uid="{00000000-0005-0000-0000-0000400F0000}"/>
    <cellStyle name="20% - Accent5 2 3 2 2" xfId="634" xr:uid="{00000000-0005-0000-0000-0000410F0000}"/>
    <cellStyle name="20% - Accent5 2 3 2 2 2" xfId="635" xr:uid="{00000000-0005-0000-0000-0000420F0000}"/>
    <cellStyle name="20% - Accent5 2 3 2 2 2 2" xfId="53512" xr:uid="{00000000-0005-0000-0000-0000430F0000}"/>
    <cellStyle name="20% - Accent5 2 3 2 2 3" xfId="636" xr:uid="{00000000-0005-0000-0000-0000440F0000}"/>
    <cellStyle name="20% - Accent5 2 3 2 2 4" xfId="6424" xr:uid="{00000000-0005-0000-0000-0000450F0000}"/>
    <cellStyle name="20% - Accent5 2 3 2 2 5" xfId="6425" xr:uid="{00000000-0005-0000-0000-0000460F0000}"/>
    <cellStyle name="20% - Accent5 2 3 2 3" xfId="637" xr:uid="{00000000-0005-0000-0000-0000470F0000}"/>
    <cellStyle name="20% - Accent5 2 3 2 3 2" xfId="6426" xr:uid="{00000000-0005-0000-0000-0000480F0000}"/>
    <cellStyle name="20% - Accent5 2 3 2 3 2 2" xfId="53513" xr:uid="{00000000-0005-0000-0000-0000490F0000}"/>
    <cellStyle name="20% - Accent5 2 3 2 3 3" xfId="6427" xr:uid="{00000000-0005-0000-0000-00004A0F0000}"/>
    <cellStyle name="20% - Accent5 2 3 2 4" xfId="638" xr:uid="{00000000-0005-0000-0000-00004B0F0000}"/>
    <cellStyle name="20% - Accent5 2 3 2 4 2" xfId="53514" xr:uid="{00000000-0005-0000-0000-00004C0F0000}"/>
    <cellStyle name="20% - Accent5 2 3 2 5" xfId="6428" xr:uid="{00000000-0005-0000-0000-00004D0F0000}"/>
    <cellStyle name="20% - Accent5 2 3 2 6" xfId="6429" xr:uid="{00000000-0005-0000-0000-00004E0F0000}"/>
    <cellStyle name="20% - Accent5 2 3 2 7" xfId="6430" xr:uid="{00000000-0005-0000-0000-00004F0F0000}"/>
    <cellStyle name="20% - Accent5 2 3 2 8" xfId="6431" xr:uid="{00000000-0005-0000-0000-0000500F0000}"/>
    <cellStyle name="20% - Accent5 2 3 3" xfId="639" xr:uid="{00000000-0005-0000-0000-0000510F0000}"/>
    <cellStyle name="20% - Accent5 2 3 3 2" xfId="640" xr:uid="{00000000-0005-0000-0000-0000520F0000}"/>
    <cellStyle name="20% - Accent5 2 3 3 2 2" xfId="641" xr:uid="{00000000-0005-0000-0000-0000530F0000}"/>
    <cellStyle name="20% - Accent5 2 3 3 2 3" xfId="6432" xr:uid="{00000000-0005-0000-0000-0000540F0000}"/>
    <cellStyle name="20% - Accent5 2 3 3 3" xfId="642" xr:uid="{00000000-0005-0000-0000-0000550F0000}"/>
    <cellStyle name="20% - Accent5 2 3 3 4" xfId="6433" xr:uid="{00000000-0005-0000-0000-0000560F0000}"/>
    <cellStyle name="20% - Accent5 2 3 3 5" xfId="6434" xr:uid="{00000000-0005-0000-0000-0000570F0000}"/>
    <cellStyle name="20% - Accent5 2 3 4" xfId="643" xr:uid="{00000000-0005-0000-0000-0000580F0000}"/>
    <cellStyle name="20% - Accent5 2 3 4 2" xfId="644" xr:uid="{00000000-0005-0000-0000-0000590F0000}"/>
    <cellStyle name="20% - Accent5 2 3 4 2 2" xfId="53515" xr:uid="{00000000-0005-0000-0000-00005A0F0000}"/>
    <cellStyle name="20% - Accent5 2 3 4 3" xfId="6435" xr:uid="{00000000-0005-0000-0000-00005B0F0000}"/>
    <cellStyle name="20% - Accent5 2 3 4 4" xfId="6436" xr:uid="{00000000-0005-0000-0000-00005C0F0000}"/>
    <cellStyle name="20% - Accent5 2 3 4 5" xfId="6437" xr:uid="{00000000-0005-0000-0000-00005D0F0000}"/>
    <cellStyle name="20% - Accent5 2 3 5" xfId="645" xr:uid="{00000000-0005-0000-0000-00005E0F0000}"/>
    <cellStyle name="20% - Accent5 2 3 5 2" xfId="6438" xr:uid="{00000000-0005-0000-0000-00005F0F0000}"/>
    <cellStyle name="20% - Accent5 2 3 5 3" xfId="6439" xr:uid="{00000000-0005-0000-0000-0000600F0000}"/>
    <cellStyle name="20% - Accent5 2 3 6" xfId="6440" xr:uid="{00000000-0005-0000-0000-0000610F0000}"/>
    <cellStyle name="20% - Accent5 2 3 7" xfId="6441" xr:uid="{00000000-0005-0000-0000-0000620F0000}"/>
    <cellStyle name="20% - Accent5 2 3 8" xfId="6442" xr:uid="{00000000-0005-0000-0000-0000630F0000}"/>
    <cellStyle name="20% - Accent5 2 3 9" xfId="6443" xr:uid="{00000000-0005-0000-0000-0000640F0000}"/>
    <cellStyle name="20% - Accent5 2 4" xfId="646" xr:uid="{00000000-0005-0000-0000-0000650F0000}"/>
    <cellStyle name="20% - Accent5 2 4 2" xfId="647" xr:uid="{00000000-0005-0000-0000-0000660F0000}"/>
    <cellStyle name="20% - Accent5 2 4 2 2" xfId="648" xr:uid="{00000000-0005-0000-0000-0000670F0000}"/>
    <cellStyle name="20% - Accent5 2 4 2 2 2" xfId="53516" xr:uid="{00000000-0005-0000-0000-0000680F0000}"/>
    <cellStyle name="20% - Accent5 2 4 2 2 2 2" xfId="53517" xr:uid="{00000000-0005-0000-0000-0000690F0000}"/>
    <cellStyle name="20% - Accent5 2 4 2 2 3" xfId="53518" xr:uid="{00000000-0005-0000-0000-00006A0F0000}"/>
    <cellStyle name="20% - Accent5 2 4 2 3" xfId="649" xr:uid="{00000000-0005-0000-0000-00006B0F0000}"/>
    <cellStyle name="20% - Accent5 2 4 2 3 2" xfId="53519" xr:uid="{00000000-0005-0000-0000-00006C0F0000}"/>
    <cellStyle name="20% - Accent5 2 4 2 3 2 2" xfId="53520" xr:uid="{00000000-0005-0000-0000-00006D0F0000}"/>
    <cellStyle name="20% - Accent5 2 4 2 3 3" xfId="53521" xr:uid="{00000000-0005-0000-0000-00006E0F0000}"/>
    <cellStyle name="20% - Accent5 2 4 2 4" xfId="6444" xr:uid="{00000000-0005-0000-0000-00006F0F0000}"/>
    <cellStyle name="20% - Accent5 2 4 2 4 2" xfId="53522" xr:uid="{00000000-0005-0000-0000-0000700F0000}"/>
    <cellStyle name="20% - Accent5 2 4 2 5" xfId="6445" xr:uid="{00000000-0005-0000-0000-0000710F0000}"/>
    <cellStyle name="20% - Accent5 2 4 3" xfId="650" xr:uid="{00000000-0005-0000-0000-0000720F0000}"/>
    <cellStyle name="20% - Accent5 2 4 3 2" xfId="6446" xr:uid="{00000000-0005-0000-0000-0000730F0000}"/>
    <cellStyle name="20% - Accent5 2 4 3 2 2" xfId="53523" xr:uid="{00000000-0005-0000-0000-0000740F0000}"/>
    <cellStyle name="20% - Accent5 2 4 3 3" xfId="6447" xr:uid="{00000000-0005-0000-0000-0000750F0000}"/>
    <cellStyle name="20% - Accent5 2 4 4" xfId="651" xr:uid="{00000000-0005-0000-0000-0000760F0000}"/>
    <cellStyle name="20% - Accent5 2 4 4 2" xfId="53524" xr:uid="{00000000-0005-0000-0000-0000770F0000}"/>
    <cellStyle name="20% - Accent5 2 4 4 2 2" xfId="53525" xr:uid="{00000000-0005-0000-0000-0000780F0000}"/>
    <cellStyle name="20% - Accent5 2 4 4 3" xfId="53526" xr:uid="{00000000-0005-0000-0000-0000790F0000}"/>
    <cellStyle name="20% - Accent5 2 4 5" xfId="6448" xr:uid="{00000000-0005-0000-0000-00007A0F0000}"/>
    <cellStyle name="20% - Accent5 2 4 5 2" xfId="53527" xr:uid="{00000000-0005-0000-0000-00007B0F0000}"/>
    <cellStyle name="20% - Accent5 2 4 6" xfId="6449" xr:uid="{00000000-0005-0000-0000-00007C0F0000}"/>
    <cellStyle name="20% - Accent5 2 4 7" xfId="6450" xr:uid="{00000000-0005-0000-0000-00007D0F0000}"/>
    <cellStyle name="20% - Accent5 2 4 8" xfId="6451" xr:uid="{00000000-0005-0000-0000-00007E0F0000}"/>
    <cellStyle name="20% - Accent5 2 5" xfId="652" xr:uid="{00000000-0005-0000-0000-00007F0F0000}"/>
    <cellStyle name="20% - Accent5 2 5 2" xfId="653" xr:uid="{00000000-0005-0000-0000-0000800F0000}"/>
    <cellStyle name="20% - Accent5 2 5 2 2" xfId="654" xr:uid="{00000000-0005-0000-0000-0000810F0000}"/>
    <cellStyle name="20% - Accent5 2 5 2 2 2" xfId="53528" xr:uid="{00000000-0005-0000-0000-0000820F0000}"/>
    <cellStyle name="20% - Accent5 2 5 2 3" xfId="6452" xr:uid="{00000000-0005-0000-0000-0000830F0000}"/>
    <cellStyle name="20% - Accent5 2 5 3" xfId="655" xr:uid="{00000000-0005-0000-0000-0000840F0000}"/>
    <cellStyle name="20% - Accent5 2 5 3 2" xfId="53529" xr:uid="{00000000-0005-0000-0000-0000850F0000}"/>
    <cellStyle name="20% - Accent5 2 5 3 2 2" xfId="53530" xr:uid="{00000000-0005-0000-0000-0000860F0000}"/>
    <cellStyle name="20% - Accent5 2 5 3 3" xfId="53531" xr:uid="{00000000-0005-0000-0000-0000870F0000}"/>
    <cellStyle name="20% - Accent5 2 5 4" xfId="6453" xr:uid="{00000000-0005-0000-0000-0000880F0000}"/>
    <cellStyle name="20% - Accent5 2 5 4 2" xfId="53532" xr:uid="{00000000-0005-0000-0000-0000890F0000}"/>
    <cellStyle name="20% - Accent5 2 5 5" xfId="6454" xr:uid="{00000000-0005-0000-0000-00008A0F0000}"/>
    <cellStyle name="20% - Accent5 2 6" xfId="656" xr:uid="{00000000-0005-0000-0000-00008B0F0000}"/>
    <cellStyle name="20% - Accent5 2 6 2" xfId="657" xr:uid="{00000000-0005-0000-0000-00008C0F0000}"/>
    <cellStyle name="20% - Accent5 2 6 2 2" xfId="53533" xr:uid="{00000000-0005-0000-0000-00008D0F0000}"/>
    <cellStyle name="20% - Accent5 2 6 3" xfId="6455" xr:uid="{00000000-0005-0000-0000-00008E0F0000}"/>
    <cellStyle name="20% - Accent5 2 6 4" xfId="6456" xr:uid="{00000000-0005-0000-0000-00008F0F0000}"/>
    <cellStyle name="20% - Accent5 2 6 5" xfId="6457" xr:uid="{00000000-0005-0000-0000-0000900F0000}"/>
    <cellStyle name="20% - Accent5 2 7" xfId="658" xr:uid="{00000000-0005-0000-0000-0000910F0000}"/>
    <cellStyle name="20% - Accent5 2 7 2" xfId="6458" xr:uid="{00000000-0005-0000-0000-0000920F0000}"/>
    <cellStyle name="20% - Accent5 2 7 2 2" xfId="53534" xr:uid="{00000000-0005-0000-0000-0000930F0000}"/>
    <cellStyle name="20% - Accent5 2 7 3" xfId="6459" xr:uid="{00000000-0005-0000-0000-0000940F0000}"/>
    <cellStyle name="20% - Accent5 2 8" xfId="6460" xr:uid="{00000000-0005-0000-0000-0000950F0000}"/>
    <cellStyle name="20% - Accent5 2 8 2" xfId="53535" xr:uid="{00000000-0005-0000-0000-0000960F0000}"/>
    <cellStyle name="20% - Accent5 2 9" xfId="6461" xr:uid="{00000000-0005-0000-0000-0000970F0000}"/>
    <cellStyle name="20% - Accent5 20" xfId="659" xr:uid="{00000000-0005-0000-0000-0000980F0000}"/>
    <cellStyle name="20% - Accent5 20 2" xfId="660" xr:uid="{00000000-0005-0000-0000-0000990F0000}"/>
    <cellStyle name="20% - Accent5 21" xfId="661" xr:uid="{00000000-0005-0000-0000-00009A0F0000}"/>
    <cellStyle name="20% - Accent5 21 2" xfId="662" xr:uid="{00000000-0005-0000-0000-00009B0F0000}"/>
    <cellStyle name="20% - Accent5 22" xfId="663" xr:uid="{00000000-0005-0000-0000-00009C0F0000}"/>
    <cellStyle name="20% - Accent5 22 2" xfId="664" xr:uid="{00000000-0005-0000-0000-00009D0F0000}"/>
    <cellStyle name="20% - Accent5 23" xfId="665" xr:uid="{00000000-0005-0000-0000-00009E0F0000}"/>
    <cellStyle name="20% - Accent5 23 2" xfId="666" xr:uid="{00000000-0005-0000-0000-00009F0F0000}"/>
    <cellStyle name="20% - Accent5 24" xfId="667" xr:uid="{00000000-0005-0000-0000-0000A00F0000}"/>
    <cellStyle name="20% - Accent5 24 2" xfId="668" xr:uid="{00000000-0005-0000-0000-0000A10F0000}"/>
    <cellStyle name="20% - Accent5 25" xfId="669" xr:uid="{00000000-0005-0000-0000-0000A20F0000}"/>
    <cellStyle name="20% - Accent5 25 2" xfId="670" xr:uid="{00000000-0005-0000-0000-0000A30F0000}"/>
    <cellStyle name="20% - Accent5 26" xfId="671" xr:uid="{00000000-0005-0000-0000-0000A40F0000}"/>
    <cellStyle name="20% - Accent5 26 2" xfId="672" xr:uid="{00000000-0005-0000-0000-0000A50F0000}"/>
    <cellStyle name="20% - Accent5 27" xfId="673" xr:uid="{00000000-0005-0000-0000-0000A60F0000}"/>
    <cellStyle name="20% - Accent5 27 2" xfId="674" xr:uid="{00000000-0005-0000-0000-0000A70F0000}"/>
    <cellStyle name="20% - Accent5 28" xfId="675" xr:uid="{00000000-0005-0000-0000-0000A80F0000}"/>
    <cellStyle name="20% - Accent5 28 2" xfId="676" xr:uid="{00000000-0005-0000-0000-0000A90F0000}"/>
    <cellStyle name="20% - Accent5 29" xfId="677" xr:uid="{00000000-0005-0000-0000-0000AA0F0000}"/>
    <cellStyle name="20% - Accent5 29 2" xfId="678" xr:uid="{00000000-0005-0000-0000-0000AB0F0000}"/>
    <cellStyle name="20% - Accent5 3" xfId="679" xr:uid="{00000000-0005-0000-0000-0000AC0F0000}"/>
    <cellStyle name="20% - Accent5 3 10" xfId="6462" xr:uid="{00000000-0005-0000-0000-0000AD0F0000}"/>
    <cellStyle name="20% - Accent5 3 11" xfId="6463" xr:uid="{00000000-0005-0000-0000-0000AE0F0000}"/>
    <cellStyle name="20% - Accent5 3 12" xfId="6464" xr:uid="{00000000-0005-0000-0000-0000AF0F0000}"/>
    <cellStyle name="20% - Accent5 3 13" xfId="6465" xr:uid="{00000000-0005-0000-0000-0000B00F0000}"/>
    <cellStyle name="20% - Accent5 3 2" xfId="680" xr:uid="{00000000-0005-0000-0000-0000B10F0000}"/>
    <cellStyle name="20% - Accent5 3 2 10" xfId="6466" xr:uid="{00000000-0005-0000-0000-0000B20F0000}"/>
    <cellStyle name="20% - Accent5 3 2 11" xfId="6467" xr:uid="{00000000-0005-0000-0000-0000B30F0000}"/>
    <cellStyle name="20% - Accent5 3 2 2" xfId="681" xr:uid="{00000000-0005-0000-0000-0000B40F0000}"/>
    <cellStyle name="20% - Accent5 3 2 2 10" xfId="6468" xr:uid="{00000000-0005-0000-0000-0000B50F0000}"/>
    <cellStyle name="20% - Accent5 3 2 2 2" xfId="6469" xr:uid="{00000000-0005-0000-0000-0000B60F0000}"/>
    <cellStyle name="20% - Accent5 3 2 2 2 2" xfId="6470" xr:uid="{00000000-0005-0000-0000-0000B70F0000}"/>
    <cellStyle name="20% - Accent5 3 2 2 2 2 2" xfId="6471" xr:uid="{00000000-0005-0000-0000-0000B80F0000}"/>
    <cellStyle name="20% - Accent5 3 2 2 2 2 3" xfId="6472" xr:uid="{00000000-0005-0000-0000-0000B90F0000}"/>
    <cellStyle name="20% - Accent5 3 2 2 2 3" xfId="6473" xr:uid="{00000000-0005-0000-0000-0000BA0F0000}"/>
    <cellStyle name="20% - Accent5 3 2 2 2 3 2" xfId="6474" xr:uid="{00000000-0005-0000-0000-0000BB0F0000}"/>
    <cellStyle name="20% - Accent5 3 2 2 2 3 3" xfId="6475" xr:uid="{00000000-0005-0000-0000-0000BC0F0000}"/>
    <cellStyle name="20% - Accent5 3 2 2 2 4" xfId="6476" xr:uid="{00000000-0005-0000-0000-0000BD0F0000}"/>
    <cellStyle name="20% - Accent5 3 2 2 2 5" xfId="6477" xr:uid="{00000000-0005-0000-0000-0000BE0F0000}"/>
    <cellStyle name="20% - Accent5 3 2 2 2 6" xfId="6478" xr:uid="{00000000-0005-0000-0000-0000BF0F0000}"/>
    <cellStyle name="20% - Accent5 3 2 2 3" xfId="6479" xr:uid="{00000000-0005-0000-0000-0000C00F0000}"/>
    <cellStyle name="20% - Accent5 3 2 2 3 2" xfId="6480" xr:uid="{00000000-0005-0000-0000-0000C10F0000}"/>
    <cellStyle name="20% - Accent5 3 2 2 3 2 2" xfId="53536" xr:uid="{00000000-0005-0000-0000-0000C20F0000}"/>
    <cellStyle name="20% - Accent5 3 2 2 3 3" xfId="6481" xr:uid="{00000000-0005-0000-0000-0000C30F0000}"/>
    <cellStyle name="20% - Accent5 3 2 2 4" xfId="6482" xr:uid="{00000000-0005-0000-0000-0000C40F0000}"/>
    <cellStyle name="20% - Accent5 3 2 2 4 2" xfId="6483" xr:uid="{00000000-0005-0000-0000-0000C50F0000}"/>
    <cellStyle name="20% - Accent5 3 2 2 4 3" xfId="6484" xr:uid="{00000000-0005-0000-0000-0000C60F0000}"/>
    <cellStyle name="20% - Accent5 3 2 2 5" xfId="6485" xr:uid="{00000000-0005-0000-0000-0000C70F0000}"/>
    <cellStyle name="20% - Accent5 3 2 2 6" xfId="6486" xr:uid="{00000000-0005-0000-0000-0000C80F0000}"/>
    <cellStyle name="20% - Accent5 3 2 2 7" xfId="6487" xr:uid="{00000000-0005-0000-0000-0000C90F0000}"/>
    <cellStyle name="20% - Accent5 3 2 2 8" xfId="6488" xr:uid="{00000000-0005-0000-0000-0000CA0F0000}"/>
    <cellStyle name="20% - Accent5 3 2 2 9" xfId="6489" xr:uid="{00000000-0005-0000-0000-0000CB0F0000}"/>
    <cellStyle name="20% - Accent5 3 2 3" xfId="6490" xr:uid="{00000000-0005-0000-0000-0000CC0F0000}"/>
    <cellStyle name="20% - Accent5 3 2 3 2" xfId="6491" xr:uid="{00000000-0005-0000-0000-0000CD0F0000}"/>
    <cellStyle name="20% - Accent5 3 2 3 2 2" xfId="6492" xr:uid="{00000000-0005-0000-0000-0000CE0F0000}"/>
    <cellStyle name="20% - Accent5 3 2 3 2 3" xfId="6493" xr:uid="{00000000-0005-0000-0000-0000CF0F0000}"/>
    <cellStyle name="20% - Accent5 3 2 3 3" xfId="6494" xr:uid="{00000000-0005-0000-0000-0000D00F0000}"/>
    <cellStyle name="20% - Accent5 3 2 3 3 2" xfId="6495" xr:uid="{00000000-0005-0000-0000-0000D10F0000}"/>
    <cellStyle name="20% - Accent5 3 2 3 3 3" xfId="6496" xr:uid="{00000000-0005-0000-0000-0000D20F0000}"/>
    <cellStyle name="20% - Accent5 3 2 3 4" xfId="6497" xr:uid="{00000000-0005-0000-0000-0000D30F0000}"/>
    <cellStyle name="20% - Accent5 3 2 3 5" xfId="6498" xr:uid="{00000000-0005-0000-0000-0000D40F0000}"/>
    <cellStyle name="20% - Accent5 3 2 3 6" xfId="6499" xr:uid="{00000000-0005-0000-0000-0000D50F0000}"/>
    <cellStyle name="20% - Accent5 3 2 4" xfId="6500" xr:uid="{00000000-0005-0000-0000-0000D60F0000}"/>
    <cellStyle name="20% - Accent5 3 2 4 2" xfId="6501" xr:uid="{00000000-0005-0000-0000-0000D70F0000}"/>
    <cellStyle name="20% - Accent5 3 2 4 2 2" xfId="53537" xr:uid="{00000000-0005-0000-0000-0000D80F0000}"/>
    <cellStyle name="20% - Accent5 3 2 4 3" xfId="6502" xr:uid="{00000000-0005-0000-0000-0000D90F0000}"/>
    <cellStyle name="20% - Accent5 3 2 5" xfId="6503" xr:uid="{00000000-0005-0000-0000-0000DA0F0000}"/>
    <cellStyle name="20% - Accent5 3 2 5 2" xfId="6504" xr:uid="{00000000-0005-0000-0000-0000DB0F0000}"/>
    <cellStyle name="20% - Accent5 3 2 5 3" xfId="6505" xr:uid="{00000000-0005-0000-0000-0000DC0F0000}"/>
    <cellStyle name="20% - Accent5 3 2 6" xfId="6506" xr:uid="{00000000-0005-0000-0000-0000DD0F0000}"/>
    <cellStyle name="20% - Accent5 3 2 7" xfId="6507" xr:uid="{00000000-0005-0000-0000-0000DE0F0000}"/>
    <cellStyle name="20% - Accent5 3 2 8" xfId="6508" xr:uid="{00000000-0005-0000-0000-0000DF0F0000}"/>
    <cellStyle name="20% - Accent5 3 2 9" xfId="6509" xr:uid="{00000000-0005-0000-0000-0000E00F0000}"/>
    <cellStyle name="20% - Accent5 3 3" xfId="682" xr:uid="{00000000-0005-0000-0000-0000E10F0000}"/>
    <cellStyle name="20% - Accent5 3 3 10" xfId="6510" xr:uid="{00000000-0005-0000-0000-0000E20F0000}"/>
    <cellStyle name="20% - Accent5 3 3 2" xfId="6511" xr:uid="{00000000-0005-0000-0000-0000E30F0000}"/>
    <cellStyle name="20% - Accent5 3 3 2 2" xfId="6512" xr:uid="{00000000-0005-0000-0000-0000E40F0000}"/>
    <cellStyle name="20% - Accent5 3 3 2 2 2" xfId="6513" xr:uid="{00000000-0005-0000-0000-0000E50F0000}"/>
    <cellStyle name="20% - Accent5 3 3 2 2 2 2" xfId="53538" xr:uid="{00000000-0005-0000-0000-0000E60F0000}"/>
    <cellStyle name="20% - Accent5 3 3 2 2 3" xfId="6514" xr:uid="{00000000-0005-0000-0000-0000E70F0000}"/>
    <cellStyle name="20% - Accent5 3 3 2 3" xfId="6515" xr:uid="{00000000-0005-0000-0000-0000E80F0000}"/>
    <cellStyle name="20% - Accent5 3 3 2 3 2" xfId="6516" xr:uid="{00000000-0005-0000-0000-0000E90F0000}"/>
    <cellStyle name="20% - Accent5 3 3 2 3 2 2" xfId="53539" xr:uid="{00000000-0005-0000-0000-0000EA0F0000}"/>
    <cellStyle name="20% - Accent5 3 3 2 3 3" xfId="6517" xr:uid="{00000000-0005-0000-0000-0000EB0F0000}"/>
    <cellStyle name="20% - Accent5 3 3 2 4" xfId="6518" xr:uid="{00000000-0005-0000-0000-0000EC0F0000}"/>
    <cellStyle name="20% - Accent5 3 3 2 4 2" xfId="53540" xr:uid="{00000000-0005-0000-0000-0000ED0F0000}"/>
    <cellStyle name="20% - Accent5 3 3 2 5" xfId="6519" xr:uid="{00000000-0005-0000-0000-0000EE0F0000}"/>
    <cellStyle name="20% - Accent5 3 3 2 6" xfId="6520" xr:uid="{00000000-0005-0000-0000-0000EF0F0000}"/>
    <cellStyle name="20% - Accent5 3 3 3" xfId="6521" xr:uid="{00000000-0005-0000-0000-0000F00F0000}"/>
    <cellStyle name="20% - Accent5 3 3 3 2" xfId="6522" xr:uid="{00000000-0005-0000-0000-0000F10F0000}"/>
    <cellStyle name="20% - Accent5 3 3 3 2 2" xfId="53541" xr:uid="{00000000-0005-0000-0000-0000F20F0000}"/>
    <cellStyle name="20% - Accent5 3 3 3 3" xfId="6523" xr:uid="{00000000-0005-0000-0000-0000F30F0000}"/>
    <cellStyle name="20% - Accent5 3 3 4" xfId="6524" xr:uid="{00000000-0005-0000-0000-0000F40F0000}"/>
    <cellStyle name="20% - Accent5 3 3 4 2" xfId="6525" xr:uid="{00000000-0005-0000-0000-0000F50F0000}"/>
    <cellStyle name="20% - Accent5 3 3 4 2 2" xfId="53542" xr:uid="{00000000-0005-0000-0000-0000F60F0000}"/>
    <cellStyle name="20% - Accent5 3 3 4 3" xfId="6526" xr:uid="{00000000-0005-0000-0000-0000F70F0000}"/>
    <cellStyle name="20% - Accent5 3 3 5" xfId="6527" xr:uid="{00000000-0005-0000-0000-0000F80F0000}"/>
    <cellStyle name="20% - Accent5 3 3 5 2" xfId="53543" xr:uid="{00000000-0005-0000-0000-0000F90F0000}"/>
    <cellStyle name="20% - Accent5 3 3 6" xfId="6528" xr:uid="{00000000-0005-0000-0000-0000FA0F0000}"/>
    <cellStyle name="20% - Accent5 3 3 7" xfId="6529" xr:uid="{00000000-0005-0000-0000-0000FB0F0000}"/>
    <cellStyle name="20% - Accent5 3 3 8" xfId="6530" xr:uid="{00000000-0005-0000-0000-0000FC0F0000}"/>
    <cellStyle name="20% - Accent5 3 3 9" xfId="6531" xr:uid="{00000000-0005-0000-0000-0000FD0F0000}"/>
    <cellStyle name="20% - Accent5 3 4" xfId="6532" xr:uid="{00000000-0005-0000-0000-0000FE0F0000}"/>
    <cellStyle name="20% - Accent5 3 4 2" xfId="6533" xr:uid="{00000000-0005-0000-0000-0000FF0F0000}"/>
    <cellStyle name="20% - Accent5 3 4 2 2" xfId="6534" xr:uid="{00000000-0005-0000-0000-000000100000}"/>
    <cellStyle name="20% - Accent5 3 4 2 2 2" xfId="53544" xr:uid="{00000000-0005-0000-0000-000001100000}"/>
    <cellStyle name="20% - Accent5 3 4 2 3" xfId="6535" xr:uid="{00000000-0005-0000-0000-000002100000}"/>
    <cellStyle name="20% - Accent5 3 4 3" xfId="6536" xr:uid="{00000000-0005-0000-0000-000003100000}"/>
    <cellStyle name="20% - Accent5 3 4 3 2" xfId="6537" xr:uid="{00000000-0005-0000-0000-000004100000}"/>
    <cellStyle name="20% - Accent5 3 4 3 2 2" xfId="53545" xr:uid="{00000000-0005-0000-0000-000005100000}"/>
    <cellStyle name="20% - Accent5 3 4 3 3" xfId="6538" xr:uid="{00000000-0005-0000-0000-000006100000}"/>
    <cellStyle name="20% - Accent5 3 4 4" xfId="6539" xr:uid="{00000000-0005-0000-0000-000007100000}"/>
    <cellStyle name="20% - Accent5 3 4 4 2" xfId="53546" xr:uid="{00000000-0005-0000-0000-000008100000}"/>
    <cellStyle name="20% - Accent5 3 4 5" xfId="6540" xr:uid="{00000000-0005-0000-0000-000009100000}"/>
    <cellStyle name="20% - Accent5 3 4 6" xfId="6541" xr:uid="{00000000-0005-0000-0000-00000A100000}"/>
    <cellStyle name="20% - Accent5 3 5" xfId="6542" xr:uid="{00000000-0005-0000-0000-00000B100000}"/>
    <cellStyle name="20% - Accent5 3 5 2" xfId="6543" xr:uid="{00000000-0005-0000-0000-00000C100000}"/>
    <cellStyle name="20% - Accent5 3 5 2 2" xfId="53547" xr:uid="{00000000-0005-0000-0000-00000D100000}"/>
    <cellStyle name="20% - Accent5 3 5 3" xfId="6544" xr:uid="{00000000-0005-0000-0000-00000E100000}"/>
    <cellStyle name="20% - Accent5 3 6" xfId="6545" xr:uid="{00000000-0005-0000-0000-00000F100000}"/>
    <cellStyle name="20% - Accent5 3 6 2" xfId="6546" xr:uid="{00000000-0005-0000-0000-000010100000}"/>
    <cellStyle name="20% - Accent5 3 6 2 2" xfId="53548" xr:uid="{00000000-0005-0000-0000-000011100000}"/>
    <cellStyle name="20% - Accent5 3 6 3" xfId="6547" xr:uid="{00000000-0005-0000-0000-000012100000}"/>
    <cellStyle name="20% - Accent5 3 7" xfId="6548" xr:uid="{00000000-0005-0000-0000-000013100000}"/>
    <cellStyle name="20% - Accent5 3 7 2" xfId="53549" xr:uid="{00000000-0005-0000-0000-000014100000}"/>
    <cellStyle name="20% - Accent5 3 8" xfId="6549" xr:uid="{00000000-0005-0000-0000-000015100000}"/>
    <cellStyle name="20% - Accent5 3 9" xfId="6550" xr:uid="{00000000-0005-0000-0000-000016100000}"/>
    <cellStyle name="20% - Accent5 30" xfId="683" xr:uid="{00000000-0005-0000-0000-000017100000}"/>
    <cellStyle name="20% - Accent5 30 2" xfId="684" xr:uid="{00000000-0005-0000-0000-000018100000}"/>
    <cellStyle name="20% - Accent5 31" xfId="685" xr:uid="{00000000-0005-0000-0000-000019100000}"/>
    <cellStyle name="20% - Accent5 31 2" xfId="686" xr:uid="{00000000-0005-0000-0000-00001A100000}"/>
    <cellStyle name="20% - Accent5 32" xfId="687" xr:uid="{00000000-0005-0000-0000-00001B100000}"/>
    <cellStyle name="20% - Accent5 32 2" xfId="688" xr:uid="{00000000-0005-0000-0000-00001C100000}"/>
    <cellStyle name="20% - Accent5 33" xfId="689" xr:uid="{00000000-0005-0000-0000-00001D100000}"/>
    <cellStyle name="20% - Accent5 33 2" xfId="690" xr:uid="{00000000-0005-0000-0000-00001E100000}"/>
    <cellStyle name="20% - Accent5 34" xfId="691" xr:uid="{00000000-0005-0000-0000-00001F100000}"/>
    <cellStyle name="20% - Accent5 34 2" xfId="692" xr:uid="{00000000-0005-0000-0000-000020100000}"/>
    <cellStyle name="20% - Accent5 35" xfId="693" xr:uid="{00000000-0005-0000-0000-000021100000}"/>
    <cellStyle name="20% - Accent5 35 2" xfId="694" xr:uid="{00000000-0005-0000-0000-000022100000}"/>
    <cellStyle name="20% - Accent5 36" xfId="695" xr:uid="{00000000-0005-0000-0000-000023100000}"/>
    <cellStyle name="20% - Accent5 36 2" xfId="696" xr:uid="{00000000-0005-0000-0000-000024100000}"/>
    <cellStyle name="20% - Accent5 37" xfId="697" xr:uid="{00000000-0005-0000-0000-000025100000}"/>
    <cellStyle name="20% - Accent5 37 2" xfId="698" xr:uid="{00000000-0005-0000-0000-000026100000}"/>
    <cellStyle name="20% - Accent5 38" xfId="699" xr:uid="{00000000-0005-0000-0000-000027100000}"/>
    <cellStyle name="20% - Accent5 39" xfId="700" xr:uid="{00000000-0005-0000-0000-000028100000}"/>
    <cellStyle name="20% - Accent5 4" xfId="701" xr:uid="{00000000-0005-0000-0000-000029100000}"/>
    <cellStyle name="20% - Accent5 4 10" xfId="6551" xr:uid="{00000000-0005-0000-0000-00002A100000}"/>
    <cellStyle name="20% - Accent5 4 11" xfId="6552" xr:uid="{00000000-0005-0000-0000-00002B100000}"/>
    <cellStyle name="20% - Accent5 4 12" xfId="6553" xr:uid="{00000000-0005-0000-0000-00002C100000}"/>
    <cellStyle name="20% - Accent5 4 13" xfId="6554" xr:uid="{00000000-0005-0000-0000-00002D100000}"/>
    <cellStyle name="20% - Accent5 4 14" xfId="6555" xr:uid="{00000000-0005-0000-0000-00002E100000}"/>
    <cellStyle name="20% - Accent5 4 2" xfId="702" xr:uid="{00000000-0005-0000-0000-00002F100000}"/>
    <cellStyle name="20% - Accent5 4 2 10" xfId="6556" xr:uid="{00000000-0005-0000-0000-000030100000}"/>
    <cellStyle name="20% - Accent5 4 2 11" xfId="6557" xr:uid="{00000000-0005-0000-0000-000031100000}"/>
    <cellStyle name="20% - Accent5 4 2 2" xfId="703" xr:uid="{00000000-0005-0000-0000-000032100000}"/>
    <cellStyle name="20% - Accent5 4 2 2 2" xfId="6558" xr:uid="{00000000-0005-0000-0000-000033100000}"/>
    <cellStyle name="20% - Accent5 4 2 2 2 2" xfId="6559" xr:uid="{00000000-0005-0000-0000-000034100000}"/>
    <cellStyle name="20% - Accent5 4 2 2 2 2 2" xfId="6560" xr:uid="{00000000-0005-0000-0000-000035100000}"/>
    <cellStyle name="20% - Accent5 4 2 2 2 2 3" xfId="6561" xr:uid="{00000000-0005-0000-0000-000036100000}"/>
    <cellStyle name="20% - Accent5 4 2 2 2 3" xfId="6562" xr:uid="{00000000-0005-0000-0000-000037100000}"/>
    <cellStyle name="20% - Accent5 4 2 2 2 3 2" xfId="6563" xr:uid="{00000000-0005-0000-0000-000038100000}"/>
    <cellStyle name="20% - Accent5 4 2 2 2 3 3" xfId="6564" xr:uid="{00000000-0005-0000-0000-000039100000}"/>
    <cellStyle name="20% - Accent5 4 2 2 2 4" xfId="6565" xr:uid="{00000000-0005-0000-0000-00003A100000}"/>
    <cellStyle name="20% - Accent5 4 2 2 2 5" xfId="6566" xr:uid="{00000000-0005-0000-0000-00003B100000}"/>
    <cellStyle name="20% - Accent5 4 2 2 2 6" xfId="6567" xr:uid="{00000000-0005-0000-0000-00003C100000}"/>
    <cellStyle name="20% - Accent5 4 2 2 3" xfId="6568" xr:uid="{00000000-0005-0000-0000-00003D100000}"/>
    <cellStyle name="20% - Accent5 4 2 2 3 2" xfId="6569" xr:uid="{00000000-0005-0000-0000-00003E100000}"/>
    <cellStyle name="20% - Accent5 4 2 2 3 3" xfId="6570" xr:uid="{00000000-0005-0000-0000-00003F100000}"/>
    <cellStyle name="20% - Accent5 4 2 2 4" xfId="6571" xr:uid="{00000000-0005-0000-0000-000040100000}"/>
    <cellStyle name="20% - Accent5 4 2 2 4 2" xfId="6572" xr:uid="{00000000-0005-0000-0000-000041100000}"/>
    <cellStyle name="20% - Accent5 4 2 2 4 3" xfId="6573" xr:uid="{00000000-0005-0000-0000-000042100000}"/>
    <cellStyle name="20% - Accent5 4 2 2 5" xfId="6574" xr:uid="{00000000-0005-0000-0000-000043100000}"/>
    <cellStyle name="20% - Accent5 4 2 2 6" xfId="6575" xr:uid="{00000000-0005-0000-0000-000044100000}"/>
    <cellStyle name="20% - Accent5 4 2 2 7" xfId="6576" xr:uid="{00000000-0005-0000-0000-000045100000}"/>
    <cellStyle name="20% - Accent5 4 2 2 8" xfId="6577" xr:uid="{00000000-0005-0000-0000-000046100000}"/>
    <cellStyle name="20% - Accent5 4 2 3" xfId="704" xr:uid="{00000000-0005-0000-0000-000047100000}"/>
    <cellStyle name="20% - Accent5 4 2 3 2" xfId="6578" xr:uid="{00000000-0005-0000-0000-000048100000}"/>
    <cellStyle name="20% - Accent5 4 2 3 2 2" xfId="6579" xr:uid="{00000000-0005-0000-0000-000049100000}"/>
    <cellStyle name="20% - Accent5 4 2 3 2 3" xfId="6580" xr:uid="{00000000-0005-0000-0000-00004A100000}"/>
    <cellStyle name="20% - Accent5 4 2 3 3" xfId="6581" xr:uid="{00000000-0005-0000-0000-00004B100000}"/>
    <cellStyle name="20% - Accent5 4 2 3 3 2" xfId="6582" xr:uid="{00000000-0005-0000-0000-00004C100000}"/>
    <cellStyle name="20% - Accent5 4 2 3 3 3" xfId="6583" xr:uid="{00000000-0005-0000-0000-00004D100000}"/>
    <cellStyle name="20% - Accent5 4 2 3 4" xfId="6584" xr:uid="{00000000-0005-0000-0000-00004E100000}"/>
    <cellStyle name="20% - Accent5 4 2 3 5" xfId="6585" xr:uid="{00000000-0005-0000-0000-00004F100000}"/>
    <cellStyle name="20% - Accent5 4 2 3 6" xfId="6586" xr:uid="{00000000-0005-0000-0000-000050100000}"/>
    <cellStyle name="20% - Accent5 4 2 4" xfId="6587" xr:uid="{00000000-0005-0000-0000-000051100000}"/>
    <cellStyle name="20% - Accent5 4 2 4 2" xfId="6588" xr:uid="{00000000-0005-0000-0000-000052100000}"/>
    <cellStyle name="20% - Accent5 4 2 4 3" xfId="6589" xr:uid="{00000000-0005-0000-0000-000053100000}"/>
    <cellStyle name="20% - Accent5 4 2 5" xfId="6590" xr:uid="{00000000-0005-0000-0000-000054100000}"/>
    <cellStyle name="20% - Accent5 4 2 5 2" xfId="6591" xr:uid="{00000000-0005-0000-0000-000055100000}"/>
    <cellStyle name="20% - Accent5 4 2 5 3" xfId="6592" xr:uid="{00000000-0005-0000-0000-000056100000}"/>
    <cellStyle name="20% - Accent5 4 2 6" xfId="6593" xr:uid="{00000000-0005-0000-0000-000057100000}"/>
    <cellStyle name="20% - Accent5 4 2 7" xfId="6594" xr:uid="{00000000-0005-0000-0000-000058100000}"/>
    <cellStyle name="20% - Accent5 4 2 8" xfId="6595" xr:uid="{00000000-0005-0000-0000-000059100000}"/>
    <cellStyle name="20% - Accent5 4 2 9" xfId="6596" xr:uid="{00000000-0005-0000-0000-00005A100000}"/>
    <cellStyle name="20% - Accent5 4 3" xfId="705" xr:uid="{00000000-0005-0000-0000-00005B100000}"/>
    <cellStyle name="20% - Accent5 4 3 10" xfId="6597" xr:uid="{00000000-0005-0000-0000-00005C100000}"/>
    <cellStyle name="20% - Accent5 4 3 2" xfId="6598" xr:uid="{00000000-0005-0000-0000-00005D100000}"/>
    <cellStyle name="20% - Accent5 4 3 2 2" xfId="6599" xr:uid="{00000000-0005-0000-0000-00005E100000}"/>
    <cellStyle name="20% - Accent5 4 3 2 2 2" xfId="6600" xr:uid="{00000000-0005-0000-0000-00005F100000}"/>
    <cellStyle name="20% - Accent5 4 3 2 2 3" xfId="6601" xr:uid="{00000000-0005-0000-0000-000060100000}"/>
    <cellStyle name="20% - Accent5 4 3 2 3" xfId="6602" xr:uid="{00000000-0005-0000-0000-000061100000}"/>
    <cellStyle name="20% - Accent5 4 3 2 3 2" xfId="6603" xr:uid="{00000000-0005-0000-0000-000062100000}"/>
    <cellStyle name="20% - Accent5 4 3 2 3 3" xfId="6604" xr:uid="{00000000-0005-0000-0000-000063100000}"/>
    <cellStyle name="20% - Accent5 4 3 2 4" xfId="6605" xr:uid="{00000000-0005-0000-0000-000064100000}"/>
    <cellStyle name="20% - Accent5 4 3 2 5" xfId="6606" xr:uid="{00000000-0005-0000-0000-000065100000}"/>
    <cellStyle name="20% - Accent5 4 3 2 6" xfId="6607" xr:uid="{00000000-0005-0000-0000-000066100000}"/>
    <cellStyle name="20% - Accent5 4 3 3" xfId="6608" xr:uid="{00000000-0005-0000-0000-000067100000}"/>
    <cellStyle name="20% - Accent5 4 3 3 2" xfId="6609" xr:uid="{00000000-0005-0000-0000-000068100000}"/>
    <cellStyle name="20% - Accent5 4 3 3 3" xfId="6610" xr:uid="{00000000-0005-0000-0000-000069100000}"/>
    <cellStyle name="20% - Accent5 4 3 4" xfId="6611" xr:uid="{00000000-0005-0000-0000-00006A100000}"/>
    <cellStyle name="20% - Accent5 4 3 4 2" xfId="6612" xr:uid="{00000000-0005-0000-0000-00006B100000}"/>
    <cellStyle name="20% - Accent5 4 3 4 3" xfId="6613" xr:uid="{00000000-0005-0000-0000-00006C100000}"/>
    <cellStyle name="20% - Accent5 4 3 5" xfId="6614" xr:uid="{00000000-0005-0000-0000-00006D100000}"/>
    <cellStyle name="20% - Accent5 4 3 6" xfId="6615" xr:uid="{00000000-0005-0000-0000-00006E100000}"/>
    <cellStyle name="20% - Accent5 4 3 7" xfId="6616" xr:uid="{00000000-0005-0000-0000-00006F100000}"/>
    <cellStyle name="20% - Accent5 4 3 8" xfId="6617" xr:uid="{00000000-0005-0000-0000-000070100000}"/>
    <cellStyle name="20% - Accent5 4 3 9" xfId="6618" xr:uid="{00000000-0005-0000-0000-000071100000}"/>
    <cellStyle name="20% - Accent5 4 4" xfId="706" xr:uid="{00000000-0005-0000-0000-000072100000}"/>
    <cellStyle name="20% - Accent5 4 4 2" xfId="6619" xr:uid="{00000000-0005-0000-0000-000073100000}"/>
    <cellStyle name="20% - Accent5 4 4 2 2" xfId="6620" xr:uid="{00000000-0005-0000-0000-000074100000}"/>
    <cellStyle name="20% - Accent5 4 4 2 3" xfId="6621" xr:uid="{00000000-0005-0000-0000-000075100000}"/>
    <cellStyle name="20% - Accent5 4 4 3" xfId="6622" xr:uid="{00000000-0005-0000-0000-000076100000}"/>
    <cellStyle name="20% - Accent5 4 4 3 2" xfId="6623" xr:uid="{00000000-0005-0000-0000-000077100000}"/>
    <cellStyle name="20% - Accent5 4 4 3 3" xfId="6624" xr:uid="{00000000-0005-0000-0000-000078100000}"/>
    <cellStyle name="20% - Accent5 4 4 4" xfId="6625" xr:uid="{00000000-0005-0000-0000-000079100000}"/>
    <cellStyle name="20% - Accent5 4 4 5" xfId="6626" xr:uid="{00000000-0005-0000-0000-00007A100000}"/>
    <cellStyle name="20% - Accent5 4 4 6" xfId="6627" xr:uid="{00000000-0005-0000-0000-00007B100000}"/>
    <cellStyle name="20% - Accent5 4 5" xfId="6628" xr:uid="{00000000-0005-0000-0000-00007C100000}"/>
    <cellStyle name="20% - Accent5 4 5 2" xfId="6629" xr:uid="{00000000-0005-0000-0000-00007D100000}"/>
    <cellStyle name="20% - Accent5 4 5 3" xfId="6630" xr:uid="{00000000-0005-0000-0000-00007E100000}"/>
    <cellStyle name="20% - Accent5 4 6" xfId="6631" xr:uid="{00000000-0005-0000-0000-00007F100000}"/>
    <cellStyle name="20% - Accent5 4 6 2" xfId="6632" xr:uid="{00000000-0005-0000-0000-000080100000}"/>
    <cellStyle name="20% - Accent5 4 6 3" xfId="6633" xr:uid="{00000000-0005-0000-0000-000081100000}"/>
    <cellStyle name="20% - Accent5 4 7" xfId="6634" xr:uid="{00000000-0005-0000-0000-000082100000}"/>
    <cellStyle name="20% - Accent5 4 8" xfId="6635" xr:uid="{00000000-0005-0000-0000-000083100000}"/>
    <cellStyle name="20% - Accent5 4 9" xfId="6636" xr:uid="{00000000-0005-0000-0000-000084100000}"/>
    <cellStyle name="20% - Accent5 40" xfId="707" xr:uid="{00000000-0005-0000-0000-000085100000}"/>
    <cellStyle name="20% - Accent5 41" xfId="708" xr:uid="{00000000-0005-0000-0000-000086100000}"/>
    <cellStyle name="20% - Accent5 42" xfId="709" xr:uid="{00000000-0005-0000-0000-000087100000}"/>
    <cellStyle name="20% - Accent5 43" xfId="6637" xr:uid="{00000000-0005-0000-0000-000088100000}"/>
    <cellStyle name="20% - Accent5 44" xfId="6638" xr:uid="{00000000-0005-0000-0000-000089100000}"/>
    <cellStyle name="20% - Accent5 45" xfId="6639" xr:uid="{00000000-0005-0000-0000-00008A100000}"/>
    <cellStyle name="20% - Accent5 46" xfId="6640" xr:uid="{00000000-0005-0000-0000-00008B100000}"/>
    <cellStyle name="20% - Accent5 47" xfId="6641" xr:uid="{00000000-0005-0000-0000-00008C100000}"/>
    <cellStyle name="20% - Accent5 48" xfId="6642" xr:uid="{00000000-0005-0000-0000-00008D100000}"/>
    <cellStyle name="20% - Accent5 5" xfId="710" xr:uid="{00000000-0005-0000-0000-00008E100000}"/>
    <cellStyle name="20% - Accent5 5 2" xfId="711" xr:uid="{00000000-0005-0000-0000-00008F100000}"/>
    <cellStyle name="20% - Accent5 5 2 2" xfId="712" xr:uid="{00000000-0005-0000-0000-000090100000}"/>
    <cellStyle name="20% - Accent5 5 2 2 2" xfId="53550" xr:uid="{00000000-0005-0000-0000-000091100000}"/>
    <cellStyle name="20% - Accent5 5 2 2 2 2" xfId="53551" xr:uid="{00000000-0005-0000-0000-000092100000}"/>
    <cellStyle name="20% - Accent5 5 2 2 3" xfId="53552" xr:uid="{00000000-0005-0000-0000-000093100000}"/>
    <cellStyle name="20% - Accent5 5 2 3" xfId="713" xr:uid="{00000000-0005-0000-0000-000094100000}"/>
    <cellStyle name="20% - Accent5 5 2 3 2" xfId="53553" xr:uid="{00000000-0005-0000-0000-000095100000}"/>
    <cellStyle name="20% - Accent5 5 2 3 2 2" xfId="53554" xr:uid="{00000000-0005-0000-0000-000096100000}"/>
    <cellStyle name="20% - Accent5 5 2 3 3" xfId="53555" xr:uid="{00000000-0005-0000-0000-000097100000}"/>
    <cellStyle name="20% - Accent5 5 2 4" xfId="53556" xr:uid="{00000000-0005-0000-0000-000098100000}"/>
    <cellStyle name="20% - Accent5 5 2 4 2" xfId="53557" xr:uid="{00000000-0005-0000-0000-000099100000}"/>
    <cellStyle name="20% - Accent5 5 2 5" xfId="53558" xr:uid="{00000000-0005-0000-0000-00009A100000}"/>
    <cellStyle name="20% - Accent5 5 3" xfId="714" xr:uid="{00000000-0005-0000-0000-00009B100000}"/>
    <cellStyle name="20% - Accent5 5 3 2" xfId="53559" xr:uid="{00000000-0005-0000-0000-00009C100000}"/>
    <cellStyle name="20% - Accent5 5 3 2 2" xfId="53560" xr:uid="{00000000-0005-0000-0000-00009D100000}"/>
    <cellStyle name="20% - Accent5 5 3 3" xfId="53561" xr:uid="{00000000-0005-0000-0000-00009E100000}"/>
    <cellStyle name="20% - Accent5 5 4" xfId="715" xr:uid="{00000000-0005-0000-0000-00009F100000}"/>
    <cellStyle name="20% - Accent5 5 4 2" xfId="53562" xr:uid="{00000000-0005-0000-0000-0000A0100000}"/>
    <cellStyle name="20% - Accent5 5 4 2 2" xfId="53563" xr:uid="{00000000-0005-0000-0000-0000A1100000}"/>
    <cellStyle name="20% - Accent5 5 4 3" xfId="53564" xr:uid="{00000000-0005-0000-0000-0000A2100000}"/>
    <cellStyle name="20% - Accent5 5 5" xfId="6643" xr:uid="{00000000-0005-0000-0000-0000A3100000}"/>
    <cellStyle name="20% - Accent5 5 5 2" xfId="53565" xr:uid="{00000000-0005-0000-0000-0000A4100000}"/>
    <cellStyle name="20% - Accent5 5 6" xfId="6644" xr:uid="{00000000-0005-0000-0000-0000A5100000}"/>
    <cellStyle name="20% - Accent5 6" xfId="716" xr:uid="{00000000-0005-0000-0000-0000A6100000}"/>
    <cellStyle name="20% - Accent5 6 10" xfId="6645" xr:uid="{00000000-0005-0000-0000-0000A7100000}"/>
    <cellStyle name="20% - Accent5 6 11" xfId="6646" xr:uid="{00000000-0005-0000-0000-0000A8100000}"/>
    <cellStyle name="20% - Accent5 6 12" xfId="6647" xr:uid="{00000000-0005-0000-0000-0000A9100000}"/>
    <cellStyle name="20% - Accent5 6 2" xfId="717" xr:uid="{00000000-0005-0000-0000-0000AA100000}"/>
    <cellStyle name="20% - Accent5 6 2 2" xfId="6648" xr:uid="{00000000-0005-0000-0000-0000AB100000}"/>
    <cellStyle name="20% - Accent5 6 2 2 2" xfId="6649" xr:uid="{00000000-0005-0000-0000-0000AC100000}"/>
    <cellStyle name="20% - Accent5 6 2 2 2 2" xfId="6650" xr:uid="{00000000-0005-0000-0000-0000AD100000}"/>
    <cellStyle name="20% - Accent5 6 2 2 2 3" xfId="6651" xr:uid="{00000000-0005-0000-0000-0000AE100000}"/>
    <cellStyle name="20% - Accent5 6 2 2 3" xfId="6652" xr:uid="{00000000-0005-0000-0000-0000AF100000}"/>
    <cellStyle name="20% - Accent5 6 2 2 3 2" xfId="6653" xr:uid="{00000000-0005-0000-0000-0000B0100000}"/>
    <cellStyle name="20% - Accent5 6 2 2 3 3" xfId="6654" xr:uid="{00000000-0005-0000-0000-0000B1100000}"/>
    <cellStyle name="20% - Accent5 6 2 2 4" xfId="6655" xr:uid="{00000000-0005-0000-0000-0000B2100000}"/>
    <cellStyle name="20% - Accent5 6 2 2 5" xfId="6656" xr:uid="{00000000-0005-0000-0000-0000B3100000}"/>
    <cellStyle name="20% - Accent5 6 2 2 6" xfId="6657" xr:uid="{00000000-0005-0000-0000-0000B4100000}"/>
    <cellStyle name="20% - Accent5 6 2 3" xfId="6658" xr:uid="{00000000-0005-0000-0000-0000B5100000}"/>
    <cellStyle name="20% - Accent5 6 2 3 2" xfId="6659" xr:uid="{00000000-0005-0000-0000-0000B6100000}"/>
    <cellStyle name="20% - Accent5 6 2 3 3" xfId="6660" xr:uid="{00000000-0005-0000-0000-0000B7100000}"/>
    <cellStyle name="20% - Accent5 6 2 4" xfId="6661" xr:uid="{00000000-0005-0000-0000-0000B8100000}"/>
    <cellStyle name="20% - Accent5 6 2 4 2" xfId="6662" xr:uid="{00000000-0005-0000-0000-0000B9100000}"/>
    <cellStyle name="20% - Accent5 6 2 4 3" xfId="6663" xr:uid="{00000000-0005-0000-0000-0000BA100000}"/>
    <cellStyle name="20% - Accent5 6 2 5" xfId="6664" xr:uid="{00000000-0005-0000-0000-0000BB100000}"/>
    <cellStyle name="20% - Accent5 6 2 6" xfId="6665" xr:uid="{00000000-0005-0000-0000-0000BC100000}"/>
    <cellStyle name="20% - Accent5 6 2 7" xfId="6666" xr:uid="{00000000-0005-0000-0000-0000BD100000}"/>
    <cellStyle name="20% - Accent5 6 2 8" xfId="6667" xr:uid="{00000000-0005-0000-0000-0000BE100000}"/>
    <cellStyle name="20% - Accent5 6 3" xfId="718" xr:uid="{00000000-0005-0000-0000-0000BF100000}"/>
    <cellStyle name="20% - Accent5 6 3 2" xfId="6668" xr:uid="{00000000-0005-0000-0000-0000C0100000}"/>
    <cellStyle name="20% - Accent5 6 3 2 2" xfId="6669" xr:uid="{00000000-0005-0000-0000-0000C1100000}"/>
    <cellStyle name="20% - Accent5 6 3 2 2 2" xfId="6670" xr:uid="{00000000-0005-0000-0000-0000C2100000}"/>
    <cellStyle name="20% - Accent5 6 3 2 3" xfId="6671" xr:uid="{00000000-0005-0000-0000-0000C3100000}"/>
    <cellStyle name="20% - Accent5 6 3 3" xfId="6672" xr:uid="{00000000-0005-0000-0000-0000C4100000}"/>
    <cellStyle name="20% - Accent5 6 3 3 2" xfId="6673" xr:uid="{00000000-0005-0000-0000-0000C5100000}"/>
    <cellStyle name="20% - Accent5 6 3 3 3" xfId="6674" xr:uid="{00000000-0005-0000-0000-0000C6100000}"/>
    <cellStyle name="20% - Accent5 6 3 4" xfId="6675" xr:uid="{00000000-0005-0000-0000-0000C7100000}"/>
    <cellStyle name="20% - Accent5 6 3 5" xfId="6676" xr:uid="{00000000-0005-0000-0000-0000C8100000}"/>
    <cellStyle name="20% - Accent5 6 3 6" xfId="6677" xr:uid="{00000000-0005-0000-0000-0000C9100000}"/>
    <cellStyle name="20% - Accent5 6 4" xfId="6678" xr:uid="{00000000-0005-0000-0000-0000CA100000}"/>
    <cellStyle name="20% - Accent5 6 4 2" xfId="6679" xr:uid="{00000000-0005-0000-0000-0000CB100000}"/>
    <cellStyle name="20% - Accent5 6 4 3" xfId="6680" xr:uid="{00000000-0005-0000-0000-0000CC100000}"/>
    <cellStyle name="20% - Accent5 6 5" xfId="6681" xr:uid="{00000000-0005-0000-0000-0000CD100000}"/>
    <cellStyle name="20% - Accent5 6 5 2" xfId="6682" xr:uid="{00000000-0005-0000-0000-0000CE100000}"/>
    <cellStyle name="20% - Accent5 6 5 3" xfId="6683" xr:uid="{00000000-0005-0000-0000-0000CF100000}"/>
    <cellStyle name="20% - Accent5 6 6" xfId="6684" xr:uid="{00000000-0005-0000-0000-0000D0100000}"/>
    <cellStyle name="20% - Accent5 6 7" xfId="6685" xr:uid="{00000000-0005-0000-0000-0000D1100000}"/>
    <cellStyle name="20% - Accent5 6 8" xfId="6686" xr:uid="{00000000-0005-0000-0000-0000D2100000}"/>
    <cellStyle name="20% - Accent5 6 9" xfId="6687" xr:uid="{00000000-0005-0000-0000-0000D3100000}"/>
    <cellStyle name="20% - Accent5 7" xfId="719" xr:uid="{00000000-0005-0000-0000-0000D4100000}"/>
    <cellStyle name="20% - Accent5 7 10" xfId="6688" xr:uid="{00000000-0005-0000-0000-0000D5100000}"/>
    <cellStyle name="20% - Accent5 7 11" xfId="6689" xr:uid="{00000000-0005-0000-0000-0000D6100000}"/>
    <cellStyle name="20% - Accent5 7 2" xfId="720" xr:uid="{00000000-0005-0000-0000-0000D7100000}"/>
    <cellStyle name="20% - Accent5 7 2 2" xfId="6690" xr:uid="{00000000-0005-0000-0000-0000D8100000}"/>
    <cellStyle name="20% - Accent5 7 2 2 2" xfId="6691" xr:uid="{00000000-0005-0000-0000-0000D9100000}"/>
    <cellStyle name="20% - Accent5 7 2 2 2 2" xfId="6692" xr:uid="{00000000-0005-0000-0000-0000DA100000}"/>
    <cellStyle name="20% - Accent5 7 2 2 2 3" xfId="6693" xr:uid="{00000000-0005-0000-0000-0000DB100000}"/>
    <cellStyle name="20% - Accent5 7 2 2 3" xfId="6694" xr:uid="{00000000-0005-0000-0000-0000DC100000}"/>
    <cellStyle name="20% - Accent5 7 2 2 3 2" xfId="6695" xr:uid="{00000000-0005-0000-0000-0000DD100000}"/>
    <cellStyle name="20% - Accent5 7 2 2 3 3" xfId="6696" xr:uid="{00000000-0005-0000-0000-0000DE100000}"/>
    <cellStyle name="20% - Accent5 7 2 2 4" xfId="6697" xr:uid="{00000000-0005-0000-0000-0000DF100000}"/>
    <cellStyle name="20% - Accent5 7 2 2 5" xfId="6698" xr:uid="{00000000-0005-0000-0000-0000E0100000}"/>
    <cellStyle name="20% - Accent5 7 2 2 6" xfId="6699" xr:uid="{00000000-0005-0000-0000-0000E1100000}"/>
    <cellStyle name="20% - Accent5 7 2 3" xfId="6700" xr:uid="{00000000-0005-0000-0000-0000E2100000}"/>
    <cellStyle name="20% - Accent5 7 2 3 2" xfId="6701" xr:uid="{00000000-0005-0000-0000-0000E3100000}"/>
    <cellStyle name="20% - Accent5 7 2 3 3" xfId="6702" xr:uid="{00000000-0005-0000-0000-0000E4100000}"/>
    <cellStyle name="20% - Accent5 7 2 4" xfId="6703" xr:uid="{00000000-0005-0000-0000-0000E5100000}"/>
    <cellStyle name="20% - Accent5 7 2 4 2" xfId="6704" xr:uid="{00000000-0005-0000-0000-0000E6100000}"/>
    <cellStyle name="20% - Accent5 7 2 4 3" xfId="6705" xr:uid="{00000000-0005-0000-0000-0000E7100000}"/>
    <cellStyle name="20% - Accent5 7 2 5" xfId="6706" xr:uid="{00000000-0005-0000-0000-0000E8100000}"/>
    <cellStyle name="20% - Accent5 7 2 6" xfId="6707" xr:uid="{00000000-0005-0000-0000-0000E9100000}"/>
    <cellStyle name="20% - Accent5 7 2 7" xfId="6708" xr:uid="{00000000-0005-0000-0000-0000EA100000}"/>
    <cellStyle name="20% - Accent5 7 2 8" xfId="6709" xr:uid="{00000000-0005-0000-0000-0000EB100000}"/>
    <cellStyle name="20% - Accent5 7 3" xfId="721" xr:uid="{00000000-0005-0000-0000-0000EC100000}"/>
    <cellStyle name="20% - Accent5 7 3 2" xfId="6710" xr:uid="{00000000-0005-0000-0000-0000ED100000}"/>
    <cellStyle name="20% - Accent5 7 3 2 2" xfId="6711" xr:uid="{00000000-0005-0000-0000-0000EE100000}"/>
    <cellStyle name="20% - Accent5 7 3 2 2 2" xfId="6712" xr:uid="{00000000-0005-0000-0000-0000EF100000}"/>
    <cellStyle name="20% - Accent5 7 3 2 3" xfId="6713" xr:uid="{00000000-0005-0000-0000-0000F0100000}"/>
    <cellStyle name="20% - Accent5 7 3 3" xfId="6714" xr:uid="{00000000-0005-0000-0000-0000F1100000}"/>
    <cellStyle name="20% - Accent5 7 3 3 2" xfId="6715" xr:uid="{00000000-0005-0000-0000-0000F2100000}"/>
    <cellStyle name="20% - Accent5 7 3 3 3" xfId="6716" xr:uid="{00000000-0005-0000-0000-0000F3100000}"/>
    <cellStyle name="20% - Accent5 7 3 4" xfId="6717" xr:uid="{00000000-0005-0000-0000-0000F4100000}"/>
    <cellStyle name="20% - Accent5 7 3 5" xfId="6718" xr:uid="{00000000-0005-0000-0000-0000F5100000}"/>
    <cellStyle name="20% - Accent5 7 3 6" xfId="6719" xr:uid="{00000000-0005-0000-0000-0000F6100000}"/>
    <cellStyle name="20% - Accent5 7 4" xfId="6720" xr:uid="{00000000-0005-0000-0000-0000F7100000}"/>
    <cellStyle name="20% - Accent5 7 4 2" xfId="6721" xr:uid="{00000000-0005-0000-0000-0000F8100000}"/>
    <cellStyle name="20% - Accent5 7 4 3" xfId="6722" xr:uid="{00000000-0005-0000-0000-0000F9100000}"/>
    <cellStyle name="20% - Accent5 7 5" xfId="6723" xr:uid="{00000000-0005-0000-0000-0000FA100000}"/>
    <cellStyle name="20% - Accent5 7 5 2" xfId="6724" xr:uid="{00000000-0005-0000-0000-0000FB100000}"/>
    <cellStyle name="20% - Accent5 7 5 3" xfId="6725" xr:uid="{00000000-0005-0000-0000-0000FC100000}"/>
    <cellStyle name="20% - Accent5 7 6" xfId="6726" xr:uid="{00000000-0005-0000-0000-0000FD100000}"/>
    <cellStyle name="20% - Accent5 7 7" xfId="6727" xr:uid="{00000000-0005-0000-0000-0000FE100000}"/>
    <cellStyle name="20% - Accent5 7 8" xfId="6728" xr:uid="{00000000-0005-0000-0000-0000FF100000}"/>
    <cellStyle name="20% - Accent5 7 9" xfId="6729" xr:uid="{00000000-0005-0000-0000-000000110000}"/>
    <cellStyle name="20% - Accent5 8" xfId="722" xr:uid="{00000000-0005-0000-0000-000001110000}"/>
    <cellStyle name="20% - Accent5 8 10" xfId="6730" xr:uid="{00000000-0005-0000-0000-000002110000}"/>
    <cellStyle name="20% - Accent5 8 11" xfId="6731" xr:uid="{00000000-0005-0000-0000-000003110000}"/>
    <cellStyle name="20% - Accent5 8 2" xfId="723" xr:uid="{00000000-0005-0000-0000-000004110000}"/>
    <cellStyle name="20% - Accent5 8 2 2" xfId="6732" xr:uid="{00000000-0005-0000-0000-000005110000}"/>
    <cellStyle name="20% - Accent5 8 2 2 2" xfId="6733" xr:uid="{00000000-0005-0000-0000-000006110000}"/>
    <cellStyle name="20% - Accent5 8 2 2 2 2" xfId="6734" xr:uid="{00000000-0005-0000-0000-000007110000}"/>
    <cellStyle name="20% - Accent5 8 2 2 2 3" xfId="6735" xr:uid="{00000000-0005-0000-0000-000008110000}"/>
    <cellStyle name="20% - Accent5 8 2 2 3" xfId="6736" xr:uid="{00000000-0005-0000-0000-000009110000}"/>
    <cellStyle name="20% - Accent5 8 2 2 3 2" xfId="6737" xr:uid="{00000000-0005-0000-0000-00000A110000}"/>
    <cellStyle name="20% - Accent5 8 2 2 3 3" xfId="6738" xr:uid="{00000000-0005-0000-0000-00000B110000}"/>
    <cellStyle name="20% - Accent5 8 2 2 4" xfId="6739" xr:uid="{00000000-0005-0000-0000-00000C110000}"/>
    <cellStyle name="20% - Accent5 8 2 2 5" xfId="6740" xr:uid="{00000000-0005-0000-0000-00000D110000}"/>
    <cellStyle name="20% - Accent5 8 2 2 6" xfId="6741" xr:uid="{00000000-0005-0000-0000-00000E110000}"/>
    <cellStyle name="20% - Accent5 8 2 3" xfId="6742" xr:uid="{00000000-0005-0000-0000-00000F110000}"/>
    <cellStyle name="20% - Accent5 8 2 3 2" xfId="6743" xr:uid="{00000000-0005-0000-0000-000010110000}"/>
    <cellStyle name="20% - Accent5 8 2 3 3" xfId="6744" xr:uid="{00000000-0005-0000-0000-000011110000}"/>
    <cellStyle name="20% - Accent5 8 2 4" xfId="6745" xr:uid="{00000000-0005-0000-0000-000012110000}"/>
    <cellStyle name="20% - Accent5 8 2 4 2" xfId="6746" xr:uid="{00000000-0005-0000-0000-000013110000}"/>
    <cellStyle name="20% - Accent5 8 2 4 3" xfId="6747" xr:uid="{00000000-0005-0000-0000-000014110000}"/>
    <cellStyle name="20% - Accent5 8 2 5" xfId="6748" xr:uid="{00000000-0005-0000-0000-000015110000}"/>
    <cellStyle name="20% - Accent5 8 2 6" xfId="6749" xr:uid="{00000000-0005-0000-0000-000016110000}"/>
    <cellStyle name="20% - Accent5 8 2 7" xfId="6750" xr:uid="{00000000-0005-0000-0000-000017110000}"/>
    <cellStyle name="20% - Accent5 8 2 8" xfId="6751" xr:uid="{00000000-0005-0000-0000-000018110000}"/>
    <cellStyle name="20% - Accent5 8 3" xfId="6752" xr:uid="{00000000-0005-0000-0000-000019110000}"/>
    <cellStyle name="20% - Accent5 8 3 2" xfId="6753" xr:uid="{00000000-0005-0000-0000-00001A110000}"/>
    <cellStyle name="20% - Accent5 8 3 2 2" xfId="6754" xr:uid="{00000000-0005-0000-0000-00001B110000}"/>
    <cellStyle name="20% - Accent5 8 3 2 2 2" xfId="6755" xr:uid="{00000000-0005-0000-0000-00001C110000}"/>
    <cellStyle name="20% - Accent5 8 3 2 3" xfId="6756" xr:uid="{00000000-0005-0000-0000-00001D110000}"/>
    <cellStyle name="20% - Accent5 8 3 3" xfId="6757" xr:uid="{00000000-0005-0000-0000-00001E110000}"/>
    <cellStyle name="20% - Accent5 8 3 3 2" xfId="6758" xr:uid="{00000000-0005-0000-0000-00001F110000}"/>
    <cellStyle name="20% - Accent5 8 3 3 3" xfId="6759" xr:uid="{00000000-0005-0000-0000-000020110000}"/>
    <cellStyle name="20% - Accent5 8 3 4" xfId="6760" xr:uid="{00000000-0005-0000-0000-000021110000}"/>
    <cellStyle name="20% - Accent5 8 3 5" xfId="6761" xr:uid="{00000000-0005-0000-0000-000022110000}"/>
    <cellStyle name="20% - Accent5 8 3 6" xfId="6762" xr:uid="{00000000-0005-0000-0000-000023110000}"/>
    <cellStyle name="20% - Accent5 8 4" xfId="6763" xr:uid="{00000000-0005-0000-0000-000024110000}"/>
    <cellStyle name="20% - Accent5 8 4 2" xfId="6764" xr:uid="{00000000-0005-0000-0000-000025110000}"/>
    <cellStyle name="20% - Accent5 8 4 3" xfId="6765" xr:uid="{00000000-0005-0000-0000-000026110000}"/>
    <cellStyle name="20% - Accent5 8 5" xfId="6766" xr:uid="{00000000-0005-0000-0000-000027110000}"/>
    <cellStyle name="20% - Accent5 8 5 2" xfId="6767" xr:uid="{00000000-0005-0000-0000-000028110000}"/>
    <cellStyle name="20% - Accent5 8 5 3" xfId="6768" xr:uid="{00000000-0005-0000-0000-000029110000}"/>
    <cellStyle name="20% - Accent5 8 6" xfId="6769" xr:uid="{00000000-0005-0000-0000-00002A110000}"/>
    <cellStyle name="20% - Accent5 8 7" xfId="6770" xr:uid="{00000000-0005-0000-0000-00002B110000}"/>
    <cellStyle name="20% - Accent5 8 8" xfId="6771" xr:uid="{00000000-0005-0000-0000-00002C110000}"/>
    <cellStyle name="20% - Accent5 8 9" xfId="6772" xr:uid="{00000000-0005-0000-0000-00002D110000}"/>
    <cellStyle name="20% - Accent5 9" xfId="724" xr:uid="{00000000-0005-0000-0000-00002E110000}"/>
    <cellStyle name="20% - Accent5 9 10" xfId="6773" xr:uid="{00000000-0005-0000-0000-00002F110000}"/>
    <cellStyle name="20% - Accent5 9 11" xfId="6774" xr:uid="{00000000-0005-0000-0000-000030110000}"/>
    <cellStyle name="20% - Accent5 9 2" xfId="725" xr:uid="{00000000-0005-0000-0000-000031110000}"/>
    <cellStyle name="20% - Accent5 9 2 2" xfId="6775" xr:uid="{00000000-0005-0000-0000-000032110000}"/>
    <cellStyle name="20% - Accent5 9 2 2 2" xfId="6776" xr:uid="{00000000-0005-0000-0000-000033110000}"/>
    <cellStyle name="20% - Accent5 9 2 2 2 2" xfId="6777" xr:uid="{00000000-0005-0000-0000-000034110000}"/>
    <cellStyle name="20% - Accent5 9 2 2 2 3" xfId="6778" xr:uid="{00000000-0005-0000-0000-000035110000}"/>
    <cellStyle name="20% - Accent5 9 2 2 3" xfId="6779" xr:uid="{00000000-0005-0000-0000-000036110000}"/>
    <cellStyle name="20% - Accent5 9 2 2 3 2" xfId="6780" xr:uid="{00000000-0005-0000-0000-000037110000}"/>
    <cellStyle name="20% - Accent5 9 2 2 3 3" xfId="6781" xr:uid="{00000000-0005-0000-0000-000038110000}"/>
    <cellStyle name="20% - Accent5 9 2 2 4" xfId="6782" xr:uid="{00000000-0005-0000-0000-000039110000}"/>
    <cellStyle name="20% - Accent5 9 2 2 5" xfId="6783" xr:uid="{00000000-0005-0000-0000-00003A110000}"/>
    <cellStyle name="20% - Accent5 9 2 2 6" xfId="6784" xr:uid="{00000000-0005-0000-0000-00003B110000}"/>
    <cellStyle name="20% - Accent5 9 2 3" xfId="6785" xr:uid="{00000000-0005-0000-0000-00003C110000}"/>
    <cellStyle name="20% - Accent5 9 2 3 2" xfId="6786" xr:uid="{00000000-0005-0000-0000-00003D110000}"/>
    <cellStyle name="20% - Accent5 9 2 3 3" xfId="6787" xr:uid="{00000000-0005-0000-0000-00003E110000}"/>
    <cellStyle name="20% - Accent5 9 2 4" xfId="6788" xr:uid="{00000000-0005-0000-0000-00003F110000}"/>
    <cellStyle name="20% - Accent5 9 2 4 2" xfId="6789" xr:uid="{00000000-0005-0000-0000-000040110000}"/>
    <cellStyle name="20% - Accent5 9 2 4 3" xfId="6790" xr:uid="{00000000-0005-0000-0000-000041110000}"/>
    <cellStyle name="20% - Accent5 9 2 5" xfId="6791" xr:uid="{00000000-0005-0000-0000-000042110000}"/>
    <cellStyle name="20% - Accent5 9 2 6" xfId="6792" xr:uid="{00000000-0005-0000-0000-000043110000}"/>
    <cellStyle name="20% - Accent5 9 2 7" xfId="6793" xr:uid="{00000000-0005-0000-0000-000044110000}"/>
    <cellStyle name="20% - Accent5 9 2 8" xfId="6794" xr:uid="{00000000-0005-0000-0000-000045110000}"/>
    <cellStyle name="20% - Accent5 9 3" xfId="6795" xr:uid="{00000000-0005-0000-0000-000046110000}"/>
    <cellStyle name="20% - Accent5 9 3 2" xfId="6796" xr:uid="{00000000-0005-0000-0000-000047110000}"/>
    <cellStyle name="20% - Accent5 9 3 2 2" xfId="6797" xr:uid="{00000000-0005-0000-0000-000048110000}"/>
    <cellStyle name="20% - Accent5 9 3 2 2 2" xfId="6798" xr:uid="{00000000-0005-0000-0000-000049110000}"/>
    <cellStyle name="20% - Accent5 9 3 2 3" xfId="6799" xr:uid="{00000000-0005-0000-0000-00004A110000}"/>
    <cellStyle name="20% - Accent5 9 3 3" xfId="6800" xr:uid="{00000000-0005-0000-0000-00004B110000}"/>
    <cellStyle name="20% - Accent5 9 3 3 2" xfId="6801" xr:uid="{00000000-0005-0000-0000-00004C110000}"/>
    <cellStyle name="20% - Accent5 9 3 3 3" xfId="6802" xr:uid="{00000000-0005-0000-0000-00004D110000}"/>
    <cellStyle name="20% - Accent5 9 3 4" xfId="6803" xr:uid="{00000000-0005-0000-0000-00004E110000}"/>
    <cellStyle name="20% - Accent5 9 3 5" xfId="6804" xr:uid="{00000000-0005-0000-0000-00004F110000}"/>
    <cellStyle name="20% - Accent5 9 3 6" xfId="6805" xr:uid="{00000000-0005-0000-0000-000050110000}"/>
    <cellStyle name="20% - Accent5 9 4" xfId="6806" xr:uid="{00000000-0005-0000-0000-000051110000}"/>
    <cellStyle name="20% - Accent5 9 4 2" xfId="6807" xr:uid="{00000000-0005-0000-0000-000052110000}"/>
    <cellStyle name="20% - Accent5 9 4 3" xfId="6808" xr:uid="{00000000-0005-0000-0000-000053110000}"/>
    <cellStyle name="20% - Accent5 9 5" xfId="6809" xr:uid="{00000000-0005-0000-0000-000054110000}"/>
    <cellStyle name="20% - Accent5 9 5 2" xfId="6810" xr:uid="{00000000-0005-0000-0000-000055110000}"/>
    <cellStyle name="20% - Accent5 9 5 3" xfId="6811" xr:uid="{00000000-0005-0000-0000-000056110000}"/>
    <cellStyle name="20% - Accent5 9 6" xfId="6812" xr:uid="{00000000-0005-0000-0000-000057110000}"/>
    <cellStyle name="20% - Accent5 9 7" xfId="6813" xr:uid="{00000000-0005-0000-0000-000058110000}"/>
    <cellStyle name="20% - Accent5 9 8" xfId="6814" xr:uid="{00000000-0005-0000-0000-000059110000}"/>
    <cellStyle name="20% - Accent5 9 9" xfId="6815" xr:uid="{00000000-0005-0000-0000-00005A110000}"/>
    <cellStyle name="20% - Accent6 10" xfId="726" xr:uid="{00000000-0005-0000-0000-00005B110000}"/>
    <cellStyle name="20% - Accent6 10 10" xfId="6816" xr:uid="{00000000-0005-0000-0000-00005C110000}"/>
    <cellStyle name="20% - Accent6 10 11" xfId="6817" xr:uid="{00000000-0005-0000-0000-00005D110000}"/>
    <cellStyle name="20% - Accent6 10 2" xfId="727" xr:uid="{00000000-0005-0000-0000-00005E110000}"/>
    <cellStyle name="20% - Accent6 10 2 2" xfId="6818" xr:uid="{00000000-0005-0000-0000-00005F110000}"/>
    <cellStyle name="20% - Accent6 10 2 2 2" xfId="6819" xr:uid="{00000000-0005-0000-0000-000060110000}"/>
    <cellStyle name="20% - Accent6 10 2 2 2 2" xfId="6820" xr:uid="{00000000-0005-0000-0000-000061110000}"/>
    <cellStyle name="20% - Accent6 10 2 2 2 3" xfId="6821" xr:uid="{00000000-0005-0000-0000-000062110000}"/>
    <cellStyle name="20% - Accent6 10 2 2 3" xfId="6822" xr:uid="{00000000-0005-0000-0000-000063110000}"/>
    <cellStyle name="20% - Accent6 10 2 2 3 2" xfId="6823" xr:uid="{00000000-0005-0000-0000-000064110000}"/>
    <cellStyle name="20% - Accent6 10 2 2 3 3" xfId="6824" xr:uid="{00000000-0005-0000-0000-000065110000}"/>
    <cellStyle name="20% - Accent6 10 2 2 4" xfId="6825" xr:uid="{00000000-0005-0000-0000-000066110000}"/>
    <cellStyle name="20% - Accent6 10 2 2 5" xfId="6826" xr:uid="{00000000-0005-0000-0000-000067110000}"/>
    <cellStyle name="20% - Accent6 10 2 2 6" xfId="6827" xr:uid="{00000000-0005-0000-0000-000068110000}"/>
    <cellStyle name="20% - Accent6 10 2 3" xfId="6828" xr:uid="{00000000-0005-0000-0000-000069110000}"/>
    <cellStyle name="20% - Accent6 10 2 3 2" xfId="6829" xr:uid="{00000000-0005-0000-0000-00006A110000}"/>
    <cellStyle name="20% - Accent6 10 2 3 3" xfId="6830" xr:uid="{00000000-0005-0000-0000-00006B110000}"/>
    <cellStyle name="20% - Accent6 10 2 4" xfId="6831" xr:uid="{00000000-0005-0000-0000-00006C110000}"/>
    <cellStyle name="20% - Accent6 10 2 4 2" xfId="6832" xr:uid="{00000000-0005-0000-0000-00006D110000}"/>
    <cellStyle name="20% - Accent6 10 2 4 3" xfId="6833" xr:uid="{00000000-0005-0000-0000-00006E110000}"/>
    <cellStyle name="20% - Accent6 10 2 5" xfId="6834" xr:uid="{00000000-0005-0000-0000-00006F110000}"/>
    <cellStyle name="20% - Accent6 10 2 6" xfId="6835" xr:uid="{00000000-0005-0000-0000-000070110000}"/>
    <cellStyle name="20% - Accent6 10 2 7" xfId="6836" xr:uid="{00000000-0005-0000-0000-000071110000}"/>
    <cellStyle name="20% - Accent6 10 2 8" xfId="6837" xr:uid="{00000000-0005-0000-0000-000072110000}"/>
    <cellStyle name="20% - Accent6 10 3" xfId="6838" xr:uid="{00000000-0005-0000-0000-000073110000}"/>
    <cellStyle name="20% - Accent6 10 3 2" xfId="6839" xr:uid="{00000000-0005-0000-0000-000074110000}"/>
    <cellStyle name="20% - Accent6 10 3 2 2" xfId="6840" xr:uid="{00000000-0005-0000-0000-000075110000}"/>
    <cellStyle name="20% - Accent6 10 3 2 3" xfId="6841" xr:uid="{00000000-0005-0000-0000-000076110000}"/>
    <cellStyle name="20% - Accent6 10 3 3" xfId="6842" xr:uid="{00000000-0005-0000-0000-000077110000}"/>
    <cellStyle name="20% - Accent6 10 3 3 2" xfId="6843" xr:uid="{00000000-0005-0000-0000-000078110000}"/>
    <cellStyle name="20% - Accent6 10 3 3 3" xfId="6844" xr:uid="{00000000-0005-0000-0000-000079110000}"/>
    <cellStyle name="20% - Accent6 10 3 4" xfId="6845" xr:uid="{00000000-0005-0000-0000-00007A110000}"/>
    <cellStyle name="20% - Accent6 10 3 5" xfId="6846" xr:uid="{00000000-0005-0000-0000-00007B110000}"/>
    <cellStyle name="20% - Accent6 10 3 6" xfId="6847" xr:uid="{00000000-0005-0000-0000-00007C110000}"/>
    <cellStyle name="20% - Accent6 10 4" xfId="6848" xr:uid="{00000000-0005-0000-0000-00007D110000}"/>
    <cellStyle name="20% - Accent6 10 4 2" xfId="6849" xr:uid="{00000000-0005-0000-0000-00007E110000}"/>
    <cellStyle name="20% - Accent6 10 4 3" xfId="6850" xr:uid="{00000000-0005-0000-0000-00007F110000}"/>
    <cellStyle name="20% - Accent6 10 5" xfId="6851" xr:uid="{00000000-0005-0000-0000-000080110000}"/>
    <cellStyle name="20% - Accent6 10 5 2" xfId="6852" xr:uid="{00000000-0005-0000-0000-000081110000}"/>
    <cellStyle name="20% - Accent6 10 5 3" xfId="6853" xr:uid="{00000000-0005-0000-0000-000082110000}"/>
    <cellStyle name="20% - Accent6 10 6" xfId="6854" xr:uid="{00000000-0005-0000-0000-000083110000}"/>
    <cellStyle name="20% - Accent6 10 7" xfId="6855" xr:uid="{00000000-0005-0000-0000-000084110000}"/>
    <cellStyle name="20% - Accent6 10 8" xfId="6856" xr:uid="{00000000-0005-0000-0000-000085110000}"/>
    <cellStyle name="20% - Accent6 10 9" xfId="6857" xr:uid="{00000000-0005-0000-0000-000086110000}"/>
    <cellStyle name="20% - Accent6 11" xfId="728" xr:uid="{00000000-0005-0000-0000-000087110000}"/>
    <cellStyle name="20% - Accent6 11 10" xfId="6858" xr:uid="{00000000-0005-0000-0000-000088110000}"/>
    <cellStyle name="20% - Accent6 11 2" xfId="729" xr:uid="{00000000-0005-0000-0000-000089110000}"/>
    <cellStyle name="20% - Accent6 11 2 2" xfId="6859" xr:uid="{00000000-0005-0000-0000-00008A110000}"/>
    <cellStyle name="20% - Accent6 11 2 2 2" xfId="6860" xr:uid="{00000000-0005-0000-0000-00008B110000}"/>
    <cellStyle name="20% - Accent6 11 2 2 3" xfId="6861" xr:uid="{00000000-0005-0000-0000-00008C110000}"/>
    <cellStyle name="20% - Accent6 11 2 3" xfId="6862" xr:uid="{00000000-0005-0000-0000-00008D110000}"/>
    <cellStyle name="20% - Accent6 11 2 3 2" xfId="6863" xr:uid="{00000000-0005-0000-0000-00008E110000}"/>
    <cellStyle name="20% - Accent6 11 2 3 3" xfId="6864" xr:uid="{00000000-0005-0000-0000-00008F110000}"/>
    <cellStyle name="20% - Accent6 11 2 4" xfId="6865" xr:uid="{00000000-0005-0000-0000-000090110000}"/>
    <cellStyle name="20% - Accent6 11 2 5" xfId="6866" xr:uid="{00000000-0005-0000-0000-000091110000}"/>
    <cellStyle name="20% - Accent6 11 2 6" xfId="6867" xr:uid="{00000000-0005-0000-0000-000092110000}"/>
    <cellStyle name="20% - Accent6 11 3" xfId="6868" xr:uid="{00000000-0005-0000-0000-000093110000}"/>
    <cellStyle name="20% - Accent6 11 3 2" xfId="6869" xr:uid="{00000000-0005-0000-0000-000094110000}"/>
    <cellStyle name="20% - Accent6 11 3 3" xfId="6870" xr:uid="{00000000-0005-0000-0000-000095110000}"/>
    <cellStyle name="20% - Accent6 11 4" xfId="6871" xr:uid="{00000000-0005-0000-0000-000096110000}"/>
    <cellStyle name="20% - Accent6 11 4 2" xfId="6872" xr:uid="{00000000-0005-0000-0000-000097110000}"/>
    <cellStyle name="20% - Accent6 11 4 3" xfId="6873" xr:uid="{00000000-0005-0000-0000-000098110000}"/>
    <cellStyle name="20% - Accent6 11 5" xfId="6874" xr:uid="{00000000-0005-0000-0000-000099110000}"/>
    <cellStyle name="20% - Accent6 11 6" xfId="6875" xr:uid="{00000000-0005-0000-0000-00009A110000}"/>
    <cellStyle name="20% - Accent6 11 7" xfId="6876" xr:uid="{00000000-0005-0000-0000-00009B110000}"/>
    <cellStyle name="20% - Accent6 11 8" xfId="6877" xr:uid="{00000000-0005-0000-0000-00009C110000}"/>
    <cellStyle name="20% - Accent6 11 9" xfId="6878" xr:uid="{00000000-0005-0000-0000-00009D110000}"/>
    <cellStyle name="20% - Accent6 12" xfId="730" xr:uid="{00000000-0005-0000-0000-00009E110000}"/>
    <cellStyle name="20% - Accent6 12 2" xfId="731" xr:uid="{00000000-0005-0000-0000-00009F110000}"/>
    <cellStyle name="20% - Accent6 12 3" xfId="6879" xr:uid="{00000000-0005-0000-0000-0000A0110000}"/>
    <cellStyle name="20% - Accent6 12 4" xfId="6880" xr:uid="{00000000-0005-0000-0000-0000A1110000}"/>
    <cellStyle name="20% - Accent6 12 5" xfId="6881" xr:uid="{00000000-0005-0000-0000-0000A2110000}"/>
    <cellStyle name="20% - Accent6 13" xfId="732" xr:uid="{00000000-0005-0000-0000-0000A3110000}"/>
    <cellStyle name="20% - Accent6 13 2" xfId="733" xr:uid="{00000000-0005-0000-0000-0000A4110000}"/>
    <cellStyle name="20% - Accent6 13 3" xfId="6882" xr:uid="{00000000-0005-0000-0000-0000A5110000}"/>
    <cellStyle name="20% - Accent6 13 4" xfId="6883" xr:uid="{00000000-0005-0000-0000-0000A6110000}"/>
    <cellStyle name="20% - Accent6 14" xfId="734" xr:uid="{00000000-0005-0000-0000-0000A7110000}"/>
    <cellStyle name="20% - Accent6 14 2" xfId="735" xr:uid="{00000000-0005-0000-0000-0000A8110000}"/>
    <cellStyle name="20% - Accent6 14 3" xfId="6884" xr:uid="{00000000-0005-0000-0000-0000A9110000}"/>
    <cellStyle name="20% - Accent6 15" xfId="736" xr:uid="{00000000-0005-0000-0000-0000AA110000}"/>
    <cellStyle name="20% - Accent6 15 2" xfId="737" xr:uid="{00000000-0005-0000-0000-0000AB110000}"/>
    <cellStyle name="20% - Accent6 15 3" xfId="6885" xr:uid="{00000000-0005-0000-0000-0000AC110000}"/>
    <cellStyle name="20% - Accent6 16" xfId="738" xr:uid="{00000000-0005-0000-0000-0000AD110000}"/>
    <cellStyle name="20% - Accent6 16 2" xfId="739" xr:uid="{00000000-0005-0000-0000-0000AE110000}"/>
    <cellStyle name="20% - Accent6 17" xfId="740" xr:uid="{00000000-0005-0000-0000-0000AF110000}"/>
    <cellStyle name="20% - Accent6 17 2" xfId="741" xr:uid="{00000000-0005-0000-0000-0000B0110000}"/>
    <cellStyle name="20% - Accent6 18" xfId="742" xr:uid="{00000000-0005-0000-0000-0000B1110000}"/>
    <cellStyle name="20% - Accent6 18 2" xfId="743" xr:uid="{00000000-0005-0000-0000-0000B2110000}"/>
    <cellStyle name="20% - Accent6 19" xfId="744" xr:uid="{00000000-0005-0000-0000-0000B3110000}"/>
    <cellStyle name="20% - Accent6 19 2" xfId="745" xr:uid="{00000000-0005-0000-0000-0000B4110000}"/>
    <cellStyle name="20% - Accent6 2" xfId="746" xr:uid="{00000000-0005-0000-0000-0000B5110000}"/>
    <cellStyle name="20% - Accent6 2 10" xfId="6886" xr:uid="{00000000-0005-0000-0000-0000B6110000}"/>
    <cellStyle name="20% - Accent6 2 11" xfId="6887" xr:uid="{00000000-0005-0000-0000-0000B7110000}"/>
    <cellStyle name="20% - Accent6 2 12" xfId="6888" xr:uid="{00000000-0005-0000-0000-0000B8110000}"/>
    <cellStyle name="20% - Accent6 2 13" xfId="6889" xr:uid="{00000000-0005-0000-0000-0000B9110000}"/>
    <cellStyle name="20% - Accent6 2 2" xfId="747" xr:uid="{00000000-0005-0000-0000-0000BA110000}"/>
    <cellStyle name="20% - Accent6 2 2 10" xfId="6890" xr:uid="{00000000-0005-0000-0000-0000BB110000}"/>
    <cellStyle name="20% - Accent6 2 2 11" xfId="6891" xr:uid="{00000000-0005-0000-0000-0000BC110000}"/>
    <cellStyle name="20% - Accent6 2 2 12" xfId="6892" xr:uid="{00000000-0005-0000-0000-0000BD110000}"/>
    <cellStyle name="20% - Accent6 2 2 13" xfId="6893" xr:uid="{00000000-0005-0000-0000-0000BE110000}"/>
    <cellStyle name="20% - Accent6 2 2 2" xfId="748" xr:uid="{00000000-0005-0000-0000-0000BF110000}"/>
    <cellStyle name="20% - Accent6 2 2 2 10" xfId="6894" xr:uid="{00000000-0005-0000-0000-0000C0110000}"/>
    <cellStyle name="20% - Accent6 2 2 2 2" xfId="749" xr:uid="{00000000-0005-0000-0000-0000C1110000}"/>
    <cellStyle name="20% - Accent6 2 2 2 2 2" xfId="750" xr:uid="{00000000-0005-0000-0000-0000C2110000}"/>
    <cellStyle name="20% - Accent6 2 2 2 2 2 2" xfId="751" xr:uid="{00000000-0005-0000-0000-0000C3110000}"/>
    <cellStyle name="20% - Accent6 2 2 2 2 2 2 2" xfId="53566" xr:uid="{00000000-0005-0000-0000-0000C4110000}"/>
    <cellStyle name="20% - Accent6 2 2 2 2 2 3" xfId="752" xr:uid="{00000000-0005-0000-0000-0000C5110000}"/>
    <cellStyle name="20% - Accent6 2 2 2 2 2 4" xfId="6895" xr:uid="{00000000-0005-0000-0000-0000C6110000}"/>
    <cellStyle name="20% - Accent6 2 2 2 2 2 5" xfId="6896" xr:uid="{00000000-0005-0000-0000-0000C7110000}"/>
    <cellStyle name="20% - Accent6 2 2 2 2 3" xfId="753" xr:uid="{00000000-0005-0000-0000-0000C8110000}"/>
    <cellStyle name="20% - Accent6 2 2 2 2 3 2" xfId="6897" xr:uid="{00000000-0005-0000-0000-0000C9110000}"/>
    <cellStyle name="20% - Accent6 2 2 2 2 3 2 2" xfId="53567" xr:uid="{00000000-0005-0000-0000-0000CA110000}"/>
    <cellStyle name="20% - Accent6 2 2 2 2 3 3" xfId="6898" xr:uid="{00000000-0005-0000-0000-0000CB110000}"/>
    <cellStyle name="20% - Accent6 2 2 2 2 4" xfId="754" xr:uid="{00000000-0005-0000-0000-0000CC110000}"/>
    <cellStyle name="20% - Accent6 2 2 2 2 4 2" xfId="53568" xr:uid="{00000000-0005-0000-0000-0000CD110000}"/>
    <cellStyle name="20% - Accent6 2 2 2 2 5" xfId="6899" xr:uid="{00000000-0005-0000-0000-0000CE110000}"/>
    <cellStyle name="20% - Accent6 2 2 2 2 6" xfId="6900" xr:uid="{00000000-0005-0000-0000-0000CF110000}"/>
    <cellStyle name="20% - Accent6 2 2 2 2 7" xfId="6901" xr:uid="{00000000-0005-0000-0000-0000D0110000}"/>
    <cellStyle name="20% - Accent6 2 2 2 2 8" xfId="6902" xr:uid="{00000000-0005-0000-0000-0000D1110000}"/>
    <cellStyle name="20% - Accent6 2 2 2 3" xfId="755" xr:uid="{00000000-0005-0000-0000-0000D2110000}"/>
    <cellStyle name="20% - Accent6 2 2 2 3 2" xfId="756" xr:uid="{00000000-0005-0000-0000-0000D3110000}"/>
    <cellStyle name="20% - Accent6 2 2 2 3 2 2" xfId="757" xr:uid="{00000000-0005-0000-0000-0000D4110000}"/>
    <cellStyle name="20% - Accent6 2 2 2 3 2 3" xfId="6903" xr:uid="{00000000-0005-0000-0000-0000D5110000}"/>
    <cellStyle name="20% - Accent6 2 2 2 3 3" xfId="758" xr:uid="{00000000-0005-0000-0000-0000D6110000}"/>
    <cellStyle name="20% - Accent6 2 2 2 3 4" xfId="6904" xr:uid="{00000000-0005-0000-0000-0000D7110000}"/>
    <cellStyle name="20% - Accent6 2 2 2 3 5" xfId="6905" xr:uid="{00000000-0005-0000-0000-0000D8110000}"/>
    <cellStyle name="20% - Accent6 2 2 2 4" xfId="759" xr:uid="{00000000-0005-0000-0000-0000D9110000}"/>
    <cellStyle name="20% - Accent6 2 2 2 4 2" xfId="760" xr:uid="{00000000-0005-0000-0000-0000DA110000}"/>
    <cellStyle name="20% - Accent6 2 2 2 4 2 2" xfId="53569" xr:uid="{00000000-0005-0000-0000-0000DB110000}"/>
    <cellStyle name="20% - Accent6 2 2 2 4 3" xfId="6906" xr:uid="{00000000-0005-0000-0000-0000DC110000}"/>
    <cellStyle name="20% - Accent6 2 2 2 4 4" xfId="6907" xr:uid="{00000000-0005-0000-0000-0000DD110000}"/>
    <cellStyle name="20% - Accent6 2 2 2 4 5" xfId="6908" xr:uid="{00000000-0005-0000-0000-0000DE110000}"/>
    <cellStyle name="20% - Accent6 2 2 2 5" xfId="761" xr:uid="{00000000-0005-0000-0000-0000DF110000}"/>
    <cellStyle name="20% - Accent6 2 2 2 5 2" xfId="6909" xr:uid="{00000000-0005-0000-0000-0000E0110000}"/>
    <cellStyle name="20% - Accent6 2 2 2 5 3" xfId="6910" xr:uid="{00000000-0005-0000-0000-0000E1110000}"/>
    <cellStyle name="20% - Accent6 2 2 2 6" xfId="6911" xr:uid="{00000000-0005-0000-0000-0000E2110000}"/>
    <cellStyle name="20% - Accent6 2 2 2 7" xfId="6912" xr:uid="{00000000-0005-0000-0000-0000E3110000}"/>
    <cellStyle name="20% - Accent6 2 2 2 8" xfId="6913" xr:uid="{00000000-0005-0000-0000-0000E4110000}"/>
    <cellStyle name="20% - Accent6 2 2 2 9" xfId="6914" xr:uid="{00000000-0005-0000-0000-0000E5110000}"/>
    <cellStyle name="20% - Accent6 2 2 3" xfId="762" xr:uid="{00000000-0005-0000-0000-0000E6110000}"/>
    <cellStyle name="20% - Accent6 2 2 3 2" xfId="763" xr:uid="{00000000-0005-0000-0000-0000E7110000}"/>
    <cellStyle name="20% - Accent6 2 2 3 2 2" xfId="764" xr:uid="{00000000-0005-0000-0000-0000E8110000}"/>
    <cellStyle name="20% - Accent6 2 2 3 2 2 2" xfId="53570" xr:uid="{00000000-0005-0000-0000-0000E9110000}"/>
    <cellStyle name="20% - Accent6 2 2 3 2 2 2 2" xfId="53571" xr:uid="{00000000-0005-0000-0000-0000EA110000}"/>
    <cellStyle name="20% - Accent6 2 2 3 2 2 3" xfId="53572" xr:uid="{00000000-0005-0000-0000-0000EB110000}"/>
    <cellStyle name="20% - Accent6 2 2 3 2 3" xfId="765" xr:uid="{00000000-0005-0000-0000-0000EC110000}"/>
    <cellStyle name="20% - Accent6 2 2 3 2 3 2" xfId="53573" xr:uid="{00000000-0005-0000-0000-0000ED110000}"/>
    <cellStyle name="20% - Accent6 2 2 3 2 3 2 2" xfId="53574" xr:uid="{00000000-0005-0000-0000-0000EE110000}"/>
    <cellStyle name="20% - Accent6 2 2 3 2 3 3" xfId="53575" xr:uid="{00000000-0005-0000-0000-0000EF110000}"/>
    <cellStyle name="20% - Accent6 2 2 3 2 4" xfId="6915" xr:uid="{00000000-0005-0000-0000-0000F0110000}"/>
    <cellStyle name="20% - Accent6 2 2 3 2 4 2" xfId="53576" xr:uid="{00000000-0005-0000-0000-0000F1110000}"/>
    <cellStyle name="20% - Accent6 2 2 3 2 5" xfId="6916" xr:uid="{00000000-0005-0000-0000-0000F2110000}"/>
    <cellStyle name="20% - Accent6 2 2 3 3" xfId="766" xr:uid="{00000000-0005-0000-0000-0000F3110000}"/>
    <cellStyle name="20% - Accent6 2 2 3 3 2" xfId="6917" xr:uid="{00000000-0005-0000-0000-0000F4110000}"/>
    <cellStyle name="20% - Accent6 2 2 3 3 2 2" xfId="53577" xr:uid="{00000000-0005-0000-0000-0000F5110000}"/>
    <cellStyle name="20% - Accent6 2 2 3 3 3" xfId="6918" xr:uid="{00000000-0005-0000-0000-0000F6110000}"/>
    <cellStyle name="20% - Accent6 2 2 3 4" xfId="767" xr:uid="{00000000-0005-0000-0000-0000F7110000}"/>
    <cellStyle name="20% - Accent6 2 2 3 4 2" xfId="53578" xr:uid="{00000000-0005-0000-0000-0000F8110000}"/>
    <cellStyle name="20% - Accent6 2 2 3 4 2 2" xfId="53579" xr:uid="{00000000-0005-0000-0000-0000F9110000}"/>
    <cellStyle name="20% - Accent6 2 2 3 4 3" xfId="53580" xr:uid="{00000000-0005-0000-0000-0000FA110000}"/>
    <cellStyle name="20% - Accent6 2 2 3 5" xfId="6919" xr:uid="{00000000-0005-0000-0000-0000FB110000}"/>
    <cellStyle name="20% - Accent6 2 2 3 5 2" xfId="53581" xr:uid="{00000000-0005-0000-0000-0000FC110000}"/>
    <cellStyle name="20% - Accent6 2 2 3 6" xfId="6920" xr:uid="{00000000-0005-0000-0000-0000FD110000}"/>
    <cellStyle name="20% - Accent6 2 2 3 7" xfId="6921" xr:uid="{00000000-0005-0000-0000-0000FE110000}"/>
    <cellStyle name="20% - Accent6 2 2 3 8" xfId="6922" xr:uid="{00000000-0005-0000-0000-0000FF110000}"/>
    <cellStyle name="20% - Accent6 2 2 4" xfId="768" xr:uid="{00000000-0005-0000-0000-000000120000}"/>
    <cellStyle name="20% - Accent6 2 2 4 2" xfId="769" xr:uid="{00000000-0005-0000-0000-000001120000}"/>
    <cellStyle name="20% - Accent6 2 2 4 2 2" xfId="770" xr:uid="{00000000-0005-0000-0000-000002120000}"/>
    <cellStyle name="20% - Accent6 2 2 4 2 2 2" xfId="53582" xr:uid="{00000000-0005-0000-0000-000003120000}"/>
    <cellStyle name="20% - Accent6 2 2 4 2 3" xfId="6923" xr:uid="{00000000-0005-0000-0000-000004120000}"/>
    <cellStyle name="20% - Accent6 2 2 4 3" xfId="771" xr:uid="{00000000-0005-0000-0000-000005120000}"/>
    <cellStyle name="20% - Accent6 2 2 4 3 2" xfId="53583" xr:uid="{00000000-0005-0000-0000-000006120000}"/>
    <cellStyle name="20% - Accent6 2 2 4 3 2 2" xfId="53584" xr:uid="{00000000-0005-0000-0000-000007120000}"/>
    <cellStyle name="20% - Accent6 2 2 4 3 3" xfId="53585" xr:uid="{00000000-0005-0000-0000-000008120000}"/>
    <cellStyle name="20% - Accent6 2 2 4 4" xfId="6924" xr:uid="{00000000-0005-0000-0000-000009120000}"/>
    <cellStyle name="20% - Accent6 2 2 4 4 2" xfId="53586" xr:uid="{00000000-0005-0000-0000-00000A120000}"/>
    <cellStyle name="20% - Accent6 2 2 4 5" xfId="6925" xr:uid="{00000000-0005-0000-0000-00000B120000}"/>
    <cellStyle name="20% - Accent6 2 2 5" xfId="772" xr:uid="{00000000-0005-0000-0000-00000C120000}"/>
    <cellStyle name="20% - Accent6 2 2 5 2" xfId="773" xr:uid="{00000000-0005-0000-0000-00000D120000}"/>
    <cellStyle name="20% - Accent6 2 2 5 2 2" xfId="53587" xr:uid="{00000000-0005-0000-0000-00000E120000}"/>
    <cellStyle name="20% - Accent6 2 2 5 3" xfId="6926" xr:uid="{00000000-0005-0000-0000-00000F120000}"/>
    <cellStyle name="20% - Accent6 2 2 5 4" xfId="6927" xr:uid="{00000000-0005-0000-0000-000010120000}"/>
    <cellStyle name="20% - Accent6 2 2 5 5" xfId="6928" xr:uid="{00000000-0005-0000-0000-000011120000}"/>
    <cellStyle name="20% - Accent6 2 2 6" xfId="774" xr:uid="{00000000-0005-0000-0000-000012120000}"/>
    <cellStyle name="20% - Accent6 2 2 6 2" xfId="6929" xr:uid="{00000000-0005-0000-0000-000013120000}"/>
    <cellStyle name="20% - Accent6 2 2 6 2 2" xfId="53588" xr:uid="{00000000-0005-0000-0000-000014120000}"/>
    <cellStyle name="20% - Accent6 2 2 6 3" xfId="6930" xr:uid="{00000000-0005-0000-0000-000015120000}"/>
    <cellStyle name="20% - Accent6 2 2 7" xfId="6931" xr:uid="{00000000-0005-0000-0000-000016120000}"/>
    <cellStyle name="20% - Accent6 2 2 7 2" xfId="53589" xr:uid="{00000000-0005-0000-0000-000017120000}"/>
    <cellStyle name="20% - Accent6 2 2 8" xfId="6932" xr:uid="{00000000-0005-0000-0000-000018120000}"/>
    <cellStyle name="20% - Accent6 2 2 9" xfId="6933" xr:uid="{00000000-0005-0000-0000-000019120000}"/>
    <cellStyle name="20% - Accent6 2 3" xfId="775" xr:uid="{00000000-0005-0000-0000-00001A120000}"/>
    <cellStyle name="20% - Accent6 2 3 10" xfId="6934" xr:uid="{00000000-0005-0000-0000-00001B120000}"/>
    <cellStyle name="20% - Accent6 2 3 2" xfId="776" xr:uid="{00000000-0005-0000-0000-00001C120000}"/>
    <cellStyle name="20% - Accent6 2 3 2 2" xfId="777" xr:uid="{00000000-0005-0000-0000-00001D120000}"/>
    <cellStyle name="20% - Accent6 2 3 2 2 2" xfId="778" xr:uid="{00000000-0005-0000-0000-00001E120000}"/>
    <cellStyle name="20% - Accent6 2 3 2 2 2 2" xfId="53590" xr:uid="{00000000-0005-0000-0000-00001F120000}"/>
    <cellStyle name="20% - Accent6 2 3 2 2 3" xfId="779" xr:uid="{00000000-0005-0000-0000-000020120000}"/>
    <cellStyle name="20% - Accent6 2 3 2 2 4" xfId="6935" xr:uid="{00000000-0005-0000-0000-000021120000}"/>
    <cellStyle name="20% - Accent6 2 3 2 2 5" xfId="6936" xr:uid="{00000000-0005-0000-0000-000022120000}"/>
    <cellStyle name="20% - Accent6 2 3 2 3" xfId="780" xr:uid="{00000000-0005-0000-0000-000023120000}"/>
    <cellStyle name="20% - Accent6 2 3 2 3 2" xfId="6937" xr:uid="{00000000-0005-0000-0000-000024120000}"/>
    <cellStyle name="20% - Accent6 2 3 2 3 2 2" xfId="53591" xr:uid="{00000000-0005-0000-0000-000025120000}"/>
    <cellStyle name="20% - Accent6 2 3 2 3 3" xfId="6938" xr:uid="{00000000-0005-0000-0000-000026120000}"/>
    <cellStyle name="20% - Accent6 2 3 2 4" xfId="781" xr:uid="{00000000-0005-0000-0000-000027120000}"/>
    <cellStyle name="20% - Accent6 2 3 2 4 2" xfId="53592" xr:uid="{00000000-0005-0000-0000-000028120000}"/>
    <cellStyle name="20% - Accent6 2 3 2 5" xfId="6939" xr:uid="{00000000-0005-0000-0000-000029120000}"/>
    <cellStyle name="20% - Accent6 2 3 2 6" xfId="6940" xr:uid="{00000000-0005-0000-0000-00002A120000}"/>
    <cellStyle name="20% - Accent6 2 3 2 7" xfId="6941" xr:uid="{00000000-0005-0000-0000-00002B120000}"/>
    <cellStyle name="20% - Accent6 2 3 2 8" xfId="6942" xr:uid="{00000000-0005-0000-0000-00002C120000}"/>
    <cellStyle name="20% - Accent6 2 3 3" xfId="782" xr:uid="{00000000-0005-0000-0000-00002D120000}"/>
    <cellStyle name="20% - Accent6 2 3 3 2" xfId="783" xr:uid="{00000000-0005-0000-0000-00002E120000}"/>
    <cellStyle name="20% - Accent6 2 3 3 2 2" xfId="784" xr:uid="{00000000-0005-0000-0000-00002F120000}"/>
    <cellStyle name="20% - Accent6 2 3 3 2 3" xfId="6943" xr:uid="{00000000-0005-0000-0000-000030120000}"/>
    <cellStyle name="20% - Accent6 2 3 3 3" xfId="785" xr:uid="{00000000-0005-0000-0000-000031120000}"/>
    <cellStyle name="20% - Accent6 2 3 3 4" xfId="6944" xr:uid="{00000000-0005-0000-0000-000032120000}"/>
    <cellStyle name="20% - Accent6 2 3 3 5" xfId="6945" xr:uid="{00000000-0005-0000-0000-000033120000}"/>
    <cellStyle name="20% - Accent6 2 3 4" xfId="786" xr:uid="{00000000-0005-0000-0000-000034120000}"/>
    <cellStyle name="20% - Accent6 2 3 4 2" xfId="787" xr:uid="{00000000-0005-0000-0000-000035120000}"/>
    <cellStyle name="20% - Accent6 2 3 4 2 2" xfId="53593" xr:uid="{00000000-0005-0000-0000-000036120000}"/>
    <cellStyle name="20% - Accent6 2 3 4 3" xfId="6946" xr:uid="{00000000-0005-0000-0000-000037120000}"/>
    <cellStyle name="20% - Accent6 2 3 4 4" xfId="6947" xr:uid="{00000000-0005-0000-0000-000038120000}"/>
    <cellStyle name="20% - Accent6 2 3 4 5" xfId="6948" xr:uid="{00000000-0005-0000-0000-000039120000}"/>
    <cellStyle name="20% - Accent6 2 3 5" xfId="788" xr:uid="{00000000-0005-0000-0000-00003A120000}"/>
    <cellStyle name="20% - Accent6 2 3 5 2" xfId="6949" xr:uid="{00000000-0005-0000-0000-00003B120000}"/>
    <cellStyle name="20% - Accent6 2 3 5 3" xfId="6950" xr:uid="{00000000-0005-0000-0000-00003C120000}"/>
    <cellStyle name="20% - Accent6 2 3 6" xfId="6951" xr:uid="{00000000-0005-0000-0000-00003D120000}"/>
    <cellStyle name="20% - Accent6 2 3 7" xfId="6952" xr:uid="{00000000-0005-0000-0000-00003E120000}"/>
    <cellStyle name="20% - Accent6 2 3 8" xfId="6953" xr:uid="{00000000-0005-0000-0000-00003F120000}"/>
    <cellStyle name="20% - Accent6 2 3 9" xfId="6954" xr:uid="{00000000-0005-0000-0000-000040120000}"/>
    <cellStyle name="20% - Accent6 2 4" xfId="789" xr:uid="{00000000-0005-0000-0000-000041120000}"/>
    <cellStyle name="20% - Accent6 2 4 2" xfId="790" xr:uid="{00000000-0005-0000-0000-000042120000}"/>
    <cellStyle name="20% - Accent6 2 4 2 2" xfId="791" xr:uid="{00000000-0005-0000-0000-000043120000}"/>
    <cellStyle name="20% - Accent6 2 4 2 2 2" xfId="53594" xr:uid="{00000000-0005-0000-0000-000044120000}"/>
    <cellStyle name="20% - Accent6 2 4 2 2 2 2" xfId="53595" xr:uid="{00000000-0005-0000-0000-000045120000}"/>
    <cellStyle name="20% - Accent6 2 4 2 2 3" xfId="53596" xr:uid="{00000000-0005-0000-0000-000046120000}"/>
    <cellStyle name="20% - Accent6 2 4 2 3" xfId="792" xr:uid="{00000000-0005-0000-0000-000047120000}"/>
    <cellStyle name="20% - Accent6 2 4 2 3 2" xfId="53597" xr:uid="{00000000-0005-0000-0000-000048120000}"/>
    <cellStyle name="20% - Accent6 2 4 2 3 2 2" xfId="53598" xr:uid="{00000000-0005-0000-0000-000049120000}"/>
    <cellStyle name="20% - Accent6 2 4 2 3 3" xfId="53599" xr:uid="{00000000-0005-0000-0000-00004A120000}"/>
    <cellStyle name="20% - Accent6 2 4 2 4" xfId="6955" xr:uid="{00000000-0005-0000-0000-00004B120000}"/>
    <cellStyle name="20% - Accent6 2 4 2 4 2" xfId="53600" xr:uid="{00000000-0005-0000-0000-00004C120000}"/>
    <cellStyle name="20% - Accent6 2 4 2 5" xfId="6956" xr:uid="{00000000-0005-0000-0000-00004D120000}"/>
    <cellStyle name="20% - Accent6 2 4 3" xfId="793" xr:uid="{00000000-0005-0000-0000-00004E120000}"/>
    <cellStyle name="20% - Accent6 2 4 3 2" xfId="6957" xr:uid="{00000000-0005-0000-0000-00004F120000}"/>
    <cellStyle name="20% - Accent6 2 4 3 2 2" xfId="53601" xr:uid="{00000000-0005-0000-0000-000050120000}"/>
    <cellStyle name="20% - Accent6 2 4 3 3" xfId="6958" xr:uid="{00000000-0005-0000-0000-000051120000}"/>
    <cellStyle name="20% - Accent6 2 4 4" xfId="794" xr:uid="{00000000-0005-0000-0000-000052120000}"/>
    <cellStyle name="20% - Accent6 2 4 4 2" xfId="53602" xr:uid="{00000000-0005-0000-0000-000053120000}"/>
    <cellStyle name="20% - Accent6 2 4 4 2 2" xfId="53603" xr:uid="{00000000-0005-0000-0000-000054120000}"/>
    <cellStyle name="20% - Accent6 2 4 4 3" xfId="53604" xr:uid="{00000000-0005-0000-0000-000055120000}"/>
    <cellStyle name="20% - Accent6 2 4 5" xfId="6959" xr:uid="{00000000-0005-0000-0000-000056120000}"/>
    <cellStyle name="20% - Accent6 2 4 5 2" xfId="53605" xr:uid="{00000000-0005-0000-0000-000057120000}"/>
    <cellStyle name="20% - Accent6 2 4 6" xfId="6960" xr:uid="{00000000-0005-0000-0000-000058120000}"/>
    <cellStyle name="20% - Accent6 2 4 7" xfId="6961" xr:uid="{00000000-0005-0000-0000-000059120000}"/>
    <cellStyle name="20% - Accent6 2 4 8" xfId="6962" xr:uid="{00000000-0005-0000-0000-00005A120000}"/>
    <cellStyle name="20% - Accent6 2 5" xfId="795" xr:uid="{00000000-0005-0000-0000-00005B120000}"/>
    <cellStyle name="20% - Accent6 2 5 2" xfId="796" xr:uid="{00000000-0005-0000-0000-00005C120000}"/>
    <cellStyle name="20% - Accent6 2 5 2 2" xfId="797" xr:uid="{00000000-0005-0000-0000-00005D120000}"/>
    <cellStyle name="20% - Accent6 2 5 2 2 2" xfId="53606" xr:uid="{00000000-0005-0000-0000-00005E120000}"/>
    <cellStyle name="20% - Accent6 2 5 2 3" xfId="6963" xr:uid="{00000000-0005-0000-0000-00005F120000}"/>
    <cellStyle name="20% - Accent6 2 5 3" xfId="798" xr:uid="{00000000-0005-0000-0000-000060120000}"/>
    <cellStyle name="20% - Accent6 2 5 3 2" xfId="53607" xr:uid="{00000000-0005-0000-0000-000061120000}"/>
    <cellStyle name="20% - Accent6 2 5 3 2 2" xfId="53608" xr:uid="{00000000-0005-0000-0000-000062120000}"/>
    <cellStyle name="20% - Accent6 2 5 3 3" xfId="53609" xr:uid="{00000000-0005-0000-0000-000063120000}"/>
    <cellStyle name="20% - Accent6 2 5 4" xfId="6964" xr:uid="{00000000-0005-0000-0000-000064120000}"/>
    <cellStyle name="20% - Accent6 2 5 4 2" xfId="53610" xr:uid="{00000000-0005-0000-0000-000065120000}"/>
    <cellStyle name="20% - Accent6 2 5 5" xfId="6965" xr:uid="{00000000-0005-0000-0000-000066120000}"/>
    <cellStyle name="20% - Accent6 2 6" xfId="799" xr:uid="{00000000-0005-0000-0000-000067120000}"/>
    <cellStyle name="20% - Accent6 2 6 2" xfId="800" xr:uid="{00000000-0005-0000-0000-000068120000}"/>
    <cellStyle name="20% - Accent6 2 6 2 2" xfId="53611" xr:uid="{00000000-0005-0000-0000-000069120000}"/>
    <cellStyle name="20% - Accent6 2 6 3" xfId="6966" xr:uid="{00000000-0005-0000-0000-00006A120000}"/>
    <cellStyle name="20% - Accent6 2 6 4" xfId="6967" xr:uid="{00000000-0005-0000-0000-00006B120000}"/>
    <cellStyle name="20% - Accent6 2 6 5" xfId="6968" xr:uid="{00000000-0005-0000-0000-00006C120000}"/>
    <cellStyle name="20% - Accent6 2 7" xfId="801" xr:uid="{00000000-0005-0000-0000-00006D120000}"/>
    <cellStyle name="20% - Accent6 2 7 2" xfId="6969" xr:uid="{00000000-0005-0000-0000-00006E120000}"/>
    <cellStyle name="20% - Accent6 2 7 2 2" xfId="53612" xr:uid="{00000000-0005-0000-0000-00006F120000}"/>
    <cellStyle name="20% - Accent6 2 7 3" xfId="6970" xr:uid="{00000000-0005-0000-0000-000070120000}"/>
    <cellStyle name="20% - Accent6 2 8" xfId="6971" xr:uid="{00000000-0005-0000-0000-000071120000}"/>
    <cellStyle name="20% - Accent6 2 8 2" xfId="53613" xr:uid="{00000000-0005-0000-0000-000072120000}"/>
    <cellStyle name="20% - Accent6 2 9" xfId="6972" xr:uid="{00000000-0005-0000-0000-000073120000}"/>
    <cellStyle name="20% - Accent6 20" xfId="802" xr:uid="{00000000-0005-0000-0000-000074120000}"/>
    <cellStyle name="20% - Accent6 20 2" xfId="803" xr:uid="{00000000-0005-0000-0000-000075120000}"/>
    <cellStyle name="20% - Accent6 21" xfId="804" xr:uid="{00000000-0005-0000-0000-000076120000}"/>
    <cellStyle name="20% - Accent6 21 2" xfId="805" xr:uid="{00000000-0005-0000-0000-000077120000}"/>
    <cellStyle name="20% - Accent6 22" xfId="806" xr:uid="{00000000-0005-0000-0000-000078120000}"/>
    <cellStyle name="20% - Accent6 22 2" xfId="807" xr:uid="{00000000-0005-0000-0000-000079120000}"/>
    <cellStyle name="20% - Accent6 23" xfId="808" xr:uid="{00000000-0005-0000-0000-00007A120000}"/>
    <cellStyle name="20% - Accent6 23 2" xfId="809" xr:uid="{00000000-0005-0000-0000-00007B120000}"/>
    <cellStyle name="20% - Accent6 24" xfId="810" xr:uid="{00000000-0005-0000-0000-00007C120000}"/>
    <cellStyle name="20% - Accent6 24 2" xfId="811" xr:uid="{00000000-0005-0000-0000-00007D120000}"/>
    <cellStyle name="20% - Accent6 25" xfId="812" xr:uid="{00000000-0005-0000-0000-00007E120000}"/>
    <cellStyle name="20% - Accent6 25 2" xfId="813" xr:uid="{00000000-0005-0000-0000-00007F120000}"/>
    <cellStyle name="20% - Accent6 26" xfId="814" xr:uid="{00000000-0005-0000-0000-000080120000}"/>
    <cellStyle name="20% - Accent6 26 2" xfId="815" xr:uid="{00000000-0005-0000-0000-000081120000}"/>
    <cellStyle name="20% - Accent6 27" xfId="816" xr:uid="{00000000-0005-0000-0000-000082120000}"/>
    <cellStyle name="20% - Accent6 27 2" xfId="817" xr:uid="{00000000-0005-0000-0000-000083120000}"/>
    <cellStyle name="20% - Accent6 28" xfId="818" xr:uid="{00000000-0005-0000-0000-000084120000}"/>
    <cellStyle name="20% - Accent6 28 2" xfId="819" xr:uid="{00000000-0005-0000-0000-000085120000}"/>
    <cellStyle name="20% - Accent6 29" xfId="820" xr:uid="{00000000-0005-0000-0000-000086120000}"/>
    <cellStyle name="20% - Accent6 29 2" xfId="821" xr:uid="{00000000-0005-0000-0000-000087120000}"/>
    <cellStyle name="20% - Accent6 3" xfId="822" xr:uid="{00000000-0005-0000-0000-000088120000}"/>
    <cellStyle name="20% - Accent6 3 10" xfId="6973" xr:uid="{00000000-0005-0000-0000-000089120000}"/>
    <cellStyle name="20% - Accent6 3 11" xfId="6974" xr:uid="{00000000-0005-0000-0000-00008A120000}"/>
    <cellStyle name="20% - Accent6 3 12" xfId="6975" xr:uid="{00000000-0005-0000-0000-00008B120000}"/>
    <cellStyle name="20% - Accent6 3 13" xfId="6976" xr:uid="{00000000-0005-0000-0000-00008C120000}"/>
    <cellStyle name="20% - Accent6 3 2" xfId="823" xr:uid="{00000000-0005-0000-0000-00008D120000}"/>
    <cellStyle name="20% - Accent6 3 2 10" xfId="6977" xr:uid="{00000000-0005-0000-0000-00008E120000}"/>
    <cellStyle name="20% - Accent6 3 2 11" xfId="6978" xr:uid="{00000000-0005-0000-0000-00008F120000}"/>
    <cellStyle name="20% - Accent6 3 2 2" xfId="824" xr:uid="{00000000-0005-0000-0000-000090120000}"/>
    <cellStyle name="20% - Accent6 3 2 2 10" xfId="6979" xr:uid="{00000000-0005-0000-0000-000091120000}"/>
    <cellStyle name="20% - Accent6 3 2 2 2" xfId="6980" xr:uid="{00000000-0005-0000-0000-000092120000}"/>
    <cellStyle name="20% - Accent6 3 2 2 2 2" xfId="6981" xr:uid="{00000000-0005-0000-0000-000093120000}"/>
    <cellStyle name="20% - Accent6 3 2 2 2 2 2" xfId="6982" xr:uid="{00000000-0005-0000-0000-000094120000}"/>
    <cellStyle name="20% - Accent6 3 2 2 2 2 3" xfId="6983" xr:uid="{00000000-0005-0000-0000-000095120000}"/>
    <cellStyle name="20% - Accent6 3 2 2 2 3" xfId="6984" xr:uid="{00000000-0005-0000-0000-000096120000}"/>
    <cellStyle name="20% - Accent6 3 2 2 2 3 2" xfId="6985" xr:uid="{00000000-0005-0000-0000-000097120000}"/>
    <cellStyle name="20% - Accent6 3 2 2 2 3 3" xfId="6986" xr:uid="{00000000-0005-0000-0000-000098120000}"/>
    <cellStyle name="20% - Accent6 3 2 2 2 4" xfId="6987" xr:uid="{00000000-0005-0000-0000-000099120000}"/>
    <cellStyle name="20% - Accent6 3 2 2 2 5" xfId="6988" xr:uid="{00000000-0005-0000-0000-00009A120000}"/>
    <cellStyle name="20% - Accent6 3 2 2 2 6" xfId="6989" xr:uid="{00000000-0005-0000-0000-00009B120000}"/>
    <cellStyle name="20% - Accent6 3 2 2 3" xfId="6990" xr:uid="{00000000-0005-0000-0000-00009C120000}"/>
    <cellStyle name="20% - Accent6 3 2 2 3 2" xfId="6991" xr:uid="{00000000-0005-0000-0000-00009D120000}"/>
    <cellStyle name="20% - Accent6 3 2 2 3 2 2" xfId="53614" xr:uid="{00000000-0005-0000-0000-00009E120000}"/>
    <cellStyle name="20% - Accent6 3 2 2 3 3" xfId="6992" xr:uid="{00000000-0005-0000-0000-00009F120000}"/>
    <cellStyle name="20% - Accent6 3 2 2 4" xfId="6993" xr:uid="{00000000-0005-0000-0000-0000A0120000}"/>
    <cellStyle name="20% - Accent6 3 2 2 4 2" xfId="6994" xr:uid="{00000000-0005-0000-0000-0000A1120000}"/>
    <cellStyle name="20% - Accent6 3 2 2 4 3" xfId="6995" xr:uid="{00000000-0005-0000-0000-0000A2120000}"/>
    <cellStyle name="20% - Accent6 3 2 2 5" xfId="6996" xr:uid="{00000000-0005-0000-0000-0000A3120000}"/>
    <cellStyle name="20% - Accent6 3 2 2 6" xfId="6997" xr:uid="{00000000-0005-0000-0000-0000A4120000}"/>
    <cellStyle name="20% - Accent6 3 2 2 7" xfId="6998" xr:uid="{00000000-0005-0000-0000-0000A5120000}"/>
    <cellStyle name="20% - Accent6 3 2 2 8" xfId="6999" xr:uid="{00000000-0005-0000-0000-0000A6120000}"/>
    <cellStyle name="20% - Accent6 3 2 2 9" xfId="7000" xr:uid="{00000000-0005-0000-0000-0000A7120000}"/>
    <cellStyle name="20% - Accent6 3 2 3" xfId="7001" xr:uid="{00000000-0005-0000-0000-0000A8120000}"/>
    <cellStyle name="20% - Accent6 3 2 3 2" xfId="7002" xr:uid="{00000000-0005-0000-0000-0000A9120000}"/>
    <cellStyle name="20% - Accent6 3 2 3 2 2" xfId="7003" xr:uid="{00000000-0005-0000-0000-0000AA120000}"/>
    <cellStyle name="20% - Accent6 3 2 3 2 3" xfId="7004" xr:uid="{00000000-0005-0000-0000-0000AB120000}"/>
    <cellStyle name="20% - Accent6 3 2 3 3" xfId="7005" xr:uid="{00000000-0005-0000-0000-0000AC120000}"/>
    <cellStyle name="20% - Accent6 3 2 3 3 2" xfId="7006" xr:uid="{00000000-0005-0000-0000-0000AD120000}"/>
    <cellStyle name="20% - Accent6 3 2 3 3 3" xfId="7007" xr:uid="{00000000-0005-0000-0000-0000AE120000}"/>
    <cellStyle name="20% - Accent6 3 2 3 4" xfId="7008" xr:uid="{00000000-0005-0000-0000-0000AF120000}"/>
    <cellStyle name="20% - Accent6 3 2 3 5" xfId="7009" xr:uid="{00000000-0005-0000-0000-0000B0120000}"/>
    <cellStyle name="20% - Accent6 3 2 3 6" xfId="7010" xr:uid="{00000000-0005-0000-0000-0000B1120000}"/>
    <cellStyle name="20% - Accent6 3 2 4" xfId="7011" xr:uid="{00000000-0005-0000-0000-0000B2120000}"/>
    <cellStyle name="20% - Accent6 3 2 4 2" xfId="7012" xr:uid="{00000000-0005-0000-0000-0000B3120000}"/>
    <cellStyle name="20% - Accent6 3 2 4 2 2" xfId="53615" xr:uid="{00000000-0005-0000-0000-0000B4120000}"/>
    <cellStyle name="20% - Accent6 3 2 4 3" xfId="7013" xr:uid="{00000000-0005-0000-0000-0000B5120000}"/>
    <cellStyle name="20% - Accent6 3 2 5" xfId="7014" xr:uid="{00000000-0005-0000-0000-0000B6120000}"/>
    <cellStyle name="20% - Accent6 3 2 5 2" xfId="7015" xr:uid="{00000000-0005-0000-0000-0000B7120000}"/>
    <cellStyle name="20% - Accent6 3 2 5 3" xfId="7016" xr:uid="{00000000-0005-0000-0000-0000B8120000}"/>
    <cellStyle name="20% - Accent6 3 2 6" xfId="7017" xr:uid="{00000000-0005-0000-0000-0000B9120000}"/>
    <cellStyle name="20% - Accent6 3 2 7" xfId="7018" xr:uid="{00000000-0005-0000-0000-0000BA120000}"/>
    <cellStyle name="20% - Accent6 3 2 8" xfId="7019" xr:uid="{00000000-0005-0000-0000-0000BB120000}"/>
    <cellStyle name="20% - Accent6 3 2 9" xfId="7020" xr:uid="{00000000-0005-0000-0000-0000BC120000}"/>
    <cellStyle name="20% - Accent6 3 3" xfId="825" xr:uid="{00000000-0005-0000-0000-0000BD120000}"/>
    <cellStyle name="20% - Accent6 3 3 10" xfId="7021" xr:uid="{00000000-0005-0000-0000-0000BE120000}"/>
    <cellStyle name="20% - Accent6 3 3 2" xfId="7022" xr:uid="{00000000-0005-0000-0000-0000BF120000}"/>
    <cellStyle name="20% - Accent6 3 3 2 2" xfId="7023" xr:uid="{00000000-0005-0000-0000-0000C0120000}"/>
    <cellStyle name="20% - Accent6 3 3 2 2 2" xfId="7024" xr:uid="{00000000-0005-0000-0000-0000C1120000}"/>
    <cellStyle name="20% - Accent6 3 3 2 2 2 2" xfId="53616" xr:uid="{00000000-0005-0000-0000-0000C2120000}"/>
    <cellStyle name="20% - Accent6 3 3 2 2 3" xfId="7025" xr:uid="{00000000-0005-0000-0000-0000C3120000}"/>
    <cellStyle name="20% - Accent6 3 3 2 3" xfId="7026" xr:uid="{00000000-0005-0000-0000-0000C4120000}"/>
    <cellStyle name="20% - Accent6 3 3 2 3 2" xfId="7027" xr:uid="{00000000-0005-0000-0000-0000C5120000}"/>
    <cellStyle name="20% - Accent6 3 3 2 3 2 2" xfId="53617" xr:uid="{00000000-0005-0000-0000-0000C6120000}"/>
    <cellStyle name="20% - Accent6 3 3 2 3 3" xfId="7028" xr:uid="{00000000-0005-0000-0000-0000C7120000}"/>
    <cellStyle name="20% - Accent6 3 3 2 4" xfId="7029" xr:uid="{00000000-0005-0000-0000-0000C8120000}"/>
    <cellStyle name="20% - Accent6 3 3 2 4 2" xfId="53618" xr:uid="{00000000-0005-0000-0000-0000C9120000}"/>
    <cellStyle name="20% - Accent6 3 3 2 5" xfId="7030" xr:uid="{00000000-0005-0000-0000-0000CA120000}"/>
    <cellStyle name="20% - Accent6 3 3 2 6" xfId="7031" xr:uid="{00000000-0005-0000-0000-0000CB120000}"/>
    <cellStyle name="20% - Accent6 3 3 3" xfId="7032" xr:uid="{00000000-0005-0000-0000-0000CC120000}"/>
    <cellStyle name="20% - Accent6 3 3 3 2" xfId="7033" xr:uid="{00000000-0005-0000-0000-0000CD120000}"/>
    <cellStyle name="20% - Accent6 3 3 3 2 2" xfId="53619" xr:uid="{00000000-0005-0000-0000-0000CE120000}"/>
    <cellStyle name="20% - Accent6 3 3 3 3" xfId="7034" xr:uid="{00000000-0005-0000-0000-0000CF120000}"/>
    <cellStyle name="20% - Accent6 3 3 4" xfId="7035" xr:uid="{00000000-0005-0000-0000-0000D0120000}"/>
    <cellStyle name="20% - Accent6 3 3 4 2" xfId="7036" xr:uid="{00000000-0005-0000-0000-0000D1120000}"/>
    <cellStyle name="20% - Accent6 3 3 4 2 2" xfId="53620" xr:uid="{00000000-0005-0000-0000-0000D2120000}"/>
    <cellStyle name="20% - Accent6 3 3 4 3" xfId="7037" xr:uid="{00000000-0005-0000-0000-0000D3120000}"/>
    <cellStyle name="20% - Accent6 3 3 5" xfId="7038" xr:uid="{00000000-0005-0000-0000-0000D4120000}"/>
    <cellStyle name="20% - Accent6 3 3 5 2" xfId="53621" xr:uid="{00000000-0005-0000-0000-0000D5120000}"/>
    <cellStyle name="20% - Accent6 3 3 6" xfId="7039" xr:uid="{00000000-0005-0000-0000-0000D6120000}"/>
    <cellStyle name="20% - Accent6 3 3 7" xfId="7040" xr:uid="{00000000-0005-0000-0000-0000D7120000}"/>
    <cellStyle name="20% - Accent6 3 3 8" xfId="7041" xr:uid="{00000000-0005-0000-0000-0000D8120000}"/>
    <cellStyle name="20% - Accent6 3 3 9" xfId="7042" xr:uid="{00000000-0005-0000-0000-0000D9120000}"/>
    <cellStyle name="20% - Accent6 3 4" xfId="7043" xr:uid="{00000000-0005-0000-0000-0000DA120000}"/>
    <cellStyle name="20% - Accent6 3 4 2" xfId="7044" xr:uid="{00000000-0005-0000-0000-0000DB120000}"/>
    <cellStyle name="20% - Accent6 3 4 2 2" xfId="7045" xr:uid="{00000000-0005-0000-0000-0000DC120000}"/>
    <cellStyle name="20% - Accent6 3 4 2 2 2" xfId="53622" xr:uid="{00000000-0005-0000-0000-0000DD120000}"/>
    <cellStyle name="20% - Accent6 3 4 2 3" xfId="7046" xr:uid="{00000000-0005-0000-0000-0000DE120000}"/>
    <cellStyle name="20% - Accent6 3 4 3" xfId="7047" xr:uid="{00000000-0005-0000-0000-0000DF120000}"/>
    <cellStyle name="20% - Accent6 3 4 3 2" xfId="7048" xr:uid="{00000000-0005-0000-0000-0000E0120000}"/>
    <cellStyle name="20% - Accent6 3 4 3 2 2" xfId="53623" xr:uid="{00000000-0005-0000-0000-0000E1120000}"/>
    <cellStyle name="20% - Accent6 3 4 3 3" xfId="7049" xr:uid="{00000000-0005-0000-0000-0000E2120000}"/>
    <cellStyle name="20% - Accent6 3 4 4" xfId="7050" xr:uid="{00000000-0005-0000-0000-0000E3120000}"/>
    <cellStyle name="20% - Accent6 3 4 4 2" xfId="53624" xr:uid="{00000000-0005-0000-0000-0000E4120000}"/>
    <cellStyle name="20% - Accent6 3 4 5" xfId="7051" xr:uid="{00000000-0005-0000-0000-0000E5120000}"/>
    <cellStyle name="20% - Accent6 3 4 6" xfId="7052" xr:uid="{00000000-0005-0000-0000-0000E6120000}"/>
    <cellStyle name="20% - Accent6 3 5" xfId="7053" xr:uid="{00000000-0005-0000-0000-0000E7120000}"/>
    <cellStyle name="20% - Accent6 3 5 2" xfId="7054" xr:uid="{00000000-0005-0000-0000-0000E8120000}"/>
    <cellStyle name="20% - Accent6 3 5 2 2" xfId="53625" xr:uid="{00000000-0005-0000-0000-0000E9120000}"/>
    <cellStyle name="20% - Accent6 3 5 3" xfId="7055" xr:uid="{00000000-0005-0000-0000-0000EA120000}"/>
    <cellStyle name="20% - Accent6 3 6" xfId="7056" xr:uid="{00000000-0005-0000-0000-0000EB120000}"/>
    <cellStyle name="20% - Accent6 3 6 2" xfId="7057" xr:uid="{00000000-0005-0000-0000-0000EC120000}"/>
    <cellStyle name="20% - Accent6 3 6 2 2" xfId="53626" xr:uid="{00000000-0005-0000-0000-0000ED120000}"/>
    <cellStyle name="20% - Accent6 3 6 3" xfId="7058" xr:uid="{00000000-0005-0000-0000-0000EE120000}"/>
    <cellStyle name="20% - Accent6 3 7" xfId="7059" xr:uid="{00000000-0005-0000-0000-0000EF120000}"/>
    <cellStyle name="20% - Accent6 3 7 2" xfId="53627" xr:uid="{00000000-0005-0000-0000-0000F0120000}"/>
    <cellStyle name="20% - Accent6 3 8" xfId="7060" xr:uid="{00000000-0005-0000-0000-0000F1120000}"/>
    <cellStyle name="20% - Accent6 3 9" xfId="7061" xr:uid="{00000000-0005-0000-0000-0000F2120000}"/>
    <cellStyle name="20% - Accent6 30" xfId="826" xr:uid="{00000000-0005-0000-0000-0000F3120000}"/>
    <cellStyle name="20% - Accent6 30 2" xfId="827" xr:uid="{00000000-0005-0000-0000-0000F4120000}"/>
    <cellStyle name="20% - Accent6 31" xfId="828" xr:uid="{00000000-0005-0000-0000-0000F5120000}"/>
    <cellStyle name="20% - Accent6 31 2" xfId="829" xr:uid="{00000000-0005-0000-0000-0000F6120000}"/>
    <cellStyle name="20% - Accent6 32" xfId="830" xr:uid="{00000000-0005-0000-0000-0000F7120000}"/>
    <cellStyle name="20% - Accent6 32 2" xfId="831" xr:uid="{00000000-0005-0000-0000-0000F8120000}"/>
    <cellStyle name="20% - Accent6 33" xfId="832" xr:uid="{00000000-0005-0000-0000-0000F9120000}"/>
    <cellStyle name="20% - Accent6 33 2" xfId="833" xr:uid="{00000000-0005-0000-0000-0000FA120000}"/>
    <cellStyle name="20% - Accent6 34" xfId="834" xr:uid="{00000000-0005-0000-0000-0000FB120000}"/>
    <cellStyle name="20% - Accent6 34 2" xfId="835" xr:uid="{00000000-0005-0000-0000-0000FC120000}"/>
    <cellStyle name="20% - Accent6 35" xfId="836" xr:uid="{00000000-0005-0000-0000-0000FD120000}"/>
    <cellStyle name="20% - Accent6 35 2" xfId="837" xr:uid="{00000000-0005-0000-0000-0000FE120000}"/>
    <cellStyle name="20% - Accent6 36" xfId="838" xr:uid="{00000000-0005-0000-0000-0000FF120000}"/>
    <cellStyle name="20% - Accent6 36 2" xfId="839" xr:uid="{00000000-0005-0000-0000-000000130000}"/>
    <cellStyle name="20% - Accent6 37" xfId="840" xr:uid="{00000000-0005-0000-0000-000001130000}"/>
    <cellStyle name="20% - Accent6 37 2" xfId="841" xr:uid="{00000000-0005-0000-0000-000002130000}"/>
    <cellStyle name="20% - Accent6 38" xfId="842" xr:uid="{00000000-0005-0000-0000-000003130000}"/>
    <cellStyle name="20% - Accent6 39" xfId="843" xr:uid="{00000000-0005-0000-0000-000004130000}"/>
    <cellStyle name="20% - Accent6 4" xfId="844" xr:uid="{00000000-0005-0000-0000-000005130000}"/>
    <cellStyle name="20% - Accent6 4 10" xfId="7062" xr:uid="{00000000-0005-0000-0000-000006130000}"/>
    <cellStyle name="20% - Accent6 4 11" xfId="7063" xr:uid="{00000000-0005-0000-0000-000007130000}"/>
    <cellStyle name="20% - Accent6 4 12" xfId="7064" xr:uid="{00000000-0005-0000-0000-000008130000}"/>
    <cellStyle name="20% - Accent6 4 13" xfId="7065" xr:uid="{00000000-0005-0000-0000-000009130000}"/>
    <cellStyle name="20% - Accent6 4 14" xfId="7066" xr:uid="{00000000-0005-0000-0000-00000A130000}"/>
    <cellStyle name="20% - Accent6 4 2" xfId="845" xr:uid="{00000000-0005-0000-0000-00000B130000}"/>
    <cellStyle name="20% - Accent6 4 2 10" xfId="7067" xr:uid="{00000000-0005-0000-0000-00000C130000}"/>
    <cellStyle name="20% - Accent6 4 2 11" xfId="7068" xr:uid="{00000000-0005-0000-0000-00000D130000}"/>
    <cellStyle name="20% - Accent6 4 2 2" xfId="846" xr:uid="{00000000-0005-0000-0000-00000E130000}"/>
    <cellStyle name="20% - Accent6 4 2 2 2" xfId="7069" xr:uid="{00000000-0005-0000-0000-00000F130000}"/>
    <cellStyle name="20% - Accent6 4 2 2 2 2" xfId="7070" xr:uid="{00000000-0005-0000-0000-000010130000}"/>
    <cellStyle name="20% - Accent6 4 2 2 2 2 2" xfId="7071" xr:uid="{00000000-0005-0000-0000-000011130000}"/>
    <cellStyle name="20% - Accent6 4 2 2 2 2 3" xfId="7072" xr:uid="{00000000-0005-0000-0000-000012130000}"/>
    <cellStyle name="20% - Accent6 4 2 2 2 3" xfId="7073" xr:uid="{00000000-0005-0000-0000-000013130000}"/>
    <cellStyle name="20% - Accent6 4 2 2 2 3 2" xfId="7074" xr:uid="{00000000-0005-0000-0000-000014130000}"/>
    <cellStyle name="20% - Accent6 4 2 2 2 3 3" xfId="7075" xr:uid="{00000000-0005-0000-0000-000015130000}"/>
    <cellStyle name="20% - Accent6 4 2 2 2 4" xfId="7076" xr:uid="{00000000-0005-0000-0000-000016130000}"/>
    <cellStyle name="20% - Accent6 4 2 2 2 5" xfId="7077" xr:uid="{00000000-0005-0000-0000-000017130000}"/>
    <cellStyle name="20% - Accent6 4 2 2 2 6" xfId="7078" xr:uid="{00000000-0005-0000-0000-000018130000}"/>
    <cellStyle name="20% - Accent6 4 2 2 3" xfId="7079" xr:uid="{00000000-0005-0000-0000-000019130000}"/>
    <cellStyle name="20% - Accent6 4 2 2 3 2" xfId="7080" xr:uid="{00000000-0005-0000-0000-00001A130000}"/>
    <cellStyle name="20% - Accent6 4 2 2 3 3" xfId="7081" xr:uid="{00000000-0005-0000-0000-00001B130000}"/>
    <cellStyle name="20% - Accent6 4 2 2 4" xfId="7082" xr:uid="{00000000-0005-0000-0000-00001C130000}"/>
    <cellStyle name="20% - Accent6 4 2 2 4 2" xfId="7083" xr:uid="{00000000-0005-0000-0000-00001D130000}"/>
    <cellStyle name="20% - Accent6 4 2 2 4 3" xfId="7084" xr:uid="{00000000-0005-0000-0000-00001E130000}"/>
    <cellStyle name="20% - Accent6 4 2 2 5" xfId="7085" xr:uid="{00000000-0005-0000-0000-00001F130000}"/>
    <cellStyle name="20% - Accent6 4 2 2 6" xfId="7086" xr:uid="{00000000-0005-0000-0000-000020130000}"/>
    <cellStyle name="20% - Accent6 4 2 2 7" xfId="7087" xr:uid="{00000000-0005-0000-0000-000021130000}"/>
    <cellStyle name="20% - Accent6 4 2 2 8" xfId="7088" xr:uid="{00000000-0005-0000-0000-000022130000}"/>
    <cellStyle name="20% - Accent6 4 2 3" xfId="847" xr:uid="{00000000-0005-0000-0000-000023130000}"/>
    <cellStyle name="20% - Accent6 4 2 3 2" xfId="7089" xr:uid="{00000000-0005-0000-0000-000024130000}"/>
    <cellStyle name="20% - Accent6 4 2 3 2 2" xfId="7090" xr:uid="{00000000-0005-0000-0000-000025130000}"/>
    <cellStyle name="20% - Accent6 4 2 3 2 3" xfId="7091" xr:uid="{00000000-0005-0000-0000-000026130000}"/>
    <cellStyle name="20% - Accent6 4 2 3 3" xfId="7092" xr:uid="{00000000-0005-0000-0000-000027130000}"/>
    <cellStyle name="20% - Accent6 4 2 3 3 2" xfId="7093" xr:uid="{00000000-0005-0000-0000-000028130000}"/>
    <cellStyle name="20% - Accent6 4 2 3 3 3" xfId="7094" xr:uid="{00000000-0005-0000-0000-000029130000}"/>
    <cellStyle name="20% - Accent6 4 2 3 4" xfId="7095" xr:uid="{00000000-0005-0000-0000-00002A130000}"/>
    <cellStyle name="20% - Accent6 4 2 3 5" xfId="7096" xr:uid="{00000000-0005-0000-0000-00002B130000}"/>
    <cellStyle name="20% - Accent6 4 2 3 6" xfId="7097" xr:uid="{00000000-0005-0000-0000-00002C130000}"/>
    <cellStyle name="20% - Accent6 4 2 4" xfId="7098" xr:uid="{00000000-0005-0000-0000-00002D130000}"/>
    <cellStyle name="20% - Accent6 4 2 4 2" xfId="7099" xr:uid="{00000000-0005-0000-0000-00002E130000}"/>
    <cellStyle name="20% - Accent6 4 2 4 3" xfId="7100" xr:uid="{00000000-0005-0000-0000-00002F130000}"/>
    <cellStyle name="20% - Accent6 4 2 5" xfId="7101" xr:uid="{00000000-0005-0000-0000-000030130000}"/>
    <cellStyle name="20% - Accent6 4 2 5 2" xfId="7102" xr:uid="{00000000-0005-0000-0000-000031130000}"/>
    <cellStyle name="20% - Accent6 4 2 5 3" xfId="7103" xr:uid="{00000000-0005-0000-0000-000032130000}"/>
    <cellStyle name="20% - Accent6 4 2 6" xfId="7104" xr:uid="{00000000-0005-0000-0000-000033130000}"/>
    <cellStyle name="20% - Accent6 4 2 7" xfId="7105" xr:uid="{00000000-0005-0000-0000-000034130000}"/>
    <cellStyle name="20% - Accent6 4 2 8" xfId="7106" xr:uid="{00000000-0005-0000-0000-000035130000}"/>
    <cellStyle name="20% - Accent6 4 2 9" xfId="7107" xr:uid="{00000000-0005-0000-0000-000036130000}"/>
    <cellStyle name="20% - Accent6 4 3" xfId="848" xr:uid="{00000000-0005-0000-0000-000037130000}"/>
    <cellStyle name="20% - Accent6 4 3 10" xfId="7108" xr:uid="{00000000-0005-0000-0000-000038130000}"/>
    <cellStyle name="20% - Accent6 4 3 2" xfId="7109" xr:uid="{00000000-0005-0000-0000-000039130000}"/>
    <cellStyle name="20% - Accent6 4 3 2 2" xfId="7110" xr:uid="{00000000-0005-0000-0000-00003A130000}"/>
    <cellStyle name="20% - Accent6 4 3 2 2 2" xfId="7111" xr:uid="{00000000-0005-0000-0000-00003B130000}"/>
    <cellStyle name="20% - Accent6 4 3 2 2 3" xfId="7112" xr:uid="{00000000-0005-0000-0000-00003C130000}"/>
    <cellStyle name="20% - Accent6 4 3 2 3" xfId="7113" xr:uid="{00000000-0005-0000-0000-00003D130000}"/>
    <cellStyle name="20% - Accent6 4 3 2 3 2" xfId="7114" xr:uid="{00000000-0005-0000-0000-00003E130000}"/>
    <cellStyle name="20% - Accent6 4 3 2 3 3" xfId="7115" xr:uid="{00000000-0005-0000-0000-00003F130000}"/>
    <cellStyle name="20% - Accent6 4 3 2 4" xfId="7116" xr:uid="{00000000-0005-0000-0000-000040130000}"/>
    <cellStyle name="20% - Accent6 4 3 2 5" xfId="7117" xr:uid="{00000000-0005-0000-0000-000041130000}"/>
    <cellStyle name="20% - Accent6 4 3 2 6" xfId="7118" xr:uid="{00000000-0005-0000-0000-000042130000}"/>
    <cellStyle name="20% - Accent6 4 3 3" xfId="7119" xr:uid="{00000000-0005-0000-0000-000043130000}"/>
    <cellStyle name="20% - Accent6 4 3 3 2" xfId="7120" xr:uid="{00000000-0005-0000-0000-000044130000}"/>
    <cellStyle name="20% - Accent6 4 3 3 3" xfId="7121" xr:uid="{00000000-0005-0000-0000-000045130000}"/>
    <cellStyle name="20% - Accent6 4 3 4" xfId="7122" xr:uid="{00000000-0005-0000-0000-000046130000}"/>
    <cellStyle name="20% - Accent6 4 3 4 2" xfId="7123" xr:uid="{00000000-0005-0000-0000-000047130000}"/>
    <cellStyle name="20% - Accent6 4 3 4 3" xfId="7124" xr:uid="{00000000-0005-0000-0000-000048130000}"/>
    <cellStyle name="20% - Accent6 4 3 5" xfId="7125" xr:uid="{00000000-0005-0000-0000-000049130000}"/>
    <cellStyle name="20% - Accent6 4 3 6" xfId="7126" xr:uid="{00000000-0005-0000-0000-00004A130000}"/>
    <cellStyle name="20% - Accent6 4 3 7" xfId="7127" xr:uid="{00000000-0005-0000-0000-00004B130000}"/>
    <cellStyle name="20% - Accent6 4 3 8" xfId="7128" xr:uid="{00000000-0005-0000-0000-00004C130000}"/>
    <cellStyle name="20% - Accent6 4 3 9" xfId="7129" xr:uid="{00000000-0005-0000-0000-00004D130000}"/>
    <cellStyle name="20% - Accent6 4 4" xfId="849" xr:uid="{00000000-0005-0000-0000-00004E130000}"/>
    <cellStyle name="20% - Accent6 4 4 2" xfId="7130" xr:uid="{00000000-0005-0000-0000-00004F130000}"/>
    <cellStyle name="20% - Accent6 4 4 2 2" xfId="7131" xr:uid="{00000000-0005-0000-0000-000050130000}"/>
    <cellStyle name="20% - Accent6 4 4 2 3" xfId="7132" xr:uid="{00000000-0005-0000-0000-000051130000}"/>
    <cellStyle name="20% - Accent6 4 4 3" xfId="7133" xr:uid="{00000000-0005-0000-0000-000052130000}"/>
    <cellStyle name="20% - Accent6 4 4 3 2" xfId="7134" xr:uid="{00000000-0005-0000-0000-000053130000}"/>
    <cellStyle name="20% - Accent6 4 4 3 3" xfId="7135" xr:uid="{00000000-0005-0000-0000-000054130000}"/>
    <cellStyle name="20% - Accent6 4 4 4" xfId="7136" xr:uid="{00000000-0005-0000-0000-000055130000}"/>
    <cellStyle name="20% - Accent6 4 4 5" xfId="7137" xr:uid="{00000000-0005-0000-0000-000056130000}"/>
    <cellStyle name="20% - Accent6 4 4 6" xfId="7138" xr:uid="{00000000-0005-0000-0000-000057130000}"/>
    <cellStyle name="20% - Accent6 4 5" xfId="7139" xr:uid="{00000000-0005-0000-0000-000058130000}"/>
    <cellStyle name="20% - Accent6 4 5 2" xfId="7140" xr:uid="{00000000-0005-0000-0000-000059130000}"/>
    <cellStyle name="20% - Accent6 4 5 3" xfId="7141" xr:uid="{00000000-0005-0000-0000-00005A130000}"/>
    <cellStyle name="20% - Accent6 4 6" xfId="7142" xr:uid="{00000000-0005-0000-0000-00005B130000}"/>
    <cellStyle name="20% - Accent6 4 6 2" xfId="7143" xr:uid="{00000000-0005-0000-0000-00005C130000}"/>
    <cellStyle name="20% - Accent6 4 6 3" xfId="7144" xr:uid="{00000000-0005-0000-0000-00005D130000}"/>
    <cellStyle name="20% - Accent6 4 7" xfId="7145" xr:uid="{00000000-0005-0000-0000-00005E130000}"/>
    <cellStyle name="20% - Accent6 4 8" xfId="7146" xr:uid="{00000000-0005-0000-0000-00005F130000}"/>
    <cellStyle name="20% - Accent6 4 9" xfId="7147" xr:uid="{00000000-0005-0000-0000-000060130000}"/>
    <cellStyle name="20% - Accent6 40" xfId="850" xr:uid="{00000000-0005-0000-0000-000061130000}"/>
    <cellStyle name="20% - Accent6 41" xfId="851" xr:uid="{00000000-0005-0000-0000-000062130000}"/>
    <cellStyle name="20% - Accent6 42" xfId="852" xr:uid="{00000000-0005-0000-0000-000063130000}"/>
    <cellStyle name="20% - Accent6 43" xfId="7148" xr:uid="{00000000-0005-0000-0000-000064130000}"/>
    <cellStyle name="20% - Accent6 44" xfId="7149" xr:uid="{00000000-0005-0000-0000-000065130000}"/>
    <cellStyle name="20% - Accent6 45" xfId="7150" xr:uid="{00000000-0005-0000-0000-000066130000}"/>
    <cellStyle name="20% - Accent6 46" xfId="7151" xr:uid="{00000000-0005-0000-0000-000067130000}"/>
    <cellStyle name="20% - Accent6 47" xfId="7152" xr:uid="{00000000-0005-0000-0000-000068130000}"/>
    <cellStyle name="20% - Accent6 48" xfId="7153" xr:uid="{00000000-0005-0000-0000-000069130000}"/>
    <cellStyle name="20% - Accent6 5" xfId="853" xr:uid="{00000000-0005-0000-0000-00006A130000}"/>
    <cellStyle name="20% - Accent6 5 2" xfId="854" xr:uid="{00000000-0005-0000-0000-00006B130000}"/>
    <cellStyle name="20% - Accent6 5 2 2" xfId="855" xr:uid="{00000000-0005-0000-0000-00006C130000}"/>
    <cellStyle name="20% - Accent6 5 2 2 2" xfId="53628" xr:uid="{00000000-0005-0000-0000-00006D130000}"/>
    <cellStyle name="20% - Accent6 5 2 2 2 2" xfId="53629" xr:uid="{00000000-0005-0000-0000-00006E130000}"/>
    <cellStyle name="20% - Accent6 5 2 2 3" xfId="53630" xr:uid="{00000000-0005-0000-0000-00006F130000}"/>
    <cellStyle name="20% - Accent6 5 2 3" xfId="856" xr:uid="{00000000-0005-0000-0000-000070130000}"/>
    <cellStyle name="20% - Accent6 5 2 3 2" xfId="53631" xr:uid="{00000000-0005-0000-0000-000071130000}"/>
    <cellStyle name="20% - Accent6 5 2 3 2 2" xfId="53632" xr:uid="{00000000-0005-0000-0000-000072130000}"/>
    <cellStyle name="20% - Accent6 5 2 3 3" xfId="53633" xr:uid="{00000000-0005-0000-0000-000073130000}"/>
    <cellStyle name="20% - Accent6 5 2 4" xfId="53634" xr:uid="{00000000-0005-0000-0000-000074130000}"/>
    <cellStyle name="20% - Accent6 5 2 4 2" xfId="53635" xr:uid="{00000000-0005-0000-0000-000075130000}"/>
    <cellStyle name="20% - Accent6 5 2 5" xfId="53636" xr:uid="{00000000-0005-0000-0000-000076130000}"/>
    <cellStyle name="20% - Accent6 5 3" xfId="857" xr:uid="{00000000-0005-0000-0000-000077130000}"/>
    <cellStyle name="20% - Accent6 5 3 2" xfId="53637" xr:uid="{00000000-0005-0000-0000-000078130000}"/>
    <cellStyle name="20% - Accent6 5 3 2 2" xfId="53638" xr:uid="{00000000-0005-0000-0000-000079130000}"/>
    <cellStyle name="20% - Accent6 5 3 3" xfId="53639" xr:uid="{00000000-0005-0000-0000-00007A130000}"/>
    <cellStyle name="20% - Accent6 5 4" xfId="858" xr:uid="{00000000-0005-0000-0000-00007B130000}"/>
    <cellStyle name="20% - Accent6 5 4 2" xfId="53640" xr:uid="{00000000-0005-0000-0000-00007C130000}"/>
    <cellStyle name="20% - Accent6 5 4 2 2" xfId="53641" xr:uid="{00000000-0005-0000-0000-00007D130000}"/>
    <cellStyle name="20% - Accent6 5 4 3" xfId="53642" xr:uid="{00000000-0005-0000-0000-00007E130000}"/>
    <cellStyle name="20% - Accent6 5 5" xfId="7154" xr:uid="{00000000-0005-0000-0000-00007F130000}"/>
    <cellStyle name="20% - Accent6 5 5 2" xfId="53643" xr:uid="{00000000-0005-0000-0000-000080130000}"/>
    <cellStyle name="20% - Accent6 5 6" xfId="7155" xr:uid="{00000000-0005-0000-0000-000081130000}"/>
    <cellStyle name="20% - Accent6 6" xfId="859" xr:uid="{00000000-0005-0000-0000-000082130000}"/>
    <cellStyle name="20% - Accent6 6 10" xfId="7156" xr:uid="{00000000-0005-0000-0000-000083130000}"/>
    <cellStyle name="20% - Accent6 6 11" xfId="7157" xr:uid="{00000000-0005-0000-0000-000084130000}"/>
    <cellStyle name="20% - Accent6 6 12" xfId="7158" xr:uid="{00000000-0005-0000-0000-000085130000}"/>
    <cellStyle name="20% - Accent6 6 2" xfId="860" xr:uid="{00000000-0005-0000-0000-000086130000}"/>
    <cellStyle name="20% - Accent6 6 2 2" xfId="7159" xr:uid="{00000000-0005-0000-0000-000087130000}"/>
    <cellStyle name="20% - Accent6 6 2 2 2" xfId="7160" xr:uid="{00000000-0005-0000-0000-000088130000}"/>
    <cellStyle name="20% - Accent6 6 2 2 2 2" xfId="7161" xr:uid="{00000000-0005-0000-0000-000089130000}"/>
    <cellStyle name="20% - Accent6 6 2 2 2 3" xfId="7162" xr:uid="{00000000-0005-0000-0000-00008A130000}"/>
    <cellStyle name="20% - Accent6 6 2 2 3" xfId="7163" xr:uid="{00000000-0005-0000-0000-00008B130000}"/>
    <cellStyle name="20% - Accent6 6 2 2 3 2" xfId="7164" xr:uid="{00000000-0005-0000-0000-00008C130000}"/>
    <cellStyle name="20% - Accent6 6 2 2 3 3" xfId="7165" xr:uid="{00000000-0005-0000-0000-00008D130000}"/>
    <cellStyle name="20% - Accent6 6 2 2 4" xfId="7166" xr:uid="{00000000-0005-0000-0000-00008E130000}"/>
    <cellStyle name="20% - Accent6 6 2 2 5" xfId="7167" xr:uid="{00000000-0005-0000-0000-00008F130000}"/>
    <cellStyle name="20% - Accent6 6 2 2 6" xfId="7168" xr:uid="{00000000-0005-0000-0000-000090130000}"/>
    <cellStyle name="20% - Accent6 6 2 3" xfId="7169" xr:uid="{00000000-0005-0000-0000-000091130000}"/>
    <cellStyle name="20% - Accent6 6 2 3 2" xfId="7170" xr:uid="{00000000-0005-0000-0000-000092130000}"/>
    <cellStyle name="20% - Accent6 6 2 3 3" xfId="7171" xr:uid="{00000000-0005-0000-0000-000093130000}"/>
    <cellStyle name="20% - Accent6 6 2 4" xfId="7172" xr:uid="{00000000-0005-0000-0000-000094130000}"/>
    <cellStyle name="20% - Accent6 6 2 4 2" xfId="7173" xr:uid="{00000000-0005-0000-0000-000095130000}"/>
    <cellStyle name="20% - Accent6 6 2 4 3" xfId="7174" xr:uid="{00000000-0005-0000-0000-000096130000}"/>
    <cellStyle name="20% - Accent6 6 2 5" xfId="7175" xr:uid="{00000000-0005-0000-0000-000097130000}"/>
    <cellStyle name="20% - Accent6 6 2 6" xfId="7176" xr:uid="{00000000-0005-0000-0000-000098130000}"/>
    <cellStyle name="20% - Accent6 6 2 7" xfId="7177" xr:uid="{00000000-0005-0000-0000-000099130000}"/>
    <cellStyle name="20% - Accent6 6 2 8" xfId="7178" xr:uid="{00000000-0005-0000-0000-00009A130000}"/>
    <cellStyle name="20% - Accent6 6 3" xfId="861" xr:uid="{00000000-0005-0000-0000-00009B130000}"/>
    <cellStyle name="20% - Accent6 6 3 2" xfId="7179" xr:uid="{00000000-0005-0000-0000-00009C130000}"/>
    <cellStyle name="20% - Accent6 6 3 2 2" xfId="7180" xr:uid="{00000000-0005-0000-0000-00009D130000}"/>
    <cellStyle name="20% - Accent6 6 3 2 2 2" xfId="7181" xr:uid="{00000000-0005-0000-0000-00009E130000}"/>
    <cellStyle name="20% - Accent6 6 3 2 3" xfId="7182" xr:uid="{00000000-0005-0000-0000-00009F130000}"/>
    <cellStyle name="20% - Accent6 6 3 3" xfId="7183" xr:uid="{00000000-0005-0000-0000-0000A0130000}"/>
    <cellStyle name="20% - Accent6 6 3 3 2" xfId="7184" xr:uid="{00000000-0005-0000-0000-0000A1130000}"/>
    <cellStyle name="20% - Accent6 6 3 3 3" xfId="7185" xr:uid="{00000000-0005-0000-0000-0000A2130000}"/>
    <cellStyle name="20% - Accent6 6 3 4" xfId="7186" xr:uid="{00000000-0005-0000-0000-0000A3130000}"/>
    <cellStyle name="20% - Accent6 6 3 5" xfId="7187" xr:uid="{00000000-0005-0000-0000-0000A4130000}"/>
    <cellStyle name="20% - Accent6 6 3 6" xfId="7188" xr:uid="{00000000-0005-0000-0000-0000A5130000}"/>
    <cellStyle name="20% - Accent6 6 4" xfId="7189" xr:uid="{00000000-0005-0000-0000-0000A6130000}"/>
    <cellStyle name="20% - Accent6 6 4 2" xfId="7190" xr:uid="{00000000-0005-0000-0000-0000A7130000}"/>
    <cellStyle name="20% - Accent6 6 4 3" xfId="7191" xr:uid="{00000000-0005-0000-0000-0000A8130000}"/>
    <cellStyle name="20% - Accent6 6 5" xfId="7192" xr:uid="{00000000-0005-0000-0000-0000A9130000}"/>
    <cellStyle name="20% - Accent6 6 5 2" xfId="7193" xr:uid="{00000000-0005-0000-0000-0000AA130000}"/>
    <cellStyle name="20% - Accent6 6 5 3" xfId="7194" xr:uid="{00000000-0005-0000-0000-0000AB130000}"/>
    <cellStyle name="20% - Accent6 6 6" xfId="7195" xr:uid="{00000000-0005-0000-0000-0000AC130000}"/>
    <cellStyle name="20% - Accent6 6 7" xfId="7196" xr:uid="{00000000-0005-0000-0000-0000AD130000}"/>
    <cellStyle name="20% - Accent6 6 8" xfId="7197" xr:uid="{00000000-0005-0000-0000-0000AE130000}"/>
    <cellStyle name="20% - Accent6 6 9" xfId="7198" xr:uid="{00000000-0005-0000-0000-0000AF130000}"/>
    <cellStyle name="20% - Accent6 7" xfId="862" xr:uid="{00000000-0005-0000-0000-0000B0130000}"/>
    <cellStyle name="20% - Accent6 7 10" xfId="7199" xr:uid="{00000000-0005-0000-0000-0000B1130000}"/>
    <cellStyle name="20% - Accent6 7 11" xfId="7200" xr:uid="{00000000-0005-0000-0000-0000B2130000}"/>
    <cellStyle name="20% - Accent6 7 2" xfId="863" xr:uid="{00000000-0005-0000-0000-0000B3130000}"/>
    <cellStyle name="20% - Accent6 7 2 2" xfId="7201" xr:uid="{00000000-0005-0000-0000-0000B4130000}"/>
    <cellStyle name="20% - Accent6 7 2 2 2" xfId="7202" xr:uid="{00000000-0005-0000-0000-0000B5130000}"/>
    <cellStyle name="20% - Accent6 7 2 2 2 2" xfId="7203" xr:uid="{00000000-0005-0000-0000-0000B6130000}"/>
    <cellStyle name="20% - Accent6 7 2 2 2 3" xfId="7204" xr:uid="{00000000-0005-0000-0000-0000B7130000}"/>
    <cellStyle name="20% - Accent6 7 2 2 3" xfId="7205" xr:uid="{00000000-0005-0000-0000-0000B8130000}"/>
    <cellStyle name="20% - Accent6 7 2 2 3 2" xfId="7206" xr:uid="{00000000-0005-0000-0000-0000B9130000}"/>
    <cellStyle name="20% - Accent6 7 2 2 3 3" xfId="7207" xr:uid="{00000000-0005-0000-0000-0000BA130000}"/>
    <cellStyle name="20% - Accent6 7 2 2 4" xfId="7208" xr:uid="{00000000-0005-0000-0000-0000BB130000}"/>
    <cellStyle name="20% - Accent6 7 2 2 5" xfId="7209" xr:uid="{00000000-0005-0000-0000-0000BC130000}"/>
    <cellStyle name="20% - Accent6 7 2 2 6" xfId="7210" xr:uid="{00000000-0005-0000-0000-0000BD130000}"/>
    <cellStyle name="20% - Accent6 7 2 3" xfId="7211" xr:uid="{00000000-0005-0000-0000-0000BE130000}"/>
    <cellStyle name="20% - Accent6 7 2 3 2" xfId="7212" xr:uid="{00000000-0005-0000-0000-0000BF130000}"/>
    <cellStyle name="20% - Accent6 7 2 3 3" xfId="7213" xr:uid="{00000000-0005-0000-0000-0000C0130000}"/>
    <cellStyle name="20% - Accent6 7 2 4" xfId="7214" xr:uid="{00000000-0005-0000-0000-0000C1130000}"/>
    <cellStyle name="20% - Accent6 7 2 4 2" xfId="7215" xr:uid="{00000000-0005-0000-0000-0000C2130000}"/>
    <cellStyle name="20% - Accent6 7 2 4 3" xfId="7216" xr:uid="{00000000-0005-0000-0000-0000C3130000}"/>
    <cellStyle name="20% - Accent6 7 2 5" xfId="7217" xr:uid="{00000000-0005-0000-0000-0000C4130000}"/>
    <cellStyle name="20% - Accent6 7 2 6" xfId="7218" xr:uid="{00000000-0005-0000-0000-0000C5130000}"/>
    <cellStyle name="20% - Accent6 7 2 7" xfId="7219" xr:uid="{00000000-0005-0000-0000-0000C6130000}"/>
    <cellStyle name="20% - Accent6 7 2 8" xfId="7220" xr:uid="{00000000-0005-0000-0000-0000C7130000}"/>
    <cellStyle name="20% - Accent6 7 3" xfId="864" xr:uid="{00000000-0005-0000-0000-0000C8130000}"/>
    <cellStyle name="20% - Accent6 7 3 2" xfId="7221" xr:uid="{00000000-0005-0000-0000-0000C9130000}"/>
    <cellStyle name="20% - Accent6 7 3 2 2" xfId="7222" xr:uid="{00000000-0005-0000-0000-0000CA130000}"/>
    <cellStyle name="20% - Accent6 7 3 2 2 2" xfId="7223" xr:uid="{00000000-0005-0000-0000-0000CB130000}"/>
    <cellStyle name="20% - Accent6 7 3 2 3" xfId="7224" xr:uid="{00000000-0005-0000-0000-0000CC130000}"/>
    <cellStyle name="20% - Accent6 7 3 3" xfId="7225" xr:uid="{00000000-0005-0000-0000-0000CD130000}"/>
    <cellStyle name="20% - Accent6 7 3 3 2" xfId="7226" xr:uid="{00000000-0005-0000-0000-0000CE130000}"/>
    <cellStyle name="20% - Accent6 7 3 3 3" xfId="7227" xr:uid="{00000000-0005-0000-0000-0000CF130000}"/>
    <cellStyle name="20% - Accent6 7 3 4" xfId="7228" xr:uid="{00000000-0005-0000-0000-0000D0130000}"/>
    <cellStyle name="20% - Accent6 7 3 5" xfId="7229" xr:uid="{00000000-0005-0000-0000-0000D1130000}"/>
    <cellStyle name="20% - Accent6 7 3 6" xfId="7230" xr:uid="{00000000-0005-0000-0000-0000D2130000}"/>
    <cellStyle name="20% - Accent6 7 4" xfId="7231" xr:uid="{00000000-0005-0000-0000-0000D3130000}"/>
    <cellStyle name="20% - Accent6 7 4 2" xfId="7232" xr:uid="{00000000-0005-0000-0000-0000D4130000}"/>
    <cellStyle name="20% - Accent6 7 4 3" xfId="7233" xr:uid="{00000000-0005-0000-0000-0000D5130000}"/>
    <cellStyle name="20% - Accent6 7 5" xfId="7234" xr:uid="{00000000-0005-0000-0000-0000D6130000}"/>
    <cellStyle name="20% - Accent6 7 5 2" xfId="7235" xr:uid="{00000000-0005-0000-0000-0000D7130000}"/>
    <cellStyle name="20% - Accent6 7 5 3" xfId="7236" xr:uid="{00000000-0005-0000-0000-0000D8130000}"/>
    <cellStyle name="20% - Accent6 7 6" xfId="7237" xr:uid="{00000000-0005-0000-0000-0000D9130000}"/>
    <cellStyle name="20% - Accent6 7 7" xfId="7238" xr:uid="{00000000-0005-0000-0000-0000DA130000}"/>
    <cellStyle name="20% - Accent6 7 8" xfId="7239" xr:uid="{00000000-0005-0000-0000-0000DB130000}"/>
    <cellStyle name="20% - Accent6 7 9" xfId="7240" xr:uid="{00000000-0005-0000-0000-0000DC130000}"/>
    <cellStyle name="20% - Accent6 8" xfId="865" xr:uid="{00000000-0005-0000-0000-0000DD130000}"/>
    <cellStyle name="20% - Accent6 8 10" xfId="7241" xr:uid="{00000000-0005-0000-0000-0000DE130000}"/>
    <cellStyle name="20% - Accent6 8 11" xfId="7242" xr:uid="{00000000-0005-0000-0000-0000DF130000}"/>
    <cellStyle name="20% - Accent6 8 2" xfId="866" xr:uid="{00000000-0005-0000-0000-0000E0130000}"/>
    <cellStyle name="20% - Accent6 8 2 2" xfId="7243" xr:uid="{00000000-0005-0000-0000-0000E1130000}"/>
    <cellStyle name="20% - Accent6 8 2 2 2" xfId="7244" xr:uid="{00000000-0005-0000-0000-0000E2130000}"/>
    <cellStyle name="20% - Accent6 8 2 2 2 2" xfId="7245" xr:uid="{00000000-0005-0000-0000-0000E3130000}"/>
    <cellStyle name="20% - Accent6 8 2 2 2 3" xfId="7246" xr:uid="{00000000-0005-0000-0000-0000E4130000}"/>
    <cellStyle name="20% - Accent6 8 2 2 3" xfId="7247" xr:uid="{00000000-0005-0000-0000-0000E5130000}"/>
    <cellStyle name="20% - Accent6 8 2 2 3 2" xfId="7248" xr:uid="{00000000-0005-0000-0000-0000E6130000}"/>
    <cellStyle name="20% - Accent6 8 2 2 3 3" xfId="7249" xr:uid="{00000000-0005-0000-0000-0000E7130000}"/>
    <cellStyle name="20% - Accent6 8 2 2 4" xfId="7250" xr:uid="{00000000-0005-0000-0000-0000E8130000}"/>
    <cellStyle name="20% - Accent6 8 2 2 5" xfId="7251" xr:uid="{00000000-0005-0000-0000-0000E9130000}"/>
    <cellStyle name="20% - Accent6 8 2 2 6" xfId="7252" xr:uid="{00000000-0005-0000-0000-0000EA130000}"/>
    <cellStyle name="20% - Accent6 8 2 3" xfId="7253" xr:uid="{00000000-0005-0000-0000-0000EB130000}"/>
    <cellStyle name="20% - Accent6 8 2 3 2" xfId="7254" xr:uid="{00000000-0005-0000-0000-0000EC130000}"/>
    <cellStyle name="20% - Accent6 8 2 3 3" xfId="7255" xr:uid="{00000000-0005-0000-0000-0000ED130000}"/>
    <cellStyle name="20% - Accent6 8 2 4" xfId="7256" xr:uid="{00000000-0005-0000-0000-0000EE130000}"/>
    <cellStyle name="20% - Accent6 8 2 4 2" xfId="7257" xr:uid="{00000000-0005-0000-0000-0000EF130000}"/>
    <cellStyle name="20% - Accent6 8 2 4 3" xfId="7258" xr:uid="{00000000-0005-0000-0000-0000F0130000}"/>
    <cellStyle name="20% - Accent6 8 2 5" xfId="7259" xr:uid="{00000000-0005-0000-0000-0000F1130000}"/>
    <cellStyle name="20% - Accent6 8 2 6" xfId="7260" xr:uid="{00000000-0005-0000-0000-0000F2130000}"/>
    <cellStyle name="20% - Accent6 8 2 7" xfId="7261" xr:uid="{00000000-0005-0000-0000-0000F3130000}"/>
    <cellStyle name="20% - Accent6 8 2 8" xfId="7262" xr:uid="{00000000-0005-0000-0000-0000F4130000}"/>
    <cellStyle name="20% - Accent6 8 3" xfId="7263" xr:uid="{00000000-0005-0000-0000-0000F5130000}"/>
    <cellStyle name="20% - Accent6 8 3 2" xfId="7264" xr:uid="{00000000-0005-0000-0000-0000F6130000}"/>
    <cellStyle name="20% - Accent6 8 3 2 2" xfId="7265" xr:uid="{00000000-0005-0000-0000-0000F7130000}"/>
    <cellStyle name="20% - Accent6 8 3 2 2 2" xfId="7266" xr:uid="{00000000-0005-0000-0000-0000F8130000}"/>
    <cellStyle name="20% - Accent6 8 3 2 3" xfId="7267" xr:uid="{00000000-0005-0000-0000-0000F9130000}"/>
    <cellStyle name="20% - Accent6 8 3 3" xfId="7268" xr:uid="{00000000-0005-0000-0000-0000FA130000}"/>
    <cellStyle name="20% - Accent6 8 3 3 2" xfId="7269" xr:uid="{00000000-0005-0000-0000-0000FB130000}"/>
    <cellStyle name="20% - Accent6 8 3 3 3" xfId="7270" xr:uid="{00000000-0005-0000-0000-0000FC130000}"/>
    <cellStyle name="20% - Accent6 8 3 4" xfId="7271" xr:uid="{00000000-0005-0000-0000-0000FD130000}"/>
    <cellStyle name="20% - Accent6 8 3 5" xfId="7272" xr:uid="{00000000-0005-0000-0000-0000FE130000}"/>
    <cellStyle name="20% - Accent6 8 3 6" xfId="7273" xr:uid="{00000000-0005-0000-0000-0000FF130000}"/>
    <cellStyle name="20% - Accent6 8 4" xfId="7274" xr:uid="{00000000-0005-0000-0000-000000140000}"/>
    <cellStyle name="20% - Accent6 8 4 2" xfId="7275" xr:uid="{00000000-0005-0000-0000-000001140000}"/>
    <cellStyle name="20% - Accent6 8 4 3" xfId="7276" xr:uid="{00000000-0005-0000-0000-000002140000}"/>
    <cellStyle name="20% - Accent6 8 5" xfId="7277" xr:uid="{00000000-0005-0000-0000-000003140000}"/>
    <cellStyle name="20% - Accent6 8 5 2" xfId="7278" xr:uid="{00000000-0005-0000-0000-000004140000}"/>
    <cellStyle name="20% - Accent6 8 5 3" xfId="7279" xr:uid="{00000000-0005-0000-0000-000005140000}"/>
    <cellStyle name="20% - Accent6 8 6" xfId="7280" xr:uid="{00000000-0005-0000-0000-000006140000}"/>
    <cellStyle name="20% - Accent6 8 7" xfId="7281" xr:uid="{00000000-0005-0000-0000-000007140000}"/>
    <cellStyle name="20% - Accent6 8 8" xfId="7282" xr:uid="{00000000-0005-0000-0000-000008140000}"/>
    <cellStyle name="20% - Accent6 8 9" xfId="7283" xr:uid="{00000000-0005-0000-0000-000009140000}"/>
    <cellStyle name="20% - Accent6 9" xfId="867" xr:uid="{00000000-0005-0000-0000-00000A140000}"/>
    <cellStyle name="20% - Accent6 9 10" xfId="7284" xr:uid="{00000000-0005-0000-0000-00000B140000}"/>
    <cellStyle name="20% - Accent6 9 11" xfId="7285" xr:uid="{00000000-0005-0000-0000-00000C140000}"/>
    <cellStyle name="20% - Accent6 9 2" xfId="868" xr:uid="{00000000-0005-0000-0000-00000D140000}"/>
    <cellStyle name="20% - Accent6 9 2 2" xfId="7286" xr:uid="{00000000-0005-0000-0000-00000E140000}"/>
    <cellStyle name="20% - Accent6 9 2 2 2" xfId="7287" xr:uid="{00000000-0005-0000-0000-00000F140000}"/>
    <cellStyle name="20% - Accent6 9 2 2 2 2" xfId="7288" xr:uid="{00000000-0005-0000-0000-000010140000}"/>
    <cellStyle name="20% - Accent6 9 2 2 2 3" xfId="7289" xr:uid="{00000000-0005-0000-0000-000011140000}"/>
    <cellStyle name="20% - Accent6 9 2 2 3" xfId="7290" xr:uid="{00000000-0005-0000-0000-000012140000}"/>
    <cellStyle name="20% - Accent6 9 2 2 3 2" xfId="7291" xr:uid="{00000000-0005-0000-0000-000013140000}"/>
    <cellStyle name="20% - Accent6 9 2 2 3 3" xfId="7292" xr:uid="{00000000-0005-0000-0000-000014140000}"/>
    <cellStyle name="20% - Accent6 9 2 2 4" xfId="7293" xr:uid="{00000000-0005-0000-0000-000015140000}"/>
    <cellStyle name="20% - Accent6 9 2 2 5" xfId="7294" xr:uid="{00000000-0005-0000-0000-000016140000}"/>
    <cellStyle name="20% - Accent6 9 2 2 6" xfId="7295" xr:uid="{00000000-0005-0000-0000-000017140000}"/>
    <cellStyle name="20% - Accent6 9 2 3" xfId="7296" xr:uid="{00000000-0005-0000-0000-000018140000}"/>
    <cellStyle name="20% - Accent6 9 2 3 2" xfId="7297" xr:uid="{00000000-0005-0000-0000-000019140000}"/>
    <cellStyle name="20% - Accent6 9 2 3 3" xfId="7298" xr:uid="{00000000-0005-0000-0000-00001A140000}"/>
    <cellStyle name="20% - Accent6 9 2 4" xfId="7299" xr:uid="{00000000-0005-0000-0000-00001B140000}"/>
    <cellStyle name="20% - Accent6 9 2 4 2" xfId="7300" xr:uid="{00000000-0005-0000-0000-00001C140000}"/>
    <cellStyle name="20% - Accent6 9 2 4 3" xfId="7301" xr:uid="{00000000-0005-0000-0000-00001D140000}"/>
    <cellStyle name="20% - Accent6 9 2 5" xfId="7302" xr:uid="{00000000-0005-0000-0000-00001E140000}"/>
    <cellStyle name="20% - Accent6 9 2 6" xfId="7303" xr:uid="{00000000-0005-0000-0000-00001F140000}"/>
    <cellStyle name="20% - Accent6 9 2 7" xfId="7304" xr:uid="{00000000-0005-0000-0000-000020140000}"/>
    <cellStyle name="20% - Accent6 9 2 8" xfId="7305" xr:uid="{00000000-0005-0000-0000-000021140000}"/>
    <cellStyle name="20% - Accent6 9 3" xfId="7306" xr:uid="{00000000-0005-0000-0000-000022140000}"/>
    <cellStyle name="20% - Accent6 9 3 2" xfId="7307" xr:uid="{00000000-0005-0000-0000-000023140000}"/>
    <cellStyle name="20% - Accent6 9 3 2 2" xfId="7308" xr:uid="{00000000-0005-0000-0000-000024140000}"/>
    <cellStyle name="20% - Accent6 9 3 2 2 2" xfId="7309" xr:uid="{00000000-0005-0000-0000-000025140000}"/>
    <cellStyle name="20% - Accent6 9 3 2 3" xfId="7310" xr:uid="{00000000-0005-0000-0000-000026140000}"/>
    <cellStyle name="20% - Accent6 9 3 3" xfId="7311" xr:uid="{00000000-0005-0000-0000-000027140000}"/>
    <cellStyle name="20% - Accent6 9 3 3 2" xfId="7312" xr:uid="{00000000-0005-0000-0000-000028140000}"/>
    <cellStyle name="20% - Accent6 9 3 3 3" xfId="7313" xr:uid="{00000000-0005-0000-0000-000029140000}"/>
    <cellStyle name="20% - Accent6 9 3 4" xfId="7314" xr:uid="{00000000-0005-0000-0000-00002A140000}"/>
    <cellStyle name="20% - Accent6 9 3 5" xfId="7315" xr:uid="{00000000-0005-0000-0000-00002B140000}"/>
    <cellStyle name="20% - Accent6 9 3 6" xfId="7316" xr:uid="{00000000-0005-0000-0000-00002C140000}"/>
    <cellStyle name="20% - Accent6 9 4" xfId="7317" xr:uid="{00000000-0005-0000-0000-00002D140000}"/>
    <cellStyle name="20% - Accent6 9 4 2" xfId="7318" xr:uid="{00000000-0005-0000-0000-00002E140000}"/>
    <cellStyle name="20% - Accent6 9 4 3" xfId="7319" xr:uid="{00000000-0005-0000-0000-00002F140000}"/>
    <cellStyle name="20% - Accent6 9 5" xfId="7320" xr:uid="{00000000-0005-0000-0000-000030140000}"/>
    <cellStyle name="20% - Accent6 9 5 2" xfId="7321" xr:uid="{00000000-0005-0000-0000-000031140000}"/>
    <cellStyle name="20% - Accent6 9 5 3" xfId="7322" xr:uid="{00000000-0005-0000-0000-000032140000}"/>
    <cellStyle name="20% - Accent6 9 6" xfId="7323" xr:uid="{00000000-0005-0000-0000-000033140000}"/>
    <cellStyle name="20% - Accent6 9 7" xfId="7324" xr:uid="{00000000-0005-0000-0000-000034140000}"/>
    <cellStyle name="20% - Accent6 9 8" xfId="7325" xr:uid="{00000000-0005-0000-0000-000035140000}"/>
    <cellStyle name="20% - Accent6 9 9" xfId="7326" xr:uid="{00000000-0005-0000-0000-000036140000}"/>
    <cellStyle name="³f¹ô[0]_pldt" xfId="7327" xr:uid="{00000000-0005-0000-0000-000037140000}"/>
    <cellStyle name="³f¹ô_pldt" xfId="7328" xr:uid="{00000000-0005-0000-0000-000038140000}"/>
    <cellStyle name="40% - Accent1 10" xfId="869" xr:uid="{00000000-0005-0000-0000-000039140000}"/>
    <cellStyle name="40% - Accent1 10 10" xfId="7329" xr:uid="{00000000-0005-0000-0000-00003A140000}"/>
    <cellStyle name="40% - Accent1 10 11" xfId="7330" xr:uid="{00000000-0005-0000-0000-00003B140000}"/>
    <cellStyle name="40% - Accent1 10 2" xfId="870" xr:uid="{00000000-0005-0000-0000-00003C140000}"/>
    <cellStyle name="40% - Accent1 10 2 2" xfId="7331" xr:uid="{00000000-0005-0000-0000-00003D140000}"/>
    <cellStyle name="40% - Accent1 10 2 2 2" xfId="7332" xr:uid="{00000000-0005-0000-0000-00003E140000}"/>
    <cellStyle name="40% - Accent1 10 2 2 2 2" xfId="7333" xr:uid="{00000000-0005-0000-0000-00003F140000}"/>
    <cellStyle name="40% - Accent1 10 2 2 2 3" xfId="7334" xr:uid="{00000000-0005-0000-0000-000040140000}"/>
    <cellStyle name="40% - Accent1 10 2 2 3" xfId="7335" xr:uid="{00000000-0005-0000-0000-000041140000}"/>
    <cellStyle name="40% - Accent1 10 2 2 3 2" xfId="7336" xr:uid="{00000000-0005-0000-0000-000042140000}"/>
    <cellStyle name="40% - Accent1 10 2 2 3 3" xfId="7337" xr:uid="{00000000-0005-0000-0000-000043140000}"/>
    <cellStyle name="40% - Accent1 10 2 2 4" xfId="7338" xr:uid="{00000000-0005-0000-0000-000044140000}"/>
    <cellStyle name="40% - Accent1 10 2 2 5" xfId="7339" xr:uid="{00000000-0005-0000-0000-000045140000}"/>
    <cellStyle name="40% - Accent1 10 2 2 6" xfId="7340" xr:uid="{00000000-0005-0000-0000-000046140000}"/>
    <cellStyle name="40% - Accent1 10 2 3" xfId="7341" xr:uid="{00000000-0005-0000-0000-000047140000}"/>
    <cellStyle name="40% - Accent1 10 2 3 2" xfId="7342" xr:uid="{00000000-0005-0000-0000-000048140000}"/>
    <cellStyle name="40% - Accent1 10 2 3 3" xfId="7343" xr:uid="{00000000-0005-0000-0000-000049140000}"/>
    <cellStyle name="40% - Accent1 10 2 4" xfId="7344" xr:uid="{00000000-0005-0000-0000-00004A140000}"/>
    <cellStyle name="40% - Accent1 10 2 4 2" xfId="7345" xr:uid="{00000000-0005-0000-0000-00004B140000}"/>
    <cellStyle name="40% - Accent1 10 2 4 3" xfId="7346" xr:uid="{00000000-0005-0000-0000-00004C140000}"/>
    <cellStyle name="40% - Accent1 10 2 5" xfId="7347" xr:uid="{00000000-0005-0000-0000-00004D140000}"/>
    <cellStyle name="40% - Accent1 10 2 6" xfId="7348" xr:uid="{00000000-0005-0000-0000-00004E140000}"/>
    <cellStyle name="40% - Accent1 10 2 7" xfId="7349" xr:uid="{00000000-0005-0000-0000-00004F140000}"/>
    <cellStyle name="40% - Accent1 10 2 8" xfId="7350" xr:uid="{00000000-0005-0000-0000-000050140000}"/>
    <cellStyle name="40% - Accent1 10 3" xfId="7351" xr:uid="{00000000-0005-0000-0000-000051140000}"/>
    <cellStyle name="40% - Accent1 10 3 2" xfId="7352" xr:uid="{00000000-0005-0000-0000-000052140000}"/>
    <cellStyle name="40% - Accent1 10 3 2 2" xfId="7353" xr:uid="{00000000-0005-0000-0000-000053140000}"/>
    <cellStyle name="40% - Accent1 10 3 2 3" xfId="7354" xr:uid="{00000000-0005-0000-0000-000054140000}"/>
    <cellStyle name="40% - Accent1 10 3 3" xfId="7355" xr:uid="{00000000-0005-0000-0000-000055140000}"/>
    <cellStyle name="40% - Accent1 10 3 3 2" xfId="7356" xr:uid="{00000000-0005-0000-0000-000056140000}"/>
    <cellStyle name="40% - Accent1 10 3 3 3" xfId="7357" xr:uid="{00000000-0005-0000-0000-000057140000}"/>
    <cellStyle name="40% - Accent1 10 3 4" xfId="7358" xr:uid="{00000000-0005-0000-0000-000058140000}"/>
    <cellStyle name="40% - Accent1 10 3 5" xfId="7359" xr:uid="{00000000-0005-0000-0000-000059140000}"/>
    <cellStyle name="40% - Accent1 10 3 6" xfId="7360" xr:uid="{00000000-0005-0000-0000-00005A140000}"/>
    <cellStyle name="40% - Accent1 10 4" xfId="7361" xr:uid="{00000000-0005-0000-0000-00005B140000}"/>
    <cellStyle name="40% - Accent1 10 4 2" xfId="7362" xr:uid="{00000000-0005-0000-0000-00005C140000}"/>
    <cellStyle name="40% - Accent1 10 4 3" xfId="7363" xr:uid="{00000000-0005-0000-0000-00005D140000}"/>
    <cellStyle name="40% - Accent1 10 5" xfId="7364" xr:uid="{00000000-0005-0000-0000-00005E140000}"/>
    <cellStyle name="40% - Accent1 10 5 2" xfId="7365" xr:uid="{00000000-0005-0000-0000-00005F140000}"/>
    <cellStyle name="40% - Accent1 10 5 3" xfId="7366" xr:uid="{00000000-0005-0000-0000-000060140000}"/>
    <cellStyle name="40% - Accent1 10 6" xfId="7367" xr:uid="{00000000-0005-0000-0000-000061140000}"/>
    <cellStyle name="40% - Accent1 10 7" xfId="7368" xr:uid="{00000000-0005-0000-0000-000062140000}"/>
    <cellStyle name="40% - Accent1 10 8" xfId="7369" xr:uid="{00000000-0005-0000-0000-000063140000}"/>
    <cellStyle name="40% - Accent1 10 9" xfId="7370" xr:uid="{00000000-0005-0000-0000-000064140000}"/>
    <cellStyle name="40% - Accent1 11" xfId="871" xr:uid="{00000000-0005-0000-0000-000065140000}"/>
    <cellStyle name="40% - Accent1 11 10" xfId="7371" xr:uid="{00000000-0005-0000-0000-000066140000}"/>
    <cellStyle name="40% - Accent1 11 2" xfId="872" xr:uid="{00000000-0005-0000-0000-000067140000}"/>
    <cellStyle name="40% - Accent1 11 2 2" xfId="7372" xr:uid="{00000000-0005-0000-0000-000068140000}"/>
    <cellStyle name="40% - Accent1 11 2 2 2" xfId="7373" xr:uid="{00000000-0005-0000-0000-000069140000}"/>
    <cellStyle name="40% - Accent1 11 2 2 3" xfId="7374" xr:uid="{00000000-0005-0000-0000-00006A140000}"/>
    <cellStyle name="40% - Accent1 11 2 3" xfId="7375" xr:uid="{00000000-0005-0000-0000-00006B140000}"/>
    <cellStyle name="40% - Accent1 11 2 3 2" xfId="7376" xr:uid="{00000000-0005-0000-0000-00006C140000}"/>
    <cellStyle name="40% - Accent1 11 2 3 3" xfId="7377" xr:uid="{00000000-0005-0000-0000-00006D140000}"/>
    <cellStyle name="40% - Accent1 11 2 4" xfId="7378" xr:uid="{00000000-0005-0000-0000-00006E140000}"/>
    <cellStyle name="40% - Accent1 11 2 5" xfId="7379" xr:uid="{00000000-0005-0000-0000-00006F140000}"/>
    <cellStyle name="40% - Accent1 11 2 6" xfId="7380" xr:uid="{00000000-0005-0000-0000-000070140000}"/>
    <cellStyle name="40% - Accent1 11 3" xfId="7381" xr:uid="{00000000-0005-0000-0000-000071140000}"/>
    <cellStyle name="40% - Accent1 11 3 2" xfId="7382" xr:uid="{00000000-0005-0000-0000-000072140000}"/>
    <cellStyle name="40% - Accent1 11 3 3" xfId="7383" xr:uid="{00000000-0005-0000-0000-000073140000}"/>
    <cellStyle name="40% - Accent1 11 4" xfId="7384" xr:uid="{00000000-0005-0000-0000-000074140000}"/>
    <cellStyle name="40% - Accent1 11 4 2" xfId="7385" xr:uid="{00000000-0005-0000-0000-000075140000}"/>
    <cellStyle name="40% - Accent1 11 4 3" xfId="7386" xr:uid="{00000000-0005-0000-0000-000076140000}"/>
    <cellStyle name="40% - Accent1 11 5" xfId="7387" xr:uid="{00000000-0005-0000-0000-000077140000}"/>
    <cellStyle name="40% - Accent1 11 6" xfId="7388" xr:uid="{00000000-0005-0000-0000-000078140000}"/>
    <cellStyle name="40% - Accent1 11 7" xfId="7389" xr:uid="{00000000-0005-0000-0000-000079140000}"/>
    <cellStyle name="40% - Accent1 11 8" xfId="7390" xr:uid="{00000000-0005-0000-0000-00007A140000}"/>
    <cellStyle name="40% - Accent1 11 9" xfId="7391" xr:uid="{00000000-0005-0000-0000-00007B140000}"/>
    <cellStyle name="40% - Accent1 12" xfId="873" xr:uid="{00000000-0005-0000-0000-00007C140000}"/>
    <cellStyle name="40% - Accent1 12 2" xfId="874" xr:uid="{00000000-0005-0000-0000-00007D140000}"/>
    <cellStyle name="40% - Accent1 12 3" xfId="7392" xr:uid="{00000000-0005-0000-0000-00007E140000}"/>
    <cellStyle name="40% - Accent1 12 4" xfId="7393" xr:uid="{00000000-0005-0000-0000-00007F140000}"/>
    <cellStyle name="40% - Accent1 12 5" xfId="7394" xr:uid="{00000000-0005-0000-0000-000080140000}"/>
    <cellStyle name="40% - Accent1 13" xfId="875" xr:uid="{00000000-0005-0000-0000-000081140000}"/>
    <cellStyle name="40% - Accent1 13 2" xfId="876" xr:uid="{00000000-0005-0000-0000-000082140000}"/>
    <cellStyle name="40% - Accent1 13 3" xfId="7395" xr:uid="{00000000-0005-0000-0000-000083140000}"/>
    <cellStyle name="40% - Accent1 13 4" xfId="7396" xr:uid="{00000000-0005-0000-0000-000084140000}"/>
    <cellStyle name="40% - Accent1 14" xfId="877" xr:uid="{00000000-0005-0000-0000-000085140000}"/>
    <cellStyle name="40% - Accent1 14 2" xfId="878" xr:uid="{00000000-0005-0000-0000-000086140000}"/>
    <cellStyle name="40% - Accent1 14 3" xfId="7397" xr:uid="{00000000-0005-0000-0000-000087140000}"/>
    <cellStyle name="40% - Accent1 15" xfId="879" xr:uid="{00000000-0005-0000-0000-000088140000}"/>
    <cellStyle name="40% - Accent1 15 2" xfId="880" xr:uid="{00000000-0005-0000-0000-000089140000}"/>
    <cellStyle name="40% - Accent1 15 3" xfId="7398" xr:uid="{00000000-0005-0000-0000-00008A140000}"/>
    <cellStyle name="40% - Accent1 16" xfId="881" xr:uid="{00000000-0005-0000-0000-00008B140000}"/>
    <cellStyle name="40% - Accent1 16 2" xfId="882" xr:uid="{00000000-0005-0000-0000-00008C140000}"/>
    <cellStyle name="40% - Accent1 17" xfId="883" xr:uid="{00000000-0005-0000-0000-00008D140000}"/>
    <cellStyle name="40% - Accent1 17 2" xfId="884" xr:uid="{00000000-0005-0000-0000-00008E140000}"/>
    <cellStyle name="40% - Accent1 18" xfId="885" xr:uid="{00000000-0005-0000-0000-00008F140000}"/>
    <cellStyle name="40% - Accent1 18 2" xfId="886" xr:uid="{00000000-0005-0000-0000-000090140000}"/>
    <cellStyle name="40% - Accent1 19" xfId="887" xr:uid="{00000000-0005-0000-0000-000091140000}"/>
    <cellStyle name="40% - Accent1 19 2" xfId="888" xr:uid="{00000000-0005-0000-0000-000092140000}"/>
    <cellStyle name="40% - Accent1 2" xfId="889" xr:uid="{00000000-0005-0000-0000-000093140000}"/>
    <cellStyle name="40% - Accent1 2 10" xfId="7399" xr:uid="{00000000-0005-0000-0000-000094140000}"/>
    <cellStyle name="40% - Accent1 2 11" xfId="7400" xr:uid="{00000000-0005-0000-0000-000095140000}"/>
    <cellStyle name="40% - Accent1 2 12" xfId="7401" xr:uid="{00000000-0005-0000-0000-000096140000}"/>
    <cellStyle name="40% - Accent1 2 13" xfId="7402" xr:uid="{00000000-0005-0000-0000-000097140000}"/>
    <cellStyle name="40% - Accent1 2 2" xfId="890" xr:uid="{00000000-0005-0000-0000-000098140000}"/>
    <cellStyle name="40% - Accent1 2 2 10" xfId="7403" xr:uid="{00000000-0005-0000-0000-000099140000}"/>
    <cellStyle name="40% - Accent1 2 2 11" xfId="7404" xr:uid="{00000000-0005-0000-0000-00009A140000}"/>
    <cellStyle name="40% - Accent1 2 2 12" xfId="7405" xr:uid="{00000000-0005-0000-0000-00009B140000}"/>
    <cellStyle name="40% - Accent1 2 2 13" xfId="7406" xr:uid="{00000000-0005-0000-0000-00009C140000}"/>
    <cellStyle name="40% - Accent1 2 2 2" xfId="891" xr:uid="{00000000-0005-0000-0000-00009D140000}"/>
    <cellStyle name="40% - Accent1 2 2 2 10" xfId="7407" xr:uid="{00000000-0005-0000-0000-00009E140000}"/>
    <cellStyle name="40% - Accent1 2 2 2 2" xfId="892" xr:uid="{00000000-0005-0000-0000-00009F140000}"/>
    <cellStyle name="40% - Accent1 2 2 2 2 2" xfId="893" xr:uid="{00000000-0005-0000-0000-0000A0140000}"/>
    <cellStyle name="40% - Accent1 2 2 2 2 2 2" xfId="894" xr:uid="{00000000-0005-0000-0000-0000A1140000}"/>
    <cellStyle name="40% - Accent1 2 2 2 2 2 2 2" xfId="53644" xr:uid="{00000000-0005-0000-0000-0000A2140000}"/>
    <cellStyle name="40% - Accent1 2 2 2 2 2 3" xfId="895" xr:uid="{00000000-0005-0000-0000-0000A3140000}"/>
    <cellStyle name="40% - Accent1 2 2 2 2 2 4" xfId="7408" xr:uid="{00000000-0005-0000-0000-0000A4140000}"/>
    <cellStyle name="40% - Accent1 2 2 2 2 2 5" xfId="7409" xr:uid="{00000000-0005-0000-0000-0000A5140000}"/>
    <cellStyle name="40% - Accent1 2 2 2 2 3" xfId="896" xr:uid="{00000000-0005-0000-0000-0000A6140000}"/>
    <cellStyle name="40% - Accent1 2 2 2 2 3 2" xfId="7410" xr:uid="{00000000-0005-0000-0000-0000A7140000}"/>
    <cellStyle name="40% - Accent1 2 2 2 2 3 2 2" xfId="53645" xr:uid="{00000000-0005-0000-0000-0000A8140000}"/>
    <cellStyle name="40% - Accent1 2 2 2 2 3 3" xfId="7411" xr:uid="{00000000-0005-0000-0000-0000A9140000}"/>
    <cellStyle name="40% - Accent1 2 2 2 2 4" xfId="897" xr:uid="{00000000-0005-0000-0000-0000AA140000}"/>
    <cellStyle name="40% - Accent1 2 2 2 2 4 2" xfId="53646" xr:uid="{00000000-0005-0000-0000-0000AB140000}"/>
    <cellStyle name="40% - Accent1 2 2 2 2 5" xfId="7412" xr:uid="{00000000-0005-0000-0000-0000AC140000}"/>
    <cellStyle name="40% - Accent1 2 2 2 2 6" xfId="7413" xr:uid="{00000000-0005-0000-0000-0000AD140000}"/>
    <cellStyle name="40% - Accent1 2 2 2 2 7" xfId="7414" xr:uid="{00000000-0005-0000-0000-0000AE140000}"/>
    <cellStyle name="40% - Accent1 2 2 2 2 8" xfId="7415" xr:uid="{00000000-0005-0000-0000-0000AF140000}"/>
    <cellStyle name="40% - Accent1 2 2 2 3" xfId="898" xr:uid="{00000000-0005-0000-0000-0000B0140000}"/>
    <cellStyle name="40% - Accent1 2 2 2 3 2" xfId="899" xr:uid="{00000000-0005-0000-0000-0000B1140000}"/>
    <cellStyle name="40% - Accent1 2 2 2 3 2 2" xfId="900" xr:uid="{00000000-0005-0000-0000-0000B2140000}"/>
    <cellStyle name="40% - Accent1 2 2 2 3 2 3" xfId="7416" xr:uid="{00000000-0005-0000-0000-0000B3140000}"/>
    <cellStyle name="40% - Accent1 2 2 2 3 3" xfId="901" xr:uid="{00000000-0005-0000-0000-0000B4140000}"/>
    <cellStyle name="40% - Accent1 2 2 2 3 4" xfId="7417" xr:uid="{00000000-0005-0000-0000-0000B5140000}"/>
    <cellStyle name="40% - Accent1 2 2 2 3 5" xfId="7418" xr:uid="{00000000-0005-0000-0000-0000B6140000}"/>
    <cellStyle name="40% - Accent1 2 2 2 4" xfId="902" xr:uid="{00000000-0005-0000-0000-0000B7140000}"/>
    <cellStyle name="40% - Accent1 2 2 2 4 2" xfId="903" xr:uid="{00000000-0005-0000-0000-0000B8140000}"/>
    <cellStyle name="40% - Accent1 2 2 2 4 2 2" xfId="53647" xr:uid="{00000000-0005-0000-0000-0000B9140000}"/>
    <cellStyle name="40% - Accent1 2 2 2 4 3" xfId="7419" xr:uid="{00000000-0005-0000-0000-0000BA140000}"/>
    <cellStyle name="40% - Accent1 2 2 2 4 4" xfId="7420" xr:uid="{00000000-0005-0000-0000-0000BB140000}"/>
    <cellStyle name="40% - Accent1 2 2 2 4 5" xfId="7421" xr:uid="{00000000-0005-0000-0000-0000BC140000}"/>
    <cellStyle name="40% - Accent1 2 2 2 5" xfId="904" xr:uid="{00000000-0005-0000-0000-0000BD140000}"/>
    <cellStyle name="40% - Accent1 2 2 2 5 2" xfId="7422" xr:uid="{00000000-0005-0000-0000-0000BE140000}"/>
    <cellStyle name="40% - Accent1 2 2 2 5 3" xfId="7423" xr:uid="{00000000-0005-0000-0000-0000BF140000}"/>
    <cellStyle name="40% - Accent1 2 2 2 6" xfId="7424" xr:uid="{00000000-0005-0000-0000-0000C0140000}"/>
    <cellStyle name="40% - Accent1 2 2 2 7" xfId="7425" xr:uid="{00000000-0005-0000-0000-0000C1140000}"/>
    <cellStyle name="40% - Accent1 2 2 2 8" xfId="7426" xr:uid="{00000000-0005-0000-0000-0000C2140000}"/>
    <cellStyle name="40% - Accent1 2 2 2 9" xfId="7427" xr:uid="{00000000-0005-0000-0000-0000C3140000}"/>
    <cellStyle name="40% - Accent1 2 2 3" xfId="905" xr:uid="{00000000-0005-0000-0000-0000C4140000}"/>
    <cellStyle name="40% - Accent1 2 2 3 2" xfId="906" xr:uid="{00000000-0005-0000-0000-0000C5140000}"/>
    <cellStyle name="40% - Accent1 2 2 3 2 2" xfId="907" xr:uid="{00000000-0005-0000-0000-0000C6140000}"/>
    <cellStyle name="40% - Accent1 2 2 3 2 2 2" xfId="53648" xr:uid="{00000000-0005-0000-0000-0000C7140000}"/>
    <cellStyle name="40% - Accent1 2 2 3 2 2 2 2" xfId="53649" xr:uid="{00000000-0005-0000-0000-0000C8140000}"/>
    <cellStyle name="40% - Accent1 2 2 3 2 2 3" xfId="53650" xr:uid="{00000000-0005-0000-0000-0000C9140000}"/>
    <cellStyle name="40% - Accent1 2 2 3 2 3" xfId="908" xr:uid="{00000000-0005-0000-0000-0000CA140000}"/>
    <cellStyle name="40% - Accent1 2 2 3 2 3 2" xfId="53651" xr:uid="{00000000-0005-0000-0000-0000CB140000}"/>
    <cellStyle name="40% - Accent1 2 2 3 2 3 2 2" xfId="53652" xr:uid="{00000000-0005-0000-0000-0000CC140000}"/>
    <cellStyle name="40% - Accent1 2 2 3 2 3 3" xfId="53653" xr:uid="{00000000-0005-0000-0000-0000CD140000}"/>
    <cellStyle name="40% - Accent1 2 2 3 2 4" xfId="7428" xr:uid="{00000000-0005-0000-0000-0000CE140000}"/>
    <cellStyle name="40% - Accent1 2 2 3 2 4 2" xfId="53654" xr:uid="{00000000-0005-0000-0000-0000CF140000}"/>
    <cellStyle name="40% - Accent1 2 2 3 2 5" xfId="7429" xr:uid="{00000000-0005-0000-0000-0000D0140000}"/>
    <cellStyle name="40% - Accent1 2 2 3 3" xfId="909" xr:uid="{00000000-0005-0000-0000-0000D1140000}"/>
    <cellStyle name="40% - Accent1 2 2 3 3 2" xfId="7430" xr:uid="{00000000-0005-0000-0000-0000D2140000}"/>
    <cellStyle name="40% - Accent1 2 2 3 3 2 2" xfId="53655" xr:uid="{00000000-0005-0000-0000-0000D3140000}"/>
    <cellStyle name="40% - Accent1 2 2 3 3 3" xfId="7431" xr:uid="{00000000-0005-0000-0000-0000D4140000}"/>
    <cellStyle name="40% - Accent1 2 2 3 4" xfId="910" xr:uid="{00000000-0005-0000-0000-0000D5140000}"/>
    <cellStyle name="40% - Accent1 2 2 3 4 2" xfId="53656" xr:uid="{00000000-0005-0000-0000-0000D6140000}"/>
    <cellStyle name="40% - Accent1 2 2 3 4 2 2" xfId="53657" xr:uid="{00000000-0005-0000-0000-0000D7140000}"/>
    <cellStyle name="40% - Accent1 2 2 3 4 3" xfId="53658" xr:uid="{00000000-0005-0000-0000-0000D8140000}"/>
    <cellStyle name="40% - Accent1 2 2 3 5" xfId="7432" xr:uid="{00000000-0005-0000-0000-0000D9140000}"/>
    <cellStyle name="40% - Accent1 2 2 3 5 2" xfId="53659" xr:uid="{00000000-0005-0000-0000-0000DA140000}"/>
    <cellStyle name="40% - Accent1 2 2 3 6" xfId="7433" xr:uid="{00000000-0005-0000-0000-0000DB140000}"/>
    <cellStyle name="40% - Accent1 2 2 3 7" xfId="7434" xr:uid="{00000000-0005-0000-0000-0000DC140000}"/>
    <cellStyle name="40% - Accent1 2 2 3 8" xfId="7435" xr:uid="{00000000-0005-0000-0000-0000DD140000}"/>
    <cellStyle name="40% - Accent1 2 2 4" xfId="911" xr:uid="{00000000-0005-0000-0000-0000DE140000}"/>
    <cellStyle name="40% - Accent1 2 2 4 2" xfId="912" xr:uid="{00000000-0005-0000-0000-0000DF140000}"/>
    <cellStyle name="40% - Accent1 2 2 4 2 2" xfId="913" xr:uid="{00000000-0005-0000-0000-0000E0140000}"/>
    <cellStyle name="40% - Accent1 2 2 4 2 2 2" xfId="53660" xr:uid="{00000000-0005-0000-0000-0000E1140000}"/>
    <cellStyle name="40% - Accent1 2 2 4 2 3" xfId="7436" xr:uid="{00000000-0005-0000-0000-0000E2140000}"/>
    <cellStyle name="40% - Accent1 2 2 4 3" xfId="914" xr:uid="{00000000-0005-0000-0000-0000E3140000}"/>
    <cellStyle name="40% - Accent1 2 2 4 3 2" xfId="53661" xr:uid="{00000000-0005-0000-0000-0000E4140000}"/>
    <cellStyle name="40% - Accent1 2 2 4 3 2 2" xfId="53662" xr:uid="{00000000-0005-0000-0000-0000E5140000}"/>
    <cellStyle name="40% - Accent1 2 2 4 3 3" xfId="53663" xr:uid="{00000000-0005-0000-0000-0000E6140000}"/>
    <cellStyle name="40% - Accent1 2 2 4 4" xfId="7437" xr:uid="{00000000-0005-0000-0000-0000E7140000}"/>
    <cellStyle name="40% - Accent1 2 2 4 4 2" xfId="53664" xr:uid="{00000000-0005-0000-0000-0000E8140000}"/>
    <cellStyle name="40% - Accent1 2 2 4 5" xfId="7438" xr:uid="{00000000-0005-0000-0000-0000E9140000}"/>
    <cellStyle name="40% - Accent1 2 2 5" xfId="915" xr:uid="{00000000-0005-0000-0000-0000EA140000}"/>
    <cellStyle name="40% - Accent1 2 2 5 2" xfId="916" xr:uid="{00000000-0005-0000-0000-0000EB140000}"/>
    <cellStyle name="40% - Accent1 2 2 5 2 2" xfId="53665" xr:uid="{00000000-0005-0000-0000-0000EC140000}"/>
    <cellStyle name="40% - Accent1 2 2 5 3" xfId="7439" xr:uid="{00000000-0005-0000-0000-0000ED140000}"/>
    <cellStyle name="40% - Accent1 2 2 5 4" xfId="7440" xr:uid="{00000000-0005-0000-0000-0000EE140000}"/>
    <cellStyle name="40% - Accent1 2 2 5 5" xfId="7441" xr:uid="{00000000-0005-0000-0000-0000EF140000}"/>
    <cellStyle name="40% - Accent1 2 2 6" xfId="917" xr:uid="{00000000-0005-0000-0000-0000F0140000}"/>
    <cellStyle name="40% - Accent1 2 2 6 2" xfId="7442" xr:uid="{00000000-0005-0000-0000-0000F1140000}"/>
    <cellStyle name="40% - Accent1 2 2 6 2 2" xfId="53666" xr:uid="{00000000-0005-0000-0000-0000F2140000}"/>
    <cellStyle name="40% - Accent1 2 2 6 3" xfId="7443" xr:uid="{00000000-0005-0000-0000-0000F3140000}"/>
    <cellStyle name="40% - Accent1 2 2 7" xfId="7444" xr:uid="{00000000-0005-0000-0000-0000F4140000}"/>
    <cellStyle name="40% - Accent1 2 2 7 2" xfId="53667" xr:uid="{00000000-0005-0000-0000-0000F5140000}"/>
    <cellStyle name="40% - Accent1 2 2 8" xfId="7445" xr:uid="{00000000-0005-0000-0000-0000F6140000}"/>
    <cellStyle name="40% - Accent1 2 2 9" xfId="7446" xr:uid="{00000000-0005-0000-0000-0000F7140000}"/>
    <cellStyle name="40% - Accent1 2 3" xfId="918" xr:uid="{00000000-0005-0000-0000-0000F8140000}"/>
    <cellStyle name="40% - Accent1 2 3 10" xfId="7447" xr:uid="{00000000-0005-0000-0000-0000F9140000}"/>
    <cellStyle name="40% - Accent1 2 3 2" xfId="919" xr:uid="{00000000-0005-0000-0000-0000FA140000}"/>
    <cellStyle name="40% - Accent1 2 3 2 2" xfId="920" xr:uid="{00000000-0005-0000-0000-0000FB140000}"/>
    <cellStyle name="40% - Accent1 2 3 2 2 2" xfId="921" xr:uid="{00000000-0005-0000-0000-0000FC140000}"/>
    <cellStyle name="40% - Accent1 2 3 2 2 2 2" xfId="53668" xr:uid="{00000000-0005-0000-0000-0000FD140000}"/>
    <cellStyle name="40% - Accent1 2 3 2 2 3" xfId="922" xr:uid="{00000000-0005-0000-0000-0000FE140000}"/>
    <cellStyle name="40% - Accent1 2 3 2 2 4" xfId="7448" xr:uid="{00000000-0005-0000-0000-0000FF140000}"/>
    <cellStyle name="40% - Accent1 2 3 2 2 5" xfId="7449" xr:uid="{00000000-0005-0000-0000-000000150000}"/>
    <cellStyle name="40% - Accent1 2 3 2 3" xfId="923" xr:uid="{00000000-0005-0000-0000-000001150000}"/>
    <cellStyle name="40% - Accent1 2 3 2 3 2" xfId="7450" xr:uid="{00000000-0005-0000-0000-000002150000}"/>
    <cellStyle name="40% - Accent1 2 3 2 3 2 2" xfId="53669" xr:uid="{00000000-0005-0000-0000-000003150000}"/>
    <cellStyle name="40% - Accent1 2 3 2 3 3" xfId="7451" xr:uid="{00000000-0005-0000-0000-000004150000}"/>
    <cellStyle name="40% - Accent1 2 3 2 4" xfId="924" xr:uid="{00000000-0005-0000-0000-000005150000}"/>
    <cellStyle name="40% - Accent1 2 3 2 4 2" xfId="53670" xr:uid="{00000000-0005-0000-0000-000006150000}"/>
    <cellStyle name="40% - Accent1 2 3 2 5" xfId="7452" xr:uid="{00000000-0005-0000-0000-000007150000}"/>
    <cellStyle name="40% - Accent1 2 3 2 6" xfId="7453" xr:uid="{00000000-0005-0000-0000-000008150000}"/>
    <cellStyle name="40% - Accent1 2 3 2 7" xfId="7454" xr:uid="{00000000-0005-0000-0000-000009150000}"/>
    <cellStyle name="40% - Accent1 2 3 2 8" xfId="7455" xr:uid="{00000000-0005-0000-0000-00000A150000}"/>
    <cellStyle name="40% - Accent1 2 3 3" xfId="925" xr:uid="{00000000-0005-0000-0000-00000B150000}"/>
    <cellStyle name="40% - Accent1 2 3 3 2" xfId="926" xr:uid="{00000000-0005-0000-0000-00000C150000}"/>
    <cellStyle name="40% - Accent1 2 3 3 2 2" xfId="927" xr:uid="{00000000-0005-0000-0000-00000D150000}"/>
    <cellStyle name="40% - Accent1 2 3 3 2 3" xfId="7456" xr:uid="{00000000-0005-0000-0000-00000E150000}"/>
    <cellStyle name="40% - Accent1 2 3 3 3" xfId="928" xr:uid="{00000000-0005-0000-0000-00000F150000}"/>
    <cellStyle name="40% - Accent1 2 3 3 4" xfId="7457" xr:uid="{00000000-0005-0000-0000-000010150000}"/>
    <cellStyle name="40% - Accent1 2 3 3 5" xfId="7458" xr:uid="{00000000-0005-0000-0000-000011150000}"/>
    <cellStyle name="40% - Accent1 2 3 4" xfId="929" xr:uid="{00000000-0005-0000-0000-000012150000}"/>
    <cellStyle name="40% - Accent1 2 3 4 2" xfId="930" xr:uid="{00000000-0005-0000-0000-000013150000}"/>
    <cellStyle name="40% - Accent1 2 3 4 2 2" xfId="53671" xr:uid="{00000000-0005-0000-0000-000014150000}"/>
    <cellStyle name="40% - Accent1 2 3 4 3" xfId="7459" xr:uid="{00000000-0005-0000-0000-000015150000}"/>
    <cellStyle name="40% - Accent1 2 3 4 4" xfId="7460" xr:uid="{00000000-0005-0000-0000-000016150000}"/>
    <cellStyle name="40% - Accent1 2 3 4 5" xfId="7461" xr:uid="{00000000-0005-0000-0000-000017150000}"/>
    <cellStyle name="40% - Accent1 2 3 5" xfId="931" xr:uid="{00000000-0005-0000-0000-000018150000}"/>
    <cellStyle name="40% - Accent1 2 3 5 2" xfId="7462" xr:uid="{00000000-0005-0000-0000-000019150000}"/>
    <cellStyle name="40% - Accent1 2 3 5 3" xfId="7463" xr:uid="{00000000-0005-0000-0000-00001A150000}"/>
    <cellStyle name="40% - Accent1 2 3 6" xfId="7464" xr:uid="{00000000-0005-0000-0000-00001B150000}"/>
    <cellStyle name="40% - Accent1 2 3 7" xfId="7465" xr:uid="{00000000-0005-0000-0000-00001C150000}"/>
    <cellStyle name="40% - Accent1 2 3 8" xfId="7466" xr:uid="{00000000-0005-0000-0000-00001D150000}"/>
    <cellStyle name="40% - Accent1 2 3 9" xfId="7467" xr:uid="{00000000-0005-0000-0000-00001E150000}"/>
    <cellStyle name="40% - Accent1 2 4" xfId="932" xr:uid="{00000000-0005-0000-0000-00001F150000}"/>
    <cellStyle name="40% - Accent1 2 4 2" xfId="933" xr:uid="{00000000-0005-0000-0000-000020150000}"/>
    <cellStyle name="40% - Accent1 2 4 2 2" xfId="934" xr:uid="{00000000-0005-0000-0000-000021150000}"/>
    <cellStyle name="40% - Accent1 2 4 2 2 2" xfId="53672" xr:uid="{00000000-0005-0000-0000-000022150000}"/>
    <cellStyle name="40% - Accent1 2 4 2 2 2 2" xfId="53673" xr:uid="{00000000-0005-0000-0000-000023150000}"/>
    <cellStyle name="40% - Accent1 2 4 2 2 3" xfId="53674" xr:uid="{00000000-0005-0000-0000-000024150000}"/>
    <cellStyle name="40% - Accent1 2 4 2 3" xfId="935" xr:uid="{00000000-0005-0000-0000-000025150000}"/>
    <cellStyle name="40% - Accent1 2 4 2 3 2" xfId="53675" xr:uid="{00000000-0005-0000-0000-000026150000}"/>
    <cellStyle name="40% - Accent1 2 4 2 3 2 2" xfId="53676" xr:uid="{00000000-0005-0000-0000-000027150000}"/>
    <cellStyle name="40% - Accent1 2 4 2 3 3" xfId="53677" xr:uid="{00000000-0005-0000-0000-000028150000}"/>
    <cellStyle name="40% - Accent1 2 4 2 4" xfId="7468" xr:uid="{00000000-0005-0000-0000-000029150000}"/>
    <cellStyle name="40% - Accent1 2 4 2 4 2" xfId="53678" xr:uid="{00000000-0005-0000-0000-00002A150000}"/>
    <cellStyle name="40% - Accent1 2 4 2 5" xfId="7469" xr:uid="{00000000-0005-0000-0000-00002B150000}"/>
    <cellStyle name="40% - Accent1 2 4 3" xfId="936" xr:uid="{00000000-0005-0000-0000-00002C150000}"/>
    <cellStyle name="40% - Accent1 2 4 3 2" xfId="7470" xr:uid="{00000000-0005-0000-0000-00002D150000}"/>
    <cellStyle name="40% - Accent1 2 4 3 2 2" xfId="53679" xr:uid="{00000000-0005-0000-0000-00002E150000}"/>
    <cellStyle name="40% - Accent1 2 4 3 3" xfId="7471" xr:uid="{00000000-0005-0000-0000-00002F150000}"/>
    <cellStyle name="40% - Accent1 2 4 4" xfId="937" xr:uid="{00000000-0005-0000-0000-000030150000}"/>
    <cellStyle name="40% - Accent1 2 4 4 2" xfId="53680" xr:uid="{00000000-0005-0000-0000-000031150000}"/>
    <cellStyle name="40% - Accent1 2 4 4 2 2" xfId="53681" xr:uid="{00000000-0005-0000-0000-000032150000}"/>
    <cellStyle name="40% - Accent1 2 4 4 3" xfId="53682" xr:uid="{00000000-0005-0000-0000-000033150000}"/>
    <cellStyle name="40% - Accent1 2 4 5" xfId="7472" xr:uid="{00000000-0005-0000-0000-000034150000}"/>
    <cellStyle name="40% - Accent1 2 4 5 2" xfId="53683" xr:uid="{00000000-0005-0000-0000-000035150000}"/>
    <cellStyle name="40% - Accent1 2 4 6" xfId="7473" xr:uid="{00000000-0005-0000-0000-000036150000}"/>
    <cellStyle name="40% - Accent1 2 4 7" xfId="7474" xr:uid="{00000000-0005-0000-0000-000037150000}"/>
    <cellStyle name="40% - Accent1 2 4 8" xfId="7475" xr:uid="{00000000-0005-0000-0000-000038150000}"/>
    <cellStyle name="40% - Accent1 2 5" xfId="938" xr:uid="{00000000-0005-0000-0000-000039150000}"/>
    <cellStyle name="40% - Accent1 2 5 2" xfId="939" xr:uid="{00000000-0005-0000-0000-00003A150000}"/>
    <cellStyle name="40% - Accent1 2 5 2 2" xfId="940" xr:uid="{00000000-0005-0000-0000-00003B150000}"/>
    <cellStyle name="40% - Accent1 2 5 2 2 2" xfId="53684" xr:uid="{00000000-0005-0000-0000-00003C150000}"/>
    <cellStyle name="40% - Accent1 2 5 2 3" xfId="7476" xr:uid="{00000000-0005-0000-0000-00003D150000}"/>
    <cellStyle name="40% - Accent1 2 5 3" xfId="941" xr:uid="{00000000-0005-0000-0000-00003E150000}"/>
    <cellStyle name="40% - Accent1 2 5 3 2" xfId="53685" xr:uid="{00000000-0005-0000-0000-00003F150000}"/>
    <cellStyle name="40% - Accent1 2 5 3 2 2" xfId="53686" xr:uid="{00000000-0005-0000-0000-000040150000}"/>
    <cellStyle name="40% - Accent1 2 5 3 3" xfId="53687" xr:uid="{00000000-0005-0000-0000-000041150000}"/>
    <cellStyle name="40% - Accent1 2 5 4" xfId="7477" xr:uid="{00000000-0005-0000-0000-000042150000}"/>
    <cellStyle name="40% - Accent1 2 5 4 2" xfId="53688" xr:uid="{00000000-0005-0000-0000-000043150000}"/>
    <cellStyle name="40% - Accent1 2 5 5" xfId="7478" xr:uid="{00000000-0005-0000-0000-000044150000}"/>
    <cellStyle name="40% - Accent1 2 6" xfId="942" xr:uid="{00000000-0005-0000-0000-000045150000}"/>
    <cellStyle name="40% - Accent1 2 6 2" xfId="943" xr:uid="{00000000-0005-0000-0000-000046150000}"/>
    <cellStyle name="40% - Accent1 2 6 2 2" xfId="53689" xr:uid="{00000000-0005-0000-0000-000047150000}"/>
    <cellStyle name="40% - Accent1 2 6 3" xfId="7479" xr:uid="{00000000-0005-0000-0000-000048150000}"/>
    <cellStyle name="40% - Accent1 2 6 4" xfId="7480" xr:uid="{00000000-0005-0000-0000-000049150000}"/>
    <cellStyle name="40% - Accent1 2 6 5" xfId="7481" xr:uid="{00000000-0005-0000-0000-00004A150000}"/>
    <cellStyle name="40% - Accent1 2 7" xfId="944" xr:uid="{00000000-0005-0000-0000-00004B150000}"/>
    <cellStyle name="40% - Accent1 2 7 2" xfId="7482" xr:uid="{00000000-0005-0000-0000-00004C150000}"/>
    <cellStyle name="40% - Accent1 2 7 2 2" xfId="53690" xr:uid="{00000000-0005-0000-0000-00004D150000}"/>
    <cellStyle name="40% - Accent1 2 7 3" xfId="7483" xr:uid="{00000000-0005-0000-0000-00004E150000}"/>
    <cellStyle name="40% - Accent1 2 8" xfId="7484" xr:uid="{00000000-0005-0000-0000-00004F150000}"/>
    <cellStyle name="40% - Accent1 2 8 2" xfId="53691" xr:uid="{00000000-0005-0000-0000-000050150000}"/>
    <cellStyle name="40% - Accent1 2 9" xfId="7485" xr:uid="{00000000-0005-0000-0000-000051150000}"/>
    <cellStyle name="40% - Accent1 20" xfId="945" xr:uid="{00000000-0005-0000-0000-000052150000}"/>
    <cellStyle name="40% - Accent1 20 2" xfId="946" xr:uid="{00000000-0005-0000-0000-000053150000}"/>
    <cellStyle name="40% - Accent1 21" xfId="947" xr:uid="{00000000-0005-0000-0000-000054150000}"/>
    <cellStyle name="40% - Accent1 21 2" xfId="948" xr:uid="{00000000-0005-0000-0000-000055150000}"/>
    <cellStyle name="40% - Accent1 22" xfId="949" xr:uid="{00000000-0005-0000-0000-000056150000}"/>
    <cellStyle name="40% - Accent1 22 2" xfId="950" xr:uid="{00000000-0005-0000-0000-000057150000}"/>
    <cellStyle name="40% - Accent1 23" xfId="951" xr:uid="{00000000-0005-0000-0000-000058150000}"/>
    <cellStyle name="40% - Accent1 23 2" xfId="952" xr:uid="{00000000-0005-0000-0000-000059150000}"/>
    <cellStyle name="40% - Accent1 24" xfId="953" xr:uid="{00000000-0005-0000-0000-00005A150000}"/>
    <cellStyle name="40% - Accent1 24 2" xfId="954" xr:uid="{00000000-0005-0000-0000-00005B150000}"/>
    <cellStyle name="40% - Accent1 25" xfId="955" xr:uid="{00000000-0005-0000-0000-00005C150000}"/>
    <cellStyle name="40% - Accent1 25 2" xfId="956" xr:uid="{00000000-0005-0000-0000-00005D150000}"/>
    <cellStyle name="40% - Accent1 26" xfId="957" xr:uid="{00000000-0005-0000-0000-00005E150000}"/>
    <cellStyle name="40% - Accent1 26 2" xfId="958" xr:uid="{00000000-0005-0000-0000-00005F150000}"/>
    <cellStyle name="40% - Accent1 27" xfId="959" xr:uid="{00000000-0005-0000-0000-000060150000}"/>
    <cellStyle name="40% - Accent1 27 2" xfId="960" xr:uid="{00000000-0005-0000-0000-000061150000}"/>
    <cellStyle name="40% - Accent1 28" xfId="961" xr:uid="{00000000-0005-0000-0000-000062150000}"/>
    <cellStyle name="40% - Accent1 28 2" xfId="962" xr:uid="{00000000-0005-0000-0000-000063150000}"/>
    <cellStyle name="40% - Accent1 29" xfId="963" xr:uid="{00000000-0005-0000-0000-000064150000}"/>
    <cellStyle name="40% - Accent1 29 2" xfId="964" xr:uid="{00000000-0005-0000-0000-000065150000}"/>
    <cellStyle name="40% - Accent1 3" xfId="965" xr:uid="{00000000-0005-0000-0000-000066150000}"/>
    <cellStyle name="40% - Accent1 3 10" xfId="7486" xr:uid="{00000000-0005-0000-0000-000067150000}"/>
    <cellStyle name="40% - Accent1 3 11" xfId="7487" xr:uid="{00000000-0005-0000-0000-000068150000}"/>
    <cellStyle name="40% - Accent1 3 12" xfId="7488" xr:uid="{00000000-0005-0000-0000-000069150000}"/>
    <cellStyle name="40% - Accent1 3 13" xfId="7489" xr:uid="{00000000-0005-0000-0000-00006A150000}"/>
    <cellStyle name="40% - Accent1 3 2" xfId="966" xr:uid="{00000000-0005-0000-0000-00006B150000}"/>
    <cellStyle name="40% - Accent1 3 2 10" xfId="7490" xr:uid="{00000000-0005-0000-0000-00006C150000}"/>
    <cellStyle name="40% - Accent1 3 2 11" xfId="7491" xr:uid="{00000000-0005-0000-0000-00006D150000}"/>
    <cellStyle name="40% - Accent1 3 2 2" xfId="967" xr:uid="{00000000-0005-0000-0000-00006E150000}"/>
    <cellStyle name="40% - Accent1 3 2 2 10" xfId="7492" xr:uid="{00000000-0005-0000-0000-00006F150000}"/>
    <cellStyle name="40% - Accent1 3 2 2 2" xfId="7493" xr:uid="{00000000-0005-0000-0000-000070150000}"/>
    <cellStyle name="40% - Accent1 3 2 2 2 2" xfId="7494" xr:uid="{00000000-0005-0000-0000-000071150000}"/>
    <cellStyle name="40% - Accent1 3 2 2 2 2 2" xfId="7495" xr:uid="{00000000-0005-0000-0000-000072150000}"/>
    <cellStyle name="40% - Accent1 3 2 2 2 2 3" xfId="7496" xr:uid="{00000000-0005-0000-0000-000073150000}"/>
    <cellStyle name="40% - Accent1 3 2 2 2 3" xfId="7497" xr:uid="{00000000-0005-0000-0000-000074150000}"/>
    <cellStyle name="40% - Accent1 3 2 2 2 3 2" xfId="7498" xr:uid="{00000000-0005-0000-0000-000075150000}"/>
    <cellStyle name="40% - Accent1 3 2 2 2 3 3" xfId="7499" xr:uid="{00000000-0005-0000-0000-000076150000}"/>
    <cellStyle name="40% - Accent1 3 2 2 2 4" xfId="7500" xr:uid="{00000000-0005-0000-0000-000077150000}"/>
    <cellStyle name="40% - Accent1 3 2 2 2 5" xfId="7501" xr:uid="{00000000-0005-0000-0000-000078150000}"/>
    <cellStyle name="40% - Accent1 3 2 2 2 6" xfId="7502" xr:uid="{00000000-0005-0000-0000-000079150000}"/>
    <cellStyle name="40% - Accent1 3 2 2 3" xfId="7503" xr:uid="{00000000-0005-0000-0000-00007A150000}"/>
    <cellStyle name="40% - Accent1 3 2 2 3 2" xfId="7504" xr:uid="{00000000-0005-0000-0000-00007B150000}"/>
    <cellStyle name="40% - Accent1 3 2 2 3 2 2" xfId="53692" xr:uid="{00000000-0005-0000-0000-00007C150000}"/>
    <cellStyle name="40% - Accent1 3 2 2 3 3" xfId="7505" xr:uid="{00000000-0005-0000-0000-00007D150000}"/>
    <cellStyle name="40% - Accent1 3 2 2 4" xfId="7506" xr:uid="{00000000-0005-0000-0000-00007E150000}"/>
    <cellStyle name="40% - Accent1 3 2 2 4 2" xfId="7507" xr:uid="{00000000-0005-0000-0000-00007F150000}"/>
    <cellStyle name="40% - Accent1 3 2 2 4 3" xfId="7508" xr:uid="{00000000-0005-0000-0000-000080150000}"/>
    <cellStyle name="40% - Accent1 3 2 2 5" xfId="7509" xr:uid="{00000000-0005-0000-0000-000081150000}"/>
    <cellStyle name="40% - Accent1 3 2 2 6" xfId="7510" xr:uid="{00000000-0005-0000-0000-000082150000}"/>
    <cellStyle name="40% - Accent1 3 2 2 7" xfId="7511" xr:uid="{00000000-0005-0000-0000-000083150000}"/>
    <cellStyle name="40% - Accent1 3 2 2 8" xfId="7512" xr:uid="{00000000-0005-0000-0000-000084150000}"/>
    <cellStyle name="40% - Accent1 3 2 2 9" xfId="7513" xr:uid="{00000000-0005-0000-0000-000085150000}"/>
    <cellStyle name="40% - Accent1 3 2 3" xfId="7514" xr:uid="{00000000-0005-0000-0000-000086150000}"/>
    <cellStyle name="40% - Accent1 3 2 3 2" xfId="7515" xr:uid="{00000000-0005-0000-0000-000087150000}"/>
    <cellStyle name="40% - Accent1 3 2 3 2 2" xfId="7516" xr:uid="{00000000-0005-0000-0000-000088150000}"/>
    <cellStyle name="40% - Accent1 3 2 3 2 3" xfId="7517" xr:uid="{00000000-0005-0000-0000-000089150000}"/>
    <cellStyle name="40% - Accent1 3 2 3 3" xfId="7518" xr:uid="{00000000-0005-0000-0000-00008A150000}"/>
    <cellStyle name="40% - Accent1 3 2 3 3 2" xfId="7519" xr:uid="{00000000-0005-0000-0000-00008B150000}"/>
    <cellStyle name="40% - Accent1 3 2 3 3 3" xfId="7520" xr:uid="{00000000-0005-0000-0000-00008C150000}"/>
    <cellStyle name="40% - Accent1 3 2 3 4" xfId="7521" xr:uid="{00000000-0005-0000-0000-00008D150000}"/>
    <cellStyle name="40% - Accent1 3 2 3 5" xfId="7522" xr:uid="{00000000-0005-0000-0000-00008E150000}"/>
    <cellStyle name="40% - Accent1 3 2 3 6" xfId="7523" xr:uid="{00000000-0005-0000-0000-00008F150000}"/>
    <cellStyle name="40% - Accent1 3 2 4" xfId="7524" xr:uid="{00000000-0005-0000-0000-000090150000}"/>
    <cellStyle name="40% - Accent1 3 2 4 2" xfId="7525" xr:uid="{00000000-0005-0000-0000-000091150000}"/>
    <cellStyle name="40% - Accent1 3 2 4 2 2" xfId="53693" xr:uid="{00000000-0005-0000-0000-000092150000}"/>
    <cellStyle name="40% - Accent1 3 2 4 3" xfId="7526" xr:uid="{00000000-0005-0000-0000-000093150000}"/>
    <cellStyle name="40% - Accent1 3 2 5" xfId="7527" xr:uid="{00000000-0005-0000-0000-000094150000}"/>
    <cellStyle name="40% - Accent1 3 2 5 2" xfId="7528" xr:uid="{00000000-0005-0000-0000-000095150000}"/>
    <cellStyle name="40% - Accent1 3 2 5 3" xfId="7529" xr:uid="{00000000-0005-0000-0000-000096150000}"/>
    <cellStyle name="40% - Accent1 3 2 6" xfId="7530" xr:uid="{00000000-0005-0000-0000-000097150000}"/>
    <cellStyle name="40% - Accent1 3 2 7" xfId="7531" xr:uid="{00000000-0005-0000-0000-000098150000}"/>
    <cellStyle name="40% - Accent1 3 2 8" xfId="7532" xr:uid="{00000000-0005-0000-0000-000099150000}"/>
    <cellStyle name="40% - Accent1 3 2 9" xfId="7533" xr:uid="{00000000-0005-0000-0000-00009A150000}"/>
    <cellStyle name="40% - Accent1 3 3" xfId="968" xr:uid="{00000000-0005-0000-0000-00009B150000}"/>
    <cellStyle name="40% - Accent1 3 3 10" xfId="7534" xr:uid="{00000000-0005-0000-0000-00009C150000}"/>
    <cellStyle name="40% - Accent1 3 3 2" xfId="7535" xr:uid="{00000000-0005-0000-0000-00009D150000}"/>
    <cellStyle name="40% - Accent1 3 3 2 2" xfId="7536" xr:uid="{00000000-0005-0000-0000-00009E150000}"/>
    <cellStyle name="40% - Accent1 3 3 2 2 2" xfId="7537" xr:uid="{00000000-0005-0000-0000-00009F150000}"/>
    <cellStyle name="40% - Accent1 3 3 2 2 2 2" xfId="53694" xr:uid="{00000000-0005-0000-0000-0000A0150000}"/>
    <cellStyle name="40% - Accent1 3 3 2 2 3" xfId="7538" xr:uid="{00000000-0005-0000-0000-0000A1150000}"/>
    <cellStyle name="40% - Accent1 3 3 2 3" xfId="7539" xr:uid="{00000000-0005-0000-0000-0000A2150000}"/>
    <cellStyle name="40% - Accent1 3 3 2 3 2" xfId="7540" xr:uid="{00000000-0005-0000-0000-0000A3150000}"/>
    <cellStyle name="40% - Accent1 3 3 2 3 2 2" xfId="53695" xr:uid="{00000000-0005-0000-0000-0000A4150000}"/>
    <cellStyle name="40% - Accent1 3 3 2 3 3" xfId="7541" xr:uid="{00000000-0005-0000-0000-0000A5150000}"/>
    <cellStyle name="40% - Accent1 3 3 2 4" xfId="7542" xr:uid="{00000000-0005-0000-0000-0000A6150000}"/>
    <cellStyle name="40% - Accent1 3 3 2 4 2" xfId="53696" xr:uid="{00000000-0005-0000-0000-0000A7150000}"/>
    <cellStyle name="40% - Accent1 3 3 2 5" xfId="7543" xr:uid="{00000000-0005-0000-0000-0000A8150000}"/>
    <cellStyle name="40% - Accent1 3 3 2 6" xfId="7544" xr:uid="{00000000-0005-0000-0000-0000A9150000}"/>
    <cellStyle name="40% - Accent1 3 3 3" xfId="7545" xr:uid="{00000000-0005-0000-0000-0000AA150000}"/>
    <cellStyle name="40% - Accent1 3 3 3 2" xfId="7546" xr:uid="{00000000-0005-0000-0000-0000AB150000}"/>
    <cellStyle name="40% - Accent1 3 3 3 2 2" xfId="53697" xr:uid="{00000000-0005-0000-0000-0000AC150000}"/>
    <cellStyle name="40% - Accent1 3 3 3 3" xfId="7547" xr:uid="{00000000-0005-0000-0000-0000AD150000}"/>
    <cellStyle name="40% - Accent1 3 3 4" xfId="7548" xr:uid="{00000000-0005-0000-0000-0000AE150000}"/>
    <cellStyle name="40% - Accent1 3 3 4 2" xfId="7549" xr:uid="{00000000-0005-0000-0000-0000AF150000}"/>
    <cellStyle name="40% - Accent1 3 3 4 2 2" xfId="53698" xr:uid="{00000000-0005-0000-0000-0000B0150000}"/>
    <cellStyle name="40% - Accent1 3 3 4 3" xfId="7550" xr:uid="{00000000-0005-0000-0000-0000B1150000}"/>
    <cellStyle name="40% - Accent1 3 3 5" xfId="7551" xr:uid="{00000000-0005-0000-0000-0000B2150000}"/>
    <cellStyle name="40% - Accent1 3 3 5 2" xfId="53699" xr:uid="{00000000-0005-0000-0000-0000B3150000}"/>
    <cellStyle name="40% - Accent1 3 3 6" xfId="7552" xr:uid="{00000000-0005-0000-0000-0000B4150000}"/>
    <cellStyle name="40% - Accent1 3 3 7" xfId="7553" xr:uid="{00000000-0005-0000-0000-0000B5150000}"/>
    <cellStyle name="40% - Accent1 3 3 8" xfId="7554" xr:uid="{00000000-0005-0000-0000-0000B6150000}"/>
    <cellStyle name="40% - Accent1 3 3 9" xfId="7555" xr:uid="{00000000-0005-0000-0000-0000B7150000}"/>
    <cellStyle name="40% - Accent1 3 4" xfId="7556" xr:uid="{00000000-0005-0000-0000-0000B8150000}"/>
    <cellStyle name="40% - Accent1 3 4 2" xfId="7557" xr:uid="{00000000-0005-0000-0000-0000B9150000}"/>
    <cellStyle name="40% - Accent1 3 4 2 2" xfId="7558" xr:uid="{00000000-0005-0000-0000-0000BA150000}"/>
    <cellStyle name="40% - Accent1 3 4 2 2 2" xfId="53700" xr:uid="{00000000-0005-0000-0000-0000BB150000}"/>
    <cellStyle name="40% - Accent1 3 4 2 3" xfId="7559" xr:uid="{00000000-0005-0000-0000-0000BC150000}"/>
    <cellStyle name="40% - Accent1 3 4 3" xfId="7560" xr:uid="{00000000-0005-0000-0000-0000BD150000}"/>
    <cellStyle name="40% - Accent1 3 4 3 2" xfId="7561" xr:uid="{00000000-0005-0000-0000-0000BE150000}"/>
    <cellStyle name="40% - Accent1 3 4 3 2 2" xfId="53701" xr:uid="{00000000-0005-0000-0000-0000BF150000}"/>
    <cellStyle name="40% - Accent1 3 4 3 3" xfId="7562" xr:uid="{00000000-0005-0000-0000-0000C0150000}"/>
    <cellStyle name="40% - Accent1 3 4 4" xfId="7563" xr:uid="{00000000-0005-0000-0000-0000C1150000}"/>
    <cellStyle name="40% - Accent1 3 4 4 2" xfId="53702" xr:uid="{00000000-0005-0000-0000-0000C2150000}"/>
    <cellStyle name="40% - Accent1 3 4 5" xfId="7564" xr:uid="{00000000-0005-0000-0000-0000C3150000}"/>
    <cellStyle name="40% - Accent1 3 4 6" xfId="7565" xr:uid="{00000000-0005-0000-0000-0000C4150000}"/>
    <cellStyle name="40% - Accent1 3 5" xfId="7566" xr:uid="{00000000-0005-0000-0000-0000C5150000}"/>
    <cellStyle name="40% - Accent1 3 5 2" xfId="7567" xr:uid="{00000000-0005-0000-0000-0000C6150000}"/>
    <cellStyle name="40% - Accent1 3 5 2 2" xfId="53703" xr:uid="{00000000-0005-0000-0000-0000C7150000}"/>
    <cellStyle name="40% - Accent1 3 5 3" xfId="7568" xr:uid="{00000000-0005-0000-0000-0000C8150000}"/>
    <cellStyle name="40% - Accent1 3 6" xfId="7569" xr:uid="{00000000-0005-0000-0000-0000C9150000}"/>
    <cellStyle name="40% - Accent1 3 6 2" xfId="7570" xr:uid="{00000000-0005-0000-0000-0000CA150000}"/>
    <cellStyle name="40% - Accent1 3 6 2 2" xfId="53704" xr:uid="{00000000-0005-0000-0000-0000CB150000}"/>
    <cellStyle name="40% - Accent1 3 6 3" xfId="7571" xr:uid="{00000000-0005-0000-0000-0000CC150000}"/>
    <cellStyle name="40% - Accent1 3 7" xfId="7572" xr:uid="{00000000-0005-0000-0000-0000CD150000}"/>
    <cellStyle name="40% - Accent1 3 7 2" xfId="53705" xr:uid="{00000000-0005-0000-0000-0000CE150000}"/>
    <cellStyle name="40% - Accent1 3 8" xfId="7573" xr:uid="{00000000-0005-0000-0000-0000CF150000}"/>
    <cellStyle name="40% - Accent1 3 9" xfId="7574" xr:uid="{00000000-0005-0000-0000-0000D0150000}"/>
    <cellStyle name="40% - Accent1 30" xfId="969" xr:uid="{00000000-0005-0000-0000-0000D1150000}"/>
    <cellStyle name="40% - Accent1 30 2" xfId="970" xr:uid="{00000000-0005-0000-0000-0000D2150000}"/>
    <cellStyle name="40% - Accent1 31" xfId="971" xr:uid="{00000000-0005-0000-0000-0000D3150000}"/>
    <cellStyle name="40% - Accent1 31 2" xfId="972" xr:uid="{00000000-0005-0000-0000-0000D4150000}"/>
    <cellStyle name="40% - Accent1 32" xfId="973" xr:uid="{00000000-0005-0000-0000-0000D5150000}"/>
    <cellStyle name="40% - Accent1 32 2" xfId="974" xr:uid="{00000000-0005-0000-0000-0000D6150000}"/>
    <cellStyle name="40% - Accent1 33" xfId="975" xr:uid="{00000000-0005-0000-0000-0000D7150000}"/>
    <cellStyle name="40% - Accent1 33 2" xfId="976" xr:uid="{00000000-0005-0000-0000-0000D8150000}"/>
    <cellStyle name="40% - Accent1 34" xfId="977" xr:uid="{00000000-0005-0000-0000-0000D9150000}"/>
    <cellStyle name="40% - Accent1 34 2" xfId="978" xr:uid="{00000000-0005-0000-0000-0000DA150000}"/>
    <cellStyle name="40% - Accent1 35" xfId="979" xr:uid="{00000000-0005-0000-0000-0000DB150000}"/>
    <cellStyle name="40% - Accent1 35 2" xfId="980" xr:uid="{00000000-0005-0000-0000-0000DC150000}"/>
    <cellStyle name="40% - Accent1 36" xfId="981" xr:uid="{00000000-0005-0000-0000-0000DD150000}"/>
    <cellStyle name="40% - Accent1 36 2" xfId="982" xr:uid="{00000000-0005-0000-0000-0000DE150000}"/>
    <cellStyle name="40% - Accent1 37" xfId="983" xr:uid="{00000000-0005-0000-0000-0000DF150000}"/>
    <cellStyle name="40% - Accent1 37 2" xfId="984" xr:uid="{00000000-0005-0000-0000-0000E0150000}"/>
    <cellStyle name="40% - Accent1 38" xfId="985" xr:uid="{00000000-0005-0000-0000-0000E1150000}"/>
    <cellStyle name="40% - Accent1 39" xfId="986" xr:uid="{00000000-0005-0000-0000-0000E2150000}"/>
    <cellStyle name="40% - Accent1 4" xfId="987" xr:uid="{00000000-0005-0000-0000-0000E3150000}"/>
    <cellStyle name="40% - Accent1 4 10" xfId="7575" xr:uid="{00000000-0005-0000-0000-0000E4150000}"/>
    <cellStyle name="40% - Accent1 4 11" xfId="7576" xr:uid="{00000000-0005-0000-0000-0000E5150000}"/>
    <cellStyle name="40% - Accent1 4 12" xfId="7577" xr:uid="{00000000-0005-0000-0000-0000E6150000}"/>
    <cellStyle name="40% - Accent1 4 13" xfId="7578" xr:uid="{00000000-0005-0000-0000-0000E7150000}"/>
    <cellStyle name="40% - Accent1 4 14" xfId="7579" xr:uid="{00000000-0005-0000-0000-0000E8150000}"/>
    <cellStyle name="40% - Accent1 4 2" xfId="988" xr:uid="{00000000-0005-0000-0000-0000E9150000}"/>
    <cellStyle name="40% - Accent1 4 2 10" xfId="7580" xr:uid="{00000000-0005-0000-0000-0000EA150000}"/>
    <cellStyle name="40% - Accent1 4 2 11" xfId="7581" xr:uid="{00000000-0005-0000-0000-0000EB150000}"/>
    <cellStyle name="40% - Accent1 4 2 2" xfId="989" xr:uid="{00000000-0005-0000-0000-0000EC150000}"/>
    <cellStyle name="40% - Accent1 4 2 2 2" xfId="7582" xr:uid="{00000000-0005-0000-0000-0000ED150000}"/>
    <cellStyle name="40% - Accent1 4 2 2 2 2" xfId="7583" xr:uid="{00000000-0005-0000-0000-0000EE150000}"/>
    <cellStyle name="40% - Accent1 4 2 2 2 2 2" xfId="7584" xr:uid="{00000000-0005-0000-0000-0000EF150000}"/>
    <cellStyle name="40% - Accent1 4 2 2 2 2 3" xfId="7585" xr:uid="{00000000-0005-0000-0000-0000F0150000}"/>
    <cellStyle name="40% - Accent1 4 2 2 2 3" xfId="7586" xr:uid="{00000000-0005-0000-0000-0000F1150000}"/>
    <cellStyle name="40% - Accent1 4 2 2 2 3 2" xfId="7587" xr:uid="{00000000-0005-0000-0000-0000F2150000}"/>
    <cellStyle name="40% - Accent1 4 2 2 2 3 3" xfId="7588" xr:uid="{00000000-0005-0000-0000-0000F3150000}"/>
    <cellStyle name="40% - Accent1 4 2 2 2 4" xfId="7589" xr:uid="{00000000-0005-0000-0000-0000F4150000}"/>
    <cellStyle name="40% - Accent1 4 2 2 2 5" xfId="7590" xr:uid="{00000000-0005-0000-0000-0000F5150000}"/>
    <cellStyle name="40% - Accent1 4 2 2 2 6" xfId="7591" xr:uid="{00000000-0005-0000-0000-0000F6150000}"/>
    <cellStyle name="40% - Accent1 4 2 2 3" xfId="7592" xr:uid="{00000000-0005-0000-0000-0000F7150000}"/>
    <cellStyle name="40% - Accent1 4 2 2 3 2" xfId="7593" xr:uid="{00000000-0005-0000-0000-0000F8150000}"/>
    <cellStyle name="40% - Accent1 4 2 2 3 3" xfId="7594" xr:uid="{00000000-0005-0000-0000-0000F9150000}"/>
    <cellStyle name="40% - Accent1 4 2 2 4" xfId="7595" xr:uid="{00000000-0005-0000-0000-0000FA150000}"/>
    <cellStyle name="40% - Accent1 4 2 2 4 2" xfId="7596" xr:uid="{00000000-0005-0000-0000-0000FB150000}"/>
    <cellStyle name="40% - Accent1 4 2 2 4 3" xfId="7597" xr:uid="{00000000-0005-0000-0000-0000FC150000}"/>
    <cellStyle name="40% - Accent1 4 2 2 5" xfId="7598" xr:uid="{00000000-0005-0000-0000-0000FD150000}"/>
    <cellStyle name="40% - Accent1 4 2 2 6" xfId="7599" xr:uid="{00000000-0005-0000-0000-0000FE150000}"/>
    <cellStyle name="40% - Accent1 4 2 2 7" xfId="7600" xr:uid="{00000000-0005-0000-0000-0000FF150000}"/>
    <cellStyle name="40% - Accent1 4 2 2 8" xfId="7601" xr:uid="{00000000-0005-0000-0000-000000160000}"/>
    <cellStyle name="40% - Accent1 4 2 3" xfId="990" xr:uid="{00000000-0005-0000-0000-000001160000}"/>
    <cellStyle name="40% - Accent1 4 2 3 2" xfId="7602" xr:uid="{00000000-0005-0000-0000-000002160000}"/>
    <cellStyle name="40% - Accent1 4 2 3 2 2" xfId="7603" xr:uid="{00000000-0005-0000-0000-000003160000}"/>
    <cellStyle name="40% - Accent1 4 2 3 2 3" xfId="7604" xr:uid="{00000000-0005-0000-0000-000004160000}"/>
    <cellStyle name="40% - Accent1 4 2 3 3" xfId="7605" xr:uid="{00000000-0005-0000-0000-000005160000}"/>
    <cellStyle name="40% - Accent1 4 2 3 3 2" xfId="7606" xr:uid="{00000000-0005-0000-0000-000006160000}"/>
    <cellStyle name="40% - Accent1 4 2 3 3 3" xfId="7607" xr:uid="{00000000-0005-0000-0000-000007160000}"/>
    <cellStyle name="40% - Accent1 4 2 3 4" xfId="7608" xr:uid="{00000000-0005-0000-0000-000008160000}"/>
    <cellStyle name="40% - Accent1 4 2 3 5" xfId="7609" xr:uid="{00000000-0005-0000-0000-000009160000}"/>
    <cellStyle name="40% - Accent1 4 2 3 6" xfId="7610" xr:uid="{00000000-0005-0000-0000-00000A160000}"/>
    <cellStyle name="40% - Accent1 4 2 4" xfId="7611" xr:uid="{00000000-0005-0000-0000-00000B160000}"/>
    <cellStyle name="40% - Accent1 4 2 4 2" xfId="7612" xr:uid="{00000000-0005-0000-0000-00000C160000}"/>
    <cellStyle name="40% - Accent1 4 2 4 3" xfId="7613" xr:uid="{00000000-0005-0000-0000-00000D160000}"/>
    <cellStyle name="40% - Accent1 4 2 5" xfId="7614" xr:uid="{00000000-0005-0000-0000-00000E160000}"/>
    <cellStyle name="40% - Accent1 4 2 5 2" xfId="7615" xr:uid="{00000000-0005-0000-0000-00000F160000}"/>
    <cellStyle name="40% - Accent1 4 2 5 3" xfId="7616" xr:uid="{00000000-0005-0000-0000-000010160000}"/>
    <cellStyle name="40% - Accent1 4 2 6" xfId="7617" xr:uid="{00000000-0005-0000-0000-000011160000}"/>
    <cellStyle name="40% - Accent1 4 2 7" xfId="7618" xr:uid="{00000000-0005-0000-0000-000012160000}"/>
    <cellStyle name="40% - Accent1 4 2 8" xfId="7619" xr:uid="{00000000-0005-0000-0000-000013160000}"/>
    <cellStyle name="40% - Accent1 4 2 9" xfId="7620" xr:uid="{00000000-0005-0000-0000-000014160000}"/>
    <cellStyle name="40% - Accent1 4 3" xfId="991" xr:uid="{00000000-0005-0000-0000-000015160000}"/>
    <cellStyle name="40% - Accent1 4 3 10" xfId="7621" xr:uid="{00000000-0005-0000-0000-000016160000}"/>
    <cellStyle name="40% - Accent1 4 3 2" xfId="7622" xr:uid="{00000000-0005-0000-0000-000017160000}"/>
    <cellStyle name="40% - Accent1 4 3 2 2" xfId="7623" xr:uid="{00000000-0005-0000-0000-000018160000}"/>
    <cellStyle name="40% - Accent1 4 3 2 2 2" xfId="7624" xr:uid="{00000000-0005-0000-0000-000019160000}"/>
    <cellStyle name="40% - Accent1 4 3 2 2 3" xfId="7625" xr:uid="{00000000-0005-0000-0000-00001A160000}"/>
    <cellStyle name="40% - Accent1 4 3 2 3" xfId="7626" xr:uid="{00000000-0005-0000-0000-00001B160000}"/>
    <cellStyle name="40% - Accent1 4 3 2 3 2" xfId="7627" xr:uid="{00000000-0005-0000-0000-00001C160000}"/>
    <cellStyle name="40% - Accent1 4 3 2 3 3" xfId="7628" xr:uid="{00000000-0005-0000-0000-00001D160000}"/>
    <cellStyle name="40% - Accent1 4 3 2 4" xfId="7629" xr:uid="{00000000-0005-0000-0000-00001E160000}"/>
    <cellStyle name="40% - Accent1 4 3 2 5" xfId="7630" xr:uid="{00000000-0005-0000-0000-00001F160000}"/>
    <cellStyle name="40% - Accent1 4 3 2 6" xfId="7631" xr:uid="{00000000-0005-0000-0000-000020160000}"/>
    <cellStyle name="40% - Accent1 4 3 3" xfId="7632" xr:uid="{00000000-0005-0000-0000-000021160000}"/>
    <cellStyle name="40% - Accent1 4 3 3 2" xfId="7633" xr:uid="{00000000-0005-0000-0000-000022160000}"/>
    <cellStyle name="40% - Accent1 4 3 3 3" xfId="7634" xr:uid="{00000000-0005-0000-0000-000023160000}"/>
    <cellStyle name="40% - Accent1 4 3 4" xfId="7635" xr:uid="{00000000-0005-0000-0000-000024160000}"/>
    <cellStyle name="40% - Accent1 4 3 4 2" xfId="7636" xr:uid="{00000000-0005-0000-0000-000025160000}"/>
    <cellStyle name="40% - Accent1 4 3 4 3" xfId="7637" xr:uid="{00000000-0005-0000-0000-000026160000}"/>
    <cellStyle name="40% - Accent1 4 3 5" xfId="7638" xr:uid="{00000000-0005-0000-0000-000027160000}"/>
    <cellStyle name="40% - Accent1 4 3 6" xfId="7639" xr:uid="{00000000-0005-0000-0000-000028160000}"/>
    <cellStyle name="40% - Accent1 4 3 7" xfId="7640" xr:uid="{00000000-0005-0000-0000-000029160000}"/>
    <cellStyle name="40% - Accent1 4 3 8" xfId="7641" xr:uid="{00000000-0005-0000-0000-00002A160000}"/>
    <cellStyle name="40% - Accent1 4 3 9" xfId="7642" xr:uid="{00000000-0005-0000-0000-00002B160000}"/>
    <cellStyle name="40% - Accent1 4 4" xfId="992" xr:uid="{00000000-0005-0000-0000-00002C160000}"/>
    <cellStyle name="40% - Accent1 4 4 2" xfId="7643" xr:uid="{00000000-0005-0000-0000-00002D160000}"/>
    <cellStyle name="40% - Accent1 4 4 2 2" xfId="7644" xr:uid="{00000000-0005-0000-0000-00002E160000}"/>
    <cellStyle name="40% - Accent1 4 4 2 3" xfId="7645" xr:uid="{00000000-0005-0000-0000-00002F160000}"/>
    <cellStyle name="40% - Accent1 4 4 3" xfId="7646" xr:uid="{00000000-0005-0000-0000-000030160000}"/>
    <cellStyle name="40% - Accent1 4 4 3 2" xfId="7647" xr:uid="{00000000-0005-0000-0000-000031160000}"/>
    <cellStyle name="40% - Accent1 4 4 3 3" xfId="7648" xr:uid="{00000000-0005-0000-0000-000032160000}"/>
    <cellStyle name="40% - Accent1 4 4 4" xfId="7649" xr:uid="{00000000-0005-0000-0000-000033160000}"/>
    <cellStyle name="40% - Accent1 4 4 5" xfId="7650" xr:uid="{00000000-0005-0000-0000-000034160000}"/>
    <cellStyle name="40% - Accent1 4 4 6" xfId="7651" xr:uid="{00000000-0005-0000-0000-000035160000}"/>
    <cellStyle name="40% - Accent1 4 5" xfId="7652" xr:uid="{00000000-0005-0000-0000-000036160000}"/>
    <cellStyle name="40% - Accent1 4 5 2" xfId="7653" xr:uid="{00000000-0005-0000-0000-000037160000}"/>
    <cellStyle name="40% - Accent1 4 5 3" xfId="7654" xr:uid="{00000000-0005-0000-0000-000038160000}"/>
    <cellStyle name="40% - Accent1 4 6" xfId="7655" xr:uid="{00000000-0005-0000-0000-000039160000}"/>
    <cellStyle name="40% - Accent1 4 6 2" xfId="7656" xr:uid="{00000000-0005-0000-0000-00003A160000}"/>
    <cellStyle name="40% - Accent1 4 6 3" xfId="7657" xr:uid="{00000000-0005-0000-0000-00003B160000}"/>
    <cellStyle name="40% - Accent1 4 7" xfId="7658" xr:uid="{00000000-0005-0000-0000-00003C160000}"/>
    <cellStyle name="40% - Accent1 4 8" xfId="7659" xr:uid="{00000000-0005-0000-0000-00003D160000}"/>
    <cellStyle name="40% - Accent1 4 9" xfId="7660" xr:uid="{00000000-0005-0000-0000-00003E160000}"/>
    <cellStyle name="40% - Accent1 40" xfId="993" xr:uid="{00000000-0005-0000-0000-00003F160000}"/>
    <cellStyle name="40% - Accent1 41" xfId="994" xr:uid="{00000000-0005-0000-0000-000040160000}"/>
    <cellStyle name="40% - Accent1 42" xfId="995" xr:uid="{00000000-0005-0000-0000-000041160000}"/>
    <cellStyle name="40% - Accent1 43" xfId="7661" xr:uid="{00000000-0005-0000-0000-000042160000}"/>
    <cellStyle name="40% - Accent1 44" xfId="7662" xr:uid="{00000000-0005-0000-0000-000043160000}"/>
    <cellStyle name="40% - Accent1 45" xfId="7663" xr:uid="{00000000-0005-0000-0000-000044160000}"/>
    <cellStyle name="40% - Accent1 46" xfId="7664" xr:uid="{00000000-0005-0000-0000-000045160000}"/>
    <cellStyle name="40% - Accent1 47" xfId="7665" xr:uid="{00000000-0005-0000-0000-000046160000}"/>
    <cellStyle name="40% - Accent1 48" xfId="7666" xr:uid="{00000000-0005-0000-0000-000047160000}"/>
    <cellStyle name="40% - Accent1 5" xfId="996" xr:uid="{00000000-0005-0000-0000-000048160000}"/>
    <cellStyle name="40% - Accent1 5 2" xfId="997" xr:uid="{00000000-0005-0000-0000-000049160000}"/>
    <cellStyle name="40% - Accent1 5 2 2" xfId="998" xr:uid="{00000000-0005-0000-0000-00004A160000}"/>
    <cellStyle name="40% - Accent1 5 2 2 2" xfId="53706" xr:uid="{00000000-0005-0000-0000-00004B160000}"/>
    <cellStyle name="40% - Accent1 5 2 2 2 2" xfId="53707" xr:uid="{00000000-0005-0000-0000-00004C160000}"/>
    <cellStyle name="40% - Accent1 5 2 2 3" xfId="53708" xr:uid="{00000000-0005-0000-0000-00004D160000}"/>
    <cellStyle name="40% - Accent1 5 2 3" xfId="999" xr:uid="{00000000-0005-0000-0000-00004E160000}"/>
    <cellStyle name="40% - Accent1 5 2 3 2" xfId="53709" xr:uid="{00000000-0005-0000-0000-00004F160000}"/>
    <cellStyle name="40% - Accent1 5 2 3 2 2" xfId="53710" xr:uid="{00000000-0005-0000-0000-000050160000}"/>
    <cellStyle name="40% - Accent1 5 2 3 3" xfId="53711" xr:uid="{00000000-0005-0000-0000-000051160000}"/>
    <cellStyle name="40% - Accent1 5 2 4" xfId="53712" xr:uid="{00000000-0005-0000-0000-000052160000}"/>
    <cellStyle name="40% - Accent1 5 2 4 2" xfId="53713" xr:uid="{00000000-0005-0000-0000-000053160000}"/>
    <cellStyle name="40% - Accent1 5 2 5" xfId="53714" xr:uid="{00000000-0005-0000-0000-000054160000}"/>
    <cellStyle name="40% - Accent1 5 3" xfId="1000" xr:uid="{00000000-0005-0000-0000-000055160000}"/>
    <cellStyle name="40% - Accent1 5 3 2" xfId="53715" xr:uid="{00000000-0005-0000-0000-000056160000}"/>
    <cellStyle name="40% - Accent1 5 3 2 2" xfId="53716" xr:uid="{00000000-0005-0000-0000-000057160000}"/>
    <cellStyle name="40% - Accent1 5 3 3" xfId="53717" xr:uid="{00000000-0005-0000-0000-000058160000}"/>
    <cellStyle name="40% - Accent1 5 4" xfId="1001" xr:uid="{00000000-0005-0000-0000-000059160000}"/>
    <cellStyle name="40% - Accent1 5 4 2" xfId="53718" xr:uid="{00000000-0005-0000-0000-00005A160000}"/>
    <cellStyle name="40% - Accent1 5 4 2 2" xfId="53719" xr:uid="{00000000-0005-0000-0000-00005B160000}"/>
    <cellStyle name="40% - Accent1 5 4 3" xfId="53720" xr:uid="{00000000-0005-0000-0000-00005C160000}"/>
    <cellStyle name="40% - Accent1 5 5" xfId="7667" xr:uid="{00000000-0005-0000-0000-00005D160000}"/>
    <cellStyle name="40% - Accent1 5 5 2" xfId="53721" xr:uid="{00000000-0005-0000-0000-00005E160000}"/>
    <cellStyle name="40% - Accent1 5 6" xfId="7668" xr:uid="{00000000-0005-0000-0000-00005F160000}"/>
    <cellStyle name="40% - Accent1 6" xfId="1002" xr:uid="{00000000-0005-0000-0000-000060160000}"/>
    <cellStyle name="40% - Accent1 6 10" xfId="7669" xr:uid="{00000000-0005-0000-0000-000061160000}"/>
    <cellStyle name="40% - Accent1 6 11" xfId="7670" xr:uid="{00000000-0005-0000-0000-000062160000}"/>
    <cellStyle name="40% - Accent1 6 12" xfId="7671" xr:uid="{00000000-0005-0000-0000-000063160000}"/>
    <cellStyle name="40% - Accent1 6 2" xfId="1003" xr:uid="{00000000-0005-0000-0000-000064160000}"/>
    <cellStyle name="40% - Accent1 6 2 2" xfId="7672" xr:uid="{00000000-0005-0000-0000-000065160000}"/>
    <cellStyle name="40% - Accent1 6 2 2 2" xfId="7673" xr:uid="{00000000-0005-0000-0000-000066160000}"/>
    <cellStyle name="40% - Accent1 6 2 2 2 2" xfId="7674" xr:uid="{00000000-0005-0000-0000-000067160000}"/>
    <cellStyle name="40% - Accent1 6 2 2 2 3" xfId="7675" xr:uid="{00000000-0005-0000-0000-000068160000}"/>
    <cellStyle name="40% - Accent1 6 2 2 3" xfId="7676" xr:uid="{00000000-0005-0000-0000-000069160000}"/>
    <cellStyle name="40% - Accent1 6 2 2 3 2" xfId="7677" xr:uid="{00000000-0005-0000-0000-00006A160000}"/>
    <cellStyle name="40% - Accent1 6 2 2 3 3" xfId="7678" xr:uid="{00000000-0005-0000-0000-00006B160000}"/>
    <cellStyle name="40% - Accent1 6 2 2 4" xfId="7679" xr:uid="{00000000-0005-0000-0000-00006C160000}"/>
    <cellStyle name="40% - Accent1 6 2 2 5" xfId="7680" xr:uid="{00000000-0005-0000-0000-00006D160000}"/>
    <cellStyle name="40% - Accent1 6 2 2 6" xfId="7681" xr:uid="{00000000-0005-0000-0000-00006E160000}"/>
    <cellStyle name="40% - Accent1 6 2 3" xfId="7682" xr:uid="{00000000-0005-0000-0000-00006F160000}"/>
    <cellStyle name="40% - Accent1 6 2 3 2" xfId="7683" xr:uid="{00000000-0005-0000-0000-000070160000}"/>
    <cellStyle name="40% - Accent1 6 2 3 3" xfId="7684" xr:uid="{00000000-0005-0000-0000-000071160000}"/>
    <cellStyle name="40% - Accent1 6 2 4" xfId="7685" xr:uid="{00000000-0005-0000-0000-000072160000}"/>
    <cellStyle name="40% - Accent1 6 2 4 2" xfId="7686" xr:uid="{00000000-0005-0000-0000-000073160000}"/>
    <cellStyle name="40% - Accent1 6 2 4 3" xfId="7687" xr:uid="{00000000-0005-0000-0000-000074160000}"/>
    <cellStyle name="40% - Accent1 6 2 5" xfId="7688" xr:uid="{00000000-0005-0000-0000-000075160000}"/>
    <cellStyle name="40% - Accent1 6 2 6" xfId="7689" xr:uid="{00000000-0005-0000-0000-000076160000}"/>
    <cellStyle name="40% - Accent1 6 2 7" xfId="7690" xr:uid="{00000000-0005-0000-0000-000077160000}"/>
    <cellStyle name="40% - Accent1 6 2 8" xfId="7691" xr:uid="{00000000-0005-0000-0000-000078160000}"/>
    <cellStyle name="40% - Accent1 6 3" xfId="1004" xr:uid="{00000000-0005-0000-0000-000079160000}"/>
    <cellStyle name="40% - Accent1 6 3 2" xfId="7692" xr:uid="{00000000-0005-0000-0000-00007A160000}"/>
    <cellStyle name="40% - Accent1 6 3 2 2" xfId="7693" xr:uid="{00000000-0005-0000-0000-00007B160000}"/>
    <cellStyle name="40% - Accent1 6 3 2 2 2" xfId="7694" xr:uid="{00000000-0005-0000-0000-00007C160000}"/>
    <cellStyle name="40% - Accent1 6 3 2 3" xfId="7695" xr:uid="{00000000-0005-0000-0000-00007D160000}"/>
    <cellStyle name="40% - Accent1 6 3 3" xfId="7696" xr:uid="{00000000-0005-0000-0000-00007E160000}"/>
    <cellStyle name="40% - Accent1 6 3 3 2" xfId="7697" xr:uid="{00000000-0005-0000-0000-00007F160000}"/>
    <cellStyle name="40% - Accent1 6 3 3 3" xfId="7698" xr:uid="{00000000-0005-0000-0000-000080160000}"/>
    <cellStyle name="40% - Accent1 6 3 4" xfId="7699" xr:uid="{00000000-0005-0000-0000-000081160000}"/>
    <cellStyle name="40% - Accent1 6 3 5" xfId="7700" xr:uid="{00000000-0005-0000-0000-000082160000}"/>
    <cellStyle name="40% - Accent1 6 3 6" xfId="7701" xr:uid="{00000000-0005-0000-0000-000083160000}"/>
    <cellStyle name="40% - Accent1 6 4" xfId="7702" xr:uid="{00000000-0005-0000-0000-000084160000}"/>
    <cellStyle name="40% - Accent1 6 4 2" xfId="7703" xr:uid="{00000000-0005-0000-0000-000085160000}"/>
    <cellStyle name="40% - Accent1 6 4 3" xfId="7704" xr:uid="{00000000-0005-0000-0000-000086160000}"/>
    <cellStyle name="40% - Accent1 6 5" xfId="7705" xr:uid="{00000000-0005-0000-0000-000087160000}"/>
    <cellStyle name="40% - Accent1 6 5 2" xfId="7706" xr:uid="{00000000-0005-0000-0000-000088160000}"/>
    <cellStyle name="40% - Accent1 6 5 3" xfId="7707" xr:uid="{00000000-0005-0000-0000-000089160000}"/>
    <cellStyle name="40% - Accent1 6 6" xfId="7708" xr:uid="{00000000-0005-0000-0000-00008A160000}"/>
    <cellStyle name="40% - Accent1 6 7" xfId="7709" xr:uid="{00000000-0005-0000-0000-00008B160000}"/>
    <cellStyle name="40% - Accent1 6 8" xfId="7710" xr:uid="{00000000-0005-0000-0000-00008C160000}"/>
    <cellStyle name="40% - Accent1 6 9" xfId="7711" xr:uid="{00000000-0005-0000-0000-00008D160000}"/>
    <cellStyle name="40% - Accent1 7" xfId="1005" xr:uid="{00000000-0005-0000-0000-00008E160000}"/>
    <cellStyle name="40% - Accent1 7 10" xfId="7712" xr:uid="{00000000-0005-0000-0000-00008F160000}"/>
    <cellStyle name="40% - Accent1 7 11" xfId="7713" xr:uid="{00000000-0005-0000-0000-000090160000}"/>
    <cellStyle name="40% - Accent1 7 2" xfId="1006" xr:uid="{00000000-0005-0000-0000-000091160000}"/>
    <cellStyle name="40% - Accent1 7 2 2" xfId="7714" xr:uid="{00000000-0005-0000-0000-000092160000}"/>
    <cellStyle name="40% - Accent1 7 2 2 2" xfId="7715" xr:uid="{00000000-0005-0000-0000-000093160000}"/>
    <cellStyle name="40% - Accent1 7 2 2 2 2" xfId="7716" xr:uid="{00000000-0005-0000-0000-000094160000}"/>
    <cellStyle name="40% - Accent1 7 2 2 2 3" xfId="7717" xr:uid="{00000000-0005-0000-0000-000095160000}"/>
    <cellStyle name="40% - Accent1 7 2 2 3" xfId="7718" xr:uid="{00000000-0005-0000-0000-000096160000}"/>
    <cellStyle name="40% - Accent1 7 2 2 3 2" xfId="7719" xr:uid="{00000000-0005-0000-0000-000097160000}"/>
    <cellStyle name="40% - Accent1 7 2 2 3 3" xfId="7720" xr:uid="{00000000-0005-0000-0000-000098160000}"/>
    <cellStyle name="40% - Accent1 7 2 2 4" xfId="7721" xr:uid="{00000000-0005-0000-0000-000099160000}"/>
    <cellStyle name="40% - Accent1 7 2 2 5" xfId="7722" xr:uid="{00000000-0005-0000-0000-00009A160000}"/>
    <cellStyle name="40% - Accent1 7 2 2 6" xfId="7723" xr:uid="{00000000-0005-0000-0000-00009B160000}"/>
    <cellStyle name="40% - Accent1 7 2 3" xfId="7724" xr:uid="{00000000-0005-0000-0000-00009C160000}"/>
    <cellStyle name="40% - Accent1 7 2 3 2" xfId="7725" xr:uid="{00000000-0005-0000-0000-00009D160000}"/>
    <cellStyle name="40% - Accent1 7 2 3 3" xfId="7726" xr:uid="{00000000-0005-0000-0000-00009E160000}"/>
    <cellStyle name="40% - Accent1 7 2 4" xfId="7727" xr:uid="{00000000-0005-0000-0000-00009F160000}"/>
    <cellStyle name="40% - Accent1 7 2 4 2" xfId="7728" xr:uid="{00000000-0005-0000-0000-0000A0160000}"/>
    <cellStyle name="40% - Accent1 7 2 4 3" xfId="7729" xr:uid="{00000000-0005-0000-0000-0000A1160000}"/>
    <cellStyle name="40% - Accent1 7 2 5" xfId="7730" xr:uid="{00000000-0005-0000-0000-0000A2160000}"/>
    <cellStyle name="40% - Accent1 7 2 6" xfId="7731" xr:uid="{00000000-0005-0000-0000-0000A3160000}"/>
    <cellStyle name="40% - Accent1 7 2 7" xfId="7732" xr:uid="{00000000-0005-0000-0000-0000A4160000}"/>
    <cellStyle name="40% - Accent1 7 2 8" xfId="7733" xr:uid="{00000000-0005-0000-0000-0000A5160000}"/>
    <cellStyle name="40% - Accent1 7 3" xfId="1007" xr:uid="{00000000-0005-0000-0000-0000A6160000}"/>
    <cellStyle name="40% - Accent1 7 3 2" xfId="7734" xr:uid="{00000000-0005-0000-0000-0000A7160000}"/>
    <cellStyle name="40% - Accent1 7 3 2 2" xfId="7735" xr:uid="{00000000-0005-0000-0000-0000A8160000}"/>
    <cellStyle name="40% - Accent1 7 3 2 2 2" xfId="7736" xr:uid="{00000000-0005-0000-0000-0000A9160000}"/>
    <cellStyle name="40% - Accent1 7 3 2 3" xfId="7737" xr:uid="{00000000-0005-0000-0000-0000AA160000}"/>
    <cellStyle name="40% - Accent1 7 3 3" xfId="7738" xr:uid="{00000000-0005-0000-0000-0000AB160000}"/>
    <cellStyle name="40% - Accent1 7 3 3 2" xfId="7739" xr:uid="{00000000-0005-0000-0000-0000AC160000}"/>
    <cellStyle name="40% - Accent1 7 3 3 3" xfId="7740" xr:uid="{00000000-0005-0000-0000-0000AD160000}"/>
    <cellStyle name="40% - Accent1 7 3 4" xfId="7741" xr:uid="{00000000-0005-0000-0000-0000AE160000}"/>
    <cellStyle name="40% - Accent1 7 3 5" xfId="7742" xr:uid="{00000000-0005-0000-0000-0000AF160000}"/>
    <cellStyle name="40% - Accent1 7 3 6" xfId="7743" xr:uid="{00000000-0005-0000-0000-0000B0160000}"/>
    <cellStyle name="40% - Accent1 7 4" xfId="7744" xr:uid="{00000000-0005-0000-0000-0000B1160000}"/>
    <cellStyle name="40% - Accent1 7 4 2" xfId="7745" xr:uid="{00000000-0005-0000-0000-0000B2160000}"/>
    <cellStyle name="40% - Accent1 7 4 3" xfId="7746" xr:uid="{00000000-0005-0000-0000-0000B3160000}"/>
    <cellStyle name="40% - Accent1 7 5" xfId="7747" xr:uid="{00000000-0005-0000-0000-0000B4160000}"/>
    <cellStyle name="40% - Accent1 7 5 2" xfId="7748" xr:uid="{00000000-0005-0000-0000-0000B5160000}"/>
    <cellStyle name="40% - Accent1 7 5 3" xfId="7749" xr:uid="{00000000-0005-0000-0000-0000B6160000}"/>
    <cellStyle name="40% - Accent1 7 6" xfId="7750" xr:uid="{00000000-0005-0000-0000-0000B7160000}"/>
    <cellStyle name="40% - Accent1 7 7" xfId="7751" xr:uid="{00000000-0005-0000-0000-0000B8160000}"/>
    <cellStyle name="40% - Accent1 7 8" xfId="7752" xr:uid="{00000000-0005-0000-0000-0000B9160000}"/>
    <cellStyle name="40% - Accent1 7 9" xfId="7753" xr:uid="{00000000-0005-0000-0000-0000BA160000}"/>
    <cellStyle name="40% - Accent1 8" xfId="1008" xr:uid="{00000000-0005-0000-0000-0000BB160000}"/>
    <cellStyle name="40% - Accent1 8 10" xfId="7754" xr:uid="{00000000-0005-0000-0000-0000BC160000}"/>
    <cellStyle name="40% - Accent1 8 11" xfId="7755" xr:uid="{00000000-0005-0000-0000-0000BD160000}"/>
    <cellStyle name="40% - Accent1 8 2" xfId="1009" xr:uid="{00000000-0005-0000-0000-0000BE160000}"/>
    <cellStyle name="40% - Accent1 8 2 2" xfId="7756" xr:uid="{00000000-0005-0000-0000-0000BF160000}"/>
    <cellStyle name="40% - Accent1 8 2 2 2" xfId="7757" xr:uid="{00000000-0005-0000-0000-0000C0160000}"/>
    <cellStyle name="40% - Accent1 8 2 2 2 2" xfId="7758" xr:uid="{00000000-0005-0000-0000-0000C1160000}"/>
    <cellStyle name="40% - Accent1 8 2 2 2 3" xfId="7759" xr:uid="{00000000-0005-0000-0000-0000C2160000}"/>
    <cellStyle name="40% - Accent1 8 2 2 3" xfId="7760" xr:uid="{00000000-0005-0000-0000-0000C3160000}"/>
    <cellStyle name="40% - Accent1 8 2 2 3 2" xfId="7761" xr:uid="{00000000-0005-0000-0000-0000C4160000}"/>
    <cellStyle name="40% - Accent1 8 2 2 3 3" xfId="7762" xr:uid="{00000000-0005-0000-0000-0000C5160000}"/>
    <cellStyle name="40% - Accent1 8 2 2 4" xfId="7763" xr:uid="{00000000-0005-0000-0000-0000C6160000}"/>
    <cellStyle name="40% - Accent1 8 2 2 5" xfId="7764" xr:uid="{00000000-0005-0000-0000-0000C7160000}"/>
    <cellStyle name="40% - Accent1 8 2 2 6" xfId="7765" xr:uid="{00000000-0005-0000-0000-0000C8160000}"/>
    <cellStyle name="40% - Accent1 8 2 3" xfId="7766" xr:uid="{00000000-0005-0000-0000-0000C9160000}"/>
    <cellStyle name="40% - Accent1 8 2 3 2" xfId="7767" xr:uid="{00000000-0005-0000-0000-0000CA160000}"/>
    <cellStyle name="40% - Accent1 8 2 3 3" xfId="7768" xr:uid="{00000000-0005-0000-0000-0000CB160000}"/>
    <cellStyle name="40% - Accent1 8 2 4" xfId="7769" xr:uid="{00000000-0005-0000-0000-0000CC160000}"/>
    <cellStyle name="40% - Accent1 8 2 4 2" xfId="7770" xr:uid="{00000000-0005-0000-0000-0000CD160000}"/>
    <cellStyle name="40% - Accent1 8 2 4 3" xfId="7771" xr:uid="{00000000-0005-0000-0000-0000CE160000}"/>
    <cellStyle name="40% - Accent1 8 2 5" xfId="7772" xr:uid="{00000000-0005-0000-0000-0000CF160000}"/>
    <cellStyle name="40% - Accent1 8 2 6" xfId="7773" xr:uid="{00000000-0005-0000-0000-0000D0160000}"/>
    <cellStyle name="40% - Accent1 8 2 7" xfId="7774" xr:uid="{00000000-0005-0000-0000-0000D1160000}"/>
    <cellStyle name="40% - Accent1 8 2 8" xfId="7775" xr:uid="{00000000-0005-0000-0000-0000D2160000}"/>
    <cellStyle name="40% - Accent1 8 3" xfId="7776" xr:uid="{00000000-0005-0000-0000-0000D3160000}"/>
    <cellStyle name="40% - Accent1 8 3 2" xfId="7777" xr:uid="{00000000-0005-0000-0000-0000D4160000}"/>
    <cellStyle name="40% - Accent1 8 3 2 2" xfId="7778" xr:uid="{00000000-0005-0000-0000-0000D5160000}"/>
    <cellStyle name="40% - Accent1 8 3 2 2 2" xfId="7779" xr:uid="{00000000-0005-0000-0000-0000D6160000}"/>
    <cellStyle name="40% - Accent1 8 3 2 3" xfId="7780" xr:uid="{00000000-0005-0000-0000-0000D7160000}"/>
    <cellStyle name="40% - Accent1 8 3 3" xfId="7781" xr:uid="{00000000-0005-0000-0000-0000D8160000}"/>
    <cellStyle name="40% - Accent1 8 3 3 2" xfId="7782" xr:uid="{00000000-0005-0000-0000-0000D9160000}"/>
    <cellStyle name="40% - Accent1 8 3 3 3" xfId="7783" xr:uid="{00000000-0005-0000-0000-0000DA160000}"/>
    <cellStyle name="40% - Accent1 8 3 4" xfId="7784" xr:uid="{00000000-0005-0000-0000-0000DB160000}"/>
    <cellStyle name="40% - Accent1 8 3 5" xfId="7785" xr:uid="{00000000-0005-0000-0000-0000DC160000}"/>
    <cellStyle name="40% - Accent1 8 3 6" xfId="7786" xr:uid="{00000000-0005-0000-0000-0000DD160000}"/>
    <cellStyle name="40% - Accent1 8 4" xfId="7787" xr:uid="{00000000-0005-0000-0000-0000DE160000}"/>
    <cellStyle name="40% - Accent1 8 4 2" xfId="7788" xr:uid="{00000000-0005-0000-0000-0000DF160000}"/>
    <cellStyle name="40% - Accent1 8 4 3" xfId="7789" xr:uid="{00000000-0005-0000-0000-0000E0160000}"/>
    <cellStyle name="40% - Accent1 8 5" xfId="7790" xr:uid="{00000000-0005-0000-0000-0000E1160000}"/>
    <cellStyle name="40% - Accent1 8 5 2" xfId="7791" xr:uid="{00000000-0005-0000-0000-0000E2160000}"/>
    <cellStyle name="40% - Accent1 8 5 3" xfId="7792" xr:uid="{00000000-0005-0000-0000-0000E3160000}"/>
    <cellStyle name="40% - Accent1 8 6" xfId="7793" xr:uid="{00000000-0005-0000-0000-0000E4160000}"/>
    <cellStyle name="40% - Accent1 8 7" xfId="7794" xr:uid="{00000000-0005-0000-0000-0000E5160000}"/>
    <cellStyle name="40% - Accent1 8 8" xfId="7795" xr:uid="{00000000-0005-0000-0000-0000E6160000}"/>
    <cellStyle name="40% - Accent1 8 9" xfId="7796" xr:uid="{00000000-0005-0000-0000-0000E7160000}"/>
    <cellStyle name="40% - Accent1 9" xfId="1010" xr:uid="{00000000-0005-0000-0000-0000E8160000}"/>
    <cellStyle name="40% - Accent1 9 10" xfId="7797" xr:uid="{00000000-0005-0000-0000-0000E9160000}"/>
    <cellStyle name="40% - Accent1 9 11" xfId="7798" xr:uid="{00000000-0005-0000-0000-0000EA160000}"/>
    <cellStyle name="40% - Accent1 9 2" xfId="1011" xr:uid="{00000000-0005-0000-0000-0000EB160000}"/>
    <cellStyle name="40% - Accent1 9 2 2" xfId="7799" xr:uid="{00000000-0005-0000-0000-0000EC160000}"/>
    <cellStyle name="40% - Accent1 9 2 2 2" xfId="7800" xr:uid="{00000000-0005-0000-0000-0000ED160000}"/>
    <cellStyle name="40% - Accent1 9 2 2 2 2" xfId="7801" xr:uid="{00000000-0005-0000-0000-0000EE160000}"/>
    <cellStyle name="40% - Accent1 9 2 2 2 3" xfId="7802" xr:uid="{00000000-0005-0000-0000-0000EF160000}"/>
    <cellStyle name="40% - Accent1 9 2 2 3" xfId="7803" xr:uid="{00000000-0005-0000-0000-0000F0160000}"/>
    <cellStyle name="40% - Accent1 9 2 2 3 2" xfId="7804" xr:uid="{00000000-0005-0000-0000-0000F1160000}"/>
    <cellStyle name="40% - Accent1 9 2 2 3 3" xfId="7805" xr:uid="{00000000-0005-0000-0000-0000F2160000}"/>
    <cellStyle name="40% - Accent1 9 2 2 4" xfId="7806" xr:uid="{00000000-0005-0000-0000-0000F3160000}"/>
    <cellStyle name="40% - Accent1 9 2 2 5" xfId="7807" xr:uid="{00000000-0005-0000-0000-0000F4160000}"/>
    <cellStyle name="40% - Accent1 9 2 2 6" xfId="7808" xr:uid="{00000000-0005-0000-0000-0000F5160000}"/>
    <cellStyle name="40% - Accent1 9 2 3" xfId="7809" xr:uid="{00000000-0005-0000-0000-0000F6160000}"/>
    <cellStyle name="40% - Accent1 9 2 3 2" xfId="7810" xr:uid="{00000000-0005-0000-0000-0000F7160000}"/>
    <cellStyle name="40% - Accent1 9 2 3 3" xfId="7811" xr:uid="{00000000-0005-0000-0000-0000F8160000}"/>
    <cellStyle name="40% - Accent1 9 2 4" xfId="7812" xr:uid="{00000000-0005-0000-0000-0000F9160000}"/>
    <cellStyle name="40% - Accent1 9 2 4 2" xfId="7813" xr:uid="{00000000-0005-0000-0000-0000FA160000}"/>
    <cellStyle name="40% - Accent1 9 2 4 3" xfId="7814" xr:uid="{00000000-0005-0000-0000-0000FB160000}"/>
    <cellStyle name="40% - Accent1 9 2 5" xfId="7815" xr:uid="{00000000-0005-0000-0000-0000FC160000}"/>
    <cellStyle name="40% - Accent1 9 2 6" xfId="7816" xr:uid="{00000000-0005-0000-0000-0000FD160000}"/>
    <cellStyle name="40% - Accent1 9 2 7" xfId="7817" xr:uid="{00000000-0005-0000-0000-0000FE160000}"/>
    <cellStyle name="40% - Accent1 9 2 8" xfId="7818" xr:uid="{00000000-0005-0000-0000-0000FF160000}"/>
    <cellStyle name="40% - Accent1 9 3" xfId="7819" xr:uid="{00000000-0005-0000-0000-000000170000}"/>
    <cellStyle name="40% - Accent1 9 3 2" xfId="7820" xr:uid="{00000000-0005-0000-0000-000001170000}"/>
    <cellStyle name="40% - Accent1 9 3 2 2" xfId="7821" xr:uid="{00000000-0005-0000-0000-000002170000}"/>
    <cellStyle name="40% - Accent1 9 3 2 2 2" xfId="7822" xr:uid="{00000000-0005-0000-0000-000003170000}"/>
    <cellStyle name="40% - Accent1 9 3 2 3" xfId="7823" xr:uid="{00000000-0005-0000-0000-000004170000}"/>
    <cellStyle name="40% - Accent1 9 3 3" xfId="7824" xr:uid="{00000000-0005-0000-0000-000005170000}"/>
    <cellStyle name="40% - Accent1 9 3 3 2" xfId="7825" xr:uid="{00000000-0005-0000-0000-000006170000}"/>
    <cellStyle name="40% - Accent1 9 3 3 3" xfId="7826" xr:uid="{00000000-0005-0000-0000-000007170000}"/>
    <cellStyle name="40% - Accent1 9 3 4" xfId="7827" xr:uid="{00000000-0005-0000-0000-000008170000}"/>
    <cellStyle name="40% - Accent1 9 3 5" xfId="7828" xr:uid="{00000000-0005-0000-0000-000009170000}"/>
    <cellStyle name="40% - Accent1 9 3 6" xfId="7829" xr:uid="{00000000-0005-0000-0000-00000A170000}"/>
    <cellStyle name="40% - Accent1 9 4" xfId="7830" xr:uid="{00000000-0005-0000-0000-00000B170000}"/>
    <cellStyle name="40% - Accent1 9 4 2" xfId="7831" xr:uid="{00000000-0005-0000-0000-00000C170000}"/>
    <cellStyle name="40% - Accent1 9 4 3" xfId="7832" xr:uid="{00000000-0005-0000-0000-00000D170000}"/>
    <cellStyle name="40% - Accent1 9 5" xfId="7833" xr:uid="{00000000-0005-0000-0000-00000E170000}"/>
    <cellStyle name="40% - Accent1 9 5 2" xfId="7834" xr:uid="{00000000-0005-0000-0000-00000F170000}"/>
    <cellStyle name="40% - Accent1 9 5 3" xfId="7835" xr:uid="{00000000-0005-0000-0000-000010170000}"/>
    <cellStyle name="40% - Accent1 9 6" xfId="7836" xr:uid="{00000000-0005-0000-0000-000011170000}"/>
    <cellStyle name="40% - Accent1 9 7" xfId="7837" xr:uid="{00000000-0005-0000-0000-000012170000}"/>
    <cellStyle name="40% - Accent1 9 8" xfId="7838" xr:uid="{00000000-0005-0000-0000-000013170000}"/>
    <cellStyle name="40% - Accent1 9 9" xfId="7839" xr:uid="{00000000-0005-0000-0000-000014170000}"/>
    <cellStyle name="40% - Accent2 10" xfId="1012" xr:uid="{00000000-0005-0000-0000-000015170000}"/>
    <cellStyle name="40% - Accent2 10 10" xfId="7840" xr:uid="{00000000-0005-0000-0000-000016170000}"/>
    <cellStyle name="40% - Accent2 10 11" xfId="7841" xr:uid="{00000000-0005-0000-0000-000017170000}"/>
    <cellStyle name="40% - Accent2 10 2" xfId="1013" xr:uid="{00000000-0005-0000-0000-000018170000}"/>
    <cellStyle name="40% - Accent2 10 2 2" xfId="7842" xr:uid="{00000000-0005-0000-0000-000019170000}"/>
    <cellStyle name="40% - Accent2 10 2 2 2" xfId="7843" xr:uid="{00000000-0005-0000-0000-00001A170000}"/>
    <cellStyle name="40% - Accent2 10 2 2 2 2" xfId="7844" xr:uid="{00000000-0005-0000-0000-00001B170000}"/>
    <cellStyle name="40% - Accent2 10 2 2 2 3" xfId="7845" xr:uid="{00000000-0005-0000-0000-00001C170000}"/>
    <cellStyle name="40% - Accent2 10 2 2 3" xfId="7846" xr:uid="{00000000-0005-0000-0000-00001D170000}"/>
    <cellStyle name="40% - Accent2 10 2 2 3 2" xfId="7847" xr:uid="{00000000-0005-0000-0000-00001E170000}"/>
    <cellStyle name="40% - Accent2 10 2 2 3 3" xfId="7848" xr:uid="{00000000-0005-0000-0000-00001F170000}"/>
    <cellStyle name="40% - Accent2 10 2 2 4" xfId="7849" xr:uid="{00000000-0005-0000-0000-000020170000}"/>
    <cellStyle name="40% - Accent2 10 2 2 5" xfId="7850" xr:uid="{00000000-0005-0000-0000-000021170000}"/>
    <cellStyle name="40% - Accent2 10 2 2 6" xfId="7851" xr:uid="{00000000-0005-0000-0000-000022170000}"/>
    <cellStyle name="40% - Accent2 10 2 3" xfId="7852" xr:uid="{00000000-0005-0000-0000-000023170000}"/>
    <cellStyle name="40% - Accent2 10 2 3 2" xfId="7853" xr:uid="{00000000-0005-0000-0000-000024170000}"/>
    <cellStyle name="40% - Accent2 10 2 3 3" xfId="7854" xr:uid="{00000000-0005-0000-0000-000025170000}"/>
    <cellStyle name="40% - Accent2 10 2 4" xfId="7855" xr:uid="{00000000-0005-0000-0000-000026170000}"/>
    <cellStyle name="40% - Accent2 10 2 4 2" xfId="7856" xr:uid="{00000000-0005-0000-0000-000027170000}"/>
    <cellStyle name="40% - Accent2 10 2 4 3" xfId="7857" xr:uid="{00000000-0005-0000-0000-000028170000}"/>
    <cellStyle name="40% - Accent2 10 2 5" xfId="7858" xr:uid="{00000000-0005-0000-0000-000029170000}"/>
    <cellStyle name="40% - Accent2 10 2 6" xfId="7859" xr:uid="{00000000-0005-0000-0000-00002A170000}"/>
    <cellStyle name="40% - Accent2 10 2 7" xfId="7860" xr:uid="{00000000-0005-0000-0000-00002B170000}"/>
    <cellStyle name="40% - Accent2 10 2 8" xfId="7861" xr:uid="{00000000-0005-0000-0000-00002C170000}"/>
    <cellStyle name="40% - Accent2 10 3" xfId="7862" xr:uid="{00000000-0005-0000-0000-00002D170000}"/>
    <cellStyle name="40% - Accent2 10 3 2" xfId="7863" xr:uid="{00000000-0005-0000-0000-00002E170000}"/>
    <cellStyle name="40% - Accent2 10 3 2 2" xfId="7864" xr:uid="{00000000-0005-0000-0000-00002F170000}"/>
    <cellStyle name="40% - Accent2 10 3 2 3" xfId="7865" xr:uid="{00000000-0005-0000-0000-000030170000}"/>
    <cellStyle name="40% - Accent2 10 3 3" xfId="7866" xr:uid="{00000000-0005-0000-0000-000031170000}"/>
    <cellStyle name="40% - Accent2 10 3 3 2" xfId="7867" xr:uid="{00000000-0005-0000-0000-000032170000}"/>
    <cellStyle name="40% - Accent2 10 3 3 3" xfId="7868" xr:uid="{00000000-0005-0000-0000-000033170000}"/>
    <cellStyle name="40% - Accent2 10 3 4" xfId="7869" xr:uid="{00000000-0005-0000-0000-000034170000}"/>
    <cellStyle name="40% - Accent2 10 3 5" xfId="7870" xr:uid="{00000000-0005-0000-0000-000035170000}"/>
    <cellStyle name="40% - Accent2 10 3 6" xfId="7871" xr:uid="{00000000-0005-0000-0000-000036170000}"/>
    <cellStyle name="40% - Accent2 10 4" xfId="7872" xr:uid="{00000000-0005-0000-0000-000037170000}"/>
    <cellStyle name="40% - Accent2 10 4 2" xfId="7873" xr:uid="{00000000-0005-0000-0000-000038170000}"/>
    <cellStyle name="40% - Accent2 10 4 3" xfId="7874" xr:uid="{00000000-0005-0000-0000-000039170000}"/>
    <cellStyle name="40% - Accent2 10 5" xfId="7875" xr:uid="{00000000-0005-0000-0000-00003A170000}"/>
    <cellStyle name="40% - Accent2 10 5 2" xfId="7876" xr:uid="{00000000-0005-0000-0000-00003B170000}"/>
    <cellStyle name="40% - Accent2 10 5 3" xfId="7877" xr:uid="{00000000-0005-0000-0000-00003C170000}"/>
    <cellStyle name="40% - Accent2 10 6" xfId="7878" xr:uid="{00000000-0005-0000-0000-00003D170000}"/>
    <cellStyle name="40% - Accent2 10 7" xfId="7879" xr:uid="{00000000-0005-0000-0000-00003E170000}"/>
    <cellStyle name="40% - Accent2 10 8" xfId="7880" xr:uid="{00000000-0005-0000-0000-00003F170000}"/>
    <cellStyle name="40% - Accent2 10 9" xfId="7881" xr:uid="{00000000-0005-0000-0000-000040170000}"/>
    <cellStyle name="40% - Accent2 11" xfId="1014" xr:uid="{00000000-0005-0000-0000-000041170000}"/>
    <cellStyle name="40% - Accent2 11 10" xfId="7882" xr:uid="{00000000-0005-0000-0000-000042170000}"/>
    <cellStyle name="40% - Accent2 11 2" xfId="1015" xr:uid="{00000000-0005-0000-0000-000043170000}"/>
    <cellStyle name="40% - Accent2 11 2 2" xfId="7883" xr:uid="{00000000-0005-0000-0000-000044170000}"/>
    <cellStyle name="40% - Accent2 11 2 2 2" xfId="7884" xr:uid="{00000000-0005-0000-0000-000045170000}"/>
    <cellStyle name="40% - Accent2 11 2 2 3" xfId="7885" xr:uid="{00000000-0005-0000-0000-000046170000}"/>
    <cellStyle name="40% - Accent2 11 2 3" xfId="7886" xr:uid="{00000000-0005-0000-0000-000047170000}"/>
    <cellStyle name="40% - Accent2 11 2 3 2" xfId="7887" xr:uid="{00000000-0005-0000-0000-000048170000}"/>
    <cellStyle name="40% - Accent2 11 2 3 3" xfId="7888" xr:uid="{00000000-0005-0000-0000-000049170000}"/>
    <cellStyle name="40% - Accent2 11 2 4" xfId="7889" xr:uid="{00000000-0005-0000-0000-00004A170000}"/>
    <cellStyle name="40% - Accent2 11 2 5" xfId="7890" xr:uid="{00000000-0005-0000-0000-00004B170000}"/>
    <cellStyle name="40% - Accent2 11 2 6" xfId="7891" xr:uid="{00000000-0005-0000-0000-00004C170000}"/>
    <cellStyle name="40% - Accent2 11 3" xfId="7892" xr:uid="{00000000-0005-0000-0000-00004D170000}"/>
    <cellStyle name="40% - Accent2 11 3 2" xfId="7893" xr:uid="{00000000-0005-0000-0000-00004E170000}"/>
    <cellStyle name="40% - Accent2 11 3 3" xfId="7894" xr:uid="{00000000-0005-0000-0000-00004F170000}"/>
    <cellStyle name="40% - Accent2 11 4" xfId="7895" xr:uid="{00000000-0005-0000-0000-000050170000}"/>
    <cellStyle name="40% - Accent2 11 4 2" xfId="7896" xr:uid="{00000000-0005-0000-0000-000051170000}"/>
    <cellStyle name="40% - Accent2 11 4 3" xfId="7897" xr:uid="{00000000-0005-0000-0000-000052170000}"/>
    <cellStyle name="40% - Accent2 11 5" xfId="7898" xr:uid="{00000000-0005-0000-0000-000053170000}"/>
    <cellStyle name="40% - Accent2 11 6" xfId="7899" xr:uid="{00000000-0005-0000-0000-000054170000}"/>
    <cellStyle name="40% - Accent2 11 7" xfId="7900" xr:uid="{00000000-0005-0000-0000-000055170000}"/>
    <cellStyle name="40% - Accent2 11 8" xfId="7901" xr:uid="{00000000-0005-0000-0000-000056170000}"/>
    <cellStyle name="40% - Accent2 11 9" xfId="7902" xr:uid="{00000000-0005-0000-0000-000057170000}"/>
    <cellStyle name="40% - Accent2 12" xfId="1016" xr:uid="{00000000-0005-0000-0000-000058170000}"/>
    <cellStyle name="40% - Accent2 12 2" xfId="1017" xr:uid="{00000000-0005-0000-0000-000059170000}"/>
    <cellStyle name="40% - Accent2 12 3" xfId="7903" xr:uid="{00000000-0005-0000-0000-00005A170000}"/>
    <cellStyle name="40% - Accent2 12 4" xfId="7904" xr:uid="{00000000-0005-0000-0000-00005B170000}"/>
    <cellStyle name="40% - Accent2 12 5" xfId="7905" xr:uid="{00000000-0005-0000-0000-00005C170000}"/>
    <cellStyle name="40% - Accent2 13" xfId="1018" xr:uid="{00000000-0005-0000-0000-00005D170000}"/>
    <cellStyle name="40% - Accent2 13 2" xfId="1019" xr:uid="{00000000-0005-0000-0000-00005E170000}"/>
    <cellStyle name="40% - Accent2 13 3" xfId="7906" xr:uid="{00000000-0005-0000-0000-00005F170000}"/>
    <cellStyle name="40% - Accent2 13 4" xfId="7907" xr:uid="{00000000-0005-0000-0000-000060170000}"/>
    <cellStyle name="40% - Accent2 14" xfId="1020" xr:uid="{00000000-0005-0000-0000-000061170000}"/>
    <cellStyle name="40% - Accent2 14 2" xfId="1021" xr:uid="{00000000-0005-0000-0000-000062170000}"/>
    <cellStyle name="40% - Accent2 14 3" xfId="7908" xr:uid="{00000000-0005-0000-0000-000063170000}"/>
    <cellStyle name="40% - Accent2 15" xfId="1022" xr:uid="{00000000-0005-0000-0000-000064170000}"/>
    <cellStyle name="40% - Accent2 15 2" xfId="1023" xr:uid="{00000000-0005-0000-0000-000065170000}"/>
    <cellStyle name="40% - Accent2 15 3" xfId="7909" xr:uid="{00000000-0005-0000-0000-000066170000}"/>
    <cellStyle name="40% - Accent2 16" xfId="1024" xr:uid="{00000000-0005-0000-0000-000067170000}"/>
    <cellStyle name="40% - Accent2 16 2" xfId="1025" xr:uid="{00000000-0005-0000-0000-000068170000}"/>
    <cellStyle name="40% - Accent2 17" xfId="1026" xr:uid="{00000000-0005-0000-0000-000069170000}"/>
    <cellStyle name="40% - Accent2 17 2" xfId="1027" xr:uid="{00000000-0005-0000-0000-00006A170000}"/>
    <cellStyle name="40% - Accent2 18" xfId="1028" xr:uid="{00000000-0005-0000-0000-00006B170000}"/>
    <cellStyle name="40% - Accent2 18 2" xfId="1029" xr:uid="{00000000-0005-0000-0000-00006C170000}"/>
    <cellStyle name="40% - Accent2 19" xfId="1030" xr:uid="{00000000-0005-0000-0000-00006D170000}"/>
    <cellStyle name="40% - Accent2 19 2" xfId="1031" xr:uid="{00000000-0005-0000-0000-00006E170000}"/>
    <cellStyle name="40% - Accent2 2" xfId="1032" xr:uid="{00000000-0005-0000-0000-00006F170000}"/>
    <cellStyle name="40% - Accent2 2 10" xfId="7910" xr:uid="{00000000-0005-0000-0000-000070170000}"/>
    <cellStyle name="40% - Accent2 2 11" xfId="7911" xr:uid="{00000000-0005-0000-0000-000071170000}"/>
    <cellStyle name="40% - Accent2 2 12" xfId="7912" xr:uid="{00000000-0005-0000-0000-000072170000}"/>
    <cellStyle name="40% - Accent2 2 13" xfId="7913" xr:uid="{00000000-0005-0000-0000-000073170000}"/>
    <cellStyle name="40% - Accent2 2 2" xfId="1033" xr:uid="{00000000-0005-0000-0000-000074170000}"/>
    <cellStyle name="40% - Accent2 2 2 10" xfId="7914" xr:uid="{00000000-0005-0000-0000-000075170000}"/>
    <cellStyle name="40% - Accent2 2 2 11" xfId="7915" xr:uid="{00000000-0005-0000-0000-000076170000}"/>
    <cellStyle name="40% - Accent2 2 2 12" xfId="7916" xr:uid="{00000000-0005-0000-0000-000077170000}"/>
    <cellStyle name="40% - Accent2 2 2 13" xfId="7917" xr:uid="{00000000-0005-0000-0000-000078170000}"/>
    <cellStyle name="40% - Accent2 2 2 2" xfId="1034" xr:uid="{00000000-0005-0000-0000-000079170000}"/>
    <cellStyle name="40% - Accent2 2 2 2 10" xfId="7918" xr:uid="{00000000-0005-0000-0000-00007A170000}"/>
    <cellStyle name="40% - Accent2 2 2 2 2" xfId="1035" xr:uid="{00000000-0005-0000-0000-00007B170000}"/>
    <cellStyle name="40% - Accent2 2 2 2 2 2" xfId="1036" xr:uid="{00000000-0005-0000-0000-00007C170000}"/>
    <cellStyle name="40% - Accent2 2 2 2 2 2 2" xfId="1037" xr:uid="{00000000-0005-0000-0000-00007D170000}"/>
    <cellStyle name="40% - Accent2 2 2 2 2 2 2 2" xfId="53722" xr:uid="{00000000-0005-0000-0000-00007E170000}"/>
    <cellStyle name="40% - Accent2 2 2 2 2 2 3" xfId="1038" xr:uid="{00000000-0005-0000-0000-00007F170000}"/>
    <cellStyle name="40% - Accent2 2 2 2 2 2 4" xfId="7919" xr:uid="{00000000-0005-0000-0000-000080170000}"/>
    <cellStyle name="40% - Accent2 2 2 2 2 2 5" xfId="7920" xr:uid="{00000000-0005-0000-0000-000081170000}"/>
    <cellStyle name="40% - Accent2 2 2 2 2 3" xfId="1039" xr:uid="{00000000-0005-0000-0000-000082170000}"/>
    <cellStyle name="40% - Accent2 2 2 2 2 3 2" xfId="7921" xr:uid="{00000000-0005-0000-0000-000083170000}"/>
    <cellStyle name="40% - Accent2 2 2 2 2 3 2 2" xfId="53723" xr:uid="{00000000-0005-0000-0000-000084170000}"/>
    <cellStyle name="40% - Accent2 2 2 2 2 3 3" xfId="7922" xr:uid="{00000000-0005-0000-0000-000085170000}"/>
    <cellStyle name="40% - Accent2 2 2 2 2 4" xfId="1040" xr:uid="{00000000-0005-0000-0000-000086170000}"/>
    <cellStyle name="40% - Accent2 2 2 2 2 4 2" xfId="53724" xr:uid="{00000000-0005-0000-0000-000087170000}"/>
    <cellStyle name="40% - Accent2 2 2 2 2 5" xfId="7923" xr:uid="{00000000-0005-0000-0000-000088170000}"/>
    <cellStyle name="40% - Accent2 2 2 2 2 6" xfId="7924" xr:uid="{00000000-0005-0000-0000-000089170000}"/>
    <cellStyle name="40% - Accent2 2 2 2 2 7" xfId="7925" xr:uid="{00000000-0005-0000-0000-00008A170000}"/>
    <cellStyle name="40% - Accent2 2 2 2 2 8" xfId="7926" xr:uid="{00000000-0005-0000-0000-00008B170000}"/>
    <cellStyle name="40% - Accent2 2 2 2 3" xfId="1041" xr:uid="{00000000-0005-0000-0000-00008C170000}"/>
    <cellStyle name="40% - Accent2 2 2 2 3 2" xfId="1042" xr:uid="{00000000-0005-0000-0000-00008D170000}"/>
    <cellStyle name="40% - Accent2 2 2 2 3 2 2" xfId="1043" xr:uid="{00000000-0005-0000-0000-00008E170000}"/>
    <cellStyle name="40% - Accent2 2 2 2 3 2 3" xfId="7927" xr:uid="{00000000-0005-0000-0000-00008F170000}"/>
    <cellStyle name="40% - Accent2 2 2 2 3 3" xfId="1044" xr:uid="{00000000-0005-0000-0000-000090170000}"/>
    <cellStyle name="40% - Accent2 2 2 2 3 4" xfId="7928" xr:uid="{00000000-0005-0000-0000-000091170000}"/>
    <cellStyle name="40% - Accent2 2 2 2 3 5" xfId="7929" xr:uid="{00000000-0005-0000-0000-000092170000}"/>
    <cellStyle name="40% - Accent2 2 2 2 4" xfId="1045" xr:uid="{00000000-0005-0000-0000-000093170000}"/>
    <cellStyle name="40% - Accent2 2 2 2 4 2" xfId="1046" xr:uid="{00000000-0005-0000-0000-000094170000}"/>
    <cellStyle name="40% - Accent2 2 2 2 4 2 2" xfId="53725" xr:uid="{00000000-0005-0000-0000-000095170000}"/>
    <cellStyle name="40% - Accent2 2 2 2 4 3" xfId="7930" xr:uid="{00000000-0005-0000-0000-000096170000}"/>
    <cellStyle name="40% - Accent2 2 2 2 4 4" xfId="7931" xr:uid="{00000000-0005-0000-0000-000097170000}"/>
    <cellStyle name="40% - Accent2 2 2 2 4 5" xfId="7932" xr:uid="{00000000-0005-0000-0000-000098170000}"/>
    <cellStyle name="40% - Accent2 2 2 2 5" xfId="1047" xr:uid="{00000000-0005-0000-0000-000099170000}"/>
    <cellStyle name="40% - Accent2 2 2 2 5 2" xfId="7933" xr:uid="{00000000-0005-0000-0000-00009A170000}"/>
    <cellStyle name="40% - Accent2 2 2 2 5 3" xfId="7934" xr:uid="{00000000-0005-0000-0000-00009B170000}"/>
    <cellStyle name="40% - Accent2 2 2 2 6" xfId="7935" xr:uid="{00000000-0005-0000-0000-00009C170000}"/>
    <cellStyle name="40% - Accent2 2 2 2 7" xfId="7936" xr:uid="{00000000-0005-0000-0000-00009D170000}"/>
    <cellStyle name="40% - Accent2 2 2 2 8" xfId="7937" xr:uid="{00000000-0005-0000-0000-00009E170000}"/>
    <cellStyle name="40% - Accent2 2 2 2 9" xfId="7938" xr:uid="{00000000-0005-0000-0000-00009F170000}"/>
    <cellStyle name="40% - Accent2 2 2 3" xfId="1048" xr:uid="{00000000-0005-0000-0000-0000A0170000}"/>
    <cellStyle name="40% - Accent2 2 2 3 2" xfId="1049" xr:uid="{00000000-0005-0000-0000-0000A1170000}"/>
    <cellStyle name="40% - Accent2 2 2 3 2 2" xfId="1050" xr:uid="{00000000-0005-0000-0000-0000A2170000}"/>
    <cellStyle name="40% - Accent2 2 2 3 2 2 2" xfId="53726" xr:uid="{00000000-0005-0000-0000-0000A3170000}"/>
    <cellStyle name="40% - Accent2 2 2 3 2 2 2 2" xfId="53727" xr:uid="{00000000-0005-0000-0000-0000A4170000}"/>
    <cellStyle name="40% - Accent2 2 2 3 2 2 3" xfId="53728" xr:uid="{00000000-0005-0000-0000-0000A5170000}"/>
    <cellStyle name="40% - Accent2 2 2 3 2 3" xfId="1051" xr:uid="{00000000-0005-0000-0000-0000A6170000}"/>
    <cellStyle name="40% - Accent2 2 2 3 2 3 2" xfId="53729" xr:uid="{00000000-0005-0000-0000-0000A7170000}"/>
    <cellStyle name="40% - Accent2 2 2 3 2 3 2 2" xfId="53730" xr:uid="{00000000-0005-0000-0000-0000A8170000}"/>
    <cellStyle name="40% - Accent2 2 2 3 2 3 3" xfId="53731" xr:uid="{00000000-0005-0000-0000-0000A9170000}"/>
    <cellStyle name="40% - Accent2 2 2 3 2 4" xfId="7939" xr:uid="{00000000-0005-0000-0000-0000AA170000}"/>
    <cellStyle name="40% - Accent2 2 2 3 2 4 2" xfId="53732" xr:uid="{00000000-0005-0000-0000-0000AB170000}"/>
    <cellStyle name="40% - Accent2 2 2 3 2 5" xfId="7940" xr:uid="{00000000-0005-0000-0000-0000AC170000}"/>
    <cellStyle name="40% - Accent2 2 2 3 3" xfId="1052" xr:uid="{00000000-0005-0000-0000-0000AD170000}"/>
    <cellStyle name="40% - Accent2 2 2 3 3 2" xfId="7941" xr:uid="{00000000-0005-0000-0000-0000AE170000}"/>
    <cellStyle name="40% - Accent2 2 2 3 3 2 2" xfId="53733" xr:uid="{00000000-0005-0000-0000-0000AF170000}"/>
    <cellStyle name="40% - Accent2 2 2 3 3 3" xfId="7942" xr:uid="{00000000-0005-0000-0000-0000B0170000}"/>
    <cellStyle name="40% - Accent2 2 2 3 4" xfId="1053" xr:uid="{00000000-0005-0000-0000-0000B1170000}"/>
    <cellStyle name="40% - Accent2 2 2 3 4 2" xfId="53734" xr:uid="{00000000-0005-0000-0000-0000B2170000}"/>
    <cellStyle name="40% - Accent2 2 2 3 4 2 2" xfId="53735" xr:uid="{00000000-0005-0000-0000-0000B3170000}"/>
    <cellStyle name="40% - Accent2 2 2 3 4 3" xfId="53736" xr:uid="{00000000-0005-0000-0000-0000B4170000}"/>
    <cellStyle name="40% - Accent2 2 2 3 5" xfId="7943" xr:uid="{00000000-0005-0000-0000-0000B5170000}"/>
    <cellStyle name="40% - Accent2 2 2 3 5 2" xfId="53737" xr:uid="{00000000-0005-0000-0000-0000B6170000}"/>
    <cellStyle name="40% - Accent2 2 2 3 6" xfId="7944" xr:uid="{00000000-0005-0000-0000-0000B7170000}"/>
    <cellStyle name="40% - Accent2 2 2 3 7" xfId="7945" xr:uid="{00000000-0005-0000-0000-0000B8170000}"/>
    <cellStyle name="40% - Accent2 2 2 3 8" xfId="7946" xr:uid="{00000000-0005-0000-0000-0000B9170000}"/>
    <cellStyle name="40% - Accent2 2 2 4" xfId="1054" xr:uid="{00000000-0005-0000-0000-0000BA170000}"/>
    <cellStyle name="40% - Accent2 2 2 4 2" xfId="1055" xr:uid="{00000000-0005-0000-0000-0000BB170000}"/>
    <cellStyle name="40% - Accent2 2 2 4 2 2" xfId="1056" xr:uid="{00000000-0005-0000-0000-0000BC170000}"/>
    <cellStyle name="40% - Accent2 2 2 4 2 2 2" xfId="53738" xr:uid="{00000000-0005-0000-0000-0000BD170000}"/>
    <cellStyle name="40% - Accent2 2 2 4 2 3" xfId="7947" xr:uid="{00000000-0005-0000-0000-0000BE170000}"/>
    <cellStyle name="40% - Accent2 2 2 4 3" xfId="1057" xr:uid="{00000000-0005-0000-0000-0000BF170000}"/>
    <cellStyle name="40% - Accent2 2 2 4 3 2" xfId="53739" xr:uid="{00000000-0005-0000-0000-0000C0170000}"/>
    <cellStyle name="40% - Accent2 2 2 4 3 2 2" xfId="53740" xr:uid="{00000000-0005-0000-0000-0000C1170000}"/>
    <cellStyle name="40% - Accent2 2 2 4 3 3" xfId="53741" xr:uid="{00000000-0005-0000-0000-0000C2170000}"/>
    <cellStyle name="40% - Accent2 2 2 4 4" xfId="7948" xr:uid="{00000000-0005-0000-0000-0000C3170000}"/>
    <cellStyle name="40% - Accent2 2 2 4 4 2" xfId="53742" xr:uid="{00000000-0005-0000-0000-0000C4170000}"/>
    <cellStyle name="40% - Accent2 2 2 4 5" xfId="7949" xr:uid="{00000000-0005-0000-0000-0000C5170000}"/>
    <cellStyle name="40% - Accent2 2 2 5" xfId="1058" xr:uid="{00000000-0005-0000-0000-0000C6170000}"/>
    <cellStyle name="40% - Accent2 2 2 5 2" xfId="1059" xr:uid="{00000000-0005-0000-0000-0000C7170000}"/>
    <cellStyle name="40% - Accent2 2 2 5 2 2" xfId="53743" xr:uid="{00000000-0005-0000-0000-0000C8170000}"/>
    <cellStyle name="40% - Accent2 2 2 5 3" xfId="7950" xr:uid="{00000000-0005-0000-0000-0000C9170000}"/>
    <cellStyle name="40% - Accent2 2 2 5 4" xfId="7951" xr:uid="{00000000-0005-0000-0000-0000CA170000}"/>
    <cellStyle name="40% - Accent2 2 2 5 5" xfId="7952" xr:uid="{00000000-0005-0000-0000-0000CB170000}"/>
    <cellStyle name="40% - Accent2 2 2 6" xfId="1060" xr:uid="{00000000-0005-0000-0000-0000CC170000}"/>
    <cellStyle name="40% - Accent2 2 2 6 2" xfId="7953" xr:uid="{00000000-0005-0000-0000-0000CD170000}"/>
    <cellStyle name="40% - Accent2 2 2 6 2 2" xfId="53744" xr:uid="{00000000-0005-0000-0000-0000CE170000}"/>
    <cellStyle name="40% - Accent2 2 2 6 3" xfId="7954" xr:uid="{00000000-0005-0000-0000-0000CF170000}"/>
    <cellStyle name="40% - Accent2 2 2 7" xfId="7955" xr:uid="{00000000-0005-0000-0000-0000D0170000}"/>
    <cellStyle name="40% - Accent2 2 2 7 2" xfId="53745" xr:uid="{00000000-0005-0000-0000-0000D1170000}"/>
    <cellStyle name="40% - Accent2 2 2 8" xfId="7956" xr:uid="{00000000-0005-0000-0000-0000D2170000}"/>
    <cellStyle name="40% - Accent2 2 2 9" xfId="7957" xr:uid="{00000000-0005-0000-0000-0000D3170000}"/>
    <cellStyle name="40% - Accent2 2 3" xfId="1061" xr:uid="{00000000-0005-0000-0000-0000D4170000}"/>
    <cellStyle name="40% - Accent2 2 3 10" xfId="7958" xr:uid="{00000000-0005-0000-0000-0000D5170000}"/>
    <cellStyle name="40% - Accent2 2 3 2" xfId="1062" xr:uid="{00000000-0005-0000-0000-0000D6170000}"/>
    <cellStyle name="40% - Accent2 2 3 2 2" xfId="1063" xr:uid="{00000000-0005-0000-0000-0000D7170000}"/>
    <cellStyle name="40% - Accent2 2 3 2 2 2" xfId="1064" xr:uid="{00000000-0005-0000-0000-0000D8170000}"/>
    <cellStyle name="40% - Accent2 2 3 2 2 2 2" xfId="53746" xr:uid="{00000000-0005-0000-0000-0000D9170000}"/>
    <cellStyle name="40% - Accent2 2 3 2 2 3" xfId="1065" xr:uid="{00000000-0005-0000-0000-0000DA170000}"/>
    <cellStyle name="40% - Accent2 2 3 2 2 4" xfId="7959" xr:uid="{00000000-0005-0000-0000-0000DB170000}"/>
    <cellStyle name="40% - Accent2 2 3 2 2 5" xfId="7960" xr:uid="{00000000-0005-0000-0000-0000DC170000}"/>
    <cellStyle name="40% - Accent2 2 3 2 3" xfId="1066" xr:uid="{00000000-0005-0000-0000-0000DD170000}"/>
    <cellStyle name="40% - Accent2 2 3 2 3 2" xfId="7961" xr:uid="{00000000-0005-0000-0000-0000DE170000}"/>
    <cellStyle name="40% - Accent2 2 3 2 3 2 2" xfId="53747" xr:uid="{00000000-0005-0000-0000-0000DF170000}"/>
    <cellStyle name="40% - Accent2 2 3 2 3 3" xfId="7962" xr:uid="{00000000-0005-0000-0000-0000E0170000}"/>
    <cellStyle name="40% - Accent2 2 3 2 4" xfId="1067" xr:uid="{00000000-0005-0000-0000-0000E1170000}"/>
    <cellStyle name="40% - Accent2 2 3 2 4 2" xfId="53748" xr:uid="{00000000-0005-0000-0000-0000E2170000}"/>
    <cellStyle name="40% - Accent2 2 3 2 5" xfId="7963" xr:uid="{00000000-0005-0000-0000-0000E3170000}"/>
    <cellStyle name="40% - Accent2 2 3 2 6" xfId="7964" xr:uid="{00000000-0005-0000-0000-0000E4170000}"/>
    <cellStyle name="40% - Accent2 2 3 2 7" xfId="7965" xr:uid="{00000000-0005-0000-0000-0000E5170000}"/>
    <cellStyle name="40% - Accent2 2 3 2 8" xfId="7966" xr:uid="{00000000-0005-0000-0000-0000E6170000}"/>
    <cellStyle name="40% - Accent2 2 3 3" xfId="1068" xr:uid="{00000000-0005-0000-0000-0000E7170000}"/>
    <cellStyle name="40% - Accent2 2 3 3 2" xfId="1069" xr:uid="{00000000-0005-0000-0000-0000E8170000}"/>
    <cellStyle name="40% - Accent2 2 3 3 2 2" xfId="1070" xr:uid="{00000000-0005-0000-0000-0000E9170000}"/>
    <cellStyle name="40% - Accent2 2 3 3 2 3" xfId="7967" xr:uid="{00000000-0005-0000-0000-0000EA170000}"/>
    <cellStyle name="40% - Accent2 2 3 3 3" xfId="1071" xr:uid="{00000000-0005-0000-0000-0000EB170000}"/>
    <cellStyle name="40% - Accent2 2 3 3 4" xfId="7968" xr:uid="{00000000-0005-0000-0000-0000EC170000}"/>
    <cellStyle name="40% - Accent2 2 3 3 5" xfId="7969" xr:uid="{00000000-0005-0000-0000-0000ED170000}"/>
    <cellStyle name="40% - Accent2 2 3 4" xfId="1072" xr:uid="{00000000-0005-0000-0000-0000EE170000}"/>
    <cellStyle name="40% - Accent2 2 3 4 2" xfId="1073" xr:uid="{00000000-0005-0000-0000-0000EF170000}"/>
    <cellStyle name="40% - Accent2 2 3 4 2 2" xfId="53749" xr:uid="{00000000-0005-0000-0000-0000F0170000}"/>
    <cellStyle name="40% - Accent2 2 3 4 3" xfId="7970" xr:uid="{00000000-0005-0000-0000-0000F1170000}"/>
    <cellStyle name="40% - Accent2 2 3 4 4" xfId="7971" xr:uid="{00000000-0005-0000-0000-0000F2170000}"/>
    <cellStyle name="40% - Accent2 2 3 4 5" xfId="7972" xr:uid="{00000000-0005-0000-0000-0000F3170000}"/>
    <cellStyle name="40% - Accent2 2 3 5" xfId="1074" xr:uid="{00000000-0005-0000-0000-0000F4170000}"/>
    <cellStyle name="40% - Accent2 2 3 5 2" xfId="7973" xr:uid="{00000000-0005-0000-0000-0000F5170000}"/>
    <cellStyle name="40% - Accent2 2 3 5 3" xfId="7974" xr:uid="{00000000-0005-0000-0000-0000F6170000}"/>
    <cellStyle name="40% - Accent2 2 3 6" xfId="7975" xr:uid="{00000000-0005-0000-0000-0000F7170000}"/>
    <cellStyle name="40% - Accent2 2 3 7" xfId="7976" xr:uid="{00000000-0005-0000-0000-0000F8170000}"/>
    <cellStyle name="40% - Accent2 2 3 8" xfId="7977" xr:uid="{00000000-0005-0000-0000-0000F9170000}"/>
    <cellStyle name="40% - Accent2 2 3 9" xfId="7978" xr:uid="{00000000-0005-0000-0000-0000FA170000}"/>
    <cellStyle name="40% - Accent2 2 4" xfId="1075" xr:uid="{00000000-0005-0000-0000-0000FB170000}"/>
    <cellStyle name="40% - Accent2 2 4 2" xfId="1076" xr:uid="{00000000-0005-0000-0000-0000FC170000}"/>
    <cellStyle name="40% - Accent2 2 4 2 2" xfId="1077" xr:uid="{00000000-0005-0000-0000-0000FD170000}"/>
    <cellStyle name="40% - Accent2 2 4 2 2 2" xfId="53750" xr:uid="{00000000-0005-0000-0000-0000FE170000}"/>
    <cellStyle name="40% - Accent2 2 4 2 2 2 2" xfId="53751" xr:uid="{00000000-0005-0000-0000-0000FF170000}"/>
    <cellStyle name="40% - Accent2 2 4 2 2 3" xfId="53752" xr:uid="{00000000-0005-0000-0000-000000180000}"/>
    <cellStyle name="40% - Accent2 2 4 2 3" xfId="1078" xr:uid="{00000000-0005-0000-0000-000001180000}"/>
    <cellStyle name="40% - Accent2 2 4 2 3 2" xfId="53753" xr:uid="{00000000-0005-0000-0000-000002180000}"/>
    <cellStyle name="40% - Accent2 2 4 2 3 2 2" xfId="53754" xr:uid="{00000000-0005-0000-0000-000003180000}"/>
    <cellStyle name="40% - Accent2 2 4 2 3 3" xfId="53755" xr:uid="{00000000-0005-0000-0000-000004180000}"/>
    <cellStyle name="40% - Accent2 2 4 2 4" xfId="7979" xr:uid="{00000000-0005-0000-0000-000005180000}"/>
    <cellStyle name="40% - Accent2 2 4 2 4 2" xfId="53756" xr:uid="{00000000-0005-0000-0000-000006180000}"/>
    <cellStyle name="40% - Accent2 2 4 2 5" xfId="7980" xr:uid="{00000000-0005-0000-0000-000007180000}"/>
    <cellStyle name="40% - Accent2 2 4 3" xfId="1079" xr:uid="{00000000-0005-0000-0000-000008180000}"/>
    <cellStyle name="40% - Accent2 2 4 3 2" xfId="7981" xr:uid="{00000000-0005-0000-0000-000009180000}"/>
    <cellStyle name="40% - Accent2 2 4 3 2 2" xfId="53757" xr:uid="{00000000-0005-0000-0000-00000A180000}"/>
    <cellStyle name="40% - Accent2 2 4 3 3" xfId="7982" xr:uid="{00000000-0005-0000-0000-00000B180000}"/>
    <cellStyle name="40% - Accent2 2 4 4" xfId="1080" xr:uid="{00000000-0005-0000-0000-00000C180000}"/>
    <cellStyle name="40% - Accent2 2 4 4 2" xfId="53758" xr:uid="{00000000-0005-0000-0000-00000D180000}"/>
    <cellStyle name="40% - Accent2 2 4 4 2 2" xfId="53759" xr:uid="{00000000-0005-0000-0000-00000E180000}"/>
    <cellStyle name="40% - Accent2 2 4 4 3" xfId="53760" xr:uid="{00000000-0005-0000-0000-00000F180000}"/>
    <cellStyle name="40% - Accent2 2 4 5" xfId="7983" xr:uid="{00000000-0005-0000-0000-000010180000}"/>
    <cellStyle name="40% - Accent2 2 4 5 2" xfId="53761" xr:uid="{00000000-0005-0000-0000-000011180000}"/>
    <cellStyle name="40% - Accent2 2 4 6" xfId="7984" xr:uid="{00000000-0005-0000-0000-000012180000}"/>
    <cellStyle name="40% - Accent2 2 4 7" xfId="7985" xr:uid="{00000000-0005-0000-0000-000013180000}"/>
    <cellStyle name="40% - Accent2 2 4 8" xfId="7986" xr:uid="{00000000-0005-0000-0000-000014180000}"/>
    <cellStyle name="40% - Accent2 2 5" xfId="1081" xr:uid="{00000000-0005-0000-0000-000015180000}"/>
    <cellStyle name="40% - Accent2 2 5 2" xfId="1082" xr:uid="{00000000-0005-0000-0000-000016180000}"/>
    <cellStyle name="40% - Accent2 2 5 2 2" xfId="1083" xr:uid="{00000000-0005-0000-0000-000017180000}"/>
    <cellStyle name="40% - Accent2 2 5 2 2 2" xfId="53762" xr:uid="{00000000-0005-0000-0000-000018180000}"/>
    <cellStyle name="40% - Accent2 2 5 2 3" xfId="7987" xr:uid="{00000000-0005-0000-0000-000019180000}"/>
    <cellStyle name="40% - Accent2 2 5 3" xfId="1084" xr:uid="{00000000-0005-0000-0000-00001A180000}"/>
    <cellStyle name="40% - Accent2 2 5 3 2" xfId="53763" xr:uid="{00000000-0005-0000-0000-00001B180000}"/>
    <cellStyle name="40% - Accent2 2 5 3 2 2" xfId="53764" xr:uid="{00000000-0005-0000-0000-00001C180000}"/>
    <cellStyle name="40% - Accent2 2 5 3 3" xfId="53765" xr:uid="{00000000-0005-0000-0000-00001D180000}"/>
    <cellStyle name="40% - Accent2 2 5 4" xfId="7988" xr:uid="{00000000-0005-0000-0000-00001E180000}"/>
    <cellStyle name="40% - Accent2 2 5 4 2" xfId="53766" xr:uid="{00000000-0005-0000-0000-00001F180000}"/>
    <cellStyle name="40% - Accent2 2 5 5" xfId="7989" xr:uid="{00000000-0005-0000-0000-000020180000}"/>
    <cellStyle name="40% - Accent2 2 6" xfId="1085" xr:uid="{00000000-0005-0000-0000-000021180000}"/>
    <cellStyle name="40% - Accent2 2 6 2" xfId="1086" xr:uid="{00000000-0005-0000-0000-000022180000}"/>
    <cellStyle name="40% - Accent2 2 6 2 2" xfId="53767" xr:uid="{00000000-0005-0000-0000-000023180000}"/>
    <cellStyle name="40% - Accent2 2 6 3" xfId="7990" xr:uid="{00000000-0005-0000-0000-000024180000}"/>
    <cellStyle name="40% - Accent2 2 6 4" xfId="7991" xr:uid="{00000000-0005-0000-0000-000025180000}"/>
    <cellStyle name="40% - Accent2 2 6 5" xfId="7992" xr:uid="{00000000-0005-0000-0000-000026180000}"/>
    <cellStyle name="40% - Accent2 2 7" xfId="1087" xr:uid="{00000000-0005-0000-0000-000027180000}"/>
    <cellStyle name="40% - Accent2 2 7 2" xfId="7993" xr:uid="{00000000-0005-0000-0000-000028180000}"/>
    <cellStyle name="40% - Accent2 2 7 2 2" xfId="53768" xr:uid="{00000000-0005-0000-0000-000029180000}"/>
    <cellStyle name="40% - Accent2 2 7 3" xfId="7994" xr:uid="{00000000-0005-0000-0000-00002A180000}"/>
    <cellStyle name="40% - Accent2 2 8" xfId="7995" xr:uid="{00000000-0005-0000-0000-00002B180000}"/>
    <cellStyle name="40% - Accent2 2 8 2" xfId="53769" xr:uid="{00000000-0005-0000-0000-00002C180000}"/>
    <cellStyle name="40% - Accent2 2 9" xfId="7996" xr:uid="{00000000-0005-0000-0000-00002D180000}"/>
    <cellStyle name="40% - Accent2 20" xfId="1088" xr:uid="{00000000-0005-0000-0000-00002E180000}"/>
    <cellStyle name="40% - Accent2 20 2" xfId="1089" xr:uid="{00000000-0005-0000-0000-00002F180000}"/>
    <cellStyle name="40% - Accent2 21" xfId="1090" xr:uid="{00000000-0005-0000-0000-000030180000}"/>
    <cellStyle name="40% - Accent2 21 2" xfId="1091" xr:uid="{00000000-0005-0000-0000-000031180000}"/>
    <cellStyle name="40% - Accent2 22" xfId="1092" xr:uid="{00000000-0005-0000-0000-000032180000}"/>
    <cellStyle name="40% - Accent2 22 2" xfId="1093" xr:uid="{00000000-0005-0000-0000-000033180000}"/>
    <cellStyle name="40% - Accent2 23" xfId="1094" xr:uid="{00000000-0005-0000-0000-000034180000}"/>
    <cellStyle name="40% - Accent2 23 2" xfId="1095" xr:uid="{00000000-0005-0000-0000-000035180000}"/>
    <cellStyle name="40% - Accent2 24" xfId="1096" xr:uid="{00000000-0005-0000-0000-000036180000}"/>
    <cellStyle name="40% - Accent2 24 2" xfId="1097" xr:uid="{00000000-0005-0000-0000-000037180000}"/>
    <cellStyle name="40% - Accent2 25" xfId="1098" xr:uid="{00000000-0005-0000-0000-000038180000}"/>
    <cellStyle name="40% - Accent2 25 2" xfId="1099" xr:uid="{00000000-0005-0000-0000-000039180000}"/>
    <cellStyle name="40% - Accent2 26" xfId="1100" xr:uid="{00000000-0005-0000-0000-00003A180000}"/>
    <cellStyle name="40% - Accent2 26 2" xfId="1101" xr:uid="{00000000-0005-0000-0000-00003B180000}"/>
    <cellStyle name="40% - Accent2 27" xfId="1102" xr:uid="{00000000-0005-0000-0000-00003C180000}"/>
    <cellStyle name="40% - Accent2 27 2" xfId="1103" xr:uid="{00000000-0005-0000-0000-00003D180000}"/>
    <cellStyle name="40% - Accent2 28" xfId="1104" xr:uid="{00000000-0005-0000-0000-00003E180000}"/>
    <cellStyle name="40% - Accent2 28 2" xfId="1105" xr:uid="{00000000-0005-0000-0000-00003F180000}"/>
    <cellStyle name="40% - Accent2 29" xfId="1106" xr:uid="{00000000-0005-0000-0000-000040180000}"/>
    <cellStyle name="40% - Accent2 29 2" xfId="1107" xr:uid="{00000000-0005-0000-0000-000041180000}"/>
    <cellStyle name="40% - Accent2 3" xfId="1108" xr:uid="{00000000-0005-0000-0000-000042180000}"/>
    <cellStyle name="40% - Accent2 3 10" xfId="7997" xr:uid="{00000000-0005-0000-0000-000043180000}"/>
    <cellStyle name="40% - Accent2 3 11" xfId="7998" xr:uid="{00000000-0005-0000-0000-000044180000}"/>
    <cellStyle name="40% - Accent2 3 12" xfId="7999" xr:uid="{00000000-0005-0000-0000-000045180000}"/>
    <cellStyle name="40% - Accent2 3 13" xfId="8000" xr:uid="{00000000-0005-0000-0000-000046180000}"/>
    <cellStyle name="40% - Accent2 3 2" xfId="1109" xr:uid="{00000000-0005-0000-0000-000047180000}"/>
    <cellStyle name="40% - Accent2 3 2 10" xfId="8001" xr:uid="{00000000-0005-0000-0000-000048180000}"/>
    <cellStyle name="40% - Accent2 3 2 11" xfId="8002" xr:uid="{00000000-0005-0000-0000-000049180000}"/>
    <cellStyle name="40% - Accent2 3 2 2" xfId="1110" xr:uid="{00000000-0005-0000-0000-00004A180000}"/>
    <cellStyle name="40% - Accent2 3 2 2 10" xfId="8003" xr:uid="{00000000-0005-0000-0000-00004B180000}"/>
    <cellStyle name="40% - Accent2 3 2 2 2" xfId="8004" xr:uid="{00000000-0005-0000-0000-00004C180000}"/>
    <cellStyle name="40% - Accent2 3 2 2 2 2" xfId="8005" xr:uid="{00000000-0005-0000-0000-00004D180000}"/>
    <cellStyle name="40% - Accent2 3 2 2 2 2 2" xfId="8006" xr:uid="{00000000-0005-0000-0000-00004E180000}"/>
    <cellStyle name="40% - Accent2 3 2 2 2 2 3" xfId="8007" xr:uid="{00000000-0005-0000-0000-00004F180000}"/>
    <cellStyle name="40% - Accent2 3 2 2 2 3" xfId="8008" xr:uid="{00000000-0005-0000-0000-000050180000}"/>
    <cellStyle name="40% - Accent2 3 2 2 2 3 2" xfId="8009" xr:uid="{00000000-0005-0000-0000-000051180000}"/>
    <cellStyle name="40% - Accent2 3 2 2 2 3 3" xfId="8010" xr:uid="{00000000-0005-0000-0000-000052180000}"/>
    <cellStyle name="40% - Accent2 3 2 2 2 4" xfId="8011" xr:uid="{00000000-0005-0000-0000-000053180000}"/>
    <cellStyle name="40% - Accent2 3 2 2 2 5" xfId="8012" xr:uid="{00000000-0005-0000-0000-000054180000}"/>
    <cellStyle name="40% - Accent2 3 2 2 2 6" xfId="8013" xr:uid="{00000000-0005-0000-0000-000055180000}"/>
    <cellStyle name="40% - Accent2 3 2 2 3" xfId="8014" xr:uid="{00000000-0005-0000-0000-000056180000}"/>
    <cellStyle name="40% - Accent2 3 2 2 3 2" xfId="8015" xr:uid="{00000000-0005-0000-0000-000057180000}"/>
    <cellStyle name="40% - Accent2 3 2 2 3 2 2" xfId="53770" xr:uid="{00000000-0005-0000-0000-000058180000}"/>
    <cellStyle name="40% - Accent2 3 2 2 3 3" xfId="8016" xr:uid="{00000000-0005-0000-0000-000059180000}"/>
    <cellStyle name="40% - Accent2 3 2 2 4" xfId="8017" xr:uid="{00000000-0005-0000-0000-00005A180000}"/>
    <cellStyle name="40% - Accent2 3 2 2 4 2" xfId="8018" xr:uid="{00000000-0005-0000-0000-00005B180000}"/>
    <cellStyle name="40% - Accent2 3 2 2 4 3" xfId="8019" xr:uid="{00000000-0005-0000-0000-00005C180000}"/>
    <cellStyle name="40% - Accent2 3 2 2 5" xfId="8020" xr:uid="{00000000-0005-0000-0000-00005D180000}"/>
    <cellStyle name="40% - Accent2 3 2 2 6" xfId="8021" xr:uid="{00000000-0005-0000-0000-00005E180000}"/>
    <cellStyle name="40% - Accent2 3 2 2 7" xfId="8022" xr:uid="{00000000-0005-0000-0000-00005F180000}"/>
    <cellStyle name="40% - Accent2 3 2 2 8" xfId="8023" xr:uid="{00000000-0005-0000-0000-000060180000}"/>
    <cellStyle name="40% - Accent2 3 2 2 9" xfId="8024" xr:uid="{00000000-0005-0000-0000-000061180000}"/>
    <cellStyle name="40% - Accent2 3 2 3" xfId="8025" xr:uid="{00000000-0005-0000-0000-000062180000}"/>
    <cellStyle name="40% - Accent2 3 2 3 2" xfId="8026" xr:uid="{00000000-0005-0000-0000-000063180000}"/>
    <cellStyle name="40% - Accent2 3 2 3 2 2" xfId="8027" xr:uid="{00000000-0005-0000-0000-000064180000}"/>
    <cellStyle name="40% - Accent2 3 2 3 2 3" xfId="8028" xr:uid="{00000000-0005-0000-0000-000065180000}"/>
    <cellStyle name="40% - Accent2 3 2 3 3" xfId="8029" xr:uid="{00000000-0005-0000-0000-000066180000}"/>
    <cellStyle name="40% - Accent2 3 2 3 3 2" xfId="8030" xr:uid="{00000000-0005-0000-0000-000067180000}"/>
    <cellStyle name="40% - Accent2 3 2 3 3 3" xfId="8031" xr:uid="{00000000-0005-0000-0000-000068180000}"/>
    <cellStyle name="40% - Accent2 3 2 3 4" xfId="8032" xr:uid="{00000000-0005-0000-0000-000069180000}"/>
    <cellStyle name="40% - Accent2 3 2 3 5" xfId="8033" xr:uid="{00000000-0005-0000-0000-00006A180000}"/>
    <cellStyle name="40% - Accent2 3 2 3 6" xfId="8034" xr:uid="{00000000-0005-0000-0000-00006B180000}"/>
    <cellStyle name="40% - Accent2 3 2 4" xfId="8035" xr:uid="{00000000-0005-0000-0000-00006C180000}"/>
    <cellStyle name="40% - Accent2 3 2 4 2" xfId="8036" xr:uid="{00000000-0005-0000-0000-00006D180000}"/>
    <cellStyle name="40% - Accent2 3 2 4 2 2" xfId="53771" xr:uid="{00000000-0005-0000-0000-00006E180000}"/>
    <cellStyle name="40% - Accent2 3 2 4 3" xfId="8037" xr:uid="{00000000-0005-0000-0000-00006F180000}"/>
    <cellStyle name="40% - Accent2 3 2 5" xfId="8038" xr:uid="{00000000-0005-0000-0000-000070180000}"/>
    <cellStyle name="40% - Accent2 3 2 5 2" xfId="8039" xr:uid="{00000000-0005-0000-0000-000071180000}"/>
    <cellStyle name="40% - Accent2 3 2 5 3" xfId="8040" xr:uid="{00000000-0005-0000-0000-000072180000}"/>
    <cellStyle name="40% - Accent2 3 2 6" xfId="8041" xr:uid="{00000000-0005-0000-0000-000073180000}"/>
    <cellStyle name="40% - Accent2 3 2 7" xfId="8042" xr:uid="{00000000-0005-0000-0000-000074180000}"/>
    <cellStyle name="40% - Accent2 3 2 8" xfId="8043" xr:uid="{00000000-0005-0000-0000-000075180000}"/>
    <cellStyle name="40% - Accent2 3 2 9" xfId="8044" xr:uid="{00000000-0005-0000-0000-000076180000}"/>
    <cellStyle name="40% - Accent2 3 3" xfId="1111" xr:uid="{00000000-0005-0000-0000-000077180000}"/>
    <cellStyle name="40% - Accent2 3 3 10" xfId="8045" xr:uid="{00000000-0005-0000-0000-000078180000}"/>
    <cellStyle name="40% - Accent2 3 3 2" xfId="8046" xr:uid="{00000000-0005-0000-0000-000079180000}"/>
    <cellStyle name="40% - Accent2 3 3 2 2" xfId="8047" xr:uid="{00000000-0005-0000-0000-00007A180000}"/>
    <cellStyle name="40% - Accent2 3 3 2 2 2" xfId="8048" xr:uid="{00000000-0005-0000-0000-00007B180000}"/>
    <cellStyle name="40% - Accent2 3 3 2 2 2 2" xfId="53772" xr:uid="{00000000-0005-0000-0000-00007C180000}"/>
    <cellStyle name="40% - Accent2 3 3 2 2 3" xfId="8049" xr:uid="{00000000-0005-0000-0000-00007D180000}"/>
    <cellStyle name="40% - Accent2 3 3 2 3" xfId="8050" xr:uid="{00000000-0005-0000-0000-00007E180000}"/>
    <cellStyle name="40% - Accent2 3 3 2 3 2" xfId="8051" xr:uid="{00000000-0005-0000-0000-00007F180000}"/>
    <cellStyle name="40% - Accent2 3 3 2 3 2 2" xfId="53773" xr:uid="{00000000-0005-0000-0000-000080180000}"/>
    <cellStyle name="40% - Accent2 3 3 2 3 3" xfId="8052" xr:uid="{00000000-0005-0000-0000-000081180000}"/>
    <cellStyle name="40% - Accent2 3 3 2 4" xfId="8053" xr:uid="{00000000-0005-0000-0000-000082180000}"/>
    <cellStyle name="40% - Accent2 3 3 2 4 2" xfId="53774" xr:uid="{00000000-0005-0000-0000-000083180000}"/>
    <cellStyle name="40% - Accent2 3 3 2 5" xfId="8054" xr:uid="{00000000-0005-0000-0000-000084180000}"/>
    <cellStyle name="40% - Accent2 3 3 2 6" xfId="8055" xr:uid="{00000000-0005-0000-0000-000085180000}"/>
    <cellStyle name="40% - Accent2 3 3 3" xfId="8056" xr:uid="{00000000-0005-0000-0000-000086180000}"/>
    <cellStyle name="40% - Accent2 3 3 3 2" xfId="8057" xr:uid="{00000000-0005-0000-0000-000087180000}"/>
    <cellStyle name="40% - Accent2 3 3 3 2 2" xfId="53775" xr:uid="{00000000-0005-0000-0000-000088180000}"/>
    <cellStyle name="40% - Accent2 3 3 3 3" xfId="8058" xr:uid="{00000000-0005-0000-0000-000089180000}"/>
    <cellStyle name="40% - Accent2 3 3 4" xfId="8059" xr:uid="{00000000-0005-0000-0000-00008A180000}"/>
    <cellStyle name="40% - Accent2 3 3 4 2" xfId="8060" xr:uid="{00000000-0005-0000-0000-00008B180000}"/>
    <cellStyle name="40% - Accent2 3 3 4 2 2" xfId="53776" xr:uid="{00000000-0005-0000-0000-00008C180000}"/>
    <cellStyle name="40% - Accent2 3 3 4 3" xfId="8061" xr:uid="{00000000-0005-0000-0000-00008D180000}"/>
    <cellStyle name="40% - Accent2 3 3 5" xfId="8062" xr:uid="{00000000-0005-0000-0000-00008E180000}"/>
    <cellStyle name="40% - Accent2 3 3 5 2" xfId="53777" xr:uid="{00000000-0005-0000-0000-00008F180000}"/>
    <cellStyle name="40% - Accent2 3 3 6" xfId="8063" xr:uid="{00000000-0005-0000-0000-000090180000}"/>
    <cellStyle name="40% - Accent2 3 3 7" xfId="8064" xr:uid="{00000000-0005-0000-0000-000091180000}"/>
    <cellStyle name="40% - Accent2 3 3 8" xfId="8065" xr:uid="{00000000-0005-0000-0000-000092180000}"/>
    <cellStyle name="40% - Accent2 3 3 9" xfId="8066" xr:uid="{00000000-0005-0000-0000-000093180000}"/>
    <cellStyle name="40% - Accent2 3 4" xfId="8067" xr:uid="{00000000-0005-0000-0000-000094180000}"/>
    <cellStyle name="40% - Accent2 3 4 2" xfId="8068" xr:uid="{00000000-0005-0000-0000-000095180000}"/>
    <cellStyle name="40% - Accent2 3 4 2 2" xfId="8069" xr:uid="{00000000-0005-0000-0000-000096180000}"/>
    <cellStyle name="40% - Accent2 3 4 2 2 2" xfId="53778" xr:uid="{00000000-0005-0000-0000-000097180000}"/>
    <cellStyle name="40% - Accent2 3 4 2 3" xfId="8070" xr:uid="{00000000-0005-0000-0000-000098180000}"/>
    <cellStyle name="40% - Accent2 3 4 3" xfId="8071" xr:uid="{00000000-0005-0000-0000-000099180000}"/>
    <cellStyle name="40% - Accent2 3 4 3 2" xfId="8072" xr:uid="{00000000-0005-0000-0000-00009A180000}"/>
    <cellStyle name="40% - Accent2 3 4 3 2 2" xfId="53779" xr:uid="{00000000-0005-0000-0000-00009B180000}"/>
    <cellStyle name="40% - Accent2 3 4 3 3" xfId="8073" xr:uid="{00000000-0005-0000-0000-00009C180000}"/>
    <cellStyle name="40% - Accent2 3 4 4" xfId="8074" xr:uid="{00000000-0005-0000-0000-00009D180000}"/>
    <cellStyle name="40% - Accent2 3 4 4 2" xfId="53780" xr:uid="{00000000-0005-0000-0000-00009E180000}"/>
    <cellStyle name="40% - Accent2 3 4 5" xfId="8075" xr:uid="{00000000-0005-0000-0000-00009F180000}"/>
    <cellStyle name="40% - Accent2 3 4 6" xfId="8076" xr:uid="{00000000-0005-0000-0000-0000A0180000}"/>
    <cellStyle name="40% - Accent2 3 5" xfId="8077" xr:uid="{00000000-0005-0000-0000-0000A1180000}"/>
    <cellStyle name="40% - Accent2 3 5 2" xfId="8078" xr:uid="{00000000-0005-0000-0000-0000A2180000}"/>
    <cellStyle name="40% - Accent2 3 5 2 2" xfId="53781" xr:uid="{00000000-0005-0000-0000-0000A3180000}"/>
    <cellStyle name="40% - Accent2 3 5 3" xfId="8079" xr:uid="{00000000-0005-0000-0000-0000A4180000}"/>
    <cellStyle name="40% - Accent2 3 6" xfId="8080" xr:uid="{00000000-0005-0000-0000-0000A5180000}"/>
    <cellStyle name="40% - Accent2 3 6 2" xfId="8081" xr:uid="{00000000-0005-0000-0000-0000A6180000}"/>
    <cellStyle name="40% - Accent2 3 6 2 2" xfId="53782" xr:uid="{00000000-0005-0000-0000-0000A7180000}"/>
    <cellStyle name="40% - Accent2 3 6 3" xfId="8082" xr:uid="{00000000-0005-0000-0000-0000A8180000}"/>
    <cellStyle name="40% - Accent2 3 7" xfId="8083" xr:uid="{00000000-0005-0000-0000-0000A9180000}"/>
    <cellStyle name="40% - Accent2 3 7 2" xfId="53783" xr:uid="{00000000-0005-0000-0000-0000AA180000}"/>
    <cellStyle name="40% - Accent2 3 8" xfId="8084" xr:uid="{00000000-0005-0000-0000-0000AB180000}"/>
    <cellStyle name="40% - Accent2 3 9" xfId="8085" xr:uid="{00000000-0005-0000-0000-0000AC180000}"/>
    <cellStyle name="40% - Accent2 30" xfId="1112" xr:uid="{00000000-0005-0000-0000-0000AD180000}"/>
    <cellStyle name="40% - Accent2 30 2" xfId="1113" xr:uid="{00000000-0005-0000-0000-0000AE180000}"/>
    <cellStyle name="40% - Accent2 31" xfId="1114" xr:uid="{00000000-0005-0000-0000-0000AF180000}"/>
    <cellStyle name="40% - Accent2 31 2" xfId="1115" xr:uid="{00000000-0005-0000-0000-0000B0180000}"/>
    <cellStyle name="40% - Accent2 32" xfId="1116" xr:uid="{00000000-0005-0000-0000-0000B1180000}"/>
    <cellStyle name="40% - Accent2 32 2" xfId="1117" xr:uid="{00000000-0005-0000-0000-0000B2180000}"/>
    <cellStyle name="40% - Accent2 33" xfId="1118" xr:uid="{00000000-0005-0000-0000-0000B3180000}"/>
    <cellStyle name="40% - Accent2 33 2" xfId="1119" xr:uid="{00000000-0005-0000-0000-0000B4180000}"/>
    <cellStyle name="40% - Accent2 34" xfId="1120" xr:uid="{00000000-0005-0000-0000-0000B5180000}"/>
    <cellStyle name="40% - Accent2 34 2" xfId="1121" xr:uid="{00000000-0005-0000-0000-0000B6180000}"/>
    <cellStyle name="40% - Accent2 35" xfId="1122" xr:uid="{00000000-0005-0000-0000-0000B7180000}"/>
    <cellStyle name="40% - Accent2 35 2" xfId="1123" xr:uid="{00000000-0005-0000-0000-0000B8180000}"/>
    <cellStyle name="40% - Accent2 36" xfId="1124" xr:uid="{00000000-0005-0000-0000-0000B9180000}"/>
    <cellStyle name="40% - Accent2 36 2" xfId="1125" xr:uid="{00000000-0005-0000-0000-0000BA180000}"/>
    <cellStyle name="40% - Accent2 37" xfId="1126" xr:uid="{00000000-0005-0000-0000-0000BB180000}"/>
    <cellStyle name="40% - Accent2 37 2" xfId="1127" xr:uid="{00000000-0005-0000-0000-0000BC180000}"/>
    <cellStyle name="40% - Accent2 38" xfId="1128" xr:uid="{00000000-0005-0000-0000-0000BD180000}"/>
    <cellStyle name="40% - Accent2 39" xfId="1129" xr:uid="{00000000-0005-0000-0000-0000BE180000}"/>
    <cellStyle name="40% - Accent2 4" xfId="1130" xr:uid="{00000000-0005-0000-0000-0000BF180000}"/>
    <cellStyle name="40% - Accent2 4 10" xfId="8086" xr:uid="{00000000-0005-0000-0000-0000C0180000}"/>
    <cellStyle name="40% - Accent2 4 11" xfId="8087" xr:uid="{00000000-0005-0000-0000-0000C1180000}"/>
    <cellStyle name="40% - Accent2 4 12" xfId="8088" xr:uid="{00000000-0005-0000-0000-0000C2180000}"/>
    <cellStyle name="40% - Accent2 4 13" xfId="8089" xr:uid="{00000000-0005-0000-0000-0000C3180000}"/>
    <cellStyle name="40% - Accent2 4 14" xfId="8090" xr:uid="{00000000-0005-0000-0000-0000C4180000}"/>
    <cellStyle name="40% - Accent2 4 2" xfId="1131" xr:uid="{00000000-0005-0000-0000-0000C5180000}"/>
    <cellStyle name="40% - Accent2 4 2 10" xfId="8091" xr:uid="{00000000-0005-0000-0000-0000C6180000}"/>
    <cellStyle name="40% - Accent2 4 2 11" xfId="8092" xr:uid="{00000000-0005-0000-0000-0000C7180000}"/>
    <cellStyle name="40% - Accent2 4 2 2" xfId="1132" xr:uid="{00000000-0005-0000-0000-0000C8180000}"/>
    <cellStyle name="40% - Accent2 4 2 2 2" xfId="8093" xr:uid="{00000000-0005-0000-0000-0000C9180000}"/>
    <cellStyle name="40% - Accent2 4 2 2 2 2" xfId="8094" xr:uid="{00000000-0005-0000-0000-0000CA180000}"/>
    <cellStyle name="40% - Accent2 4 2 2 2 2 2" xfId="8095" xr:uid="{00000000-0005-0000-0000-0000CB180000}"/>
    <cellStyle name="40% - Accent2 4 2 2 2 2 3" xfId="8096" xr:uid="{00000000-0005-0000-0000-0000CC180000}"/>
    <cellStyle name="40% - Accent2 4 2 2 2 3" xfId="8097" xr:uid="{00000000-0005-0000-0000-0000CD180000}"/>
    <cellStyle name="40% - Accent2 4 2 2 2 3 2" xfId="8098" xr:uid="{00000000-0005-0000-0000-0000CE180000}"/>
    <cellStyle name="40% - Accent2 4 2 2 2 3 3" xfId="8099" xr:uid="{00000000-0005-0000-0000-0000CF180000}"/>
    <cellStyle name="40% - Accent2 4 2 2 2 4" xfId="8100" xr:uid="{00000000-0005-0000-0000-0000D0180000}"/>
    <cellStyle name="40% - Accent2 4 2 2 2 5" xfId="8101" xr:uid="{00000000-0005-0000-0000-0000D1180000}"/>
    <cellStyle name="40% - Accent2 4 2 2 2 6" xfId="8102" xr:uid="{00000000-0005-0000-0000-0000D2180000}"/>
    <cellStyle name="40% - Accent2 4 2 2 3" xfId="8103" xr:uid="{00000000-0005-0000-0000-0000D3180000}"/>
    <cellStyle name="40% - Accent2 4 2 2 3 2" xfId="8104" xr:uid="{00000000-0005-0000-0000-0000D4180000}"/>
    <cellStyle name="40% - Accent2 4 2 2 3 3" xfId="8105" xr:uid="{00000000-0005-0000-0000-0000D5180000}"/>
    <cellStyle name="40% - Accent2 4 2 2 4" xfId="8106" xr:uid="{00000000-0005-0000-0000-0000D6180000}"/>
    <cellStyle name="40% - Accent2 4 2 2 4 2" xfId="8107" xr:uid="{00000000-0005-0000-0000-0000D7180000}"/>
    <cellStyle name="40% - Accent2 4 2 2 4 3" xfId="8108" xr:uid="{00000000-0005-0000-0000-0000D8180000}"/>
    <cellStyle name="40% - Accent2 4 2 2 5" xfId="8109" xr:uid="{00000000-0005-0000-0000-0000D9180000}"/>
    <cellStyle name="40% - Accent2 4 2 2 6" xfId="8110" xr:uid="{00000000-0005-0000-0000-0000DA180000}"/>
    <cellStyle name="40% - Accent2 4 2 2 7" xfId="8111" xr:uid="{00000000-0005-0000-0000-0000DB180000}"/>
    <cellStyle name="40% - Accent2 4 2 2 8" xfId="8112" xr:uid="{00000000-0005-0000-0000-0000DC180000}"/>
    <cellStyle name="40% - Accent2 4 2 3" xfId="1133" xr:uid="{00000000-0005-0000-0000-0000DD180000}"/>
    <cellStyle name="40% - Accent2 4 2 3 2" xfId="8113" xr:uid="{00000000-0005-0000-0000-0000DE180000}"/>
    <cellStyle name="40% - Accent2 4 2 3 2 2" xfId="8114" xr:uid="{00000000-0005-0000-0000-0000DF180000}"/>
    <cellStyle name="40% - Accent2 4 2 3 2 3" xfId="8115" xr:uid="{00000000-0005-0000-0000-0000E0180000}"/>
    <cellStyle name="40% - Accent2 4 2 3 3" xfId="8116" xr:uid="{00000000-0005-0000-0000-0000E1180000}"/>
    <cellStyle name="40% - Accent2 4 2 3 3 2" xfId="8117" xr:uid="{00000000-0005-0000-0000-0000E2180000}"/>
    <cellStyle name="40% - Accent2 4 2 3 3 3" xfId="8118" xr:uid="{00000000-0005-0000-0000-0000E3180000}"/>
    <cellStyle name="40% - Accent2 4 2 3 4" xfId="8119" xr:uid="{00000000-0005-0000-0000-0000E4180000}"/>
    <cellStyle name="40% - Accent2 4 2 3 5" xfId="8120" xr:uid="{00000000-0005-0000-0000-0000E5180000}"/>
    <cellStyle name="40% - Accent2 4 2 3 6" xfId="8121" xr:uid="{00000000-0005-0000-0000-0000E6180000}"/>
    <cellStyle name="40% - Accent2 4 2 4" xfId="8122" xr:uid="{00000000-0005-0000-0000-0000E7180000}"/>
    <cellStyle name="40% - Accent2 4 2 4 2" xfId="8123" xr:uid="{00000000-0005-0000-0000-0000E8180000}"/>
    <cellStyle name="40% - Accent2 4 2 4 3" xfId="8124" xr:uid="{00000000-0005-0000-0000-0000E9180000}"/>
    <cellStyle name="40% - Accent2 4 2 5" xfId="8125" xr:uid="{00000000-0005-0000-0000-0000EA180000}"/>
    <cellStyle name="40% - Accent2 4 2 5 2" xfId="8126" xr:uid="{00000000-0005-0000-0000-0000EB180000}"/>
    <cellStyle name="40% - Accent2 4 2 5 3" xfId="8127" xr:uid="{00000000-0005-0000-0000-0000EC180000}"/>
    <cellStyle name="40% - Accent2 4 2 6" xfId="8128" xr:uid="{00000000-0005-0000-0000-0000ED180000}"/>
    <cellStyle name="40% - Accent2 4 2 7" xfId="8129" xr:uid="{00000000-0005-0000-0000-0000EE180000}"/>
    <cellStyle name="40% - Accent2 4 2 8" xfId="8130" xr:uid="{00000000-0005-0000-0000-0000EF180000}"/>
    <cellStyle name="40% - Accent2 4 2 9" xfId="8131" xr:uid="{00000000-0005-0000-0000-0000F0180000}"/>
    <cellStyle name="40% - Accent2 4 3" xfId="1134" xr:uid="{00000000-0005-0000-0000-0000F1180000}"/>
    <cellStyle name="40% - Accent2 4 3 10" xfId="8132" xr:uid="{00000000-0005-0000-0000-0000F2180000}"/>
    <cellStyle name="40% - Accent2 4 3 2" xfId="8133" xr:uid="{00000000-0005-0000-0000-0000F3180000}"/>
    <cellStyle name="40% - Accent2 4 3 2 2" xfId="8134" xr:uid="{00000000-0005-0000-0000-0000F4180000}"/>
    <cellStyle name="40% - Accent2 4 3 2 2 2" xfId="8135" xr:uid="{00000000-0005-0000-0000-0000F5180000}"/>
    <cellStyle name="40% - Accent2 4 3 2 2 3" xfId="8136" xr:uid="{00000000-0005-0000-0000-0000F6180000}"/>
    <cellStyle name="40% - Accent2 4 3 2 3" xfId="8137" xr:uid="{00000000-0005-0000-0000-0000F7180000}"/>
    <cellStyle name="40% - Accent2 4 3 2 3 2" xfId="8138" xr:uid="{00000000-0005-0000-0000-0000F8180000}"/>
    <cellStyle name="40% - Accent2 4 3 2 3 3" xfId="8139" xr:uid="{00000000-0005-0000-0000-0000F9180000}"/>
    <cellStyle name="40% - Accent2 4 3 2 4" xfId="8140" xr:uid="{00000000-0005-0000-0000-0000FA180000}"/>
    <cellStyle name="40% - Accent2 4 3 2 5" xfId="8141" xr:uid="{00000000-0005-0000-0000-0000FB180000}"/>
    <cellStyle name="40% - Accent2 4 3 2 6" xfId="8142" xr:uid="{00000000-0005-0000-0000-0000FC180000}"/>
    <cellStyle name="40% - Accent2 4 3 3" xfId="8143" xr:uid="{00000000-0005-0000-0000-0000FD180000}"/>
    <cellStyle name="40% - Accent2 4 3 3 2" xfId="8144" xr:uid="{00000000-0005-0000-0000-0000FE180000}"/>
    <cellStyle name="40% - Accent2 4 3 3 3" xfId="8145" xr:uid="{00000000-0005-0000-0000-0000FF180000}"/>
    <cellStyle name="40% - Accent2 4 3 4" xfId="8146" xr:uid="{00000000-0005-0000-0000-000000190000}"/>
    <cellStyle name="40% - Accent2 4 3 4 2" xfId="8147" xr:uid="{00000000-0005-0000-0000-000001190000}"/>
    <cellStyle name="40% - Accent2 4 3 4 3" xfId="8148" xr:uid="{00000000-0005-0000-0000-000002190000}"/>
    <cellStyle name="40% - Accent2 4 3 5" xfId="8149" xr:uid="{00000000-0005-0000-0000-000003190000}"/>
    <cellStyle name="40% - Accent2 4 3 6" xfId="8150" xr:uid="{00000000-0005-0000-0000-000004190000}"/>
    <cellStyle name="40% - Accent2 4 3 7" xfId="8151" xr:uid="{00000000-0005-0000-0000-000005190000}"/>
    <cellStyle name="40% - Accent2 4 3 8" xfId="8152" xr:uid="{00000000-0005-0000-0000-000006190000}"/>
    <cellStyle name="40% - Accent2 4 3 9" xfId="8153" xr:uid="{00000000-0005-0000-0000-000007190000}"/>
    <cellStyle name="40% - Accent2 4 4" xfId="1135" xr:uid="{00000000-0005-0000-0000-000008190000}"/>
    <cellStyle name="40% - Accent2 4 4 2" xfId="8154" xr:uid="{00000000-0005-0000-0000-000009190000}"/>
    <cellStyle name="40% - Accent2 4 4 2 2" xfId="8155" xr:uid="{00000000-0005-0000-0000-00000A190000}"/>
    <cellStyle name="40% - Accent2 4 4 2 3" xfId="8156" xr:uid="{00000000-0005-0000-0000-00000B190000}"/>
    <cellStyle name="40% - Accent2 4 4 3" xfId="8157" xr:uid="{00000000-0005-0000-0000-00000C190000}"/>
    <cellStyle name="40% - Accent2 4 4 3 2" xfId="8158" xr:uid="{00000000-0005-0000-0000-00000D190000}"/>
    <cellStyle name="40% - Accent2 4 4 3 3" xfId="8159" xr:uid="{00000000-0005-0000-0000-00000E190000}"/>
    <cellStyle name="40% - Accent2 4 4 4" xfId="8160" xr:uid="{00000000-0005-0000-0000-00000F190000}"/>
    <cellStyle name="40% - Accent2 4 4 5" xfId="8161" xr:uid="{00000000-0005-0000-0000-000010190000}"/>
    <cellStyle name="40% - Accent2 4 4 6" xfId="8162" xr:uid="{00000000-0005-0000-0000-000011190000}"/>
    <cellStyle name="40% - Accent2 4 5" xfId="8163" xr:uid="{00000000-0005-0000-0000-000012190000}"/>
    <cellStyle name="40% - Accent2 4 5 2" xfId="8164" xr:uid="{00000000-0005-0000-0000-000013190000}"/>
    <cellStyle name="40% - Accent2 4 5 3" xfId="8165" xr:uid="{00000000-0005-0000-0000-000014190000}"/>
    <cellStyle name="40% - Accent2 4 6" xfId="8166" xr:uid="{00000000-0005-0000-0000-000015190000}"/>
    <cellStyle name="40% - Accent2 4 6 2" xfId="8167" xr:uid="{00000000-0005-0000-0000-000016190000}"/>
    <cellStyle name="40% - Accent2 4 6 3" xfId="8168" xr:uid="{00000000-0005-0000-0000-000017190000}"/>
    <cellStyle name="40% - Accent2 4 7" xfId="8169" xr:uid="{00000000-0005-0000-0000-000018190000}"/>
    <cellStyle name="40% - Accent2 4 8" xfId="8170" xr:uid="{00000000-0005-0000-0000-000019190000}"/>
    <cellStyle name="40% - Accent2 4 9" xfId="8171" xr:uid="{00000000-0005-0000-0000-00001A190000}"/>
    <cellStyle name="40% - Accent2 40" xfId="1136" xr:uid="{00000000-0005-0000-0000-00001B190000}"/>
    <cellStyle name="40% - Accent2 41" xfId="1137" xr:uid="{00000000-0005-0000-0000-00001C190000}"/>
    <cellStyle name="40% - Accent2 42" xfId="1138" xr:uid="{00000000-0005-0000-0000-00001D190000}"/>
    <cellStyle name="40% - Accent2 43" xfId="8172" xr:uid="{00000000-0005-0000-0000-00001E190000}"/>
    <cellStyle name="40% - Accent2 44" xfId="8173" xr:uid="{00000000-0005-0000-0000-00001F190000}"/>
    <cellStyle name="40% - Accent2 45" xfId="8174" xr:uid="{00000000-0005-0000-0000-000020190000}"/>
    <cellStyle name="40% - Accent2 46" xfId="8175" xr:uid="{00000000-0005-0000-0000-000021190000}"/>
    <cellStyle name="40% - Accent2 47" xfId="8176" xr:uid="{00000000-0005-0000-0000-000022190000}"/>
    <cellStyle name="40% - Accent2 48" xfId="8177" xr:uid="{00000000-0005-0000-0000-000023190000}"/>
    <cellStyle name="40% - Accent2 5" xfId="1139" xr:uid="{00000000-0005-0000-0000-000024190000}"/>
    <cellStyle name="40% - Accent2 5 2" xfId="1140" xr:uid="{00000000-0005-0000-0000-000025190000}"/>
    <cellStyle name="40% - Accent2 5 2 2" xfId="1141" xr:uid="{00000000-0005-0000-0000-000026190000}"/>
    <cellStyle name="40% - Accent2 5 2 2 2" xfId="53784" xr:uid="{00000000-0005-0000-0000-000027190000}"/>
    <cellStyle name="40% - Accent2 5 2 2 2 2" xfId="53785" xr:uid="{00000000-0005-0000-0000-000028190000}"/>
    <cellStyle name="40% - Accent2 5 2 2 3" xfId="53786" xr:uid="{00000000-0005-0000-0000-000029190000}"/>
    <cellStyle name="40% - Accent2 5 2 3" xfId="1142" xr:uid="{00000000-0005-0000-0000-00002A190000}"/>
    <cellStyle name="40% - Accent2 5 2 3 2" xfId="53787" xr:uid="{00000000-0005-0000-0000-00002B190000}"/>
    <cellStyle name="40% - Accent2 5 2 3 2 2" xfId="53788" xr:uid="{00000000-0005-0000-0000-00002C190000}"/>
    <cellStyle name="40% - Accent2 5 2 3 3" xfId="53789" xr:uid="{00000000-0005-0000-0000-00002D190000}"/>
    <cellStyle name="40% - Accent2 5 2 4" xfId="53790" xr:uid="{00000000-0005-0000-0000-00002E190000}"/>
    <cellStyle name="40% - Accent2 5 2 4 2" xfId="53791" xr:uid="{00000000-0005-0000-0000-00002F190000}"/>
    <cellStyle name="40% - Accent2 5 2 5" xfId="53792" xr:uid="{00000000-0005-0000-0000-000030190000}"/>
    <cellStyle name="40% - Accent2 5 3" xfId="1143" xr:uid="{00000000-0005-0000-0000-000031190000}"/>
    <cellStyle name="40% - Accent2 5 3 2" xfId="53793" xr:uid="{00000000-0005-0000-0000-000032190000}"/>
    <cellStyle name="40% - Accent2 5 3 2 2" xfId="53794" xr:uid="{00000000-0005-0000-0000-000033190000}"/>
    <cellStyle name="40% - Accent2 5 3 3" xfId="53795" xr:uid="{00000000-0005-0000-0000-000034190000}"/>
    <cellStyle name="40% - Accent2 5 4" xfId="1144" xr:uid="{00000000-0005-0000-0000-000035190000}"/>
    <cellStyle name="40% - Accent2 5 4 2" xfId="53796" xr:uid="{00000000-0005-0000-0000-000036190000}"/>
    <cellStyle name="40% - Accent2 5 4 2 2" xfId="53797" xr:uid="{00000000-0005-0000-0000-000037190000}"/>
    <cellStyle name="40% - Accent2 5 4 3" xfId="53798" xr:uid="{00000000-0005-0000-0000-000038190000}"/>
    <cellStyle name="40% - Accent2 5 5" xfId="8178" xr:uid="{00000000-0005-0000-0000-000039190000}"/>
    <cellStyle name="40% - Accent2 5 5 2" xfId="53799" xr:uid="{00000000-0005-0000-0000-00003A190000}"/>
    <cellStyle name="40% - Accent2 5 6" xfId="8179" xr:uid="{00000000-0005-0000-0000-00003B190000}"/>
    <cellStyle name="40% - Accent2 6" xfId="1145" xr:uid="{00000000-0005-0000-0000-00003C190000}"/>
    <cellStyle name="40% - Accent2 6 10" xfId="8180" xr:uid="{00000000-0005-0000-0000-00003D190000}"/>
    <cellStyle name="40% - Accent2 6 11" xfId="8181" xr:uid="{00000000-0005-0000-0000-00003E190000}"/>
    <cellStyle name="40% - Accent2 6 12" xfId="8182" xr:uid="{00000000-0005-0000-0000-00003F190000}"/>
    <cellStyle name="40% - Accent2 6 2" xfId="1146" xr:uid="{00000000-0005-0000-0000-000040190000}"/>
    <cellStyle name="40% - Accent2 6 2 2" xfId="8183" xr:uid="{00000000-0005-0000-0000-000041190000}"/>
    <cellStyle name="40% - Accent2 6 2 2 2" xfId="8184" xr:uid="{00000000-0005-0000-0000-000042190000}"/>
    <cellStyle name="40% - Accent2 6 2 2 2 2" xfId="8185" xr:uid="{00000000-0005-0000-0000-000043190000}"/>
    <cellStyle name="40% - Accent2 6 2 2 2 3" xfId="8186" xr:uid="{00000000-0005-0000-0000-000044190000}"/>
    <cellStyle name="40% - Accent2 6 2 2 3" xfId="8187" xr:uid="{00000000-0005-0000-0000-000045190000}"/>
    <cellStyle name="40% - Accent2 6 2 2 3 2" xfId="8188" xr:uid="{00000000-0005-0000-0000-000046190000}"/>
    <cellStyle name="40% - Accent2 6 2 2 3 3" xfId="8189" xr:uid="{00000000-0005-0000-0000-000047190000}"/>
    <cellStyle name="40% - Accent2 6 2 2 4" xfId="8190" xr:uid="{00000000-0005-0000-0000-000048190000}"/>
    <cellStyle name="40% - Accent2 6 2 2 5" xfId="8191" xr:uid="{00000000-0005-0000-0000-000049190000}"/>
    <cellStyle name="40% - Accent2 6 2 2 6" xfId="8192" xr:uid="{00000000-0005-0000-0000-00004A190000}"/>
    <cellStyle name="40% - Accent2 6 2 3" xfId="8193" xr:uid="{00000000-0005-0000-0000-00004B190000}"/>
    <cellStyle name="40% - Accent2 6 2 3 2" xfId="8194" xr:uid="{00000000-0005-0000-0000-00004C190000}"/>
    <cellStyle name="40% - Accent2 6 2 3 3" xfId="8195" xr:uid="{00000000-0005-0000-0000-00004D190000}"/>
    <cellStyle name="40% - Accent2 6 2 4" xfId="8196" xr:uid="{00000000-0005-0000-0000-00004E190000}"/>
    <cellStyle name="40% - Accent2 6 2 4 2" xfId="8197" xr:uid="{00000000-0005-0000-0000-00004F190000}"/>
    <cellStyle name="40% - Accent2 6 2 4 3" xfId="8198" xr:uid="{00000000-0005-0000-0000-000050190000}"/>
    <cellStyle name="40% - Accent2 6 2 5" xfId="8199" xr:uid="{00000000-0005-0000-0000-000051190000}"/>
    <cellStyle name="40% - Accent2 6 2 6" xfId="8200" xr:uid="{00000000-0005-0000-0000-000052190000}"/>
    <cellStyle name="40% - Accent2 6 2 7" xfId="8201" xr:uid="{00000000-0005-0000-0000-000053190000}"/>
    <cellStyle name="40% - Accent2 6 2 8" xfId="8202" xr:uid="{00000000-0005-0000-0000-000054190000}"/>
    <cellStyle name="40% - Accent2 6 3" xfId="1147" xr:uid="{00000000-0005-0000-0000-000055190000}"/>
    <cellStyle name="40% - Accent2 6 3 2" xfId="8203" xr:uid="{00000000-0005-0000-0000-000056190000}"/>
    <cellStyle name="40% - Accent2 6 3 2 2" xfId="8204" xr:uid="{00000000-0005-0000-0000-000057190000}"/>
    <cellStyle name="40% - Accent2 6 3 2 2 2" xfId="8205" xr:uid="{00000000-0005-0000-0000-000058190000}"/>
    <cellStyle name="40% - Accent2 6 3 2 3" xfId="8206" xr:uid="{00000000-0005-0000-0000-000059190000}"/>
    <cellStyle name="40% - Accent2 6 3 3" xfId="8207" xr:uid="{00000000-0005-0000-0000-00005A190000}"/>
    <cellStyle name="40% - Accent2 6 3 3 2" xfId="8208" xr:uid="{00000000-0005-0000-0000-00005B190000}"/>
    <cellStyle name="40% - Accent2 6 3 3 3" xfId="8209" xr:uid="{00000000-0005-0000-0000-00005C190000}"/>
    <cellStyle name="40% - Accent2 6 3 4" xfId="8210" xr:uid="{00000000-0005-0000-0000-00005D190000}"/>
    <cellStyle name="40% - Accent2 6 3 5" xfId="8211" xr:uid="{00000000-0005-0000-0000-00005E190000}"/>
    <cellStyle name="40% - Accent2 6 3 6" xfId="8212" xr:uid="{00000000-0005-0000-0000-00005F190000}"/>
    <cellStyle name="40% - Accent2 6 4" xfId="8213" xr:uid="{00000000-0005-0000-0000-000060190000}"/>
    <cellStyle name="40% - Accent2 6 4 2" xfId="8214" xr:uid="{00000000-0005-0000-0000-000061190000}"/>
    <cellStyle name="40% - Accent2 6 4 3" xfId="8215" xr:uid="{00000000-0005-0000-0000-000062190000}"/>
    <cellStyle name="40% - Accent2 6 5" xfId="8216" xr:uid="{00000000-0005-0000-0000-000063190000}"/>
    <cellStyle name="40% - Accent2 6 5 2" xfId="8217" xr:uid="{00000000-0005-0000-0000-000064190000}"/>
    <cellStyle name="40% - Accent2 6 5 3" xfId="8218" xr:uid="{00000000-0005-0000-0000-000065190000}"/>
    <cellStyle name="40% - Accent2 6 6" xfId="8219" xr:uid="{00000000-0005-0000-0000-000066190000}"/>
    <cellStyle name="40% - Accent2 6 7" xfId="8220" xr:uid="{00000000-0005-0000-0000-000067190000}"/>
    <cellStyle name="40% - Accent2 6 8" xfId="8221" xr:uid="{00000000-0005-0000-0000-000068190000}"/>
    <cellStyle name="40% - Accent2 6 9" xfId="8222" xr:uid="{00000000-0005-0000-0000-000069190000}"/>
    <cellStyle name="40% - Accent2 7" xfId="1148" xr:uid="{00000000-0005-0000-0000-00006A190000}"/>
    <cellStyle name="40% - Accent2 7 10" xfId="8223" xr:uid="{00000000-0005-0000-0000-00006B190000}"/>
    <cellStyle name="40% - Accent2 7 11" xfId="8224" xr:uid="{00000000-0005-0000-0000-00006C190000}"/>
    <cellStyle name="40% - Accent2 7 2" xfId="1149" xr:uid="{00000000-0005-0000-0000-00006D190000}"/>
    <cellStyle name="40% - Accent2 7 2 2" xfId="8225" xr:uid="{00000000-0005-0000-0000-00006E190000}"/>
    <cellStyle name="40% - Accent2 7 2 2 2" xfId="8226" xr:uid="{00000000-0005-0000-0000-00006F190000}"/>
    <cellStyle name="40% - Accent2 7 2 2 2 2" xfId="8227" xr:uid="{00000000-0005-0000-0000-000070190000}"/>
    <cellStyle name="40% - Accent2 7 2 2 2 3" xfId="8228" xr:uid="{00000000-0005-0000-0000-000071190000}"/>
    <cellStyle name="40% - Accent2 7 2 2 3" xfId="8229" xr:uid="{00000000-0005-0000-0000-000072190000}"/>
    <cellStyle name="40% - Accent2 7 2 2 3 2" xfId="8230" xr:uid="{00000000-0005-0000-0000-000073190000}"/>
    <cellStyle name="40% - Accent2 7 2 2 3 3" xfId="8231" xr:uid="{00000000-0005-0000-0000-000074190000}"/>
    <cellStyle name="40% - Accent2 7 2 2 4" xfId="8232" xr:uid="{00000000-0005-0000-0000-000075190000}"/>
    <cellStyle name="40% - Accent2 7 2 2 5" xfId="8233" xr:uid="{00000000-0005-0000-0000-000076190000}"/>
    <cellStyle name="40% - Accent2 7 2 2 6" xfId="8234" xr:uid="{00000000-0005-0000-0000-000077190000}"/>
    <cellStyle name="40% - Accent2 7 2 3" xfId="8235" xr:uid="{00000000-0005-0000-0000-000078190000}"/>
    <cellStyle name="40% - Accent2 7 2 3 2" xfId="8236" xr:uid="{00000000-0005-0000-0000-000079190000}"/>
    <cellStyle name="40% - Accent2 7 2 3 3" xfId="8237" xr:uid="{00000000-0005-0000-0000-00007A190000}"/>
    <cellStyle name="40% - Accent2 7 2 4" xfId="8238" xr:uid="{00000000-0005-0000-0000-00007B190000}"/>
    <cellStyle name="40% - Accent2 7 2 4 2" xfId="8239" xr:uid="{00000000-0005-0000-0000-00007C190000}"/>
    <cellStyle name="40% - Accent2 7 2 4 3" xfId="8240" xr:uid="{00000000-0005-0000-0000-00007D190000}"/>
    <cellStyle name="40% - Accent2 7 2 5" xfId="8241" xr:uid="{00000000-0005-0000-0000-00007E190000}"/>
    <cellStyle name="40% - Accent2 7 2 6" xfId="8242" xr:uid="{00000000-0005-0000-0000-00007F190000}"/>
    <cellStyle name="40% - Accent2 7 2 7" xfId="8243" xr:uid="{00000000-0005-0000-0000-000080190000}"/>
    <cellStyle name="40% - Accent2 7 2 8" xfId="8244" xr:uid="{00000000-0005-0000-0000-000081190000}"/>
    <cellStyle name="40% - Accent2 7 3" xfId="1150" xr:uid="{00000000-0005-0000-0000-000082190000}"/>
    <cellStyle name="40% - Accent2 7 3 2" xfId="8245" xr:uid="{00000000-0005-0000-0000-000083190000}"/>
    <cellStyle name="40% - Accent2 7 3 2 2" xfId="8246" xr:uid="{00000000-0005-0000-0000-000084190000}"/>
    <cellStyle name="40% - Accent2 7 3 2 2 2" xfId="8247" xr:uid="{00000000-0005-0000-0000-000085190000}"/>
    <cellStyle name="40% - Accent2 7 3 2 3" xfId="8248" xr:uid="{00000000-0005-0000-0000-000086190000}"/>
    <cellStyle name="40% - Accent2 7 3 3" xfId="8249" xr:uid="{00000000-0005-0000-0000-000087190000}"/>
    <cellStyle name="40% - Accent2 7 3 3 2" xfId="8250" xr:uid="{00000000-0005-0000-0000-000088190000}"/>
    <cellStyle name="40% - Accent2 7 3 3 3" xfId="8251" xr:uid="{00000000-0005-0000-0000-000089190000}"/>
    <cellStyle name="40% - Accent2 7 3 4" xfId="8252" xr:uid="{00000000-0005-0000-0000-00008A190000}"/>
    <cellStyle name="40% - Accent2 7 3 5" xfId="8253" xr:uid="{00000000-0005-0000-0000-00008B190000}"/>
    <cellStyle name="40% - Accent2 7 3 6" xfId="8254" xr:uid="{00000000-0005-0000-0000-00008C190000}"/>
    <cellStyle name="40% - Accent2 7 4" xfId="8255" xr:uid="{00000000-0005-0000-0000-00008D190000}"/>
    <cellStyle name="40% - Accent2 7 4 2" xfId="8256" xr:uid="{00000000-0005-0000-0000-00008E190000}"/>
    <cellStyle name="40% - Accent2 7 4 3" xfId="8257" xr:uid="{00000000-0005-0000-0000-00008F190000}"/>
    <cellStyle name="40% - Accent2 7 5" xfId="8258" xr:uid="{00000000-0005-0000-0000-000090190000}"/>
    <cellStyle name="40% - Accent2 7 5 2" xfId="8259" xr:uid="{00000000-0005-0000-0000-000091190000}"/>
    <cellStyle name="40% - Accent2 7 5 3" xfId="8260" xr:uid="{00000000-0005-0000-0000-000092190000}"/>
    <cellStyle name="40% - Accent2 7 6" xfId="8261" xr:uid="{00000000-0005-0000-0000-000093190000}"/>
    <cellStyle name="40% - Accent2 7 7" xfId="8262" xr:uid="{00000000-0005-0000-0000-000094190000}"/>
    <cellStyle name="40% - Accent2 7 8" xfId="8263" xr:uid="{00000000-0005-0000-0000-000095190000}"/>
    <cellStyle name="40% - Accent2 7 9" xfId="8264" xr:uid="{00000000-0005-0000-0000-000096190000}"/>
    <cellStyle name="40% - Accent2 8" xfId="1151" xr:uid="{00000000-0005-0000-0000-000097190000}"/>
    <cellStyle name="40% - Accent2 8 10" xfId="8265" xr:uid="{00000000-0005-0000-0000-000098190000}"/>
    <cellStyle name="40% - Accent2 8 11" xfId="8266" xr:uid="{00000000-0005-0000-0000-000099190000}"/>
    <cellStyle name="40% - Accent2 8 2" xfId="1152" xr:uid="{00000000-0005-0000-0000-00009A190000}"/>
    <cellStyle name="40% - Accent2 8 2 2" xfId="8267" xr:uid="{00000000-0005-0000-0000-00009B190000}"/>
    <cellStyle name="40% - Accent2 8 2 2 2" xfId="8268" xr:uid="{00000000-0005-0000-0000-00009C190000}"/>
    <cellStyle name="40% - Accent2 8 2 2 2 2" xfId="8269" xr:uid="{00000000-0005-0000-0000-00009D190000}"/>
    <cellStyle name="40% - Accent2 8 2 2 2 3" xfId="8270" xr:uid="{00000000-0005-0000-0000-00009E190000}"/>
    <cellStyle name="40% - Accent2 8 2 2 3" xfId="8271" xr:uid="{00000000-0005-0000-0000-00009F190000}"/>
    <cellStyle name="40% - Accent2 8 2 2 3 2" xfId="8272" xr:uid="{00000000-0005-0000-0000-0000A0190000}"/>
    <cellStyle name="40% - Accent2 8 2 2 3 3" xfId="8273" xr:uid="{00000000-0005-0000-0000-0000A1190000}"/>
    <cellStyle name="40% - Accent2 8 2 2 4" xfId="8274" xr:uid="{00000000-0005-0000-0000-0000A2190000}"/>
    <cellStyle name="40% - Accent2 8 2 2 5" xfId="8275" xr:uid="{00000000-0005-0000-0000-0000A3190000}"/>
    <cellStyle name="40% - Accent2 8 2 2 6" xfId="8276" xr:uid="{00000000-0005-0000-0000-0000A4190000}"/>
    <cellStyle name="40% - Accent2 8 2 3" xfId="8277" xr:uid="{00000000-0005-0000-0000-0000A5190000}"/>
    <cellStyle name="40% - Accent2 8 2 3 2" xfId="8278" xr:uid="{00000000-0005-0000-0000-0000A6190000}"/>
    <cellStyle name="40% - Accent2 8 2 3 3" xfId="8279" xr:uid="{00000000-0005-0000-0000-0000A7190000}"/>
    <cellStyle name="40% - Accent2 8 2 4" xfId="8280" xr:uid="{00000000-0005-0000-0000-0000A8190000}"/>
    <cellStyle name="40% - Accent2 8 2 4 2" xfId="8281" xr:uid="{00000000-0005-0000-0000-0000A9190000}"/>
    <cellStyle name="40% - Accent2 8 2 4 3" xfId="8282" xr:uid="{00000000-0005-0000-0000-0000AA190000}"/>
    <cellStyle name="40% - Accent2 8 2 5" xfId="8283" xr:uid="{00000000-0005-0000-0000-0000AB190000}"/>
    <cellStyle name="40% - Accent2 8 2 6" xfId="8284" xr:uid="{00000000-0005-0000-0000-0000AC190000}"/>
    <cellStyle name="40% - Accent2 8 2 7" xfId="8285" xr:uid="{00000000-0005-0000-0000-0000AD190000}"/>
    <cellStyle name="40% - Accent2 8 2 8" xfId="8286" xr:uid="{00000000-0005-0000-0000-0000AE190000}"/>
    <cellStyle name="40% - Accent2 8 3" xfId="8287" xr:uid="{00000000-0005-0000-0000-0000AF190000}"/>
    <cellStyle name="40% - Accent2 8 3 2" xfId="8288" xr:uid="{00000000-0005-0000-0000-0000B0190000}"/>
    <cellStyle name="40% - Accent2 8 3 2 2" xfId="8289" xr:uid="{00000000-0005-0000-0000-0000B1190000}"/>
    <cellStyle name="40% - Accent2 8 3 2 2 2" xfId="8290" xr:uid="{00000000-0005-0000-0000-0000B2190000}"/>
    <cellStyle name="40% - Accent2 8 3 2 3" xfId="8291" xr:uid="{00000000-0005-0000-0000-0000B3190000}"/>
    <cellStyle name="40% - Accent2 8 3 3" xfId="8292" xr:uid="{00000000-0005-0000-0000-0000B4190000}"/>
    <cellStyle name="40% - Accent2 8 3 3 2" xfId="8293" xr:uid="{00000000-0005-0000-0000-0000B5190000}"/>
    <cellStyle name="40% - Accent2 8 3 3 3" xfId="8294" xr:uid="{00000000-0005-0000-0000-0000B6190000}"/>
    <cellStyle name="40% - Accent2 8 3 4" xfId="8295" xr:uid="{00000000-0005-0000-0000-0000B7190000}"/>
    <cellStyle name="40% - Accent2 8 3 5" xfId="8296" xr:uid="{00000000-0005-0000-0000-0000B8190000}"/>
    <cellStyle name="40% - Accent2 8 3 6" xfId="8297" xr:uid="{00000000-0005-0000-0000-0000B9190000}"/>
    <cellStyle name="40% - Accent2 8 4" xfId="8298" xr:uid="{00000000-0005-0000-0000-0000BA190000}"/>
    <cellStyle name="40% - Accent2 8 4 2" xfId="8299" xr:uid="{00000000-0005-0000-0000-0000BB190000}"/>
    <cellStyle name="40% - Accent2 8 4 3" xfId="8300" xr:uid="{00000000-0005-0000-0000-0000BC190000}"/>
    <cellStyle name="40% - Accent2 8 5" xfId="8301" xr:uid="{00000000-0005-0000-0000-0000BD190000}"/>
    <cellStyle name="40% - Accent2 8 5 2" xfId="8302" xr:uid="{00000000-0005-0000-0000-0000BE190000}"/>
    <cellStyle name="40% - Accent2 8 5 3" xfId="8303" xr:uid="{00000000-0005-0000-0000-0000BF190000}"/>
    <cellStyle name="40% - Accent2 8 6" xfId="8304" xr:uid="{00000000-0005-0000-0000-0000C0190000}"/>
    <cellStyle name="40% - Accent2 8 7" xfId="8305" xr:uid="{00000000-0005-0000-0000-0000C1190000}"/>
    <cellStyle name="40% - Accent2 8 8" xfId="8306" xr:uid="{00000000-0005-0000-0000-0000C2190000}"/>
    <cellStyle name="40% - Accent2 8 9" xfId="8307" xr:uid="{00000000-0005-0000-0000-0000C3190000}"/>
    <cellStyle name="40% - Accent2 9" xfId="1153" xr:uid="{00000000-0005-0000-0000-0000C4190000}"/>
    <cellStyle name="40% - Accent2 9 10" xfId="8308" xr:uid="{00000000-0005-0000-0000-0000C5190000}"/>
    <cellStyle name="40% - Accent2 9 11" xfId="8309" xr:uid="{00000000-0005-0000-0000-0000C6190000}"/>
    <cellStyle name="40% - Accent2 9 2" xfId="1154" xr:uid="{00000000-0005-0000-0000-0000C7190000}"/>
    <cellStyle name="40% - Accent2 9 2 2" xfId="8310" xr:uid="{00000000-0005-0000-0000-0000C8190000}"/>
    <cellStyle name="40% - Accent2 9 2 2 2" xfId="8311" xr:uid="{00000000-0005-0000-0000-0000C9190000}"/>
    <cellStyle name="40% - Accent2 9 2 2 2 2" xfId="8312" xr:uid="{00000000-0005-0000-0000-0000CA190000}"/>
    <cellStyle name="40% - Accent2 9 2 2 2 3" xfId="8313" xr:uid="{00000000-0005-0000-0000-0000CB190000}"/>
    <cellStyle name="40% - Accent2 9 2 2 3" xfId="8314" xr:uid="{00000000-0005-0000-0000-0000CC190000}"/>
    <cellStyle name="40% - Accent2 9 2 2 3 2" xfId="8315" xr:uid="{00000000-0005-0000-0000-0000CD190000}"/>
    <cellStyle name="40% - Accent2 9 2 2 3 3" xfId="8316" xr:uid="{00000000-0005-0000-0000-0000CE190000}"/>
    <cellStyle name="40% - Accent2 9 2 2 4" xfId="8317" xr:uid="{00000000-0005-0000-0000-0000CF190000}"/>
    <cellStyle name="40% - Accent2 9 2 2 5" xfId="8318" xr:uid="{00000000-0005-0000-0000-0000D0190000}"/>
    <cellStyle name="40% - Accent2 9 2 2 6" xfId="8319" xr:uid="{00000000-0005-0000-0000-0000D1190000}"/>
    <cellStyle name="40% - Accent2 9 2 3" xfId="8320" xr:uid="{00000000-0005-0000-0000-0000D2190000}"/>
    <cellStyle name="40% - Accent2 9 2 3 2" xfId="8321" xr:uid="{00000000-0005-0000-0000-0000D3190000}"/>
    <cellStyle name="40% - Accent2 9 2 3 3" xfId="8322" xr:uid="{00000000-0005-0000-0000-0000D4190000}"/>
    <cellStyle name="40% - Accent2 9 2 4" xfId="8323" xr:uid="{00000000-0005-0000-0000-0000D5190000}"/>
    <cellStyle name="40% - Accent2 9 2 4 2" xfId="8324" xr:uid="{00000000-0005-0000-0000-0000D6190000}"/>
    <cellStyle name="40% - Accent2 9 2 4 3" xfId="8325" xr:uid="{00000000-0005-0000-0000-0000D7190000}"/>
    <cellStyle name="40% - Accent2 9 2 5" xfId="8326" xr:uid="{00000000-0005-0000-0000-0000D8190000}"/>
    <cellStyle name="40% - Accent2 9 2 6" xfId="8327" xr:uid="{00000000-0005-0000-0000-0000D9190000}"/>
    <cellStyle name="40% - Accent2 9 2 7" xfId="8328" xr:uid="{00000000-0005-0000-0000-0000DA190000}"/>
    <cellStyle name="40% - Accent2 9 2 8" xfId="8329" xr:uid="{00000000-0005-0000-0000-0000DB190000}"/>
    <cellStyle name="40% - Accent2 9 3" xfId="8330" xr:uid="{00000000-0005-0000-0000-0000DC190000}"/>
    <cellStyle name="40% - Accent2 9 3 2" xfId="8331" xr:uid="{00000000-0005-0000-0000-0000DD190000}"/>
    <cellStyle name="40% - Accent2 9 3 2 2" xfId="8332" xr:uid="{00000000-0005-0000-0000-0000DE190000}"/>
    <cellStyle name="40% - Accent2 9 3 2 2 2" xfId="8333" xr:uid="{00000000-0005-0000-0000-0000DF190000}"/>
    <cellStyle name="40% - Accent2 9 3 2 3" xfId="8334" xr:uid="{00000000-0005-0000-0000-0000E0190000}"/>
    <cellStyle name="40% - Accent2 9 3 3" xfId="8335" xr:uid="{00000000-0005-0000-0000-0000E1190000}"/>
    <cellStyle name="40% - Accent2 9 3 3 2" xfId="8336" xr:uid="{00000000-0005-0000-0000-0000E2190000}"/>
    <cellStyle name="40% - Accent2 9 3 3 3" xfId="8337" xr:uid="{00000000-0005-0000-0000-0000E3190000}"/>
    <cellStyle name="40% - Accent2 9 3 4" xfId="8338" xr:uid="{00000000-0005-0000-0000-0000E4190000}"/>
    <cellStyle name="40% - Accent2 9 3 5" xfId="8339" xr:uid="{00000000-0005-0000-0000-0000E5190000}"/>
    <cellStyle name="40% - Accent2 9 3 6" xfId="8340" xr:uid="{00000000-0005-0000-0000-0000E6190000}"/>
    <cellStyle name="40% - Accent2 9 4" xfId="8341" xr:uid="{00000000-0005-0000-0000-0000E7190000}"/>
    <cellStyle name="40% - Accent2 9 4 2" xfId="8342" xr:uid="{00000000-0005-0000-0000-0000E8190000}"/>
    <cellStyle name="40% - Accent2 9 4 3" xfId="8343" xr:uid="{00000000-0005-0000-0000-0000E9190000}"/>
    <cellStyle name="40% - Accent2 9 5" xfId="8344" xr:uid="{00000000-0005-0000-0000-0000EA190000}"/>
    <cellStyle name="40% - Accent2 9 5 2" xfId="8345" xr:uid="{00000000-0005-0000-0000-0000EB190000}"/>
    <cellStyle name="40% - Accent2 9 5 3" xfId="8346" xr:uid="{00000000-0005-0000-0000-0000EC190000}"/>
    <cellStyle name="40% - Accent2 9 6" xfId="8347" xr:uid="{00000000-0005-0000-0000-0000ED190000}"/>
    <cellStyle name="40% - Accent2 9 7" xfId="8348" xr:uid="{00000000-0005-0000-0000-0000EE190000}"/>
    <cellStyle name="40% - Accent2 9 8" xfId="8349" xr:uid="{00000000-0005-0000-0000-0000EF190000}"/>
    <cellStyle name="40% - Accent2 9 9" xfId="8350" xr:uid="{00000000-0005-0000-0000-0000F0190000}"/>
    <cellStyle name="40% - Accent3 10" xfId="1155" xr:uid="{00000000-0005-0000-0000-0000F1190000}"/>
    <cellStyle name="40% - Accent3 10 10" xfId="8351" xr:uid="{00000000-0005-0000-0000-0000F2190000}"/>
    <cellStyle name="40% - Accent3 10 11" xfId="8352" xr:uid="{00000000-0005-0000-0000-0000F3190000}"/>
    <cellStyle name="40% - Accent3 10 2" xfId="1156" xr:uid="{00000000-0005-0000-0000-0000F4190000}"/>
    <cellStyle name="40% - Accent3 10 2 2" xfId="8353" xr:uid="{00000000-0005-0000-0000-0000F5190000}"/>
    <cellStyle name="40% - Accent3 10 2 2 2" xfId="8354" xr:uid="{00000000-0005-0000-0000-0000F6190000}"/>
    <cellStyle name="40% - Accent3 10 2 2 2 2" xfId="8355" xr:uid="{00000000-0005-0000-0000-0000F7190000}"/>
    <cellStyle name="40% - Accent3 10 2 2 2 3" xfId="8356" xr:uid="{00000000-0005-0000-0000-0000F8190000}"/>
    <cellStyle name="40% - Accent3 10 2 2 3" xfId="8357" xr:uid="{00000000-0005-0000-0000-0000F9190000}"/>
    <cellStyle name="40% - Accent3 10 2 2 3 2" xfId="8358" xr:uid="{00000000-0005-0000-0000-0000FA190000}"/>
    <cellStyle name="40% - Accent3 10 2 2 3 3" xfId="8359" xr:uid="{00000000-0005-0000-0000-0000FB190000}"/>
    <cellStyle name="40% - Accent3 10 2 2 4" xfId="8360" xr:uid="{00000000-0005-0000-0000-0000FC190000}"/>
    <cellStyle name="40% - Accent3 10 2 2 5" xfId="8361" xr:uid="{00000000-0005-0000-0000-0000FD190000}"/>
    <cellStyle name="40% - Accent3 10 2 2 6" xfId="8362" xr:uid="{00000000-0005-0000-0000-0000FE190000}"/>
    <cellStyle name="40% - Accent3 10 2 3" xfId="8363" xr:uid="{00000000-0005-0000-0000-0000FF190000}"/>
    <cellStyle name="40% - Accent3 10 2 3 2" xfId="8364" xr:uid="{00000000-0005-0000-0000-0000001A0000}"/>
    <cellStyle name="40% - Accent3 10 2 3 3" xfId="8365" xr:uid="{00000000-0005-0000-0000-0000011A0000}"/>
    <cellStyle name="40% - Accent3 10 2 4" xfId="8366" xr:uid="{00000000-0005-0000-0000-0000021A0000}"/>
    <cellStyle name="40% - Accent3 10 2 4 2" xfId="8367" xr:uid="{00000000-0005-0000-0000-0000031A0000}"/>
    <cellStyle name="40% - Accent3 10 2 4 3" xfId="8368" xr:uid="{00000000-0005-0000-0000-0000041A0000}"/>
    <cellStyle name="40% - Accent3 10 2 5" xfId="8369" xr:uid="{00000000-0005-0000-0000-0000051A0000}"/>
    <cellStyle name="40% - Accent3 10 2 6" xfId="8370" xr:uid="{00000000-0005-0000-0000-0000061A0000}"/>
    <cellStyle name="40% - Accent3 10 2 7" xfId="8371" xr:uid="{00000000-0005-0000-0000-0000071A0000}"/>
    <cellStyle name="40% - Accent3 10 2 8" xfId="8372" xr:uid="{00000000-0005-0000-0000-0000081A0000}"/>
    <cellStyle name="40% - Accent3 10 3" xfId="8373" xr:uid="{00000000-0005-0000-0000-0000091A0000}"/>
    <cellStyle name="40% - Accent3 10 3 2" xfId="8374" xr:uid="{00000000-0005-0000-0000-00000A1A0000}"/>
    <cellStyle name="40% - Accent3 10 3 2 2" xfId="8375" xr:uid="{00000000-0005-0000-0000-00000B1A0000}"/>
    <cellStyle name="40% - Accent3 10 3 2 3" xfId="8376" xr:uid="{00000000-0005-0000-0000-00000C1A0000}"/>
    <cellStyle name="40% - Accent3 10 3 3" xfId="8377" xr:uid="{00000000-0005-0000-0000-00000D1A0000}"/>
    <cellStyle name="40% - Accent3 10 3 3 2" xfId="8378" xr:uid="{00000000-0005-0000-0000-00000E1A0000}"/>
    <cellStyle name="40% - Accent3 10 3 3 3" xfId="8379" xr:uid="{00000000-0005-0000-0000-00000F1A0000}"/>
    <cellStyle name="40% - Accent3 10 3 4" xfId="8380" xr:uid="{00000000-0005-0000-0000-0000101A0000}"/>
    <cellStyle name="40% - Accent3 10 3 5" xfId="8381" xr:uid="{00000000-0005-0000-0000-0000111A0000}"/>
    <cellStyle name="40% - Accent3 10 3 6" xfId="8382" xr:uid="{00000000-0005-0000-0000-0000121A0000}"/>
    <cellStyle name="40% - Accent3 10 4" xfId="8383" xr:uid="{00000000-0005-0000-0000-0000131A0000}"/>
    <cellStyle name="40% - Accent3 10 4 2" xfId="8384" xr:uid="{00000000-0005-0000-0000-0000141A0000}"/>
    <cellStyle name="40% - Accent3 10 4 3" xfId="8385" xr:uid="{00000000-0005-0000-0000-0000151A0000}"/>
    <cellStyle name="40% - Accent3 10 5" xfId="8386" xr:uid="{00000000-0005-0000-0000-0000161A0000}"/>
    <cellStyle name="40% - Accent3 10 5 2" xfId="8387" xr:uid="{00000000-0005-0000-0000-0000171A0000}"/>
    <cellStyle name="40% - Accent3 10 5 3" xfId="8388" xr:uid="{00000000-0005-0000-0000-0000181A0000}"/>
    <cellStyle name="40% - Accent3 10 6" xfId="8389" xr:uid="{00000000-0005-0000-0000-0000191A0000}"/>
    <cellStyle name="40% - Accent3 10 7" xfId="8390" xr:uid="{00000000-0005-0000-0000-00001A1A0000}"/>
    <cellStyle name="40% - Accent3 10 8" xfId="8391" xr:uid="{00000000-0005-0000-0000-00001B1A0000}"/>
    <cellStyle name="40% - Accent3 10 9" xfId="8392" xr:uid="{00000000-0005-0000-0000-00001C1A0000}"/>
    <cellStyle name="40% - Accent3 11" xfId="1157" xr:uid="{00000000-0005-0000-0000-00001D1A0000}"/>
    <cellStyle name="40% - Accent3 11 10" xfId="8393" xr:uid="{00000000-0005-0000-0000-00001E1A0000}"/>
    <cellStyle name="40% - Accent3 11 2" xfId="1158" xr:uid="{00000000-0005-0000-0000-00001F1A0000}"/>
    <cellStyle name="40% - Accent3 11 2 2" xfId="8394" xr:uid="{00000000-0005-0000-0000-0000201A0000}"/>
    <cellStyle name="40% - Accent3 11 2 2 2" xfId="8395" xr:uid="{00000000-0005-0000-0000-0000211A0000}"/>
    <cellStyle name="40% - Accent3 11 2 2 3" xfId="8396" xr:uid="{00000000-0005-0000-0000-0000221A0000}"/>
    <cellStyle name="40% - Accent3 11 2 3" xfId="8397" xr:uid="{00000000-0005-0000-0000-0000231A0000}"/>
    <cellStyle name="40% - Accent3 11 2 3 2" xfId="8398" xr:uid="{00000000-0005-0000-0000-0000241A0000}"/>
    <cellStyle name="40% - Accent3 11 2 3 3" xfId="8399" xr:uid="{00000000-0005-0000-0000-0000251A0000}"/>
    <cellStyle name="40% - Accent3 11 2 4" xfId="8400" xr:uid="{00000000-0005-0000-0000-0000261A0000}"/>
    <cellStyle name="40% - Accent3 11 2 5" xfId="8401" xr:uid="{00000000-0005-0000-0000-0000271A0000}"/>
    <cellStyle name="40% - Accent3 11 2 6" xfId="8402" xr:uid="{00000000-0005-0000-0000-0000281A0000}"/>
    <cellStyle name="40% - Accent3 11 3" xfId="8403" xr:uid="{00000000-0005-0000-0000-0000291A0000}"/>
    <cellStyle name="40% - Accent3 11 3 2" xfId="8404" xr:uid="{00000000-0005-0000-0000-00002A1A0000}"/>
    <cellStyle name="40% - Accent3 11 3 3" xfId="8405" xr:uid="{00000000-0005-0000-0000-00002B1A0000}"/>
    <cellStyle name="40% - Accent3 11 4" xfId="8406" xr:uid="{00000000-0005-0000-0000-00002C1A0000}"/>
    <cellStyle name="40% - Accent3 11 4 2" xfId="8407" xr:uid="{00000000-0005-0000-0000-00002D1A0000}"/>
    <cellStyle name="40% - Accent3 11 4 3" xfId="8408" xr:uid="{00000000-0005-0000-0000-00002E1A0000}"/>
    <cellStyle name="40% - Accent3 11 5" xfId="8409" xr:uid="{00000000-0005-0000-0000-00002F1A0000}"/>
    <cellStyle name="40% - Accent3 11 6" xfId="8410" xr:uid="{00000000-0005-0000-0000-0000301A0000}"/>
    <cellStyle name="40% - Accent3 11 7" xfId="8411" xr:uid="{00000000-0005-0000-0000-0000311A0000}"/>
    <cellStyle name="40% - Accent3 11 8" xfId="8412" xr:uid="{00000000-0005-0000-0000-0000321A0000}"/>
    <cellStyle name="40% - Accent3 11 9" xfId="8413" xr:uid="{00000000-0005-0000-0000-0000331A0000}"/>
    <cellStyle name="40% - Accent3 12" xfId="1159" xr:uid="{00000000-0005-0000-0000-0000341A0000}"/>
    <cellStyle name="40% - Accent3 12 2" xfId="1160" xr:uid="{00000000-0005-0000-0000-0000351A0000}"/>
    <cellStyle name="40% - Accent3 12 3" xfId="8414" xr:uid="{00000000-0005-0000-0000-0000361A0000}"/>
    <cellStyle name="40% - Accent3 12 4" xfId="8415" xr:uid="{00000000-0005-0000-0000-0000371A0000}"/>
    <cellStyle name="40% - Accent3 12 5" xfId="8416" xr:uid="{00000000-0005-0000-0000-0000381A0000}"/>
    <cellStyle name="40% - Accent3 13" xfId="1161" xr:uid="{00000000-0005-0000-0000-0000391A0000}"/>
    <cellStyle name="40% - Accent3 13 2" xfId="1162" xr:uid="{00000000-0005-0000-0000-00003A1A0000}"/>
    <cellStyle name="40% - Accent3 13 3" xfId="8417" xr:uid="{00000000-0005-0000-0000-00003B1A0000}"/>
    <cellStyle name="40% - Accent3 13 4" xfId="8418" xr:uid="{00000000-0005-0000-0000-00003C1A0000}"/>
    <cellStyle name="40% - Accent3 14" xfId="1163" xr:uid="{00000000-0005-0000-0000-00003D1A0000}"/>
    <cellStyle name="40% - Accent3 14 2" xfId="1164" xr:uid="{00000000-0005-0000-0000-00003E1A0000}"/>
    <cellStyle name="40% - Accent3 14 3" xfId="8419" xr:uid="{00000000-0005-0000-0000-00003F1A0000}"/>
    <cellStyle name="40% - Accent3 15" xfId="1165" xr:uid="{00000000-0005-0000-0000-0000401A0000}"/>
    <cellStyle name="40% - Accent3 15 2" xfId="1166" xr:uid="{00000000-0005-0000-0000-0000411A0000}"/>
    <cellStyle name="40% - Accent3 15 3" xfId="8420" xr:uid="{00000000-0005-0000-0000-0000421A0000}"/>
    <cellStyle name="40% - Accent3 16" xfId="1167" xr:uid="{00000000-0005-0000-0000-0000431A0000}"/>
    <cellStyle name="40% - Accent3 16 2" xfId="1168" xr:uid="{00000000-0005-0000-0000-0000441A0000}"/>
    <cellStyle name="40% - Accent3 17" xfId="1169" xr:uid="{00000000-0005-0000-0000-0000451A0000}"/>
    <cellStyle name="40% - Accent3 17 2" xfId="1170" xr:uid="{00000000-0005-0000-0000-0000461A0000}"/>
    <cellStyle name="40% - Accent3 18" xfId="1171" xr:uid="{00000000-0005-0000-0000-0000471A0000}"/>
    <cellStyle name="40% - Accent3 18 2" xfId="1172" xr:uid="{00000000-0005-0000-0000-0000481A0000}"/>
    <cellStyle name="40% - Accent3 19" xfId="1173" xr:uid="{00000000-0005-0000-0000-0000491A0000}"/>
    <cellStyle name="40% - Accent3 19 2" xfId="1174" xr:uid="{00000000-0005-0000-0000-00004A1A0000}"/>
    <cellStyle name="40% - Accent3 2" xfId="1175" xr:uid="{00000000-0005-0000-0000-00004B1A0000}"/>
    <cellStyle name="40% - Accent3 2 10" xfId="8421" xr:uid="{00000000-0005-0000-0000-00004C1A0000}"/>
    <cellStyle name="40% - Accent3 2 11" xfId="8422" xr:uid="{00000000-0005-0000-0000-00004D1A0000}"/>
    <cellStyle name="40% - Accent3 2 12" xfId="8423" xr:uid="{00000000-0005-0000-0000-00004E1A0000}"/>
    <cellStyle name="40% - Accent3 2 13" xfId="8424" xr:uid="{00000000-0005-0000-0000-00004F1A0000}"/>
    <cellStyle name="40% - Accent3 2 2" xfId="1176" xr:uid="{00000000-0005-0000-0000-0000501A0000}"/>
    <cellStyle name="40% - Accent3 2 2 10" xfId="8425" xr:uid="{00000000-0005-0000-0000-0000511A0000}"/>
    <cellStyle name="40% - Accent3 2 2 11" xfId="8426" xr:uid="{00000000-0005-0000-0000-0000521A0000}"/>
    <cellStyle name="40% - Accent3 2 2 12" xfId="8427" xr:uid="{00000000-0005-0000-0000-0000531A0000}"/>
    <cellStyle name="40% - Accent3 2 2 13" xfId="8428" xr:uid="{00000000-0005-0000-0000-0000541A0000}"/>
    <cellStyle name="40% - Accent3 2 2 2" xfId="1177" xr:uid="{00000000-0005-0000-0000-0000551A0000}"/>
    <cellStyle name="40% - Accent3 2 2 2 10" xfId="8429" xr:uid="{00000000-0005-0000-0000-0000561A0000}"/>
    <cellStyle name="40% - Accent3 2 2 2 2" xfId="1178" xr:uid="{00000000-0005-0000-0000-0000571A0000}"/>
    <cellStyle name="40% - Accent3 2 2 2 2 2" xfId="1179" xr:uid="{00000000-0005-0000-0000-0000581A0000}"/>
    <cellStyle name="40% - Accent3 2 2 2 2 2 2" xfId="1180" xr:uid="{00000000-0005-0000-0000-0000591A0000}"/>
    <cellStyle name="40% - Accent3 2 2 2 2 2 2 2" xfId="53800" xr:uid="{00000000-0005-0000-0000-00005A1A0000}"/>
    <cellStyle name="40% - Accent3 2 2 2 2 2 2 2 2" xfId="53801" xr:uid="{00000000-0005-0000-0000-00005B1A0000}"/>
    <cellStyle name="40% - Accent3 2 2 2 2 2 2 3" xfId="53802" xr:uid="{00000000-0005-0000-0000-00005C1A0000}"/>
    <cellStyle name="40% - Accent3 2 2 2 2 2 3" xfId="1181" xr:uid="{00000000-0005-0000-0000-00005D1A0000}"/>
    <cellStyle name="40% - Accent3 2 2 2 2 2 3 2" xfId="53803" xr:uid="{00000000-0005-0000-0000-00005E1A0000}"/>
    <cellStyle name="40% - Accent3 2 2 2 2 2 3 2 2" xfId="53804" xr:uid="{00000000-0005-0000-0000-00005F1A0000}"/>
    <cellStyle name="40% - Accent3 2 2 2 2 2 3 3" xfId="53805" xr:uid="{00000000-0005-0000-0000-0000601A0000}"/>
    <cellStyle name="40% - Accent3 2 2 2 2 2 4" xfId="8430" xr:uid="{00000000-0005-0000-0000-0000611A0000}"/>
    <cellStyle name="40% - Accent3 2 2 2 2 2 4 2" xfId="53806" xr:uid="{00000000-0005-0000-0000-0000621A0000}"/>
    <cellStyle name="40% - Accent3 2 2 2 2 2 5" xfId="8431" xr:uid="{00000000-0005-0000-0000-0000631A0000}"/>
    <cellStyle name="40% - Accent3 2 2 2 2 3" xfId="1182" xr:uid="{00000000-0005-0000-0000-0000641A0000}"/>
    <cellStyle name="40% - Accent3 2 2 2 2 3 2" xfId="8432" xr:uid="{00000000-0005-0000-0000-0000651A0000}"/>
    <cellStyle name="40% - Accent3 2 2 2 2 3 2 2" xfId="53807" xr:uid="{00000000-0005-0000-0000-0000661A0000}"/>
    <cellStyle name="40% - Accent3 2 2 2 2 3 3" xfId="8433" xr:uid="{00000000-0005-0000-0000-0000671A0000}"/>
    <cellStyle name="40% - Accent3 2 2 2 2 4" xfId="1183" xr:uid="{00000000-0005-0000-0000-0000681A0000}"/>
    <cellStyle name="40% - Accent3 2 2 2 2 4 2" xfId="53808" xr:uid="{00000000-0005-0000-0000-0000691A0000}"/>
    <cellStyle name="40% - Accent3 2 2 2 2 4 2 2" xfId="53809" xr:uid="{00000000-0005-0000-0000-00006A1A0000}"/>
    <cellStyle name="40% - Accent3 2 2 2 2 4 3" xfId="53810" xr:uid="{00000000-0005-0000-0000-00006B1A0000}"/>
    <cellStyle name="40% - Accent3 2 2 2 2 5" xfId="8434" xr:uid="{00000000-0005-0000-0000-00006C1A0000}"/>
    <cellStyle name="40% - Accent3 2 2 2 2 5 2" xfId="53811" xr:uid="{00000000-0005-0000-0000-00006D1A0000}"/>
    <cellStyle name="40% - Accent3 2 2 2 2 6" xfId="8435" xr:uid="{00000000-0005-0000-0000-00006E1A0000}"/>
    <cellStyle name="40% - Accent3 2 2 2 2 7" xfId="8436" xr:uid="{00000000-0005-0000-0000-00006F1A0000}"/>
    <cellStyle name="40% - Accent3 2 2 2 2 8" xfId="8437" xr:uid="{00000000-0005-0000-0000-0000701A0000}"/>
    <cellStyle name="40% - Accent3 2 2 2 3" xfId="1184" xr:uid="{00000000-0005-0000-0000-0000711A0000}"/>
    <cellStyle name="40% - Accent3 2 2 2 3 2" xfId="1185" xr:uid="{00000000-0005-0000-0000-0000721A0000}"/>
    <cellStyle name="40% - Accent3 2 2 2 3 2 2" xfId="1186" xr:uid="{00000000-0005-0000-0000-0000731A0000}"/>
    <cellStyle name="40% - Accent3 2 2 2 3 2 2 2" xfId="53812" xr:uid="{00000000-0005-0000-0000-0000741A0000}"/>
    <cellStyle name="40% - Accent3 2 2 2 3 2 2 2 2" xfId="53813" xr:uid="{00000000-0005-0000-0000-0000751A0000}"/>
    <cellStyle name="40% - Accent3 2 2 2 3 2 2 3" xfId="53814" xr:uid="{00000000-0005-0000-0000-0000761A0000}"/>
    <cellStyle name="40% - Accent3 2 2 2 3 2 3" xfId="8438" xr:uid="{00000000-0005-0000-0000-0000771A0000}"/>
    <cellStyle name="40% - Accent3 2 2 2 3 2 3 2" xfId="53815" xr:uid="{00000000-0005-0000-0000-0000781A0000}"/>
    <cellStyle name="40% - Accent3 2 2 2 3 2 3 2 2" xfId="53816" xr:uid="{00000000-0005-0000-0000-0000791A0000}"/>
    <cellStyle name="40% - Accent3 2 2 2 3 2 3 3" xfId="53817" xr:uid="{00000000-0005-0000-0000-00007A1A0000}"/>
    <cellStyle name="40% - Accent3 2 2 2 3 2 4" xfId="53818" xr:uid="{00000000-0005-0000-0000-00007B1A0000}"/>
    <cellStyle name="40% - Accent3 2 2 2 3 2 4 2" xfId="53819" xr:uid="{00000000-0005-0000-0000-00007C1A0000}"/>
    <cellStyle name="40% - Accent3 2 2 2 3 2 5" xfId="53820" xr:uid="{00000000-0005-0000-0000-00007D1A0000}"/>
    <cellStyle name="40% - Accent3 2 2 2 3 3" xfId="1187" xr:uid="{00000000-0005-0000-0000-00007E1A0000}"/>
    <cellStyle name="40% - Accent3 2 2 2 3 3 2" xfId="53821" xr:uid="{00000000-0005-0000-0000-00007F1A0000}"/>
    <cellStyle name="40% - Accent3 2 2 2 3 3 2 2" xfId="53822" xr:uid="{00000000-0005-0000-0000-0000801A0000}"/>
    <cellStyle name="40% - Accent3 2 2 2 3 3 3" xfId="53823" xr:uid="{00000000-0005-0000-0000-0000811A0000}"/>
    <cellStyle name="40% - Accent3 2 2 2 3 4" xfId="8439" xr:uid="{00000000-0005-0000-0000-0000821A0000}"/>
    <cellStyle name="40% - Accent3 2 2 2 3 4 2" xfId="53824" xr:uid="{00000000-0005-0000-0000-0000831A0000}"/>
    <cellStyle name="40% - Accent3 2 2 2 3 4 2 2" xfId="53825" xr:uid="{00000000-0005-0000-0000-0000841A0000}"/>
    <cellStyle name="40% - Accent3 2 2 2 3 4 3" xfId="53826" xr:uid="{00000000-0005-0000-0000-0000851A0000}"/>
    <cellStyle name="40% - Accent3 2 2 2 3 5" xfId="8440" xr:uid="{00000000-0005-0000-0000-0000861A0000}"/>
    <cellStyle name="40% - Accent3 2 2 2 3 5 2" xfId="53827" xr:uid="{00000000-0005-0000-0000-0000871A0000}"/>
    <cellStyle name="40% - Accent3 2 2 2 3 6" xfId="53828" xr:uid="{00000000-0005-0000-0000-0000881A0000}"/>
    <cellStyle name="40% - Accent3 2 2 2 4" xfId="1188" xr:uid="{00000000-0005-0000-0000-0000891A0000}"/>
    <cellStyle name="40% - Accent3 2 2 2 4 2" xfId="1189" xr:uid="{00000000-0005-0000-0000-00008A1A0000}"/>
    <cellStyle name="40% - Accent3 2 2 2 4 2 2" xfId="53829" xr:uid="{00000000-0005-0000-0000-00008B1A0000}"/>
    <cellStyle name="40% - Accent3 2 2 2 4 2 2 2" xfId="53830" xr:uid="{00000000-0005-0000-0000-00008C1A0000}"/>
    <cellStyle name="40% - Accent3 2 2 2 4 2 3" xfId="53831" xr:uid="{00000000-0005-0000-0000-00008D1A0000}"/>
    <cellStyle name="40% - Accent3 2 2 2 4 3" xfId="8441" xr:uid="{00000000-0005-0000-0000-00008E1A0000}"/>
    <cellStyle name="40% - Accent3 2 2 2 4 3 2" xfId="53832" xr:uid="{00000000-0005-0000-0000-00008F1A0000}"/>
    <cellStyle name="40% - Accent3 2 2 2 4 3 2 2" xfId="53833" xr:uid="{00000000-0005-0000-0000-0000901A0000}"/>
    <cellStyle name="40% - Accent3 2 2 2 4 3 3" xfId="53834" xr:uid="{00000000-0005-0000-0000-0000911A0000}"/>
    <cellStyle name="40% - Accent3 2 2 2 4 4" xfId="8442" xr:uid="{00000000-0005-0000-0000-0000921A0000}"/>
    <cellStyle name="40% - Accent3 2 2 2 4 4 2" xfId="53835" xr:uid="{00000000-0005-0000-0000-0000931A0000}"/>
    <cellStyle name="40% - Accent3 2 2 2 4 5" xfId="8443" xr:uid="{00000000-0005-0000-0000-0000941A0000}"/>
    <cellStyle name="40% - Accent3 2 2 2 5" xfId="1190" xr:uid="{00000000-0005-0000-0000-0000951A0000}"/>
    <cellStyle name="40% - Accent3 2 2 2 5 2" xfId="8444" xr:uid="{00000000-0005-0000-0000-0000961A0000}"/>
    <cellStyle name="40% - Accent3 2 2 2 5 2 2" xfId="53836" xr:uid="{00000000-0005-0000-0000-0000971A0000}"/>
    <cellStyle name="40% - Accent3 2 2 2 5 3" xfId="8445" xr:uid="{00000000-0005-0000-0000-0000981A0000}"/>
    <cellStyle name="40% - Accent3 2 2 2 6" xfId="8446" xr:uid="{00000000-0005-0000-0000-0000991A0000}"/>
    <cellStyle name="40% - Accent3 2 2 2 6 2" xfId="53837" xr:uid="{00000000-0005-0000-0000-00009A1A0000}"/>
    <cellStyle name="40% - Accent3 2 2 2 6 2 2" xfId="53838" xr:uid="{00000000-0005-0000-0000-00009B1A0000}"/>
    <cellStyle name="40% - Accent3 2 2 2 6 3" xfId="53839" xr:uid="{00000000-0005-0000-0000-00009C1A0000}"/>
    <cellStyle name="40% - Accent3 2 2 2 7" xfId="8447" xr:uid="{00000000-0005-0000-0000-00009D1A0000}"/>
    <cellStyle name="40% - Accent3 2 2 2 7 2" xfId="53840" xr:uid="{00000000-0005-0000-0000-00009E1A0000}"/>
    <cellStyle name="40% - Accent3 2 2 2 8" xfId="8448" xr:uid="{00000000-0005-0000-0000-00009F1A0000}"/>
    <cellStyle name="40% - Accent3 2 2 2 9" xfId="8449" xr:uid="{00000000-0005-0000-0000-0000A01A0000}"/>
    <cellStyle name="40% - Accent3 2 2 3" xfId="1191" xr:uid="{00000000-0005-0000-0000-0000A11A0000}"/>
    <cellStyle name="40% - Accent3 2 2 3 2" xfId="1192" xr:uid="{00000000-0005-0000-0000-0000A21A0000}"/>
    <cellStyle name="40% - Accent3 2 2 3 2 2" xfId="1193" xr:uid="{00000000-0005-0000-0000-0000A31A0000}"/>
    <cellStyle name="40% - Accent3 2 2 3 2 2 2" xfId="53841" xr:uid="{00000000-0005-0000-0000-0000A41A0000}"/>
    <cellStyle name="40% - Accent3 2 2 3 2 2 2 2" xfId="53842" xr:uid="{00000000-0005-0000-0000-0000A51A0000}"/>
    <cellStyle name="40% - Accent3 2 2 3 2 2 3" xfId="53843" xr:uid="{00000000-0005-0000-0000-0000A61A0000}"/>
    <cellStyle name="40% - Accent3 2 2 3 2 3" xfId="1194" xr:uid="{00000000-0005-0000-0000-0000A71A0000}"/>
    <cellStyle name="40% - Accent3 2 2 3 2 3 2" xfId="53844" xr:uid="{00000000-0005-0000-0000-0000A81A0000}"/>
    <cellStyle name="40% - Accent3 2 2 3 2 3 2 2" xfId="53845" xr:uid="{00000000-0005-0000-0000-0000A91A0000}"/>
    <cellStyle name="40% - Accent3 2 2 3 2 3 3" xfId="53846" xr:uid="{00000000-0005-0000-0000-0000AA1A0000}"/>
    <cellStyle name="40% - Accent3 2 2 3 2 4" xfId="8450" xr:uid="{00000000-0005-0000-0000-0000AB1A0000}"/>
    <cellStyle name="40% - Accent3 2 2 3 2 4 2" xfId="53847" xr:uid="{00000000-0005-0000-0000-0000AC1A0000}"/>
    <cellStyle name="40% - Accent3 2 2 3 2 5" xfId="8451" xr:uid="{00000000-0005-0000-0000-0000AD1A0000}"/>
    <cellStyle name="40% - Accent3 2 2 3 3" xfId="1195" xr:uid="{00000000-0005-0000-0000-0000AE1A0000}"/>
    <cellStyle name="40% - Accent3 2 2 3 3 2" xfId="8452" xr:uid="{00000000-0005-0000-0000-0000AF1A0000}"/>
    <cellStyle name="40% - Accent3 2 2 3 3 2 2" xfId="53848" xr:uid="{00000000-0005-0000-0000-0000B01A0000}"/>
    <cellStyle name="40% - Accent3 2 2 3 3 3" xfId="8453" xr:uid="{00000000-0005-0000-0000-0000B11A0000}"/>
    <cellStyle name="40% - Accent3 2 2 3 4" xfId="1196" xr:uid="{00000000-0005-0000-0000-0000B21A0000}"/>
    <cellStyle name="40% - Accent3 2 2 3 4 2" xfId="53849" xr:uid="{00000000-0005-0000-0000-0000B31A0000}"/>
    <cellStyle name="40% - Accent3 2 2 3 4 2 2" xfId="53850" xr:uid="{00000000-0005-0000-0000-0000B41A0000}"/>
    <cellStyle name="40% - Accent3 2 2 3 4 3" xfId="53851" xr:uid="{00000000-0005-0000-0000-0000B51A0000}"/>
    <cellStyle name="40% - Accent3 2 2 3 5" xfId="8454" xr:uid="{00000000-0005-0000-0000-0000B61A0000}"/>
    <cellStyle name="40% - Accent3 2 2 3 5 2" xfId="53852" xr:uid="{00000000-0005-0000-0000-0000B71A0000}"/>
    <cellStyle name="40% - Accent3 2 2 3 6" xfId="8455" xr:uid="{00000000-0005-0000-0000-0000B81A0000}"/>
    <cellStyle name="40% - Accent3 2 2 3 7" xfId="8456" xr:uid="{00000000-0005-0000-0000-0000B91A0000}"/>
    <cellStyle name="40% - Accent3 2 2 3 8" xfId="8457" xr:uid="{00000000-0005-0000-0000-0000BA1A0000}"/>
    <cellStyle name="40% - Accent3 2 2 4" xfId="1197" xr:uid="{00000000-0005-0000-0000-0000BB1A0000}"/>
    <cellStyle name="40% - Accent3 2 2 4 2" xfId="1198" xr:uid="{00000000-0005-0000-0000-0000BC1A0000}"/>
    <cellStyle name="40% - Accent3 2 2 4 2 2" xfId="1199" xr:uid="{00000000-0005-0000-0000-0000BD1A0000}"/>
    <cellStyle name="40% - Accent3 2 2 4 2 2 2" xfId="53853" xr:uid="{00000000-0005-0000-0000-0000BE1A0000}"/>
    <cellStyle name="40% - Accent3 2 2 4 2 2 2 2" xfId="53854" xr:uid="{00000000-0005-0000-0000-0000BF1A0000}"/>
    <cellStyle name="40% - Accent3 2 2 4 2 2 3" xfId="53855" xr:uid="{00000000-0005-0000-0000-0000C01A0000}"/>
    <cellStyle name="40% - Accent3 2 2 4 2 3" xfId="8458" xr:uid="{00000000-0005-0000-0000-0000C11A0000}"/>
    <cellStyle name="40% - Accent3 2 2 4 2 3 2" xfId="53856" xr:uid="{00000000-0005-0000-0000-0000C21A0000}"/>
    <cellStyle name="40% - Accent3 2 2 4 2 3 2 2" xfId="53857" xr:uid="{00000000-0005-0000-0000-0000C31A0000}"/>
    <cellStyle name="40% - Accent3 2 2 4 2 3 3" xfId="53858" xr:uid="{00000000-0005-0000-0000-0000C41A0000}"/>
    <cellStyle name="40% - Accent3 2 2 4 2 4" xfId="53859" xr:uid="{00000000-0005-0000-0000-0000C51A0000}"/>
    <cellStyle name="40% - Accent3 2 2 4 2 4 2" xfId="53860" xr:uid="{00000000-0005-0000-0000-0000C61A0000}"/>
    <cellStyle name="40% - Accent3 2 2 4 2 5" xfId="53861" xr:uid="{00000000-0005-0000-0000-0000C71A0000}"/>
    <cellStyle name="40% - Accent3 2 2 4 3" xfId="1200" xr:uid="{00000000-0005-0000-0000-0000C81A0000}"/>
    <cellStyle name="40% - Accent3 2 2 4 3 2" xfId="53862" xr:uid="{00000000-0005-0000-0000-0000C91A0000}"/>
    <cellStyle name="40% - Accent3 2 2 4 3 2 2" xfId="53863" xr:uid="{00000000-0005-0000-0000-0000CA1A0000}"/>
    <cellStyle name="40% - Accent3 2 2 4 3 3" xfId="53864" xr:uid="{00000000-0005-0000-0000-0000CB1A0000}"/>
    <cellStyle name="40% - Accent3 2 2 4 4" xfId="8459" xr:uid="{00000000-0005-0000-0000-0000CC1A0000}"/>
    <cellStyle name="40% - Accent3 2 2 4 4 2" xfId="53865" xr:uid="{00000000-0005-0000-0000-0000CD1A0000}"/>
    <cellStyle name="40% - Accent3 2 2 4 4 2 2" xfId="53866" xr:uid="{00000000-0005-0000-0000-0000CE1A0000}"/>
    <cellStyle name="40% - Accent3 2 2 4 4 3" xfId="53867" xr:uid="{00000000-0005-0000-0000-0000CF1A0000}"/>
    <cellStyle name="40% - Accent3 2 2 4 5" xfId="8460" xr:uid="{00000000-0005-0000-0000-0000D01A0000}"/>
    <cellStyle name="40% - Accent3 2 2 4 5 2" xfId="53868" xr:uid="{00000000-0005-0000-0000-0000D11A0000}"/>
    <cellStyle name="40% - Accent3 2 2 4 6" xfId="53869" xr:uid="{00000000-0005-0000-0000-0000D21A0000}"/>
    <cellStyle name="40% - Accent3 2 2 5" xfId="1201" xr:uid="{00000000-0005-0000-0000-0000D31A0000}"/>
    <cellStyle name="40% - Accent3 2 2 5 2" xfId="1202" xr:uid="{00000000-0005-0000-0000-0000D41A0000}"/>
    <cellStyle name="40% - Accent3 2 2 5 2 2" xfId="53870" xr:uid="{00000000-0005-0000-0000-0000D51A0000}"/>
    <cellStyle name="40% - Accent3 2 2 5 2 2 2" xfId="53871" xr:uid="{00000000-0005-0000-0000-0000D61A0000}"/>
    <cellStyle name="40% - Accent3 2 2 5 2 3" xfId="53872" xr:uid="{00000000-0005-0000-0000-0000D71A0000}"/>
    <cellStyle name="40% - Accent3 2 2 5 3" xfId="8461" xr:uid="{00000000-0005-0000-0000-0000D81A0000}"/>
    <cellStyle name="40% - Accent3 2 2 5 3 2" xfId="53873" xr:uid="{00000000-0005-0000-0000-0000D91A0000}"/>
    <cellStyle name="40% - Accent3 2 2 5 3 2 2" xfId="53874" xr:uid="{00000000-0005-0000-0000-0000DA1A0000}"/>
    <cellStyle name="40% - Accent3 2 2 5 3 3" xfId="53875" xr:uid="{00000000-0005-0000-0000-0000DB1A0000}"/>
    <cellStyle name="40% - Accent3 2 2 5 4" xfId="8462" xr:uid="{00000000-0005-0000-0000-0000DC1A0000}"/>
    <cellStyle name="40% - Accent3 2 2 5 4 2" xfId="53876" xr:uid="{00000000-0005-0000-0000-0000DD1A0000}"/>
    <cellStyle name="40% - Accent3 2 2 5 5" xfId="8463" xr:uid="{00000000-0005-0000-0000-0000DE1A0000}"/>
    <cellStyle name="40% - Accent3 2 2 6" xfId="1203" xr:uid="{00000000-0005-0000-0000-0000DF1A0000}"/>
    <cellStyle name="40% - Accent3 2 2 6 2" xfId="8464" xr:uid="{00000000-0005-0000-0000-0000E01A0000}"/>
    <cellStyle name="40% - Accent3 2 2 6 2 2" xfId="53877" xr:uid="{00000000-0005-0000-0000-0000E11A0000}"/>
    <cellStyle name="40% - Accent3 2 2 6 3" xfId="8465" xr:uid="{00000000-0005-0000-0000-0000E21A0000}"/>
    <cellStyle name="40% - Accent3 2 2 7" xfId="8466" xr:uid="{00000000-0005-0000-0000-0000E31A0000}"/>
    <cellStyle name="40% - Accent3 2 2 7 2" xfId="53878" xr:uid="{00000000-0005-0000-0000-0000E41A0000}"/>
    <cellStyle name="40% - Accent3 2 2 7 2 2" xfId="53879" xr:uid="{00000000-0005-0000-0000-0000E51A0000}"/>
    <cellStyle name="40% - Accent3 2 2 7 3" xfId="53880" xr:uid="{00000000-0005-0000-0000-0000E61A0000}"/>
    <cellStyle name="40% - Accent3 2 2 8" xfId="8467" xr:uid="{00000000-0005-0000-0000-0000E71A0000}"/>
    <cellStyle name="40% - Accent3 2 2 8 2" xfId="53881" xr:uid="{00000000-0005-0000-0000-0000E81A0000}"/>
    <cellStyle name="40% - Accent3 2 2 9" xfId="8468" xr:uid="{00000000-0005-0000-0000-0000E91A0000}"/>
    <cellStyle name="40% - Accent3 2 3" xfId="1204" xr:uid="{00000000-0005-0000-0000-0000EA1A0000}"/>
    <cellStyle name="40% - Accent3 2 3 10" xfId="8469" xr:uid="{00000000-0005-0000-0000-0000EB1A0000}"/>
    <cellStyle name="40% - Accent3 2 3 2" xfId="1205" xr:uid="{00000000-0005-0000-0000-0000EC1A0000}"/>
    <cellStyle name="40% - Accent3 2 3 2 2" xfId="1206" xr:uid="{00000000-0005-0000-0000-0000ED1A0000}"/>
    <cellStyle name="40% - Accent3 2 3 2 2 2" xfId="1207" xr:uid="{00000000-0005-0000-0000-0000EE1A0000}"/>
    <cellStyle name="40% - Accent3 2 3 2 2 2 2" xfId="53882" xr:uid="{00000000-0005-0000-0000-0000EF1A0000}"/>
    <cellStyle name="40% - Accent3 2 3 2 2 2 2 2" xfId="53883" xr:uid="{00000000-0005-0000-0000-0000F01A0000}"/>
    <cellStyle name="40% - Accent3 2 3 2 2 2 3" xfId="53884" xr:uid="{00000000-0005-0000-0000-0000F11A0000}"/>
    <cellStyle name="40% - Accent3 2 3 2 2 3" xfId="1208" xr:uid="{00000000-0005-0000-0000-0000F21A0000}"/>
    <cellStyle name="40% - Accent3 2 3 2 2 3 2" xfId="53885" xr:uid="{00000000-0005-0000-0000-0000F31A0000}"/>
    <cellStyle name="40% - Accent3 2 3 2 2 3 2 2" xfId="53886" xr:uid="{00000000-0005-0000-0000-0000F41A0000}"/>
    <cellStyle name="40% - Accent3 2 3 2 2 3 3" xfId="53887" xr:uid="{00000000-0005-0000-0000-0000F51A0000}"/>
    <cellStyle name="40% - Accent3 2 3 2 2 4" xfId="8470" xr:uid="{00000000-0005-0000-0000-0000F61A0000}"/>
    <cellStyle name="40% - Accent3 2 3 2 2 4 2" xfId="53888" xr:uid="{00000000-0005-0000-0000-0000F71A0000}"/>
    <cellStyle name="40% - Accent3 2 3 2 2 5" xfId="8471" xr:uid="{00000000-0005-0000-0000-0000F81A0000}"/>
    <cellStyle name="40% - Accent3 2 3 2 3" xfId="1209" xr:uid="{00000000-0005-0000-0000-0000F91A0000}"/>
    <cellStyle name="40% - Accent3 2 3 2 3 2" xfId="8472" xr:uid="{00000000-0005-0000-0000-0000FA1A0000}"/>
    <cellStyle name="40% - Accent3 2 3 2 3 2 2" xfId="53889" xr:uid="{00000000-0005-0000-0000-0000FB1A0000}"/>
    <cellStyle name="40% - Accent3 2 3 2 3 3" xfId="8473" xr:uid="{00000000-0005-0000-0000-0000FC1A0000}"/>
    <cellStyle name="40% - Accent3 2 3 2 4" xfId="1210" xr:uid="{00000000-0005-0000-0000-0000FD1A0000}"/>
    <cellStyle name="40% - Accent3 2 3 2 4 2" xfId="53890" xr:uid="{00000000-0005-0000-0000-0000FE1A0000}"/>
    <cellStyle name="40% - Accent3 2 3 2 4 2 2" xfId="53891" xr:uid="{00000000-0005-0000-0000-0000FF1A0000}"/>
    <cellStyle name="40% - Accent3 2 3 2 4 3" xfId="53892" xr:uid="{00000000-0005-0000-0000-0000001B0000}"/>
    <cellStyle name="40% - Accent3 2 3 2 5" xfId="8474" xr:uid="{00000000-0005-0000-0000-0000011B0000}"/>
    <cellStyle name="40% - Accent3 2 3 2 5 2" xfId="53893" xr:uid="{00000000-0005-0000-0000-0000021B0000}"/>
    <cellStyle name="40% - Accent3 2 3 2 6" xfId="8475" xr:uid="{00000000-0005-0000-0000-0000031B0000}"/>
    <cellStyle name="40% - Accent3 2 3 2 7" xfId="8476" xr:uid="{00000000-0005-0000-0000-0000041B0000}"/>
    <cellStyle name="40% - Accent3 2 3 2 8" xfId="8477" xr:uid="{00000000-0005-0000-0000-0000051B0000}"/>
    <cellStyle name="40% - Accent3 2 3 3" xfId="1211" xr:uid="{00000000-0005-0000-0000-0000061B0000}"/>
    <cellStyle name="40% - Accent3 2 3 3 2" xfId="1212" xr:uid="{00000000-0005-0000-0000-0000071B0000}"/>
    <cellStyle name="40% - Accent3 2 3 3 2 2" xfId="1213" xr:uid="{00000000-0005-0000-0000-0000081B0000}"/>
    <cellStyle name="40% - Accent3 2 3 3 2 2 2" xfId="53894" xr:uid="{00000000-0005-0000-0000-0000091B0000}"/>
    <cellStyle name="40% - Accent3 2 3 3 2 2 2 2" xfId="53895" xr:uid="{00000000-0005-0000-0000-00000A1B0000}"/>
    <cellStyle name="40% - Accent3 2 3 3 2 2 3" xfId="53896" xr:uid="{00000000-0005-0000-0000-00000B1B0000}"/>
    <cellStyle name="40% - Accent3 2 3 3 2 3" xfId="8478" xr:uid="{00000000-0005-0000-0000-00000C1B0000}"/>
    <cellStyle name="40% - Accent3 2 3 3 2 3 2" xfId="53897" xr:uid="{00000000-0005-0000-0000-00000D1B0000}"/>
    <cellStyle name="40% - Accent3 2 3 3 2 3 2 2" xfId="53898" xr:uid="{00000000-0005-0000-0000-00000E1B0000}"/>
    <cellStyle name="40% - Accent3 2 3 3 2 3 3" xfId="53899" xr:uid="{00000000-0005-0000-0000-00000F1B0000}"/>
    <cellStyle name="40% - Accent3 2 3 3 2 4" xfId="53900" xr:uid="{00000000-0005-0000-0000-0000101B0000}"/>
    <cellStyle name="40% - Accent3 2 3 3 2 4 2" xfId="53901" xr:uid="{00000000-0005-0000-0000-0000111B0000}"/>
    <cellStyle name="40% - Accent3 2 3 3 2 5" xfId="53902" xr:uid="{00000000-0005-0000-0000-0000121B0000}"/>
    <cellStyle name="40% - Accent3 2 3 3 3" xfId="1214" xr:uid="{00000000-0005-0000-0000-0000131B0000}"/>
    <cellStyle name="40% - Accent3 2 3 3 3 2" xfId="53903" xr:uid="{00000000-0005-0000-0000-0000141B0000}"/>
    <cellStyle name="40% - Accent3 2 3 3 3 2 2" xfId="53904" xr:uid="{00000000-0005-0000-0000-0000151B0000}"/>
    <cellStyle name="40% - Accent3 2 3 3 3 3" xfId="53905" xr:uid="{00000000-0005-0000-0000-0000161B0000}"/>
    <cellStyle name="40% - Accent3 2 3 3 4" xfId="8479" xr:uid="{00000000-0005-0000-0000-0000171B0000}"/>
    <cellStyle name="40% - Accent3 2 3 3 4 2" xfId="53906" xr:uid="{00000000-0005-0000-0000-0000181B0000}"/>
    <cellStyle name="40% - Accent3 2 3 3 4 2 2" xfId="53907" xr:uid="{00000000-0005-0000-0000-0000191B0000}"/>
    <cellStyle name="40% - Accent3 2 3 3 4 3" xfId="53908" xr:uid="{00000000-0005-0000-0000-00001A1B0000}"/>
    <cellStyle name="40% - Accent3 2 3 3 5" xfId="8480" xr:uid="{00000000-0005-0000-0000-00001B1B0000}"/>
    <cellStyle name="40% - Accent3 2 3 3 5 2" xfId="53909" xr:uid="{00000000-0005-0000-0000-00001C1B0000}"/>
    <cellStyle name="40% - Accent3 2 3 3 6" xfId="53910" xr:uid="{00000000-0005-0000-0000-00001D1B0000}"/>
    <cellStyle name="40% - Accent3 2 3 4" xfId="1215" xr:uid="{00000000-0005-0000-0000-00001E1B0000}"/>
    <cellStyle name="40% - Accent3 2 3 4 2" xfId="1216" xr:uid="{00000000-0005-0000-0000-00001F1B0000}"/>
    <cellStyle name="40% - Accent3 2 3 4 2 2" xfId="53911" xr:uid="{00000000-0005-0000-0000-0000201B0000}"/>
    <cellStyle name="40% - Accent3 2 3 4 2 2 2" xfId="53912" xr:uid="{00000000-0005-0000-0000-0000211B0000}"/>
    <cellStyle name="40% - Accent3 2 3 4 2 3" xfId="53913" xr:uid="{00000000-0005-0000-0000-0000221B0000}"/>
    <cellStyle name="40% - Accent3 2 3 4 3" xfId="8481" xr:uid="{00000000-0005-0000-0000-0000231B0000}"/>
    <cellStyle name="40% - Accent3 2 3 4 3 2" xfId="53914" xr:uid="{00000000-0005-0000-0000-0000241B0000}"/>
    <cellStyle name="40% - Accent3 2 3 4 3 2 2" xfId="53915" xr:uid="{00000000-0005-0000-0000-0000251B0000}"/>
    <cellStyle name="40% - Accent3 2 3 4 3 3" xfId="53916" xr:uid="{00000000-0005-0000-0000-0000261B0000}"/>
    <cellStyle name="40% - Accent3 2 3 4 4" xfId="8482" xr:uid="{00000000-0005-0000-0000-0000271B0000}"/>
    <cellStyle name="40% - Accent3 2 3 4 4 2" xfId="53917" xr:uid="{00000000-0005-0000-0000-0000281B0000}"/>
    <cellStyle name="40% - Accent3 2 3 4 5" xfId="8483" xr:uid="{00000000-0005-0000-0000-0000291B0000}"/>
    <cellStyle name="40% - Accent3 2 3 5" xfId="1217" xr:uid="{00000000-0005-0000-0000-00002A1B0000}"/>
    <cellStyle name="40% - Accent3 2 3 5 2" xfId="8484" xr:uid="{00000000-0005-0000-0000-00002B1B0000}"/>
    <cellStyle name="40% - Accent3 2 3 5 2 2" xfId="53918" xr:uid="{00000000-0005-0000-0000-00002C1B0000}"/>
    <cellStyle name="40% - Accent3 2 3 5 3" xfId="8485" xr:uid="{00000000-0005-0000-0000-00002D1B0000}"/>
    <cellStyle name="40% - Accent3 2 3 6" xfId="8486" xr:uid="{00000000-0005-0000-0000-00002E1B0000}"/>
    <cellStyle name="40% - Accent3 2 3 6 2" xfId="53919" xr:uid="{00000000-0005-0000-0000-00002F1B0000}"/>
    <cellStyle name="40% - Accent3 2 3 6 2 2" xfId="53920" xr:uid="{00000000-0005-0000-0000-0000301B0000}"/>
    <cellStyle name="40% - Accent3 2 3 6 3" xfId="53921" xr:uid="{00000000-0005-0000-0000-0000311B0000}"/>
    <cellStyle name="40% - Accent3 2 3 7" xfId="8487" xr:uid="{00000000-0005-0000-0000-0000321B0000}"/>
    <cellStyle name="40% - Accent3 2 3 7 2" xfId="53922" xr:uid="{00000000-0005-0000-0000-0000331B0000}"/>
    <cellStyle name="40% - Accent3 2 3 8" xfId="8488" xr:uid="{00000000-0005-0000-0000-0000341B0000}"/>
    <cellStyle name="40% - Accent3 2 3 9" xfId="8489" xr:uid="{00000000-0005-0000-0000-0000351B0000}"/>
    <cellStyle name="40% - Accent3 2 4" xfId="1218" xr:uid="{00000000-0005-0000-0000-0000361B0000}"/>
    <cellStyle name="40% - Accent3 2 4 2" xfId="1219" xr:uid="{00000000-0005-0000-0000-0000371B0000}"/>
    <cellStyle name="40% - Accent3 2 4 2 2" xfId="1220" xr:uid="{00000000-0005-0000-0000-0000381B0000}"/>
    <cellStyle name="40% - Accent3 2 4 2 2 2" xfId="53923" xr:uid="{00000000-0005-0000-0000-0000391B0000}"/>
    <cellStyle name="40% - Accent3 2 4 2 2 2 2" xfId="53924" xr:uid="{00000000-0005-0000-0000-00003A1B0000}"/>
    <cellStyle name="40% - Accent3 2 4 2 2 3" xfId="53925" xr:uid="{00000000-0005-0000-0000-00003B1B0000}"/>
    <cellStyle name="40% - Accent3 2 4 2 3" xfId="1221" xr:uid="{00000000-0005-0000-0000-00003C1B0000}"/>
    <cellStyle name="40% - Accent3 2 4 2 3 2" xfId="53926" xr:uid="{00000000-0005-0000-0000-00003D1B0000}"/>
    <cellStyle name="40% - Accent3 2 4 2 3 2 2" xfId="53927" xr:uid="{00000000-0005-0000-0000-00003E1B0000}"/>
    <cellStyle name="40% - Accent3 2 4 2 3 3" xfId="53928" xr:uid="{00000000-0005-0000-0000-00003F1B0000}"/>
    <cellStyle name="40% - Accent3 2 4 2 4" xfId="8490" xr:uid="{00000000-0005-0000-0000-0000401B0000}"/>
    <cellStyle name="40% - Accent3 2 4 2 4 2" xfId="53929" xr:uid="{00000000-0005-0000-0000-0000411B0000}"/>
    <cellStyle name="40% - Accent3 2 4 2 5" xfId="8491" xr:uid="{00000000-0005-0000-0000-0000421B0000}"/>
    <cellStyle name="40% - Accent3 2 4 3" xfId="1222" xr:uid="{00000000-0005-0000-0000-0000431B0000}"/>
    <cellStyle name="40% - Accent3 2 4 3 2" xfId="8492" xr:uid="{00000000-0005-0000-0000-0000441B0000}"/>
    <cellStyle name="40% - Accent3 2 4 3 2 2" xfId="53930" xr:uid="{00000000-0005-0000-0000-0000451B0000}"/>
    <cellStyle name="40% - Accent3 2 4 3 3" xfId="8493" xr:uid="{00000000-0005-0000-0000-0000461B0000}"/>
    <cellStyle name="40% - Accent3 2 4 4" xfId="1223" xr:uid="{00000000-0005-0000-0000-0000471B0000}"/>
    <cellStyle name="40% - Accent3 2 4 4 2" xfId="53931" xr:uid="{00000000-0005-0000-0000-0000481B0000}"/>
    <cellStyle name="40% - Accent3 2 4 4 2 2" xfId="53932" xr:uid="{00000000-0005-0000-0000-0000491B0000}"/>
    <cellStyle name="40% - Accent3 2 4 4 3" xfId="53933" xr:uid="{00000000-0005-0000-0000-00004A1B0000}"/>
    <cellStyle name="40% - Accent3 2 4 5" xfId="8494" xr:uid="{00000000-0005-0000-0000-00004B1B0000}"/>
    <cellStyle name="40% - Accent3 2 4 5 2" xfId="53934" xr:uid="{00000000-0005-0000-0000-00004C1B0000}"/>
    <cellStyle name="40% - Accent3 2 4 6" xfId="8495" xr:uid="{00000000-0005-0000-0000-00004D1B0000}"/>
    <cellStyle name="40% - Accent3 2 4 7" xfId="8496" xr:uid="{00000000-0005-0000-0000-00004E1B0000}"/>
    <cellStyle name="40% - Accent3 2 4 8" xfId="8497" xr:uid="{00000000-0005-0000-0000-00004F1B0000}"/>
    <cellStyle name="40% - Accent3 2 5" xfId="1224" xr:uid="{00000000-0005-0000-0000-0000501B0000}"/>
    <cellStyle name="40% - Accent3 2 5 2" xfId="1225" xr:uid="{00000000-0005-0000-0000-0000511B0000}"/>
    <cellStyle name="40% - Accent3 2 5 2 2" xfId="1226" xr:uid="{00000000-0005-0000-0000-0000521B0000}"/>
    <cellStyle name="40% - Accent3 2 5 2 2 2" xfId="53935" xr:uid="{00000000-0005-0000-0000-0000531B0000}"/>
    <cellStyle name="40% - Accent3 2 5 2 2 2 2" xfId="53936" xr:uid="{00000000-0005-0000-0000-0000541B0000}"/>
    <cellStyle name="40% - Accent3 2 5 2 2 3" xfId="53937" xr:uid="{00000000-0005-0000-0000-0000551B0000}"/>
    <cellStyle name="40% - Accent3 2 5 2 3" xfId="8498" xr:uid="{00000000-0005-0000-0000-0000561B0000}"/>
    <cellStyle name="40% - Accent3 2 5 2 3 2" xfId="53938" xr:uid="{00000000-0005-0000-0000-0000571B0000}"/>
    <cellStyle name="40% - Accent3 2 5 2 3 2 2" xfId="53939" xr:uid="{00000000-0005-0000-0000-0000581B0000}"/>
    <cellStyle name="40% - Accent3 2 5 2 3 3" xfId="53940" xr:uid="{00000000-0005-0000-0000-0000591B0000}"/>
    <cellStyle name="40% - Accent3 2 5 2 4" xfId="53941" xr:uid="{00000000-0005-0000-0000-00005A1B0000}"/>
    <cellStyle name="40% - Accent3 2 5 2 4 2" xfId="53942" xr:uid="{00000000-0005-0000-0000-00005B1B0000}"/>
    <cellStyle name="40% - Accent3 2 5 2 5" xfId="53943" xr:uid="{00000000-0005-0000-0000-00005C1B0000}"/>
    <cellStyle name="40% - Accent3 2 5 3" xfId="1227" xr:uid="{00000000-0005-0000-0000-00005D1B0000}"/>
    <cellStyle name="40% - Accent3 2 5 3 2" xfId="53944" xr:uid="{00000000-0005-0000-0000-00005E1B0000}"/>
    <cellStyle name="40% - Accent3 2 5 3 2 2" xfId="53945" xr:uid="{00000000-0005-0000-0000-00005F1B0000}"/>
    <cellStyle name="40% - Accent3 2 5 3 3" xfId="53946" xr:uid="{00000000-0005-0000-0000-0000601B0000}"/>
    <cellStyle name="40% - Accent3 2 5 4" xfId="8499" xr:uid="{00000000-0005-0000-0000-0000611B0000}"/>
    <cellStyle name="40% - Accent3 2 5 4 2" xfId="53947" xr:uid="{00000000-0005-0000-0000-0000621B0000}"/>
    <cellStyle name="40% - Accent3 2 5 4 2 2" xfId="53948" xr:uid="{00000000-0005-0000-0000-0000631B0000}"/>
    <cellStyle name="40% - Accent3 2 5 4 3" xfId="53949" xr:uid="{00000000-0005-0000-0000-0000641B0000}"/>
    <cellStyle name="40% - Accent3 2 5 5" xfId="8500" xr:uid="{00000000-0005-0000-0000-0000651B0000}"/>
    <cellStyle name="40% - Accent3 2 5 5 2" xfId="53950" xr:uid="{00000000-0005-0000-0000-0000661B0000}"/>
    <cellStyle name="40% - Accent3 2 5 6" xfId="53951" xr:uid="{00000000-0005-0000-0000-0000671B0000}"/>
    <cellStyle name="40% - Accent3 2 6" xfId="1228" xr:uid="{00000000-0005-0000-0000-0000681B0000}"/>
    <cellStyle name="40% - Accent3 2 6 2" xfId="1229" xr:uid="{00000000-0005-0000-0000-0000691B0000}"/>
    <cellStyle name="40% - Accent3 2 6 2 2" xfId="53952" xr:uid="{00000000-0005-0000-0000-00006A1B0000}"/>
    <cellStyle name="40% - Accent3 2 6 2 2 2" xfId="53953" xr:uid="{00000000-0005-0000-0000-00006B1B0000}"/>
    <cellStyle name="40% - Accent3 2 6 2 3" xfId="53954" xr:uid="{00000000-0005-0000-0000-00006C1B0000}"/>
    <cellStyle name="40% - Accent3 2 6 3" xfId="8501" xr:uid="{00000000-0005-0000-0000-00006D1B0000}"/>
    <cellStyle name="40% - Accent3 2 6 3 2" xfId="53955" xr:uid="{00000000-0005-0000-0000-00006E1B0000}"/>
    <cellStyle name="40% - Accent3 2 6 3 2 2" xfId="53956" xr:uid="{00000000-0005-0000-0000-00006F1B0000}"/>
    <cellStyle name="40% - Accent3 2 6 3 3" xfId="53957" xr:uid="{00000000-0005-0000-0000-0000701B0000}"/>
    <cellStyle name="40% - Accent3 2 6 4" xfId="8502" xr:uid="{00000000-0005-0000-0000-0000711B0000}"/>
    <cellStyle name="40% - Accent3 2 6 4 2" xfId="53958" xr:uid="{00000000-0005-0000-0000-0000721B0000}"/>
    <cellStyle name="40% - Accent3 2 6 5" xfId="8503" xr:uid="{00000000-0005-0000-0000-0000731B0000}"/>
    <cellStyle name="40% - Accent3 2 7" xfId="1230" xr:uid="{00000000-0005-0000-0000-0000741B0000}"/>
    <cellStyle name="40% - Accent3 2 7 2" xfId="8504" xr:uid="{00000000-0005-0000-0000-0000751B0000}"/>
    <cellStyle name="40% - Accent3 2 7 2 2" xfId="53959" xr:uid="{00000000-0005-0000-0000-0000761B0000}"/>
    <cellStyle name="40% - Accent3 2 7 3" xfId="8505" xr:uid="{00000000-0005-0000-0000-0000771B0000}"/>
    <cellStyle name="40% - Accent3 2 8" xfId="8506" xr:uid="{00000000-0005-0000-0000-0000781B0000}"/>
    <cellStyle name="40% - Accent3 2 8 2" xfId="53960" xr:uid="{00000000-0005-0000-0000-0000791B0000}"/>
    <cellStyle name="40% - Accent3 2 8 2 2" xfId="53961" xr:uid="{00000000-0005-0000-0000-00007A1B0000}"/>
    <cellStyle name="40% - Accent3 2 8 3" xfId="53962" xr:uid="{00000000-0005-0000-0000-00007B1B0000}"/>
    <cellStyle name="40% - Accent3 2 9" xfId="8507" xr:uid="{00000000-0005-0000-0000-00007C1B0000}"/>
    <cellStyle name="40% - Accent3 2 9 2" xfId="53963" xr:uid="{00000000-0005-0000-0000-00007D1B0000}"/>
    <cellStyle name="40% - Accent3 20" xfId="1231" xr:uid="{00000000-0005-0000-0000-00007E1B0000}"/>
    <cellStyle name="40% - Accent3 20 2" xfId="1232" xr:uid="{00000000-0005-0000-0000-00007F1B0000}"/>
    <cellStyle name="40% - Accent3 21" xfId="1233" xr:uid="{00000000-0005-0000-0000-0000801B0000}"/>
    <cellStyle name="40% - Accent3 21 2" xfId="1234" xr:uid="{00000000-0005-0000-0000-0000811B0000}"/>
    <cellStyle name="40% - Accent3 22" xfId="1235" xr:uid="{00000000-0005-0000-0000-0000821B0000}"/>
    <cellStyle name="40% - Accent3 22 2" xfId="1236" xr:uid="{00000000-0005-0000-0000-0000831B0000}"/>
    <cellStyle name="40% - Accent3 23" xfId="1237" xr:uid="{00000000-0005-0000-0000-0000841B0000}"/>
    <cellStyle name="40% - Accent3 23 2" xfId="1238" xr:uid="{00000000-0005-0000-0000-0000851B0000}"/>
    <cellStyle name="40% - Accent3 24" xfId="1239" xr:uid="{00000000-0005-0000-0000-0000861B0000}"/>
    <cellStyle name="40% - Accent3 24 2" xfId="1240" xr:uid="{00000000-0005-0000-0000-0000871B0000}"/>
    <cellStyle name="40% - Accent3 25" xfId="1241" xr:uid="{00000000-0005-0000-0000-0000881B0000}"/>
    <cellStyle name="40% - Accent3 25 2" xfId="1242" xr:uid="{00000000-0005-0000-0000-0000891B0000}"/>
    <cellStyle name="40% - Accent3 26" xfId="1243" xr:uid="{00000000-0005-0000-0000-00008A1B0000}"/>
    <cellStyle name="40% - Accent3 26 2" xfId="1244" xr:uid="{00000000-0005-0000-0000-00008B1B0000}"/>
    <cellStyle name="40% - Accent3 27" xfId="1245" xr:uid="{00000000-0005-0000-0000-00008C1B0000}"/>
    <cellStyle name="40% - Accent3 27 2" xfId="1246" xr:uid="{00000000-0005-0000-0000-00008D1B0000}"/>
    <cellStyle name="40% - Accent3 28" xfId="1247" xr:uid="{00000000-0005-0000-0000-00008E1B0000}"/>
    <cellStyle name="40% - Accent3 28 2" xfId="1248" xr:uid="{00000000-0005-0000-0000-00008F1B0000}"/>
    <cellStyle name="40% - Accent3 29" xfId="1249" xr:uid="{00000000-0005-0000-0000-0000901B0000}"/>
    <cellStyle name="40% - Accent3 29 2" xfId="1250" xr:uid="{00000000-0005-0000-0000-0000911B0000}"/>
    <cellStyle name="40% - Accent3 3" xfId="1251" xr:uid="{00000000-0005-0000-0000-0000921B0000}"/>
    <cellStyle name="40% - Accent3 3 10" xfId="8508" xr:uid="{00000000-0005-0000-0000-0000931B0000}"/>
    <cellStyle name="40% - Accent3 3 10 2" xfId="8509" xr:uid="{00000000-0005-0000-0000-0000941B0000}"/>
    <cellStyle name="40% - Accent3 3 10 3" xfId="8510" xr:uid="{00000000-0005-0000-0000-0000951B0000}"/>
    <cellStyle name="40% - Accent3 3 11" xfId="8511" xr:uid="{00000000-0005-0000-0000-0000961B0000}"/>
    <cellStyle name="40% - Accent3 3 11 2" xfId="8512" xr:uid="{00000000-0005-0000-0000-0000971B0000}"/>
    <cellStyle name="40% - Accent3 3 12" xfId="8513" xr:uid="{00000000-0005-0000-0000-0000981B0000}"/>
    <cellStyle name="40% - Accent3 3 13" xfId="8514" xr:uid="{00000000-0005-0000-0000-0000991B0000}"/>
    <cellStyle name="40% - Accent3 3 14" xfId="8515" xr:uid="{00000000-0005-0000-0000-00009A1B0000}"/>
    <cellStyle name="40% - Accent3 3 15" xfId="8516" xr:uid="{00000000-0005-0000-0000-00009B1B0000}"/>
    <cellStyle name="40% - Accent3 3 16" xfId="8517" xr:uid="{00000000-0005-0000-0000-00009C1B0000}"/>
    <cellStyle name="40% - Accent3 3 2" xfId="1252" xr:uid="{00000000-0005-0000-0000-00009D1B0000}"/>
    <cellStyle name="40% - Accent3 3 2 10" xfId="8518" xr:uid="{00000000-0005-0000-0000-00009E1B0000}"/>
    <cellStyle name="40% - Accent3 3 2 11" xfId="8519" xr:uid="{00000000-0005-0000-0000-00009F1B0000}"/>
    <cellStyle name="40% - Accent3 3 2 12" xfId="8520" xr:uid="{00000000-0005-0000-0000-0000A01B0000}"/>
    <cellStyle name="40% - Accent3 3 2 13" xfId="8521" xr:uid="{00000000-0005-0000-0000-0000A11B0000}"/>
    <cellStyle name="40% - Accent3 3 2 2" xfId="1253" xr:uid="{00000000-0005-0000-0000-0000A21B0000}"/>
    <cellStyle name="40% - Accent3 3 2 2 10" xfId="8522" xr:uid="{00000000-0005-0000-0000-0000A31B0000}"/>
    <cellStyle name="40% - Accent3 3 2 2 11" xfId="8523" xr:uid="{00000000-0005-0000-0000-0000A41B0000}"/>
    <cellStyle name="40% - Accent3 3 2 2 12" xfId="8524" xr:uid="{00000000-0005-0000-0000-0000A51B0000}"/>
    <cellStyle name="40% - Accent3 3 2 2 2" xfId="8525" xr:uid="{00000000-0005-0000-0000-0000A61B0000}"/>
    <cellStyle name="40% - Accent3 3 2 2 2 2" xfId="8526" xr:uid="{00000000-0005-0000-0000-0000A71B0000}"/>
    <cellStyle name="40% - Accent3 3 2 2 2 2 2" xfId="8527" xr:uid="{00000000-0005-0000-0000-0000A81B0000}"/>
    <cellStyle name="40% - Accent3 3 2 2 2 2 3" xfId="8528" xr:uid="{00000000-0005-0000-0000-0000A91B0000}"/>
    <cellStyle name="40% - Accent3 3 2 2 2 3" xfId="8529" xr:uid="{00000000-0005-0000-0000-0000AA1B0000}"/>
    <cellStyle name="40% - Accent3 3 2 2 2 3 2" xfId="8530" xr:uid="{00000000-0005-0000-0000-0000AB1B0000}"/>
    <cellStyle name="40% - Accent3 3 2 2 2 3 3" xfId="8531" xr:uid="{00000000-0005-0000-0000-0000AC1B0000}"/>
    <cellStyle name="40% - Accent3 3 2 2 2 4" xfId="8532" xr:uid="{00000000-0005-0000-0000-0000AD1B0000}"/>
    <cellStyle name="40% - Accent3 3 2 2 2 5" xfId="8533" xr:uid="{00000000-0005-0000-0000-0000AE1B0000}"/>
    <cellStyle name="40% - Accent3 3 2 2 2 6" xfId="8534" xr:uid="{00000000-0005-0000-0000-0000AF1B0000}"/>
    <cellStyle name="40% - Accent3 3 2 2 2 7" xfId="8535" xr:uid="{00000000-0005-0000-0000-0000B01B0000}"/>
    <cellStyle name="40% - Accent3 3 2 2 3" xfId="8536" xr:uid="{00000000-0005-0000-0000-0000B11B0000}"/>
    <cellStyle name="40% - Accent3 3 2 2 3 2" xfId="8537" xr:uid="{00000000-0005-0000-0000-0000B21B0000}"/>
    <cellStyle name="40% - Accent3 3 2 2 3 3" xfId="8538" xr:uid="{00000000-0005-0000-0000-0000B31B0000}"/>
    <cellStyle name="40% - Accent3 3 2 2 4" xfId="8539" xr:uid="{00000000-0005-0000-0000-0000B41B0000}"/>
    <cellStyle name="40% - Accent3 3 2 2 4 2" xfId="8540" xr:uid="{00000000-0005-0000-0000-0000B51B0000}"/>
    <cellStyle name="40% - Accent3 3 2 2 4 3" xfId="8541" xr:uid="{00000000-0005-0000-0000-0000B61B0000}"/>
    <cellStyle name="40% - Accent3 3 2 2 5" xfId="8542" xr:uid="{00000000-0005-0000-0000-0000B71B0000}"/>
    <cellStyle name="40% - Accent3 3 2 2 6" xfId="8543" xr:uid="{00000000-0005-0000-0000-0000B81B0000}"/>
    <cellStyle name="40% - Accent3 3 2 2 7" xfId="8544" xr:uid="{00000000-0005-0000-0000-0000B91B0000}"/>
    <cellStyle name="40% - Accent3 3 2 2 8" xfId="8545" xr:uid="{00000000-0005-0000-0000-0000BA1B0000}"/>
    <cellStyle name="40% - Accent3 3 2 2 9" xfId="8546" xr:uid="{00000000-0005-0000-0000-0000BB1B0000}"/>
    <cellStyle name="40% - Accent3 3 2 3" xfId="8547" xr:uid="{00000000-0005-0000-0000-0000BC1B0000}"/>
    <cellStyle name="40% - Accent3 3 2 3 2" xfId="8548" xr:uid="{00000000-0005-0000-0000-0000BD1B0000}"/>
    <cellStyle name="40% - Accent3 3 2 3 2 2" xfId="8549" xr:uid="{00000000-0005-0000-0000-0000BE1B0000}"/>
    <cellStyle name="40% - Accent3 3 2 3 2 3" xfId="8550" xr:uid="{00000000-0005-0000-0000-0000BF1B0000}"/>
    <cellStyle name="40% - Accent3 3 2 3 3" xfId="8551" xr:uid="{00000000-0005-0000-0000-0000C01B0000}"/>
    <cellStyle name="40% - Accent3 3 2 3 3 2" xfId="8552" xr:uid="{00000000-0005-0000-0000-0000C11B0000}"/>
    <cellStyle name="40% - Accent3 3 2 3 3 3" xfId="8553" xr:uid="{00000000-0005-0000-0000-0000C21B0000}"/>
    <cellStyle name="40% - Accent3 3 2 3 4" xfId="8554" xr:uid="{00000000-0005-0000-0000-0000C31B0000}"/>
    <cellStyle name="40% - Accent3 3 2 3 5" xfId="8555" xr:uid="{00000000-0005-0000-0000-0000C41B0000}"/>
    <cellStyle name="40% - Accent3 3 2 3 6" xfId="8556" xr:uid="{00000000-0005-0000-0000-0000C51B0000}"/>
    <cellStyle name="40% - Accent3 3 2 3 7" xfId="8557" xr:uid="{00000000-0005-0000-0000-0000C61B0000}"/>
    <cellStyle name="40% - Accent3 3 2 3 8" xfId="8558" xr:uid="{00000000-0005-0000-0000-0000C71B0000}"/>
    <cellStyle name="40% - Accent3 3 2 4" xfId="8559" xr:uid="{00000000-0005-0000-0000-0000C81B0000}"/>
    <cellStyle name="40% - Accent3 3 2 4 2" xfId="8560" xr:uid="{00000000-0005-0000-0000-0000C91B0000}"/>
    <cellStyle name="40% - Accent3 3 2 4 3" xfId="8561" xr:uid="{00000000-0005-0000-0000-0000CA1B0000}"/>
    <cellStyle name="40% - Accent3 3 2 4 4" xfId="8562" xr:uid="{00000000-0005-0000-0000-0000CB1B0000}"/>
    <cellStyle name="40% - Accent3 3 2 4 5" xfId="8563" xr:uid="{00000000-0005-0000-0000-0000CC1B0000}"/>
    <cellStyle name="40% - Accent3 3 2 5" xfId="8564" xr:uid="{00000000-0005-0000-0000-0000CD1B0000}"/>
    <cellStyle name="40% - Accent3 3 2 5 2" xfId="8565" xr:uid="{00000000-0005-0000-0000-0000CE1B0000}"/>
    <cellStyle name="40% - Accent3 3 2 5 3" xfId="8566" xr:uid="{00000000-0005-0000-0000-0000CF1B0000}"/>
    <cellStyle name="40% - Accent3 3 2 5 4" xfId="8567" xr:uid="{00000000-0005-0000-0000-0000D01B0000}"/>
    <cellStyle name="40% - Accent3 3 2 5 5" xfId="8568" xr:uid="{00000000-0005-0000-0000-0000D11B0000}"/>
    <cellStyle name="40% - Accent3 3 2 6" xfId="8569" xr:uid="{00000000-0005-0000-0000-0000D21B0000}"/>
    <cellStyle name="40% - Accent3 3 2 7" xfId="8570" xr:uid="{00000000-0005-0000-0000-0000D31B0000}"/>
    <cellStyle name="40% - Accent3 3 2 8" xfId="8571" xr:uid="{00000000-0005-0000-0000-0000D41B0000}"/>
    <cellStyle name="40% - Accent3 3 2 9" xfId="8572" xr:uid="{00000000-0005-0000-0000-0000D51B0000}"/>
    <cellStyle name="40% - Accent3 3 3" xfId="1254" xr:uid="{00000000-0005-0000-0000-0000D61B0000}"/>
    <cellStyle name="40% - Accent3 3 3 10" xfId="8573" xr:uid="{00000000-0005-0000-0000-0000D71B0000}"/>
    <cellStyle name="40% - Accent3 3 3 11" xfId="8574" xr:uid="{00000000-0005-0000-0000-0000D81B0000}"/>
    <cellStyle name="40% - Accent3 3 3 12" xfId="8575" xr:uid="{00000000-0005-0000-0000-0000D91B0000}"/>
    <cellStyle name="40% - Accent3 3 3 2" xfId="8576" xr:uid="{00000000-0005-0000-0000-0000DA1B0000}"/>
    <cellStyle name="40% - Accent3 3 3 2 2" xfId="8577" xr:uid="{00000000-0005-0000-0000-0000DB1B0000}"/>
    <cellStyle name="40% - Accent3 3 3 2 2 2" xfId="8578" xr:uid="{00000000-0005-0000-0000-0000DC1B0000}"/>
    <cellStyle name="40% - Accent3 3 3 2 2 3" xfId="8579" xr:uid="{00000000-0005-0000-0000-0000DD1B0000}"/>
    <cellStyle name="40% - Accent3 3 3 2 3" xfId="8580" xr:uid="{00000000-0005-0000-0000-0000DE1B0000}"/>
    <cellStyle name="40% - Accent3 3 3 2 3 2" xfId="8581" xr:uid="{00000000-0005-0000-0000-0000DF1B0000}"/>
    <cellStyle name="40% - Accent3 3 3 2 3 3" xfId="8582" xr:uid="{00000000-0005-0000-0000-0000E01B0000}"/>
    <cellStyle name="40% - Accent3 3 3 2 4" xfId="8583" xr:uid="{00000000-0005-0000-0000-0000E11B0000}"/>
    <cellStyle name="40% - Accent3 3 3 2 5" xfId="8584" xr:uid="{00000000-0005-0000-0000-0000E21B0000}"/>
    <cellStyle name="40% - Accent3 3 3 2 6" xfId="8585" xr:uid="{00000000-0005-0000-0000-0000E31B0000}"/>
    <cellStyle name="40% - Accent3 3 3 2 7" xfId="8586" xr:uid="{00000000-0005-0000-0000-0000E41B0000}"/>
    <cellStyle name="40% - Accent3 3 3 2 8" xfId="8587" xr:uid="{00000000-0005-0000-0000-0000E51B0000}"/>
    <cellStyle name="40% - Accent3 3 3 2 9" xfId="8588" xr:uid="{00000000-0005-0000-0000-0000E61B0000}"/>
    <cellStyle name="40% - Accent3 3 3 3" xfId="8589" xr:uid="{00000000-0005-0000-0000-0000E71B0000}"/>
    <cellStyle name="40% - Accent3 3 3 3 2" xfId="8590" xr:uid="{00000000-0005-0000-0000-0000E81B0000}"/>
    <cellStyle name="40% - Accent3 3 3 3 3" xfId="8591" xr:uid="{00000000-0005-0000-0000-0000E91B0000}"/>
    <cellStyle name="40% - Accent3 3 3 3 4" xfId="8592" xr:uid="{00000000-0005-0000-0000-0000EA1B0000}"/>
    <cellStyle name="40% - Accent3 3 3 3 5" xfId="8593" xr:uid="{00000000-0005-0000-0000-0000EB1B0000}"/>
    <cellStyle name="40% - Accent3 3 3 4" xfId="8594" xr:uid="{00000000-0005-0000-0000-0000EC1B0000}"/>
    <cellStyle name="40% - Accent3 3 3 4 2" xfId="8595" xr:uid="{00000000-0005-0000-0000-0000ED1B0000}"/>
    <cellStyle name="40% - Accent3 3 3 4 3" xfId="8596" xr:uid="{00000000-0005-0000-0000-0000EE1B0000}"/>
    <cellStyle name="40% - Accent3 3 3 4 4" xfId="8597" xr:uid="{00000000-0005-0000-0000-0000EF1B0000}"/>
    <cellStyle name="40% - Accent3 3 3 4 5" xfId="8598" xr:uid="{00000000-0005-0000-0000-0000F01B0000}"/>
    <cellStyle name="40% - Accent3 3 3 5" xfId="8599" xr:uid="{00000000-0005-0000-0000-0000F11B0000}"/>
    <cellStyle name="40% - Accent3 3 3 5 2" xfId="8600" xr:uid="{00000000-0005-0000-0000-0000F21B0000}"/>
    <cellStyle name="40% - Accent3 3 3 5 3" xfId="8601" xr:uid="{00000000-0005-0000-0000-0000F31B0000}"/>
    <cellStyle name="40% - Accent3 3 3 6" xfId="8602" xr:uid="{00000000-0005-0000-0000-0000F41B0000}"/>
    <cellStyle name="40% - Accent3 3 3 7" xfId="8603" xr:uid="{00000000-0005-0000-0000-0000F51B0000}"/>
    <cellStyle name="40% - Accent3 3 3 8" xfId="8604" xr:uid="{00000000-0005-0000-0000-0000F61B0000}"/>
    <cellStyle name="40% - Accent3 3 3 9" xfId="8605" xr:uid="{00000000-0005-0000-0000-0000F71B0000}"/>
    <cellStyle name="40% - Accent3 3 4" xfId="8606" xr:uid="{00000000-0005-0000-0000-0000F81B0000}"/>
    <cellStyle name="40% - Accent3 3 4 2" xfId="8607" xr:uid="{00000000-0005-0000-0000-0000F91B0000}"/>
    <cellStyle name="40% - Accent3 3 4 2 2" xfId="8608" xr:uid="{00000000-0005-0000-0000-0000FA1B0000}"/>
    <cellStyle name="40% - Accent3 3 4 2 3" xfId="8609" xr:uid="{00000000-0005-0000-0000-0000FB1B0000}"/>
    <cellStyle name="40% - Accent3 3 4 2 4" xfId="8610" xr:uid="{00000000-0005-0000-0000-0000FC1B0000}"/>
    <cellStyle name="40% - Accent3 3 4 2 5" xfId="8611" xr:uid="{00000000-0005-0000-0000-0000FD1B0000}"/>
    <cellStyle name="40% - Accent3 3 4 2 6" xfId="8612" xr:uid="{00000000-0005-0000-0000-0000FE1B0000}"/>
    <cellStyle name="40% - Accent3 3 4 3" xfId="8613" xr:uid="{00000000-0005-0000-0000-0000FF1B0000}"/>
    <cellStyle name="40% - Accent3 3 4 3 2" xfId="8614" xr:uid="{00000000-0005-0000-0000-0000001C0000}"/>
    <cellStyle name="40% - Accent3 3 4 3 3" xfId="8615" xr:uid="{00000000-0005-0000-0000-0000011C0000}"/>
    <cellStyle name="40% - Accent3 3 4 3 4" xfId="8616" xr:uid="{00000000-0005-0000-0000-0000021C0000}"/>
    <cellStyle name="40% - Accent3 3 4 3 5" xfId="8617" xr:uid="{00000000-0005-0000-0000-0000031C0000}"/>
    <cellStyle name="40% - Accent3 3 4 4" xfId="8618" xr:uid="{00000000-0005-0000-0000-0000041C0000}"/>
    <cellStyle name="40% - Accent3 3 4 4 2" xfId="8619" xr:uid="{00000000-0005-0000-0000-0000051C0000}"/>
    <cellStyle name="40% - Accent3 3 4 4 3" xfId="8620" xr:uid="{00000000-0005-0000-0000-0000061C0000}"/>
    <cellStyle name="40% - Accent3 3 4 5" xfId="8621" xr:uid="{00000000-0005-0000-0000-0000071C0000}"/>
    <cellStyle name="40% - Accent3 3 4 5 2" xfId="8622" xr:uid="{00000000-0005-0000-0000-0000081C0000}"/>
    <cellStyle name="40% - Accent3 3 4 5 3" xfId="8623" xr:uid="{00000000-0005-0000-0000-0000091C0000}"/>
    <cellStyle name="40% - Accent3 3 4 6" xfId="8624" xr:uid="{00000000-0005-0000-0000-00000A1C0000}"/>
    <cellStyle name="40% - Accent3 3 4 7" xfId="8625" xr:uid="{00000000-0005-0000-0000-00000B1C0000}"/>
    <cellStyle name="40% - Accent3 3 4 8" xfId="8626" xr:uid="{00000000-0005-0000-0000-00000C1C0000}"/>
    <cellStyle name="40% - Accent3 3 4 9" xfId="8627" xr:uid="{00000000-0005-0000-0000-00000D1C0000}"/>
    <cellStyle name="40% - Accent3 3 5" xfId="8628" xr:uid="{00000000-0005-0000-0000-00000E1C0000}"/>
    <cellStyle name="40% - Accent3 3 5 2" xfId="8629" xr:uid="{00000000-0005-0000-0000-00000F1C0000}"/>
    <cellStyle name="40% - Accent3 3 5 2 2" xfId="8630" xr:uid="{00000000-0005-0000-0000-0000101C0000}"/>
    <cellStyle name="40% - Accent3 3 5 2 3" xfId="8631" xr:uid="{00000000-0005-0000-0000-0000111C0000}"/>
    <cellStyle name="40% - Accent3 3 5 2 4" xfId="8632" xr:uid="{00000000-0005-0000-0000-0000121C0000}"/>
    <cellStyle name="40% - Accent3 3 5 3" xfId="8633" xr:uid="{00000000-0005-0000-0000-0000131C0000}"/>
    <cellStyle name="40% - Accent3 3 5 3 2" xfId="8634" xr:uid="{00000000-0005-0000-0000-0000141C0000}"/>
    <cellStyle name="40% - Accent3 3 5 3 3" xfId="8635" xr:uid="{00000000-0005-0000-0000-0000151C0000}"/>
    <cellStyle name="40% - Accent3 3 5 4" xfId="8636" xr:uid="{00000000-0005-0000-0000-0000161C0000}"/>
    <cellStyle name="40% - Accent3 3 5 4 2" xfId="8637" xr:uid="{00000000-0005-0000-0000-0000171C0000}"/>
    <cellStyle name="40% - Accent3 3 5 5" xfId="8638" xr:uid="{00000000-0005-0000-0000-0000181C0000}"/>
    <cellStyle name="40% - Accent3 3 5 5 2" xfId="8639" xr:uid="{00000000-0005-0000-0000-0000191C0000}"/>
    <cellStyle name="40% - Accent3 3 5 6" xfId="8640" xr:uid="{00000000-0005-0000-0000-00001A1C0000}"/>
    <cellStyle name="40% - Accent3 3 5 7" xfId="8641" xr:uid="{00000000-0005-0000-0000-00001B1C0000}"/>
    <cellStyle name="40% - Accent3 3 5 8" xfId="8642" xr:uid="{00000000-0005-0000-0000-00001C1C0000}"/>
    <cellStyle name="40% - Accent3 3 6" xfId="8643" xr:uid="{00000000-0005-0000-0000-00001D1C0000}"/>
    <cellStyle name="40% - Accent3 3 6 2" xfId="8644" xr:uid="{00000000-0005-0000-0000-00001E1C0000}"/>
    <cellStyle name="40% - Accent3 3 6 2 2" xfId="8645" xr:uid="{00000000-0005-0000-0000-00001F1C0000}"/>
    <cellStyle name="40% - Accent3 3 6 2 3" xfId="8646" xr:uid="{00000000-0005-0000-0000-0000201C0000}"/>
    <cellStyle name="40% - Accent3 3 6 2 4" xfId="8647" xr:uid="{00000000-0005-0000-0000-0000211C0000}"/>
    <cellStyle name="40% - Accent3 3 6 3" xfId="8648" xr:uid="{00000000-0005-0000-0000-0000221C0000}"/>
    <cellStyle name="40% - Accent3 3 6 3 2" xfId="8649" xr:uid="{00000000-0005-0000-0000-0000231C0000}"/>
    <cellStyle name="40% - Accent3 3 6 3 3" xfId="8650" xr:uid="{00000000-0005-0000-0000-0000241C0000}"/>
    <cellStyle name="40% - Accent3 3 6 4" xfId="8651" xr:uid="{00000000-0005-0000-0000-0000251C0000}"/>
    <cellStyle name="40% - Accent3 3 6 4 2" xfId="8652" xr:uid="{00000000-0005-0000-0000-0000261C0000}"/>
    <cellStyle name="40% - Accent3 3 6 5" xfId="8653" xr:uid="{00000000-0005-0000-0000-0000271C0000}"/>
    <cellStyle name="40% - Accent3 3 6 5 2" xfId="8654" xr:uid="{00000000-0005-0000-0000-0000281C0000}"/>
    <cellStyle name="40% - Accent3 3 6 6" xfId="8655" xr:uid="{00000000-0005-0000-0000-0000291C0000}"/>
    <cellStyle name="40% - Accent3 3 6 7" xfId="8656" xr:uid="{00000000-0005-0000-0000-00002A1C0000}"/>
    <cellStyle name="40% - Accent3 3 6 8" xfId="8657" xr:uid="{00000000-0005-0000-0000-00002B1C0000}"/>
    <cellStyle name="40% - Accent3 3 7" xfId="8658" xr:uid="{00000000-0005-0000-0000-00002C1C0000}"/>
    <cellStyle name="40% - Accent3 3 7 2" xfId="8659" xr:uid="{00000000-0005-0000-0000-00002D1C0000}"/>
    <cellStyle name="40% - Accent3 3 7 2 2" xfId="8660" xr:uid="{00000000-0005-0000-0000-00002E1C0000}"/>
    <cellStyle name="40% - Accent3 3 7 2 3" xfId="8661" xr:uid="{00000000-0005-0000-0000-00002F1C0000}"/>
    <cellStyle name="40% - Accent3 3 7 3" xfId="8662" xr:uid="{00000000-0005-0000-0000-0000301C0000}"/>
    <cellStyle name="40% - Accent3 3 7 3 2" xfId="8663" xr:uid="{00000000-0005-0000-0000-0000311C0000}"/>
    <cellStyle name="40% - Accent3 3 7 4" xfId="8664" xr:uid="{00000000-0005-0000-0000-0000321C0000}"/>
    <cellStyle name="40% - Accent3 3 7 4 2" xfId="8665" xr:uid="{00000000-0005-0000-0000-0000331C0000}"/>
    <cellStyle name="40% - Accent3 3 7 5" xfId="8666" xr:uid="{00000000-0005-0000-0000-0000341C0000}"/>
    <cellStyle name="40% - Accent3 3 7 5 2" xfId="8667" xr:uid="{00000000-0005-0000-0000-0000351C0000}"/>
    <cellStyle name="40% - Accent3 3 7 6" xfId="8668" xr:uid="{00000000-0005-0000-0000-0000361C0000}"/>
    <cellStyle name="40% - Accent3 3 7 7" xfId="8669" xr:uid="{00000000-0005-0000-0000-0000371C0000}"/>
    <cellStyle name="40% - Accent3 3 7 8" xfId="8670" xr:uid="{00000000-0005-0000-0000-0000381C0000}"/>
    <cellStyle name="40% - Accent3 3 8" xfId="8671" xr:uid="{00000000-0005-0000-0000-0000391C0000}"/>
    <cellStyle name="40% - Accent3 3 8 2" xfId="8672" xr:uid="{00000000-0005-0000-0000-00003A1C0000}"/>
    <cellStyle name="40% - Accent3 3 8 3" xfId="8673" xr:uid="{00000000-0005-0000-0000-00003B1C0000}"/>
    <cellStyle name="40% - Accent3 3 8 4" xfId="8674" xr:uid="{00000000-0005-0000-0000-00003C1C0000}"/>
    <cellStyle name="40% - Accent3 3 9" xfId="8675" xr:uid="{00000000-0005-0000-0000-00003D1C0000}"/>
    <cellStyle name="40% - Accent3 3 9 2" xfId="8676" xr:uid="{00000000-0005-0000-0000-00003E1C0000}"/>
    <cellStyle name="40% - Accent3 3 9 3" xfId="8677" xr:uid="{00000000-0005-0000-0000-00003F1C0000}"/>
    <cellStyle name="40% - Accent3 30" xfId="1255" xr:uid="{00000000-0005-0000-0000-0000401C0000}"/>
    <cellStyle name="40% - Accent3 30 2" xfId="1256" xr:uid="{00000000-0005-0000-0000-0000411C0000}"/>
    <cellStyle name="40% - Accent3 31" xfId="1257" xr:uid="{00000000-0005-0000-0000-0000421C0000}"/>
    <cellStyle name="40% - Accent3 31 2" xfId="1258" xr:uid="{00000000-0005-0000-0000-0000431C0000}"/>
    <cellStyle name="40% - Accent3 32" xfId="1259" xr:uid="{00000000-0005-0000-0000-0000441C0000}"/>
    <cellStyle name="40% - Accent3 32 2" xfId="1260" xr:uid="{00000000-0005-0000-0000-0000451C0000}"/>
    <cellStyle name="40% - Accent3 33" xfId="1261" xr:uid="{00000000-0005-0000-0000-0000461C0000}"/>
    <cellStyle name="40% - Accent3 33 2" xfId="1262" xr:uid="{00000000-0005-0000-0000-0000471C0000}"/>
    <cellStyle name="40% - Accent3 34" xfId="1263" xr:uid="{00000000-0005-0000-0000-0000481C0000}"/>
    <cellStyle name="40% - Accent3 34 2" xfId="1264" xr:uid="{00000000-0005-0000-0000-0000491C0000}"/>
    <cellStyle name="40% - Accent3 35" xfId="1265" xr:uid="{00000000-0005-0000-0000-00004A1C0000}"/>
    <cellStyle name="40% - Accent3 35 2" xfId="1266" xr:uid="{00000000-0005-0000-0000-00004B1C0000}"/>
    <cellStyle name="40% - Accent3 36" xfId="1267" xr:uid="{00000000-0005-0000-0000-00004C1C0000}"/>
    <cellStyle name="40% - Accent3 36 2" xfId="1268" xr:uid="{00000000-0005-0000-0000-00004D1C0000}"/>
    <cellStyle name="40% - Accent3 37" xfId="1269" xr:uid="{00000000-0005-0000-0000-00004E1C0000}"/>
    <cellStyle name="40% - Accent3 37 2" xfId="1270" xr:uid="{00000000-0005-0000-0000-00004F1C0000}"/>
    <cellStyle name="40% - Accent3 38" xfId="1271" xr:uid="{00000000-0005-0000-0000-0000501C0000}"/>
    <cellStyle name="40% - Accent3 39" xfId="1272" xr:uid="{00000000-0005-0000-0000-0000511C0000}"/>
    <cellStyle name="40% - Accent3 4" xfId="1273" xr:uid="{00000000-0005-0000-0000-0000521C0000}"/>
    <cellStyle name="40% - Accent3 4 10" xfId="8678" xr:uid="{00000000-0005-0000-0000-0000531C0000}"/>
    <cellStyle name="40% - Accent3 4 11" xfId="8679" xr:uid="{00000000-0005-0000-0000-0000541C0000}"/>
    <cellStyle name="40% - Accent3 4 12" xfId="8680" xr:uid="{00000000-0005-0000-0000-0000551C0000}"/>
    <cellStyle name="40% - Accent3 4 13" xfId="8681" xr:uid="{00000000-0005-0000-0000-0000561C0000}"/>
    <cellStyle name="40% - Accent3 4 14" xfId="8682" xr:uid="{00000000-0005-0000-0000-0000571C0000}"/>
    <cellStyle name="40% - Accent3 4 2" xfId="1274" xr:uid="{00000000-0005-0000-0000-0000581C0000}"/>
    <cellStyle name="40% - Accent3 4 2 10" xfId="8683" xr:uid="{00000000-0005-0000-0000-0000591C0000}"/>
    <cellStyle name="40% - Accent3 4 2 11" xfId="8684" xr:uid="{00000000-0005-0000-0000-00005A1C0000}"/>
    <cellStyle name="40% - Accent3 4 2 2" xfId="1275" xr:uid="{00000000-0005-0000-0000-00005B1C0000}"/>
    <cellStyle name="40% - Accent3 4 2 2 2" xfId="8685" xr:uid="{00000000-0005-0000-0000-00005C1C0000}"/>
    <cellStyle name="40% - Accent3 4 2 2 2 2" xfId="8686" xr:uid="{00000000-0005-0000-0000-00005D1C0000}"/>
    <cellStyle name="40% - Accent3 4 2 2 2 2 2" xfId="8687" xr:uid="{00000000-0005-0000-0000-00005E1C0000}"/>
    <cellStyle name="40% - Accent3 4 2 2 2 2 3" xfId="8688" xr:uid="{00000000-0005-0000-0000-00005F1C0000}"/>
    <cellStyle name="40% - Accent3 4 2 2 2 3" xfId="8689" xr:uid="{00000000-0005-0000-0000-0000601C0000}"/>
    <cellStyle name="40% - Accent3 4 2 2 2 3 2" xfId="8690" xr:uid="{00000000-0005-0000-0000-0000611C0000}"/>
    <cellStyle name="40% - Accent3 4 2 2 2 3 3" xfId="8691" xr:uid="{00000000-0005-0000-0000-0000621C0000}"/>
    <cellStyle name="40% - Accent3 4 2 2 2 4" xfId="8692" xr:uid="{00000000-0005-0000-0000-0000631C0000}"/>
    <cellStyle name="40% - Accent3 4 2 2 2 5" xfId="8693" xr:uid="{00000000-0005-0000-0000-0000641C0000}"/>
    <cellStyle name="40% - Accent3 4 2 2 2 6" xfId="8694" xr:uid="{00000000-0005-0000-0000-0000651C0000}"/>
    <cellStyle name="40% - Accent3 4 2 2 3" xfId="8695" xr:uid="{00000000-0005-0000-0000-0000661C0000}"/>
    <cellStyle name="40% - Accent3 4 2 2 3 2" xfId="8696" xr:uid="{00000000-0005-0000-0000-0000671C0000}"/>
    <cellStyle name="40% - Accent3 4 2 2 3 3" xfId="8697" xr:uid="{00000000-0005-0000-0000-0000681C0000}"/>
    <cellStyle name="40% - Accent3 4 2 2 4" xfId="8698" xr:uid="{00000000-0005-0000-0000-0000691C0000}"/>
    <cellStyle name="40% - Accent3 4 2 2 4 2" xfId="8699" xr:uid="{00000000-0005-0000-0000-00006A1C0000}"/>
    <cellStyle name="40% - Accent3 4 2 2 4 3" xfId="8700" xr:uid="{00000000-0005-0000-0000-00006B1C0000}"/>
    <cellStyle name="40% - Accent3 4 2 2 5" xfId="8701" xr:uid="{00000000-0005-0000-0000-00006C1C0000}"/>
    <cellStyle name="40% - Accent3 4 2 2 6" xfId="8702" xr:uid="{00000000-0005-0000-0000-00006D1C0000}"/>
    <cellStyle name="40% - Accent3 4 2 2 7" xfId="8703" xr:uid="{00000000-0005-0000-0000-00006E1C0000}"/>
    <cellStyle name="40% - Accent3 4 2 2 8" xfId="8704" xr:uid="{00000000-0005-0000-0000-00006F1C0000}"/>
    <cellStyle name="40% - Accent3 4 2 3" xfId="1276" xr:uid="{00000000-0005-0000-0000-0000701C0000}"/>
    <cellStyle name="40% - Accent3 4 2 3 2" xfId="8705" xr:uid="{00000000-0005-0000-0000-0000711C0000}"/>
    <cellStyle name="40% - Accent3 4 2 3 2 2" xfId="8706" xr:uid="{00000000-0005-0000-0000-0000721C0000}"/>
    <cellStyle name="40% - Accent3 4 2 3 2 3" xfId="8707" xr:uid="{00000000-0005-0000-0000-0000731C0000}"/>
    <cellStyle name="40% - Accent3 4 2 3 3" xfId="8708" xr:uid="{00000000-0005-0000-0000-0000741C0000}"/>
    <cellStyle name="40% - Accent3 4 2 3 3 2" xfId="8709" xr:uid="{00000000-0005-0000-0000-0000751C0000}"/>
    <cellStyle name="40% - Accent3 4 2 3 3 3" xfId="8710" xr:uid="{00000000-0005-0000-0000-0000761C0000}"/>
    <cellStyle name="40% - Accent3 4 2 3 4" xfId="8711" xr:uid="{00000000-0005-0000-0000-0000771C0000}"/>
    <cellStyle name="40% - Accent3 4 2 3 5" xfId="8712" xr:uid="{00000000-0005-0000-0000-0000781C0000}"/>
    <cellStyle name="40% - Accent3 4 2 3 6" xfId="8713" xr:uid="{00000000-0005-0000-0000-0000791C0000}"/>
    <cellStyle name="40% - Accent3 4 2 4" xfId="8714" xr:uid="{00000000-0005-0000-0000-00007A1C0000}"/>
    <cellStyle name="40% - Accent3 4 2 4 2" xfId="8715" xr:uid="{00000000-0005-0000-0000-00007B1C0000}"/>
    <cellStyle name="40% - Accent3 4 2 4 3" xfId="8716" xr:uid="{00000000-0005-0000-0000-00007C1C0000}"/>
    <cellStyle name="40% - Accent3 4 2 5" xfId="8717" xr:uid="{00000000-0005-0000-0000-00007D1C0000}"/>
    <cellStyle name="40% - Accent3 4 2 5 2" xfId="8718" xr:uid="{00000000-0005-0000-0000-00007E1C0000}"/>
    <cellStyle name="40% - Accent3 4 2 5 3" xfId="8719" xr:uid="{00000000-0005-0000-0000-00007F1C0000}"/>
    <cellStyle name="40% - Accent3 4 2 6" xfId="8720" xr:uid="{00000000-0005-0000-0000-0000801C0000}"/>
    <cellStyle name="40% - Accent3 4 2 7" xfId="8721" xr:uid="{00000000-0005-0000-0000-0000811C0000}"/>
    <cellStyle name="40% - Accent3 4 2 8" xfId="8722" xr:uid="{00000000-0005-0000-0000-0000821C0000}"/>
    <cellStyle name="40% - Accent3 4 2 9" xfId="8723" xr:uid="{00000000-0005-0000-0000-0000831C0000}"/>
    <cellStyle name="40% - Accent3 4 3" xfId="1277" xr:uid="{00000000-0005-0000-0000-0000841C0000}"/>
    <cellStyle name="40% - Accent3 4 3 10" xfId="8724" xr:uid="{00000000-0005-0000-0000-0000851C0000}"/>
    <cellStyle name="40% - Accent3 4 3 2" xfId="8725" xr:uid="{00000000-0005-0000-0000-0000861C0000}"/>
    <cellStyle name="40% - Accent3 4 3 2 2" xfId="8726" xr:uid="{00000000-0005-0000-0000-0000871C0000}"/>
    <cellStyle name="40% - Accent3 4 3 2 2 2" xfId="8727" xr:uid="{00000000-0005-0000-0000-0000881C0000}"/>
    <cellStyle name="40% - Accent3 4 3 2 2 3" xfId="8728" xr:uid="{00000000-0005-0000-0000-0000891C0000}"/>
    <cellStyle name="40% - Accent3 4 3 2 3" xfId="8729" xr:uid="{00000000-0005-0000-0000-00008A1C0000}"/>
    <cellStyle name="40% - Accent3 4 3 2 3 2" xfId="8730" xr:uid="{00000000-0005-0000-0000-00008B1C0000}"/>
    <cellStyle name="40% - Accent3 4 3 2 3 3" xfId="8731" xr:uid="{00000000-0005-0000-0000-00008C1C0000}"/>
    <cellStyle name="40% - Accent3 4 3 2 4" xfId="8732" xr:uid="{00000000-0005-0000-0000-00008D1C0000}"/>
    <cellStyle name="40% - Accent3 4 3 2 5" xfId="8733" xr:uid="{00000000-0005-0000-0000-00008E1C0000}"/>
    <cellStyle name="40% - Accent3 4 3 2 6" xfId="8734" xr:uid="{00000000-0005-0000-0000-00008F1C0000}"/>
    <cellStyle name="40% - Accent3 4 3 3" xfId="8735" xr:uid="{00000000-0005-0000-0000-0000901C0000}"/>
    <cellStyle name="40% - Accent3 4 3 3 2" xfId="8736" xr:uid="{00000000-0005-0000-0000-0000911C0000}"/>
    <cellStyle name="40% - Accent3 4 3 3 3" xfId="8737" xr:uid="{00000000-0005-0000-0000-0000921C0000}"/>
    <cellStyle name="40% - Accent3 4 3 4" xfId="8738" xr:uid="{00000000-0005-0000-0000-0000931C0000}"/>
    <cellStyle name="40% - Accent3 4 3 4 2" xfId="8739" xr:uid="{00000000-0005-0000-0000-0000941C0000}"/>
    <cellStyle name="40% - Accent3 4 3 4 3" xfId="8740" xr:uid="{00000000-0005-0000-0000-0000951C0000}"/>
    <cellStyle name="40% - Accent3 4 3 5" xfId="8741" xr:uid="{00000000-0005-0000-0000-0000961C0000}"/>
    <cellStyle name="40% - Accent3 4 3 6" xfId="8742" xr:uid="{00000000-0005-0000-0000-0000971C0000}"/>
    <cellStyle name="40% - Accent3 4 3 7" xfId="8743" xr:uid="{00000000-0005-0000-0000-0000981C0000}"/>
    <cellStyle name="40% - Accent3 4 3 8" xfId="8744" xr:uid="{00000000-0005-0000-0000-0000991C0000}"/>
    <cellStyle name="40% - Accent3 4 3 9" xfId="8745" xr:uid="{00000000-0005-0000-0000-00009A1C0000}"/>
    <cellStyle name="40% - Accent3 4 4" xfId="1278" xr:uid="{00000000-0005-0000-0000-00009B1C0000}"/>
    <cellStyle name="40% - Accent3 4 4 2" xfId="8746" xr:uid="{00000000-0005-0000-0000-00009C1C0000}"/>
    <cellStyle name="40% - Accent3 4 4 2 2" xfId="8747" xr:uid="{00000000-0005-0000-0000-00009D1C0000}"/>
    <cellStyle name="40% - Accent3 4 4 2 3" xfId="8748" xr:uid="{00000000-0005-0000-0000-00009E1C0000}"/>
    <cellStyle name="40% - Accent3 4 4 3" xfId="8749" xr:uid="{00000000-0005-0000-0000-00009F1C0000}"/>
    <cellStyle name="40% - Accent3 4 4 3 2" xfId="8750" xr:uid="{00000000-0005-0000-0000-0000A01C0000}"/>
    <cellStyle name="40% - Accent3 4 4 3 3" xfId="8751" xr:uid="{00000000-0005-0000-0000-0000A11C0000}"/>
    <cellStyle name="40% - Accent3 4 4 4" xfId="8752" xr:uid="{00000000-0005-0000-0000-0000A21C0000}"/>
    <cellStyle name="40% - Accent3 4 4 5" xfId="8753" xr:uid="{00000000-0005-0000-0000-0000A31C0000}"/>
    <cellStyle name="40% - Accent3 4 4 6" xfId="8754" xr:uid="{00000000-0005-0000-0000-0000A41C0000}"/>
    <cellStyle name="40% - Accent3 4 5" xfId="8755" xr:uid="{00000000-0005-0000-0000-0000A51C0000}"/>
    <cellStyle name="40% - Accent3 4 5 2" xfId="8756" xr:uid="{00000000-0005-0000-0000-0000A61C0000}"/>
    <cellStyle name="40% - Accent3 4 5 3" xfId="8757" xr:uid="{00000000-0005-0000-0000-0000A71C0000}"/>
    <cellStyle name="40% - Accent3 4 6" xfId="8758" xr:uid="{00000000-0005-0000-0000-0000A81C0000}"/>
    <cellStyle name="40% - Accent3 4 6 2" xfId="8759" xr:uid="{00000000-0005-0000-0000-0000A91C0000}"/>
    <cellStyle name="40% - Accent3 4 6 3" xfId="8760" xr:uid="{00000000-0005-0000-0000-0000AA1C0000}"/>
    <cellStyle name="40% - Accent3 4 7" xfId="8761" xr:uid="{00000000-0005-0000-0000-0000AB1C0000}"/>
    <cellStyle name="40% - Accent3 4 8" xfId="8762" xr:uid="{00000000-0005-0000-0000-0000AC1C0000}"/>
    <cellStyle name="40% - Accent3 4 9" xfId="8763" xr:uid="{00000000-0005-0000-0000-0000AD1C0000}"/>
    <cellStyle name="40% - Accent3 40" xfId="1279" xr:uid="{00000000-0005-0000-0000-0000AE1C0000}"/>
    <cellStyle name="40% - Accent3 41" xfId="1280" xr:uid="{00000000-0005-0000-0000-0000AF1C0000}"/>
    <cellStyle name="40% - Accent3 42" xfId="1281" xr:uid="{00000000-0005-0000-0000-0000B01C0000}"/>
    <cellStyle name="40% - Accent3 43" xfId="8764" xr:uid="{00000000-0005-0000-0000-0000B11C0000}"/>
    <cellStyle name="40% - Accent3 44" xfId="8765" xr:uid="{00000000-0005-0000-0000-0000B21C0000}"/>
    <cellStyle name="40% - Accent3 45" xfId="8766" xr:uid="{00000000-0005-0000-0000-0000B31C0000}"/>
    <cellStyle name="40% - Accent3 46" xfId="8767" xr:uid="{00000000-0005-0000-0000-0000B41C0000}"/>
    <cellStyle name="40% - Accent3 47" xfId="8768" xr:uid="{00000000-0005-0000-0000-0000B51C0000}"/>
    <cellStyle name="40% - Accent3 48" xfId="8769" xr:uid="{00000000-0005-0000-0000-0000B61C0000}"/>
    <cellStyle name="40% - Accent3 5" xfId="1282" xr:uid="{00000000-0005-0000-0000-0000B71C0000}"/>
    <cellStyle name="40% - Accent3 5 2" xfId="1283" xr:uid="{00000000-0005-0000-0000-0000B81C0000}"/>
    <cellStyle name="40% - Accent3 5 2 2" xfId="1284" xr:uid="{00000000-0005-0000-0000-0000B91C0000}"/>
    <cellStyle name="40% - Accent3 5 2 3" xfId="1285" xr:uid="{00000000-0005-0000-0000-0000BA1C0000}"/>
    <cellStyle name="40% - Accent3 5 3" xfId="1286" xr:uid="{00000000-0005-0000-0000-0000BB1C0000}"/>
    <cellStyle name="40% - Accent3 5 4" xfId="1287" xr:uid="{00000000-0005-0000-0000-0000BC1C0000}"/>
    <cellStyle name="40% - Accent3 5 5" xfId="8770" xr:uid="{00000000-0005-0000-0000-0000BD1C0000}"/>
    <cellStyle name="40% - Accent3 6" xfId="1288" xr:uid="{00000000-0005-0000-0000-0000BE1C0000}"/>
    <cellStyle name="40% - Accent3 6 10" xfId="8771" xr:uid="{00000000-0005-0000-0000-0000BF1C0000}"/>
    <cellStyle name="40% - Accent3 6 11" xfId="8772" xr:uid="{00000000-0005-0000-0000-0000C01C0000}"/>
    <cellStyle name="40% - Accent3 6 12" xfId="8773" xr:uid="{00000000-0005-0000-0000-0000C11C0000}"/>
    <cellStyle name="40% - Accent3 6 2" xfId="1289" xr:uid="{00000000-0005-0000-0000-0000C21C0000}"/>
    <cellStyle name="40% - Accent3 6 2 2" xfId="8774" xr:uid="{00000000-0005-0000-0000-0000C31C0000}"/>
    <cellStyle name="40% - Accent3 6 2 2 2" xfId="8775" xr:uid="{00000000-0005-0000-0000-0000C41C0000}"/>
    <cellStyle name="40% - Accent3 6 2 2 2 2" xfId="8776" xr:uid="{00000000-0005-0000-0000-0000C51C0000}"/>
    <cellStyle name="40% - Accent3 6 2 2 2 3" xfId="8777" xr:uid="{00000000-0005-0000-0000-0000C61C0000}"/>
    <cellStyle name="40% - Accent3 6 2 2 3" xfId="8778" xr:uid="{00000000-0005-0000-0000-0000C71C0000}"/>
    <cellStyle name="40% - Accent3 6 2 2 3 2" xfId="8779" xr:uid="{00000000-0005-0000-0000-0000C81C0000}"/>
    <cellStyle name="40% - Accent3 6 2 2 3 3" xfId="8780" xr:uid="{00000000-0005-0000-0000-0000C91C0000}"/>
    <cellStyle name="40% - Accent3 6 2 2 4" xfId="8781" xr:uid="{00000000-0005-0000-0000-0000CA1C0000}"/>
    <cellStyle name="40% - Accent3 6 2 2 5" xfId="8782" xr:uid="{00000000-0005-0000-0000-0000CB1C0000}"/>
    <cellStyle name="40% - Accent3 6 2 2 6" xfId="8783" xr:uid="{00000000-0005-0000-0000-0000CC1C0000}"/>
    <cellStyle name="40% - Accent3 6 2 3" xfId="8784" xr:uid="{00000000-0005-0000-0000-0000CD1C0000}"/>
    <cellStyle name="40% - Accent3 6 2 3 2" xfId="8785" xr:uid="{00000000-0005-0000-0000-0000CE1C0000}"/>
    <cellStyle name="40% - Accent3 6 2 3 3" xfId="8786" xr:uid="{00000000-0005-0000-0000-0000CF1C0000}"/>
    <cellStyle name="40% - Accent3 6 2 4" xfId="8787" xr:uid="{00000000-0005-0000-0000-0000D01C0000}"/>
    <cellStyle name="40% - Accent3 6 2 4 2" xfId="8788" xr:uid="{00000000-0005-0000-0000-0000D11C0000}"/>
    <cellStyle name="40% - Accent3 6 2 4 3" xfId="8789" xr:uid="{00000000-0005-0000-0000-0000D21C0000}"/>
    <cellStyle name="40% - Accent3 6 2 5" xfId="8790" xr:uid="{00000000-0005-0000-0000-0000D31C0000}"/>
    <cellStyle name="40% - Accent3 6 2 6" xfId="8791" xr:uid="{00000000-0005-0000-0000-0000D41C0000}"/>
    <cellStyle name="40% - Accent3 6 2 7" xfId="8792" xr:uid="{00000000-0005-0000-0000-0000D51C0000}"/>
    <cellStyle name="40% - Accent3 6 2 8" xfId="8793" xr:uid="{00000000-0005-0000-0000-0000D61C0000}"/>
    <cellStyle name="40% - Accent3 6 3" xfId="1290" xr:uid="{00000000-0005-0000-0000-0000D71C0000}"/>
    <cellStyle name="40% - Accent3 6 3 2" xfId="8794" xr:uid="{00000000-0005-0000-0000-0000D81C0000}"/>
    <cellStyle name="40% - Accent3 6 3 2 2" xfId="8795" xr:uid="{00000000-0005-0000-0000-0000D91C0000}"/>
    <cellStyle name="40% - Accent3 6 3 2 2 2" xfId="8796" xr:uid="{00000000-0005-0000-0000-0000DA1C0000}"/>
    <cellStyle name="40% - Accent3 6 3 2 3" xfId="8797" xr:uid="{00000000-0005-0000-0000-0000DB1C0000}"/>
    <cellStyle name="40% - Accent3 6 3 3" xfId="8798" xr:uid="{00000000-0005-0000-0000-0000DC1C0000}"/>
    <cellStyle name="40% - Accent3 6 3 3 2" xfId="8799" xr:uid="{00000000-0005-0000-0000-0000DD1C0000}"/>
    <cellStyle name="40% - Accent3 6 3 3 3" xfId="8800" xr:uid="{00000000-0005-0000-0000-0000DE1C0000}"/>
    <cellStyle name="40% - Accent3 6 3 4" xfId="8801" xr:uid="{00000000-0005-0000-0000-0000DF1C0000}"/>
    <cellStyle name="40% - Accent3 6 3 5" xfId="8802" xr:uid="{00000000-0005-0000-0000-0000E01C0000}"/>
    <cellStyle name="40% - Accent3 6 3 6" xfId="8803" xr:uid="{00000000-0005-0000-0000-0000E11C0000}"/>
    <cellStyle name="40% - Accent3 6 4" xfId="8804" xr:uid="{00000000-0005-0000-0000-0000E21C0000}"/>
    <cellStyle name="40% - Accent3 6 4 2" xfId="8805" xr:uid="{00000000-0005-0000-0000-0000E31C0000}"/>
    <cellStyle name="40% - Accent3 6 4 3" xfId="8806" xr:uid="{00000000-0005-0000-0000-0000E41C0000}"/>
    <cellStyle name="40% - Accent3 6 5" xfId="8807" xr:uid="{00000000-0005-0000-0000-0000E51C0000}"/>
    <cellStyle name="40% - Accent3 6 5 2" xfId="8808" xr:uid="{00000000-0005-0000-0000-0000E61C0000}"/>
    <cellStyle name="40% - Accent3 6 5 3" xfId="8809" xr:uid="{00000000-0005-0000-0000-0000E71C0000}"/>
    <cellStyle name="40% - Accent3 6 6" xfId="8810" xr:uid="{00000000-0005-0000-0000-0000E81C0000}"/>
    <cellStyle name="40% - Accent3 6 7" xfId="8811" xr:uid="{00000000-0005-0000-0000-0000E91C0000}"/>
    <cellStyle name="40% - Accent3 6 8" xfId="8812" xr:uid="{00000000-0005-0000-0000-0000EA1C0000}"/>
    <cellStyle name="40% - Accent3 6 9" xfId="8813" xr:uid="{00000000-0005-0000-0000-0000EB1C0000}"/>
    <cellStyle name="40% - Accent3 7" xfId="1291" xr:uid="{00000000-0005-0000-0000-0000EC1C0000}"/>
    <cellStyle name="40% - Accent3 7 10" xfId="8814" xr:uid="{00000000-0005-0000-0000-0000ED1C0000}"/>
    <cellStyle name="40% - Accent3 7 11" xfId="8815" xr:uid="{00000000-0005-0000-0000-0000EE1C0000}"/>
    <cellStyle name="40% - Accent3 7 2" xfId="1292" xr:uid="{00000000-0005-0000-0000-0000EF1C0000}"/>
    <cellStyle name="40% - Accent3 7 2 2" xfId="8816" xr:uid="{00000000-0005-0000-0000-0000F01C0000}"/>
    <cellStyle name="40% - Accent3 7 2 2 2" xfId="8817" xr:uid="{00000000-0005-0000-0000-0000F11C0000}"/>
    <cellStyle name="40% - Accent3 7 2 2 2 2" xfId="8818" xr:uid="{00000000-0005-0000-0000-0000F21C0000}"/>
    <cellStyle name="40% - Accent3 7 2 2 2 3" xfId="8819" xr:uid="{00000000-0005-0000-0000-0000F31C0000}"/>
    <cellStyle name="40% - Accent3 7 2 2 3" xfId="8820" xr:uid="{00000000-0005-0000-0000-0000F41C0000}"/>
    <cellStyle name="40% - Accent3 7 2 2 3 2" xfId="8821" xr:uid="{00000000-0005-0000-0000-0000F51C0000}"/>
    <cellStyle name="40% - Accent3 7 2 2 3 3" xfId="8822" xr:uid="{00000000-0005-0000-0000-0000F61C0000}"/>
    <cellStyle name="40% - Accent3 7 2 2 4" xfId="8823" xr:uid="{00000000-0005-0000-0000-0000F71C0000}"/>
    <cellStyle name="40% - Accent3 7 2 2 5" xfId="8824" xr:uid="{00000000-0005-0000-0000-0000F81C0000}"/>
    <cellStyle name="40% - Accent3 7 2 2 6" xfId="8825" xr:uid="{00000000-0005-0000-0000-0000F91C0000}"/>
    <cellStyle name="40% - Accent3 7 2 3" xfId="8826" xr:uid="{00000000-0005-0000-0000-0000FA1C0000}"/>
    <cellStyle name="40% - Accent3 7 2 3 2" xfId="8827" xr:uid="{00000000-0005-0000-0000-0000FB1C0000}"/>
    <cellStyle name="40% - Accent3 7 2 3 3" xfId="8828" xr:uid="{00000000-0005-0000-0000-0000FC1C0000}"/>
    <cellStyle name="40% - Accent3 7 2 4" xfId="8829" xr:uid="{00000000-0005-0000-0000-0000FD1C0000}"/>
    <cellStyle name="40% - Accent3 7 2 4 2" xfId="8830" xr:uid="{00000000-0005-0000-0000-0000FE1C0000}"/>
    <cellStyle name="40% - Accent3 7 2 4 3" xfId="8831" xr:uid="{00000000-0005-0000-0000-0000FF1C0000}"/>
    <cellStyle name="40% - Accent3 7 2 5" xfId="8832" xr:uid="{00000000-0005-0000-0000-0000001D0000}"/>
    <cellStyle name="40% - Accent3 7 2 6" xfId="8833" xr:uid="{00000000-0005-0000-0000-0000011D0000}"/>
    <cellStyle name="40% - Accent3 7 2 7" xfId="8834" xr:uid="{00000000-0005-0000-0000-0000021D0000}"/>
    <cellStyle name="40% - Accent3 7 2 8" xfId="8835" xr:uid="{00000000-0005-0000-0000-0000031D0000}"/>
    <cellStyle name="40% - Accent3 7 3" xfId="1293" xr:uid="{00000000-0005-0000-0000-0000041D0000}"/>
    <cellStyle name="40% - Accent3 7 3 2" xfId="8836" xr:uid="{00000000-0005-0000-0000-0000051D0000}"/>
    <cellStyle name="40% - Accent3 7 3 2 2" xfId="8837" xr:uid="{00000000-0005-0000-0000-0000061D0000}"/>
    <cellStyle name="40% - Accent3 7 3 2 2 2" xfId="8838" xr:uid="{00000000-0005-0000-0000-0000071D0000}"/>
    <cellStyle name="40% - Accent3 7 3 2 3" xfId="8839" xr:uid="{00000000-0005-0000-0000-0000081D0000}"/>
    <cellStyle name="40% - Accent3 7 3 3" xfId="8840" xr:uid="{00000000-0005-0000-0000-0000091D0000}"/>
    <cellStyle name="40% - Accent3 7 3 3 2" xfId="8841" xr:uid="{00000000-0005-0000-0000-00000A1D0000}"/>
    <cellStyle name="40% - Accent3 7 3 3 3" xfId="8842" xr:uid="{00000000-0005-0000-0000-00000B1D0000}"/>
    <cellStyle name="40% - Accent3 7 3 4" xfId="8843" xr:uid="{00000000-0005-0000-0000-00000C1D0000}"/>
    <cellStyle name="40% - Accent3 7 3 5" xfId="8844" xr:uid="{00000000-0005-0000-0000-00000D1D0000}"/>
    <cellStyle name="40% - Accent3 7 3 6" xfId="8845" xr:uid="{00000000-0005-0000-0000-00000E1D0000}"/>
    <cellStyle name="40% - Accent3 7 4" xfId="8846" xr:uid="{00000000-0005-0000-0000-00000F1D0000}"/>
    <cellStyle name="40% - Accent3 7 4 2" xfId="8847" xr:uid="{00000000-0005-0000-0000-0000101D0000}"/>
    <cellStyle name="40% - Accent3 7 4 3" xfId="8848" xr:uid="{00000000-0005-0000-0000-0000111D0000}"/>
    <cellStyle name="40% - Accent3 7 5" xfId="8849" xr:uid="{00000000-0005-0000-0000-0000121D0000}"/>
    <cellStyle name="40% - Accent3 7 5 2" xfId="8850" xr:uid="{00000000-0005-0000-0000-0000131D0000}"/>
    <cellStyle name="40% - Accent3 7 5 3" xfId="8851" xr:uid="{00000000-0005-0000-0000-0000141D0000}"/>
    <cellStyle name="40% - Accent3 7 6" xfId="8852" xr:uid="{00000000-0005-0000-0000-0000151D0000}"/>
    <cellStyle name="40% - Accent3 7 7" xfId="8853" xr:uid="{00000000-0005-0000-0000-0000161D0000}"/>
    <cellStyle name="40% - Accent3 7 8" xfId="8854" xr:uid="{00000000-0005-0000-0000-0000171D0000}"/>
    <cellStyle name="40% - Accent3 7 9" xfId="8855" xr:uid="{00000000-0005-0000-0000-0000181D0000}"/>
    <cellStyle name="40% - Accent3 8" xfId="1294" xr:uid="{00000000-0005-0000-0000-0000191D0000}"/>
    <cellStyle name="40% - Accent3 8 10" xfId="8856" xr:uid="{00000000-0005-0000-0000-00001A1D0000}"/>
    <cellStyle name="40% - Accent3 8 11" xfId="8857" xr:uid="{00000000-0005-0000-0000-00001B1D0000}"/>
    <cellStyle name="40% - Accent3 8 2" xfId="1295" xr:uid="{00000000-0005-0000-0000-00001C1D0000}"/>
    <cellStyle name="40% - Accent3 8 2 2" xfId="8858" xr:uid="{00000000-0005-0000-0000-00001D1D0000}"/>
    <cellStyle name="40% - Accent3 8 2 2 2" xfId="8859" xr:uid="{00000000-0005-0000-0000-00001E1D0000}"/>
    <cellStyle name="40% - Accent3 8 2 2 2 2" xfId="8860" xr:uid="{00000000-0005-0000-0000-00001F1D0000}"/>
    <cellStyle name="40% - Accent3 8 2 2 2 3" xfId="8861" xr:uid="{00000000-0005-0000-0000-0000201D0000}"/>
    <cellStyle name="40% - Accent3 8 2 2 3" xfId="8862" xr:uid="{00000000-0005-0000-0000-0000211D0000}"/>
    <cellStyle name="40% - Accent3 8 2 2 3 2" xfId="8863" xr:uid="{00000000-0005-0000-0000-0000221D0000}"/>
    <cellStyle name="40% - Accent3 8 2 2 3 3" xfId="8864" xr:uid="{00000000-0005-0000-0000-0000231D0000}"/>
    <cellStyle name="40% - Accent3 8 2 2 4" xfId="8865" xr:uid="{00000000-0005-0000-0000-0000241D0000}"/>
    <cellStyle name="40% - Accent3 8 2 2 5" xfId="8866" xr:uid="{00000000-0005-0000-0000-0000251D0000}"/>
    <cellStyle name="40% - Accent3 8 2 2 6" xfId="8867" xr:uid="{00000000-0005-0000-0000-0000261D0000}"/>
    <cellStyle name="40% - Accent3 8 2 3" xfId="8868" xr:uid="{00000000-0005-0000-0000-0000271D0000}"/>
    <cellStyle name="40% - Accent3 8 2 3 2" xfId="8869" xr:uid="{00000000-0005-0000-0000-0000281D0000}"/>
    <cellStyle name="40% - Accent3 8 2 3 3" xfId="8870" xr:uid="{00000000-0005-0000-0000-0000291D0000}"/>
    <cellStyle name="40% - Accent3 8 2 4" xfId="8871" xr:uid="{00000000-0005-0000-0000-00002A1D0000}"/>
    <cellStyle name="40% - Accent3 8 2 4 2" xfId="8872" xr:uid="{00000000-0005-0000-0000-00002B1D0000}"/>
    <cellStyle name="40% - Accent3 8 2 4 3" xfId="8873" xr:uid="{00000000-0005-0000-0000-00002C1D0000}"/>
    <cellStyle name="40% - Accent3 8 2 5" xfId="8874" xr:uid="{00000000-0005-0000-0000-00002D1D0000}"/>
    <cellStyle name="40% - Accent3 8 2 6" xfId="8875" xr:uid="{00000000-0005-0000-0000-00002E1D0000}"/>
    <cellStyle name="40% - Accent3 8 2 7" xfId="8876" xr:uid="{00000000-0005-0000-0000-00002F1D0000}"/>
    <cellStyle name="40% - Accent3 8 2 8" xfId="8877" xr:uid="{00000000-0005-0000-0000-0000301D0000}"/>
    <cellStyle name="40% - Accent3 8 3" xfId="8878" xr:uid="{00000000-0005-0000-0000-0000311D0000}"/>
    <cellStyle name="40% - Accent3 8 3 2" xfId="8879" xr:uid="{00000000-0005-0000-0000-0000321D0000}"/>
    <cellStyle name="40% - Accent3 8 3 2 2" xfId="8880" xr:uid="{00000000-0005-0000-0000-0000331D0000}"/>
    <cellStyle name="40% - Accent3 8 3 2 2 2" xfId="8881" xr:uid="{00000000-0005-0000-0000-0000341D0000}"/>
    <cellStyle name="40% - Accent3 8 3 2 3" xfId="8882" xr:uid="{00000000-0005-0000-0000-0000351D0000}"/>
    <cellStyle name="40% - Accent3 8 3 3" xfId="8883" xr:uid="{00000000-0005-0000-0000-0000361D0000}"/>
    <cellStyle name="40% - Accent3 8 3 3 2" xfId="8884" xr:uid="{00000000-0005-0000-0000-0000371D0000}"/>
    <cellStyle name="40% - Accent3 8 3 3 3" xfId="8885" xr:uid="{00000000-0005-0000-0000-0000381D0000}"/>
    <cellStyle name="40% - Accent3 8 3 4" xfId="8886" xr:uid="{00000000-0005-0000-0000-0000391D0000}"/>
    <cellStyle name="40% - Accent3 8 3 5" xfId="8887" xr:uid="{00000000-0005-0000-0000-00003A1D0000}"/>
    <cellStyle name="40% - Accent3 8 3 6" xfId="8888" xr:uid="{00000000-0005-0000-0000-00003B1D0000}"/>
    <cellStyle name="40% - Accent3 8 4" xfId="8889" xr:uid="{00000000-0005-0000-0000-00003C1D0000}"/>
    <cellStyle name="40% - Accent3 8 4 2" xfId="8890" xr:uid="{00000000-0005-0000-0000-00003D1D0000}"/>
    <cellStyle name="40% - Accent3 8 4 3" xfId="8891" xr:uid="{00000000-0005-0000-0000-00003E1D0000}"/>
    <cellStyle name="40% - Accent3 8 5" xfId="8892" xr:uid="{00000000-0005-0000-0000-00003F1D0000}"/>
    <cellStyle name="40% - Accent3 8 5 2" xfId="8893" xr:uid="{00000000-0005-0000-0000-0000401D0000}"/>
    <cellStyle name="40% - Accent3 8 5 3" xfId="8894" xr:uid="{00000000-0005-0000-0000-0000411D0000}"/>
    <cellStyle name="40% - Accent3 8 6" xfId="8895" xr:uid="{00000000-0005-0000-0000-0000421D0000}"/>
    <cellStyle name="40% - Accent3 8 7" xfId="8896" xr:uid="{00000000-0005-0000-0000-0000431D0000}"/>
    <cellStyle name="40% - Accent3 8 8" xfId="8897" xr:uid="{00000000-0005-0000-0000-0000441D0000}"/>
    <cellStyle name="40% - Accent3 8 9" xfId="8898" xr:uid="{00000000-0005-0000-0000-0000451D0000}"/>
    <cellStyle name="40% - Accent3 9" xfId="1296" xr:uid="{00000000-0005-0000-0000-0000461D0000}"/>
    <cellStyle name="40% - Accent3 9 10" xfId="8899" xr:uid="{00000000-0005-0000-0000-0000471D0000}"/>
    <cellStyle name="40% - Accent3 9 11" xfId="8900" xr:uid="{00000000-0005-0000-0000-0000481D0000}"/>
    <cellStyle name="40% - Accent3 9 2" xfId="1297" xr:uid="{00000000-0005-0000-0000-0000491D0000}"/>
    <cellStyle name="40% - Accent3 9 2 2" xfId="8901" xr:uid="{00000000-0005-0000-0000-00004A1D0000}"/>
    <cellStyle name="40% - Accent3 9 2 2 2" xfId="8902" xr:uid="{00000000-0005-0000-0000-00004B1D0000}"/>
    <cellStyle name="40% - Accent3 9 2 2 2 2" xfId="8903" xr:uid="{00000000-0005-0000-0000-00004C1D0000}"/>
    <cellStyle name="40% - Accent3 9 2 2 2 3" xfId="8904" xr:uid="{00000000-0005-0000-0000-00004D1D0000}"/>
    <cellStyle name="40% - Accent3 9 2 2 3" xfId="8905" xr:uid="{00000000-0005-0000-0000-00004E1D0000}"/>
    <cellStyle name="40% - Accent3 9 2 2 3 2" xfId="8906" xr:uid="{00000000-0005-0000-0000-00004F1D0000}"/>
    <cellStyle name="40% - Accent3 9 2 2 3 3" xfId="8907" xr:uid="{00000000-0005-0000-0000-0000501D0000}"/>
    <cellStyle name="40% - Accent3 9 2 2 4" xfId="8908" xr:uid="{00000000-0005-0000-0000-0000511D0000}"/>
    <cellStyle name="40% - Accent3 9 2 2 5" xfId="8909" xr:uid="{00000000-0005-0000-0000-0000521D0000}"/>
    <cellStyle name="40% - Accent3 9 2 2 6" xfId="8910" xr:uid="{00000000-0005-0000-0000-0000531D0000}"/>
    <cellStyle name="40% - Accent3 9 2 3" xfId="8911" xr:uid="{00000000-0005-0000-0000-0000541D0000}"/>
    <cellStyle name="40% - Accent3 9 2 3 2" xfId="8912" xr:uid="{00000000-0005-0000-0000-0000551D0000}"/>
    <cellStyle name="40% - Accent3 9 2 3 3" xfId="8913" xr:uid="{00000000-0005-0000-0000-0000561D0000}"/>
    <cellStyle name="40% - Accent3 9 2 4" xfId="8914" xr:uid="{00000000-0005-0000-0000-0000571D0000}"/>
    <cellStyle name="40% - Accent3 9 2 4 2" xfId="8915" xr:uid="{00000000-0005-0000-0000-0000581D0000}"/>
    <cellStyle name="40% - Accent3 9 2 4 3" xfId="8916" xr:uid="{00000000-0005-0000-0000-0000591D0000}"/>
    <cellStyle name="40% - Accent3 9 2 5" xfId="8917" xr:uid="{00000000-0005-0000-0000-00005A1D0000}"/>
    <cellStyle name="40% - Accent3 9 2 6" xfId="8918" xr:uid="{00000000-0005-0000-0000-00005B1D0000}"/>
    <cellStyle name="40% - Accent3 9 2 7" xfId="8919" xr:uid="{00000000-0005-0000-0000-00005C1D0000}"/>
    <cellStyle name="40% - Accent3 9 2 8" xfId="8920" xr:uid="{00000000-0005-0000-0000-00005D1D0000}"/>
    <cellStyle name="40% - Accent3 9 3" xfId="8921" xr:uid="{00000000-0005-0000-0000-00005E1D0000}"/>
    <cellStyle name="40% - Accent3 9 3 2" xfId="8922" xr:uid="{00000000-0005-0000-0000-00005F1D0000}"/>
    <cellStyle name="40% - Accent3 9 3 2 2" xfId="8923" xr:uid="{00000000-0005-0000-0000-0000601D0000}"/>
    <cellStyle name="40% - Accent3 9 3 2 2 2" xfId="8924" xr:uid="{00000000-0005-0000-0000-0000611D0000}"/>
    <cellStyle name="40% - Accent3 9 3 2 3" xfId="8925" xr:uid="{00000000-0005-0000-0000-0000621D0000}"/>
    <cellStyle name="40% - Accent3 9 3 3" xfId="8926" xr:uid="{00000000-0005-0000-0000-0000631D0000}"/>
    <cellStyle name="40% - Accent3 9 3 3 2" xfId="8927" xr:uid="{00000000-0005-0000-0000-0000641D0000}"/>
    <cellStyle name="40% - Accent3 9 3 3 3" xfId="8928" xr:uid="{00000000-0005-0000-0000-0000651D0000}"/>
    <cellStyle name="40% - Accent3 9 3 4" xfId="8929" xr:uid="{00000000-0005-0000-0000-0000661D0000}"/>
    <cellStyle name="40% - Accent3 9 3 5" xfId="8930" xr:uid="{00000000-0005-0000-0000-0000671D0000}"/>
    <cellStyle name="40% - Accent3 9 3 6" xfId="8931" xr:uid="{00000000-0005-0000-0000-0000681D0000}"/>
    <cellStyle name="40% - Accent3 9 4" xfId="8932" xr:uid="{00000000-0005-0000-0000-0000691D0000}"/>
    <cellStyle name="40% - Accent3 9 4 2" xfId="8933" xr:uid="{00000000-0005-0000-0000-00006A1D0000}"/>
    <cellStyle name="40% - Accent3 9 4 3" xfId="8934" xr:uid="{00000000-0005-0000-0000-00006B1D0000}"/>
    <cellStyle name="40% - Accent3 9 5" xfId="8935" xr:uid="{00000000-0005-0000-0000-00006C1D0000}"/>
    <cellStyle name="40% - Accent3 9 5 2" xfId="8936" xr:uid="{00000000-0005-0000-0000-00006D1D0000}"/>
    <cellStyle name="40% - Accent3 9 5 3" xfId="8937" xr:uid="{00000000-0005-0000-0000-00006E1D0000}"/>
    <cellStyle name="40% - Accent3 9 6" xfId="8938" xr:uid="{00000000-0005-0000-0000-00006F1D0000}"/>
    <cellStyle name="40% - Accent3 9 7" xfId="8939" xr:uid="{00000000-0005-0000-0000-0000701D0000}"/>
    <cellStyle name="40% - Accent3 9 8" xfId="8940" xr:uid="{00000000-0005-0000-0000-0000711D0000}"/>
    <cellStyle name="40% - Accent3 9 9" xfId="8941" xr:uid="{00000000-0005-0000-0000-0000721D0000}"/>
    <cellStyle name="40% - Accent4 10" xfId="1298" xr:uid="{00000000-0005-0000-0000-0000731D0000}"/>
    <cellStyle name="40% - Accent4 10 10" xfId="8942" xr:uid="{00000000-0005-0000-0000-0000741D0000}"/>
    <cellStyle name="40% - Accent4 10 11" xfId="8943" xr:uid="{00000000-0005-0000-0000-0000751D0000}"/>
    <cellStyle name="40% - Accent4 10 2" xfId="1299" xr:uid="{00000000-0005-0000-0000-0000761D0000}"/>
    <cellStyle name="40% - Accent4 10 2 2" xfId="8944" xr:uid="{00000000-0005-0000-0000-0000771D0000}"/>
    <cellStyle name="40% - Accent4 10 2 2 2" xfId="8945" xr:uid="{00000000-0005-0000-0000-0000781D0000}"/>
    <cellStyle name="40% - Accent4 10 2 2 2 2" xfId="8946" xr:uid="{00000000-0005-0000-0000-0000791D0000}"/>
    <cellStyle name="40% - Accent4 10 2 2 2 3" xfId="8947" xr:uid="{00000000-0005-0000-0000-00007A1D0000}"/>
    <cellStyle name="40% - Accent4 10 2 2 3" xfId="8948" xr:uid="{00000000-0005-0000-0000-00007B1D0000}"/>
    <cellStyle name="40% - Accent4 10 2 2 3 2" xfId="8949" xr:uid="{00000000-0005-0000-0000-00007C1D0000}"/>
    <cellStyle name="40% - Accent4 10 2 2 3 3" xfId="8950" xr:uid="{00000000-0005-0000-0000-00007D1D0000}"/>
    <cellStyle name="40% - Accent4 10 2 2 4" xfId="8951" xr:uid="{00000000-0005-0000-0000-00007E1D0000}"/>
    <cellStyle name="40% - Accent4 10 2 2 5" xfId="8952" xr:uid="{00000000-0005-0000-0000-00007F1D0000}"/>
    <cellStyle name="40% - Accent4 10 2 2 6" xfId="8953" xr:uid="{00000000-0005-0000-0000-0000801D0000}"/>
    <cellStyle name="40% - Accent4 10 2 3" xfId="8954" xr:uid="{00000000-0005-0000-0000-0000811D0000}"/>
    <cellStyle name="40% - Accent4 10 2 3 2" xfId="8955" xr:uid="{00000000-0005-0000-0000-0000821D0000}"/>
    <cellStyle name="40% - Accent4 10 2 3 3" xfId="8956" xr:uid="{00000000-0005-0000-0000-0000831D0000}"/>
    <cellStyle name="40% - Accent4 10 2 4" xfId="8957" xr:uid="{00000000-0005-0000-0000-0000841D0000}"/>
    <cellStyle name="40% - Accent4 10 2 4 2" xfId="8958" xr:uid="{00000000-0005-0000-0000-0000851D0000}"/>
    <cellStyle name="40% - Accent4 10 2 4 3" xfId="8959" xr:uid="{00000000-0005-0000-0000-0000861D0000}"/>
    <cellStyle name="40% - Accent4 10 2 5" xfId="8960" xr:uid="{00000000-0005-0000-0000-0000871D0000}"/>
    <cellStyle name="40% - Accent4 10 2 6" xfId="8961" xr:uid="{00000000-0005-0000-0000-0000881D0000}"/>
    <cellStyle name="40% - Accent4 10 2 7" xfId="8962" xr:uid="{00000000-0005-0000-0000-0000891D0000}"/>
    <cellStyle name="40% - Accent4 10 2 8" xfId="8963" xr:uid="{00000000-0005-0000-0000-00008A1D0000}"/>
    <cellStyle name="40% - Accent4 10 3" xfId="8964" xr:uid="{00000000-0005-0000-0000-00008B1D0000}"/>
    <cellStyle name="40% - Accent4 10 3 2" xfId="8965" xr:uid="{00000000-0005-0000-0000-00008C1D0000}"/>
    <cellStyle name="40% - Accent4 10 3 2 2" xfId="8966" xr:uid="{00000000-0005-0000-0000-00008D1D0000}"/>
    <cellStyle name="40% - Accent4 10 3 2 3" xfId="8967" xr:uid="{00000000-0005-0000-0000-00008E1D0000}"/>
    <cellStyle name="40% - Accent4 10 3 3" xfId="8968" xr:uid="{00000000-0005-0000-0000-00008F1D0000}"/>
    <cellStyle name="40% - Accent4 10 3 3 2" xfId="8969" xr:uid="{00000000-0005-0000-0000-0000901D0000}"/>
    <cellStyle name="40% - Accent4 10 3 3 3" xfId="8970" xr:uid="{00000000-0005-0000-0000-0000911D0000}"/>
    <cellStyle name="40% - Accent4 10 3 4" xfId="8971" xr:uid="{00000000-0005-0000-0000-0000921D0000}"/>
    <cellStyle name="40% - Accent4 10 3 5" xfId="8972" xr:uid="{00000000-0005-0000-0000-0000931D0000}"/>
    <cellStyle name="40% - Accent4 10 3 6" xfId="8973" xr:uid="{00000000-0005-0000-0000-0000941D0000}"/>
    <cellStyle name="40% - Accent4 10 4" xfId="8974" xr:uid="{00000000-0005-0000-0000-0000951D0000}"/>
    <cellStyle name="40% - Accent4 10 4 2" xfId="8975" xr:uid="{00000000-0005-0000-0000-0000961D0000}"/>
    <cellStyle name="40% - Accent4 10 4 3" xfId="8976" xr:uid="{00000000-0005-0000-0000-0000971D0000}"/>
    <cellStyle name="40% - Accent4 10 5" xfId="8977" xr:uid="{00000000-0005-0000-0000-0000981D0000}"/>
    <cellStyle name="40% - Accent4 10 5 2" xfId="8978" xr:uid="{00000000-0005-0000-0000-0000991D0000}"/>
    <cellStyle name="40% - Accent4 10 5 3" xfId="8979" xr:uid="{00000000-0005-0000-0000-00009A1D0000}"/>
    <cellStyle name="40% - Accent4 10 6" xfId="8980" xr:uid="{00000000-0005-0000-0000-00009B1D0000}"/>
    <cellStyle name="40% - Accent4 10 7" xfId="8981" xr:uid="{00000000-0005-0000-0000-00009C1D0000}"/>
    <cellStyle name="40% - Accent4 10 8" xfId="8982" xr:uid="{00000000-0005-0000-0000-00009D1D0000}"/>
    <cellStyle name="40% - Accent4 10 9" xfId="8983" xr:uid="{00000000-0005-0000-0000-00009E1D0000}"/>
    <cellStyle name="40% - Accent4 11" xfId="1300" xr:uid="{00000000-0005-0000-0000-00009F1D0000}"/>
    <cellStyle name="40% - Accent4 11 10" xfId="8984" xr:uid="{00000000-0005-0000-0000-0000A01D0000}"/>
    <cellStyle name="40% - Accent4 11 2" xfId="1301" xr:uid="{00000000-0005-0000-0000-0000A11D0000}"/>
    <cellStyle name="40% - Accent4 11 2 2" xfId="8985" xr:uid="{00000000-0005-0000-0000-0000A21D0000}"/>
    <cellStyle name="40% - Accent4 11 2 2 2" xfId="8986" xr:uid="{00000000-0005-0000-0000-0000A31D0000}"/>
    <cellStyle name="40% - Accent4 11 2 2 3" xfId="8987" xr:uid="{00000000-0005-0000-0000-0000A41D0000}"/>
    <cellStyle name="40% - Accent4 11 2 3" xfId="8988" xr:uid="{00000000-0005-0000-0000-0000A51D0000}"/>
    <cellStyle name="40% - Accent4 11 2 3 2" xfId="8989" xr:uid="{00000000-0005-0000-0000-0000A61D0000}"/>
    <cellStyle name="40% - Accent4 11 2 3 3" xfId="8990" xr:uid="{00000000-0005-0000-0000-0000A71D0000}"/>
    <cellStyle name="40% - Accent4 11 2 4" xfId="8991" xr:uid="{00000000-0005-0000-0000-0000A81D0000}"/>
    <cellStyle name="40% - Accent4 11 2 5" xfId="8992" xr:uid="{00000000-0005-0000-0000-0000A91D0000}"/>
    <cellStyle name="40% - Accent4 11 2 6" xfId="8993" xr:uid="{00000000-0005-0000-0000-0000AA1D0000}"/>
    <cellStyle name="40% - Accent4 11 3" xfId="8994" xr:uid="{00000000-0005-0000-0000-0000AB1D0000}"/>
    <cellStyle name="40% - Accent4 11 3 2" xfId="8995" xr:uid="{00000000-0005-0000-0000-0000AC1D0000}"/>
    <cellStyle name="40% - Accent4 11 3 3" xfId="8996" xr:uid="{00000000-0005-0000-0000-0000AD1D0000}"/>
    <cellStyle name="40% - Accent4 11 4" xfId="8997" xr:uid="{00000000-0005-0000-0000-0000AE1D0000}"/>
    <cellStyle name="40% - Accent4 11 4 2" xfId="8998" xr:uid="{00000000-0005-0000-0000-0000AF1D0000}"/>
    <cellStyle name="40% - Accent4 11 4 3" xfId="8999" xr:uid="{00000000-0005-0000-0000-0000B01D0000}"/>
    <cellStyle name="40% - Accent4 11 5" xfId="9000" xr:uid="{00000000-0005-0000-0000-0000B11D0000}"/>
    <cellStyle name="40% - Accent4 11 6" xfId="9001" xr:uid="{00000000-0005-0000-0000-0000B21D0000}"/>
    <cellStyle name="40% - Accent4 11 7" xfId="9002" xr:uid="{00000000-0005-0000-0000-0000B31D0000}"/>
    <cellStyle name="40% - Accent4 11 8" xfId="9003" xr:uid="{00000000-0005-0000-0000-0000B41D0000}"/>
    <cellStyle name="40% - Accent4 11 9" xfId="9004" xr:uid="{00000000-0005-0000-0000-0000B51D0000}"/>
    <cellStyle name="40% - Accent4 12" xfId="1302" xr:uid="{00000000-0005-0000-0000-0000B61D0000}"/>
    <cellStyle name="40% - Accent4 12 2" xfId="1303" xr:uid="{00000000-0005-0000-0000-0000B71D0000}"/>
    <cellStyle name="40% - Accent4 12 3" xfId="9005" xr:uid="{00000000-0005-0000-0000-0000B81D0000}"/>
    <cellStyle name="40% - Accent4 12 4" xfId="9006" xr:uid="{00000000-0005-0000-0000-0000B91D0000}"/>
    <cellStyle name="40% - Accent4 12 5" xfId="9007" xr:uid="{00000000-0005-0000-0000-0000BA1D0000}"/>
    <cellStyle name="40% - Accent4 13" xfId="1304" xr:uid="{00000000-0005-0000-0000-0000BB1D0000}"/>
    <cellStyle name="40% - Accent4 13 2" xfId="1305" xr:uid="{00000000-0005-0000-0000-0000BC1D0000}"/>
    <cellStyle name="40% - Accent4 13 3" xfId="9008" xr:uid="{00000000-0005-0000-0000-0000BD1D0000}"/>
    <cellStyle name="40% - Accent4 13 4" xfId="9009" xr:uid="{00000000-0005-0000-0000-0000BE1D0000}"/>
    <cellStyle name="40% - Accent4 14" xfId="1306" xr:uid="{00000000-0005-0000-0000-0000BF1D0000}"/>
    <cellStyle name="40% - Accent4 14 2" xfId="1307" xr:uid="{00000000-0005-0000-0000-0000C01D0000}"/>
    <cellStyle name="40% - Accent4 14 3" xfId="9010" xr:uid="{00000000-0005-0000-0000-0000C11D0000}"/>
    <cellStyle name="40% - Accent4 15" xfId="1308" xr:uid="{00000000-0005-0000-0000-0000C21D0000}"/>
    <cellStyle name="40% - Accent4 15 2" xfId="1309" xr:uid="{00000000-0005-0000-0000-0000C31D0000}"/>
    <cellStyle name="40% - Accent4 15 3" xfId="9011" xr:uid="{00000000-0005-0000-0000-0000C41D0000}"/>
    <cellStyle name="40% - Accent4 16" xfId="1310" xr:uid="{00000000-0005-0000-0000-0000C51D0000}"/>
    <cellStyle name="40% - Accent4 16 2" xfId="1311" xr:uid="{00000000-0005-0000-0000-0000C61D0000}"/>
    <cellStyle name="40% - Accent4 17" xfId="1312" xr:uid="{00000000-0005-0000-0000-0000C71D0000}"/>
    <cellStyle name="40% - Accent4 17 2" xfId="1313" xr:uid="{00000000-0005-0000-0000-0000C81D0000}"/>
    <cellStyle name="40% - Accent4 18" xfId="1314" xr:uid="{00000000-0005-0000-0000-0000C91D0000}"/>
    <cellStyle name="40% - Accent4 18 2" xfId="1315" xr:uid="{00000000-0005-0000-0000-0000CA1D0000}"/>
    <cellStyle name="40% - Accent4 19" xfId="1316" xr:uid="{00000000-0005-0000-0000-0000CB1D0000}"/>
    <cellStyle name="40% - Accent4 19 2" xfId="1317" xr:uid="{00000000-0005-0000-0000-0000CC1D0000}"/>
    <cellStyle name="40% - Accent4 2" xfId="1318" xr:uid="{00000000-0005-0000-0000-0000CD1D0000}"/>
    <cellStyle name="40% - Accent4 2 10" xfId="9012" xr:uid="{00000000-0005-0000-0000-0000CE1D0000}"/>
    <cellStyle name="40% - Accent4 2 11" xfId="9013" xr:uid="{00000000-0005-0000-0000-0000CF1D0000}"/>
    <cellStyle name="40% - Accent4 2 12" xfId="9014" xr:uid="{00000000-0005-0000-0000-0000D01D0000}"/>
    <cellStyle name="40% - Accent4 2 13" xfId="9015" xr:uid="{00000000-0005-0000-0000-0000D11D0000}"/>
    <cellStyle name="40% - Accent4 2 2" xfId="1319" xr:uid="{00000000-0005-0000-0000-0000D21D0000}"/>
    <cellStyle name="40% - Accent4 2 2 10" xfId="9016" xr:uid="{00000000-0005-0000-0000-0000D31D0000}"/>
    <cellStyle name="40% - Accent4 2 2 11" xfId="9017" xr:uid="{00000000-0005-0000-0000-0000D41D0000}"/>
    <cellStyle name="40% - Accent4 2 2 12" xfId="9018" xr:uid="{00000000-0005-0000-0000-0000D51D0000}"/>
    <cellStyle name="40% - Accent4 2 2 13" xfId="9019" xr:uid="{00000000-0005-0000-0000-0000D61D0000}"/>
    <cellStyle name="40% - Accent4 2 2 2" xfId="1320" xr:uid="{00000000-0005-0000-0000-0000D71D0000}"/>
    <cellStyle name="40% - Accent4 2 2 2 10" xfId="9020" xr:uid="{00000000-0005-0000-0000-0000D81D0000}"/>
    <cellStyle name="40% - Accent4 2 2 2 2" xfId="1321" xr:uid="{00000000-0005-0000-0000-0000D91D0000}"/>
    <cellStyle name="40% - Accent4 2 2 2 2 2" xfId="1322" xr:uid="{00000000-0005-0000-0000-0000DA1D0000}"/>
    <cellStyle name="40% - Accent4 2 2 2 2 2 2" xfId="1323" xr:uid="{00000000-0005-0000-0000-0000DB1D0000}"/>
    <cellStyle name="40% - Accent4 2 2 2 2 2 2 2" xfId="53964" xr:uid="{00000000-0005-0000-0000-0000DC1D0000}"/>
    <cellStyle name="40% - Accent4 2 2 2 2 2 3" xfId="1324" xr:uid="{00000000-0005-0000-0000-0000DD1D0000}"/>
    <cellStyle name="40% - Accent4 2 2 2 2 2 4" xfId="9021" xr:uid="{00000000-0005-0000-0000-0000DE1D0000}"/>
    <cellStyle name="40% - Accent4 2 2 2 2 2 5" xfId="9022" xr:uid="{00000000-0005-0000-0000-0000DF1D0000}"/>
    <cellStyle name="40% - Accent4 2 2 2 2 3" xfId="1325" xr:uid="{00000000-0005-0000-0000-0000E01D0000}"/>
    <cellStyle name="40% - Accent4 2 2 2 2 3 2" xfId="9023" xr:uid="{00000000-0005-0000-0000-0000E11D0000}"/>
    <cellStyle name="40% - Accent4 2 2 2 2 3 2 2" xfId="53965" xr:uid="{00000000-0005-0000-0000-0000E21D0000}"/>
    <cellStyle name="40% - Accent4 2 2 2 2 3 3" xfId="9024" xr:uid="{00000000-0005-0000-0000-0000E31D0000}"/>
    <cellStyle name="40% - Accent4 2 2 2 2 4" xfId="1326" xr:uid="{00000000-0005-0000-0000-0000E41D0000}"/>
    <cellStyle name="40% - Accent4 2 2 2 2 4 2" xfId="53966" xr:uid="{00000000-0005-0000-0000-0000E51D0000}"/>
    <cellStyle name="40% - Accent4 2 2 2 2 5" xfId="9025" xr:uid="{00000000-0005-0000-0000-0000E61D0000}"/>
    <cellStyle name="40% - Accent4 2 2 2 2 6" xfId="9026" xr:uid="{00000000-0005-0000-0000-0000E71D0000}"/>
    <cellStyle name="40% - Accent4 2 2 2 2 7" xfId="9027" xr:uid="{00000000-0005-0000-0000-0000E81D0000}"/>
    <cellStyle name="40% - Accent4 2 2 2 2 8" xfId="9028" xr:uid="{00000000-0005-0000-0000-0000E91D0000}"/>
    <cellStyle name="40% - Accent4 2 2 2 3" xfId="1327" xr:uid="{00000000-0005-0000-0000-0000EA1D0000}"/>
    <cellStyle name="40% - Accent4 2 2 2 3 2" xfId="1328" xr:uid="{00000000-0005-0000-0000-0000EB1D0000}"/>
    <cellStyle name="40% - Accent4 2 2 2 3 2 2" xfId="1329" xr:uid="{00000000-0005-0000-0000-0000EC1D0000}"/>
    <cellStyle name="40% - Accent4 2 2 2 3 2 3" xfId="9029" xr:uid="{00000000-0005-0000-0000-0000ED1D0000}"/>
    <cellStyle name="40% - Accent4 2 2 2 3 3" xfId="1330" xr:uid="{00000000-0005-0000-0000-0000EE1D0000}"/>
    <cellStyle name="40% - Accent4 2 2 2 3 4" xfId="9030" xr:uid="{00000000-0005-0000-0000-0000EF1D0000}"/>
    <cellStyle name="40% - Accent4 2 2 2 3 5" xfId="9031" xr:uid="{00000000-0005-0000-0000-0000F01D0000}"/>
    <cellStyle name="40% - Accent4 2 2 2 4" xfId="1331" xr:uid="{00000000-0005-0000-0000-0000F11D0000}"/>
    <cellStyle name="40% - Accent4 2 2 2 4 2" xfId="1332" xr:uid="{00000000-0005-0000-0000-0000F21D0000}"/>
    <cellStyle name="40% - Accent4 2 2 2 4 2 2" xfId="53967" xr:uid="{00000000-0005-0000-0000-0000F31D0000}"/>
    <cellStyle name="40% - Accent4 2 2 2 4 3" xfId="9032" xr:uid="{00000000-0005-0000-0000-0000F41D0000}"/>
    <cellStyle name="40% - Accent4 2 2 2 4 4" xfId="9033" xr:uid="{00000000-0005-0000-0000-0000F51D0000}"/>
    <cellStyle name="40% - Accent4 2 2 2 4 5" xfId="9034" xr:uid="{00000000-0005-0000-0000-0000F61D0000}"/>
    <cellStyle name="40% - Accent4 2 2 2 5" xfId="1333" xr:uid="{00000000-0005-0000-0000-0000F71D0000}"/>
    <cellStyle name="40% - Accent4 2 2 2 5 2" xfId="9035" xr:uid="{00000000-0005-0000-0000-0000F81D0000}"/>
    <cellStyle name="40% - Accent4 2 2 2 5 3" xfId="9036" xr:uid="{00000000-0005-0000-0000-0000F91D0000}"/>
    <cellStyle name="40% - Accent4 2 2 2 6" xfId="9037" xr:uid="{00000000-0005-0000-0000-0000FA1D0000}"/>
    <cellStyle name="40% - Accent4 2 2 2 7" xfId="9038" xr:uid="{00000000-0005-0000-0000-0000FB1D0000}"/>
    <cellStyle name="40% - Accent4 2 2 2 8" xfId="9039" xr:uid="{00000000-0005-0000-0000-0000FC1D0000}"/>
    <cellStyle name="40% - Accent4 2 2 2 9" xfId="9040" xr:uid="{00000000-0005-0000-0000-0000FD1D0000}"/>
    <cellStyle name="40% - Accent4 2 2 3" xfId="1334" xr:uid="{00000000-0005-0000-0000-0000FE1D0000}"/>
    <cellStyle name="40% - Accent4 2 2 3 2" xfId="1335" xr:uid="{00000000-0005-0000-0000-0000FF1D0000}"/>
    <cellStyle name="40% - Accent4 2 2 3 2 2" xfId="1336" xr:uid="{00000000-0005-0000-0000-0000001E0000}"/>
    <cellStyle name="40% - Accent4 2 2 3 2 2 2" xfId="53968" xr:uid="{00000000-0005-0000-0000-0000011E0000}"/>
    <cellStyle name="40% - Accent4 2 2 3 2 2 2 2" xfId="53969" xr:uid="{00000000-0005-0000-0000-0000021E0000}"/>
    <cellStyle name="40% - Accent4 2 2 3 2 2 3" xfId="53970" xr:uid="{00000000-0005-0000-0000-0000031E0000}"/>
    <cellStyle name="40% - Accent4 2 2 3 2 3" xfId="1337" xr:uid="{00000000-0005-0000-0000-0000041E0000}"/>
    <cellStyle name="40% - Accent4 2 2 3 2 3 2" xfId="53971" xr:uid="{00000000-0005-0000-0000-0000051E0000}"/>
    <cellStyle name="40% - Accent4 2 2 3 2 3 2 2" xfId="53972" xr:uid="{00000000-0005-0000-0000-0000061E0000}"/>
    <cellStyle name="40% - Accent4 2 2 3 2 3 3" xfId="53973" xr:uid="{00000000-0005-0000-0000-0000071E0000}"/>
    <cellStyle name="40% - Accent4 2 2 3 2 4" xfId="9041" xr:uid="{00000000-0005-0000-0000-0000081E0000}"/>
    <cellStyle name="40% - Accent4 2 2 3 2 4 2" xfId="53974" xr:uid="{00000000-0005-0000-0000-0000091E0000}"/>
    <cellStyle name="40% - Accent4 2 2 3 2 5" xfId="9042" xr:uid="{00000000-0005-0000-0000-00000A1E0000}"/>
    <cellStyle name="40% - Accent4 2 2 3 3" xfId="1338" xr:uid="{00000000-0005-0000-0000-00000B1E0000}"/>
    <cellStyle name="40% - Accent4 2 2 3 3 2" xfId="9043" xr:uid="{00000000-0005-0000-0000-00000C1E0000}"/>
    <cellStyle name="40% - Accent4 2 2 3 3 2 2" xfId="53975" xr:uid="{00000000-0005-0000-0000-00000D1E0000}"/>
    <cellStyle name="40% - Accent4 2 2 3 3 3" xfId="9044" xr:uid="{00000000-0005-0000-0000-00000E1E0000}"/>
    <cellStyle name="40% - Accent4 2 2 3 4" xfId="1339" xr:uid="{00000000-0005-0000-0000-00000F1E0000}"/>
    <cellStyle name="40% - Accent4 2 2 3 4 2" xfId="53976" xr:uid="{00000000-0005-0000-0000-0000101E0000}"/>
    <cellStyle name="40% - Accent4 2 2 3 4 2 2" xfId="53977" xr:uid="{00000000-0005-0000-0000-0000111E0000}"/>
    <cellStyle name="40% - Accent4 2 2 3 4 3" xfId="53978" xr:uid="{00000000-0005-0000-0000-0000121E0000}"/>
    <cellStyle name="40% - Accent4 2 2 3 5" xfId="9045" xr:uid="{00000000-0005-0000-0000-0000131E0000}"/>
    <cellStyle name="40% - Accent4 2 2 3 5 2" xfId="53979" xr:uid="{00000000-0005-0000-0000-0000141E0000}"/>
    <cellStyle name="40% - Accent4 2 2 3 6" xfId="9046" xr:uid="{00000000-0005-0000-0000-0000151E0000}"/>
    <cellStyle name="40% - Accent4 2 2 3 7" xfId="9047" xr:uid="{00000000-0005-0000-0000-0000161E0000}"/>
    <cellStyle name="40% - Accent4 2 2 3 8" xfId="9048" xr:uid="{00000000-0005-0000-0000-0000171E0000}"/>
    <cellStyle name="40% - Accent4 2 2 4" xfId="1340" xr:uid="{00000000-0005-0000-0000-0000181E0000}"/>
    <cellStyle name="40% - Accent4 2 2 4 2" xfId="1341" xr:uid="{00000000-0005-0000-0000-0000191E0000}"/>
    <cellStyle name="40% - Accent4 2 2 4 2 2" xfId="1342" xr:uid="{00000000-0005-0000-0000-00001A1E0000}"/>
    <cellStyle name="40% - Accent4 2 2 4 2 2 2" xfId="53980" xr:uid="{00000000-0005-0000-0000-00001B1E0000}"/>
    <cellStyle name="40% - Accent4 2 2 4 2 3" xfId="9049" xr:uid="{00000000-0005-0000-0000-00001C1E0000}"/>
    <cellStyle name="40% - Accent4 2 2 4 3" xfId="1343" xr:uid="{00000000-0005-0000-0000-00001D1E0000}"/>
    <cellStyle name="40% - Accent4 2 2 4 3 2" xfId="53981" xr:uid="{00000000-0005-0000-0000-00001E1E0000}"/>
    <cellStyle name="40% - Accent4 2 2 4 3 2 2" xfId="53982" xr:uid="{00000000-0005-0000-0000-00001F1E0000}"/>
    <cellStyle name="40% - Accent4 2 2 4 3 3" xfId="53983" xr:uid="{00000000-0005-0000-0000-0000201E0000}"/>
    <cellStyle name="40% - Accent4 2 2 4 4" xfId="9050" xr:uid="{00000000-0005-0000-0000-0000211E0000}"/>
    <cellStyle name="40% - Accent4 2 2 4 4 2" xfId="53984" xr:uid="{00000000-0005-0000-0000-0000221E0000}"/>
    <cellStyle name="40% - Accent4 2 2 4 5" xfId="9051" xr:uid="{00000000-0005-0000-0000-0000231E0000}"/>
    <cellStyle name="40% - Accent4 2 2 5" xfId="1344" xr:uid="{00000000-0005-0000-0000-0000241E0000}"/>
    <cellStyle name="40% - Accent4 2 2 5 2" xfId="1345" xr:uid="{00000000-0005-0000-0000-0000251E0000}"/>
    <cellStyle name="40% - Accent4 2 2 5 2 2" xfId="53985" xr:uid="{00000000-0005-0000-0000-0000261E0000}"/>
    <cellStyle name="40% - Accent4 2 2 5 3" xfId="9052" xr:uid="{00000000-0005-0000-0000-0000271E0000}"/>
    <cellStyle name="40% - Accent4 2 2 5 4" xfId="9053" xr:uid="{00000000-0005-0000-0000-0000281E0000}"/>
    <cellStyle name="40% - Accent4 2 2 5 5" xfId="9054" xr:uid="{00000000-0005-0000-0000-0000291E0000}"/>
    <cellStyle name="40% - Accent4 2 2 6" xfId="1346" xr:uid="{00000000-0005-0000-0000-00002A1E0000}"/>
    <cellStyle name="40% - Accent4 2 2 6 2" xfId="9055" xr:uid="{00000000-0005-0000-0000-00002B1E0000}"/>
    <cellStyle name="40% - Accent4 2 2 6 2 2" xfId="53986" xr:uid="{00000000-0005-0000-0000-00002C1E0000}"/>
    <cellStyle name="40% - Accent4 2 2 6 3" xfId="9056" xr:uid="{00000000-0005-0000-0000-00002D1E0000}"/>
    <cellStyle name="40% - Accent4 2 2 7" xfId="9057" xr:uid="{00000000-0005-0000-0000-00002E1E0000}"/>
    <cellStyle name="40% - Accent4 2 2 7 2" xfId="53987" xr:uid="{00000000-0005-0000-0000-00002F1E0000}"/>
    <cellStyle name="40% - Accent4 2 2 8" xfId="9058" xr:uid="{00000000-0005-0000-0000-0000301E0000}"/>
    <cellStyle name="40% - Accent4 2 2 9" xfId="9059" xr:uid="{00000000-0005-0000-0000-0000311E0000}"/>
    <cellStyle name="40% - Accent4 2 3" xfId="1347" xr:uid="{00000000-0005-0000-0000-0000321E0000}"/>
    <cellStyle name="40% - Accent4 2 3 10" xfId="9060" xr:uid="{00000000-0005-0000-0000-0000331E0000}"/>
    <cellStyle name="40% - Accent4 2 3 2" xfId="1348" xr:uid="{00000000-0005-0000-0000-0000341E0000}"/>
    <cellStyle name="40% - Accent4 2 3 2 2" xfId="1349" xr:uid="{00000000-0005-0000-0000-0000351E0000}"/>
    <cellStyle name="40% - Accent4 2 3 2 2 2" xfId="1350" xr:uid="{00000000-0005-0000-0000-0000361E0000}"/>
    <cellStyle name="40% - Accent4 2 3 2 2 2 2" xfId="53988" xr:uid="{00000000-0005-0000-0000-0000371E0000}"/>
    <cellStyle name="40% - Accent4 2 3 2 2 3" xfId="1351" xr:uid="{00000000-0005-0000-0000-0000381E0000}"/>
    <cellStyle name="40% - Accent4 2 3 2 2 4" xfId="9061" xr:uid="{00000000-0005-0000-0000-0000391E0000}"/>
    <cellStyle name="40% - Accent4 2 3 2 2 5" xfId="9062" xr:uid="{00000000-0005-0000-0000-00003A1E0000}"/>
    <cellStyle name="40% - Accent4 2 3 2 3" xfId="1352" xr:uid="{00000000-0005-0000-0000-00003B1E0000}"/>
    <cellStyle name="40% - Accent4 2 3 2 3 2" xfId="9063" xr:uid="{00000000-0005-0000-0000-00003C1E0000}"/>
    <cellStyle name="40% - Accent4 2 3 2 3 2 2" xfId="53989" xr:uid="{00000000-0005-0000-0000-00003D1E0000}"/>
    <cellStyle name="40% - Accent4 2 3 2 3 3" xfId="9064" xr:uid="{00000000-0005-0000-0000-00003E1E0000}"/>
    <cellStyle name="40% - Accent4 2 3 2 4" xfId="1353" xr:uid="{00000000-0005-0000-0000-00003F1E0000}"/>
    <cellStyle name="40% - Accent4 2 3 2 4 2" xfId="53990" xr:uid="{00000000-0005-0000-0000-0000401E0000}"/>
    <cellStyle name="40% - Accent4 2 3 2 5" xfId="9065" xr:uid="{00000000-0005-0000-0000-0000411E0000}"/>
    <cellStyle name="40% - Accent4 2 3 2 6" xfId="9066" xr:uid="{00000000-0005-0000-0000-0000421E0000}"/>
    <cellStyle name="40% - Accent4 2 3 2 7" xfId="9067" xr:uid="{00000000-0005-0000-0000-0000431E0000}"/>
    <cellStyle name="40% - Accent4 2 3 2 8" xfId="9068" xr:uid="{00000000-0005-0000-0000-0000441E0000}"/>
    <cellStyle name="40% - Accent4 2 3 3" xfId="1354" xr:uid="{00000000-0005-0000-0000-0000451E0000}"/>
    <cellStyle name="40% - Accent4 2 3 3 2" xfId="1355" xr:uid="{00000000-0005-0000-0000-0000461E0000}"/>
    <cellStyle name="40% - Accent4 2 3 3 2 2" xfId="1356" xr:uid="{00000000-0005-0000-0000-0000471E0000}"/>
    <cellStyle name="40% - Accent4 2 3 3 2 3" xfId="9069" xr:uid="{00000000-0005-0000-0000-0000481E0000}"/>
    <cellStyle name="40% - Accent4 2 3 3 3" xfId="1357" xr:uid="{00000000-0005-0000-0000-0000491E0000}"/>
    <cellStyle name="40% - Accent4 2 3 3 4" xfId="9070" xr:uid="{00000000-0005-0000-0000-00004A1E0000}"/>
    <cellStyle name="40% - Accent4 2 3 3 5" xfId="9071" xr:uid="{00000000-0005-0000-0000-00004B1E0000}"/>
    <cellStyle name="40% - Accent4 2 3 4" xfId="1358" xr:uid="{00000000-0005-0000-0000-00004C1E0000}"/>
    <cellStyle name="40% - Accent4 2 3 4 2" xfId="1359" xr:uid="{00000000-0005-0000-0000-00004D1E0000}"/>
    <cellStyle name="40% - Accent4 2 3 4 2 2" xfId="53991" xr:uid="{00000000-0005-0000-0000-00004E1E0000}"/>
    <cellStyle name="40% - Accent4 2 3 4 3" xfId="9072" xr:uid="{00000000-0005-0000-0000-00004F1E0000}"/>
    <cellStyle name="40% - Accent4 2 3 4 4" xfId="9073" xr:uid="{00000000-0005-0000-0000-0000501E0000}"/>
    <cellStyle name="40% - Accent4 2 3 4 5" xfId="9074" xr:uid="{00000000-0005-0000-0000-0000511E0000}"/>
    <cellStyle name="40% - Accent4 2 3 5" xfId="1360" xr:uid="{00000000-0005-0000-0000-0000521E0000}"/>
    <cellStyle name="40% - Accent4 2 3 5 2" xfId="9075" xr:uid="{00000000-0005-0000-0000-0000531E0000}"/>
    <cellStyle name="40% - Accent4 2 3 5 3" xfId="9076" xr:uid="{00000000-0005-0000-0000-0000541E0000}"/>
    <cellStyle name="40% - Accent4 2 3 6" xfId="9077" xr:uid="{00000000-0005-0000-0000-0000551E0000}"/>
    <cellStyle name="40% - Accent4 2 3 7" xfId="9078" xr:uid="{00000000-0005-0000-0000-0000561E0000}"/>
    <cellStyle name="40% - Accent4 2 3 8" xfId="9079" xr:uid="{00000000-0005-0000-0000-0000571E0000}"/>
    <cellStyle name="40% - Accent4 2 3 9" xfId="9080" xr:uid="{00000000-0005-0000-0000-0000581E0000}"/>
    <cellStyle name="40% - Accent4 2 4" xfId="1361" xr:uid="{00000000-0005-0000-0000-0000591E0000}"/>
    <cellStyle name="40% - Accent4 2 4 2" xfId="1362" xr:uid="{00000000-0005-0000-0000-00005A1E0000}"/>
    <cellStyle name="40% - Accent4 2 4 2 2" xfId="1363" xr:uid="{00000000-0005-0000-0000-00005B1E0000}"/>
    <cellStyle name="40% - Accent4 2 4 2 2 2" xfId="53992" xr:uid="{00000000-0005-0000-0000-00005C1E0000}"/>
    <cellStyle name="40% - Accent4 2 4 2 2 2 2" xfId="53993" xr:uid="{00000000-0005-0000-0000-00005D1E0000}"/>
    <cellStyle name="40% - Accent4 2 4 2 2 3" xfId="53994" xr:uid="{00000000-0005-0000-0000-00005E1E0000}"/>
    <cellStyle name="40% - Accent4 2 4 2 3" xfId="1364" xr:uid="{00000000-0005-0000-0000-00005F1E0000}"/>
    <cellStyle name="40% - Accent4 2 4 2 3 2" xfId="53995" xr:uid="{00000000-0005-0000-0000-0000601E0000}"/>
    <cellStyle name="40% - Accent4 2 4 2 3 2 2" xfId="53996" xr:uid="{00000000-0005-0000-0000-0000611E0000}"/>
    <cellStyle name="40% - Accent4 2 4 2 3 3" xfId="53997" xr:uid="{00000000-0005-0000-0000-0000621E0000}"/>
    <cellStyle name="40% - Accent4 2 4 2 4" xfId="9081" xr:uid="{00000000-0005-0000-0000-0000631E0000}"/>
    <cellStyle name="40% - Accent4 2 4 2 4 2" xfId="53998" xr:uid="{00000000-0005-0000-0000-0000641E0000}"/>
    <cellStyle name="40% - Accent4 2 4 2 5" xfId="9082" xr:uid="{00000000-0005-0000-0000-0000651E0000}"/>
    <cellStyle name="40% - Accent4 2 4 3" xfId="1365" xr:uid="{00000000-0005-0000-0000-0000661E0000}"/>
    <cellStyle name="40% - Accent4 2 4 3 2" xfId="9083" xr:uid="{00000000-0005-0000-0000-0000671E0000}"/>
    <cellStyle name="40% - Accent4 2 4 3 2 2" xfId="53999" xr:uid="{00000000-0005-0000-0000-0000681E0000}"/>
    <cellStyle name="40% - Accent4 2 4 3 3" xfId="9084" xr:uid="{00000000-0005-0000-0000-0000691E0000}"/>
    <cellStyle name="40% - Accent4 2 4 4" xfId="1366" xr:uid="{00000000-0005-0000-0000-00006A1E0000}"/>
    <cellStyle name="40% - Accent4 2 4 4 2" xfId="54000" xr:uid="{00000000-0005-0000-0000-00006B1E0000}"/>
    <cellStyle name="40% - Accent4 2 4 4 2 2" xfId="54001" xr:uid="{00000000-0005-0000-0000-00006C1E0000}"/>
    <cellStyle name="40% - Accent4 2 4 4 3" xfId="54002" xr:uid="{00000000-0005-0000-0000-00006D1E0000}"/>
    <cellStyle name="40% - Accent4 2 4 5" xfId="9085" xr:uid="{00000000-0005-0000-0000-00006E1E0000}"/>
    <cellStyle name="40% - Accent4 2 4 5 2" xfId="54003" xr:uid="{00000000-0005-0000-0000-00006F1E0000}"/>
    <cellStyle name="40% - Accent4 2 4 6" xfId="9086" xr:uid="{00000000-0005-0000-0000-0000701E0000}"/>
    <cellStyle name="40% - Accent4 2 4 7" xfId="9087" xr:uid="{00000000-0005-0000-0000-0000711E0000}"/>
    <cellStyle name="40% - Accent4 2 4 8" xfId="9088" xr:uid="{00000000-0005-0000-0000-0000721E0000}"/>
    <cellStyle name="40% - Accent4 2 5" xfId="1367" xr:uid="{00000000-0005-0000-0000-0000731E0000}"/>
    <cellStyle name="40% - Accent4 2 5 2" xfId="1368" xr:uid="{00000000-0005-0000-0000-0000741E0000}"/>
    <cellStyle name="40% - Accent4 2 5 2 2" xfId="1369" xr:uid="{00000000-0005-0000-0000-0000751E0000}"/>
    <cellStyle name="40% - Accent4 2 5 2 2 2" xfId="54004" xr:uid="{00000000-0005-0000-0000-0000761E0000}"/>
    <cellStyle name="40% - Accent4 2 5 2 3" xfId="9089" xr:uid="{00000000-0005-0000-0000-0000771E0000}"/>
    <cellStyle name="40% - Accent4 2 5 3" xfId="1370" xr:uid="{00000000-0005-0000-0000-0000781E0000}"/>
    <cellStyle name="40% - Accent4 2 5 3 2" xfId="54005" xr:uid="{00000000-0005-0000-0000-0000791E0000}"/>
    <cellStyle name="40% - Accent4 2 5 3 2 2" xfId="54006" xr:uid="{00000000-0005-0000-0000-00007A1E0000}"/>
    <cellStyle name="40% - Accent4 2 5 3 3" xfId="54007" xr:uid="{00000000-0005-0000-0000-00007B1E0000}"/>
    <cellStyle name="40% - Accent4 2 5 4" xfId="9090" xr:uid="{00000000-0005-0000-0000-00007C1E0000}"/>
    <cellStyle name="40% - Accent4 2 5 4 2" xfId="54008" xr:uid="{00000000-0005-0000-0000-00007D1E0000}"/>
    <cellStyle name="40% - Accent4 2 5 5" xfId="9091" xr:uid="{00000000-0005-0000-0000-00007E1E0000}"/>
    <cellStyle name="40% - Accent4 2 6" xfId="1371" xr:uid="{00000000-0005-0000-0000-00007F1E0000}"/>
    <cellStyle name="40% - Accent4 2 6 2" xfId="1372" xr:uid="{00000000-0005-0000-0000-0000801E0000}"/>
    <cellStyle name="40% - Accent4 2 6 2 2" xfId="54009" xr:uid="{00000000-0005-0000-0000-0000811E0000}"/>
    <cellStyle name="40% - Accent4 2 6 3" xfId="9092" xr:uid="{00000000-0005-0000-0000-0000821E0000}"/>
    <cellStyle name="40% - Accent4 2 6 4" xfId="9093" xr:uid="{00000000-0005-0000-0000-0000831E0000}"/>
    <cellStyle name="40% - Accent4 2 6 5" xfId="9094" xr:uid="{00000000-0005-0000-0000-0000841E0000}"/>
    <cellStyle name="40% - Accent4 2 7" xfId="1373" xr:uid="{00000000-0005-0000-0000-0000851E0000}"/>
    <cellStyle name="40% - Accent4 2 7 2" xfId="9095" xr:uid="{00000000-0005-0000-0000-0000861E0000}"/>
    <cellStyle name="40% - Accent4 2 7 2 2" xfId="54010" xr:uid="{00000000-0005-0000-0000-0000871E0000}"/>
    <cellStyle name="40% - Accent4 2 7 3" xfId="9096" xr:uid="{00000000-0005-0000-0000-0000881E0000}"/>
    <cellStyle name="40% - Accent4 2 8" xfId="9097" xr:uid="{00000000-0005-0000-0000-0000891E0000}"/>
    <cellStyle name="40% - Accent4 2 8 2" xfId="54011" xr:uid="{00000000-0005-0000-0000-00008A1E0000}"/>
    <cellStyle name="40% - Accent4 2 9" xfId="9098" xr:uid="{00000000-0005-0000-0000-00008B1E0000}"/>
    <cellStyle name="40% - Accent4 20" xfId="1374" xr:uid="{00000000-0005-0000-0000-00008C1E0000}"/>
    <cellStyle name="40% - Accent4 20 2" xfId="1375" xr:uid="{00000000-0005-0000-0000-00008D1E0000}"/>
    <cellStyle name="40% - Accent4 21" xfId="1376" xr:uid="{00000000-0005-0000-0000-00008E1E0000}"/>
    <cellStyle name="40% - Accent4 21 2" xfId="1377" xr:uid="{00000000-0005-0000-0000-00008F1E0000}"/>
    <cellStyle name="40% - Accent4 22" xfId="1378" xr:uid="{00000000-0005-0000-0000-0000901E0000}"/>
    <cellStyle name="40% - Accent4 22 2" xfId="1379" xr:uid="{00000000-0005-0000-0000-0000911E0000}"/>
    <cellStyle name="40% - Accent4 23" xfId="1380" xr:uid="{00000000-0005-0000-0000-0000921E0000}"/>
    <cellStyle name="40% - Accent4 23 2" xfId="1381" xr:uid="{00000000-0005-0000-0000-0000931E0000}"/>
    <cellStyle name="40% - Accent4 24" xfId="1382" xr:uid="{00000000-0005-0000-0000-0000941E0000}"/>
    <cellStyle name="40% - Accent4 24 2" xfId="1383" xr:uid="{00000000-0005-0000-0000-0000951E0000}"/>
    <cellStyle name="40% - Accent4 25" xfId="1384" xr:uid="{00000000-0005-0000-0000-0000961E0000}"/>
    <cellStyle name="40% - Accent4 25 2" xfId="1385" xr:uid="{00000000-0005-0000-0000-0000971E0000}"/>
    <cellStyle name="40% - Accent4 26" xfId="1386" xr:uid="{00000000-0005-0000-0000-0000981E0000}"/>
    <cellStyle name="40% - Accent4 26 2" xfId="1387" xr:uid="{00000000-0005-0000-0000-0000991E0000}"/>
    <cellStyle name="40% - Accent4 27" xfId="1388" xr:uid="{00000000-0005-0000-0000-00009A1E0000}"/>
    <cellStyle name="40% - Accent4 27 2" xfId="1389" xr:uid="{00000000-0005-0000-0000-00009B1E0000}"/>
    <cellStyle name="40% - Accent4 28" xfId="1390" xr:uid="{00000000-0005-0000-0000-00009C1E0000}"/>
    <cellStyle name="40% - Accent4 28 2" xfId="1391" xr:uid="{00000000-0005-0000-0000-00009D1E0000}"/>
    <cellStyle name="40% - Accent4 29" xfId="1392" xr:uid="{00000000-0005-0000-0000-00009E1E0000}"/>
    <cellStyle name="40% - Accent4 29 2" xfId="1393" xr:uid="{00000000-0005-0000-0000-00009F1E0000}"/>
    <cellStyle name="40% - Accent4 3" xfId="1394" xr:uid="{00000000-0005-0000-0000-0000A01E0000}"/>
    <cellStyle name="40% - Accent4 3 10" xfId="9099" xr:uid="{00000000-0005-0000-0000-0000A11E0000}"/>
    <cellStyle name="40% - Accent4 3 11" xfId="9100" xr:uid="{00000000-0005-0000-0000-0000A21E0000}"/>
    <cellStyle name="40% - Accent4 3 12" xfId="9101" xr:uid="{00000000-0005-0000-0000-0000A31E0000}"/>
    <cellStyle name="40% - Accent4 3 13" xfId="9102" xr:uid="{00000000-0005-0000-0000-0000A41E0000}"/>
    <cellStyle name="40% - Accent4 3 2" xfId="1395" xr:uid="{00000000-0005-0000-0000-0000A51E0000}"/>
    <cellStyle name="40% - Accent4 3 2 10" xfId="9103" xr:uid="{00000000-0005-0000-0000-0000A61E0000}"/>
    <cellStyle name="40% - Accent4 3 2 11" xfId="9104" xr:uid="{00000000-0005-0000-0000-0000A71E0000}"/>
    <cellStyle name="40% - Accent4 3 2 2" xfId="1396" xr:uid="{00000000-0005-0000-0000-0000A81E0000}"/>
    <cellStyle name="40% - Accent4 3 2 2 10" xfId="9105" xr:uid="{00000000-0005-0000-0000-0000A91E0000}"/>
    <cellStyle name="40% - Accent4 3 2 2 2" xfId="9106" xr:uid="{00000000-0005-0000-0000-0000AA1E0000}"/>
    <cellStyle name="40% - Accent4 3 2 2 2 2" xfId="9107" xr:uid="{00000000-0005-0000-0000-0000AB1E0000}"/>
    <cellStyle name="40% - Accent4 3 2 2 2 2 2" xfId="9108" xr:uid="{00000000-0005-0000-0000-0000AC1E0000}"/>
    <cellStyle name="40% - Accent4 3 2 2 2 2 3" xfId="9109" xr:uid="{00000000-0005-0000-0000-0000AD1E0000}"/>
    <cellStyle name="40% - Accent4 3 2 2 2 3" xfId="9110" xr:uid="{00000000-0005-0000-0000-0000AE1E0000}"/>
    <cellStyle name="40% - Accent4 3 2 2 2 3 2" xfId="9111" xr:uid="{00000000-0005-0000-0000-0000AF1E0000}"/>
    <cellStyle name="40% - Accent4 3 2 2 2 3 3" xfId="9112" xr:uid="{00000000-0005-0000-0000-0000B01E0000}"/>
    <cellStyle name="40% - Accent4 3 2 2 2 4" xfId="9113" xr:uid="{00000000-0005-0000-0000-0000B11E0000}"/>
    <cellStyle name="40% - Accent4 3 2 2 2 5" xfId="9114" xr:uid="{00000000-0005-0000-0000-0000B21E0000}"/>
    <cellStyle name="40% - Accent4 3 2 2 2 6" xfId="9115" xr:uid="{00000000-0005-0000-0000-0000B31E0000}"/>
    <cellStyle name="40% - Accent4 3 2 2 3" xfId="9116" xr:uid="{00000000-0005-0000-0000-0000B41E0000}"/>
    <cellStyle name="40% - Accent4 3 2 2 3 2" xfId="9117" xr:uid="{00000000-0005-0000-0000-0000B51E0000}"/>
    <cellStyle name="40% - Accent4 3 2 2 3 2 2" xfId="54012" xr:uid="{00000000-0005-0000-0000-0000B61E0000}"/>
    <cellStyle name="40% - Accent4 3 2 2 3 3" xfId="9118" xr:uid="{00000000-0005-0000-0000-0000B71E0000}"/>
    <cellStyle name="40% - Accent4 3 2 2 4" xfId="9119" xr:uid="{00000000-0005-0000-0000-0000B81E0000}"/>
    <cellStyle name="40% - Accent4 3 2 2 4 2" xfId="9120" xr:uid="{00000000-0005-0000-0000-0000B91E0000}"/>
    <cellStyle name="40% - Accent4 3 2 2 4 3" xfId="9121" xr:uid="{00000000-0005-0000-0000-0000BA1E0000}"/>
    <cellStyle name="40% - Accent4 3 2 2 5" xfId="9122" xr:uid="{00000000-0005-0000-0000-0000BB1E0000}"/>
    <cellStyle name="40% - Accent4 3 2 2 6" xfId="9123" xr:uid="{00000000-0005-0000-0000-0000BC1E0000}"/>
    <cellStyle name="40% - Accent4 3 2 2 7" xfId="9124" xr:uid="{00000000-0005-0000-0000-0000BD1E0000}"/>
    <cellStyle name="40% - Accent4 3 2 2 8" xfId="9125" xr:uid="{00000000-0005-0000-0000-0000BE1E0000}"/>
    <cellStyle name="40% - Accent4 3 2 2 9" xfId="9126" xr:uid="{00000000-0005-0000-0000-0000BF1E0000}"/>
    <cellStyle name="40% - Accent4 3 2 3" xfId="9127" xr:uid="{00000000-0005-0000-0000-0000C01E0000}"/>
    <cellStyle name="40% - Accent4 3 2 3 2" xfId="9128" xr:uid="{00000000-0005-0000-0000-0000C11E0000}"/>
    <cellStyle name="40% - Accent4 3 2 3 2 2" xfId="9129" xr:uid="{00000000-0005-0000-0000-0000C21E0000}"/>
    <cellStyle name="40% - Accent4 3 2 3 2 3" xfId="9130" xr:uid="{00000000-0005-0000-0000-0000C31E0000}"/>
    <cellStyle name="40% - Accent4 3 2 3 3" xfId="9131" xr:uid="{00000000-0005-0000-0000-0000C41E0000}"/>
    <cellStyle name="40% - Accent4 3 2 3 3 2" xfId="9132" xr:uid="{00000000-0005-0000-0000-0000C51E0000}"/>
    <cellStyle name="40% - Accent4 3 2 3 3 3" xfId="9133" xr:uid="{00000000-0005-0000-0000-0000C61E0000}"/>
    <cellStyle name="40% - Accent4 3 2 3 4" xfId="9134" xr:uid="{00000000-0005-0000-0000-0000C71E0000}"/>
    <cellStyle name="40% - Accent4 3 2 3 5" xfId="9135" xr:uid="{00000000-0005-0000-0000-0000C81E0000}"/>
    <cellStyle name="40% - Accent4 3 2 3 6" xfId="9136" xr:uid="{00000000-0005-0000-0000-0000C91E0000}"/>
    <cellStyle name="40% - Accent4 3 2 4" xfId="9137" xr:uid="{00000000-0005-0000-0000-0000CA1E0000}"/>
    <cellStyle name="40% - Accent4 3 2 4 2" xfId="9138" xr:uid="{00000000-0005-0000-0000-0000CB1E0000}"/>
    <cellStyle name="40% - Accent4 3 2 4 2 2" xfId="54013" xr:uid="{00000000-0005-0000-0000-0000CC1E0000}"/>
    <cellStyle name="40% - Accent4 3 2 4 3" xfId="9139" xr:uid="{00000000-0005-0000-0000-0000CD1E0000}"/>
    <cellStyle name="40% - Accent4 3 2 5" xfId="9140" xr:uid="{00000000-0005-0000-0000-0000CE1E0000}"/>
    <cellStyle name="40% - Accent4 3 2 5 2" xfId="9141" xr:uid="{00000000-0005-0000-0000-0000CF1E0000}"/>
    <cellStyle name="40% - Accent4 3 2 5 3" xfId="9142" xr:uid="{00000000-0005-0000-0000-0000D01E0000}"/>
    <cellStyle name="40% - Accent4 3 2 6" xfId="9143" xr:uid="{00000000-0005-0000-0000-0000D11E0000}"/>
    <cellStyle name="40% - Accent4 3 2 7" xfId="9144" xr:uid="{00000000-0005-0000-0000-0000D21E0000}"/>
    <cellStyle name="40% - Accent4 3 2 8" xfId="9145" xr:uid="{00000000-0005-0000-0000-0000D31E0000}"/>
    <cellStyle name="40% - Accent4 3 2 9" xfId="9146" xr:uid="{00000000-0005-0000-0000-0000D41E0000}"/>
    <cellStyle name="40% - Accent4 3 3" xfId="1397" xr:uid="{00000000-0005-0000-0000-0000D51E0000}"/>
    <cellStyle name="40% - Accent4 3 3 10" xfId="9147" xr:uid="{00000000-0005-0000-0000-0000D61E0000}"/>
    <cellStyle name="40% - Accent4 3 3 2" xfId="9148" xr:uid="{00000000-0005-0000-0000-0000D71E0000}"/>
    <cellStyle name="40% - Accent4 3 3 2 2" xfId="9149" xr:uid="{00000000-0005-0000-0000-0000D81E0000}"/>
    <cellStyle name="40% - Accent4 3 3 2 2 2" xfId="9150" xr:uid="{00000000-0005-0000-0000-0000D91E0000}"/>
    <cellStyle name="40% - Accent4 3 3 2 2 2 2" xfId="54014" xr:uid="{00000000-0005-0000-0000-0000DA1E0000}"/>
    <cellStyle name="40% - Accent4 3 3 2 2 3" xfId="9151" xr:uid="{00000000-0005-0000-0000-0000DB1E0000}"/>
    <cellStyle name="40% - Accent4 3 3 2 3" xfId="9152" xr:uid="{00000000-0005-0000-0000-0000DC1E0000}"/>
    <cellStyle name="40% - Accent4 3 3 2 3 2" xfId="9153" xr:uid="{00000000-0005-0000-0000-0000DD1E0000}"/>
    <cellStyle name="40% - Accent4 3 3 2 3 2 2" xfId="54015" xr:uid="{00000000-0005-0000-0000-0000DE1E0000}"/>
    <cellStyle name="40% - Accent4 3 3 2 3 3" xfId="9154" xr:uid="{00000000-0005-0000-0000-0000DF1E0000}"/>
    <cellStyle name="40% - Accent4 3 3 2 4" xfId="9155" xr:uid="{00000000-0005-0000-0000-0000E01E0000}"/>
    <cellStyle name="40% - Accent4 3 3 2 4 2" xfId="54016" xr:uid="{00000000-0005-0000-0000-0000E11E0000}"/>
    <cellStyle name="40% - Accent4 3 3 2 5" xfId="9156" xr:uid="{00000000-0005-0000-0000-0000E21E0000}"/>
    <cellStyle name="40% - Accent4 3 3 2 6" xfId="9157" xr:uid="{00000000-0005-0000-0000-0000E31E0000}"/>
    <cellStyle name="40% - Accent4 3 3 3" xfId="9158" xr:uid="{00000000-0005-0000-0000-0000E41E0000}"/>
    <cellStyle name="40% - Accent4 3 3 3 2" xfId="9159" xr:uid="{00000000-0005-0000-0000-0000E51E0000}"/>
    <cellStyle name="40% - Accent4 3 3 3 2 2" xfId="54017" xr:uid="{00000000-0005-0000-0000-0000E61E0000}"/>
    <cellStyle name="40% - Accent4 3 3 3 3" xfId="9160" xr:uid="{00000000-0005-0000-0000-0000E71E0000}"/>
    <cellStyle name="40% - Accent4 3 3 4" xfId="9161" xr:uid="{00000000-0005-0000-0000-0000E81E0000}"/>
    <cellStyle name="40% - Accent4 3 3 4 2" xfId="9162" xr:uid="{00000000-0005-0000-0000-0000E91E0000}"/>
    <cellStyle name="40% - Accent4 3 3 4 2 2" xfId="54018" xr:uid="{00000000-0005-0000-0000-0000EA1E0000}"/>
    <cellStyle name="40% - Accent4 3 3 4 3" xfId="9163" xr:uid="{00000000-0005-0000-0000-0000EB1E0000}"/>
    <cellStyle name="40% - Accent4 3 3 5" xfId="9164" xr:uid="{00000000-0005-0000-0000-0000EC1E0000}"/>
    <cellStyle name="40% - Accent4 3 3 5 2" xfId="54019" xr:uid="{00000000-0005-0000-0000-0000ED1E0000}"/>
    <cellStyle name="40% - Accent4 3 3 6" xfId="9165" xr:uid="{00000000-0005-0000-0000-0000EE1E0000}"/>
    <cellStyle name="40% - Accent4 3 3 7" xfId="9166" xr:uid="{00000000-0005-0000-0000-0000EF1E0000}"/>
    <cellStyle name="40% - Accent4 3 3 8" xfId="9167" xr:uid="{00000000-0005-0000-0000-0000F01E0000}"/>
    <cellStyle name="40% - Accent4 3 3 9" xfId="9168" xr:uid="{00000000-0005-0000-0000-0000F11E0000}"/>
    <cellStyle name="40% - Accent4 3 4" xfId="9169" xr:uid="{00000000-0005-0000-0000-0000F21E0000}"/>
    <cellStyle name="40% - Accent4 3 4 2" xfId="9170" xr:uid="{00000000-0005-0000-0000-0000F31E0000}"/>
    <cellStyle name="40% - Accent4 3 4 2 2" xfId="9171" xr:uid="{00000000-0005-0000-0000-0000F41E0000}"/>
    <cellStyle name="40% - Accent4 3 4 2 2 2" xfId="54020" xr:uid="{00000000-0005-0000-0000-0000F51E0000}"/>
    <cellStyle name="40% - Accent4 3 4 2 3" xfId="9172" xr:uid="{00000000-0005-0000-0000-0000F61E0000}"/>
    <cellStyle name="40% - Accent4 3 4 3" xfId="9173" xr:uid="{00000000-0005-0000-0000-0000F71E0000}"/>
    <cellStyle name="40% - Accent4 3 4 3 2" xfId="9174" xr:uid="{00000000-0005-0000-0000-0000F81E0000}"/>
    <cellStyle name="40% - Accent4 3 4 3 2 2" xfId="54021" xr:uid="{00000000-0005-0000-0000-0000F91E0000}"/>
    <cellStyle name="40% - Accent4 3 4 3 3" xfId="9175" xr:uid="{00000000-0005-0000-0000-0000FA1E0000}"/>
    <cellStyle name="40% - Accent4 3 4 4" xfId="9176" xr:uid="{00000000-0005-0000-0000-0000FB1E0000}"/>
    <cellStyle name="40% - Accent4 3 4 4 2" xfId="54022" xr:uid="{00000000-0005-0000-0000-0000FC1E0000}"/>
    <cellStyle name="40% - Accent4 3 4 5" xfId="9177" xr:uid="{00000000-0005-0000-0000-0000FD1E0000}"/>
    <cellStyle name="40% - Accent4 3 4 6" xfId="9178" xr:uid="{00000000-0005-0000-0000-0000FE1E0000}"/>
    <cellStyle name="40% - Accent4 3 5" xfId="9179" xr:uid="{00000000-0005-0000-0000-0000FF1E0000}"/>
    <cellStyle name="40% - Accent4 3 5 2" xfId="9180" xr:uid="{00000000-0005-0000-0000-0000001F0000}"/>
    <cellStyle name="40% - Accent4 3 5 2 2" xfId="54023" xr:uid="{00000000-0005-0000-0000-0000011F0000}"/>
    <cellStyle name="40% - Accent4 3 5 3" xfId="9181" xr:uid="{00000000-0005-0000-0000-0000021F0000}"/>
    <cellStyle name="40% - Accent4 3 6" xfId="9182" xr:uid="{00000000-0005-0000-0000-0000031F0000}"/>
    <cellStyle name="40% - Accent4 3 6 2" xfId="9183" xr:uid="{00000000-0005-0000-0000-0000041F0000}"/>
    <cellStyle name="40% - Accent4 3 6 2 2" xfId="54024" xr:uid="{00000000-0005-0000-0000-0000051F0000}"/>
    <cellStyle name="40% - Accent4 3 6 3" xfId="9184" xr:uid="{00000000-0005-0000-0000-0000061F0000}"/>
    <cellStyle name="40% - Accent4 3 7" xfId="9185" xr:uid="{00000000-0005-0000-0000-0000071F0000}"/>
    <cellStyle name="40% - Accent4 3 7 2" xfId="54025" xr:uid="{00000000-0005-0000-0000-0000081F0000}"/>
    <cellStyle name="40% - Accent4 3 8" xfId="9186" xr:uid="{00000000-0005-0000-0000-0000091F0000}"/>
    <cellStyle name="40% - Accent4 3 9" xfId="9187" xr:uid="{00000000-0005-0000-0000-00000A1F0000}"/>
    <cellStyle name="40% - Accent4 30" xfId="1398" xr:uid="{00000000-0005-0000-0000-00000B1F0000}"/>
    <cellStyle name="40% - Accent4 30 2" xfId="1399" xr:uid="{00000000-0005-0000-0000-00000C1F0000}"/>
    <cellStyle name="40% - Accent4 31" xfId="1400" xr:uid="{00000000-0005-0000-0000-00000D1F0000}"/>
    <cellStyle name="40% - Accent4 31 2" xfId="1401" xr:uid="{00000000-0005-0000-0000-00000E1F0000}"/>
    <cellStyle name="40% - Accent4 32" xfId="1402" xr:uid="{00000000-0005-0000-0000-00000F1F0000}"/>
    <cellStyle name="40% - Accent4 32 2" xfId="1403" xr:uid="{00000000-0005-0000-0000-0000101F0000}"/>
    <cellStyle name="40% - Accent4 33" xfId="1404" xr:uid="{00000000-0005-0000-0000-0000111F0000}"/>
    <cellStyle name="40% - Accent4 33 2" xfId="1405" xr:uid="{00000000-0005-0000-0000-0000121F0000}"/>
    <cellStyle name="40% - Accent4 34" xfId="1406" xr:uid="{00000000-0005-0000-0000-0000131F0000}"/>
    <cellStyle name="40% - Accent4 34 2" xfId="1407" xr:uid="{00000000-0005-0000-0000-0000141F0000}"/>
    <cellStyle name="40% - Accent4 35" xfId="1408" xr:uid="{00000000-0005-0000-0000-0000151F0000}"/>
    <cellStyle name="40% - Accent4 35 2" xfId="1409" xr:uid="{00000000-0005-0000-0000-0000161F0000}"/>
    <cellStyle name="40% - Accent4 36" xfId="1410" xr:uid="{00000000-0005-0000-0000-0000171F0000}"/>
    <cellStyle name="40% - Accent4 36 2" xfId="1411" xr:uid="{00000000-0005-0000-0000-0000181F0000}"/>
    <cellStyle name="40% - Accent4 37" xfId="1412" xr:uid="{00000000-0005-0000-0000-0000191F0000}"/>
    <cellStyle name="40% - Accent4 37 2" xfId="1413" xr:uid="{00000000-0005-0000-0000-00001A1F0000}"/>
    <cellStyle name="40% - Accent4 38" xfId="1414" xr:uid="{00000000-0005-0000-0000-00001B1F0000}"/>
    <cellStyle name="40% - Accent4 39" xfId="1415" xr:uid="{00000000-0005-0000-0000-00001C1F0000}"/>
    <cellStyle name="40% - Accent4 4" xfId="1416" xr:uid="{00000000-0005-0000-0000-00001D1F0000}"/>
    <cellStyle name="40% - Accent4 4 10" xfId="9188" xr:uid="{00000000-0005-0000-0000-00001E1F0000}"/>
    <cellStyle name="40% - Accent4 4 11" xfId="9189" xr:uid="{00000000-0005-0000-0000-00001F1F0000}"/>
    <cellStyle name="40% - Accent4 4 12" xfId="9190" xr:uid="{00000000-0005-0000-0000-0000201F0000}"/>
    <cellStyle name="40% - Accent4 4 13" xfId="9191" xr:uid="{00000000-0005-0000-0000-0000211F0000}"/>
    <cellStyle name="40% - Accent4 4 14" xfId="9192" xr:uid="{00000000-0005-0000-0000-0000221F0000}"/>
    <cellStyle name="40% - Accent4 4 2" xfId="1417" xr:uid="{00000000-0005-0000-0000-0000231F0000}"/>
    <cellStyle name="40% - Accent4 4 2 10" xfId="9193" xr:uid="{00000000-0005-0000-0000-0000241F0000}"/>
    <cellStyle name="40% - Accent4 4 2 11" xfId="9194" xr:uid="{00000000-0005-0000-0000-0000251F0000}"/>
    <cellStyle name="40% - Accent4 4 2 2" xfId="1418" xr:uid="{00000000-0005-0000-0000-0000261F0000}"/>
    <cellStyle name="40% - Accent4 4 2 2 2" xfId="9195" xr:uid="{00000000-0005-0000-0000-0000271F0000}"/>
    <cellStyle name="40% - Accent4 4 2 2 2 2" xfId="9196" xr:uid="{00000000-0005-0000-0000-0000281F0000}"/>
    <cellStyle name="40% - Accent4 4 2 2 2 2 2" xfId="9197" xr:uid="{00000000-0005-0000-0000-0000291F0000}"/>
    <cellStyle name="40% - Accent4 4 2 2 2 2 3" xfId="9198" xr:uid="{00000000-0005-0000-0000-00002A1F0000}"/>
    <cellStyle name="40% - Accent4 4 2 2 2 3" xfId="9199" xr:uid="{00000000-0005-0000-0000-00002B1F0000}"/>
    <cellStyle name="40% - Accent4 4 2 2 2 3 2" xfId="9200" xr:uid="{00000000-0005-0000-0000-00002C1F0000}"/>
    <cellStyle name="40% - Accent4 4 2 2 2 3 3" xfId="9201" xr:uid="{00000000-0005-0000-0000-00002D1F0000}"/>
    <cellStyle name="40% - Accent4 4 2 2 2 4" xfId="9202" xr:uid="{00000000-0005-0000-0000-00002E1F0000}"/>
    <cellStyle name="40% - Accent4 4 2 2 2 5" xfId="9203" xr:uid="{00000000-0005-0000-0000-00002F1F0000}"/>
    <cellStyle name="40% - Accent4 4 2 2 2 6" xfId="9204" xr:uid="{00000000-0005-0000-0000-0000301F0000}"/>
    <cellStyle name="40% - Accent4 4 2 2 3" xfId="9205" xr:uid="{00000000-0005-0000-0000-0000311F0000}"/>
    <cellStyle name="40% - Accent4 4 2 2 3 2" xfId="9206" xr:uid="{00000000-0005-0000-0000-0000321F0000}"/>
    <cellStyle name="40% - Accent4 4 2 2 3 3" xfId="9207" xr:uid="{00000000-0005-0000-0000-0000331F0000}"/>
    <cellStyle name="40% - Accent4 4 2 2 4" xfId="9208" xr:uid="{00000000-0005-0000-0000-0000341F0000}"/>
    <cellStyle name="40% - Accent4 4 2 2 4 2" xfId="9209" xr:uid="{00000000-0005-0000-0000-0000351F0000}"/>
    <cellStyle name="40% - Accent4 4 2 2 4 3" xfId="9210" xr:uid="{00000000-0005-0000-0000-0000361F0000}"/>
    <cellStyle name="40% - Accent4 4 2 2 5" xfId="9211" xr:uid="{00000000-0005-0000-0000-0000371F0000}"/>
    <cellStyle name="40% - Accent4 4 2 2 6" xfId="9212" xr:uid="{00000000-0005-0000-0000-0000381F0000}"/>
    <cellStyle name="40% - Accent4 4 2 2 7" xfId="9213" xr:uid="{00000000-0005-0000-0000-0000391F0000}"/>
    <cellStyle name="40% - Accent4 4 2 2 8" xfId="9214" xr:uid="{00000000-0005-0000-0000-00003A1F0000}"/>
    <cellStyle name="40% - Accent4 4 2 3" xfId="1419" xr:uid="{00000000-0005-0000-0000-00003B1F0000}"/>
    <cellStyle name="40% - Accent4 4 2 3 2" xfId="9215" xr:uid="{00000000-0005-0000-0000-00003C1F0000}"/>
    <cellStyle name="40% - Accent4 4 2 3 2 2" xfId="9216" xr:uid="{00000000-0005-0000-0000-00003D1F0000}"/>
    <cellStyle name="40% - Accent4 4 2 3 2 3" xfId="9217" xr:uid="{00000000-0005-0000-0000-00003E1F0000}"/>
    <cellStyle name="40% - Accent4 4 2 3 3" xfId="9218" xr:uid="{00000000-0005-0000-0000-00003F1F0000}"/>
    <cellStyle name="40% - Accent4 4 2 3 3 2" xfId="9219" xr:uid="{00000000-0005-0000-0000-0000401F0000}"/>
    <cellStyle name="40% - Accent4 4 2 3 3 3" xfId="9220" xr:uid="{00000000-0005-0000-0000-0000411F0000}"/>
    <cellStyle name="40% - Accent4 4 2 3 4" xfId="9221" xr:uid="{00000000-0005-0000-0000-0000421F0000}"/>
    <cellStyle name="40% - Accent4 4 2 3 5" xfId="9222" xr:uid="{00000000-0005-0000-0000-0000431F0000}"/>
    <cellStyle name="40% - Accent4 4 2 3 6" xfId="9223" xr:uid="{00000000-0005-0000-0000-0000441F0000}"/>
    <cellStyle name="40% - Accent4 4 2 4" xfId="9224" xr:uid="{00000000-0005-0000-0000-0000451F0000}"/>
    <cellStyle name="40% - Accent4 4 2 4 2" xfId="9225" xr:uid="{00000000-0005-0000-0000-0000461F0000}"/>
    <cellStyle name="40% - Accent4 4 2 4 3" xfId="9226" xr:uid="{00000000-0005-0000-0000-0000471F0000}"/>
    <cellStyle name="40% - Accent4 4 2 5" xfId="9227" xr:uid="{00000000-0005-0000-0000-0000481F0000}"/>
    <cellStyle name="40% - Accent4 4 2 5 2" xfId="9228" xr:uid="{00000000-0005-0000-0000-0000491F0000}"/>
    <cellStyle name="40% - Accent4 4 2 5 3" xfId="9229" xr:uid="{00000000-0005-0000-0000-00004A1F0000}"/>
    <cellStyle name="40% - Accent4 4 2 6" xfId="9230" xr:uid="{00000000-0005-0000-0000-00004B1F0000}"/>
    <cellStyle name="40% - Accent4 4 2 7" xfId="9231" xr:uid="{00000000-0005-0000-0000-00004C1F0000}"/>
    <cellStyle name="40% - Accent4 4 2 8" xfId="9232" xr:uid="{00000000-0005-0000-0000-00004D1F0000}"/>
    <cellStyle name="40% - Accent4 4 2 9" xfId="9233" xr:uid="{00000000-0005-0000-0000-00004E1F0000}"/>
    <cellStyle name="40% - Accent4 4 3" xfId="1420" xr:uid="{00000000-0005-0000-0000-00004F1F0000}"/>
    <cellStyle name="40% - Accent4 4 3 10" xfId="9234" xr:uid="{00000000-0005-0000-0000-0000501F0000}"/>
    <cellStyle name="40% - Accent4 4 3 2" xfId="9235" xr:uid="{00000000-0005-0000-0000-0000511F0000}"/>
    <cellStyle name="40% - Accent4 4 3 2 2" xfId="9236" xr:uid="{00000000-0005-0000-0000-0000521F0000}"/>
    <cellStyle name="40% - Accent4 4 3 2 2 2" xfId="9237" xr:uid="{00000000-0005-0000-0000-0000531F0000}"/>
    <cellStyle name="40% - Accent4 4 3 2 2 3" xfId="9238" xr:uid="{00000000-0005-0000-0000-0000541F0000}"/>
    <cellStyle name="40% - Accent4 4 3 2 3" xfId="9239" xr:uid="{00000000-0005-0000-0000-0000551F0000}"/>
    <cellStyle name="40% - Accent4 4 3 2 3 2" xfId="9240" xr:uid="{00000000-0005-0000-0000-0000561F0000}"/>
    <cellStyle name="40% - Accent4 4 3 2 3 3" xfId="9241" xr:uid="{00000000-0005-0000-0000-0000571F0000}"/>
    <cellStyle name="40% - Accent4 4 3 2 4" xfId="9242" xr:uid="{00000000-0005-0000-0000-0000581F0000}"/>
    <cellStyle name="40% - Accent4 4 3 2 5" xfId="9243" xr:uid="{00000000-0005-0000-0000-0000591F0000}"/>
    <cellStyle name="40% - Accent4 4 3 2 6" xfId="9244" xr:uid="{00000000-0005-0000-0000-00005A1F0000}"/>
    <cellStyle name="40% - Accent4 4 3 3" xfId="9245" xr:uid="{00000000-0005-0000-0000-00005B1F0000}"/>
    <cellStyle name="40% - Accent4 4 3 3 2" xfId="9246" xr:uid="{00000000-0005-0000-0000-00005C1F0000}"/>
    <cellStyle name="40% - Accent4 4 3 3 3" xfId="9247" xr:uid="{00000000-0005-0000-0000-00005D1F0000}"/>
    <cellStyle name="40% - Accent4 4 3 4" xfId="9248" xr:uid="{00000000-0005-0000-0000-00005E1F0000}"/>
    <cellStyle name="40% - Accent4 4 3 4 2" xfId="9249" xr:uid="{00000000-0005-0000-0000-00005F1F0000}"/>
    <cellStyle name="40% - Accent4 4 3 4 3" xfId="9250" xr:uid="{00000000-0005-0000-0000-0000601F0000}"/>
    <cellStyle name="40% - Accent4 4 3 5" xfId="9251" xr:uid="{00000000-0005-0000-0000-0000611F0000}"/>
    <cellStyle name="40% - Accent4 4 3 6" xfId="9252" xr:uid="{00000000-0005-0000-0000-0000621F0000}"/>
    <cellStyle name="40% - Accent4 4 3 7" xfId="9253" xr:uid="{00000000-0005-0000-0000-0000631F0000}"/>
    <cellStyle name="40% - Accent4 4 3 8" xfId="9254" xr:uid="{00000000-0005-0000-0000-0000641F0000}"/>
    <cellStyle name="40% - Accent4 4 3 9" xfId="9255" xr:uid="{00000000-0005-0000-0000-0000651F0000}"/>
    <cellStyle name="40% - Accent4 4 4" xfId="1421" xr:uid="{00000000-0005-0000-0000-0000661F0000}"/>
    <cellStyle name="40% - Accent4 4 4 2" xfId="9256" xr:uid="{00000000-0005-0000-0000-0000671F0000}"/>
    <cellStyle name="40% - Accent4 4 4 2 2" xfId="9257" xr:uid="{00000000-0005-0000-0000-0000681F0000}"/>
    <cellStyle name="40% - Accent4 4 4 2 3" xfId="9258" xr:uid="{00000000-0005-0000-0000-0000691F0000}"/>
    <cellStyle name="40% - Accent4 4 4 3" xfId="9259" xr:uid="{00000000-0005-0000-0000-00006A1F0000}"/>
    <cellStyle name="40% - Accent4 4 4 3 2" xfId="9260" xr:uid="{00000000-0005-0000-0000-00006B1F0000}"/>
    <cellStyle name="40% - Accent4 4 4 3 3" xfId="9261" xr:uid="{00000000-0005-0000-0000-00006C1F0000}"/>
    <cellStyle name="40% - Accent4 4 4 4" xfId="9262" xr:uid="{00000000-0005-0000-0000-00006D1F0000}"/>
    <cellStyle name="40% - Accent4 4 4 5" xfId="9263" xr:uid="{00000000-0005-0000-0000-00006E1F0000}"/>
    <cellStyle name="40% - Accent4 4 4 6" xfId="9264" xr:uid="{00000000-0005-0000-0000-00006F1F0000}"/>
    <cellStyle name="40% - Accent4 4 5" xfId="9265" xr:uid="{00000000-0005-0000-0000-0000701F0000}"/>
    <cellStyle name="40% - Accent4 4 5 2" xfId="9266" xr:uid="{00000000-0005-0000-0000-0000711F0000}"/>
    <cellStyle name="40% - Accent4 4 5 3" xfId="9267" xr:uid="{00000000-0005-0000-0000-0000721F0000}"/>
    <cellStyle name="40% - Accent4 4 6" xfId="9268" xr:uid="{00000000-0005-0000-0000-0000731F0000}"/>
    <cellStyle name="40% - Accent4 4 6 2" xfId="9269" xr:uid="{00000000-0005-0000-0000-0000741F0000}"/>
    <cellStyle name="40% - Accent4 4 6 3" xfId="9270" xr:uid="{00000000-0005-0000-0000-0000751F0000}"/>
    <cellStyle name="40% - Accent4 4 7" xfId="9271" xr:uid="{00000000-0005-0000-0000-0000761F0000}"/>
    <cellStyle name="40% - Accent4 4 8" xfId="9272" xr:uid="{00000000-0005-0000-0000-0000771F0000}"/>
    <cellStyle name="40% - Accent4 4 9" xfId="9273" xr:uid="{00000000-0005-0000-0000-0000781F0000}"/>
    <cellStyle name="40% - Accent4 40" xfId="1422" xr:uid="{00000000-0005-0000-0000-0000791F0000}"/>
    <cellStyle name="40% - Accent4 41" xfId="1423" xr:uid="{00000000-0005-0000-0000-00007A1F0000}"/>
    <cellStyle name="40% - Accent4 42" xfId="1424" xr:uid="{00000000-0005-0000-0000-00007B1F0000}"/>
    <cellStyle name="40% - Accent4 43" xfId="9274" xr:uid="{00000000-0005-0000-0000-00007C1F0000}"/>
    <cellStyle name="40% - Accent4 44" xfId="9275" xr:uid="{00000000-0005-0000-0000-00007D1F0000}"/>
    <cellStyle name="40% - Accent4 45" xfId="9276" xr:uid="{00000000-0005-0000-0000-00007E1F0000}"/>
    <cellStyle name="40% - Accent4 46" xfId="9277" xr:uid="{00000000-0005-0000-0000-00007F1F0000}"/>
    <cellStyle name="40% - Accent4 47" xfId="9278" xr:uid="{00000000-0005-0000-0000-0000801F0000}"/>
    <cellStyle name="40% - Accent4 48" xfId="9279" xr:uid="{00000000-0005-0000-0000-0000811F0000}"/>
    <cellStyle name="40% - Accent4 5" xfId="1425" xr:uid="{00000000-0005-0000-0000-0000821F0000}"/>
    <cellStyle name="40% - Accent4 5 2" xfId="1426" xr:uid="{00000000-0005-0000-0000-0000831F0000}"/>
    <cellStyle name="40% - Accent4 5 2 2" xfId="1427" xr:uid="{00000000-0005-0000-0000-0000841F0000}"/>
    <cellStyle name="40% - Accent4 5 2 2 2" xfId="54026" xr:uid="{00000000-0005-0000-0000-0000851F0000}"/>
    <cellStyle name="40% - Accent4 5 2 2 2 2" xfId="54027" xr:uid="{00000000-0005-0000-0000-0000861F0000}"/>
    <cellStyle name="40% - Accent4 5 2 2 3" xfId="54028" xr:uid="{00000000-0005-0000-0000-0000871F0000}"/>
    <cellStyle name="40% - Accent4 5 2 3" xfId="1428" xr:uid="{00000000-0005-0000-0000-0000881F0000}"/>
    <cellStyle name="40% - Accent4 5 2 3 2" xfId="54029" xr:uid="{00000000-0005-0000-0000-0000891F0000}"/>
    <cellStyle name="40% - Accent4 5 2 3 2 2" xfId="54030" xr:uid="{00000000-0005-0000-0000-00008A1F0000}"/>
    <cellStyle name="40% - Accent4 5 2 3 3" xfId="54031" xr:uid="{00000000-0005-0000-0000-00008B1F0000}"/>
    <cellStyle name="40% - Accent4 5 2 4" xfId="54032" xr:uid="{00000000-0005-0000-0000-00008C1F0000}"/>
    <cellStyle name="40% - Accent4 5 2 4 2" xfId="54033" xr:uid="{00000000-0005-0000-0000-00008D1F0000}"/>
    <cellStyle name="40% - Accent4 5 2 5" xfId="54034" xr:uid="{00000000-0005-0000-0000-00008E1F0000}"/>
    <cellStyle name="40% - Accent4 5 3" xfId="1429" xr:uid="{00000000-0005-0000-0000-00008F1F0000}"/>
    <cellStyle name="40% - Accent4 5 3 2" xfId="54035" xr:uid="{00000000-0005-0000-0000-0000901F0000}"/>
    <cellStyle name="40% - Accent4 5 3 2 2" xfId="54036" xr:uid="{00000000-0005-0000-0000-0000911F0000}"/>
    <cellStyle name="40% - Accent4 5 3 3" xfId="54037" xr:uid="{00000000-0005-0000-0000-0000921F0000}"/>
    <cellStyle name="40% - Accent4 5 4" xfId="1430" xr:uid="{00000000-0005-0000-0000-0000931F0000}"/>
    <cellStyle name="40% - Accent4 5 4 2" xfId="54038" xr:uid="{00000000-0005-0000-0000-0000941F0000}"/>
    <cellStyle name="40% - Accent4 5 4 2 2" xfId="54039" xr:uid="{00000000-0005-0000-0000-0000951F0000}"/>
    <cellStyle name="40% - Accent4 5 4 3" xfId="54040" xr:uid="{00000000-0005-0000-0000-0000961F0000}"/>
    <cellStyle name="40% - Accent4 5 5" xfId="9280" xr:uid="{00000000-0005-0000-0000-0000971F0000}"/>
    <cellStyle name="40% - Accent4 5 5 2" xfId="54041" xr:uid="{00000000-0005-0000-0000-0000981F0000}"/>
    <cellStyle name="40% - Accent4 5 6" xfId="9281" xr:uid="{00000000-0005-0000-0000-0000991F0000}"/>
    <cellStyle name="40% - Accent4 6" xfId="1431" xr:uid="{00000000-0005-0000-0000-00009A1F0000}"/>
    <cellStyle name="40% - Accent4 6 10" xfId="9282" xr:uid="{00000000-0005-0000-0000-00009B1F0000}"/>
    <cellStyle name="40% - Accent4 6 11" xfId="9283" xr:uid="{00000000-0005-0000-0000-00009C1F0000}"/>
    <cellStyle name="40% - Accent4 6 12" xfId="9284" xr:uid="{00000000-0005-0000-0000-00009D1F0000}"/>
    <cellStyle name="40% - Accent4 6 2" xfId="1432" xr:uid="{00000000-0005-0000-0000-00009E1F0000}"/>
    <cellStyle name="40% - Accent4 6 2 2" xfId="9285" xr:uid="{00000000-0005-0000-0000-00009F1F0000}"/>
    <cellStyle name="40% - Accent4 6 2 2 2" xfId="9286" xr:uid="{00000000-0005-0000-0000-0000A01F0000}"/>
    <cellStyle name="40% - Accent4 6 2 2 2 2" xfId="9287" xr:uid="{00000000-0005-0000-0000-0000A11F0000}"/>
    <cellStyle name="40% - Accent4 6 2 2 2 3" xfId="9288" xr:uid="{00000000-0005-0000-0000-0000A21F0000}"/>
    <cellStyle name="40% - Accent4 6 2 2 3" xfId="9289" xr:uid="{00000000-0005-0000-0000-0000A31F0000}"/>
    <cellStyle name="40% - Accent4 6 2 2 3 2" xfId="9290" xr:uid="{00000000-0005-0000-0000-0000A41F0000}"/>
    <cellStyle name="40% - Accent4 6 2 2 3 3" xfId="9291" xr:uid="{00000000-0005-0000-0000-0000A51F0000}"/>
    <cellStyle name="40% - Accent4 6 2 2 4" xfId="9292" xr:uid="{00000000-0005-0000-0000-0000A61F0000}"/>
    <cellStyle name="40% - Accent4 6 2 2 5" xfId="9293" xr:uid="{00000000-0005-0000-0000-0000A71F0000}"/>
    <cellStyle name="40% - Accent4 6 2 2 6" xfId="9294" xr:uid="{00000000-0005-0000-0000-0000A81F0000}"/>
    <cellStyle name="40% - Accent4 6 2 3" xfId="9295" xr:uid="{00000000-0005-0000-0000-0000A91F0000}"/>
    <cellStyle name="40% - Accent4 6 2 3 2" xfId="9296" xr:uid="{00000000-0005-0000-0000-0000AA1F0000}"/>
    <cellStyle name="40% - Accent4 6 2 3 3" xfId="9297" xr:uid="{00000000-0005-0000-0000-0000AB1F0000}"/>
    <cellStyle name="40% - Accent4 6 2 4" xfId="9298" xr:uid="{00000000-0005-0000-0000-0000AC1F0000}"/>
    <cellStyle name="40% - Accent4 6 2 4 2" xfId="9299" xr:uid="{00000000-0005-0000-0000-0000AD1F0000}"/>
    <cellStyle name="40% - Accent4 6 2 4 3" xfId="9300" xr:uid="{00000000-0005-0000-0000-0000AE1F0000}"/>
    <cellStyle name="40% - Accent4 6 2 5" xfId="9301" xr:uid="{00000000-0005-0000-0000-0000AF1F0000}"/>
    <cellStyle name="40% - Accent4 6 2 6" xfId="9302" xr:uid="{00000000-0005-0000-0000-0000B01F0000}"/>
    <cellStyle name="40% - Accent4 6 2 7" xfId="9303" xr:uid="{00000000-0005-0000-0000-0000B11F0000}"/>
    <cellStyle name="40% - Accent4 6 2 8" xfId="9304" xr:uid="{00000000-0005-0000-0000-0000B21F0000}"/>
    <cellStyle name="40% - Accent4 6 3" xfId="1433" xr:uid="{00000000-0005-0000-0000-0000B31F0000}"/>
    <cellStyle name="40% - Accent4 6 3 2" xfId="9305" xr:uid="{00000000-0005-0000-0000-0000B41F0000}"/>
    <cellStyle name="40% - Accent4 6 3 2 2" xfId="9306" xr:uid="{00000000-0005-0000-0000-0000B51F0000}"/>
    <cellStyle name="40% - Accent4 6 3 2 2 2" xfId="9307" xr:uid="{00000000-0005-0000-0000-0000B61F0000}"/>
    <cellStyle name="40% - Accent4 6 3 2 3" xfId="9308" xr:uid="{00000000-0005-0000-0000-0000B71F0000}"/>
    <cellStyle name="40% - Accent4 6 3 3" xfId="9309" xr:uid="{00000000-0005-0000-0000-0000B81F0000}"/>
    <cellStyle name="40% - Accent4 6 3 3 2" xfId="9310" xr:uid="{00000000-0005-0000-0000-0000B91F0000}"/>
    <cellStyle name="40% - Accent4 6 3 3 3" xfId="9311" xr:uid="{00000000-0005-0000-0000-0000BA1F0000}"/>
    <cellStyle name="40% - Accent4 6 3 4" xfId="9312" xr:uid="{00000000-0005-0000-0000-0000BB1F0000}"/>
    <cellStyle name="40% - Accent4 6 3 5" xfId="9313" xr:uid="{00000000-0005-0000-0000-0000BC1F0000}"/>
    <cellStyle name="40% - Accent4 6 3 6" xfId="9314" xr:uid="{00000000-0005-0000-0000-0000BD1F0000}"/>
    <cellStyle name="40% - Accent4 6 4" xfId="9315" xr:uid="{00000000-0005-0000-0000-0000BE1F0000}"/>
    <cellStyle name="40% - Accent4 6 4 2" xfId="9316" xr:uid="{00000000-0005-0000-0000-0000BF1F0000}"/>
    <cellStyle name="40% - Accent4 6 4 3" xfId="9317" xr:uid="{00000000-0005-0000-0000-0000C01F0000}"/>
    <cellStyle name="40% - Accent4 6 5" xfId="9318" xr:uid="{00000000-0005-0000-0000-0000C11F0000}"/>
    <cellStyle name="40% - Accent4 6 5 2" xfId="9319" xr:uid="{00000000-0005-0000-0000-0000C21F0000}"/>
    <cellStyle name="40% - Accent4 6 5 3" xfId="9320" xr:uid="{00000000-0005-0000-0000-0000C31F0000}"/>
    <cellStyle name="40% - Accent4 6 6" xfId="9321" xr:uid="{00000000-0005-0000-0000-0000C41F0000}"/>
    <cellStyle name="40% - Accent4 6 7" xfId="9322" xr:uid="{00000000-0005-0000-0000-0000C51F0000}"/>
    <cellStyle name="40% - Accent4 6 8" xfId="9323" xr:uid="{00000000-0005-0000-0000-0000C61F0000}"/>
    <cellStyle name="40% - Accent4 6 9" xfId="9324" xr:uid="{00000000-0005-0000-0000-0000C71F0000}"/>
    <cellStyle name="40% - Accent4 7" xfId="1434" xr:uid="{00000000-0005-0000-0000-0000C81F0000}"/>
    <cellStyle name="40% - Accent4 7 10" xfId="9325" xr:uid="{00000000-0005-0000-0000-0000C91F0000}"/>
    <cellStyle name="40% - Accent4 7 11" xfId="9326" xr:uid="{00000000-0005-0000-0000-0000CA1F0000}"/>
    <cellStyle name="40% - Accent4 7 2" xfId="1435" xr:uid="{00000000-0005-0000-0000-0000CB1F0000}"/>
    <cellStyle name="40% - Accent4 7 2 2" xfId="9327" xr:uid="{00000000-0005-0000-0000-0000CC1F0000}"/>
    <cellStyle name="40% - Accent4 7 2 2 2" xfId="9328" xr:uid="{00000000-0005-0000-0000-0000CD1F0000}"/>
    <cellStyle name="40% - Accent4 7 2 2 2 2" xfId="9329" xr:uid="{00000000-0005-0000-0000-0000CE1F0000}"/>
    <cellStyle name="40% - Accent4 7 2 2 2 3" xfId="9330" xr:uid="{00000000-0005-0000-0000-0000CF1F0000}"/>
    <cellStyle name="40% - Accent4 7 2 2 3" xfId="9331" xr:uid="{00000000-0005-0000-0000-0000D01F0000}"/>
    <cellStyle name="40% - Accent4 7 2 2 3 2" xfId="9332" xr:uid="{00000000-0005-0000-0000-0000D11F0000}"/>
    <cellStyle name="40% - Accent4 7 2 2 3 3" xfId="9333" xr:uid="{00000000-0005-0000-0000-0000D21F0000}"/>
    <cellStyle name="40% - Accent4 7 2 2 4" xfId="9334" xr:uid="{00000000-0005-0000-0000-0000D31F0000}"/>
    <cellStyle name="40% - Accent4 7 2 2 5" xfId="9335" xr:uid="{00000000-0005-0000-0000-0000D41F0000}"/>
    <cellStyle name="40% - Accent4 7 2 2 6" xfId="9336" xr:uid="{00000000-0005-0000-0000-0000D51F0000}"/>
    <cellStyle name="40% - Accent4 7 2 3" xfId="9337" xr:uid="{00000000-0005-0000-0000-0000D61F0000}"/>
    <cellStyle name="40% - Accent4 7 2 3 2" xfId="9338" xr:uid="{00000000-0005-0000-0000-0000D71F0000}"/>
    <cellStyle name="40% - Accent4 7 2 3 3" xfId="9339" xr:uid="{00000000-0005-0000-0000-0000D81F0000}"/>
    <cellStyle name="40% - Accent4 7 2 4" xfId="9340" xr:uid="{00000000-0005-0000-0000-0000D91F0000}"/>
    <cellStyle name="40% - Accent4 7 2 4 2" xfId="9341" xr:uid="{00000000-0005-0000-0000-0000DA1F0000}"/>
    <cellStyle name="40% - Accent4 7 2 4 3" xfId="9342" xr:uid="{00000000-0005-0000-0000-0000DB1F0000}"/>
    <cellStyle name="40% - Accent4 7 2 5" xfId="9343" xr:uid="{00000000-0005-0000-0000-0000DC1F0000}"/>
    <cellStyle name="40% - Accent4 7 2 6" xfId="9344" xr:uid="{00000000-0005-0000-0000-0000DD1F0000}"/>
    <cellStyle name="40% - Accent4 7 2 7" xfId="9345" xr:uid="{00000000-0005-0000-0000-0000DE1F0000}"/>
    <cellStyle name="40% - Accent4 7 2 8" xfId="9346" xr:uid="{00000000-0005-0000-0000-0000DF1F0000}"/>
    <cellStyle name="40% - Accent4 7 3" xfId="1436" xr:uid="{00000000-0005-0000-0000-0000E01F0000}"/>
    <cellStyle name="40% - Accent4 7 3 2" xfId="9347" xr:uid="{00000000-0005-0000-0000-0000E11F0000}"/>
    <cellStyle name="40% - Accent4 7 3 2 2" xfId="9348" xr:uid="{00000000-0005-0000-0000-0000E21F0000}"/>
    <cellStyle name="40% - Accent4 7 3 2 2 2" xfId="9349" xr:uid="{00000000-0005-0000-0000-0000E31F0000}"/>
    <cellStyle name="40% - Accent4 7 3 2 3" xfId="9350" xr:uid="{00000000-0005-0000-0000-0000E41F0000}"/>
    <cellStyle name="40% - Accent4 7 3 3" xfId="9351" xr:uid="{00000000-0005-0000-0000-0000E51F0000}"/>
    <cellStyle name="40% - Accent4 7 3 3 2" xfId="9352" xr:uid="{00000000-0005-0000-0000-0000E61F0000}"/>
    <cellStyle name="40% - Accent4 7 3 3 3" xfId="9353" xr:uid="{00000000-0005-0000-0000-0000E71F0000}"/>
    <cellStyle name="40% - Accent4 7 3 4" xfId="9354" xr:uid="{00000000-0005-0000-0000-0000E81F0000}"/>
    <cellStyle name="40% - Accent4 7 3 5" xfId="9355" xr:uid="{00000000-0005-0000-0000-0000E91F0000}"/>
    <cellStyle name="40% - Accent4 7 3 6" xfId="9356" xr:uid="{00000000-0005-0000-0000-0000EA1F0000}"/>
    <cellStyle name="40% - Accent4 7 4" xfId="9357" xr:uid="{00000000-0005-0000-0000-0000EB1F0000}"/>
    <cellStyle name="40% - Accent4 7 4 2" xfId="9358" xr:uid="{00000000-0005-0000-0000-0000EC1F0000}"/>
    <cellStyle name="40% - Accent4 7 4 3" xfId="9359" xr:uid="{00000000-0005-0000-0000-0000ED1F0000}"/>
    <cellStyle name="40% - Accent4 7 5" xfId="9360" xr:uid="{00000000-0005-0000-0000-0000EE1F0000}"/>
    <cellStyle name="40% - Accent4 7 5 2" xfId="9361" xr:uid="{00000000-0005-0000-0000-0000EF1F0000}"/>
    <cellStyle name="40% - Accent4 7 5 3" xfId="9362" xr:uid="{00000000-0005-0000-0000-0000F01F0000}"/>
    <cellStyle name="40% - Accent4 7 6" xfId="9363" xr:uid="{00000000-0005-0000-0000-0000F11F0000}"/>
    <cellStyle name="40% - Accent4 7 7" xfId="9364" xr:uid="{00000000-0005-0000-0000-0000F21F0000}"/>
    <cellStyle name="40% - Accent4 7 8" xfId="9365" xr:uid="{00000000-0005-0000-0000-0000F31F0000}"/>
    <cellStyle name="40% - Accent4 7 9" xfId="9366" xr:uid="{00000000-0005-0000-0000-0000F41F0000}"/>
    <cellStyle name="40% - Accent4 8" xfId="1437" xr:uid="{00000000-0005-0000-0000-0000F51F0000}"/>
    <cellStyle name="40% - Accent4 8 10" xfId="9367" xr:uid="{00000000-0005-0000-0000-0000F61F0000}"/>
    <cellStyle name="40% - Accent4 8 11" xfId="9368" xr:uid="{00000000-0005-0000-0000-0000F71F0000}"/>
    <cellStyle name="40% - Accent4 8 2" xfId="1438" xr:uid="{00000000-0005-0000-0000-0000F81F0000}"/>
    <cellStyle name="40% - Accent4 8 2 2" xfId="9369" xr:uid="{00000000-0005-0000-0000-0000F91F0000}"/>
    <cellStyle name="40% - Accent4 8 2 2 2" xfId="9370" xr:uid="{00000000-0005-0000-0000-0000FA1F0000}"/>
    <cellStyle name="40% - Accent4 8 2 2 2 2" xfId="9371" xr:uid="{00000000-0005-0000-0000-0000FB1F0000}"/>
    <cellStyle name="40% - Accent4 8 2 2 2 3" xfId="9372" xr:uid="{00000000-0005-0000-0000-0000FC1F0000}"/>
    <cellStyle name="40% - Accent4 8 2 2 3" xfId="9373" xr:uid="{00000000-0005-0000-0000-0000FD1F0000}"/>
    <cellStyle name="40% - Accent4 8 2 2 3 2" xfId="9374" xr:uid="{00000000-0005-0000-0000-0000FE1F0000}"/>
    <cellStyle name="40% - Accent4 8 2 2 3 3" xfId="9375" xr:uid="{00000000-0005-0000-0000-0000FF1F0000}"/>
    <cellStyle name="40% - Accent4 8 2 2 4" xfId="9376" xr:uid="{00000000-0005-0000-0000-000000200000}"/>
    <cellStyle name="40% - Accent4 8 2 2 5" xfId="9377" xr:uid="{00000000-0005-0000-0000-000001200000}"/>
    <cellStyle name="40% - Accent4 8 2 2 6" xfId="9378" xr:uid="{00000000-0005-0000-0000-000002200000}"/>
    <cellStyle name="40% - Accent4 8 2 3" xfId="9379" xr:uid="{00000000-0005-0000-0000-000003200000}"/>
    <cellStyle name="40% - Accent4 8 2 3 2" xfId="9380" xr:uid="{00000000-0005-0000-0000-000004200000}"/>
    <cellStyle name="40% - Accent4 8 2 3 3" xfId="9381" xr:uid="{00000000-0005-0000-0000-000005200000}"/>
    <cellStyle name="40% - Accent4 8 2 4" xfId="9382" xr:uid="{00000000-0005-0000-0000-000006200000}"/>
    <cellStyle name="40% - Accent4 8 2 4 2" xfId="9383" xr:uid="{00000000-0005-0000-0000-000007200000}"/>
    <cellStyle name="40% - Accent4 8 2 4 3" xfId="9384" xr:uid="{00000000-0005-0000-0000-000008200000}"/>
    <cellStyle name="40% - Accent4 8 2 5" xfId="9385" xr:uid="{00000000-0005-0000-0000-000009200000}"/>
    <cellStyle name="40% - Accent4 8 2 6" xfId="9386" xr:uid="{00000000-0005-0000-0000-00000A200000}"/>
    <cellStyle name="40% - Accent4 8 2 7" xfId="9387" xr:uid="{00000000-0005-0000-0000-00000B200000}"/>
    <cellStyle name="40% - Accent4 8 2 8" xfId="9388" xr:uid="{00000000-0005-0000-0000-00000C200000}"/>
    <cellStyle name="40% - Accent4 8 3" xfId="9389" xr:uid="{00000000-0005-0000-0000-00000D200000}"/>
    <cellStyle name="40% - Accent4 8 3 2" xfId="9390" xr:uid="{00000000-0005-0000-0000-00000E200000}"/>
    <cellStyle name="40% - Accent4 8 3 2 2" xfId="9391" xr:uid="{00000000-0005-0000-0000-00000F200000}"/>
    <cellStyle name="40% - Accent4 8 3 2 2 2" xfId="9392" xr:uid="{00000000-0005-0000-0000-000010200000}"/>
    <cellStyle name="40% - Accent4 8 3 2 3" xfId="9393" xr:uid="{00000000-0005-0000-0000-000011200000}"/>
    <cellStyle name="40% - Accent4 8 3 3" xfId="9394" xr:uid="{00000000-0005-0000-0000-000012200000}"/>
    <cellStyle name="40% - Accent4 8 3 3 2" xfId="9395" xr:uid="{00000000-0005-0000-0000-000013200000}"/>
    <cellStyle name="40% - Accent4 8 3 3 3" xfId="9396" xr:uid="{00000000-0005-0000-0000-000014200000}"/>
    <cellStyle name="40% - Accent4 8 3 4" xfId="9397" xr:uid="{00000000-0005-0000-0000-000015200000}"/>
    <cellStyle name="40% - Accent4 8 3 5" xfId="9398" xr:uid="{00000000-0005-0000-0000-000016200000}"/>
    <cellStyle name="40% - Accent4 8 3 6" xfId="9399" xr:uid="{00000000-0005-0000-0000-000017200000}"/>
    <cellStyle name="40% - Accent4 8 4" xfId="9400" xr:uid="{00000000-0005-0000-0000-000018200000}"/>
    <cellStyle name="40% - Accent4 8 4 2" xfId="9401" xr:uid="{00000000-0005-0000-0000-000019200000}"/>
    <cellStyle name="40% - Accent4 8 4 3" xfId="9402" xr:uid="{00000000-0005-0000-0000-00001A200000}"/>
    <cellStyle name="40% - Accent4 8 5" xfId="9403" xr:uid="{00000000-0005-0000-0000-00001B200000}"/>
    <cellStyle name="40% - Accent4 8 5 2" xfId="9404" xr:uid="{00000000-0005-0000-0000-00001C200000}"/>
    <cellStyle name="40% - Accent4 8 5 3" xfId="9405" xr:uid="{00000000-0005-0000-0000-00001D200000}"/>
    <cellStyle name="40% - Accent4 8 6" xfId="9406" xr:uid="{00000000-0005-0000-0000-00001E200000}"/>
    <cellStyle name="40% - Accent4 8 7" xfId="9407" xr:uid="{00000000-0005-0000-0000-00001F200000}"/>
    <cellStyle name="40% - Accent4 8 8" xfId="9408" xr:uid="{00000000-0005-0000-0000-000020200000}"/>
    <cellStyle name="40% - Accent4 8 9" xfId="9409" xr:uid="{00000000-0005-0000-0000-000021200000}"/>
    <cellStyle name="40% - Accent4 9" xfId="1439" xr:uid="{00000000-0005-0000-0000-000022200000}"/>
    <cellStyle name="40% - Accent4 9 10" xfId="9410" xr:uid="{00000000-0005-0000-0000-000023200000}"/>
    <cellStyle name="40% - Accent4 9 11" xfId="9411" xr:uid="{00000000-0005-0000-0000-000024200000}"/>
    <cellStyle name="40% - Accent4 9 2" xfId="1440" xr:uid="{00000000-0005-0000-0000-000025200000}"/>
    <cellStyle name="40% - Accent4 9 2 2" xfId="9412" xr:uid="{00000000-0005-0000-0000-000026200000}"/>
    <cellStyle name="40% - Accent4 9 2 2 2" xfId="9413" xr:uid="{00000000-0005-0000-0000-000027200000}"/>
    <cellStyle name="40% - Accent4 9 2 2 2 2" xfId="9414" xr:uid="{00000000-0005-0000-0000-000028200000}"/>
    <cellStyle name="40% - Accent4 9 2 2 2 3" xfId="9415" xr:uid="{00000000-0005-0000-0000-000029200000}"/>
    <cellStyle name="40% - Accent4 9 2 2 3" xfId="9416" xr:uid="{00000000-0005-0000-0000-00002A200000}"/>
    <cellStyle name="40% - Accent4 9 2 2 3 2" xfId="9417" xr:uid="{00000000-0005-0000-0000-00002B200000}"/>
    <cellStyle name="40% - Accent4 9 2 2 3 3" xfId="9418" xr:uid="{00000000-0005-0000-0000-00002C200000}"/>
    <cellStyle name="40% - Accent4 9 2 2 4" xfId="9419" xr:uid="{00000000-0005-0000-0000-00002D200000}"/>
    <cellStyle name="40% - Accent4 9 2 2 5" xfId="9420" xr:uid="{00000000-0005-0000-0000-00002E200000}"/>
    <cellStyle name="40% - Accent4 9 2 2 6" xfId="9421" xr:uid="{00000000-0005-0000-0000-00002F200000}"/>
    <cellStyle name="40% - Accent4 9 2 3" xfId="9422" xr:uid="{00000000-0005-0000-0000-000030200000}"/>
    <cellStyle name="40% - Accent4 9 2 3 2" xfId="9423" xr:uid="{00000000-0005-0000-0000-000031200000}"/>
    <cellStyle name="40% - Accent4 9 2 3 3" xfId="9424" xr:uid="{00000000-0005-0000-0000-000032200000}"/>
    <cellStyle name="40% - Accent4 9 2 4" xfId="9425" xr:uid="{00000000-0005-0000-0000-000033200000}"/>
    <cellStyle name="40% - Accent4 9 2 4 2" xfId="9426" xr:uid="{00000000-0005-0000-0000-000034200000}"/>
    <cellStyle name="40% - Accent4 9 2 4 3" xfId="9427" xr:uid="{00000000-0005-0000-0000-000035200000}"/>
    <cellStyle name="40% - Accent4 9 2 5" xfId="9428" xr:uid="{00000000-0005-0000-0000-000036200000}"/>
    <cellStyle name="40% - Accent4 9 2 6" xfId="9429" xr:uid="{00000000-0005-0000-0000-000037200000}"/>
    <cellStyle name="40% - Accent4 9 2 7" xfId="9430" xr:uid="{00000000-0005-0000-0000-000038200000}"/>
    <cellStyle name="40% - Accent4 9 2 8" xfId="9431" xr:uid="{00000000-0005-0000-0000-000039200000}"/>
    <cellStyle name="40% - Accent4 9 3" xfId="9432" xr:uid="{00000000-0005-0000-0000-00003A200000}"/>
    <cellStyle name="40% - Accent4 9 3 2" xfId="9433" xr:uid="{00000000-0005-0000-0000-00003B200000}"/>
    <cellStyle name="40% - Accent4 9 3 2 2" xfId="9434" xr:uid="{00000000-0005-0000-0000-00003C200000}"/>
    <cellStyle name="40% - Accent4 9 3 2 2 2" xfId="9435" xr:uid="{00000000-0005-0000-0000-00003D200000}"/>
    <cellStyle name="40% - Accent4 9 3 2 3" xfId="9436" xr:uid="{00000000-0005-0000-0000-00003E200000}"/>
    <cellStyle name="40% - Accent4 9 3 3" xfId="9437" xr:uid="{00000000-0005-0000-0000-00003F200000}"/>
    <cellStyle name="40% - Accent4 9 3 3 2" xfId="9438" xr:uid="{00000000-0005-0000-0000-000040200000}"/>
    <cellStyle name="40% - Accent4 9 3 3 3" xfId="9439" xr:uid="{00000000-0005-0000-0000-000041200000}"/>
    <cellStyle name="40% - Accent4 9 3 4" xfId="9440" xr:uid="{00000000-0005-0000-0000-000042200000}"/>
    <cellStyle name="40% - Accent4 9 3 5" xfId="9441" xr:uid="{00000000-0005-0000-0000-000043200000}"/>
    <cellStyle name="40% - Accent4 9 3 6" xfId="9442" xr:uid="{00000000-0005-0000-0000-000044200000}"/>
    <cellStyle name="40% - Accent4 9 4" xfId="9443" xr:uid="{00000000-0005-0000-0000-000045200000}"/>
    <cellStyle name="40% - Accent4 9 4 2" xfId="9444" xr:uid="{00000000-0005-0000-0000-000046200000}"/>
    <cellStyle name="40% - Accent4 9 4 3" xfId="9445" xr:uid="{00000000-0005-0000-0000-000047200000}"/>
    <cellStyle name="40% - Accent4 9 5" xfId="9446" xr:uid="{00000000-0005-0000-0000-000048200000}"/>
    <cellStyle name="40% - Accent4 9 5 2" xfId="9447" xr:uid="{00000000-0005-0000-0000-000049200000}"/>
    <cellStyle name="40% - Accent4 9 5 3" xfId="9448" xr:uid="{00000000-0005-0000-0000-00004A200000}"/>
    <cellStyle name="40% - Accent4 9 6" xfId="9449" xr:uid="{00000000-0005-0000-0000-00004B200000}"/>
    <cellStyle name="40% - Accent4 9 7" xfId="9450" xr:uid="{00000000-0005-0000-0000-00004C200000}"/>
    <cellStyle name="40% - Accent4 9 8" xfId="9451" xr:uid="{00000000-0005-0000-0000-00004D200000}"/>
    <cellStyle name="40% - Accent4 9 9" xfId="9452" xr:uid="{00000000-0005-0000-0000-00004E200000}"/>
    <cellStyle name="40% - Accent5 10" xfId="1441" xr:uid="{00000000-0005-0000-0000-00004F200000}"/>
    <cellStyle name="40% - Accent5 10 10" xfId="9453" xr:uid="{00000000-0005-0000-0000-000050200000}"/>
    <cellStyle name="40% - Accent5 10 11" xfId="9454" xr:uid="{00000000-0005-0000-0000-000051200000}"/>
    <cellStyle name="40% - Accent5 10 2" xfId="1442" xr:uid="{00000000-0005-0000-0000-000052200000}"/>
    <cellStyle name="40% - Accent5 10 2 2" xfId="9455" xr:uid="{00000000-0005-0000-0000-000053200000}"/>
    <cellStyle name="40% - Accent5 10 2 2 2" xfId="9456" xr:uid="{00000000-0005-0000-0000-000054200000}"/>
    <cellStyle name="40% - Accent5 10 2 2 2 2" xfId="9457" xr:uid="{00000000-0005-0000-0000-000055200000}"/>
    <cellStyle name="40% - Accent5 10 2 2 2 3" xfId="9458" xr:uid="{00000000-0005-0000-0000-000056200000}"/>
    <cellStyle name="40% - Accent5 10 2 2 3" xfId="9459" xr:uid="{00000000-0005-0000-0000-000057200000}"/>
    <cellStyle name="40% - Accent5 10 2 2 3 2" xfId="9460" xr:uid="{00000000-0005-0000-0000-000058200000}"/>
    <cellStyle name="40% - Accent5 10 2 2 3 3" xfId="9461" xr:uid="{00000000-0005-0000-0000-000059200000}"/>
    <cellStyle name="40% - Accent5 10 2 2 4" xfId="9462" xr:uid="{00000000-0005-0000-0000-00005A200000}"/>
    <cellStyle name="40% - Accent5 10 2 2 5" xfId="9463" xr:uid="{00000000-0005-0000-0000-00005B200000}"/>
    <cellStyle name="40% - Accent5 10 2 2 6" xfId="9464" xr:uid="{00000000-0005-0000-0000-00005C200000}"/>
    <cellStyle name="40% - Accent5 10 2 3" xfId="9465" xr:uid="{00000000-0005-0000-0000-00005D200000}"/>
    <cellStyle name="40% - Accent5 10 2 3 2" xfId="9466" xr:uid="{00000000-0005-0000-0000-00005E200000}"/>
    <cellStyle name="40% - Accent5 10 2 3 3" xfId="9467" xr:uid="{00000000-0005-0000-0000-00005F200000}"/>
    <cellStyle name="40% - Accent5 10 2 4" xfId="9468" xr:uid="{00000000-0005-0000-0000-000060200000}"/>
    <cellStyle name="40% - Accent5 10 2 4 2" xfId="9469" xr:uid="{00000000-0005-0000-0000-000061200000}"/>
    <cellStyle name="40% - Accent5 10 2 4 3" xfId="9470" xr:uid="{00000000-0005-0000-0000-000062200000}"/>
    <cellStyle name="40% - Accent5 10 2 5" xfId="9471" xr:uid="{00000000-0005-0000-0000-000063200000}"/>
    <cellStyle name="40% - Accent5 10 2 6" xfId="9472" xr:uid="{00000000-0005-0000-0000-000064200000}"/>
    <cellStyle name="40% - Accent5 10 2 7" xfId="9473" xr:uid="{00000000-0005-0000-0000-000065200000}"/>
    <cellStyle name="40% - Accent5 10 2 8" xfId="9474" xr:uid="{00000000-0005-0000-0000-000066200000}"/>
    <cellStyle name="40% - Accent5 10 3" xfId="9475" xr:uid="{00000000-0005-0000-0000-000067200000}"/>
    <cellStyle name="40% - Accent5 10 3 2" xfId="9476" xr:uid="{00000000-0005-0000-0000-000068200000}"/>
    <cellStyle name="40% - Accent5 10 3 2 2" xfId="9477" xr:uid="{00000000-0005-0000-0000-000069200000}"/>
    <cellStyle name="40% - Accent5 10 3 2 3" xfId="9478" xr:uid="{00000000-0005-0000-0000-00006A200000}"/>
    <cellStyle name="40% - Accent5 10 3 3" xfId="9479" xr:uid="{00000000-0005-0000-0000-00006B200000}"/>
    <cellStyle name="40% - Accent5 10 3 3 2" xfId="9480" xr:uid="{00000000-0005-0000-0000-00006C200000}"/>
    <cellStyle name="40% - Accent5 10 3 3 3" xfId="9481" xr:uid="{00000000-0005-0000-0000-00006D200000}"/>
    <cellStyle name="40% - Accent5 10 3 4" xfId="9482" xr:uid="{00000000-0005-0000-0000-00006E200000}"/>
    <cellStyle name="40% - Accent5 10 3 5" xfId="9483" xr:uid="{00000000-0005-0000-0000-00006F200000}"/>
    <cellStyle name="40% - Accent5 10 3 6" xfId="9484" xr:uid="{00000000-0005-0000-0000-000070200000}"/>
    <cellStyle name="40% - Accent5 10 4" xfId="9485" xr:uid="{00000000-0005-0000-0000-000071200000}"/>
    <cellStyle name="40% - Accent5 10 4 2" xfId="9486" xr:uid="{00000000-0005-0000-0000-000072200000}"/>
    <cellStyle name="40% - Accent5 10 4 3" xfId="9487" xr:uid="{00000000-0005-0000-0000-000073200000}"/>
    <cellStyle name="40% - Accent5 10 5" xfId="9488" xr:uid="{00000000-0005-0000-0000-000074200000}"/>
    <cellStyle name="40% - Accent5 10 5 2" xfId="9489" xr:uid="{00000000-0005-0000-0000-000075200000}"/>
    <cellStyle name="40% - Accent5 10 5 3" xfId="9490" xr:uid="{00000000-0005-0000-0000-000076200000}"/>
    <cellStyle name="40% - Accent5 10 6" xfId="9491" xr:uid="{00000000-0005-0000-0000-000077200000}"/>
    <cellStyle name="40% - Accent5 10 7" xfId="9492" xr:uid="{00000000-0005-0000-0000-000078200000}"/>
    <cellStyle name="40% - Accent5 10 8" xfId="9493" xr:uid="{00000000-0005-0000-0000-000079200000}"/>
    <cellStyle name="40% - Accent5 10 9" xfId="9494" xr:uid="{00000000-0005-0000-0000-00007A200000}"/>
    <cellStyle name="40% - Accent5 11" xfId="1443" xr:uid="{00000000-0005-0000-0000-00007B200000}"/>
    <cellStyle name="40% - Accent5 11 10" xfId="9495" xr:uid="{00000000-0005-0000-0000-00007C200000}"/>
    <cellStyle name="40% - Accent5 11 2" xfId="1444" xr:uid="{00000000-0005-0000-0000-00007D200000}"/>
    <cellStyle name="40% - Accent5 11 2 2" xfId="9496" xr:uid="{00000000-0005-0000-0000-00007E200000}"/>
    <cellStyle name="40% - Accent5 11 2 2 2" xfId="9497" xr:uid="{00000000-0005-0000-0000-00007F200000}"/>
    <cellStyle name="40% - Accent5 11 2 2 3" xfId="9498" xr:uid="{00000000-0005-0000-0000-000080200000}"/>
    <cellStyle name="40% - Accent5 11 2 3" xfId="9499" xr:uid="{00000000-0005-0000-0000-000081200000}"/>
    <cellStyle name="40% - Accent5 11 2 3 2" xfId="9500" xr:uid="{00000000-0005-0000-0000-000082200000}"/>
    <cellStyle name="40% - Accent5 11 2 3 3" xfId="9501" xr:uid="{00000000-0005-0000-0000-000083200000}"/>
    <cellStyle name="40% - Accent5 11 2 4" xfId="9502" xr:uid="{00000000-0005-0000-0000-000084200000}"/>
    <cellStyle name="40% - Accent5 11 2 5" xfId="9503" xr:uid="{00000000-0005-0000-0000-000085200000}"/>
    <cellStyle name="40% - Accent5 11 2 6" xfId="9504" xr:uid="{00000000-0005-0000-0000-000086200000}"/>
    <cellStyle name="40% - Accent5 11 3" xfId="9505" xr:uid="{00000000-0005-0000-0000-000087200000}"/>
    <cellStyle name="40% - Accent5 11 3 2" xfId="9506" xr:uid="{00000000-0005-0000-0000-000088200000}"/>
    <cellStyle name="40% - Accent5 11 3 3" xfId="9507" xr:uid="{00000000-0005-0000-0000-000089200000}"/>
    <cellStyle name="40% - Accent5 11 4" xfId="9508" xr:uid="{00000000-0005-0000-0000-00008A200000}"/>
    <cellStyle name="40% - Accent5 11 4 2" xfId="9509" xr:uid="{00000000-0005-0000-0000-00008B200000}"/>
    <cellStyle name="40% - Accent5 11 4 3" xfId="9510" xr:uid="{00000000-0005-0000-0000-00008C200000}"/>
    <cellStyle name="40% - Accent5 11 5" xfId="9511" xr:uid="{00000000-0005-0000-0000-00008D200000}"/>
    <cellStyle name="40% - Accent5 11 6" xfId="9512" xr:uid="{00000000-0005-0000-0000-00008E200000}"/>
    <cellStyle name="40% - Accent5 11 7" xfId="9513" xr:uid="{00000000-0005-0000-0000-00008F200000}"/>
    <cellStyle name="40% - Accent5 11 8" xfId="9514" xr:uid="{00000000-0005-0000-0000-000090200000}"/>
    <cellStyle name="40% - Accent5 11 9" xfId="9515" xr:uid="{00000000-0005-0000-0000-000091200000}"/>
    <cellStyle name="40% - Accent5 12" xfId="1445" xr:uid="{00000000-0005-0000-0000-000092200000}"/>
    <cellStyle name="40% - Accent5 12 2" xfId="1446" xr:uid="{00000000-0005-0000-0000-000093200000}"/>
    <cellStyle name="40% - Accent5 12 3" xfId="9516" xr:uid="{00000000-0005-0000-0000-000094200000}"/>
    <cellStyle name="40% - Accent5 12 4" xfId="9517" xr:uid="{00000000-0005-0000-0000-000095200000}"/>
    <cellStyle name="40% - Accent5 12 5" xfId="9518" xr:uid="{00000000-0005-0000-0000-000096200000}"/>
    <cellStyle name="40% - Accent5 13" xfId="1447" xr:uid="{00000000-0005-0000-0000-000097200000}"/>
    <cellStyle name="40% - Accent5 13 2" xfId="1448" xr:uid="{00000000-0005-0000-0000-000098200000}"/>
    <cellStyle name="40% - Accent5 13 3" xfId="9519" xr:uid="{00000000-0005-0000-0000-000099200000}"/>
    <cellStyle name="40% - Accent5 13 4" xfId="9520" xr:uid="{00000000-0005-0000-0000-00009A200000}"/>
    <cellStyle name="40% - Accent5 14" xfId="1449" xr:uid="{00000000-0005-0000-0000-00009B200000}"/>
    <cellStyle name="40% - Accent5 14 2" xfId="1450" xr:uid="{00000000-0005-0000-0000-00009C200000}"/>
    <cellStyle name="40% - Accent5 14 3" xfId="9521" xr:uid="{00000000-0005-0000-0000-00009D200000}"/>
    <cellStyle name="40% - Accent5 15" xfId="1451" xr:uid="{00000000-0005-0000-0000-00009E200000}"/>
    <cellStyle name="40% - Accent5 15 2" xfId="1452" xr:uid="{00000000-0005-0000-0000-00009F200000}"/>
    <cellStyle name="40% - Accent5 15 3" xfId="9522" xr:uid="{00000000-0005-0000-0000-0000A0200000}"/>
    <cellStyle name="40% - Accent5 16" xfId="1453" xr:uid="{00000000-0005-0000-0000-0000A1200000}"/>
    <cellStyle name="40% - Accent5 16 2" xfId="1454" xr:uid="{00000000-0005-0000-0000-0000A2200000}"/>
    <cellStyle name="40% - Accent5 17" xfId="1455" xr:uid="{00000000-0005-0000-0000-0000A3200000}"/>
    <cellStyle name="40% - Accent5 17 2" xfId="1456" xr:uid="{00000000-0005-0000-0000-0000A4200000}"/>
    <cellStyle name="40% - Accent5 18" xfId="1457" xr:uid="{00000000-0005-0000-0000-0000A5200000}"/>
    <cellStyle name="40% - Accent5 18 2" xfId="1458" xr:uid="{00000000-0005-0000-0000-0000A6200000}"/>
    <cellStyle name="40% - Accent5 19" xfId="1459" xr:uid="{00000000-0005-0000-0000-0000A7200000}"/>
    <cellStyle name="40% - Accent5 19 2" xfId="1460" xr:uid="{00000000-0005-0000-0000-0000A8200000}"/>
    <cellStyle name="40% - Accent5 2" xfId="1461" xr:uid="{00000000-0005-0000-0000-0000A9200000}"/>
    <cellStyle name="40% - Accent5 2 10" xfId="9523" xr:uid="{00000000-0005-0000-0000-0000AA200000}"/>
    <cellStyle name="40% - Accent5 2 11" xfId="9524" xr:uid="{00000000-0005-0000-0000-0000AB200000}"/>
    <cellStyle name="40% - Accent5 2 12" xfId="9525" xr:uid="{00000000-0005-0000-0000-0000AC200000}"/>
    <cellStyle name="40% - Accent5 2 13" xfId="9526" xr:uid="{00000000-0005-0000-0000-0000AD200000}"/>
    <cellStyle name="40% - Accent5 2 2" xfId="1462" xr:uid="{00000000-0005-0000-0000-0000AE200000}"/>
    <cellStyle name="40% - Accent5 2 2 10" xfId="9527" xr:uid="{00000000-0005-0000-0000-0000AF200000}"/>
    <cellStyle name="40% - Accent5 2 2 11" xfId="9528" xr:uid="{00000000-0005-0000-0000-0000B0200000}"/>
    <cellStyle name="40% - Accent5 2 2 12" xfId="9529" xr:uid="{00000000-0005-0000-0000-0000B1200000}"/>
    <cellStyle name="40% - Accent5 2 2 13" xfId="9530" xr:uid="{00000000-0005-0000-0000-0000B2200000}"/>
    <cellStyle name="40% - Accent5 2 2 2" xfId="1463" xr:uid="{00000000-0005-0000-0000-0000B3200000}"/>
    <cellStyle name="40% - Accent5 2 2 2 10" xfId="9531" xr:uid="{00000000-0005-0000-0000-0000B4200000}"/>
    <cellStyle name="40% - Accent5 2 2 2 2" xfId="1464" xr:uid="{00000000-0005-0000-0000-0000B5200000}"/>
    <cellStyle name="40% - Accent5 2 2 2 2 2" xfId="1465" xr:uid="{00000000-0005-0000-0000-0000B6200000}"/>
    <cellStyle name="40% - Accent5 2 2 2 2 2 2" xfId="1466" xr:uid="{00000000-0005-0000-0000-0000B7200000}"/>
    <cellStyle name="40% - Accent5 2 2 2 2 2 2 2" xfId="54042" xr:uid="{00000000-0005-0000-0000-0000B8200000}"/>
    <cellStyle name="40% - Accent5 2 2 2 2 2 3" xfId="1467" xr:uid="{00000000-0005-0000-0000-0000B9200000}"/>
    <cellStyle name="40% - Accent5 2 2 2 2 2 4" xfId="9532" xr:uid="{00000000-0005-0000-0000-0000BA200000}"/>
    <cellStyle name="40% - Accent5 2 2 2 2 2 5" xfId="9533" xr:uid="{00000000-0005-0000-0000-0000BB200000}"/>
    <cellStyle name="40% - Accent5 2 2 2 2 3" xfId="1468" xr:uid="{00000000-0005-0000-0000-0000BC200000}"/>
    <cellStyle name="40% - Accent5 2 2 2 2 3 2" xfId="9534" xr:uid="{00000000-0005-0000-0000-0000BD200000}"/>
    <cellStyle name="40% - Accent5 2 2 2 2 3 2 2" xfId="54043" xr:uid="{00000000-0005-0000-0000-0000BE200000}"/>
    <cellStyle name="40% - Accent5 2 2 2 2 3 3" xfId="9535" xr:uid="{00000000-0005-0000-0000-0000BF200000}"/>
    <cellStyle name="40% - Accent5 2 2 2 2 4" xfId="1469" xr:uid="{00000000-0005-0000-0000-0000C0200000}"/>
    <cellStyle name="40% - Accent5 2 2 2 2 4 2" xfId="54044" xr:uid="{00000000-0005-0000-0000-0000C1200000}"/>
    <cellStyle name="40% - Accent5 2 2 2 2 5" xfId="9536" xr:uid="{00000000-0005-0000-0000-0000C2200000}"/>
    <cellStyle name="40% - Accent5 2 2 2 2 6" xfId="9537" xr:uid="{00000000-0005-0000-0000-0000C3200000}"/>
    <cellStyle name="40% - Accent5 2 2 2 2 7" xfId="9538" xr:uid="{00000000-0005-0000-0000-0000C4200000}"/>
    <cellStyle name="40% - Accent5 2 2 2 2 8" xfId="9539" xr:uid="{00000000-0005-0000-0000-0000C5200000}"/>
    <cellStyle name="40% - Accent5 2 2 2 3" xfId="1470" xr:uid="{00000000-0005-0000-0000-0000C6200000}"/>
    <cellStyle name="40% - Accent5 2 2 2 3 2" xfId="1471" xr:uid="{00000000-0005-0000-0000-0000C7200000}"/>
    <cellStyle name="40% - Accent5 2 2 2 3 2 2" xfId="1472" xr:uid="{00000000-0005-0000-0000-0000C8200000}"/>
    <cellStyle name="40% - Accent5 2 2 2 3 2 3" xfId="9540" xr:uid="{00000000-0005-0000-0000-0000C9200000}"/>
    <cellStyle name="40% - Accent5 2 2 2 3 3" xfId="1473" xr:uid="{00000000-0005-0000-0000-0000CA200000}"/>
    <cellStyle name="40% - Accent5 2 2 2 3 4" xfId="9541" xr:uid="{00000000-0005-0000-0000-0000CB200000}"/>
    <cellStyle name="40% - Accent5 2 2 2 3 5" xfId="9542" xr:uid="{00000000-0005-0000-0000-0000CC200000}"/>
    <cellStyle name="40% - Accent5 2 2 2 4" xfId="1474" xr:uid="{00000000-0005-0000-0000-0000CD200000}"/>
    <cellStyle name="40% - Accent5 2 2 2 4 2" xfId="1475" xr:uid="{00000000-0005-0000-0000-0000CE200000}"/>
    <cellStyle name="40% - Accent5 2 2 2 4 2 2" xfId="54045" xr:uid="{00000000-0005-0000-0000-0000CF200000}"/>
    <cellStyle name="40% - Accent5 2 2 2 4 3" xfId="9543" xr:uid="{00000000-0005-0000-0000-0000D0200000}"/>
    <cellStyle name="40% - Accent5 2 2 2 4 4" xfId="9544" xr:uid="{00000000-0005-0000-0000-0000D1200000}"/>
    <cellStyle name="40% - Accent5 2 2 2 4 5" xfId="9545" xr:uid="{00000000-0005-0000-0000-0000D2200000}"/>
    <cellStyle name="40% - Accent5 2 2 2 5" xfId="1476" xr:uid="{00000000-0005-0000-0000-0000D3200000}"/>
    <cellStyle name="40% - Accent5 2 2 2 5 2" xfId="9546" xr:uid="{00000000-0005-0000-0000-0000D4200000}"/>
    <cellStyle name="40% - Accent5 2 2 2 5 3" xfId="9547" xr:uid="{00000000-0005-0000-0000-0000D5200000}"/>
    <cellStyle name="40% - Accent5 2 2 2 6" xfId="9548" xr:uid="{00000000-0005-0000-0000-0000D6200000}"/>
    <cellStyle name="40% - Accent5 2 2 2 7" xfId="9549" xr:uid="{00000000-0005-0000-0000-0000D7200000}"/>
    <cellStyle name="40% - Accent5 2 2 2 8" xfId="9550" xr:uid="{00000000-0005-0000-0000-0000D8200000}"/>
    <cellStyle name="40% - Accent5 2 2 2 9" xfId="9551" xr:uid="{00000000-0005-0000-0000-0000D9200000}"/>
    <cellStyle name="40% - Accent5 2 2 3" xfId="1477" xr:uid="{00000000-0005-0000-0000-0000DA200000}"/>
    <cellStyle name="40% - Accent5 2 2 3 2" xfId="1478" xr:uid="{00000000-0005-0000-0000-0000DB200000}"/>
    <cellStyle name="40% - Accent5 2 2 3 2 2" xfId="1479" xr:uid="{00000000-0005-0000-0000-0000DC200000}"/>
    <cellStyle name="40% - Accent5 2 2 3 2 2 2" xfId="54046" xr:uid="{00000000-0005-0000-0000-0000DD200000}"/>
    <cellStyle name="40% - Accent5 2 2 3 2 2 2 2" xfId="54047" xr:uid="{00000000-0005-0000-0000-0000DE200000}"/>
    <cellStyle name="40% - Accent5 2 2 3 2 2 3" xfId="54048" xr:uid="{00000000-0005-0000-0000-0000DF200000}"/>
    <cellStyle name="40% - Accent5 2 2 3 2 3" xfId="1480" xr:uid="{00000000-0005-0000-0000-0000E0200000}"/>
    <cellStyle name="40% - Accent5 2 2 3 2 3 2" xfId="54049" xr:uid="{00000000-0005-0000-0000-0000E1200000}"/>
    <cellStyle name="40% - Accent5 2 2 3 2 3 2 2" xfId="54050" xr:uid="{00000000-0005-0000-0000-0000E2200000}"/>
    <cellStyle name="40% - Accent5 2 2 3 2 3 3" xfId="54051" xr:uid="{00000000-0005-0000-0000-0000E3200000}"/>
    <cellStyle name="40% - Accent5 2 2 3 2 4" xfId="9552" xr:uid="{00000000-0005-0000-0000-0000E4200000}"/>
    <cellStyle name="40% - Accent5 2 2 3 2 4 2" xfId="54052" xr:uid="{00000000-0005-0000-0000-0000E5200000}"/>
    <cellStyle name="40% - Accent5 2 2 3 2 5" xfId="9553" xr:uid="{00000000-0005-0000-0000-0000E6200000}"/>
    <cellStyle name="40% - Accent5 2 2 3 3" xfId="1481" xr:uid="{00000000-0005-0000-0000-0000E7200000}"/>
    <cellStyle name="40% - Accent5 2 2 3 3 2" xfId="9554" xr:uid="{00000000-0005-0000-0000-0000E8200000}"/>
    <cellStyle name="40% - Accent5 2 2 3 3 2 2" xfId="54053" xr:uid="{00000000-0005-0000-0000-0000E9200000}"/>
    <cellStyle name="40% - Accent5 2 2 3 3 3" xfId="9555" xr:uid="{00000000-0005-0000-0000-0000EA200000}"/>
    <cellStyle name="40% - Accent5 2 2 3 4" xfId="1482" xr:uid="{00000000-0005-0000-0000-0000EB200000}"/>
    <cellStyle name="40% - Accent5 2 2 3 4 2" xfId="54054" xr:uid="{00000000-0005-0000-0000-0000EC200000}"/>
    <cellStyle name="40% - Accent5 2 2 3 4 2 2" xfId="54055" xr:uid="{00000000-0005-0000-0000-0000ED200000}"/>
    <cellStyle name="40% - Accent5 2 2 3 4 3" xfId="54056" xr:uid="{00000000-0005-0000-0000-0000EE200000}"/>
    <cellStyle name="40% - Accent5 2 2 3 5" xfId="9556" xr:uid="{00000000-0005-0000-0000-0000EF200000}"/>
    <cellStyle name="40% - Accent5 2 2 3 5 2" xfId="54057" xr:uid="{00000000-0005-0000-0000-0000F0200000}"/>
    <cellStyle name="40% - Accent5 2 2 3 6" xfId="9557" xr:uid="{00000000-0005-0000-0000-0000F1200000}"/>
    <cellStyle name="40% - Accent5 2 2 3 7" xfId="9558" xr:uid="{00000000-0005-0000-0000-0000F2200000}"/>
    <cellStyle name="40% - Accent5 2 2 3 8" xfId="9559" xr:uid="{00000000-0005-0000-0000-0000F3200000}"/>
    <cellStyle name="40% - Accent5 2 2 4" xfId="1483" xr:uid="{00000000-0005-0000-0000-0000F4200000}"/>
    <cellStyle name="40% - Accent5 2 2 4 2" xfId="1484" xr:uid="{00000000-0005-0000-0000-0000F5200000}"/>
    <cellStyle name="40% - Accent5 2 2 4 2 2" xfId="1485" xr:uid="{00000000-0005-0000-0000-0000F6200000}"/>
    <cellStyle name="40% - Accent5 2 2 4 2 2 2" xfId="54058" xr:uid="{00000000-0005-0000-0000-0000F7200000}"/>
    <cellStyle name="40% - Accent5 2 2 4 2 3" xfId="9560" xr:uid="{00000000-0005-0000-0000-0000F8200000}"/>
    <cellStyle name="40% - Accent5 2 2 4 3" xfId="1486" xr:uid="{00000000-0005-0000-0000-0000F9200000}"/>
    <cellStyle name="40% - Accent5 2 2 4 3 2" xfId="54059" xr:uid="{00000000-0005-0000-0000-0000FA200000}"/>
    <cellStyle name="40% - Accent5 2 2 4 3 2 2" xfId="54060" xr:uid="{00000000-0005-0000-0000-0000FB200000}"/>
    <cellStyle name="40% - Accent5 2 2 4 3 3" xfId="54061" xr:uid="{00000000-0005-0000-0000-0000FC200000}"/>
    <cellStyle name="40% - Accent5 2 2 4 4" xfId="9561" xr:uid="{00000000-0005-0000-0000-0000FD200000}"/>
    <cellStyle name="40% - Accent5 2 2 4 4 2" xfId="54062" xr:uid="{00000000-0005-0000-0000-0000FE200000}"/>
    <cellStyle name="40% - Accent5 2 2 4 5" xfId="9562" xr:uid="{00000000-0005-0000-0000-0000FF200000}"/>
    <cellStyle name="40% - Accent5 2 2 5" xfId="1487" xr:uid="{00000000-0005-0000-0000-000000210000}"/>
    <cellStyle name="40% - Accent5 2 2 5 2" xfId="1488" xr:uid="{00000000-0005-0000-0000-000001210000}"/>
    <cellStyle name="40% - Accent5 2 2 5 2 2" xfId="54063" xr:uid="{00000000-0005-0000-0000-000002210000}"/>
    <cellStyle name="40% - Accent5 2 2 5 3" xfId="9563" xr:uid="{00000000-0005-0000-0000-000003210000}"/>
    <cellStyle name="40% - Accent5 2 2 5 4" xfId="9564" xr:uid="{00000000-0005-0000-0000-000004210000}"/>
    <cellStyle name="40% - Accent5 2 2 5 5" xfId="9565" xr:uid="{00000000-0005-0000-0000-000005210000}"/>
    <cellStyle name="40% - Accent5 2 2 6" xfId="1489" xr:uid="{00000000-0005-0000-0000-000006210000}"/>
    <cellStyle name="40% - Accent5 2 2 6 2" xfId="9566" xr:uid="{00000000-0005-0000-0000-000007210000}"/>
    <cellStyle name="40% - Accent5 2 2 6 2 2" xfId="54064" xr:uid="{00000000-0005-0000-0000-000008210000}"/>
    <cellStyle name="40% - Accent5 2 2 6 3" xfId="9567" xr:uid="{00000000-0005-0000-0000-000009210000}"/>
    <cellStyle name="40% - Accent5 2 2 7" xfId="9568" xr:uid="{00000000-0005-0000-0000-00000A210000}"/>
    <cellStyle name="40% - Accent5 2 2 7 2" xfId="54065" xr:uid="{00000000-0005-0000-0000-00000B210000}"/>
    <cellStyle name="40% - Accent5 2 2 8" xfId="9569" xr:uid="{00000000-0005-0000-0000-00000C210000}"/>
    <cellStyle name="40% - Accent5 2 2 9" xfId="9570" xr:uid="{00000000-0005-0000-0000-00000D210000}"/>
    <cellStyle name="40% - Accent5 2 3" xfId="1490" xr:uid="{00000000-0005-0000-0000-00000E210000}"/>
    <cellStyle name="40% - Accent5 2 3 10" xfId="9571" xr:uid="{00000000-0005-0000-0000-00000F210000}"/>
    <cellStyle name="40% - Accent5 2 3 2" xfId="1491" xr:uid="{00000000-0005-0000-0000-000010210000}"/>
    <cellStyle name="40% - Accent5 2 3 2 2" xfId="1492" xr:uid="{00000000-0005-0000-0000-000011210000}"/>
    <cellStyle name="40% - Accent5 2 3 2 2 2" xfId="1493" xr:uid="{00000000-0005-0000-0000-000012210000}"/>
    <cellStyle name="40% - Accent5 2 3 2 2 2 2" xfId="54066" xr:uid="{00000000-0005-0000-0000-000013210000}"/>
    <cellStyle name="40% - Accent5 2 3 2 2 3" xfId="1494" xr:uid="{00000000-0005-0000-0000-000014210000}"/>
    <cellStyle name="40% - Accent5 2 3 2 2 4" xfId="9572" xr:uid="{00000000-0005-0000-0000-000015210000}"/>
    <cellStyle name="40% - Accent5 2 3 2 2 5" xfId="9573" xr:uid="{00000000-0005-0000-0000-000016210000}"/>
    <cellStyle name="40% - Accent5 2 3 2 3" xfId="1495" xr:uid="{00000000-0005-0000-0000-000017210000}"/>
    <cellStyle name="40% - Accent5 2 3 2 3 2" xfId="9574" xr:uid="{00000000-0005-0000-0000-000018210000}"/>
    <cellStyle name="40% - Accent5 2 3 2 3 2 2" xfId="54067" xr:uid="{00000000-0005-0000-0000-000019210000}"/>
    <cellStyle name="40% - Accent5 2 3 2 3 3" xfId="9575" xr:uid="{00000000-0005-0000-0000-00001A210000}"/>
    <cellStyle name="40% - Accent5 2 3 2 4" xfId="1496" xr:uid="{00000000-0005-0000-0000-00001B210000}"/>
    <cellStyle name="40% - Accent5 2 3 2 4 2" xfId="54068" xr:uid="{00000000-0005-0000-0000-00001C210000}"/>
    <cellStyle name="40% - Accent5 2 3 2 5" xfId="9576" xr:uid="{00000000-0005-0000-0000-00001D210000}"/>
    <cellStyle name="40% - Accent5 2 3 2 6" xfId="9577" xr:uid="{00000000-0005-0000-0000-00001E210000}"/>
    <cellStyle name="40% - Accent5 2 3 2 7" xfId="9578" xr:uid="{00000000-0005-0000-0000-00001F210000}"/>
    <cellStyle name="40% - Accent5 2 3 2 8" xfId="9579" xr:uid="{00000000-0005-0000-0000-000020210000}"/>
    <cellStyle name="40% - Accent5 2 3 3" xfId="1497" xr:uid="{00000000-0005-0000-0000-000021210000}"/>
    <cellStyle name="40% - Accent5 2 3 3 2" xfId="1498" xr:uid="{00000000-0005-0000-0000-000022210000}"/>
    <cellStyle name="40% - Accent5 2 3 3 2 2" xfId="1499" xr:uid="{00000000-0005-0000-0000-000023210000}"/>
    <cellStyle name="40% - Accent5 2 3 3 2 3" xfId="9580" xr:uid="{00000000-0005-0000-0000-000024210000}"/>
    <cellStyle name="40% - Accent5 2 3 3 3" xfId="1500" xr:uid="{00000000-0005-0000-0000-000025210000}"/>
    <cellStyle name="40% - Accent5 2 3 3 4" xfId="9581" xr:uid="{00000000-0005-0000-0000-000026210000}"/>
    <cellStyle name="40% - Accent5 2 3 3 5" xfId="9582" xr:uid="{00000000-0005-0000-0000-000027210000}"/>
    <cellStyle name="40% - Accent5 2 3 4" xfId="1501" xr:uid="{00000000-0005-0000-0000-000028210000}"/>
    <cellStyle name="40% - Accent5 2 3 4 2" xfId="1502" xr:uid="{00000000-0005-0000-0000-000029210000}"/>
    <cellStyle name="40% - Accent5 2 3 4 2 2" xfId="54069" xr:uid="{00000000-0005-0000-0000-00002A210000}"/>
    <cellStyle name="40% - Accent5 2 3 4 3" xfId="9583" xr:uid="{00000000-0005-0000-0000-00002B210000}"/>
    <cellStyle name="40% - Accent5 2 3 4 4" xfId="9584" xr:uid="{00000000-0005-0000-0000-00002C210000}"/>
    <cellStyle name="40% - Accent5 2 3 4 5" xfId="9585" xr:uid="{00000000-0005-0000-0000-00002D210000}"/>
    <cellStyle name="40% - Accent5 2 3 5" xfId="1503" xr:uid="{00000000-0005-0000-0000-00002E210000}"/>
    <cellStyle name="40% - Accent5 2 3 5 2" xfId="9586" xr:uid="{00000000-0005-0000-0000-00002F210000}"/>
    <cellStyle name="40% - Accent5 2 3 5 3" xfId="9587" xr:uid="{00000000-0005-0000-0000-000030210000}"/>
    <cellStyle name="40% - Accent5 2 3 6" xfId="9588" xr:uid="{00000000-0005-0000-0000-000031210000}"/>
    <cellStyle name="40% - Accent5 2 3 7" xfId="9589" xr:uid="{00000000-0005-0000-0000-000032210000}"/>
    <cellStyle name="40% - Accent5 2 3 8" xfId="9590" xr:uid="{00000000-0005-0000-0000-000033210000}"/>
    <cellStyle name="40% - Accent5 2 3 9" xfId="9591" xr:uid="{00000000-0005-0000-0000-000034210000}"/>
    <cellStyle name="40% - Accent5 2 4" xfId="1504" xr:uid="{00000000-0005-0000-0000-000035210000}"/>
    <cellStyle name="40% - Accent5 2 4 2" xfId="1505" xr:uid="{00000000-0005-0000-0000-000036210000}"/>
    <cellStyle name="40% - Accent5 2 4 2 2" xfId="1506" xr:uid="{00000000-0005-0000-0000-000037210000}"/>
    <cellStyle name="40% - Accent5 2 4 2 2 2" xfId="54070" xr:uid="{00000000-0005-0000-0000-000038210000}"/>
    <cellStyle name="40% - Accent5 2 4 2 2 2 2" xfId="54071" xr:uid="{00000000-0005-0000-0000-000039210000}"/>
    <cellStyle name="40% - Accent5 2 4 2 2 3" xfId="54072" xr:uid="{00000000-0005-0000-0000-00003A210000}"/>
    <cellStyle name="40% - Accent5 2 4 2 3" xfId="1507" xr:uid="{00000000-0005-0000-0000-00003B210000}"/>
    <cellStyle name="40% - Accent5 2 4 2 3 2" xfId="54073" xr:uid="{00000000-0005-0000-0000-00003C210000}"/>
    <cellStyle name="40% - Accent5 2 4 2 3 2 2" xfId="54074" xr:uid="{00000000-0005-0000-0000-00003D210000}"/>
    <cellStyle name="40% - Accent5 2 4 2 3 3" xfId="54075" xr:uid="{00000000-0005-0000-0000-00003E210000}"/>
    <cellStyle name="40% - Accent5 2 4 2 4" xfId="9592" xr:uid="{00000000-0005-0000-0000-00003F210000}"/>
    <cellStyle name="40% - Accent5 2 4 2 4 2" xfId="54076" xr:uid="{00000000-0005-0000-0000-000040210000}"/>
    <cellStyle name="40% - Accent5 2 4 2 5" xfId="9593" xr:uid="{00000000-0005-0000-0000-000041210000}"/>
    <cellStyle name="40% - Accent5 2 4 3" xfId="1508" xr:uid="{00000000-0005-0000-0000-000042210000}"/>
    <cellStyle name="40% - Accent5 2 4 3 2" xfId="9594" xr:uid="{00000000-0005-0000-0000-000043210000}"/>
    <cellStyle name="40% - Accent5 2 4 3 2 2" xfId="54077" xr:uid="{00000000-0005-0000-0000-000044210000}"/>
    <cellStyle name="40% - Accent5 2 4 3 3" xfId="9595" xr:uid="{00000000-0005-0000-0000-000045210000}"/>
    <cellStyle name="40% - Accent5 2 4 4" xfId="1509" xr:uid="{00000000-0005-0000-0000-000046210000}"/>
    <cellStyle name="40% - Accent5 2 4 4 2" xfId="54078" xr:uid="{00000000-0005-0000-0000-000047210000}"/>
    <cellStyle name="40% - Accent5 2 4 4 2 2" xfId="54079" xr:uid="{00000000-0005-0000-0000-000048210000}"/>
    <cellStyle name="40% - Accent5 2 4 4 3" xfId="54080" xr:uid="{00000000-0005-0000-0000-000049210000}"/>
    <cellStyle name="40% - Accent5 2 4 5" xfId="9596" xr:uid="{00000000-0005-0000-0000-00004A210000}"/>
    <cellStyle name="40% - Accent5 2 4 5 2" xfId="54081" xr:uid="{00000000-0005-0000-0000-00004B210000}"/>
    <cellStyle name="40% - Accent5 2 4 6" xfId="9597" xr:uid="{00000000-0005-0000-0000-00004C210000}"/>
    <cellStyle name="40% - Accent5 2 4 7" xfId="9598" xr:uid="{00000000-0005-0000-0000-00004D210000}"/>
    <cellStyle name="40% - Accent5 2 4 8" xfId="9599" xr:uid="{00000000-0005-0000-0000-00004E210000}"/>
    <cellStyle name="40% - Accent5 2 5" xfId="1510" xr:uid="{00000000-0005-0000-0000-00004F210000}"/>
    <cellStyle name="40% - Accent5 2 5 2" xfId="1511" xr:uid="{00000000-0005-0000-0000-000050210000}"/>
    <cellStyle name="40% - Accent5 2 5 2 2" xfId="1512" xr:uid="{00000000-0005-0000-0000-000051210000}"/>
    <cellStyle name="40% - Accent5 2 5 2 2 2" xfId="54082" xr:uid="{00000000-0005-0000-0000-000052210000}"/>
    <cellStyle name="40% - Accent5 2 5 2 3" xfId="9600" xr:uid="{00000000-0005-0000-0000-000053210000}"/>
    <cellStyle name="40% - Accent5 2 5 3" xfId="1513" xr:uid="{00000000-0005-0000-0000-000054210000}"/>
    <cellStyle name="40% - Accent5 2 5 3 2" xfId="54083" xr:uid="{00000000-0005-0000-0000-000055210000}"/>
    <cellStyle name="40% - Accent5 2 5 3 2 2" xfId="54084" xr:uid="{00000000-0005-0000-0000-000056210000}"/>
    <cellStyle name="40% - Accent5 2 5 3 3" xfId="54085" xr:uid="{00000000-0005-0000-0000-000057210000}"/>
    <cellStyle name="40% - Accent5 2 5 4" xfId="9601" xr:uid="{00000000-0005-0000-0000-000058210000}"/>
    <cellStyle name="40% - Accent5 2 5 4 2" xfId="54086" xr:uid="{00000000-0005-0000-0000-000059210000}"/>
    <cellStyle name="40% - Accent5 2 5 5" xfId="9602" xr:uid="{00000000-0005-0000-0000-00005A210000}"/>
    <cellStyle name="40% - Accent5 2 6" xfId="1514" xr:uid="{00000000-0005-0000-0000-00005B210000}"/>
    <cellStyle name="40% - Accent5 2 6 2" xfId="1515" xr:uid="{00000000-0005-0000-0000-00005C210000}"/>
    <cellStyle name="40% - Accent5 2 6 2 2" xfId="54087" xr:uid="{00000000-0005-0000-0000-00005D210000}"/>
    <cellStyle name="40% - Accent5 2 6 3" xfId="9603" xr:uid="{00000000-0005-0000-0000-00005E210000}"/>
    <cellStyle name="40% - Accent5 2 6 4" xfId="9604" xr:uid="{00000000-0005-0000-0000-00005F210000}"/>
    <cellStyle name="40% - Accent5 2 6 5" xfId="9605" xr:uid="{00000000-0005-0000-0000-000060210000}"/>
    <cellStyle name="40% - Accent5 2 7" xfId="1516" xr:uid="{00000000-0005-0000-0000-000061210000}"/>
    <cellStyle name="40% - Accent5 2 7 2" xfId="9606" xr:uid="{00000000-0005-0000-0000-000062210000}"/>
    <cellStyle name="40% - Accent5 2 7 2 2" xfId="54088" xr:uid="{00000000-0005-0000-0000-000063210000}"/>
    <cellStyle name="40% - Accent5 2 7 3" xfId="9607" xr:uid="{00000000-0005-0000-0000-000064210000}"/>
    <cellStyle name="40% - Accent5 2 8" xfId="9608" xr:uid="{00000000-0005-0000-0000-000065210000}"/>
    <cellStyle name="40% - Accent5 2 8 2" xfId="54089" xr:uid="{00000000-0005-0000-0000-000066210000}"/>
    <cellStyle name="40% - Accent5 2 9" xfId="9609" xr:uid="{00000000-0005-0000-0000-000067210000}"/>
    <cellStyle name="40% - Accent5 20" xfId="1517" xr:uid="{00000000-0005-0000-0000-000068210000}"/>
    <cellStyle name="40% - Accent5 20 2" xfId="1518" xr:uid="{00000000-0005-0000-0000-000069210000}"/>
    <cellStyle name="40% - Accent5 21" xfId="1519" xr:uid="{00000000-0005-0000-0000-00006A210000}"/>
    <cellStyle name="40% - Accent5 21 2" xfId="1520" xr:uid="{00000000-0005-0000-0000-00006B210000}"/>
    <cellStyle name="40% - Accent5 22" xfId="1521" xr:uid="{00000000-0005-0000-0000-00006C210000}"/>
    <cellStyle name="40% - Accent5 22 2" xfId="1522" xr:uid="{00000000-0005-0000-0000-00006D210000}"/>
    <cellStyle name="40% - Accent5 23" xfId="1523" xr:uid="{00000000-0005-0000-0000-00006E210000}"/>
    <cellStyle name="40% - Accent5 23 2" xfId="1524" xr:uid="{00000000-0005-0000-0000-00006F210000}"/>
    <cellStyle name="40% - Accent5 24" xfId="1525" xr:uid="{00000000-0005-0000-0000-000070210000}"/>
    <cellStyle name="40% - Accent5 24 2" xfId="1526" xr:uid="{00000000-0005-0000-0000-000071210000}"/>
    <cellStyle name="40% - Accent5 25" xfId="1527" xr:uid="{00000000-0005-0000-0000-000072210000}"/>
    <cellStyle name="40% - Accent5 25 2" xfId="1528" xr:uid="{00000000-0005-0000-0000-000073210000}"/>
    <cellStyle name="40% - Accent5 26" xfId="1529" xr:uid="{00000000-0005-0000-0000-000074210000}"/>
    <cellStyle name="40% - Accent5 26 2" xfId="1530" xr:uid="{00000000-0005-0000-0000-000075210000}"/>
    <cellStyle name="40% - Accent5 27" xfId="1531" xr:uid="{00000000-0005-0000-0000-000076210000}"/>
    <cellStyle name="40% - Accent5 27 2" xfId="1532" xr:uid="{00000000-0005-0000-0000-000077210000}"/>
    <cellStyle name="40% - Accent5 28" xfId="1533" xr:uid="{00000000-0005-0000-0000-000078210000}"/>
    <cellStyle name="40% - Accent5 28 2" xfId="1534" xr:uid="{00000000-0005-0000-0000-000079210000}"/>
    <cellStyle name="40% - Accent5 29" xfId="1535" xr:uid="{00000000-0005-0000-0000-00007A210000}"/>
    <cellStyle name="40% - Accent5 29 2" xfId="1536" xr:uid="{00000000-0005-0000-0000-00007B210000}"/>
    <cellStyle name="40% - Accent5 3" xfId="1537" xr:uid="{00000000-0005-0000-0000-00007C210000}"/>
    <cellStyle name="40% - Accent5 3 10" xfId="9610" xr:uid="{00000000-0005-0000-0000-00007D210000}"/>
    <cellStyle name="40% - Accent5 3 11" xfId="9611" xr:uid="{00000000-0005-0000-0000-00007E210000}"/>
    <cellStyle name="40% - Accent5 3 12" xfId="9612" xr:uid="{00000000-0005-0000-0000-00007F210000}"/>
    <cellStyle name="40% - Accent5 3 13" xfId="9613" xr:uid="{00000000-0005-0000-0000-000080210000}"/>
    <cellStyle name="40% - Accent5 3 2" xfId="1538" xr:uid="{00000000-0005-0000-0000-000081210000}"/>
    <cellStyle name="40% - Accent5 3 2 10" xfId="9614" xr:uid="{00000000-0005-0000-0000-000082210000}"/>
    <cellStyle name="40% - Accent5 3 2 11" xfId="9615" xr:uid="{00000000-0005-0000-0000-000083210000}"/>
    <cellStyle name="40% - Accent5 3 2 2" xfId="1539" xr:uid="{00000000-0005-0000-0000-000084210000}"/>
    <cellStyle name="40% - Accent5 3 2 2 10" xfId="9616" xr:uid="{00000000-0005-0000-0000-000085210000}"/>
    <cellStyle name="40% - Accent5 3 2 2 2" xfId="9617" xr:uid="{00000000-0005-0000-0000-000086210000}"/>
    <cellStyle name="40% - Accent5 3 2 2 2 2" xfId="9618" xr:uid="{00000000-0005-0000-0000-000087210000}"/>
    <cellStyle name="40% - Accent5 3 2 2 2 2 2" xfId="9619" xr:uid="{00000000-0005-0000-0000-000088210000}"/>
    <cellStyle name="40% - Accent5 3 2 2 2 2 3" xfId="9620" xr:uid="{00000000-0005-0000-0000-000089210000}"/>
    <cellStyle name="40% - Accent5 3 2 2 2 3" xfId="9621" xr:uid="{00000000-0005-0000-0000-00008A210000}"/>
    <cellStyle name="40% - Accent5 3 2 2 2 3 2" xfId="9622" xr:uid="{00000000-0005-0000-0000-00008B210000}"/>
    <cellStyle name="40% - Accent5 3 2 2 2 3 3" xfId="9623" xr:uid="{00000000-0005-0000-0000-00008C210000}"/>
    <cellStyle name="40% - Accent5 3 2 2 2 4" xfId="9624" xr:uid="{00000000-0005-0000-0000-00008D210000}"/>
    <cellStyle name="40% - Accent5 3 2 2 2 5" xfId="9625" xr:uid="{00000000-0005-0000-0000-00008E210000}"/>
    <cellStyle name="40% - Accent5 3 2 2 2 6" xfId="9626" xr:uid="{00000000-0005-0000-0000-00008F210000}"/>
    <cellStyle name="40% - Accent5 3 2 2 3" xfId="9627" xr:uid="{00000000-0005-0000-0000-000090210000}"/>
    <cellStyle name="40% - Accent5 3 2 2 3 2" xfId="9628" xr:uid="{00000000-0005-0000-0000-000091210000}"/>
    <cellStyle name="40% - Accent5 3 2 2 3 2 2" xfId="54090" xr:uid="{00000000-0005-0000-0000-000092210000}"/>
    <cellStyle name="40% - Accent5 3 2 2 3 3" xfId="9629" xr:uid="{00000000-0005-0000-0000-000093210000}"/>
    <cellStyle name="40% - Accent5 3 2 2 4" xfId="9630" xr:uid="{00000000-0005-0000-0000-000094210000}"/>
    <cellStyle name="40% - Accent5 3 2 2 4 2" xfId="9631" xr:uid="{00000000-0005-0000-0000-000095210000}"/>
    <cellStyle name="40% - Accent5 3 2 2 4 3" xfId="9632" xr:uid="{00000000-0005-0000-0000-000096210000}"/>
    <cellStyle name="40% - Accent5 3 2 2 5" xfId="9633" xr:uid="{00000000-0005-0000-0000-000097210000}"/>
    <cellStyle name="40% - Accent5 3 2 2 6" xfId="9634" xr:uid="{00000000-0005-0000-0000-000098210000}"/>
    <cellStyle name="40% - Accent5 3 2 2 7" xfId="9635" xr:uid="{00000000-0005-0000-0000-000099210000}"/>
    <cellStyle name="40% - Accent5 3 2 2 8" xfId="9636" xr:uid="{00000000-0005-0000-0000-00009A210000}"/>
    <cellStyle name="40% - Accent5 3 2 2 9" xfId="9637" xr:uid="{00000000-0005-0000-0000-00009B210000}"/>
    <cellStyle name="40% - Accent5 3 2 3" xfId="9638" xr:uid="{00000000-0005-0000-0000-00009C210000}"/>
    <cellStyle name="40% - Accent5 3 2 3 2" xfId="9639" xr:uid="{00000000-0005-0000-0000-00009D210000}"/>
    <cellStyle name="40% - Accent5 3 2 3 2 2" xfId="9640" xr:uid="{00000000-0005-0000-0000-00009E210000}"/>
    <cellStyle name="40% - Accent5 3 2 3 2 3" xfId="9641" xr:uid="{00000000-0005-0000-0000-00009F210000}"/>
    <cellStyle name="40% - Accent5 3 2 3 3" xfId="9642" xr:uid="{00000000-0005-0000-0000-0000A0210000}"/>
    <cellStyle name="40% - Accent5 3 2 3 3 2" xfId="9643" xr:uid="{00000000-0005-0000-0000-0000A1210000}"/>
    <cellStyle name="40% - Accent5 3 2 3 3 3" xfId="9644" xr:uid="{00000000-0005-0000-0000-0000A2210000}"/>
    <cellStyle name="40% - Accent5 3 2 3 4" xfId="9645" xr:uid="{00000000-0005-0000-0000-0000A3210000}"/>
    <cellStyle name="40% - Accent5 3 2 3 5" xfId="9646" xr:uid="{00000000-0005-0000-0000-0000A4210000}"/>
    <cellStyle name="40% - Accent5 3 2 3 6" xfId="9647" xr:uid="{00000000-0005-0000-0000-0000A5210000}"/>
    <cellStyle name="40% - Accent5 3 2 4" xfId="9648" xr:uid="{00000000-0005-0000-0000-0000A6210000}"/>
    <cellStyle name="40% - Accent5 3 2 4 2" xfId="9649" xr:uid="{00000000-0005-0000-0000-0000A7210000}"/>
    <cellStyle name="40% - Accent5 3 2 4 2 2" xfId="54091" xr:uid="{00000000-0005-0000-0000-0000A8210000}"/>
    <cellStyle name="40% - Accent5 3 2 4 3" xfId="9650" xr:uid="{00000000-0005-0000-0000-0000A9210000}"/>
    <cellStyle name="40% - Accent5 3 2 5" xfId="9651" xr:uid="{00000000-0005-0000-0000-0000AA210000}"/>
    <cellStyle name="40% - Accent5 3 2 5 2" xfId="9652" xr:uid="{00000000-0005-0000-0000-0000AB210000}"/>
    <cellStyle name="40% - Accent5 3 2 5 3" xfId="9653" xr:uid="{00000000-0005-0000-0000-0000AC210000}"/>
    <cellStyle name="40% - Accent5 3 2 6" xfId="9654" xr:uid="{00000000-0005-0000-0000-0000AD210000}"/>
    <cellStyle name="40% - Accent5 3 2 7" xfId="9655" xr:uid="{00000000-0005-0000-0000-0000AE210000}"/>
    <cellStyle name="40% - Accent5 3 2 8" xfId="9656" xr:uid="{00000000-0005-0000-0000-0000AF210000}"/>
    <cellStyle name="40% - Accent5 3 2 9" xfId="9657" xr:uid="{00000000-0005-0000-0000-0000B0210000}"/>
    <cellStyle name="40% - Accent5 3 3" xfId="1540" xr:uid="{00000000-0005-0000-0000-0000B1210000}"/>
    <cellStyle name="40% - Accent5 3 3 10" xfId="9658" xr:uid="{00000000-0005-0000-0000-0000B2210000}"/>
    <cellStyle name="40% - Accent5 3 3 2" xfId="9659" xr:uid="{00000000-0005-0000-0000-0000B3210000}"/>
    <cellStyle name="40% - Accent5 3 3 2 2" xfId="9660" xr:uid="{00000000-0005-0000-0000-0000B4210000}"/>
    <cellStyle name="40% - Accent5 3 3 2 2 2" xfId="9661" xr:uid="{00000000-0005-0000-0000-0000B5210000}"/>
    <cellStyle name="40% - Accent5 3 3 2 2 2 2" xfId="54092" xr:uid="{00000000-0005-0000-0000-0000B6210000}"/>
    <cellStyle name="40% - Accent5 3 3 2 2 3" xfId="9662" xr:uid="{00000000-0005-0000-0000-0000B7210000}"/>
    <cellStyle name="40% - Accent5 3 3 2 3" xfId="9663" xr:uid="{00000000-0005-0000-0000-0000B8210000}"/>
    <cellStyle name="40% - Accent5 3 3 2 3 2" xfId="9664" xr:uid="{00000000-0005-0000-0000-0000B9210000}"/>
    <cellStyle name="40% - Accent5 3 3 2 3 2 2" xfId="54093" xr:uid="{00000000-0005-0000-0000-0000BA210000}"/>
    <cellStyle name="40% - Accent5 3 3 2 3 3" xfId="9665" xr:uid="{00000000-0005-0000-0000-0000BB210000}"/>
    <cellStyle name="40% - Accent5 3 3 2 4" xfId="9666" xr:uid="{00000000-0005-0000-0000-0000BC210000}"/>
    <cellStyle name="40% - Accent5 3 3 2 4 2" xfId="54094" xr:uid="{00000000-0005-0000-0000-0000BD210000}"/>
    <cellStyle name="40% - Accent5 3 3 2 5" xfId="9667" xr:uid="{00000000-0005-0000-0000-0000BE210000}"/>
    <cellStyle name="40% - Accent5 3 3 2 6" xfId="9668" xr:uid="{00000000-0005-0000-0000-0000BF210000}"/>
    <cellStyle name="40% - Accent5 3 3 3" xfId="9669" xr:uid="{00000000-0005-0000-0000-0000C0210000}"/>
    <cellStyle name="40% - Accent5 3 3 3 2" xfId="9670" xr:uid="{00000000-0005-0000-0000-0000C1210000}"/>
    <cellStyle name="40% - Accent5 3 3 3 2 2" xfId="54095" xr:uid="{00000000-0005-0000-0000-0000C2210000}"/>
    <cellStyle name="40% - Accent5 3 3 3 3" xfId="9671" xr:uid="{00000000-0005-0000-0000-0000C3210000}"/>
    <cellStyle name="40% - Accent5 3 3 4" xfId="9672" xr:uid="{00000000-0005-0000-0000-0000C4210000}"/>
    <cellStyle name="40% - Accent5 3 3 4 2" xfId="9673" xr:uid="{00000000-0005-0000-0000-0000C5210000}"/>
    <cellStyle name="40% - Accent5 3 3 4 2 2" xfId="54096" xr:uid="{00000000-0005-0000-0000-0000C6210000}"/>
    <cellStyle name="40% - Accent5 3 3 4 3" xfId="9674" xr:uid="{00000000-0005-0000-0000-0000C7210000}"/>
    <cellStyle name="40% - Accent5 3 3 5" xfId="9675" xr:uid="{00000000-0005-0000-0000-0000C8210000}"/>
    <cellStyle name="40% - Accent5 3 3 5 2" xfId="54097" xr:uid="{00000000-0005-0000-0000-0000C9210000}"/>
    <cellStyle name="40% - Accent5 3 3 6" xfId="9676" xr:uid="{00000000-0005-0000-0000-0000CA210000}"/>
    <cellStyle name="40% - Accent5 3 3 7" xfId="9677" xr:uid="{00000000-0005-0000-0000-0000CB210000}"/>
    <cellStyle name="40% - Accent5 3 3 8" xfId="9678" xr:uid="{00000000-0005-0000-0000-0000CC210000}"/>
    <cellStyle name="40% - Accent5 3 3 9" xfId="9679" xr:uid="{00000000-0005-0000-0000-0000CD210000}"/>
    <cellStyle name="40% - Accent5 3 4" xfId="9680" xr:uid="{00000000-0005-0000-0000-0000CE210000}"/>
    <cellStyle name="40% - Accent5 3 4 2" xfId="9681" xr:uid="{00000000-0005-0000-0000-0000CF210000}"/>
    <cellStyle name="40% - Accent5 3 4 2 2" xfId="9682" xr:uid="{00000000-0005-0000-0000-0000D0210000}"/>
    <cellStyle name="40% - Accent5 3 4 2 2 2" xfId="54098" xr:uid="{00000000-0005-0000-0000-0000D1210000}"/>
    <cellStyle name="40% - Accent5 3 4 2 3" xfId="9683" xr:uid="{00000000-0005-0000-0000-0000D2210000}"/>
    <cellStyle name="40% - Accent5 3 4 3" xfId="9684" xr:uid="{00000000-0005-0000-0000-0000D3210000}"/>
    <cellStyle name="40% - Accent5 3 4 3 2" xfId="9685" xr:uid="{00000000-0005-0000-0000-0000D4210000}"/>
    <cellStyle name="40% - Accent5 3 4 3 2 2" xfId="54099" xr:uid="{00000000-0005-0000-0000-0000D5210000}"/>
    <cellStyle name="40% - Accent5 3 4 3 3" xfId="9686" xr:uid="{00000000-0005-0000-0000-0000D6210000}"/>
    <cellStyle name="40% - Accent5 3 4 4" xfId="9687" xr:uid="{00000000-0005-0000-0000-0000D7210000}"/>
    <cellStyle name="40% - Accent5 3 4 4 2" xfId="54100" xr:uid="{00000000-0005-0000-0000-0000D8210000}"/>
    <cellStyle name="40% - Accent5 3 4 5" xfId="9688" xr:uid="{00000000-0005-0000-0000-0000D9210000}"/>
    <cellStyle name="40% - Accent5 3 4 6" xfId="9689" xr:uid="{00000000-0005-0000-0000-0000DA210000}"/>
    <cellStyle name="40% - Accent5 3 5" xfId="9690" xr:uid="{00000000-0005-0000-0000-0000DB210000}"/>
    <cellStyle name="40% - Accent5 3 5 2" xfId="9691" xr:uid="{00000000-0005-0000-0000-0000DC210000}"/>
    <cellStyle name="40% - Accent5 3 5 2 2" xfId="54101" xr:uid="{00000000-0005-0000-0000-0000DD210000}"/>
    <cellStyle name="40% - Accent5 3 5 3" xfId="9692" xr:uid="{00000000-0005-0000-0000-0000DE210000}"/>
    <cellStyle name="40% - Accent5 3 6" xfId="9693" xr:uid="{00000000-0005-0000-0000-0000DF210000}"/>
    <cellStyle name="40% - Accent5 3 6 2" xfId="9694" xr:uid="{00000000-0005-0000-0000-0000E0210000}"/>
    <cellStyle name="40% - Accent5 3 6 2 2" xfId="54102" xr:uid="{00000000-0005-0000-0000-0000E1210000}"/>
    <cellStyle name="40% - Accent5 3 6 3" xfId="9695" xr:uid="{00000000-0005-0000-0000-0000E2210000}"/>
    <cellStyle name="40% - Accent5 3 7" xfId="9696" xr:uid="{00000000-0005-0000-0000-0000E3210000}"/>
    <cellStyle name="40% - Accent5 3 7 2" xfId="54103" xr:uid="{00000000-0005-0000-0000-0000E4210000}"/>
    <cellStyle name="40% - Accent5 3 8" xfId="9697" xr:uid="{00000000-0005-0000-0000-0000E5210000}"/>
    <cellStyle name="40% - Accent5 3 9" xfId="9698" xr:uid="{00000000-0005-0000-0000-0000E6210000}"/>
    <cellStyle name="40% - Accent5 30" xfId="1541" xr:uid="{00000000-0005-0000-0000-0000E7210000}"/>
    <cellStyle name="40% - Accent5 30 2" xfId="1542" xr:uid="{00000000-0005-0000-0000-0000E8210000}"/>
    <cellStyle name="40% - Accent5 31" xfId="1543" xr:uid="{00000000-0005-0000-0000-0000E9210000}"/>
    <cellStyle name="40% - Accent5 31 2" xfId="1544" xr:uid="{00000000-0005-0000-0000-0000EA210000}"/>
    <cellStyle name="40% - Accent5 32" xfId="1545" xr:uid="{00000000-0005-0000-0000-0000EB210000}"/>
    <cellStyle name="40% - Accent5 32 2" xfId="1546" xr:uid="{00000000-0005-0000-0000-0000EC210000}"/>
    <cellStyle name="40% - Accent5 33" xfId="1547" xr:uid="{00000000-0005-0000-0000-0000ED210000}"/>
    <cellStyle name="40% - Accent5 33 2" xfId="1548" xr:uid="{00000000-0005-0000-0000-0000EE210000}"/>
    <cellStyle name="40% - Accent5 34" xfId="1549" xr:uid="{00000000-0005-0000-0000-0000EF210000}"/>
    <cellStyle name="40% - Accent5 34 2" xfId="1550" xr:uid="{00000000-0005-0000-0000-0000F0210000}"/>
    <cellStyle name="40% - Accent5 35" xfId="1551" xr:uid="{00000000-0005-0000-0000-0000F1210000}"/>
    <cellStyle name="40% - Accent5 35 2" xfId="1552" xr:uid="{00000000-0005-0000-0000-0000F2210000}"/>
    <cellStyle name="40% - Accent5 36" xfId="1553" xr:uid="{00000000-0005-0000-0000-0000F3210000}"/>
    <cellStyle name="40% - Accent5 36 2" xfId="1554" xr:uid="{00000000-0005-0000-0000-0000F4210000}"/>
    <cellStyle name="40% - Accent5 37" xfId="1555" xr:uid="{00000000-0005-0000-0000-0000F5210000}"/>
    <cellStyle name="40% - Accent5 37 2" xfId="1556" xr:uid="{00000000-0005-0000-0000-0000F6210000}"/>
    <cellStyle name="40% - Accent5 38" xfId="1557" xr:uid="{00000000-0005-0000-0000-0000F7210000}"/>
    <cellStyle name="40% - Accent5 39" xfId="1558" xr:uid="{00000000-0005-0000-0000-0000F8210000}"/>
    <cellStyle name="40% - Accent5 4" xfId="1559" xr:uid="{00000000-0005-0000-0000-0000F9210000}"/>
    <cellStyle name="40% - Accent5 4 10" xfId="9699" xr:uid="{00000000-0005-0000-0000-0000FA210000}"/>
    <cellStyle name="40% - Accent5 4 11" xfId="9700" xr:uid="{00000000-0005-0000-0000-0000FB210000}"/>
    <cellStyle name="40% - Accent5 4 12" xfId="9701" xr:uid="{00000000-0005-0000-0000-0000FC210000}"/>
    <cellStyle name="40% - Accent5 4 13" xfId="9702" xr:uid="{00000000-0005-0000-0000-0000FD210000}"/>
    <cellStyle name="40% - Accent5 4 14" xfId="9703" xr:uid="{00000000-0005-0000-0000-0000FE210000}"/>
    <cellStyle name="40% - Accent5 4 2" xfId="1560" xr:uid="{00000000-0005-0000-0000-0000FF210000}"/>
    <cellStyle name="40% - Accent5 4 2 10" xfId="9704" xr:uid="{00000000-0005-0000-0000-000000220000}"/>
    <cellStyle name="40% - Accent5 4 2 11" xfId="9705" xr:uid="{00000000-0005-0000-0000-000001220000}"/>
    <cellStyle name="40% - Accent5 4 2 2" xfId="1561" xr:uid="{00000000-0005-0000-0000-000002220000}"/>
    <cellStyle name="40% - Accent5 4 2 2 2" xfId="9706" xr:uid="{00000000-0005-0000-0000-000003220000}"/>
    <cellStyle name="40% - Accent5 4 2 2 2 2" xfId="9707" xr:uid="{00000000-0005-0000-0000-000004220000}"/>
    <cellStyle name="40% - Accent5 4 2 2 2 2 2" xfId="9708" xr:uid="{00000000-0005-0000-0000-000005220000}"/>
    <cellStyle name="40% - Accent5 4 2 2 2 2 3" xfId="9709" xr:uid="{00000000-0005-0000-0000-000006220000}"/>
    <cellStyle name="40% - Accent5 4 2 2 2 3" xfId="9710" xr:uid="{00000000-0005-0000-0000-000007220000}"/>
    <cellStyle name="40% - Accent5 4 2 2 2 3 2" xfId="9711" xr:uid="{00000000-0005-0000-0000-000008220000}"/>
    <cellStyle name="40% - Accent5 4 2 2 2 3 3" xfId="9712" xr:uid="{00000000-0005-0000-0000-000009220000}"/>
    <cellStyle name="40% - Accent5 4 2 2 2 4" xfId="9713" xr:uid="{00000000-0005-0000-0000-00000A220000}"/>
    <cellStyle name="40% - Accent5 4 2 2 2 5" xfId="9714" xr:uid="{00000000-0005-0000-0000-00000B220000}"/>
    <cellStyle name="40% - Accent5 4 2 2 2 6" xfId="9715" xr:uid="{00000000-0005-0000-0000-00000C220000}"/>
    <cellStyle name="40% - Accent5 4 2 2 3" xfId="9716" xr:uid="{00000000-0005-0000-0000-00000D220000}"/>
    <cellStyle name="40% - Accent5 4 2 2 3 2" xfId="9717" xr:uid="{00000000-0005-0000-0000-00000E220000}"/>
    <cellStyle name="40% - Accent5 4 2 2 3 3" xfId="9718" xr:uid="{00000000-0005-0000-0000-00000F220000}"/>
    <cellStyle name="40% - Accent5 4 2 2 4" xfId="9719" xr:uid="{00000000-0005-0000-0000-000010220000}"/>
    <cellStyle name="40% - Accent5 4 2 2 4 2" xfId="9720" xr:uid="{00000000-0005-0000-0000-000011220000}"/>
    <cellStyle name="40% - Accent5 4 2 2 4 3" xfId="9721" xr:uid="{00000000-0005-0000-0000-000012220000}"/>
    <cellStyle name="40% - Accent5 4 2 2 5" xfId="9722" xr:uid="{00000000-0005-0000-0000-000013220000}"/>
    <cellStyle name="40% - Accent5 4 2 2 6" xfId="9723" xr:uid="{00000000-0005-0000-0000-000014220000}"/>
    <cellStyle name="40% - Accent5 4 2 2 7" xfId="9724" xr:uid="{00000000-0005-0000-0000-000015220000}"/>
    <cellStyle name="40% - Accent5 4 2 2 8" xfId="9725" xr:uid="{00000000-0005-0000-0000-000016220000}"/>
    <cellStyle name="40% - Accent5 4 2 3" xfId="1562" xr:uid="{00000000-0005-0000-0000-000017220000}"/>
    <cellStyle name="40% - Accent5 4 2 3 2" xfId="9726" xr:uid="{00000000-0005-0000-0000-000018220000}"/>
    <cellStyle name="40% - Accent5 4 2 3 2 2" xfId="9727" xr:uid="{00000000-0005-0000-0000-000019220000}"/>
    <cellStyle name="40% - Accent5 4 2 3 2 3" xfId="9728" xr:uid="{00000000-0005-0000-0000-00001A220000}"/>
    <cellStyle name="40% - Accent5 4 2 3 3" xfId="9729" xr:uid="{00000000-0005-0000-0000-00001B220000}"/>
    <cellStyle name="40% - Accent5 4 2 3 3 2" xfId="9730" xr:uid="{00000000-0005-0000-0000-00001C220000}"/>
    <cellStyle name="40% - Accent5 4 2 3 3 3" xfId="9731" xr:uid="{00000000-0005-0000-0000-00001D220000}"/>
    <cellStyle name="40% - Accent5 4 2 3 4" xfId="9732" xr:uid="{00000000-0005-0000-0000-00001E220000}"/>
    <cellStyle name="40% - Accent5 4 2 3 5" xfId="9733" xr:uid="{00000000-0005-0000-0000-00001F220000}"/>
    <cellStyle name="40% - Accent5 4 2 3 6" xfId="9734" xr:uid="{00000000-0005-0000-0000-000020220000}"/>
    <cellStyle name="40% - Accent5 4 2 4" xfId="9735" xr:uid="{00000000-0005-0000-0000-000021220000}"/>
    <cellStyle name="40% - Accent5 4 2 4 2" xfId="9736" xr:uid="{00000000-0005-0000-0000-000022220000}"/>
    <cellStyle name="40% - Accent5 4 2 4 3" xfId="9737" xr:uid="{00000000-0005-0000-0000-000023220000}"/>
    <cellStyle name="40% - Accent5 4 2 5" xfId="9738" xr:uid="{00000000-0005-0000-0000-000024220000}"/>
    <cellStyle name="40% - Accent5 4 2 5 2" xfId="9739" xr:uid="{00000000-0005-0000-0000-000025220000}"/>
    <cellStyle name="40% - Accent5 4 2 5 3" xfId="9740" xr:uid="{00000000-0005-0000-0000-000026220000}"/>
    <cellStyle name="40% - Accent5 4 2 6" xfId="9741" xr:uid="{00000000-0005-0000-0000-000027220000}"/>
    <cellStyle name="40% - Accent5 4 2 7" xfId="9742" xr:uid="{00000000-0005-0000-0000-000028220000}"/>
    <cellStyle name="40% - Accent5 4 2 8" xfId="9743" xr:uid="{00000000-0005-0000-0000-000029220000}"/>
    <cellStyle name="40% - Accent5 4 2 9" xfId="9744" xr:uid="{00000000-0005-0000-0000-00002A220000}"/>
    <cellStyle name="40% - Accent5 4 3" xfId="1563" xr:uid="{00000000-0005-0000-0000-00002B220000}"/>
    <cellStyle name="40% - Accent5 4 3 10" xfId="9745" xr:uid="{00000000-0005-0000-0000-00002C220000}"/>
    <cellStyle name="40% - Accent5 4 3 2" xfId="9746" xr:uid="{00000000-0005-0000-0000-00002D220000}"/>
    <cellStyle name="40% - Accent5 4 3 2 2" xfId="9747" xr:uid="{00000000-0005-0000-0000-00002E220000}"/>
    <cellStyle name="40% - Accent5 4 3 2 2 2" xfId="9748" xr:uid="{00000000-0005-0000-0000-00002F220000}"/>
    <cellStyle name="40% - Accent5 4 3 2 2 3" xfId="9749" xr:uid="{00000000-0005-0000-0000-000030220000}"/>
    <cellStyle name="40% - Accent5 4 3 2 3" xfId="9750" xr:uid="{00000000-0005-0000-0000-000031220000}"/>
    <cellStyle name="40% - Accent5 4 3 2 3 2" xfId="9751" xr:uid="{00000000-0005-0000-0000-000032220000}"/>
    <cellStyle name="40% - Accent5 4 3 2 3 3" xfId="9752" xr:uid="{00000000-0005-0000-0000-000033220000}"/>
    <cellStyle name="40% - Accent5 4 3 2 4" xfId="9753" xr:uid="{00000000-0005-0000-0000-000034220000}"/>
    <cellStyle name="40% - Accent5 4 3 2 5" xfId="9754" xr:uid="{00000000-0005-0000-0000-000035220000}"/>
    <cellStyle name="40% - Accent5 4 3 2 6" xfId="9755" xr:uid="{00000000-0005-0000-0000-000036220000}"/>
    <cellStyle name="40% - Accent5 4 3 3" xfId="9756" xr:uid="{00000000-0005-0000-0000-000037220000}"/>
    <cellStyle name="40% - Accent5 4 3 3 2" xfId="9757" xr:uid="{00000000-0005-0000-0000-000038220000}"/>
    <cellStyle name="40% - Accent5 4 3 3 3" xfId="9758" xr:uid="{00000000-0005-0000-0000-000039220000}"/>
    <cellStyle name="40% - Accent5 4 3 4" xfId="9759" xr:uid="{00000000-0005-0000-0000-00003A220000}"/>
    <cellStyle name="40% - Accent5 4 3 4 2" xfId="9760" xr:uid="{00000000-0005-0000-0000-00003B220000}"/>
    <cellStyle name="40% - Accent5 4 3 4 3" xfId="9761" xr:uid="{00000000-0005-0000-0000-00003C220000}"/>
    <cellStyle name="40% - Accent5 4 3 5" xfId="9762" xr:uid="{00000000-0005-0000-0000-00003D220000}"/>
    <cellStyle name="40% - Accent5 4 3 6" xfId="9763" xr:uid="{00000000-0005-0000-0000-00003E220000}"/>
    <cellStyle name="40% - Accent5 4 3 7" xfId="9764" xr:uid="{00000000-0005-0000-0000-00003F220000}"/>
    <cellStyle name="40% - Accent5 4 3 8" xfId="9765" xr:uid="{00000000-0005-0000-0000-000040220000}"/>
    <cellStyle name="40% - Accent5 4 3 9" xfId="9766" xr:uid="{00000000-0005-0000-0000-000041220000}"/>
    <cellStyle name="40% - Accent5 4 4" xfId="1564" xr:uid="{00000000-0005-0000-0000-000042220000}"/>
    <cellStyle name="40% - Accent5 4 4 2" xfId="9767" xr:uid="{00000000-0005-0000-0000-000043220000}"/>
    <cellStyle name="40% - Accent5 4 4 2 2" xfId="9768" xr:uid="{00000000-0005-0000-0000-000044220000}"/>
    <cellStyle name="40% - Accent5 4 4 2 3" xfId="9769" xr:uid="{00000000-0005-0000-0000-000045220000}"/>
    <cellStyle name="40% - Accent5 4 4 3" xfId="9770" xr:uid="{00000000-0005-0000-0000-000046220000}"/>
    <cellStyle name="40% - Accent5 4 4 3 2" xfId="9771" xr:uid="{00000000-0005-0000-0000-000047220000}"/>
    <cellStyle name="40% - Accent5 4 4 3 3" xfId="9772" xr:uid="{00000000-0005-0000-0000-000048220000}"/>
    <cellStyle name="40% - Accent5 4 4 4" xfId="9773" xr:uid="{00000000-0005-0000-0000-000049220000}"/>
    <cellStyle name="40% - Accent5 4 4 5" xfId="9774" xr:uid="{00000000-0005-0000-0000-00004A220000}"/>
    <cellStyle name="40% - Accent5 4 4 6" xfId="9775" xr:uid="{00000000-0005-0000-0000-00004B220000}"/>
    <cellStyle name="40% - Accent5 4 5" xfId="9776" xr:uid="{00000000-0005-0000-0000-00004C220000}"/>
    <cellStyle name="40% - Accent5 4 5 2" xfId="9777" xr:uid="{00000000-0005-0000-0000-00004D220000}"/>
    <cellStyle name="40% - Accent5 4 5 3" xfId="9778" xr:uid="{00000000-0005-0000-0000-00004E220000}"/>
    <cellStyle name="40% - Accent5 4 6" xfId="9779" xr:uid="{00000000-0005-0000-0000-00004F220000}"/>
    <cellStyle name="40% - Accent5 4 6 2" xfId="9780" xr:uid="{00000000-0005-0000-0000-000050220000}"/>
    <cellStyle name="40% - Accent5 4 6 3" xfId="9781" xr:uid="{00000000-0005-0000-0000-000051220000}"/>
    <cellStyle name="40% - Accent5 4 7" xfId="9782" xr:uid="{00000000-0005-0000-0000-000052220000}"/>
    <cellStyle name="40% - Accent5 4 8" xfId="9783" xr:uid="{00000000-0005-0000-0000-000053220000}"/>
    <cellStyle name="40% - Accent5 4 9" xfId="9784" xr:uid="{00000000-0005-0000-0000-000054220000}"/>
    <cellStyle name="40% - Accent5 40" xfId="1565" xr:uid="{00000000-0005-0000-0000-000055220000}"/>
    <cellStyle name="40% - Accent5 41" xfId="1566" xr:uid="{00000000-0005-0000-0000-000056220000}"/>
    <cellStyle name="40% - Accent5 42" xfId="1567" xr:uid="{00000000-0005-0000-0000-000057220000}"/>
    <cellStyle name="40% - Accent5 43" xfId="9785" xr:uid="{00000000-0005-0000-0000-000058220000}"/>
    <cellStyle name="40% - Accent5 44" xfId="9786" xr:uid="{00000000-0005-0000-0000-000059220000}"/>
    <cellStyle name="40% - Accent5 45" xfId="9787" xr:uid="{00000000-0005-0000-0000-00005A220000}"/>
    <cellStyle name="40% - Accent5 46" xfId="9788" xr:uid="{00000000-0005-0000-0000-00005B220000}"/>
    <cellStyle name="40% - Accent5 47" xfId="9789" xr:uid="{00000000-0005-0000-0000-00005C220000}"/>
    <cellStyle name="40% - Accent5 48" xfId="9790" xr:uid="{00000000-0005-0000-0000-00005D220000}"/>
    <cellStyle name="40% - Accent5 5" xfId="1568" xr:uid="{00000000-0005-0000-0000-00005E220000}"/>
    <cellStyle name="40% - Accent5 5 2" xfId="1569" xr:uid="{00000000-0005-0000-0000-00005F220000}"/>
    <cellStyle name="40% - Accent5 5 2 2" xfId="1570" xr:uid="{00000000-0005-0000-0000-000060220000}"/>
    <cellStyle name="40% - Accent5 5 2 2 2" xfId="54104" xr:uid="{00000000-0005-0000-0000-000061220000}"/>
    <cellStyle name="40% - Accent5 5 2 2 2 2" xfId="54105" xr:uid="{00000000-0005-0000-0000-000062220000}"/>
    <cellStyle name="40% - Accent5 5 2 2 3" xfId="54106" xr:uid="{00000000-0005-0000-0000-000063220000}"/>
    <cellStyle name="40% - Accent5 5 2 3" xfId="1571" xr:uid="{00000000-0005-0000-0000-000064220000}"/>
    <cellStyle name="40% - Accent5 5 2 3 2" xfId="54107" xr:uid="{00000000-0005-0000-0000-000065220000}"/>
    <cellStyle name="40% - Accent5 5 2 3 2 2" xfId="54108" xr:uid="{00000000-0005-0000-0000-000066220000}"/>
    <cellStyle name="40% - Accent5 5 2 3 3" xfId="54109" xr:uid="{00000000-0005-0000-0000-000067220000}"/>
    <cellStyle name="40% - Accent5 5 2 4" xfId="54110" xr:uid="{00000000-0005-0000-0000-000068220000}"/>
    <cellStyle name="40% - Accent5 5 2 4 2" xfId="54111" xr:uid="{00000000-0005-0000-0000-000069220000}"/>
    <cellStyle name="40% - Accent5 5 2 5" xfId="54112" xr:uid="{00000000-0005-0000-0000-00006A220000}"/>
    <cellStyle name="40% - Accent5 5 3" xfId="1572" xr:uid="{00000000-0005-0000-0000-00006B220000}"/>
    <cellStyle name="40% - Accent5 5 3 2" xfId="54113" xr:uid="{00000000-0005-0000-0000-00006C220000}"/>
    <cellStyle name="40% - Accent5 5 3 2 2" xfId="54114" xr:uid="{00000000-0005-0000-0000-00006D220000}"/>
    <cellStyle name="40% - Accent5 5 3 3" xfId="54115" xr:uid="{00000000-0005-0000-0000-00006E220000}"/>
    <cellStyle name="40% - Accent5 5 4" xfId="1573" xr:uid="{00000000-0005-0000-0000-00006F220000}"/>
    <cellStyle name="40% - Accent5 5 4 2" xfId="54116" xr:uid="{00000000-0005-0000-0000-000070220000}"/>
    <cellStyle name="40% - Accent5 5 4 2 2" xfId="54117" xr:uid="{00000000-0005-0000-0000-000071220000}"/>
    <cellStyle name="40% - Accent5 5 4 3" xfId="54118" xr:uid="{00000000-0005-0000-0000-000072220000}"/>
    <cellStyle name="40% - Accent5 5 5" xfId="9791" xr:uid="{00000000-0005-0000-0000-000073220000}"/>
    <cellStyle name="40% - Accent5 5 5 2" xfId="54119" xr:uid="{00000000-0005-0000-0000-000074220000}"/>
    <cellStyle name="40% - Accent5 5 6" xfId="9792" xr:uid="{00000000-0005-0000-0000-000075220000}"/>
    <cellStyle name="40% - Accent5 6" xfId="1574" xr:uid="{00000000-0005-0000-0000-000076220000}"/>
    <cellStyle name="40% - Accent5 6 10" xfId="9793" xr:uid="{00000000-0005-0000-0000-000077220000}"/>
    <cellStyle name="40% - Accent5 6 11" xfId="9794" xr:uid="{00000000-0005-0000-0000-000078220000}"/>
    <cellStyle name="40% - Accent5 6 12" xfId="9795" xr:uid="{00000000-0005-0000-0000-000079220000}"/>
    <cellStyle name="40% - Accent5 6 2" xfId="1575" xr:uid="{00000000-0005-0000-0000-00007A220000}"/>
    <cellStyle name="40% - Accent5 6 2 2" xfId="9796" xr:uid="{00000000-0005-0000-0000-00007B220000}"/>
    <cellStyle name="40% - Accent5 6 2 2 2" xfId="9797" xr:uid="{00000000-0005-0000-0000-00007C220000}"/>
    <cellStyle name="40% - Accent5 6 2 2 2 2" xfId="9798" xr:uid="{00000000-0005-0000-0000-00007D220000}"/>
    <cellStyle name="40% - Accent5 6 2 2 2 3" xfId="9799" xr:uid="{00000000-0005-0000-0000-00007E220000}"/>
    <cellStyle name="40% - Accent5 6 2 2 3" xfId="9800" xr:uid="{00000000-0005-0000-0000-00007F220000}"/>
    <cellStyle name="40% - Accent5 6 2 2 3 2" xfId="9801" xr:uid="{00000000-0005-0000-0000-000080220000}"/>
    <cellStyle name="40% - Accent5 6 2 2 3 3" xfId="9802" xr:uid="{00000000-0005-0000-0000-000081220000}"/>
    <cellStyle name="40% - Accent5 6 2 2 4" xfId="9803" xr:uid="{00000000-0005-0000-0000-000082220000}"/>
    <cellStyle name="40% - Accent5 6 2 2 5" xfId="9804" xr:uid="{00000000-0005-0000-0000-000083220000}"/>
    <cellStyle name="40% - Accent5 6 2 2 6" xfId="9805" xr:uid="{00000000-0005-0000-0000-000084220000}"/>
    <cellStyle name="40% - Accent5 6 2 3" xfId="9806" xr:uid="{00000000-0005-0000-0000-000085220000}"/>
    <cellStyle name="40% - Accent5 6 2 3 2" xfId="9807" xr:uid="{00000000-0005-0000-0000-000086220000}"/>
    <cellStyle name="40% - Accent5 6 2 3 3" xfId="9808" xr:uid="{00000000-0005-0000-0000-000087220000}"/>
    <cellStyle name="40% - Accent5 6 2 4" xfId="9809" xr:uid="{00000000-0005-0000-0000-000088220000}"/>
    <cellStyle name="40% - Accent5 6 2 4 2" xfId="9810" xr:uid="{00000000-0005-0000-0000-000089220000}"/>
    <cellStyle name="40% - Accent5 6 2 4 3" xfId="9811" xr:uid="{00000000-0005-0000-0000-00008A220000}"/>
    <cellStyle name="40% - Accent5 6 2 5" xfId="9812" xr:uid="{00000000-0005-0000-0000-00008B220000}"/>
    <cellStyle name="40% - Accent5 6 2 6" xfId="9813" xr:uid="{00000000-0005-0000-0000-00008C220000}"/>
    <cellStyle name="40% - Accent5 6 2 7" xfId="9814" xr:uid="{00000000-0005-0000-0000-00008D220000}"/>
    <cellStyle name="40% - Accent5 6 2 8" xfId="9815" xr:uid="{00000000-0005-0000-0000-00008E220000}"/>
    <cellStyle name="40% - Accent5 6 3" xfId="1576" xr:uid="{00000000-0005-0000-0000-00008F220000}"/>
    <cellStyle name="40% - Accent5 6 3 2" xfId="9816" xr:uid="{00000000-0005-0000-0000-000090220000}"/>
    <cellStyle name="40% - Accent5 6 3 2 2" xfId="9817" xr:uid="{00000000-0005-0000-0000-000091220000}"/>
    <cellStyle name="40% - Accent5 6 3 2 2 2" xfId="9818" xr:uid="{00000000-0005-0000-0000-000092220000}"/>
    <cellStyle name="40% - Accent5 6 3 2 3" xfId="9819" xr:uid="{00000000-0005-0000-0000-000093220000}"/>
    <cellStyle name="40% - Accent5 6 3 3" xfId="9820" xr:uid="{00000000-0005-0000-0000-000094220000}"/>
    <cellStyle name="40% - Accent5 6 3 3 2" xfId="9821" xr:uid="{00000000-0005-0000-0000-000095220000}"/>
    <cellStyle name="40% - Accent5 6 3 3 3" xfId="9822" xr:uid="{00000000-0005-0000-0000-000096220000}"/>
    <cellStyle name="40% - Accent5 6 3 4" xfId="9823" xr:uid="{00000000-0005-0000-0000-000097220000}"/>
    <cellStyle name="40% - Accent5 6 3 5" xfId="9824" xr:uid="{00000000-0005-0000-0000-000098220000}"/>
    <cellStyle name="40% - Accent5 6 3 6" xfId="9825" xr:uid="{00000000-0005-0000-0000-000099220000}"/>
    <cellStyle name="40% - Accent5 6 4" xfId="9826" xr:uid="{00000000-0005-0000-0000-00009A220000}"/>
    <cellStyle name="40% - Accent5 6 4 2" xfId="9827" xr:uid="{00000000-0005-0000-0000-00009B220000}"/>
    <cellStyle name="40% - Accent5 6 4 3" xfId="9828" xr:uid="{00000000-0005-0000-0000-00009C220000}"/>
    <cellStyle name="40% - Accent5 6 5" xfId="9829" xr:uid="{00000000-0005-0000-0000-00009D220000}"/>
    <cellStyle name="40% - Accent5 6 5 2" xfId="9830" xr:uid="{00000000-0005-0000-0000-00009E220000}"/>
    <cellStyle name="40% - Accent5 6 5 3" xfId="9831" xr:uid="{00000000-0005-0000-0000-00009F220000}"/>
    <cellStyle name="40% - Accent5 6 6" xfId="9832" xr:uid="{00000000-0005-0000-0000-0000A0220000}"/>
    <cellStyle name="40% - Accent5 6 7" xfId="9833" xr:uid="{00000000-0005-0000-0000-0000A1220000}"/>
    <cellStyle name="40% - Accent5 6 8" xfId="9834" xr:uid="{00000000-0005-0000-0000-0000A2220000}"/>
    <cellStyle name="40% - Accent5 6 9" xfId="9835" xr:uid="{00000000-0005-0000-0000-0000A3220000}"/>
    <cellStyle name="40% - Accent5 7" xfId="1577" xr:uid="{00000000-0005-0000-0000-0000A4220000}"/>
    <cellStyle name="40% - Accent5 7 10" xfId="9836" xr:uid="{00000000-0005-0000-0000-0000A5220000}"/>
    <cellStyle name="40% - Accent5 7 11" xfId="9837" xr:uid="{00000000-0005-0000-0000-0000A6220000}"/>
    <cellStyle name="40% - Accent5 7 2" xfId="1578" xr:uid="{00000000-0005-0000-0000-0000A7220000}"/>
    <cellStyle name="40% - Accent5 7 2 2" xfId="9838" xr:uid="{00000000-0005-0000-0000-0000A8220000}"/>
    <cellStyle name="40% - Accent5 7 2 2 2" xfId="9839" xr:uid="{00000000-0005-0000-0000-0000A9220000}"/>
    <cellStyle name="40% - Accent5 7 2 2 2 2" xfId="9840" xr:uid="{00000000-0005-0000-0000-0000AA220000}"/>
    <cellStyle name="40% - Accent5 7 2 2 2 3" xfId="9841" xr:uid="{00000000-0005-0000-0000-0000AB220000}"/>
    <cellStyle name="40% - Accent5 7 2 2 3" xfId="9842" xr:uid="{00000000-0005-0000-0000-0000AC220000}"/>
    <cellStyle name="40% - Accent5 7 2 2 3 2" xfId="9843" xr:uid="{00000000-0005-0000-0000-0000AD220000}"/>
    <cellStyle name="40% - Accent5 7 2 2 3 3" xfId="9844" xr:uid="{00000000-0005-0000-0000-0000AE220000}"/>
    <cellStyle name="40% - Accent5 7 2 2 4" xfId="9845" xr:uid="{00000000-0005-0000-0000-0000AF220000}"/>
    <cellStyle name="40% - Accent5 7 2 2 5" xfId="9846" xr:uid="{00000000-0005-0000-0000-0000B0220000}"/>
    <cellStyle name="40% - Accent5 7 2 2 6" xfId="9847" xr:uid="{00000000-0005-0000-0000-0000B1220000}"/>
    <cellStyle name="40% - Accent5 7 2 3" xfId="9848" xr:uid="{00000000-0005-0000-0000-0000B2220000}"/>
    <cellStyle name="40% - Accent5 7 2 3 2" xfId="9849" xr:uid="{00000000-0005-0000-0000-0000B3220000}"/>
    <cellStyle name="40% - Accent5 7 2 3 3" xfId="9850" xr:uid="{00000000-0005-0000-0000-0000B4220000}"/>
    <cellStyle name="40% - Accent5 7 2 4" xfId="9851" xr:uid="{00000000-0005-0000-0000-0000B5220000}"/>
    <cellStyle name="40% - Accent5 7 2 4 2" xfId="9852" xr:uid="{00000000-0005-0000-0000-0000B6220000}"/>
    <cellStyle name="40% - Accent5 7 2 4 3" xfId="9853" xr:uid="{00000000-0005-0000-0000-0000B7220000}"/>
    <cellStyle name="40% - Accent5 7 2 5" xfId="9854" xr:uid="{00000000-0005-0000-0000-0000B8220000}"/>
    <cellStyle name="40% - Accent5 7 2 6" xfId="9855" xr:uid="{00000000-0005-0000-0000-0000B9220000}"/>
    <cellStyle name="40% - Accent5 7 2 7" xfId="9856" xr:uid="{00000000-0005-0000-0000-0000BA220000}"/>
    <cellStyle name="40% - Accent5 7 2 8" xfId="9857" xr:uid="{00000000-0005-0000-0000-0000BB220000}"/>
    <cellStyle name="40% - Accent5 7 3" xfId="1579" xr:uid="{00000000-0005-0000-0000-0000BC220000}"/>
    <cellStyle name="40% - Accent5 7 3 2" xfId="9858" xr:uid="{00000000-0005-0000-0000-0000BD220000}"/>
    <cellStyle name="40% - Accent5 7 3 2 2" xfId="9859" xr:uid="{00000000-0005-0000-0000-0000BE220000}"/>
    <cellStyle name="40% - Accent5 7 3 2 2 2" xfId="9860" xr:uid="{00000000-0005-0000-0000-0000BF220000}"/>
    <cellStyle name="40% - Accent5 7 3 2 3" xfId="9861" xr:uid="{00000000-0005-0000-0000-0000C0220000}"/>
    <cellStyle name="40% - Accent5 7 3 3" xfId="9862" xr:uid="{00000000-0005-0000-0000-0000C1220000}"/>
    <cellStyle name="40% - Accent5 7 3 3 2" xfId="9863" xr:uid="{00000000-0005-0000-0000-0000C2220000}"/>
    <cellStyle name="40% - Accent5 7 3 3 3" xfId="9864" xr:uid="{00000000-0005-0000-0000-0000C3220000}"/>
    <cellStyle name="40% - Accent5 7 3 4" xfId="9865" xr:uid="{00000000-0005-0000-0000-0000C4220000}"/>
    <cellStyle name="40% - Accent5 7 3 5" xfId="9866" xr:uid="{00000000-0005-0000-0000-0000C5220000}"/>
    <cellStyle name="40% - Accent5 7 3 6" xfId="9867" xr:uid="{00000000-0005-0000-0000-0000C6220000}"/>
    <cellStyle name="40% - Accent5 7 4" xfId="9868" xr:uid="{00000000-0005-0000-0000-0000C7220000}"/>
    <cellStyle name="40% - Accent5 7 4 2" xfId="9869" xr:uid="{00000000-0005-0000-0000-0000C8220000}"/>
    <cellStyle name="40% - Accent5 7 4 3" xfId="9870" xr:uid="{00000000-0005-0000-0000-0000C9220000}"/>
    <cellStyle name="40% - Accent5 7 5" xfId="9871" xr:uid="{00000000-0005-0000-0000-0000CA220000}"/>
    <cellStyle name="40% - Accent5 7 5 2" xfId="9872" xr:uid="{00000000-0005-0000-0000-0000CB220000}"/>
    <cellStyle name="40% - Accent5 7 5 3" xfId="9873" xr:uid="{00000000-0005-0000-0000-0000CC220000}"/>
    <cellStyle name="40% - Accent5 7 6" xfId="9874" xr:uid="{00000000-0005-0000-0000-0000CD220000}"/>
    <cellStyle name="40% - Accent5 7 7" xfId="9875" xr:uid="{00000000-0005-0000-0000-0000CE220000}"/>
    <cellStyle name="40% - Accent5 7 8" xfId="9876" xr:uid="{00000000-0005-0000-0000-0000CF220000}"/>
    <cellStyle name="40% - Accent5 7 9" xfId="9877" xr:uid="{00000000-0005-0000-0000-0000D0220000}"/>
    <cellStyle name="40% - Accent5 8" xfId="1580" xr:uid="{00000000-0005-0000-0000-0000D1220000}"/>
    <cellStyle name="40% - Accent5 8 10" xfId="9878" xr:uid="{00000000-0005-0000-0000-0000D2220000}"/>
    <cellStyle name="40% - Accent5 8 11" xfId="9879" xr:uid="{00000000-0005-0000-0000-0000D3220000}"/>
    <cellStyle name="40% - Accent5 8 2" xfId="1581" xr:uid="{00000000-0005-0000-0000-0000D4220000}"/>
    <cellStyle name="40% - Accent5 8 2 2" xfId="9880" xr:uid="{00000000-0005-0000-0000-0000D5220000}"/>
    <cellStyle name="40% - Accent5 8 2 2 2" xfId="9881" xr:uid="{00000000-0005-0000-0000-0000D6220000}"/>
    <cellStyle name="40% - Accent5 8 2 2 2 2" xfId="9882" xr:uid="{00000000-0005-0000-0000-0000D7220000}"/>
    <cellStyle name="40% - Accent5 8 2 2 2 3" xfId="9883" xr:uid="{00000000-0005-0000-0000-0000D8220000}"/>
    <cellStyle name="40% - Accent5 8 2 2 3" xfId="9884" xr:uid="{00000000-0005-0000-0000-0000D9220000}"/>
    <cellStyle name="40% - Accent5 8 2 2 3 2" xfId="9885" xr:uid="{00000000-0005-0000-0000-0000DA220000}"/>
    <cellStyle name="40% - Accent5 8 2 2 3 3" xfId="9886" xr:uid="{00000000-0005-0000-0000-0000DB220000}"/>
    <cellStyle name="40% - Accent5 8 2 2 4" xfId="9887" xr:uid="{00000000-0005-0000-0000-0000DC220000}"/>
    <cellStyle name="40% - Accent5 8 2 2 5" xfId="9888" xr:uid="{00000000-0005-0000-0000-0000DD220000}"/>
    <cellStyle name="40% - Accent5 8 2 2 6" xfId="9889" xr:uid="{00000000-0005-0000-0000-0000DE220000}"/>
    <cellStyle name="40% - Accent5 8 2 3" xfId="9890" xr:uid="{00000000-0005-0000-0000-0000DF220000}"/>
    <cellStyle name="40% - Accent5 8 2 3 2" xfId="9891" xr:uid="{00000000-0005-0000-0000-0000E0220000}"/>
    <cellStyle name="40% - Accent5 8 2 3 3" xfId="9892" xr:uid="{00000000-0005-0000-0000-0000E1220000}"/>
    <cellStyle name="40% - Accent5 8 2 4" xfId="9893" xr:uid="{00000000-0005-0000-0000-0000E2220000}"/>
    <cellStyle name="40% - Accent5 8 2 4 2" xfId="9894" xr:uid="{00000000-0005-0000-0000-0000E3220000}"/>
    <cellStyle name="40% - Accent5 8 2 4 3" xfId="9895" xr:uid="{00000000-0005-0000-0000-0000E4220000}"/>
    <cellStyle name="40% - Accent5 8 2 5" xfId="9896" xr:uid="{00000000-0005-0000-0000-0000E5220000}"/>
    <cellStyle name="40% - Accent5 8 2 6" xfId="9897" xr:uid="{00000000-0005-0000-0000-0000E6220000}"/>
    <cellStyle name="40% - Accent5 8 2 7" xfId="9898" xr:uid="{00000000-0005-0000-0000-0000E7220000}"/>
    <cellStyle name="40% - Accent5 8 2 8" xfId="9899" xr:uid="{00000000-0005-0000-0000-0000E8220000}"/>
    <cellStyle name="40% - Accent5 8 3" xfId="9900" xr:uid="{00000000-0005-0000-0000-0000E9220000}"/>
    <cellStyle name="40% - Accent5 8 3 2" xfId="9901" xr:uid="{00000000-0005-0000-0000-0000EA220000}"/>
    <cellStyle name="40% - Accent5 8 3 2 2" xfId="9902" xr:uid="{00000000-0005-0000-0000-0000EB220000}"/>
    <cellStyle name="40% - Accent5 8 3 2 2 2" xfId="9903" xr:uid="{00000000-0005-0000-0000-0000EC220000}"/>
    <cellStyle name="40% - Accent5 8 3 2 3" xfId="9904" xr:uid="{00000000-0005-0000-0000-0000ED220000}"/>
    <cellStyle name="40% - Accent5 8 3 3" xfId="9905" xr:uid="{00000000-0005-0000-0000-0000EE220000}"/>
    <cellStyle name="40% - Accent5 8 3 3 2" xfId="9906" xr:uid="{00000000-0005-0000-0000-0000EF220000}"/>
    <cellStyle name="40% - Accent5 8 3 3 3" xfId="9907" xr:uid="{00000000-0005-0000-0000-0000F0220000}"/>
    <cellStyle name="40% - Accent5 8 3 4" xfId="9908" xr:uid="{00000000-0005-0000-0000-0000F1220000}"/>
    <cellStyle name="40% - Accent5 8 3 5" xfId="9909" xr:uid="{00000000-0005-0000-0000-0000F2220000}"/>
    <cellStyle name="40% - Accent5 8 3 6" xfId="9910" xr:uid="{00000000-0005-0000-0000-0000F3220000}"/>
    <cellStyle name="40% - Accent5 8 4" xfId="9911" xr:uid="{00000000-0005-0000-0000-0000F4220000}"/>
    <cellStyle name="40% - Accent5 8 4 2" xfId="9912" xr:uid="{00000000-0005-0000-0000-0000F5220000}"/>
    <cellStyle name="40% - Accent5 8 4 3" xfId="9913" xr:uid="{00000000-0005-0000-0000-0000F6220000}"/>
    <cellStyle name="40% - Accent5 8 5" xfId="9914" xr:uid="{00000000-0005-0000-0000-0000F7220000}"/>
    <cellStyle name="40% - Accent5 8 5 2" xfId="9915" xr:uid="{00000000-0005-0000-0000-0000F8220000}"/>
    <cellStyle name="40% - Accent5 8 5 3" xfId="9916" xr:uid="{00000000-0005-0000-0000-0000F9220000}"/>
    <cellStyle name="40% - Accent5 8 6" xfId="9917" xr:uid="{00000000-0005-0000-0000-0000FA220000}"/>
    <cellStyle name="40% - Accent5 8 7" xfId="9918" xr:uid="{00000000-0005-0000-0000-0000FB220000}"/>
    <cellStyle name="40% - Accent5 8 8" xfId="9919" xr:uid="{00000000-0005-0000-0000-0000FC220000}"/>
    <cellStyle name="40% - Accent5 8 9" xfId="9920" xr:uid="{00000000-0005-0000-0000-0000FD220000}"/>
    <cellStyle name="40% - Accent5 9" xfId="1582" xr:uid="{00000000-0005-0000-0000-0000FE220000}"/>
    <cellStyle name="40% - Accent5 9 10" xfId="9921" xr:uid="{00000000-0005-0000-0000-0000FF220000}"/>
    <cellStyle name="40% - Accent5 9 11" xfId="9922" xr:uid="{00000000-0005-0000-0000-000000230000}"/>
    <cellStyle name="40% - Accent5 9 2" xfId="1583" xr:uid="{00000000-0005-0000-0000-000001230000}"/>
    <cellStyle name="40% - Accent5 9 2 2" xfId="9923" xr:uid="{00000000-0005-0000-0000-000002230000}"/>
    <cellStyle name="40% - Accent5 9 2 2 2" xfId="9924" xr:uid="{00000000-0005-0000-0000-000003230000}"/>
    <cellStyle name="40% - Accent5 9 2 2 2 2" xfId="9925" xr:uid="{00000000-0005-0000-0000-000004230000}"/>
    <cellStyle name="40% - Accent5 9 2 2 2 3" xfId="9926" xr:uid="{00000000-0005-0000-0000-000005230000}"/>
    <cellStyle name="40% - Accent5 9 2 2 3" xfId="9927" xr:uid="{00000000-0005-0000-0000-000006230000}"/>
    <cellStyle name="40% - Accent5 9 2 2 3 2" xfId="9928" xr:uid="{00000000-0005-0000-0000-000007230000}"/>
    <cellStyle name="40% - Accent5 9 2 2 3 3" xfId="9929" xr:uid="{00000000-0005-0000-0000-000008230000}"/>
    <cellStyle name="40% - Accent5 9 2 2 4" xfId="9930" xr:uid="{00000000-0005-0000-0000-000009230000}"/>
    <cellStyle name="40% - Accent5 9 2 2 5" xfId="9931" xr:uid="{00000000-0005-0000-0000-00000A230000}"/>
    <cellStyle name="40% - Accent5 9 2 2 6" xfId="9932" xr:uid="{00000000-0005-0000-0000-00000B230000}"/>
    <cellStyle name="40% - Accent5 9 2 3" xfId="9933" xr:uid="{00000000-0005-0000-0000-00000C230000}"/>
    <cellStyle name="40% - Accent5 9 2 3 2" xfId="9934" xr:uid="{00000000-0005-0000-0000-00000D230000}"/>
    <cellStyle name="40% - Accent5 9 2 3 3" xfId="9935" xr:uid="{00000000-0005-0000-0000-00000E230000}"/>
    <cellStyle name="40% - Accent5 9 2 4" xfId="9936" xr:uid="{00000000-0005-0000-0000-00000F230000}"/>
    <cellStyle name="40% - Accent5 9 2 4 2" xfId="9937" xr:uid="{00000000-0005-0000-0000-000010230000}"/>
    <cellStyle name="40% - Accent5 9 2 4 3" xfId="9938" xr:uid="{00000000-0005-0000-0000-000011230000}"/>
    <cellStyle name="40% - Accent5 9 2 5" xfId="9939" xr:uid="{00000000-0005-0000-0000-000012230000}"/>
    <cellStyle name="40% - Accent5 9 2 6" xfId="9940" xr:uid="{00000000-0005-0000-0000-000013230000}"/>
    <cellStyle name="40% - Accent5 9 2 7" xfId="9941" xr:uid="{00000000-0005-0000-0000-000014230000}"/>
    <cellStyle name="40% - Accent5 9 2 8" xfId="9942" xr:uid="{00000000-0005-0000-0000-000015230000}"/>
    <cellStyle name="40% - Accent5 9 3" xfId="9943" xr:uid="{00000000-0005-0000-0000-000016230000}"/>
    <cellStyle name="40% - Accent5 9 3 2" xfId="9944" xr:uid="{00000000-0005-0000-0000-000017230000}"/>
    <cellStyle name="40% - Accent5 9 3 2 2" xfId="9945" xr:uid="{00000000-0005-0000-0000-000018230000}"/>
    <cellStyle name="40% - Accent5 9 3 2 2 2" xfId="9946" xr:uid="{00000000-0005-0000-0000-000019230000}"/>
    <cellStyle name="40% - Accent5 9 3 2 3" xfId="9947" xr:uid="{00000000-0005-0000-0000-00001A230000}"/>
    <cellStyle name="40% - Accent5 9 3 3" xfId="9948" xr:uid="{00000000-0005-0000-0000-00001B230000}"/>
    <cellStyle name="40% - Accent5 9 3 3 2" xfId="9949" xr:uid="{00000000-0005-0000-0000-00001C230000}"/>
    <cellStyle name="40% - Accent5 9 3 3 3" xfId="9950" xr:uid="{00000000-0005-0000-0000-00001D230000}"/>
    <cellStyle name="40% - Accent5 9 3 4" xfId="9951" xr:uid="{00000000-0005-0000-0000-00001E230000}"/>
    <cellStyle name="40% - Accent5 9 3 5" xfId="9952" xr:uid="{00000000-0005-0000-0000-00001F230000}"/>
    <cellStyle name="40% - Accent5 9 3 6" xfId="9953" xr:uid="{00000000-0005-0000-0000-000020230000}"/>
    <cellStyle name="40% - Accent5 9 4" xfId="9954" xr:uid="{00000000-0005-0000-0000-000021230000}"/>
    <cellStyle name="40% - Accent5 9 4 2" xfId="9955" xr:uid="{00000000-0005-0000-0000-000022230000}"/>
    <cellStyle name="40% - Accent5 9 4 3" xfId="9956" xr:uid="{00000000-0005-0000-0000-000023230000}"/>
    <cellStyle name="40% - Accent5 9 5" xfId="9957" xr:uid="{00000000-0005-0000-0000-000024230000}"/>
    <cellStyle name="40% - Accent5 9 5 2" xfId="9958" xr:uid="{00000000-0005-0000-0000-000025230000}"/>
    <cellStyle name="40% - Accent5 9 5 3" xfId="9959" xr:uid="{00000000-0005-0000-0000-000026230000}"/>
    <cellStyle name="40% - Accent5 9 6" xfId="9960" xr:uid="{00000000-0005-0000-0000-000027230000}"/>
    <cellStyle name="40% - Accent5 9 7" xfId="9961" xr:uid="{00000000-0005-0000-0000-000028230000}"/>
    <cellStyle name="40% - Accent5 9 8" xfId="9962" xr:uid="{00000000-0005-0000-0000-000029230000}"/>
    <cellStyle name="40% - Accent5 9 9" xfId="9963" xr:uid="{00000000-0005-0000-0000-00002A230000}"/>
    <cellStyle name="40% - Accent6 10" xfId="1584" xr:uid="{00000000-0005-0000-0000-00002B230000}"/>
    <cellStyle name="40% - Accent6 10 10" xfId="9964" xr:uid="{00000000-0005-0000-0000-00002C230000}"/>
    <cellStyle name="40% - Accent6 10 11" xfId="9965" xr:uid="{00000000-0005-0000-0000-00002D230000}"/>
    <cellStyle name="40% - Accent6 10 2" xfId="1585" xr:uid="{00000000-0005-0000-0000-00002E230000}"/>
    <cellStyle name="40% - Accent6 10 2 2" xfId="9966" xr:uid="{00000000-0005-0000-0000-00002F230000}"/>
    <cellStyle name="40% - Accent6 10 2 2 2" xfId="9967" xr:uid="{00000000-0005-0000-0000-000030230000}"/>
    <cellStyle name="40% - Accent6 10 2 2 2 2" xfId="9968" xr:uid="{00000000-0005-0000-0000-000031230000}"/>
    <cellStyle name="40% - Accent6 10 2 2 2 3" xfId="9969" xr:uid="{00000000-0005-0000-0000-000032230000}"/>
    <cellStyle name="40% - Accent6 10 2 2 3" xfId="9970" xr:uid="{00000000-0005-0000-0000-000033230000}"/>
    <cellStyle name="40% - Accent6 10 2 2 3 2" xfId="9971" xr:uid="{00000000-0005-0000-0000-000034230000}"/>
    <cellStyle name="40% - Accent6 10 2 2 3 3" xfId="9972" xr:uid="{00000000-0005-0000-0000-000035230000}"/>
    <cellStyle name="40% - Accent6 10 2 2 4" xfId="9973" xr:uid="{00000000-0005-0000-0000-000036230000}"/>
    <cellStyle name="40% - Accent6 10 2 2 5" xfId="9974" xr:uid="{00000000-0005-0000-0000-000037230000}"/>
    <cellStyle name="40% - Accent6 10 2 2 6" xfId="9975" xr:uid="{00000000-0005-0000-0000-000038230000}"/>
    <cellStyle name="40% - Accent6 10 2 3" xfId="9976" xr:uid="{00000000-0005-0000-0000-000039230000}"/>
    <cellStyle name="40% - Accent6 10 2 3 2" xfId="9977" xr:uid="{00000000-0005-0000-0000-00003A230000}"/>
    <cellStyle name="40% - Accent6 10 2 3 3" xfId="9978" xr:uid="{00000000-0005-0000-0000-00003B230000}"/>
    <cellStyle name="40% - Accent6 10 2 4" xfId="9979" xr:uid="{00000000-0005-0000-0000-00003C230000}"/>
    <cellStyle name="40% - Accent6 10 2 4 2" xfId="9980" xr:uid="{00000000-0005-0000-0000-00003D230000}"/>
    <cellStyle name="40% - Accent6 10 2 4 3" xfId="9981" xr:uid="{00000000-0005-0000-0000-00003E230000}"/>
    <cellStyle name="40% - Accent6 10 2 5" xfId="9982" xr:uid="{00000000-0005-0000-0000-00003F230000}"/>
    <cellStyle name="40% - Accent6 10 2 6" xfId="9983" xr:uid="{00000000-0005-0000-0000-000040230000}"/>
    <cellStyle name="40% - Accent6 10 2 7" xfId="9984" xr:uid="{00000000-0005-0000-0000-000041230000}"/>
    <cellStyle name="40% - Accent6 10 2 8" xfId="9985" xr:uid="{00000000-0005-0000-0000-000042230000}"/>
    <cellStyle name="40% - Accent6 10 3" xfId="9986" xr:uid="{00000000-0005-0000-0000-000043230000}"/>
    <cellStyle name="40% - Accent6 10 3 2" xfId="9987" xr:uid="{00000000-0005-0000-0000-000044230000}"/>
    <cellStyle name="40% - Accent6 10 3 2 2" xfId="9988" xr:uid="{00000000-0005-0000-0000-000045230000}"/>
    <cellStyle name="40% - Accent6 10 3 2 3" xfId="9989" xr:uid="{00000000-0005-0000-0000-000046230000}"/>
    <cellStyle name="40% - Accent6 10 3 3" xfId="9990" xr:uid="{00000000-0005-0000-0000-000047230000}"/>
    <cellStyle name="40% - Accent6 10 3 3 2" xfId="9991" xr:uid="{00000000-0005-0000-0000-000048230000}"/>
    <cellStyle name="40% - Accent6 10 3 3 3" xfId="9992" xr:uid="{00000000-0005-0000-0000-000049230000}"/>
    <cellStyle name="40% - Accent6 10 3 4" xfId="9993" xr:uid="{00000000-0005-0000-0000-00004A230000}"/>
    <cellStyle name="40% - Accent6 10 3 5" xfId="9994" xr:uid="{00000000-0005-0000-0000-00004B230000}"/>
    <cellStyle name="40% - Accent6 10 3 6" xfId="9995" xr:uid="{00000000-0005-0000-0000-00004C230000}"/>
    <cellStyle name="40% - Accent6 10 4" xfId="9996" xr:uid="{00000000-0005-0000-0000-00004D230000}"/>
    <cellStyle name="40% - Accent6 10 4 2" xfId="9997" xr:uid="{00000000-0005-0000-0000-00004E230000}"/>
    <cellStyle name="40% - Accent6 10 4 3" xfId="9998" xr:uid="{00000000-0005-0000-0000-00004F230000}"/>
    <cellStyle name="40% - Accent6 10 5" xfId="9999" xr:uid="{00000000-0005-0000-0000-000050230000}"/>
    <cellStyle name="40% - Accent6 10 5 2" xfId="10000" xr:uid="{00000000-0005-0000-0000-000051230000}"/>
    <cellStyle name="40% - Accent6 10 5 3" xfId="10001" xr:uid="{00000000-0005-0000-0000-000052230000}"/>
    <cellStyle name="40% - Accent6 10 6" xfId="10002" xr:uid="{00000000-0005-0000-0000-000053230000}"/>
    <cellStyle name="40% - Accent6 10 7" xfId="10003" xr:uid="{00000000-0005-0000-0000-000054230000}"/>
    <cellStyle name="40% - Accent6 10 8" xfId="10004" xr:uid="{00000000-0005-0000-0000-000055230000}"/>
    <cellStyle name="40% - Accent6 10 9" xfId="10005" xr:uid="{00000000-0005-0000-0000-000056230000}"/>
    <cellStyle name="40% - Accent6 11" xfId="1586" xr:uid="{00000000-0005-0000-0000-000057230000}"/>
    <cellStyle name="40% - Accent6 11 10" xfId="10006" xr:uid="{00000000-0005-0000-0000-000058230000}"/>
    <cellStyle name="40% - Accent6 11 2" xfId="1587" xr:uid="{00000000-0005-0000-0000-000059230000}"/>
    <cellStyle name="40% - Accent6 11 2 2" xfId="10007" xr:uid="{00000000-0005-0000-0000-00005A230000}"/>
    <cellStyle name="40% - Accent6 11 2 2 2" xfId="10008" xr:uid="{00000000-0005-0000-0000-00005B230000}"/>
    <cellStyle name="40% - Accent6 11 2 2 3" xfId="10009" xr:uid="{00000000-0005-0000-0000-00005C230000}"/>
    <cellStyle name="40% - Accent6 11 2 3" xfId="10010" xr:uid="{00000000-0005-0000-0000-00005D230000}"/>
    <cellStyle name="40% - Accent6 11 2 3 2" xfId="10011" xr:uid="{00000000-0005-0000-0000-00005E230000}"/>
    <cellStyle name="40% - Accent6 11 2 3 3" xfId="10012" xr:uid="{00000000-0005-0000-0000-00005F230000}"/>
    <cellStyle name="40% - Accent6 11 2 4" xfId="10013" xr:uid="{00000000-0005-0000-0000-000060230000}"/>
    <cellStyle name="40% - Accent6 11 2 5" xfId="10014" xr:uid="{00000000-0005-0000-0000-000061230000}"/>
    <cellStyle name="40% - Accent6 11 2 6" xfId="10015" xr:uid="{00000000-0005-0000-0000-000062230000}"/>
    <cellStyle name="40% - Accent6 11 3" xfId="10016" xr:uid="{00000000-0005-0000-0000-000063230000}"/>
    <cellStyle name="40% - Accent6 11 3 2" xfId="10017" xr:uid="{00000000-0005-0000-0000-000064230000}"/>
    <cellStyle name="40% - Accent6 11 3 3" xfId="10018" xr:uid="{00000000-0005-0000-0000-000065230000}"/>
    <cellStyle name="40% - Accent6 11 4" xfId="10019" xr:uid="{00000000-0005-0000-0000-000066230000}"/>
    <cellStyle name="40% - Accent6 11 4 2" xfId="10020" xr:uid="{00000000-0005-0000-0000-000067230000}"/>
    <cellStyle name="40% - Accent6 11 4 3" xfId="10021" xr:uid="{00000000-0005-0000-0000-000068230000}"/>
    <cellStyle name="40% - Accent6 11 5" xfId="10022" xr:uid="{00000000-0005-0000-0000-000069230000}"/>
    <cellStyle name="40% - Accent6 11 6" xfId="10023" xr:uid="{00000000-0005-0000-0000-00006A230000}"/>
    <cellStyle name="40% - Accent6 11 7" xfId="10024" xr:uid="{00000000-0005-0000-0000-00006B230000}"/>
    <cellStyle name="40% - Accent6 11 8" xfId="10025" xr:uid="{00000000-0005-0000-0000-00006C230000}"/>
    <cellStyle name="40% - Accent6 11 9" xfId="10026" xr:uid="{00000000-0005-0000-0000-00006D230000}"/>
    <cellStyle name="40% - Accent6 12" xfId="1588" xr:uid="{00000000-0005-0000-0000-00006E230000}"/>
    <cellStyle name="40% - Accent6 12 2" xfId="1589" xr:uid="{00000000-0005-0000-0000-00006F230000}"/>
    <cellStyle name="40% - Accent6 12 3" xfId="10027" xr:uid="{00000000-0005-0000-0000-000070230000}"/>
    <cellStyle name="40% - Accent6 12 4" xfId="10028" xr:uid="{00000000-0005-0000-0000-000071230000}"/>
    <cellStyle name="40% - Accent6 12 5" xfId="10029" xr:uid="{00000000-0005-0000-0000-000072230000}"/>
    <cellStyle name="40% - Accent6 13" xfId="1590" xr:uid="{00000000-0005-0000-0000-000073230000}"/>
    <cellStyle name="40% - Accent6 13 2" xfId="1591" xr:uid="{00000000-0005-0000-0000-000074230000}"/>
    <cellStyle name="40% - Accent6 13 3" xfId="10030" xr:uid="{00000000-0005-0000-0000-000075230000}"/>
    <cellStyle name="40% - Accent6 13 4" xfId="10031" xr:uid="{00000000-0005-0000-0000-000076230000}"/>
    <cellStyle name="40% - Accent6 14" xfId="1592" xr:uid="{00000000-0005-0000-0000-000077230000}"/>
    <cellStyle name="40% - Accent6 14 2" xfId="1593" xr:uid="{00000000-0005-0000-0000-000078230000}"/>
    <cellStyle name="40% - Accent6 14 3" xfId="10032" xr:uid="{00000000-0005-0000-0000-000079230000}"/>
    <cellStyle name="40% - Accent6 15" xfId="1594" xr:uid="{00000000-0005-0000-0000-00007A230000}"/>
    <cellStyle name="40% - Accent6 15 2" xfId="1595" xr:uid="{00000000-0005-0000-0000-00007B230000}"/>
    <cellStyle name="40% - Accent6 15 3" xfId="10033" xr:uid="{00000000-0005-0000-0000-00007C230000}"/>
    <cellStyle name="40% - Accent6 16" xfId="1596" xr:uid="{00000000-0005-0000-0000-00007D230000}"/>
    <cellStyle name="40% - Accent6 16 2" xfId="1597" xr:uid="{00000000-0005-0000-0000-00007E230000}"/>
    <cellStyle name="40% - Accent6 17" xfId="1598" xr:uid="{00000000-0005-0000-0000-00007F230000}"/>
    <cellStyle name="40% - Accent6 17 2" xfId="1599" xr:uid="{00000000-0005-0000-0000-000080230000}"/>
    <cellStyle name="40% - Accent6 18" xfId="1600" xr:uid="{00000000-0005-0000-0000-000081230000}"/>
    <cellStyle name="40% - Accent6 18 2" xfId="1601" xr:uid="{00000000-0005-0000-0000-000082230000}"/>
    <cellStyle name="40% - Accent6 19" xfId="1602" xr:uid="{00000000-0005-0000-0000-000083230000}"/>
    <cellStyle name="40% - Accent6 19 2" xfId="1603" xr:uid="{00000000-0005-0000-0000-000084230000}"/>
    <cellStyle name="40% - Accent6 2" xfId="1604" xr:uid="{00000000-0005-0000-0000-000085230000}"/>
    <cellStyle name="40% - Accent6 2 10" xfId="10034" xr:uid="{00000000-0005-0000-0000-000086230000}"/>
    <cellStyle name="40% - Accent6 2 11" xfId="10035" xr:uid="{00000000-0005-0000-0000-000087230000}"/>
    <cellStyle name="40% - Accent6 2 12" xfId="10036" xr:uid="{00000000-0005-0000-0000-000088230000}"/>
    <cellStyle name="40% - Accent6 2 13" xfId="10037" xr:uid="{00000000-0005-0000-0000-000089230000}"/>
    <cellStyle name="40% - Accent6 2 2" xfId="1605" xr:uid="{00000000-0005-0000-0000-00008A230000}"/>
    <cellStyle name="40% - Accent6 2 2 10" xfId="10038" xr:uid="{00000000-0005-0000-0000-00008B230000}"/>
    <cellStyle name="40% - Accent6 2 2 11" xfId="10039" xr:uid="{00000000-0005-0000-0000-00008C230000}"/>
    <cellStyle name="40% - Accent6 2 2 12" xfId="10040" xr:uid="{00000000-0005-0000-0000-00008D230000}"/>
    <cellStyle name="40% - Accent6 2 2 13" xfId="10041" xr:uid="{00000000-0005-0000-0000-00008E230000}"/>
    <cellStyle name="40% - Accent6 2 2 2" xfId="1606" xr:uid="{00000000-0005-0000-0000-00008F230000}"/>
    <cellStyle name="40% - Accent6 2 2 2 10" xfId="10042" xr:uid="{00000000-0005-0000-0000-000090230000}"/>
    <cellStyle name="40% - Accent6 2 2 2 2" xfId="1607" xr:uid="{00000000-0005-0000-0000-000091230000}"/>
    <cellStyle name="40% - Accent6 2 2 2 2 2" xfId="1608" xr:uid="{00000000-0005-0000-0000-000092230000}"/>
    <cellStyle name="40% - Accent6 2 2 2 2 2 2" xfId="1609" xr:uid="{00000000-0005-0000-0000-000093230000}"/>
    <cellStyle name="40% - Accent6 2 2 2 2 2 2 2" xfId="54120" xr:uid="{00000000-0005-0000-0000-000094230000}"/>
    <cellStyle name="40% - Accent6 2 2 2 2 2 3" xfId="1610" xr:uid="{00000000-0005-0000-0000-000095230000}"/>
    <cellStyle name="40% - Accent6 2 2 2 2 2 4" xfId="10043" xr:uid="{00000000-0005-0000-0000-000096230000}"/>
    <cellStyle name="40% - Accent6 2 2 2 2 2 5" xfId="10044" xr:uid="{00000000-0005-0000-0000-000097230000}"/>
    <cellStyle name="40% - Accent6 2 2 2 2 3" xfId="1611" xr:uid="{00000000-0005-0000-0000-000098230000}"/>
    <cellStyle name="40% - Accent6 2 2 2 2 3 2" xfId="10045" xr:uid="{00000000-0005-0000-0000-000099230000}"/>
    <cellStyle name="40% - Accent6 2 2 2 2 3 2 2" xfId="54121" xr:uid="{00000000-0005-0000-0000-00009A230000}"/>
    <cellStyle name="40% - Accent6 2 2 2 2 3 3" xfId="10046" xr:uid="{00000000-0005-0000-0000-00009B230000}"/>
    <cellStyle name="40% - Accent6 2 2 2 2 4" xfId="1612" xr:uid="{00000000-0005-0000-0000-00009C230000}"/>
    <cellStyle name="40% - Accent6 2 2 2 2 4 2" xfId="54122" xr:uid="{00000000-0005-0000-0000-00009D230000}"/>
    <cellStyle name="40% - Accent6 2 2 2 2 5" xfId="10047" xr:uid="{00000000-0005-0000-0000-00009E230000}"/>
    <cellStyle name="40% - Accent6 2 2 2 2 6" xfId="10048" xr:uid="{00000000-0005-0000-0000-00009F230000}"/>
    <cellStyle name="40% - Accent6 2 2 2 2 7" xfId="10049" xr:uid="{00000000-0005-0000-0000-0000A0230000}"/>
    <cellStyle name="40% - Accent6 2 2 2 2 8" xfId="10050" xr:uid="{00000000-0005-0000-0000-0000A1230000}"/>
    <cellStyle name="40% - Accent6 2 2 2 3" xfId="1613" xr:uid="{00000000-0005-0000-0000-0000A2230000}"/>
    <cellStyle name="40% - Accent6 2 2 2 3 2" xfId="1614" xr:uid="{00000000-0005-0000-0000-0000A3230000}"/>
    <cellStyle name="40% - Accent6 2 2 2 3 2 2" xfId="1615" xr:uid="{00000000-0005-0000-0000-0000A4230000}"/>
    <cellStyle name="40% - Accent6 2 2 2 3 2 3" xfId="10051" xr:uid="{00000000-0005-0000-0000-0000A5230000}"/>
    <cellStyle name="40% - Accent6 2 2 2 3 3" xfId="1616" xr:uid="{00000000-0005-0000-0000-0000A6230000}"/>
    <cellStyle name="40% - Accent6 2 2 2 3 4" xfId="10052" xr:uid="{00000000-0005-0000-0000-0000A7230000}"/>
    <cellStyle name="40% - Accent6 2 2 2 3 5" xfId="10053" xr:uid="{00000000-0005-0000-0000-0000A8230000}"/>
    <cellStyle name="40% - Accent6 2 2 2 4" xfId="1617" xr:uid="{00000000-0005-0000-0000-0000A9230000}"/>
    <cellStyle name="40% - Accent6 2 2 2 4 2" xfId="1618" xr:uid="{00000000-0005-0000-0000-0000AA230000}"/>
    <cellStyle name="40% - Accent6 2 2 2 4 2 2" xfId="54123" xr:uid="{00000000-0005-0000-0000-0000AB230000}"/>
    <cellStyle name="40% - Accent6 2 2 2 4 3" xfId="10054" xr:uid="{00000000-0005-0000-0000-0000AC230000}"/>
    <cellStyle name="40% - Accent6 2 2 2 4 4" xfId="10055" xr:uid="{00000000-0005-0000-0000-0000AD230000}"/>
    <cellStyle name="40% - Accent6 2 2 2 4 5" xfId="10056" xr:uid="{00000000-0005-0000-0000-0000AE230000}"/>
    <cellStyle name="40% - Accent6 2 2 2 5" xfId="1619" xr:uid="{00000000-0005-0000-0000-0000AF230000}"/>
    <cellStyle name="40% - Accent6 2 2 2 5 2" xfId="10057" xr:uid="{00000000-0005-0000-0000-0000B0230000}"/>
    <cellStyle name="40% - Accent6 2 2 2 5 3" xfId="10058" xr:uid="{00000000-0005-0000-0000-0000B1230000}"/>
    <cellStyle name="40% - Accent6 2 2 2 6" xfId="10059" xr:uid="{00000000-0005-0000-0000-0000B2230000}"/>
    <cellStyle name="40% - Accent6 2 2 2 7" xfId="10060" xr:uid="{00000000-0005-0000-0000-0000B3230000}"/>
    <cellStyle name="40% - Accent6 2 2 2 8" xfId="10061" xr:uid="{00000000-0005-0000-0000-0000B4230000}"/>
    <cellStyle name="40% - Accent6 2 2 2 9" xfId="10062" xr:uid="{00000000-0005-0000-0000-0000B5230000}"/>
    <cellStyle name="40% - Accent6 2 2 3" xfId="1620" xr:uid="{00000000-0005-0000-0000-0000B6230000}"/>
    <cellStyle name="40% - Accent6 2 2 3 2" xfId="1621" xr:uid="{00000000-0005-0000-0000-0000B7230000}"/>
    <cellStyle name="40% - Accent6 2 2 3 2 2" xfId="1622" xr:uid="{00000000-0005-0000-0000-0000B8230000}"/>
    <cellStyle name="40% - Accent6 2 2 3 2 2 2" xfId="54124" xr:uid="{00000000-0005-0000-0000-0000B9230000}"/>
    <cellStyle name="40% - Accent6 2 2 3 2 2 2 2" xfId="54125" xr:uid="{00000000-0005-0000-0000-0000BA230000}"/>
    <cellStyle name="40% - Accent6 2 2 3 2 2 3" xfId="54126" xr:uid="{00000000-0005-0000-0000-0000BB230000}"/>
    <cellStyle name="40% - Accent6 2 2 3 2 3" xfId="1623" xr:uid="{00000000-0005-0000-0000-0000BC230000}"/>
    <cellStyle name="40% - Accent6 2 2 3 2 3 2" xfId="54127" xr:uid="{00000000-0005-0000-0000-0000BD230000}"/>
    <cellStyle name="40% - Accent6 2 2 3 2 3 2 2" xfId="54128" xr:uid="{00000000-0005-0000-0000-0000BE230000}"/>
    <cellStyle name="40% - Accent6 2 2 3 2 3 3" xfId="54129" xr:uid="{00000000-0005-0000-0000-0000BF230000}"/>
    <cellStyle name="40% - Accent6 2 2 3 2 4" xfId="10063" xr:uid="{00000000-0005-0000-0000-0000C0230000}"/>
    <cellStyle name="40% - Accent6 2 2 3 2 4 2" xfId="54130" xr:uid="{00000000-0005-0000-0000-0000C1230000}"/>
    <cellStyle name="40% - Accent6 2 2 3 2 5" xfId="10064" xr:uid="{00000000-0005-0000-0000-0000C2230000}"/>
    <cellStyle name="40% - Accent6 2 2 3 3" xfId="1624" xr:uid="{00000000-0005-0000-0000-0000C3230000}"/>
    <cellStyle name="40% - Accent6 2 2 3 3 2" xfId="10065" xr:uid="{00000000-0005-0000-0000-0000C4230000}"/>
    <cellStyle name="40% - Accent6 2 2 3 3 2 2" xfId="54131" xr:uid="{00000000-0005-0000-0000-0000C5230000}"/>
    <cellStyle name="40% - Accent6 2 2 3 3 3" xfId="10066" xr:uid="{00000000-0005-0000-0000-0000C6230000}"/>
    <cellStyle name="40% - Accent6 2 2 3 4" xfId="1625" xr:uid="{00000000-0005-0000-0000-0000C7230000}"/>
    <cellStyle name="40% - Accent6 2 2 3 4 2" xfId="54132" xr:uid="{00000000-0005-0000-0000-0000C8230000}"/>
    <cellStyle name="40% - Accent6 2 2 3 4 2 2" xfId="54133" xr:uid="{00000000-0005-0000-0000-0000C9230000}"/>
    <cellStyle name="40% - Accent6 2 2 3 4 3" xfId="54134" xr:uid="{00000000-0005-0000-0000-0000CA230000}"/>
    <cellStyle name="40% - Accent6 2 2 3 5" xfId="10067" xr:uid="{00000000-0005-0000-0000-0000CB230000}"/>
    <cellStyle name="40% - Accent6 2 2 3 5 2" xfId="54135" xr:uid="{00000000-0005-0000-0000-0000CC230000}"/>
    <cellStyle name="40% - Accent6 2 2 3 6" xfId="10068" xr:uid="{00000000-0005-0000-0000-0000CD230000}"/>
    <cellStyle name="40% - Accent6 2 2 3 7" xfId="10069" xr:uid="{00000000-0005-0000-0000-0000CE230000}"/>
    <cellStyle name="40% - Accent6 2 2 3 8" xfId="10070" xr:uid="{00000000-0005-0000-0000-0000CF230000}"/>
    <cellStyle name="40% - Accent6 2 2 4" xfId="1626" xr:uid="{00000000-0005-0000-0000-0000D0230000}"/>
    <cellStyle name="40% - Accent6 2 2 4 2" xfId="1627" xr:uid="{00000000-0005-0000-0000-0000D1230000}"/>
    <cellStyle name="40% - Accent6 2 2 4 2 2" xfId="1628" xr:uid="{00000000-0005-0000-0000-0000D2230000}"/>
    <cellStyle name="40% - Accent6 2 2 4 2 2 2" xfId="54136" xr:uid="{00000000-0005-0000-0000-0000D3230000}"/>
    <cellStyle name="40% - Accent6 2 2 4 2 3" xfId="10071" xr:uid="{00000000-0005-0000-0000-0000D4230000}"/>
    <cellStyle name="40% - Accent6 2 2 4 3" xfId="1629" xr:uid="{00000000-0005-0000-0000-0000D5230000}"/>
    <cellStyle name="40% - Accent6 2 2 4 3 2" xfId="54137" xr:uid="{00000000-0005-0000-0000-0000D6230000}"/>
    <cellStyle name="40% - Accent6 2 2 4 3 2 2" xfId="54138" xr:uid="{00000000-0005-0000-0000-0000D7230000}"/>
    <cellStyle name="40% - Accent6 2 2 4 3 3" xfId="54139" xr:uid="{00000000-0005-0000-0000-0000D8230000}"/>
    <cellStyle name="40% - Accent6 2 2 4 4" xfId="10072" xr:uid="{00000000-0005-0000-0000-0000D9230000}"/>
    <cellStyle name="40% - Accent6 2 2 4 4 2" xfId="54140" xr:uid="{00000000-0005-0000-0000-0000DA230000}"/>
    <cellStyle name="40% - Accent6 2 2 4 5" xfId="10073" xr:uid="{00000000-0005-0000-0000-0000DB230000}"/>
    <cellStyle name="40% - Accent6 2 2 5" xfId="1630" xr:uid="{00000000-0005-0000-0000-0000DC230000}"/>
    <cellStyle name="40% - Accent6 2 2 5 2" xfId="1631" xr:uid="{00000000-0005-0000-0000-0000DD230000}"/>
    <cellStyle name="40% - Accent6 2 2 5 2 2" xfId="54141" xr:uid="{00000000-0005-0000-0000-0000DE230000}"/>
    <cellStyle name="40% - Accent6 2 2 5 3" xfId="10074" xr:uid="{00000000-0005-0000-0000-0000DF230000}"/>
    <cellStyle name="40% - Accent6 2 2 5 4" xfId="10075" xr:uid="{00000000-0005-0000-0000-0000E0230000}"/>
    <cellStyle name="40% - Accent6 2 2 5 5" xfId="10076" xr:uid="{00000000-0005-0000-0000-0000E1230000}"/>
    <cellStyle name="40% - Accent6 2 2 6" xfId="1632" xr:uid="{00000000-0005-0000-0000-0000E2230000}"/>
    <cellStyle name="40% - Accent6 2 2 6 2" xfId="10077" xr:uid="{00000000-0005-0000-0000-0000E3230000}"/>
    <cellStyle name="40% - Accent6 2 2 6 2 2" xfId="54142" xr:uid="{00000000-0005-0000-0000-0000E4230000}"/>
    <cellStyle name="40% - Accent6 2 2 6 3" xfId="10078" xr:uid="{00000000-0005-0000-0000-0000E5230000}"/>
    <cellStyle name="40% - Accent6 2 2 7" xfId="10079" xr:uid="{00000000-0005-0000-0000-0000E6230000}"/>
    <cellStyle name="40% - Accent6 2 2 7 2" xfId="54143" xr:uid="{00000000-0005-0000-0000-0000E7230000}"/>
    <cellStyle name="40% - Accent6 2 2 8" xfId="10080" xr:uid="{00000000-0005-0000-0000-0000E8230000}"/>
    <cellStyle name="40% - Accent6 2 2 9" xfId="10081" xr:uid="{00000000-0005-0000-0000-0000E9230000}"/>
    <cellStyle name="40% - Accent6 2 3" xfId="1633" xr:uid="{00000000-0005-0000-0000-0000EA230000}"/>
    <cellStyle name="40% - Accent6 2 3 10" xfId="10082" xr:uid="{00000000-0005-0000-0000-0000EB230000}"/>
    <cellStyle name="40% - Accent6 2 3 2" xfId="1634" xr:uid="{00000000-0005-0000-0000-0000EC230000}"/>
    <cellStyle name="40% - Accent6 2 3 2 2" xfId="1635" xr:uid="{00000000-0005-0000-0000-0000ED230000}"/>
    <cellStyle name="40% - Accent6 2 3 2 2 2" xfId="1636" xr:uid="{00000000-0005-0000-0000-0000EE230000}"/>
    <cellStyle name="40% - Accent6 2 3 2 2 2 2" xfId="54144" xr:uid="{00000000-0005-0000-0000-0000EF230000}"/>
    <cellStyle name="40% - Accent6 2 3 2 2 3" xfId="1637" xr:uid="{00000000-0005-0000-0000-0000F0230000}"/>
    <cellStyle name="40% - Accent6 2 3 2 2 4" xfId="10083" xr:uid="{00000000-0005-0000-0000-0000F1230000}"/>
    <cellStyle name="40% - Accent6 2 3 2 2 5" xfId="10084" xr:uid="{00000000-0005-0000-0000-0000F2230000}"/>
    <cellStyle name="40% - Accent6 2 3 2 3" xfId="1638" xr:uid="{00000000-0005-0000-0000-0000F3230000}"/>
    <cellStyle name="40% - Accent6 2 3 2 3 2" xfId="10085" xr:uid="{00000000-0005-0000-0000-0000F4230000}"/>
    <cellStyle name="40% - Accent6 2 3 2 3 2 2" xfId="54145" xr:uid="{00000000-0005-0000-0000-0000F5230000}"/>
    <cellStyle name="40% - Accent6 2 3 2 3 3" xfId="10086" xr:uid="{00000000-0005-0000-0000-0000F6230000}"/>
    <cellStyle name="40% - Accent6 2 3 2 4" xfId="1639" xr:uid="{00000000-0005-0000-0000-0000F7230000}"/>
    <cellStyle name="40% - Accent6 2 3 2 4 2" xfId="54146" xr:uid="{00000000-0005-0000-0000-0000F8230000}"/>
    <cellStyle name="40% - Accent6 2 3 2 5" xfId="10087" xr:uid="{00000000-0005-0000-0000-0000F9230000}"/>
    <cellStyle name="40% - Accent6 2 3 2 6" xfId="10088" xr:uid="{00000000-0005-0000-0000-0000FA230000}"/>
    <cellStyle name="40% - Accent6 2 3 2 7" xfId="10089" xr:uid="{00000000-0005-0000-0000-0000FB230000}"/>
    <cellStyle name="40% - Accent6 2 3 2 8" xfId="10090" xr:uid="{00000000-0005-0000-0000-0000FC230000}"/>
    <cellStyle name="40% - Accent6 2 3 3" xfId="1640" xr:uid="{00000000-0005-0000-0000-0000FD230000}"/>
    <cellStyle name="40% - Accent6 2 3 3 2" xfId="1641" xr:uid="{00000000-0005-0000-0000-0000FE230000}"/>
    <cellStyle name="40% - Accent6 2 3 3 2 2" xfId="1642" xr:uid="{00000000-0005-0000-0000-0000FF230000}"/>
    <cellStyle name="40% - Accent6 2 3 3 2 3" xfId="10091" xr:uid="{00000000-0005-0000-0000-000000240000}"/>
    <cellStyle name="40% - Accent6 2 3 3 3" xfId="1643" xr:uid="{00000000-0005-0000-0000-000001240000}"/>
    <cellStyle name="40% - Accent6 2 3 3 4" xfId="10092" xr:uid="{00000000-0005-0000-0000-000002240000}"/>
    <cellStyle name="40% - Accent6 2 3 3 5" xfId="10093" xr:uid="{00000000-0005-0000-0000-000003240000}"/>
    <cellStyle name="40% - Accent6 2 3 4" xfId="1644" xr:uid="{00000000-0005-0000-0000-000004240000}"/>
    <cellStyle name="40% - Accent6 2 3 4 2" xfId="1645" xr:uid="{00000000-0005-0000-0000-000005240000}"/>
    <cellStyle name="40% - Accent6 2 3 4 2 2" xfId="54147" xr:uid="{00000000-0005-0000-0000-000006240000}"/>
    <cellStyle name="40% - Accent6 2 3 4 3" xfId="10094" xr:uid="{00000000-0005-0000-0000-000007240000}"/>
    <cellStyle name="40% - Accent6 2 3 4 4" xfId="10095" xr:uid="{00000000-0005-0000-0000-000008240000}"/>
    <cellStyle name="40% - Accent6 2 3 4 5" xfId="10096" xr:uid="{00000000-0005-0000-0000-000009240000}"/>
    <cellStyle name="40% - Accent6 2 3 5" xfId="1646" xr:uid="{00000000-0005-0000-0000-00000A240000}"/>
    <cellStyle name="40% - Accent6 2 3 5 2" xfId="10097" xr:uid="{00000000-0005-0000-0000-00000B240000}"/>
    <cellStyle name="40% - Accent6 2 3 5 3" xfId="10098" xr:uid="{00000000-0005-0000-0000-00000C240000}"/>
    <cellStyle name="40% - Accent6 2 3 6" xfId="10099" xr:uid="{00000000-0005-0000-0000-00000D240000}"/>
    <cellStyle name="40% - Accent6 2 3 7" xfId="10100" xr:uid="{00000000-0005-0000-0000-00000E240000}"/>
    <cellStyle name="40% - Accent6 2 3 8" xfId="10101" xr:uid="{00000000-0005-0000-0000-00000F240000}"/>
    <cellStyle name="40% - Accent6 2 3 9" xfId="10102" xr:uid="{00000000-0005-0000-0000-000010240000}"/>
    <cellStyle name="40% - Accent6 2 4" xfId="1647" xr:uid="{00000000-0005-0000-0000-000011240000}"/>
    <cellStyle name="40% - Accent6 2 4 2" xfId="1648" xr:uid="{00000000-0005-0000-0000-000012240000}"/>
    <cellStyle name="40% - Accent6 2 4 2 2" xfId="1649" xr:uid="{00000000-0005-0000-0000-000013240000}"/>
    <cellStyle name="40% - Accent6 2 4 2 2 2" xfId="54148" xr:uid="{00000000-0005-0000-0000-000014240000}"/>
    <cellStyle name="40% - Accent6 2 4 2 2 2 2" xfId="54149" xr:uid="{00000000-0005-0000-0000-000015240000}"/>
    <cellStyle name="40% - Accent6 2 4 2 2 3" xfId="54150" xr:uid="{00000000-0005-0000-0000-000016240000}"/>
    <cellStyle name="40% - Accent6 2 4 2 3" xfId="1650" xr:uid="{00000000-0005-0000-0000-000017240000}"/>
    <cellStyle name="40% - Accent6 2 4 2 3 2" xfId="54151" xr:uid="{00000000-0005-0000-0000-000018240000}"/>
    <cellStyle name="40% - Accent6 2 4 2 3 2 2" xfId="54152" xr:uid="{00000000-0005-0000-0000-000019240000}"/>
    <cellStyle name="40% - Accent6 2 4 2 3 3" xfId="54153" xr:uid="{00000000-0005-0000-0000-00001A240000}"/>
    <cellStyle name="40% - Accent6 2 4 2 4" xfId="10103" xr:uid="{00000000-0005-0000-0000-00001B240000}"/>
    <cellStyle name="40% - Accent6 2 4 2 4 2" xfId="54154" xr:uid="{00000000-0005-0000-0000-00001C240000}"/>
    <cellStyle name="40% - Accent6 2 4 2 5" xfId="10104" xr:uid="{00000000-0005-0000-0000-00001D240000}"/>
    <cellStyle name="40% - Accent6 2 4 3" xfId="1651" xr:uid="{00000000-0005-0000-0000-00001E240000}"/>
    <cellStyle name="40% - Accent6 2 4 3 2" xfId="10105" xr:uid="{00000000-0005-0000-0000-00001F240000}"/>
    <cellStyle name="40% - Accent6 2 4 3 2 2" xfId="54155" xr:uid="{00000000-0005-0000-0000-000020240000}"/>
    <cellStyle name="40% - Accent6 2 4 3 3" xfId="10106" xr:uid="{00000000-0005-0000-0000-000021240000}"/>
    <cellStyle name="40% - Accent6 2 4 4" xfId="1652" xr:uid="{00000000-0005-0000-0000-000022240000}"/>
    <cellStyle name="40% - Accent6 2 4 4 2" xfId="54156" xr:uid="{00000000-0005-0000-0000-000023240000}"/>
    <cellStyle name="40% - Accent6 2 4 4 2 2" xfId="54157" xr:uid="{00000000-0005-0000-0000-000024240000}"/>
    <cellStyle name="40% - Accent6 2 4 4 3" xfId="54158" xr:uid="{00000000-0005-0000-0000-000025240000}"/>
    <cellStyle name="40% - Accent6 2 4 5" xfId="10107" xr:uid="{00000000-0005-0000-0000-000026240000}"/>
    <cellStyle name="40% - Accent6 2 4 5 2" xfId="54159" xr:uid="{00000000-0005-0000-0000-000027240000}"/>
    <cellStyle name="40% - Accent6 2 4 6" xfId="10108" xr:uid="{00000000-0005-0000-0000-000028240000}"/>
    <cellStyle name="40% - Accent6 2 4 7" xfId="10109" xr:uid="{00000000-0005-0000-0000-000029240000}"/>
    <cellStyle name="40% - Accent6 2 4 8" xfId="10110" xr:uid="{00000000-0005-0000-0000-00002A240000}"/>
    <cellStyle name="40% - Accent6 2 5" xfId="1653" xr:uid="{00000000-0005-0000-0000-00002B240000}"/>
    <cellStyle name="40% - Accent6 2 5 2" xfId="1654" xr:uid="{00000000-0005-0000-0000-00002C240000}"/>
    <cellStyle name="40% - Accent6 2 5 2 2" xfId="1655" xr:uid="{00000000-0005-0000-0000-00002D240000}"/>
    <cellStyle name="40% - Accent6 2 5 2 2 2" xfId="54160" xr:uid="{00000000-0005-0000-0000-00002E240000}"/>
    <cellStyle name="40% - Accent6 2 5 2 3" xfId="10111" xr:uid="{00000000-0005-0000-0000-00002F240000}"/>
    <cellStyle name="40% - Accent6 2 5 3" xfId="1656" xr:uid="{00000000-0005-0000-0000-000030240000}"/>
    <cellStyle name="40% - Accent6 2 5 3 2" xfId="54161" xr:uid="{00000000-0005-0000-0000-000031240000}"/>
    <cellStyle name="40% - Accent6 2 5 3 2 2" xfId="54162" xr:uid="{00000000-0005-0000-0000-000032240000}"/>
    <cellStyle name="40% - Accent6 2 5 3 3" xfId="54163" xr:uid="{00000000-0005-0000-0000-000033240000}"/>
    <cellStyle name="40% - Accent6 2 5 4" xfId="10112" xr:uid="{00000000-0005-0000-0000-000034240000}"/>
    <cellStyle name="40% - Accent6 2 5 4 2" xfId="54164" xr:uid="{00000000-0005-0000-0000-000035240000}"/>
    <cellStyle name="40% - Accent6 2 5 5" xfId="10113" xr:uid="{00000000-0005-0000-0000-000036240000}"/>
    <cellStyle name="40% - Accent6 2 6" xfId="1657" xr:uid="{00000000-0005-0000-0000-000037240000}"/>
    <cellStyle name="40% - Accent6 2 6 2" xfId="1658" xr:uid="{00000000-0005-0000-0000-000038240000}"/>
    <cellStyle name="40% - Accent6 2 6 2 2" xfId="54165" xr:uid="{00000000-0005-0000-0000-000039240000}"/>
    <cellStyle name="40% - Accent6 2 6 3" xfId="10114" xr:uid="{00000000-0005-0000-0000-00003A240000}"/>
    <cellStyle name="40% - Accent6 2 6 4" xfId="10115" xr:uid="{00000000-0005-0000-0000-00003B240000}"/>
    <cellStyle name="40% - Accent6 2 6 5" xfId="10116" xr:uid="{00000000-0005-0000-0000-00003C240000}"/>
    <cellStyle name="40% - Accent6 2 7" xfId="1659" xr:uid="{00000000-0005-0000-0000-00003D240000}"/>
    <cellStyle name="40% - Accent6 2 7 2" xfId="10117" xr:uid="{00000000-0005-0000-0000-00003E240000}"/>
    <cellStyle name="40% - Accent6 2 7 2 2" xfId="54166" xr:uid="{00000000-0005-0000-0000-00003F240000}"/>
    <cellStyle name="40% - Accent6 2 7 3" xfId="10118" xr:uid="{00000000-0005-0000-0000-000040240000}"/>
    <cellStyle name="40% - Accent6 2 8" xfId="10119" xr:uid="{00000000-0005-0000-0000-000041240000}"/>
    <cellStyle name="40% - Accent6 2 8 2" xfId="54167" xr:uid="{00000000-0005-0000-0000-000042240000}"/>
    <cellStyle name="40% - Accent6 2 9" xfId="10120" xr:uid="{00000000-0005-0000-0000-000043240000}"/>
    <cellStyle name="40% - Accent6 20" xfId="1660" xr:uid="{00000000-0005-0000-0000-000044240000}"/>
    <cellStyle name="40% - Accent6 20 2" xfId="1661" xr:uid="{00000000-0005-0000-0000-000045240000}"/>
    <cellStyle name="40% - Accent6 21" xfId="1662" xr:uid="{00000000-0005-0000-0000-000046240000}"/>
    <cellStyle name="40% - Accent6 21 2" xfId="1663" xr:uid="{00000000-0005-0000-0000-000047240000}"/>
    <cellStyle name="40% - Accent6 22" xfId="1664" xr:uid="{00000000-0005-0000-0000-000048240000}"/>
    <cellStyle name="40% - Accent6 22 2" xfId="1665" xr:uid="{00000000-0005-0000-0000-000049240000}"/>
    <cellStyle name="40% - Accent6 23" xfId="1666" xr:uid="{00000000-0005-0000-0000-00004A240000}"/>
    <cellStyle name="40% - Accent6 23 2" xfId="1667" xr:uid="{00000000-0005-0000-0000-00004B240000}"/>
    <cellStyle name="40% - Accent6 24" xfId="1668" xr:uid="{00000000-0005-0000-0000-00004C240000}"/>
    <cellStyle name="40% - Accent6 24 2" xfId="1669" xr:uid="{00000000-0005-0000-0000-00004D240000}"/>
    <cellStyle name="40% - Accent6 25" xfId="1670" xr:uid="{00000000-0005-0000-0000-00004E240000}"/>
    <cellStyle name="40% - Accent6 25 2" xfId="1671" xr:uid="{00000000-0005-0000-0000-00004F240000}"/>
    <cellStyle name="40% - Accent6 26" xfId="1672" xr:uid="{00000000-0005-0000-0000-000050240000}"/>
    <cellStyle name="40% - Accent6 26 2" xfId="1673" xr:uid="{00000000-0005-0000-0000-000051240000}"/>
    <cellStyle name="40% - Accent6 27" xfId="1674" xr:uid="{00000000-0005-0000-0000-000052240000}"/>
    <cellStyle name="40% - Accent6 27 2" xfId="1675" xr:uid="{00000000-0005-0000-0000-000053240000}"/>
    <cellStyle name="40% - Accent6 28" xfId="1676" xr:uid="{00000000-0005-0000-0000-000054240000}"/>
    <cellStyle name="40% - Accent6 28 2" xfId="1677" xr:uid="{00000000-0005-0000-0000-000055240000}"/>
    <cellStyle name="40% - Accent6 29" xfId="1678" xr:uid="{00000000-0005-0000-0000-000056240000}"/>
    <cellStyle name="40% - Accent6 29 2" xfId="1679" xr:uid="{00000000-0005-0000-0000-000057240000}"/>
    <cellStyle name="40% - Accent6 3" xfId="1680" xr:uid="{00000000-0005-0000-0000-000058240000}"/>
    <cellStyle name="40% - Accent6 3 10" xfId="10121" xr:uid="{00000000-0005-0000-0000-000059240000}"/>
    <cellStyle name="40% - Accent6 3 11" xfId="10122" xr:uid="{00000000-0005-0000-0000-00005A240000}"/>
    <cellStyle name="40% - Accent6 3 12" xfId="10123" xr:uid="{00000000-0005-0000-0000-00005B240000}"/>
    <cellStyle name="40% - Accent6 3 13" xfId="10124" xr:uid="{00000000-0005-0000-0000-00005C240000}"/>
    <cellStyle name="40% - Accent6 3 2" xfId="1681" xr:uid="{00000000-0005-0000-0000-00005D240000}"/>
    <cellStyle name="40% - Accent6 3 2 10" xfId="10125" xr:uid="{00000000-0005-0000-0000-00005E240000}"/>
    <cellStyle name="40% - Accent6 3 2 11" xfId="10126" xr:uid="{00000000-0005-0000-0000-00005F240000}"/>
    <cellStyle name="40% - Accent6 3 2 2" xfId="1682" xr:uid="{00000000-0005-0000-0000-000060240000}"/>
    <cellStyle name="40% - Accent6 3 2 2 10" xfId="10127" xr:uid="{00000000-0005-0000-0000-000061240000}"/>
    <cellStyle name="40% - Accent6 3 2 2 2" xfId="10128" xr:uid="{00000000-0005-0000-0000-000062240000}"/>
    <cellStyle name="40% - Accent6 3 2 2 2 2" xfId="10129" xr:uid="{00000000-0005-0000-0000-000063240000}"/>
    <cellStyle name="40% - Accent6 3 2 2 2 2 2" xfId="10130" xr:uid="{00000000-0005-0000-0000-000064240000}"/>
    <cellStyle name="40% - Accent6 3 2 2 2 2 3" xfId="10131" xr:uid="{00000000-0005-0000-0000-000065240000}"/>
    <cellStyle name="40% - Accent6 3 2 2 2 3" xfId="10132" xr:uid="{00000000-0005-0000-0000-000066240000}"/>
    <cellStyle name="40% - Accent6 3 2 2 2 3 2" xfId="10133" xr:uid="{00000000-0005-0000-0000-000067240000}"/>
    <cellStyle name="40% - Accent6 3 2 2 2 3 3" xfId="10134" xr:uid="{00000000-0005-0000-0000-000068240000}"/>
    <cellStyle name="40% - Accent6 3 2 2 2 4" xfId="10135" xr:uid="{00000000-0005-0000-0000-000069240000}"/>
    <cellStyle name="40% - Accent6 3 2 2 2 5" xfId="10136" xr:uid="{00000000-0005-0000-0000-00006A240000}"/>
    <cellStyle name="40% - Accent6 3 2 2 2 6" xfId="10137" xr:uid="{00000000-0005-0000-0000-00006B240000}"/>
    <cellStyle name="40% - Accent6 3 2 2 3" xfId="10138" xr:uid="{00000000-0005-0000-0000-00006C240000}"/>
    <cellStyle name="40% - Accent6 3 2 2 3 2" xfId="10139" xr:uid="{00000000-0005-0000-0000-00006D240000}"/>
    <cellStyle name="40% - Accent6 3 2 2 3 2 2" xfId="54168" xr:uid="{00000000-0005-0000-0000-00006E240000}"/>
    <cellStyle name="40% - Accent6 3 2 2 3 3" xfId="10140" xr:uid="{00000000-0005-0000-0000-00006F240000}"/>
    <cellStyle name="40% - Accent6 3 2 2 4" xfId="10141" xr:uid="{00000000-0005-0000-0000-000070240000}"/>
    <cellStyle name="40% - Accent6 3 2 2 4 2" xfId="10142" xr:uid="{00000000-0005-0000-0000-000071240000}"/>
    <cellStyle name="40% - Accent6 3 2 2 4 3" xfId="10143" xr:uid="{00000000-0005-0000-0000-000072240000}"/>
    <cellStyle name="40% - Accent6 3 2 2 5" xfId="10144" xr:uid="{00000000-0005-0000-0000-000073240000}"/>
    <cellStyle name="40% - Accent6 3 2 2 6" xfId="10145" xr:uid="{00000000-0005-0000-0000-000074240000}"/>
    <cellStyle name="40% - Accent6 3 2 2 7" xfId="10146" xr:uid="{00000000-0005-0000-0000-000075240000}"/>
    <cellStyle name="40% - Accent6 3 2 2 8" xfId="10147" xr:uid="{00000000-0005-0000-0000-000076240000}"/>
    <cellStyle name="40% - Accent6 3 2 2 9" xfId="10148" xr:uid="{00000000-0005-0000-0000-000077240000}"/>
    <cellStyle name="40% - Accent6 3 2 3" xfId="10149" xr:uid="{00000000-0005-0000-0000-000078240000}"/>
    <cellStyle name="40% - Accent6 3 2 3 2" xfId="10150" xr:uid="{00000000-0005-0000-0000-000079240000}"/>
    <cellStyle name="40% - Accent6 3 2 3 2 2" xfId="10151" xr:uid="{00000000-0005-0000-0000-00007A240000}"/>
    <cellStyle name="40% - Accent6 3 2 3 2 3" xfId="10152" xr:uid="{00000000-0005-0000-0000-00007B240000}"/>
    <cellStyle name="40% - Accent6 3 2 3 3" xfId="10153" xr:uid="{00000000-0005-0000-0000-00007C240000}"/>
    <cellStyle name="40% - Accent6 3 2 3 3 2" xfId="10154" xr:uid="{00000000-0005-0000-0000-00007D240000}"/>
    <cellStyle name="40% - Accent6 3 2 3 3 3" xfId="10155" xr:uid="{00000000-0005-0000-0000-00007E240000}"/>
    <cellStyle name="40% - Accent6 3 2 3 4" xfId="10156" xr:uid="{00000000-0005-0000-0000-00007F240000}"/>
    <cellStyle name="40% - Accent6 3 2 3 5" xfId="10157" xr:uid="{00000000-0005-0000-0000-000080240000}"/>
    <cellStyle name="40% - Accent6 3 2 3 6" xfId="10158" xr:uid="{00000000-0005-0000-0000-000081240000}"/>
    <cellStyle name="40% - Accent6 3 2 4" xfId="10159" xr:uid="{00000000-0005-0000-0000-000082240000}"/>
    <cellStyle name="40% - Accent6 3 2 4 2" xfId="10160" xr:uid="{00000000-0005-0000-0000-000083240000}"/>
    <cellStyle name="40% - Accent6 3 2 4 2 2" xfId="54169" xr:uid="{00000000-0005-0000-0000-000084240000}"/>
    <cellStyle name="40% - Accent6 3 2 4 3" xfId="10161" xr:uid="{00000000-0005-0000-0000-000085240000}"/>
    <cellStyle name="40% - Accent6 3 2 5" xfId="10162" xr:uid="{00000000-0005-0000-0000-000086240000}"/>
    <cellStyle name="40% - Accent6 3 2 5 2" xfId="10163" xr:uid="{00000000-0005-0000-0000-000087240000}"/>
    <cellStyle name="40% - Accent6 3 2 5 3" xfId="10164" xr:uid="{00000000-0005-0000-0000-000088240000}"/>
    <cellStyle name="40% - Accent6 3 2 6" xfId="10165" xr:uid="{00000000-0005-0000-0000-000089240000}"/>
    <cellStyle name="40% - Accent6 3 2 7" xfId="10166" xr:uid="{00000000-0005-0000-0000-00008A240000}"/>
    <cellStyle name="40% - Accent6 3 2 8" xfId="10167" xr:uid="{00000000-0005-0000-0000-00008B240000}"/>
    <cellStyle name="40% - Accent6 3 2 9" xfId="10168" xr:uid="{00000000-0005-0000-0000-00008C240000}"/>
    <cellStyle name="40% - Accent6 3 3" xfId="1683" xr:uid="{00000000-0005-0000-0000-00008D240000}"/>
    <cellStyle name="40% - Accent6 3 3 10" xfId="10169" xr:uid="{00000000-0005-0000-0000-00008E240000}"/>
    <cellStyle name="40% - Accent6 3 3 2" xfId="10170" xr:uid="{00000000-0005-0000-0000-00008F240000}"/>
    <cellStyle name="40% - Accent6 3 3 2 2" xfId="10171" xr:uid="{00000000-0005-0000-0000-000090240000}"/>
    <cellStyle name="40% - Accent6 3 3 2 2 2" xfId="10172" xr:uid="{00000000-0005-0000-0000-000091240000}"/>
    <cellStyle name="40% - Accent6 3 3 2 2 2 2" xfId="54170" xr:uid="{00000000-0005-0000-0000-000092240000}"/>
    <cellStyle name="40% - Accent6 3 3 2 2 3" xfId="10173" xr:uid="{00000000-0005-0000-0000-000093240000}"/>
    <cellStyle name="40% - Accent6 3 3 2 3" xfId="10174" xr:uid="{00000000-0005-0000-0000-000094240000}"/>
    <cellStyle name="40% - Accent6 3 3 2 3 2" xfId="10175" xr:uid="{00000000-0005-0000-0000-000095240000}"/>
    <cellStyle name="40% - Accent6 3 3 2 3 2 2" xfId="54171" xr:uid="{00000000-0005-0000-0000-000096240000}"/>
    <cellStyle name="40% - Accent6 3 3 2 3 3" xfId="10176" xr:uid="{00000000-0005-0000-0000-000097240000}"/>
    <cellStyle name="40% - Accent6 3 3 2 4" xfId="10177" xr:uid="{00000000-0005-0000-0000-000098240000}"/>
    <cellStyle name="40% - Accent6 3 3 2 4 2" xfId="54172" xr:uid="{00000000-0005-0000-0000-000099240000}"/>
    <cellStyle name="40% - Accent6 3 3 2 5" xfId="10178" xr:uid="{00000000-0005-0000-0000-00009A240000}"/>
    <cellStyle name="40% - Accent6 3 3 2 6" xfId="10179" xr:uid="{00000000-0005-0000-0000-00009B240000}"/>
    <cellStyle name="40% - Accent6 3 3 3" xfId="10180" xr:uid="{00000000-0005-0000-0000-00009C240000}"/>
    <cellStyle name="40% - Accent6 3 3 3 2" xfId="10181" xr:uid="{00000000-0005-0000-0000-00009D240000}"/>
    <cellStyle name="40% - Accent6 3 3 3 2 2" xfId="54173" xr:uid="{00000000-0005-0000-0000-00009E240000}"/>
    <cellStyle name="40% - Accent6 3 3 3 3" xfId="10182" xr:uid="{00000000-0005-0000-0000-00009F240000}"/>
    <cellStyle name="40% - Accent6 3 3 4" xfId="10183" xr:uid="{00000000-0005-0000-0000-0000A0240000}"/>
    <cellStyle name="40% - Accent6 3 3 4 2" xfId="10184" xr:uid="{00000000-0005-0000-0000-0000A1240000}"/>
    <cellStyle name="40% - Accent6 3 3 4 2 2" xfId="54174" xr:uid="{00000000-0005-0000-0000-0000A2240000}"/>
    <cellStyle name="40% - Accent6 3 3 4 3" xfId="10185" xr:uid="{00000000-0005-0000-0000-0000A3240000}"/>
    <cellStyle name="40% - Accent6 3 3 5" xfId="10186" xr:uid="{00000000-0005-0000-0000-0000A4240000}"/>
    <cellStyle name="40% - Accent6 3 3 5 2" xfId="54175" xr:uid="{00000000-0005-0000-0000-0000A5240000}"/>
    <cellStyle name="40% - Accent6 3 3 6" xfId="10187" xr:uid="{00000000-0005-0000-0000-0000A6240000}"/>
    <cellStyle name="40% - Accent6 3 3 7" xfId="10188" xr:uid="{00000000-0005-0000-0000-0000A7240000}"/>
    <cellStyle name="40% - Accent6 3 3 8" xfId="10189" xr:uid="{00000000-0005-0000-0000-0000A8240000}"/>
    <cellStyle name="40% - Accent6 3 3 9" xfId="10190" xr:uid="{00000000-0005-0000-0000-0000A9240000}"/>
    <cellStyle name="40% - Accent6 3 4" xfId="10191" xr:uid="{00000000-0005-0000-0000-0000AA240000}"/>
    <cellStyle name="40% - Accent6 3 4 2" xfId="10192" xr:uid="{00000000-0005-0000-0000-0000AB240000}"/>
    <cellStyle name="40% - Accent6 3 4 2 2" xfId="10193" xr:uid="{00000000-0005-0000-0000-0000AC240000}"/>
    <cellStyle name="40% - Accent6 3 4 2 2 2" xfId="54176" xr:uid="{00000000-0005-0000-0000-0000AD240000}"/>
    <cellStyle name="40% - Accent6 3 4 2 3" xfId="10194" xr:uid="{00000000-0005-0000-0000-0000AE240000}"/>
    <cellStyle name="40% - Accent6 3 4 3" xfId="10195" xr:uid="{00000000-0005-0000-0000-0000AF240000}"/>
    <cellStyle name="40% - Accent6 3 4 3 2" xfId="10196" xr:uid="{00000000-0005-0000-0000-0000B0240000}"/>
    <cellStyle name="40% - Accent6 3 4 3 2 2" xfId="54177" xr:uid="{00000000-0005-0000-0000-0000B1240000}"/>
    <cellStyle name="40% - Accent6 3 4 3 3" xfId="10197" xr:uid="{00000000-0005-0000-0000-0000B2240000}"/>
    <cellStyle name="40% - Accent6 3 4 4" xfId="10198" xr:uid="{00000000-0005-0000-0000-0000B3240000}"/>
    <cellStyle name="40% - Accent6 3 4 4 2" xfId="54178" xr:uid="{00000000-0005-0000-0000-0000B4240000}"/>
    <cellStyle name="40% - Accent6 3 4 5" xfId="10199" xr:uid="{00000000-0005-0000-0000-0000B5240000}"/>
    <cellStyle name="40% - Accent6 3 4 6" xfId="10200" xr:uid="{00000000-0005-0000-0000-0000B6240000}"/>
    <cellStyle name="40% - Accent6 3 5" xfId="10201" xr:uid="{00000000-0005-0000-0000-0000B7240000}"/>
    <cellStyle name="40% - Accent6 3 5 2" xfId="10202" xr:uid="{00000000-0005-0000-0000-0000B8240000}"/>
    <cellStyle name="40% - Accent6 3 5 2 2" xfId="54179" xr:uid="{00000000-0005-0000-0000-0000B9240000}"/>
    <cellStyle name="40% - Accent6 3 5 3" xfId="10203" xr:uid="{00000000-0005-0000-0000-0000BA240000}"/>
    <cellStyle name="40% - Accent6 3 6" xfId="10204" xr:uid="{00000000-0005-0000-0000-0000BB240000}"/>
    <cellStyle name="40% - Accent6 3 6 2" xfId="10205" xr:uid="{00000000-0005-0000-0000-0000BC240000}"/>
    <cellStyle name="40% - Accent6 3 6 2 2" xfId="54180" xr:uid="{00000000-0005-0000-0000-0000BD240000}"/>
    <cellStyle name="40% - Accent6 3 6 3" xfId="10206" xr:uid="{00000000-0005-0000-0000-0000BE240000}"/>
    <cellStyle name="40% - Accent6 3 7" xfId="10207" xr:uid="{00000000-0005-0000-0000-0000BF240000}"/>
    <cellStyle name="40% - Accent6 3 7 2" xfId="54181" xr:uid="{00000000-0005-0000-0000-0000C0240000}"/>
    <cellStyle name="40% - Accent6 3 8" xfId="10208" xr:uid="{00000000-0005-0000-0000-0000C1240000}"/>
    <cellStyle name="40% - Accent6 3 9" xfId="10209" xr:uid="{00000000-0005-0000-0000-0000C2240000}"/>
    <cellStyle name="40% - Accent6 30" xfId="1684" xr:uid="{00000000-0005-0000-0000-0000C3240000}"/>
    <cellStyle name="40% - Accent6 30 2" xfId="1685" xr:uid="{00000000-0005-0000-0000-0000C4240000}"/>
    <cellStyle name="40% - Accent6 31" xfId="1686" xr:uid="{00000000-0005-0000-0000-0000C5240000}"/>
    <cellStyle name="40% - Accent6 31 2" xfId="1687" xr:uid="{00000000-0005-0000-0000-0000C6240000}"/>
    <cellStyle name="40% - Accent6 32" xfId="1688" xr:uid="{00000000-0005-0000-0000-0000C7240000}"/>
    <cellStyle name="40% - Accent6 32 2" xfId="1689" xr:uid="{00000000-0005-0000-0000-0000C8240000}"/>
    <cellStyle name="40% - Accent6 33" xfId="1690" xr:uid="{00000000-0005-0000-0000-0000C9240000}"/>
    <cellStyle name="40% - Accent6 33 2" xfId="1691" xr:uid="{00000000-0005-0000-0000-0000CA240000}"/>
    <cellStyle name="40% - Accent6 34" xfId="1692" xr:uid="{00000000-0005-0000-0000-0000CB240000}"/>
    <cellStyle name="40% - Accent6 34 2" xfId="1693" xr:uid="{00000000-0005-0000-0000-0000CC240000}"/>
    <cellStyle name="40% - Accent6 35" xfId="1694" xr:uid="{00000000-0005-0000-0000-0000CD240000}"/>
    <cellStyle name="40% - Accent6 35 2" xfId="1695" xr:uid="{00000000-0005-0000-0000-0000CE240000}"/>
    <cellStyle name="40% - Accent6 36" xfId="1696" xr:uid="{00000000-0005-0000-0000-0000CF240000}"/>
    <cellStyle name="40% - Accent6 36 2" xfId="1697" xr:uid="{00000000-0005-0000-0000-0000D0240000}"/>
    <cellStyle name="40% - Accent6 37" xfId="1698" xr:uid="{00000000-0005-0000-0000-0000D1240000}"/>
    <cellStyle name="40% - Accent6 37 2" xfId="1699" xr:uid="{00000000-0005-0000-0000-0000D2240000}"/>
    <cellStyle name="40% - Accent6 38" xfId="1700" xr:uid="{00000000-0005-0000-0000-0000D3240000}"/>
    <cellStyle name="40% - Accent6 39" xfId="1701" xr:uid="{00000000-0005-0000-0000-0000D4240000}"/>
    <cellStyle name="40% - Accent6 4" xfId="1702" xr:uid="{00000000-0005-0000-0000-0000D5240000}"/>
    <cellStyle name="40% - Accent6 4 10" xfId="10210" xr:uid="{00000000-0005-0000-0000-0000D6240000}"/>
    <cellStyle name="40% - Accent6 4 11" xfId="10211" xr:uid="{00000000-0005-0000-0000-0000D7240000}"/>
    <cellStyle name="40% - Accent6 4 12" xfId="10212" xr:uid="{00000000-0005-0000-0000-0000D8240000}"/>
    <cellStyle name="40% - Accent6 4 13" xfId="10213" xr:uid="{00000000-0005-0000-0000-0000D9240000}"/>
    <cellStyle name="40% - Accent6 4 14" xfId="10214" xr:uid="{00000000-0005-0000-0000-0000DA240000}"/>
    <cellStyle name="40% - Accent6 4 2" xfId="1703" xr:uid="{00000000-0005-0000-0000-0000DB240000}"/>
    <cellStyle name="40% - Accent6 4 2 10" xfId="10215" xr:uid="{00000000-0005-0000-0000-0000DC240000}"/>
    <cellStyle name="40% - Accent6 4 2 11" xfId="10216" xr:uid="{00000000-0005-0000-0000-0000DD240000}"/>
    <cellStyle name="40% - Accent6 4 2 2" xfId="1704" xr:uid="{00000000-0005-0000-0000-0000DE240000}"/>
    <cellStyle name="40% - Accent6 4 2 2 2" xfId="10217" xr:uid="{00000000-0005-0000-0000-0000DF240000}"/>
    <cellStyle name="40% - Accent6 4 2 2 2 2" xfId="10218" xr:uid="{00000000-0005-0000-0000-0000E0240000}"/>
    <cellStyle name="40% - Accent6 4 2 2 2 2 2" xfId="10219" xr:uid="{00000000-0005-0000-0000-0000E1240000}"/>
    <cellStyle name="40% - Accent6 4 2 2 2 2 3" xfId="10220" xr:uid="{00000000-0005-0000-0000-0000E2240000}"/>
    <cellStyle name="40% - Accent6 4 2 2 2 3" xfId="10221" xr:uid="{00000000-0005-0000-0000-0000E3240000}"/>
    <cellStyle name="40% - Accent6 4 2 2 2 3 2" xfId="10222" xr:uid="{00000000-0005-0000-0000-0000E4240000}"/>
    <cellStyle name="40% - Accent6 4 2 2 2 3 3" xfId="10223" xr:uid="{00000000-0005-0000-0000-0000E5240000}"/>
    <cellStyle name="40% - Accent6 4 2 2 2 4" xfId="10224" xr:uid="{00000000-0005-0000-0000-0000E6240000}"/>
    <cellStyle name="40% - Accent6 4 2 2 2 5" xfId="10225" xr:uid="{00000000-0005-0000-0000-0000E7240000}"/>
    <cellStyle name="40% - Accent6 4 2 2 2 6" xfId="10226" xr:uid="{00000000-0005-0000-0000-0000E8240000}"/>
    <cellStyle name="40% - Accent6 4 2 2 3" xfId="10227" xr:uid="{00000000-0005-0000-0000-0000E9240000}"/>
    <cellStyle name="40% - Accent6 4 2 2 3 2" xfId="10228" xr:uid="{00000000-0005-0000-0000-0000EA240000}"/>
    <cellStyle name="40% - Accent6 4 2 2 3 3" xfId="10229" xr:uid="{00000000-0005-0000-0000-0000EB240000}"/>
    <cellStyle name="40% - Accent6 4 2 2 4" xfId="10230" xr:uid="{00000000-0005-0000-0000-0000EC240000}"/>
    <cellStyle name="40% - Accent6 4 2 2 4 2" xfId="10231" xr:uid="{00000000-0005-0000-0000-0000ED240000}"/>
    <cellStyle name="40% - Accent6 4 2 2 4 3" xfId="10232" xr:uid="{00000000-0005-0000-0000-0000EE240000}"/>
    <cellStyle name="40% - Accent6 4 2 2 5" xfId="10233" xr:uid="{00000000-0005-0000-0000-0000EF240000}"/>
    <cellStyle name="40% - Accent6 4 2 2 6" xfId="10234" xr:uid="{00000000-0005-0000-0000-0000F0240000}"/>
    <cellStyle name="40% - Accent6 4 2 2 7" xfId="10235" xr:uid="{00000000-0005-0000-0000-0000F1240000}"/>
    <cellStyle name="40% - Accent6 4 2 2 8" xfId="10236" xr:uid="{00000000-0005-0000-0000-0000F2240000}"/>
    <cellStyle name="40% - Accent6 4 2 3" xfId="1705" xr:uid="{00000000-0005-0000-0000-0000F3240000}"/>
    <cellStyle name="40% - Accent6 4 2 3 2" xfId="10237" xr:uid="{00000000-0005-0000-0000-0000F4240000}"/>
    <cellStyle name="40% - Accent6 4 2 3 2 2" xfId="10238" xr:uid="{00000000-0005-0000-0000-0000F5240000}"/>
    <cellStyle name="40% - Accent6 4 2 3 2 3" xfId="10239" xr:uid="{00000000-0005-0000-0000-0000F6240000}"/>
    <cellStyle name="40% - Accent6 4 2 3 3" xfId="10240" xr:uid="{00000000-0005-0000-0000-0000F7240000}"/>
    <cellStyle name="40% - Accent6 4 2 3 3 2" xfId="10241" xr:uid="{00000000-0005-0000-0000-0000F8240000}"/>
    <cellStyle name="40% - Accent6 4 2 3 3 3" xfId="10242" xr:uid="{00000000-0005-0000-0000-0000F9240000}"/>
    <cellStyle name="40% - Accent6 4 2 3 4" xfId="10243" xr:uid="{00000000-0005-0000-0000-0000FA240000}"/>
    <cellStyle name="40% - Accent6 4 2 3 5" xfId="10244" xr:uid="{00000000-0005-0000-0000-0000FB240000}"/>
    <cellStyle name="40% - Accent6 4 2 3 6" xfId="10245" xr:uid="{00000000-0005-0000-0000-0000FC240000}"/>
    <cellStyle name="40% - Accent6 4 2 4" xfId="10246" xr:uid="{00000000-0005-0000-0000-0000FD240000}"/>
    <cellStyle name="40% - Accent6 4 2 4 2" xfId="10247" xr:uid="{00000000-0005-0000-0000-0000FE240000}"/>
    <cellStyle name="40% - Accent6 4 2 4 3" xfId="10248" xr:uid="{00000000-0005-0000-0000-0000FF240000}"/>
    <cellStyle name="40% - Accent6 4 2 5" xfId="10249" xr:uid="{00000000-0005-0000-0000-000000250000}"/>
    <cellStyle name="40% - Accent6 4 2 5 2" xfId="10250" xr:uid="{00000000-0005-0000-0000-000001250000}"/>
    <cellStyle name="40% - Accent6 4 2 5 3" xfId="10251" xr:uid="{00000000-0005-0000-0000-000002250000}"/>
    <cellStyle name="40% - Accent6 4 2 6" xfId="10252" xr:uid="{00000000-0005-0000-0000-000003250000}"/>
    <cellStyle name="40% - Accent6 4 2 7" xfId="10253" xr:uid="{00000000-0005-0000-0000-000004250000}"/>
    <cellStyle name="40% - Accent6 4 2 8" xfId="10254" xr:uid="{00000000-0005-0000-0000-000005250000}"/>
    <cellStyle name="40% - Accent6 4 2 9" xfId="10255" xr:uid="{00000000-0005-0000-0000-000006250000}"/>
    <cellStyle name="40% - Accent6 4 3" xfId="1706" xr:uid="{00000000-0005-0000-0000-000007250000}"/>
    <cellStyle name="40% - Accent6 4 3 10" xfId="10256" xr:uid="{00000000-0005-0000-0000-000008250000}"/>
    <cellStyle name="40% - Accent6 4 3 2" xfId="10257" xr:uid="{00000000-0005-0000-0000-000009250000}"/>
    <cellStyle name="40% - Accent6 4 3 2 2" xfId="10258" xr:uid="{00000000-0005-0000-0000-00000A250000}"/>
    <cellStyle name="40% - Accent6 4 3 2 2 2" xfId="10259" xr:uid="{00000000-0005-0000-0000-00000B250000}"/>
    <cellStyle name="40% - Accent6 4 3 2 2 3" xfId="10260" xr:uid="{00000000-0005-0000-0000-00000C250000}"/>
    <cellStyle name="40% - Accent6 4 3 2 3" xfId="10261" xr:uid="{00000000-0005-0000-0000-00000D250000}"/>
    <cellStyle name="40% - Accent6 4 3 2 3 2" xfId="10262" xr:uid="{00000000-0005-0000-0000-00000E250000}"/>
    <cellStyle name="40% - Accent6 4 3 2 3 3" xfId="10263" xr:uid="{00000000-0005-0000-0000-00000F250000}"/>
    <cellStyle name="40% - Accent6 4 3 2 4" xfId="10264" xr:uid="{00000000-0005-0000-0000-000010250000}"/>
    <cellStyle name="40% - Accent6 4 3 2 5" xfId="10265" xr:uid="{00000000-0005-0000-0000-000011250000}"/>
    <cellStyle name="40% - Accent6 4 3 2 6" xfId="10266" xr:uid="{00000000-0005-0000-0000-000012250000}"/>
    <cellStyle name="40% - Accent6 4 3 3" xfId="10267" xr:uid="{00000000-0005-0000-0000-000013250000}"/>
    <cellStyle name="40% - Accent6 4 3 3 2" xfId="10268" xr:uid="{00000000-0005-0000-0000-000014250000}"/>
    <cellStyle name="40% - Accent6 4 3 3 3" xfId="10269" xr:uid="{00000000-0005-0000-0000-000015250000}"/>
    <cellStyle name="40% - Accent6 4 3 4" xfId="10270" xr:uid="{00000000-0005-0000-0000-000016250000}"/>
    <cellStyle name="40% - Accent6 4 3 4 2" xfId="10271" xr:uid="{00000000-0005-0000-0000-000017250000}"/>
    <cellStyle name="40% - Accent6 4 3 4 3" xfId="10272" xr:uid="{00000000-0005-0000-0000-000018250000}"/>
    <cellStyle name="40% - Accent6 4 3 5" xfId="10273" xr:uid="{00000000-0005-0000-0000-000019250000}"/>
    <cellStyle name="40% - Accent6 4 3 6" xfId="10274" xr:uid="{00000000-0005-0000-0000-00001A250000}"/>
    <cellStyle name="40% - Accent6 4 3 7" xfId="10275" xr:uid="{00000000-0005-0000-0000-00001B250000}"/>
    <cellStyle name="40% - Accent6 4 3 8" xfId="10276" xr:uid="{00000000-0005-0000-0000-00001C250000}"/>
    <cellStyle name="40% - Accent6 4 3 9" xfId="10277" xr:uid="{00000000-0005-0000-0000-00001D250000}"/>
    <cellStyle name="40% - Accent6 4 4" xfId="1707" xr:uid="{00000000-0005-0000-0000-00001E250000}"/>
    <cellStyle name="40% - Accent6 4 4 2" xfId="10278" xr:uid="{00000000-0005-0000-0000-00001F250000}"/>
    <cellStyle name="40% - Accent6 4 4 2 2" xfId="10279" xr:uid="{00000000-0005-0000-0000-000020250000}"/>
    <cellStyle name="40% - Accent6 4 4 2 3" xfId="10280" xr:uid="{00000000-0005-0000-0000-000021250000}"/>
    <cellStyle name="40% - Accent6 4 4 3" xfId="10281" xr:uid="{00000000-0005-0000-0000-000022250000}"/>
    <cellStyle name="40% - Accent6 4 4 3 2" xfId="10282" xr:uid="{00000000-0005-0000-0000-000023250000}"/>
    <cellStyle name="40% - Accent6 4 4 3 3" xfId="10283" xr:uid="{00000000-0005-0000-0000-000024250000}"/>
    <cellStyle name="40% - Accent6 4 4 4" xfId="10284" xr:uid="{00000000-0005-0000-0000-000025250000}"/>
    <cellStyle name="40% - Accent6 4 4 5" xfId="10285" xr:uid="{00000000-0005-0000-0000-000026250000}"/>
    <cellStyle name="40% - Accent6 4 4 6" xfId="10286" xr:uid="{00000000-0005-0000-0000-000027250000}"/>
    <cellStyle name="40% - Accent6 4 5" xfId="10287" xr:uid="{00000000-0005-0000-0000-000028250000}"/>
    <cellStyle name="40% - Accent6 4 5 2" xfId="10288" xr:uid="{00000000-0005-0000-0000-000029250000}"/>
    <cellStyle name="40% - Accent6 4 5 3" xfId="10289" xr:uid="{00000000-0005-0000-0000-00002A250000}"/>
    <cellStyle name="40% - Accent6 4 6" xfId="10290" xr:uid="{00000000-0005-0000-0000-00002B250000}"/>
    <cellStyle name="40% - Accent6 4 6 2" xfId="10291" xr:uid="{00000000-0005-0000-0000-00002C250000}"/>
    <cellStyle name="40% - Accent6 4 6 3" xfId="10292" xr:uid="{00000000-0005-0000-0000-00002D250000}"/>
    <cellStyle name="40% - Accent6 4 7" xfId="10293" xr:uid="{00000000-0005-0000-0000-00002E250000}"/>
    <cellStyle name="40% - Accent6 4 8" xfId="10294" xr:uid="{00000000-0005-0000-0000-00002F250000}"/>
    <cellStyle name="40% - Accent6 4 9" xfId="10295" xr:uid="{00000000-0005-0000-0000-000030250000}"/>
    <cellStyle name="40% - Accent6 40" xfId="1708" xr:uid="{00000000-0005-0000-0000-000031250000}"/>
    <cellStyle name="40% - Accent6 41" xfId="1709" xr:uid="{00000000-0005-0000-0000-000032250000}"/>
    <cellStyle name="40% - Accent6 42" xfId="1710" xr:uid="{00000000-0005-0000-0000-000033250000}"/>
    <cellStyle name="40% - Accent6 43" xfId="10296" xr:uid="{00000000-0005-0000-0000-000034250000}"/>
    <cellStyle name="40% - Accent6 44" xfId="10297" xr:uid="{00000000-0005-0000-0000-000035250000}"/>
    <cellStyle name="40% - Accent6 45" xfId="10298" xr:uid="{00000000-0005-0000-0000-000036250000}"/>
    <cellStyle name="40% - Accent6 46" xfId="10299" xr:uid="{00000000-0005-0000-0000-000037250000}"/>
    <cellStyle name="40% - Accent6 47" xfId="10300" xr:uid="{00000000-0005-0000-0000-000038250000}"/>
    <cellStyle name="40% - Accent6 48" xfId="10301" xr:uid="{00000000-0005-0000-0000-000039250000}"/>
    <cellStyle name="40% - Accent6 5" xfId="1711" xr:uid="{00000000-0005-0000-0000-00003A250000}"/>
    <cellStyle name="40% - Accent6 5 2" xfId="1712" xr:uid="{00000000-0005-0000-0000-00003B250000}"/>
    <cellStyle name="40% - Accent6 5 2 2" xfId="1713" xr:uid="{00000000-0005-0000-0000-00003C250000}"/>
    <cellStyle name="40% - Accent6 5 2 2 2" xfId="54182" xr:uid="{00000000-0005-0000-0000-00003D250000}"/>
    <cellStyle name="40% - Accent6 5 2 2 2 2" xfId="54183" xr:uid="{00000000-0005-0000-0000-00003E250000}"/>
    <cellStyle name="40% - Accent6 5 2 2 3" xfId="54184" xr:uid="{00000000-0005-0000-0000-00003F250000}"/>
    <cellStyle name="40% - Accent6 5 2 3" xfId="1714" xr:uid="{00000000-0005-0000-0000-000040250000}"/>
    <cellStyle name="40% - Accent6 5 2 3 2" xfId="54185" xr:uid="{00000000-0005-0000-0000-000041250000}"/>
    <cellStyle name="40% - Accent6 5 2 3 2 2" xfId="54186" xr:uid="{00000000-0005-0000-0000-000042250000}"/>
    <cellStyle name="40% - Accent6 5 2 3 3" xfId="54187" xr:uid="{00000000-0005-0000-0000-000043250000}"/>
    <cellStyle name="40% - Accent6 5 2 4" xfId="54188" xr:uid="{00000000-0005-0000-0000-000044250000}"/>
    <cellStyle name="40% - Accent6 5 2 4 2" xfId="54189" xr:uid="{00000000-0005-0000-0000-000045250000}"/>
    <cellStyle name="40% - Accent6 5 2 5" xfId="54190" xr:uid="{00000000-0005-0000-0000-000046250000}"/>
    <cellStyle name="40% - Accent6 5 3" xfId="1715" xr:uid="{00000000-0005-0000-0000-000047250000}"/>
    <cellStyle name="40% - Accent6 5 3 2" xfId="54191" xr:uid="{00000000-0005-0000-0000-000048250000}"/>
    <cellStyle name="40% - Accent6 5 3 2 2" xfId="54192" xr:uid="{00000000-0005-0000-0000-000049250000}"/>
    <cellStyle name="40% - Accent6 5 3 3" xfId="54193" xr:uid="{00000000-0005-0000-0000-00004A250000}"/>
    <cellStyle name="40% - Accent6 5 4" xfId="1716" xr:uid="{00000000-0005-0000-0000-00004B250000}"/>
    <cellStyle name="40% - Accent6 5 4 2" xfId="54194" xr:uid="{00000000-0005-0000-0000-00004C250000}"/>
    <cellStyle name="40% - Accent6 5 4 2 2" xfId="54195" xr:uid="{00000000-0005-0000-0000-00004D250000}"/>
    <cellStyle name="40% - Accent6 5 4 3" xfId="54196" xr:uid="{00000000-0005-0000-0000-00004E250000}"/>
    <cellStyle name="40% - Accent6 5 5" xfId="10302" xr:uid="{00000000-0005-0000-0000-00004F250000}"/>
    <cellStyle name="40% - Accent6 5 5 2" xfId="54197" xr:uid="{00000000-0005-0000-0000-000050250000}"/>
    <cellStyle name="40% - Accent6 5 6" xfId="10303" xr:uid="{00000000-0005-0000-0000-000051250000}"/>
    <cellStyle name="40% - Accent6 6" xfId="1717" xr:uid="{00000000-0005-0000-0000-000052250000}"/>
    <cellStyle name="40% - Accent6 6 10" xfId="10304" xr:uid="{00000000-0005-0000-0000-000053250000}"/>
    <cellStyle name="40% - Accent6 6 11" xfId="10305" xr:uid="{00000000-0005-0000-0000-000054250000}"/>
    <cellStyle name="40% - Accent6 6 12" xfId="10306" xr:uid="{00000000-0005-0000-0000-000055250000}"/>
    <cellStyle name="40% - Accent6 6 2" xfId="1718" xr:uid="{00000000-0005-0000-0000-000056250000}"/>
    <cellStyle name="40% - Accent6 6 2 2" xfId="10307" xr:uid="{00000000-0005-0000-0000-000057250000}"/>
    <cellStyle name="40% - Accent6 6 2 2 2" xfId="10308" xr:uid="{00000000-0005-0000-0000-000058250000}"/>
    <cellStyle name="40% - Accent6 6 2 2 2 2" xfId="10309" xr:uid="{00000000-0005-0000-0000-000059250000}"/>
    <cellStyle name="40% - Accent6 6 2 2 2 3" xfId="10310" xr:uid="{00000000-0005-0000-0000-00005A250000}"/>
    <cellStyle name="40% - Accent6 6 2 2 3" xfId="10311" xr:uid="{00000000-0005-0000-0000-00005B250000}"/>
    <cellStyle name="40% - Accent6 6 2 2 3 2" xfId="10312" xr:uid="{00000000-0005-0000-0000-00005C250000}"/>
    <cellStyle name="40% - Accent6 6 2 2 3 3" xfId="10313" xr:uid="{00000000-0005-0000-0000-00005D250000}"/>
    <cellStyle name="40% - Accent6 6 2 2 4" xfId="10314" xr:uid="{00000000-0005-0000-0000-00005E250000}"/>
    <cellStyle name="40% - Accent6 6 2 2 5" xfId="10315" xr:uid="{00000000-0005-0000-0000-00005F250000}"/>
    <cellStyle name="40% - Accent6 6 2 2 6" xfId="10316" xr:uid="{00000000-0005-0000-0000-000060250000}"/>
    <cellStyle name="40% - Accent6 6 2 3" xfId="10317" xr:uid="{00000000-0005-0000-0000-000061250000}"/>
    <cellStyle name="40% - Accent6 6 2 3 2" xfId="10318" xr:uid="{00000000-0005-0000-0000-000062250000}"/>
    <cellStyle name="40% - Accent6 6 2 3 3" xfId="10319" xr:uid="{00000000-0005-0000-0000-000063250000}"/>
    <cellStyle name="40% - Accent6 6 2 4" xfId="10320" xr:uid="{00000000-0005-0000-0000-000064250000}"/>
    <cellStyle name="40% - Accent6 6 2 4 2" xfId="10321" xr:uid="{00000000-0005-0000-0000-000065250000}"/>
    <cellStyle name="40% - Accent6 6 2 4 3" xfId="10322" xr:uid="{00000000-0005-0000-0000-000066250000}"/>
    <cellStyle name="40% - Accent6 6 2 5" xfId="10323" xr:uid="{00000000-0005-0000-0000-000067250000}"/>
    <cellStyle name="40% - Accent6 6 2 6" xfId="10324" xr:uid="{00000000-0005-0000-0000-000068250000}"/>
    <cellStyle name="40% - Accent6 6 2 7" xfId="10325" xr:uid="{00000000-0005-0000-0000-000069250000}"/>
    <cellStyle name="40% - Accent6 6 2 8" xfId="10326" xr:uid="{00000000-0005-0000-0000-00006A250000}"/>
    <cellStyle name="40% - Accent6 6 3" xfId="1719" xr:uid="{00000000-0005-0000-0000-00006B250000}"/>
    <cellStyle name="40% - Accent6 6 3 2" xfId="10327" xr:uid="{00000000-0005-0000-0000-00006C250000}"/>
    <cellStyle name="40% - Accent6 6 3 2 2" xfId="10328" xr:uid="{00000000-0005-0000-0000-00006D250000}"/>
    <cellStyle name="40% - Accent6 6 3 2 2 2" xfId="10329" xr:uid="{00000000-0005-0000-0000-00006E250000}"/>
    <cellStyle name="40% - Accent6 6 3 2 3" xfId="10330" xr:uid="{00000000-0005-0000-0000-00006F250000}"/>
    <cellStyle name="40% - Accent6 6 3 3" xfId="10331" xr:uid="{00000000-0005-0000-0000-000070250000}"/>
    <cellStyle name="40% - Accent6 6 3 3 2" xfId="10332" xr:uid="{00000000-0005-0000-0000-000071250000}"/>
    <cellStyle name="40% - Accent6 6 3 3 3" xfId="10333" xr:uid="{00000000-0005-0000-0000-000072250000}"/>
    <cellStyle name="40% - Accent6 6 3 4" xfId="10334" xr:uid="{00000000-0005-0000-0000-000073250000}"/>
    <cellStyle name="40% - Accent6 6 3 5" xfId="10335" xr:uid="{00000000-0005-0000-0000-000074250000}"/>
    <cellStyle name="40% - Accent6 6 3 6" xfId="10336" xr:uid="{00000000-0005-0000-0000-000075250000}"/>
    <cellStyle name="40% - Accent6 6 4" xfId="10337" xr:uid="{00000000-0005-0000-0000-000076250000}"/>
    <cellStyle name="40% - Accent6 6 4 2" xfId="10338" xr:uid="{00000000-0005-0000-0000-000077250000}"/>
    <cellStyle name="40% - Accent6 6 4 3" xfId="10339" xr:uid="{00000000-0005-0000-0000-000078250000}"/>
    <cellStyle name="40% - Accent6 6 5" xfId="10340" xr:uid="{00000000-0005-0000-0000-000079250000}"/>
    <cellStyle name="40% - Accent6 6 5 2" xfId="10341" xr:uid="{00000000-0005-0000-0000-00007A250000}"/>
    <cellStyle name="40% - Accent6 6 5 3" xfId="10342" xr:uid="{00000000-0005-0000-0000-00007B250000}"/>
    <cellStyle name="40% - Accent6 6 6" xfId="10343" xr:uid="{00000000-0005-0000-0000-00007C250000}"/>
    <cellStyle name="40% - Accent6 6 7" xfId="10344" xr:uid="{00000000-0005-0000-0000-00007D250000}"/>
    <cellStyle name="40% - Accent6 6 8" xfId="10345" xr:uid="{00000000-0005-0000-0000-00007E250000}"/>
    <cellStyle name="40% - Accent6 6 9" xfId="10346" xr:uid="{00000000-0005-0000-0000-00007F250000}"/>
    <cellStyle name="40% - Accent6 7" xfId="1720" xr:uid="{00000000-0005-0000-0000-000080250000}"/>
    <cellStyle name="40% - Accent6 7 10" xfId="10347" xr:uid="{00000000-0005-0000-0000-000081250000}"/>
    <cellStyle name="40% - Accent6 7 11" xfId="10348" xr:uid="{00000000-0005-0000-0000-000082250000}"/>
    <cellStyle name="40% - Accent6 7 2" xfId="1721" xr:uid="{00000000-0005-0000-0000-000083250000}"/>
    <cellStyle name="40% - Accent6 7 2 2" xfId="10349" xr:uid="{00000000-0005-0000-0000-000084250000}"/>
    <cellStyle name="40% - Accent6 7 2 2 2" xfId="10350" xr:uid="{00000000-0005-0000-0000-000085250000}"/>
    <cellStyle name="40% - Accent6 7 2 2 2 2" xfId="10351" xr:uid="{00000000-0005-0000-0000-000086250000}"/>
    <cellStyle name="40% - Accent6 7 2 2 2 3" xfId="10352" xr:uid="{00000000-0005-0000-0000-000087250000}"/>
    <cellStyle name="40% - Accent6 7 2 2 3" xfId="10353" xr:uid="{00000000-0005-0000-0000-000088250000}"/>
    <cellStyle name="40% - Accent6 7 2 2 3 2" xfId="10354" xr:uid="{00000000-0005-0000-0000-000089250000}"/>
    <cellStyle name="40% - Accent6 7 2 2 3 3" xfId="10355" xr:uid="{00000000-0005-0000-0000-00008A250000}"/>
    <cellStyle name="40% - Accent6 7 2 2 4" xfId="10356" xr:uid="{00000000-0005-0000-0000-00008B250000}"/>
    <cellStyle name="40% - Accent6 7 2 2 5" xfId="10357" xr:uid="{00000000-0005-0000-0000-00008C250000}"/>
    <cellStyle name="40% - Accent6 7 2 2 6" xfId="10358" xr:uid="{00000000-0005-0000-0000-00008D250000}"/>
    <cellStyle name="40% - Accent6 7 2 3" xfId="10359" xr:uid="{00000000-0005-0000-0000-00008E250000}"/>
    <cellStyle name="40% - Accent6 7 2 3 2" xfId="10360" xr:uid="{00000000-0005-0000-0000-00008F250000}"/>
    <cellStyle name="40% - Accent6 7 2 3 3" xfId="10361" xr:uid="{00000000-0005-0000-0000-000090250000}"/>
    <cellStyle name="40% - Accent6 7 2 4" xfId="10362" xr:uid="{00000000-0005-0000-0000-000091250000}"/>
    <cellStyle name="40% - Accent6 7 2 4 2" xfId="10363" xr:uid="{00000000-0005-0000-0000-000092250000}"/>
    <cellStyle name="40% - Accent6 7 2 4 3" xfId="10364" xr:uid="{00000000-0005-0000-0000-000093250000}"/>
    <cellStyle name="40% - Accent6 7 2 5" xfId="10365" xr:uid="{00000000-0005-0000-0000-000094250000}"/>
    <cellStyle name="40% - Accent6 7 2 6" xfId="10366" xr:uid="{00000000-0005-0000-0000-000095250000}"/>
    <cellStyle name="40% - Accent6 7 2 7" xfId="10367" xr:uid="{00000000-0005-0000-0000-000096250000}"/>
    <cellStyle name="40% - Accent6 7 2 8" xfId="10368" xr:uid="{00000000-0005-0000-0000-000097250000}"/>
    <cellStyle name="40% - Accent6 7 3" xfId="1722" xr:uid="{00000000-0005-0000-0000-000098250000}"/>
    <cellStyle name="40% - Accent6 7 3 2" xfId="10369" xr:uid="{00000000-0005-0000-0000-000099250000}"/>
    <cellStyle name="40% - Accent6 7 3 2 2" xfId="10370" xr:uid="{00000000-0005-0000-0000-00009A250000}"/>
    <cellStyle name="40% - Accent6 7 3 2 2 2" xfId="10371" xr:uid="{00000000-0005-0000-0000-00009B250000}"/>
    <cellStyle name="40% - Accent6 7 3 2 3" xfId="10372" xr:uid="{00000000-0005-0000-0000-00009C250000}"/>
    <cellStyle name="40% - Accent6 7 3 3" xfId="10373" xr:uid="{00000000-0005-0000-0000-00009D250000}"/>
    <cellStyle name="40% - Accent6 7 3 3 2" xfId="10374" xr:uid="{00000000-0005-0000-0000-00009E250000}"/>
    <cellStyle name="40% - Accent6 7 3 3 3" xfId="10375" xr:uid="{00000000-0005-0000-0000-00009F250000}"/>
    <cellStyle name="40% - Accent6 7 3 4" xfId="10376" xr:uid="{00000000-0005-0000-0000-0000A0250000}"/>
    <cellStyle name="40% - Accent6 7 3 5" xfId="10377" xr:uid="{00000000-0005-0000-0000-0000A1250000}"/>
    <cellStyle name="40% - Accent6 7 3 6" xfId="10378" xr:uid="{00000000-0005-0000-0000-0000A2250000}"/>
    <cellStyle name="40% - Accent6 7 4" xfId="10379" xr:uid="{00000000-0005-0000-0000-0000A3250000}"/>
    <cellStyle name="40% - Accent6 7 4 2" xfId="10380" xr:uid="{00000000-0005-0000-0000-0000A4250000}"/>
    <cellStyle name="40% - Accent6 7 4 3" xfId="10381" xr:uid="{00000000-0005-0000-0000-0000A5250000}"/>
    <cellStyle name="40% - Accent6 7 5" xfId="10382" xr:uid="{00000000-0005-0000-0000-0000A6250000}"/>
    <cellStyle name="40% - Accent6 7 5 2" xfId="10383" xr:uid="{00000000-0005-0000-0000-0000A7250000}"/>
    <cellStyle name="40% - Accent6 7 5 3" xfId="10384" xr:uid="{00000000-0005-0000-0000-0000A8250000}"/>
    <cellStyle name="40% - Accent6 7 6" xfId="10385" xr:uid="{00000000-0005-0000-0000-0000A9250000}"/>
    <cellStyle name="40% - Accent6 7 7" xfId="10386" xr:uid="{00000000-0005-0000-0000-0000AA250000}"/>
    <cellStyle name="40% - Accent6 7 8" xfId="10387" xr:uid="{00000000-0005-0000-0000-0000AB250000}"/>
    <cellStyle name="40% - Accent6 7 9" xfId="10388" xr:uid="{00000000-0005-0000-0000-0000AC250000}"/>
    <cellStyle name="40% - Accent6 8" xfId="1723" xr:uid="{00000000-0005-0000-0000-0000AD250000}"/>
    <cellStyle name="40% - Accent6 8 10" xfId="10389" xr:uid="{00000000-0005-0000-0000-0000AE250000}"/>
    <cellStyle name="40% - Accent6 8 11" xfId="10390" xr:uid="{00000000-0005-0000-0000-0000AF250000}"/>
    <cellStyle name="40% - Accent6 8 2" xfId="1724" xr:uid="{00000000-0005-0000-0000-0000B0250000}"/>
    <cellStyle name="40% - Accent6 8 2 2" xfId="10391" xr:uid="{00000000-0005-0000-0000-0000B1250000}"/>
    <cellStyle name="40% - Accent6 8 2 2 2" xfId="10392" xr:uid="{00000000-0005-0000-0000-0000B2250000}"/>
    <cellStyle name="40% - Accent6 8 2 2 2 2" xfId="10393" xr:uid="{00000000-0005-0000-0000-0000B3250000}"/>
    <cellStyle name="40% - Accent6 8 2 2 2 3" xfId="10394" xr:uid="{00000000-0005-0000-0000-0000B4250000}"/>
    <cellStyle name="40% - Accent6 8 2 2 3" xfId="10395" xr:uid="{00000000-0005-0000-0000-0000B5250000}"/>
    <cellStyle name="40% - Accent6 8 2 2 3 2" xfId="10396" xr:uid="{00000000-0005-0000-0000-0000B6250000}"/>
    <cellStyle name="40% - Accent6 8 2 2 3 3" xfId="10397" xr:uid="{00000000-0005-0000-0000-0000B7250000}"/>
    <cellStyle name="40% - Accent6 8 2 2 4" xfId="10398" xr:uid="{00000000-0005-0000-0000-0000B8250000}"/>
    <cellStyle name="40% - Accent6 8 2 2 5" xfId="10399" xr:uid="{00000000-0005-0000-0000-0000B9250000}"/>
    <cellStyle name="40% - Accent6 8 2 2 6" xfId="10400" xr:uid="{00000000-0005-0000-0000-0000BA250000}"/>
    <cellStyle name="40% - Accent6 8 2 3" xfId="10401" xr:uid="{00000000-0005-0000-0000-0000BB250000}"/>
    <cellStyle name="40% - Accent6 8 2 3 2" xfId="10402" xr:uid="{00000000-0005-0000-0000-0000BC250000}"/>
    <cellStyle name="40% - Accent6 8 2 3 3" xfId="10403" xr:uid="{00000000-0005-0000-0000-0000BD250000}"/>
    <cellStyle name="40% - Accent6 8 2 4" xfId="10404" xr:uid="{00000000-0005-0000-0000-0000BE250000}"/>
    <cellStyle name="40% - Accent6 8 2 4 2" xfId="10405" xr:uid="{00000000-0005-0000-0000-0000BF250000}"/>
    <cellStyle name="40% - Accent6 8 2 4 3" xfId="10406" xr:uid="{00000000-0005-0000-0000-0000C0250000}"/>
    <cellStyle name="40% - Accent6 8 2 5" xfId="10407" xr:uid="{00000000-0005-0000-0000-0000C1250000}"/>
    <cellStyle name="40% - Accent6 8 2 6" xfId="10408" xr:uid="{00000000-0005-0000-0000-0000C2250000}"/>
    <cellStyle name="40% - Accent6 8 2 7" xfId="10409" xr:uid="{00000000-0005-0000-0000-0000C3250000}"/>
    <cellStyle name="40% - Accent6 8 2 8" xfId="10410" xr:uid="{00000000-0005-0000-0000-0000C4250000}"/>
    <cellStyle name="40% - Accent6 8 3" xfId="10411" xr:uid="{00000000-0005-0000-0000-0000C5250000}"/>
    <cellStyle name="40% - Accent6 8 3 2" xfId="10412" xr:uid="{00000000-0005-0000-0000-0000C6250000}"/>
    <cellStyle name="40% - Accent6 8 3 2 2" xfId="10413" xr:uid="{00000000-0005-0000-0000-0000C7250000}"/>
    <cellStyle name="40% - Accent6 8 3 2 2 2" xfId="10414" xr:uid="{00000000-0005-0000-0000-0000C8250000}"/>
    <cellStyle name="40% - Accent6 8 3 2 3" xfId="10415" xr:uid="{00000000-0005-0000-0000-0000C9250000}"/>
    <cellStyle name="40% - Accent6 8 3 3" xfId="10416" xr:uid="{00000000-0005-0000-0000-0000CA250000}"/>
    <cellStyle name="40% - Accent6 8 3 3 2" xfId="10417" xr:uid="{00000000-0005-0000-0000-0000CB250000}"/>
    <cellStyle name="40% - Accent6 8 3 3 3" xfId="10418" xr:uid="{00000000-0005-0000-0000-0000CC250000}"/>
    <cellStyle name="40% - Accent6 8 3 4" xfId="10419" xr:uid="{00000000-0005-0000-0000-0000CD250000}"/>
    <cellStyle name="40% - Accent6 8 3 5" xfId="10420" xr:uid="{00000000-0005-0000-0000-0000CE250000}"/>
    <cellStyle name="40% - Accent6 8 3 6" xfId="10421" xr:uid="{00000000-0005-0000-0000-0000CF250000}"/>
    <cellStyle name="40% - Accent6 8 4" xfId="10422" xr:uid="{00000000-0005-0000-0000-0000D0250000}"/>
    <cellStyle name="40% - Accent6 8 4 2" xfId="10423" xr:uid="{00000000-0005-0000-0000-0000D1250000}"/>
    <cellStyle name="40% - Accent6 8 4 3" xfId="10424" xr:uid="{00000000-0005-0000-0000-0000D2250000}"/>
    <cellStyle name="40% - Accent6 8 5" xfId="10425" xr:uid="{00000000-0005-0000-0000-0000D3250000}"/>
    <cellStyle name="40% - Accent6 8 5 2" xfId="10426" xr:uid="{00000000-0005-0000-0000-0000D4250000}"/>
    <cellStyle name="40% - Accent6 8 5 3" xfId="10427" xr:uid="{00000000-0005-0000-0000-0000D5250000}"/>
    <cellStyle name="40% - Accent6 8 6" xfId="10428" xr:uid="{00000000-0005-0000-0000-0000D6250000}"/>
    <cellStyle name="40% - Accent6 8 7" xfId="10429" xr:uid="{00000000-0005-0000-0000-0000D7250000}"/>
    <cellStyle name="40% - Accent6 8 8" xfId="10430" xr:uid="{00000000-0005-0000-0000-0000D8250000}"/>
    <cellStyle name="40% - Accent6 8 9" xfId="10431" xr:uid="{00000000-0005-0000-0000-0000D9250000}"/>
    <cellStyle name="40% - Accent6 9" xfId="1725" xr:uid="{00000000-0005-0000-0000-0000DA250000}"/>
    <cellStyle name="40% - Accent6 9 10" xfId="10432" xr:uid="{00000000-0005-0000-0000-0000DB250000}"/>
    <cellStyle name="40% - Accent6 9 11" xfId="10433" xr:uid="{00000000-0005-0000-0000-0000DC250000}"/>
    <cellStyle name="40% - Accent6 9 2" xfId="1726" xr:uid="{00000000-0005-0000-0000-0000DD250000}"/>
    <cellStyle name="40% - Accent6 9 2 2" xfId="10434" xr:uid="{00000000-0005-0000-0000-0000DE250000}"/>
    <cellStyle name="40% - Accent6 9 2 2 2" xfId="10435" xr:uid="{00000000-0005-0000-0000-0000DF250000}"/>
    <cellStyle name="40% - Accent6 9 2 2 2 2" xfId="10436" xr:uid="{00000000-0005-0000-0000-0000E0250000}"/>
    <cellStyle name="40% - Accent6 9 2 2 2 3" xfId="10437" xr:uid="{00000000-0005-0000-0000-0000E1250000}"/>
    <cellStyle name="40% - Accent6 9 2 2 3" xfId="10438" xr:uid="{00000000-0005-0000-0000-0000E2250000}"/>
    <cellStyle name="40% - Accent6 9 2 2 3 2" xfId="10439" xr:uid="{00000000-0005-0000-0000-0000E3250000}"/>
    <cellStyle name="40% - Accent6 9 2 2 3 3" xfId="10440" xr:uid="{00000000-0005-0000-0000-0000E4250000}"/>
    <cellStyle name="40% - Accent6 9 2 2 4" xfId="10441" xr:uid="{00000000-0005-0000-0000-0000E5250000}"/>
    <cellStyle name="40% - Accent6 9 2 2 5" xfId="10442" xr:uid="{00000000-0005-0000-0000-0000E6250000}"/>
    <cellStyle name="40% - Accent6 9 2 2 6" xfId="10443" xr:uid="{00000000-0005-0000-0000-0000E7250000}"/>
    <cellStyle name="40% - Accent6 9 2 3" xfId="10444" xr:uid="{00000000-0005-0000-0000-0000E8250000}"/>
    <cellStyle name="40% - Accent6 9 2 3 2" xfId="10445" xr:uid="{00000000-0005-0000-0000-0000E9250000}"/>
    <cellStyle name="40% - Accent6 9 2 3 3" xfId="10446" xr:uid="{00000000-0005-0000-0000-0000EA250000}"/>
    <cellStyle name="40% - Accent6 9 2 4" xfId="10447" xr:uid="{00000000-0005-0000-0000-0000EB250000}"/>
    <cellStyle name="40% - Accent6 9 2 4 2" xfId="10448" xr:uid="{00000000-0005-0000-0000-0000EC250000}"/>
    <cellStyle name="40% - Accent6 9 2 4 3" xfId="10449" xr:uid="{00000000-0005-0000-0000-0000ED250000}"/>
    <cellStyle name="40% - Accent6 9 2 5" xfId="10450" xr:uid="{00000000-0005-0000-0000-0000EE250000}"/>
    <cellStyle name="40% - Accent6 9 2 6" xfId="10451" xr:uid="{00000000-0005-0000-0000-0000EF250000}"/>
    <cellStyle name="40% - Accent6 9 2 7" xfId="10452" xr:uid="{00000000-0005-0000-0000-0000F0250000}"/>
    <cellStyle name="40% - Accent6 9 2 8" xfId="10453" xr:uid="{00000000-0005-0000-0000-0000F1250000}"/>
    <cellStyle name="40% - Accent6 9 3" xfId="10454" xr:uid="{00000000-0005-0000-0000-0000F2250000}"/>
    <cellStyle name="40% - Accent6 9 3 2" xfId="10455" xr:uid="{00000000-0005-0000-0000-0000F3250000}"/>
    <cellStyle name="40% - Accent6 9 3 2 2" xfId="10456" xr:uid="{00000000-0005-0000-0000-0000F4250000}"/>
    <cellStyle name="40% - Accent6 9 3 2 2 2" xfId="10457" xr:uid="{00000000-0005-0000-0000-0000F5250000}"/>
    <cellStyle name="40% - Accent6 9 3 2 3" xfId="10458" xr:uid="{00000000-0005-0000-0000-0000F6250000}"/>
    <cellStyle name="40% - Accent6 9 3 3" xfId="10459" xr:uid="{00000000-0005-0000-0000-0000F7250000}"/>
    <cellStyle name="40% - Accent6 9 3 3 2" xfId="10460" xr:uid="{00000000-0005-0000-0000-0000F8250000}"/>
    <cellStyle name="40% - Accent6 9 3 3 3" xfId="10461" xr:uid="{00000000-0005-0000-0000-0000F9250000}"/>
    <cellStyle name="40% - Accent6 9 3 4" xfId="10462" xr:uid="{00000000-0005-0000-0000-0000FA250000}"/>
    <cellStyle name="40% - Accent6 9 3 5" xfId="10463" xr:uid="{00000000-0005-0000-0000-0000FB250000}"/>
    <cellStyle name="40% - Accent6 9 3 6" xfId="10464" xr:uid="{00000000-0005-0000-0000-0000FC250000}"/>
    <cellStyle name="40% - Accent6 9 4" xfId="10465" xr:uid="{00000000-0005-0000-0000-0000FD250000}"/>
    <cellStyle name="40% - Accent6 9 4 2" xfId="10466" xr:uid="{00000000-0005-0000-0000-0000FE250000}"/>
    <cellStyle name="40% - Accent6 9 4 3" xfId="10467" xr:uid="{00000000-0005-0000-0000-0000FF250000}"/>
    <cellStyle name="40% - Accent6 9 5" xfId="10468" xr:uid="{00000000-0005-0000-0000-000000260000}"/>
    <cellStyle name="40% - Accent6 9 5 2" xfId="10469" xr:uid="{00000000-0005-0000-0000-000001260000}"/>
    <cellStyle name="40% - Accent6 9 5 3" xfId="10470" xr:uid="{00000000-0005-0000-0000-000002260000}"/>
    <cellStyle name="40% - Accent6 9 6" xfId="10471" xr:uid="{00000000-0005-0000-0000-000003260000}"/>
    <cellStyle name="40% - Accent6 9 7" xfId="10472" xr:uid="{00000000-0005-0000-0000-000004260000}"/>
    <cellStyle name="40% - Accent6 9 8" xfId="10473" xr:uid="{00000000-0005-0000-0000-000005260000}"/>
    <cellStyle name="40% - Accent6 9 9" xfId="10474" xr:uid="{00000000-0005-0000-0000-000006260000}"/>
    <cellStyle name="60% - Accent1 2" xfId="1727" xr:uid="{00000000-0005-0000-0000-000007260000}"/>
    <cellStyle name="60% - Accent1 2 2" xfId="10475" xr:uid="{00000000-0005-0000-0000-000008260000}"/>
    <cellStyle name="60% - Accent1 2 3" xfId="10476" xr:uid="{00000000-0005-0000-0000-000009260000}"/>
    <cellStyle name="60% - Accent1 3" xfId="1728" xr:uid="{00000000-0005-0000-0000-00000A260000}"/>
    <cellStyle name="60% - Accent1 4" xfId="10477" xr:uid="{00000000-0005-0000-0000-00000B260000}"/>
    <cellStyle name="60% - Accent2 2" xfId="1729" xr:uid="{00000000-0005-0000-0000-00000C260000}"/>
    <cellStyle name="60% - Accent2 2 2" xfId="10478" xr:uid="{00000000-0005-0000-0000-00000D260000}"/>
    <cellStyle name="60% - Accent2 2 3" xfId="10479" xr:uid="{00000000-0005-0000-0000-00000E260000}"/>
    <cellStyle name="60% - Accent2 3" xfId="1730" xr:uid="{00000000-0005-0000-0000-00000F260000}"/>
    <cellStyle name="60% - Accent2 4" xfId="10480" xr:uid="{00000000-0005-0000-0000-000010260000}"/>
    <cellStyle name="60% - Accent3 2" xfId="1731" xr:uid="{00000000-0005-0000-0000-000011260000}"/>
    <cellStyle name="60% - Accent3 2 2" xfId="10481" xr:uid="{00000000-0005-0000-0000-000012260000}"/>
    <cellStyle name="60% - Accent3 2 3" xfId="10482" xr:uid="{00000000-0005-0000-0000-000013260000}"/>
    <cellStyle name="60% - Accent3 3" xfId="1732" xr:uid="{00000000-0005-0000-0000-000014260000}"/>
    <cellStyle name="60% - Accent3 3 2" xfId="10483" xr:uid="{00000000-0005-0000-0000-000015260000}"/>
    <cellStyle name="60% - Accent3 4" xfId="10484" xr:uid="{00000000-0005-0000-0000-000016260000}"/>
    <cellStyle name="60% - Accent4 2" xfId="1733" xr:uid="{00000000-0005-0000-0000-000017260000}"/>
    <cellStyle name="60% - Accent4 2 2" xfId="10485" xr:uid="{00000000-0005-0000-0000-000018260000}"/>
    <cellStyle name="60% - Accent4 2 3" xfId="10486" xr:uid="{00000000-0005-0000-0000-000019260000}"/>
    <cellStyle name="60% - Accent4 3" xfId="1734" xr:uid="{00000000-0005-0000-0000-00001A260000}"/>
    <cellStyle name="60% - Accent4 3 2" xfId="10487" xr:uid="{00000000-0005-0000-0000-00001B260000}"/>
    <cellStyle name="60% - Accent4 4" xfId="10488" xr:uid="{00000000-0005-0000-0000-00001C260000}"/>
    <cellStyle name="60% - Accent5 2" xfId="1735" xr:uid="{00000000-0005-0000-0000-00001D260000}"/>
    <cellStyle name="60% - Accent5 2 2" xfId="10489" xr:uid="{00000000-0005-0000-0000-00001E260000}"/>
    <cellStyle name="60% - Accent5 2 3" xfId="10490" xr:uid="{00000000-0005-0000-0000-00001F260000}"/>
    <cellStyle name="60% - Accent5 3" xfId="1736" xr:uid="{00000000-0005-0000-0000-000020260000}"/>
    <cellStyle name="60% - Accent5 4" xfId="10491" xr:uid="{00000000-0005-0000-0000-000021260000}"/>
    <cellStyle name="60% - Accent6 2" xfId="1737" xr:uid="{00000000-0005-0000-0000-000022260000}"/>
    <cellStyle name="60% - Accent6 2 2" xfId="10492" xr:uid="{00000000-0005-0000-0000-000023260000}"/>
    <cellStyle name="60% - Accent6 2 3" xfId="10493" xr:uid="{00000000-0005-0000-0000-000024260000}"/>
    <cellStyle name="60% - Accent6 3" xfId="1738" xr:uid="{00000000-0005-0000-0000-000025260000}"/>
    <cellStyle name="60% - Accent6 3 2" xfId="10494" xr:uid="{00000000-0005-0000-0000-000026260000}"/>
    <cellStyle name="60% - Accent6 4" xfId="10495" xr:uid="{00000000-0005-0000-0000-000027260000}"/>
    <cellStyle name="9" xfId="10496" xr:uid="{00000000-0005-0000-0000-000028260000}"/>
    <cellStyle name="9_Allergan _V2.4" xfId="10497" xr:uid="{00000000-0005-0000-0000-000029260000}"/>
    <cellStyle name="9_Allergan 2008 Pricing 4.0" xfId="10498" xr:uid="{00000000-0005-0000-0000-00002A260000}"/>
    <cellStyle name="9_Allergan Inventory and Baselines v10-22-07 - km RepriceV2 AEC" xfId="10499" xr:uid="{00000000-0005-0000-0000-00002B260000}"/>
    <cellStyle name="9_Allergan revised baseline and pricing form 102507v2 (3)" xfId="10500" xr:uid="{00000000-0005-0000-0000-00002C260000}"/>
    <cellStyle name="9_AMR deal approval" xfId="10501" xr:uid="{00000000-0005-0000-0000-00002D260000}"/>
    <cellStyle name="9_AMR NRES" xfId="10502" xr:uid="{00000000-0005-0000-0000-00002E260000}"/>
    <cellStyle name="9_AMR.1.24.2005. V23 W.SAP" xfId="10503" xr:uid="{00000000-0005-0000-0000-00002F260000}"/>
    <cellStyle name="9_AMR.1.9.2005. V19 W.SAP" xfId="10504" xr:uid="{00000000-0005-0000-0000-000030260000}"/>
    <cellStyle name="9_Appendix I Allergan Pricing Matrix 051107 COMPUCOM REV4 NoGrowth 061207" xfId="10505" xr:uid="{00000000-0005-0000-0000-000031260000}"/>
    <cellStyle name="9_ARM_CF model 06042007" xfId="10506" xr:uid="{00000000-0005-0000-0000-000032260000}"/>
    <cellStyle name="9_ASE - Financial Approval - 05.18.05" xfId="10507" xr:uid="{00000000-0005-0000-0000-000033260000}"/>
    <cellStyle name="9_ASE Barcelona 3.1.05" xfId="10508" xr:uid="{00000000-0005-0000-0000-000034260000}"/>
    <cellStyle name="9_ASE Draft 03.09.05 v.2" xfId="10509" xr:uid="{00000000-0005-0000-0000-000035260000}"/>
    <cellStyle name="9_Copy of American RFP Juarez v11 Standard - Offshore 12-15-05" xfId="10510" xr:uid="{00000000-0005-0000-0000-000036260000}"/>
    <cellStyle name="9_Copy of AMR Pricing Assumptions" xfId="10511" xr:uid="{00000000-0005-0000-0000-000037260000}"/>
    <cellStyle name="9_Deal Approval Template v42 5-3-05 JWK" xfId="10512" xr:uid="{00000000-0005-0000-0000-000038260000}"/>
    <cellStyle name="9_Deal Approval Template v42 5-3-05 JWK2" xfId="10513" xr:uid="{00000000-0005-0000-0000-000039260000}"/>
    <cellStyle name="9_Deal Approval Template v43" xfId="10514" xr:uid="{00000000-0005-0000-0000-00003A260000}"/>
    <cellStyle name="9_Deal Approval Template v46" xfId="10515" xr:uid="{00000000-0005-0000-0000-00003B260000}"/>
    <cellStyle name="9_Deal Approval Template v47" xfId="10516" xr:uid="{00000000-0005-0000-0000-00003C260000}"/>
    <cellStyle name="9_ODE Transaction Model_India_v2" xfId="10517" xr:uid="{00000000-0005-0000-0000-00003D260000}"/>
    <cellStyle name="9_RadioShack Pricing Attachment R 2.8.06" xfId="10518" xr:uid="{00000000-0005-0000-0000-00003E260000}"/>
    <cellStyle name="9_REVISED - Appendix I Allergan Pricing Matrix 051107" xfId="10519" xr:uid="{00000000-0005-0000-0000-00003F260000}"/>
    <cellStyle name="9_REVISED - Appendix I Allergan Pricing Matrix 051107 COMPUCOM REV1 (2)" xfId="10520" xr:uid="{00000000-0005-0000-0000-000040260000}"/>
    <cellStyle name="9_TBO Staff Costs" xfId="10521" xr:uid="{00000000-0005-0000-0000-000041260000}"/>
    <cellStyle name="9_TBO Wages (2)" xfId="10522" xr:uid="{00000000-0005-0000-0000-000042260000}"/>
    <cellStyle name="9_UTC - RFP DRAFT 1.4" xfId="10523" xr:uid="{00000000-0005-0000-0000-000043260000}"/>
    <cellStyle name="ac" xfId="10524" xr:uid="{00000000-0005-0000-0000-000044260000}"/>
    <cellStyle name="Accent1 2" xfId="1739" xr:uid="{00000000-0005-0000-0000-000045260000}"/>
    <cellStyle name="Accent1 2 2" xfId="10525" xr:uid="{00000000-0005-0000-0000-000046260000}"/>
    <cellStyle name="Accent1 2 3" xfId="10526" xr:uid="{00000000-0005-0000-0000-000047260000}"/>
    <cellStyle name="Accent1 3" xfId="1740" xr:uid="{00000000-0005-0000-0000-000048260000}"/>
    <cellStyle name="Accent1 4" xfId="10527" xr:uid="{00000000-0005-0000-0000-000049260000}"/>
    <cellStyle name="Accent2 2" xfId="1741" xr:uid="{00000000-0005-0000-0000-00004A260000}"/>
    <cellStyle name="Accent2 2 2" xfId="10528" xr:uid="{00000000-0005-0000-0000-00004B260000}"/>
    <cellStyle name="Accent2 2 3" xfId="10529" xr:uid="{00000000-0005-0000-0000-00004C260000}"/>
    <cellStyle name="Accent2 3" xfId="1742" xr:uid="{00000000-0005-0000-0000-00004D260000}"/>
    <cellStyle name="Accent2 4" xfId="10530" xr:uid="{00000000-0005-0000-0000-00004E260000}"/>
    <cellStyle name="Accent3 2" xfId="1743" xr:uid="{00000000-0005-0000-0000-00004F260000}"/>
    <cellStyle name="Accent3 2 2" xfId="10531" xr:uid="{00000000-0005-0000-0000-000050260000}"/>
    <cellStyle name="Accent3 2 3" xfId="10532" xr:uid="{00000000-0005-0000-0000-000051260000}"/>
    <cellStyle name="Accent3 3" xfId="1744" xr:uid="{00000000-0005-0000-0000-000052260000}"/>
    <cellStyle name="Accent3 4" xfId="10533" xr:uid="{00000000-0005-0000-0000-000053260000}"/>
    <cellStyle name="Accent4 2" xfId="1745" xr:uid="{00000000-0005-0000-0000-000054260000}"/>
    <cellStyle name="Accent4 2 2" xfId="10534" xr:uid="{00000000-0005-0000-0000-000055260000}"/>
    <cellStyle name="Accent4 2 3" xfId="10535" xr:uid="{00000000-0005-0000-0000-000056260000}"/>
    <cellStyle name="Accent4 3" xfId="1746" xr:uid="{00000000-0005-0000-0000-000057260000}"/>
    <cellStyle name="Accent4 4" xfId="10536" xr:uid="{00000000-0005-0000-0000-000058260000}"/>
    <cellStyle name="Accent5 2" xfId="1747" xr:uid="{00000000-0005-0000-0000-000059260000}"/>
    <cellStyle name="Accent5 2 2" xfId="10537" xr:uid="{00000000-0005-0000-0000-00005A260000}"/>
    <cellStyle name="Accent5 2 3" xfId="10538" xr:uid="{00000000-0005-0000-0000-00005B260000}"/>
    <cellStyle name="Accent5 3" xfId="1748" xr:uid="{00000000-0005-0000-0000-00005C260000}"/>
    <cellStyle name="Accent5 4" xfId="10539" xr:uid="{00000000-0005-0000-0000-00005D260000}"/>
    <cellStyle name="Accent6 2" xfId="1749" xr:uid="{00000000-0005-0000-0000-00005E260000}"/>
    <cellStyle name="Accent6 2 2" xfId="10540" xr:uid="{00000000-0005-0000-0000-00005F260000}"/>
    <cellStyle name="Accent6 2 3" xfId="10541" xr:uid="{00000000-0005-0000-0000-000060260000}"/>
    <cellStyle name="Accent6 3" xfId="1750" xr:uid="{00000000-0005-0000-0000-000061260000}"/>
    <cellStyle name="Accent6 4" xfId="10542" xr:uid="{00000000-0005-0000-0000-000062260000}"/>
    <cellStyle name="active" xfId="10543" xr:uid="{00000000-0005-0000-0000-000063260000}"/>
    <cellStyle name="Actual Date" xfId="10544" xr:uid="{00000000-0005-0000-0000-000064260000}"/>
    <cellStyle name="args.style" xfId="10545" xr:uid="{00000000-0005-0000-0000-000065260000}"/>
    <cellStyle name="arial12" xfId="10546" xr:uid="{00000000-0005-0000-0000-000066260000}"/>
    <cellStyle name="arial14" xfId="10547" xr:uid="{00000000-0005-0000-0000-000067260000}"/>
    <cellStyle name="Ariel 7 pt. plain" xfId="10548" xr:uid="{00000000-0005-0000-0000-000068260000}"/>
    <cellStyle name="arrow" xfId="10549" xr:uid="{00000000-0005-0000-0000-000069260000}"/>
    <cellStyle name="Bad 2" xfId="1751" xr:uid="{00000000-0005-0000-0000-00006A260000}"/>
    <cellStyle name="Bad 2 2" xfId="10550" xr:uid="{00000000-0005-0000-0000-00006B260000}"/>
    <cellStyle name="Bad 3" xfId="1752" xr:uid="{00000000-0005-0000-0000-00006C260000}"/>
    <cellStyle name="Bad 4" xfId="10551" xr:uid="{00000000-0005-0000-0000-00006D260000}"/>
    <cellStyle name="BLUECLEAR" xfId="10552" xr:uid="{00000000-0005-0000-0000-00006E260000}"/>
    <cellStyle name="BLUECLEAR 2" xfId="10553" xr:uid="{00000000-0005-0000-0000-00006F260000}"/>
    <cellStyle name="BLUESHADE" xfId="10554" xr:uid="{00000000-0005-0000-0000-000070260000}"/>
    <cellStyle name="BLUESHADE 2" xfId="10555" xr:uid="{00000000-0005-0000-0000-000071260000}"/>
    <cellStyle name="Body" xfId="10556" xr:uid="{00000000-0005-0000-0000-000072260000}"/>
    <cellStyle name="Bold 11" xfId="10557" xr:uid="{00000000-0005-0000-0000-000073260000}"/>
    <cellStyle name="Border" xfId="10558" xr:uid="{00000000-0005-0000-0000-000074260000}"/>
    <cellStyle name="Border 2" xfId="10559" xr:uid="{00000000-0005-0000-0000-000075260000}"/>
    <cellStyle name="box1" xfId="10560" xr:uid="{00000000-0005-0000-0000-000076260000}"/>
    <cellStyle name="box2" xfId="10561" xr:uid="{00000000-0005-0000-0000-000077260000}"/>
    <cellStyle name="box2 2" xfId="10562" xr:uid="{00000000-0005-0000-0000-000078260000}"/>
    <cellStyle name="box3" xfId="10563" xr:uid="{00000000-0005-0000-0000-000079260000}"/>
    <cellStyle name="box3 2" xfId="10564" xr:uid="{00000000-0005-0000-0000-00007A260000}"/>
    <cellStyle name="Calc Currency (0)" xfId="10565" xr:uid="{00000000-0005-0000-0000-00007B260000}"/>
    <cellStyle name="Calc Currency (2)" xfId="10566" xr:uid="{00000000-0005-0000-0000-00007C260000}"/>
    <cellStyle name="Calc Percent (0)" xfId="10567" xr:uid="{00000000-0005-0000-0000-00007D260000}"/>
    <cellStyle name="Calc Percent (1)" xfId="10568" xr:uid="{00000000-0005-0000-0000-00007E260000}"/>
    <cellStyle name="Calc Percent (2)" xfId="10569" xr:uid="{00000000-0005-0000-0000-00007F260000}"/>
    <cellStyle name="Calc Units (0)" xfId="10570" xr:uid="{00000000-0005-0000-0000-000080260000}"/>
    <cellStyle name="Calc Units (1)" xfId="10571" xr:uid="{00000000-0005-0000-0000-000081260000}"/>
    <cellStyle name="Calc Units (2)" xfId="10572" xr:uid="{00000000-0005-0000-0000-000082260000}"/>
    <cellStyle name="Calculation 2" xfId="1753" xr:uid="{00000000-0005-0000-0000-000083260000}"/>
    <cellStyle name="Calculation 2 2" xfId="10573" xr:uid="{00000000-0005-0000-0000-000084260000}"/>
    <cellStyle name="Calculation 2 2 2" xfId="10574" xr:uid="{00000000-0005-0000-0000-000085260000}"/>
    <cellStyle name="Calculation 2 3" xfId="10575" xr:uid="{00000000-0005-0000-0000-000086260000}"/>
    <cellStyle name="Calculation 3" xfId="1754" xr:uid="{00000000-0005-0000-0000-000087260000}"/>
    <cellStyle name="Calculation 4" xfId="10576" xr:uid="{00000000-0005-0000-0000-000088260000}"/>
    <cellStyle name="CHANGE" xfId="10577" xr:uid="{00000000-0005-0000-0000-000089260000}"/>
    <cellStyle name="CHANGE $" xfId="10578" xr:uid="{00000000-0005-0000-0000-00008A260000}"/>
    <cellStyle name="CHANGE_WIDTCLNS.14" xfId="10579" xr:uid="{00000000-0005-0000-0000-00008B260000}"/>
    <cellStyle name="Check Cell 2" xfId="1755" xr:uid="{00000000-0005-0000-0000-00008C260000}"/>
    <cellStyle name="Check Cell 2 2" xfId="10580" xr:uid="{00000000-0005-0000-0000-00008D260000}"/>
    <cellStyle name="Check Cell 3" xfId="1756" xr:uid="{00000000-0005-0000-0000-00008E260000}"/>
    <cellStyle name="Check Cell 4" xfId="10581" xr:uid="{00000000-0005-0000-0000-00008F260000}"/>
    <cellStyle name="CLEAR" xfId="10582" xr:uid="{00000000-0005-0000-0000-000090260000}"/>
    <cellStyle name="CLEARCELL" xfId="10583" xr:uid="{00000000-0005-0000-0000-000091260000}"/>
    <cellStyle name="CLEARCELL 2" xfId="10584" xr:uid="{00000000-0005-0000-0000-000092260000}"/>
    <cellStyle name="Col Heads" xfId="10585" xr:uid="{00000000-0005-0000-0000-000093260000}"/>
    <cellStyle name="ColBlue" xfId="10586" xr:uid="{00000000-0005-0000-0000-000094260000}"/>
    <cellStyle name="ColGreen" xfId="10587" xr:uid="{00000000-0005-0000-0000-000095260000}"/>
    <cellStyle name="ColRed" xfId="10588" xr:uid="{00000000-0005-0000-0000-000096260000}"/>
    <cellStyle name="Comma" xfId="3" builtinId="3"/>
    <cellStyle name="Comma  - Style1" xfId="10589" xr:uid="{00000000-0005-0000-0000-000098260000}"/>
    <cellStyle name="Comma  - Style2" xfId="10590" xr:uid="{00000000-0005-0000-0000-000099260000}"/>
    <cellStyle name="Comma  - Style3" xfId="10591" xr:uid="{00000000-0005-0000-0000-00009A260000}"/>
    <cellStyle name="Comma  - Style4" xfId="10592" xr:uid="{00000000-0005-0000-0000-00009B260000}"/>
    <cellStyle name="Comma  - Style5" xfId="10593" xr:uid="{00000000-0005-0000-0000-00009C260000}"/>
    <cellStyle name="Comma  - Style6" xfId="10594" xr:uid="{00000000-0005-0000-0000-00009D260000}"/>
    <cellStyle name="Comma  - Style7" xfId="10595" xr:uid="{00000000-0005-0000-0000-00009E260000}"/>
    <cellStyle name="Comma  - Style8" xfId="10596" xr:uid="{00000000-0005-0000-0000-00009F260000}"/>
    <cellStyle name="Comma (1)" xfId="10597" xr:uid="{00000000-0005-0000-0000-0000A0260000}"/>
    <cellStyle name="Comma (2)" xfId="10598" xr:uid="{00000000-0005-0000-0000-0000A1260000}"/>
    <cellStyle name="Comma [00]" xfId="10599" xr:uid="{00000000-0005-0000-0000-0000A2260000}"/>
    <cellStyle name="Comma 10" xfId="1757" xr:uid="{00000000-0005-0000-0000-0000A3260000}"/>
    <cellStyle name="Comma 10 2" xfId="1758" xr:uid="{00000000-0005-0000-0000-0000A4260000}"/>
    <cellStyle name="Comma 10 3" xfId="10600" xr:uid="{00000000-0005-0000-0000-0000A5260000}"/>
    <cellStyle name="Comma 10 4" xfId="10601" xr:uid="{00000000-0005-0000-0000-0000A6260000}"/>
    <cellStyle name="Comma 100" xfId="10602" xr:uid="{00000000-0005-0000-0000-0000A7260000}"/>
    <cellStyle name="Comma 101" xfId="10603" xr:uid="{00000000-0005-0000-0000-0000A8260000}"/>
    <cellStyle name="Comma 102" xfId="10604" xr:uid="{00000000-0005-0000-0000-0000A9260000}"/>
    <cellStyle name="Comma 103" xfId="10605" xr:uid="{00000000-0005-0000-0000-0000AA260000}"/>
    <cellStyle name="Comma 104" xfId="10606" xr:uid="{00000000-0005-0000-0000-0000AB260000}"/>
    <cellStyle name="Comma 105" xfId="10607" xr:uid="{00000000-0005-0000-0000-0000AC260000}"/>
    <cellStyle name="Comma 106" xfId="10608" xr:uid="{00000000-0005-0000-0000-0000AD260000}"/>
    <cellStyle name="Comma 107" xfId="10609" xr:uid="{00000000-0005-0000-0000-0000AE260000}"/>
    <cellStyle name="Comma 108" xfId="10610" xr:uid="{00000000-0005-0000-0000-0000AF260000}"/>
    <cellStyle name="Comma 109" xfId="10611" xr:uid="{00000000-0005-0000-0000-0000B0260000}"/>
    <cellStyle name="Comma 11" xfId="10" xr:uid="{00000000-0005-0000-0000-0000B1260000}"/>
    <cellStyle name="Comma 11 2" xfId="1759" xr:uid="{00000000-0005-0000-0000-0000B2260000}"/>
    <cellStyle name="Comma 11 2 2" xfId="10612" xr:uid="{00000000-0005-0000-0000-0000B3260000}"/>
    <cellStyle name="Comma 11 3" xfId="1760" xr:uid="{00000000-0005-0000-0000-0000B4260000}"/>
    <cellStyle name="Comma 11 4" xfId="1761" xr:uid="{00000000-0005-0000-0000-0000B5260000}"/>
    <cellStyle name="Comma 11 4 2" xfId="10613" xr:uid="{00000000-0005-0000-0000-0000B6260000}"/>
    <cellStyle name="Comma 110" xfId="10614" xr:uid="{00000000-0005-0000-0000-0000B7260000}"/>
    <cellStyle name="Comma 111" xfId="10615" xr:uid="{00000000-0005-0000-0000-0000B8260000}"/>
    <cellStyle name="Comma 112" xfId="10616" xr:uid="{00000000-0005-0000-0000-0000B9260000}"/>
    <cellStyle name="Comma 113" xfId="10617" xr:uid="{00000000-0005-0000-0000-0000BA260000}"/>
    <cellStyle name="Comma 114" xfId="10618" xr:uid="{00000000-0005-0000-0000-0000BB260000}"/>
    <cellStyle name="Comma 115" xfId="10619" xr:uid="{00000000-0005-0000-0000-0000BC260000}"/>
    <cellStyle name="Comma 116" xfId="10620" xr:uid="{00000000-0005-0000-0000-0000BD260000}"/>
    <cellStyle name="Comma 117" xfId="10621" xr:uid="{00000000-0005-0000-0000-0000BE260000}"/>
    <cellStyle name="Comma 118" xfId="10622" xr:uid="{00000000-0005-0000-0000-0000BF260000}"/>
    <cellStyle name="Comma 119" xfId="10623" xr:uid="{00000000-0005-0000-0000-0000C0260000}"/>
    <cellStyle name="Comma 12" xfId="1762" xr:uid="{00000000-0005-0000-0000-0000C1260000}"/>
    <cellStyle name="Comma 12 10" xfId="10624" xr:uid="{00000000-0005-0000-0000-0000C2260000}"/>
    <cellStyle name="Comma 12 11" xfId="10625" xr:uid="{00000000-0005-0000-0000-0000C3260000}"/>
    <cellStyle name="Comma 12 12" xfId="10626" xr:uid="{00000000-0005-0000-0000-0000C4260000}"/>
    <cellStyle name="Comma 12 2" xfId="1763" xr:uid="{00000000-0005-0000-0000-0000C5260000}"/>
    <cellStyle name="Comma 12 2 2" xfId="10627" xr:uid="{00000000-0005-0000-0000-0000C6260000}"/>
    <cellStyle name="Comma 12 2 2 2" xfId="10628" xr:uid="{00000000-0005-0000-0000-0000C7260000}"/>
    <cellStyle name="Comma 12 2 2 3" xfId="10629" xr:uid="{00000000-0005-0000-0000-0000C8260000}"/>
    <cellStyle name="Comma 12 2 3" xfId="10630" xr:uid="{00000000-0005-0000-0000-0000C9260000}"/>
    <cellStyle name="Comma 12 2 3 2" xfId="10631" xr:uid="{00000000-0005-0000-0000-0000CA260000}"/>
    <cellStyle name="Comma 12 2 3 3" xfId="10632" xr:uid="{00000000-0005-0000-0000-0000CB260000}"/>
    <cellStyle name="Comma 12 2 4" xfId="10633" xr:uid="{00000000-0005-0000-0000-0000CC260000}"/>
    <cellStyle name="Comma 12 2 5" xfId="10634" xr:uid="{00000000-0005-0000-0000-0000CD260000}"/>
    <cellStyle name="Comma 12 2 6" xfId="10635" xr:uid="{00000000-0005-0000-0000-0000CE260000}"/>
    <cellStyle name="Comma 12 3" xfId="10636" xr:uid="{00000000-0005-0000-0000-0000CF260000}"/>
    <cellStyle name="Comma 12 3 2" xfId="10637" xr:uid="{00000000-0005-0000-0000-0000D0260000}"/>
    <cellStyle name="Comma 12 3 3" xfId="10638" xr:uid="{00000000-0005-0000-0000-0000D1260000}"/>
    <cellStyle name="Comma 12 4" xfId="10639" xr:uid="{00000000-0005-0000-0000-0000D2260000}"/>
    <cellStyle name="Comma 12 4 2" xfId="10640" xr:uid="{00000000-0005-0000-0000-0000D3260000}"/>
    <cellStyle name="Comma 12 4 3" xfId="10641" xr:uid="{00000000-0005-0000-0000-0000D4260000}"/>
    <cellStyle name="Comma 12 5" xfId="10642" xr:uid="{00000000-0005-0000-0000-0000D5260000}"/>
    <cellStyle name="Comma 12 6" xfId="10643" xr:uid="{00000000-0005-0000-0000-0000D6260000}"/>
    <cellStyle name="Comma 12 7" xfId="10644" xr:uid="{00000000-0005-0000-0000-0000D7260000}"/>
    <cellStyle name="Comma 12 8" xfId="10645" xr:uid="{00000000-0005-0000-0000-0000D8260000}"/>
    <cellStyle name="Comma 12 9" xfId="10646" xr:uid="{00000000-0005-0000-0000-0000D9260000}"/>
    <cellStyle name="Comma 120" xfId="10647" xr:uid="{00000000-0005-0000-0000-0000DA260000}"/>
    <cellStyle name="Comma 121" xfId="10648" xr:uid="{00000000-0005-0000-0000-0000DB260000}"/>
    <cellStyle name="Comma 122" xfId="10649" xr:uid="{00000000-0005-0000-0000-0000DC260000}"/>
    <cellStyle name="Comma 123" xfId="10650" xr:uid="{00000000-0005-0000-0000-0000DD260000}"/>
    <cellStyle name="Comma 124" xfId="10651" xr:uid="{00000000-0005-0000-0000-0000DE260000}"/>
    <cellStyle name="Comma 125" xfId="10652" xr:uid="{00000000-0005-0000-0000-0000DF260000}"/>
    <cellStyle name="Comma 126" xfId="10653" xr:uid="{00000000-0005-0000-0000-0000E0260000}"/>
    <cellStyle name="Comma 127" xfId="10654" xr:uid="{00000000-0005-0000-0000-0000E1260000}"/>
    <cellStyle name="Comma 128" xfId="10655" xr:uid="{00000000-0005-0000-0000-0000E2260000}"/>
    <cellStyle name="Comma 129" xfId="10656" xr:uid="{00000000-0005-0000-0000-0000E3260000}"/>
    <cellStyle name="Comma 13" xfId="1764" xr:uid="{00000000-0005-0000-0000-0000E4260000}"/>
    <cellStyle name="Comma 13 2" xfId="1765" xr:uid="{00000000-0005-0000-0000-0000E5260000}"/>
    <cellStyle name="Comma 13 2 2" xfId="1766" xr:uid="{00000000-0005-0000-0000-0000E6260000}"/>
    <cellStyle name="Comma 13 3" xfId="1767" xr:uid="{00000000-0005-0000-0000-0000E7260000}"/>
    <cellStyle name="Comma 13 4" xfId="1768" xr:uid="{00000000-0005-0000-0000-0000E8260000}"/>
    <cellStyle name="Comma 13 5" xfId="10657" xr:uid="{00000000-0005-0000-0000-0000E9260000}"/>
    <cellStyle name="Comma 130" xfId="10658" xr:uid="{00000000-0005-0000-0000-0000EA260000}"/>
    <cellStyle name="Comma 131" xfId="10659" xr:uid="{00000000-0005-0000-0000-0000EB260000}"/>
    <cellStyle name="Comma 132" xfId="10660" xr:uid="{00000000-0005-0000-0000-0000EC260000}"/>
    <cellStyle name="Comma 133" xfId="10661" xr:uid="{00000000-0005-0000-0000-0000ED260000}"/>
    <cellStyle name="Comma 134" xfId="5" xr:uid="{00000000-0005-0000-0000-0000EE260000}"/>
    <cellStyle name="Comma 134 2" xfId="10662" xr:uid="{00000000-0005-0000-0000-0000EF260000}"/>
    <cellStyle name="Comma 135" xfId="10663" xr:uid="{00000000-0005-0000-0000-0000F0260000}"/>
    <cellStyle name="Comma 136" xfId="10664" xr:uid="{00000000-0005-0000-0000-0000F1260000}"/>
    <cellStyle name="Comma 137" xfId="10665" xr:uid="{00000000-0005-0000-0000-0000F2260000}"/>
    <cellStyle name="Comma 138" xfId="10666" xr:uid="{00000000-0005-0000-0000-0000F3260000}"/>
    <cellStyle name="Comma 139" xfId="10667" xr:uid="{00000000-0005-0000-0000-0000F4260000}"/>
    <cellStyle name="Comma 14" xfId="1769" xr:uid="{00000000-0005-0000-0000-0000F5260000}"/>
    <cellStyle name="Comma 14 2" xfId="10668" xr:uid="{00000000-0005-0000-0000-0000F6260000}"/>
    <cellStyle name="Comma 14 3" xfId="10669" xr:uid="{00000000-0005-0000-0000-0000F7260000}"/>
    <cellStyle name="Comma 140" xfId="10670" xr:uid="{00000000-0005-0000-0000-0000F8260000}"/>
    <cellStyle name="Comma 141" xfId="10671" xr:uid="{00000000-0005-0000-0000-0000F9260000}"/>
    <cellStyle name="Comma 142" xfId="10672" xr:uid="{00000000-0005-0000-0000-0000FA260000}"/>
    <cellStyle name="Comma 143" xfId="54470" xr:uid="{0AB01FF8-19CD-4CB6-B165-AA56E4ECF1C4}"/>
    <cellStyle name="Comma 15" xfId="3810" xr:uid="{00000000-0005-0000-0000-0000FB260000}"/>
    <cellStyle name="Comma 15 2" xfId="10673" xr:uid="{00000000-0005-0000-0000-0000FC260000}"/>
    <cellStyle name="Comma 16" xfId="3811" xr:uid="{00000000-0005-0000-0000-0000FD260000}"/>
    <cellStyle name="Comma 17" xfId="3813" xr:uid="{00000000-0005-0000-0000-0000FE260000}"/>
    <cellStyle name="Comma 17 2" xfId="54198" xr:uid="{00000000-0005-0000-0000-0000FF260000}"/>
    <cellStyle name="Comma 18" xfId="10674" xr:uid="{00000000-0005-0000-0000-000000270000}"/>
    <cellStyle name="Comma 19" xfId="10675" xr:uid="{00000000-0005-0000-0000-000001270000}"/>
    <cellStyle name="Comma 2" xfId="1770" xr:uid="{00000000-0005-0000-0000-000002270000}"/>
    <cellStyle name="Comma 2 10" xfId="1771" xr:uid="{00000000-0005-0000-0000-000003270000}"/>
    <cellStyle name="Comma 2 11" xfId="10676" xr:uid="{00000000-0005-0000-0000-000004270000}"/>
    <cellStyle name="Comma 2 2" xfId="1772" xr:uid="{00000000-0005-0000-0000-000005270000}"/>
    <cellStyle name="Comma 2 2 2" xfId="1773" xr:uid="{00000000-0005-0000-0000-000006270000}"/>
    <cellStyle name="Comma 2 2 2 2" xfId="1774" xr:uid="{00000000-0005-0000-0000-000007270000}"/>
    <cellStyle name="Comma 2 2 2 2 2" xfId="1775" xr:uid="{00000000-0005-0000-0000-000008270000}"/>
    <cellStyle name="Comma 2 2 2 2 2 2" xfId="1776" xr:uid="{00000000-0005-0000-0000-000009270000}"/>
    <cellStyle name="Comma 2 2 2 2 2 2 2" xfId="1777" xr:uid="{00000000-0005-0000-0000-00000A270000}"/>
    <cellStyle name="Comma 2 2 2 2 2 2 2 2" xfId="1778" xr:uid="{00000000-0005-0000-0000-00000B270000}"/>
    <cellStyle name="Comma 2 2 2 2 2 2 3" xfId="1779" xr:uid="{00000000-0005-0000-0000-00000C270000}"/>
    <cellStyle name="Comma 2 2 2 2 2 3" xfId="1780" xr:uid="{00000000-0005-0000-0000-00000D270000}"/>
    <cellStyle name="Comma 2 2 2 2 2 3 2" xfId="1781" xr:uid="{00000000-0005-0000-0000-00000E270000}"/>
    <cellStyle name="Comma 2 2 2 2 2 3 2 2" xfId="1782" xr:uid="{00000000-0005-0000-0000-00000F270000}"/>
    <cellStyle name="Comma 2 2 2 2 2 3 3" xfId="1783" xr:uid="{00000000-0005-0000-0000-000010270000}"/>
    <cellStyle name="Comma 2 2 2 2 2 4" xfId="1784" xr:uid="{00000000-0005-0000-0000-000011270000}"/>
    <cellStyle name="Comma 2 2 2 2 2 4 2" xfId="1785" xr:uid="{00000000-0005-0000-0000-000012270000}"/>
    <cellStyle name="Comma 2 2 2 2 2 5" xfId="1786" xr:uid="{00000000-0005-0000-0000-000013270000}"/>
    <cellStyle name="Comma 2 2 2 2 3" xfId="1787" xr:uid="{00000000-0005-0000-0000-000014270000}"/>
    <cellStyle name="Comma 2 2 2 2 3 2" xfId="1788" xr:uid="{00000000-0005-0000-0000-000015270000}"/>
    <cellStyle name="Comma 2 2 2 2 3 2 2" xfId="1789" xr:uid="{00000000-0005-0000-0000-000016270000}"/>
    <cellStyle name="Comma 2 2 2 2 3 3" xfId="1790" xr:uid="{00000000-0005-0000-0000-000017270000}"/>
    <cellStyle name="Comma 2 2 2 2 4" xfId="1791" xr:uid="{00000000-0005-0000-0000-000018270000}"/>
    <cellStyle name="Comma 2 2 2 2 4 2" xfId="1792" xr:uid="{00000000-0005-0000-0000-000019270000}"/>
    <cellStyle name="Comma 2 2 2 2 4 2 2" xfId="1793" xr:uid="{00000000-0005-0000-0000-00001A270000}"/>
    <cellStyle name="Comma 2 2 2 2 4 3" xfId="1794" xr:uid="{00000000-0005-0000-0000-00001B270000}"/>
    <cellStyle name="Comma 2 2 2 2 5" xfId="1795" xr:uid="{00000000-0005-0000-0000-00001C270000}"/>
    <cellStyle name="Comma 2 2 2 2 5 2" xfId="1796" xr:uid="{00000000-0005-0000-0000-00001D270000}"/>
    <cellStyle name="Comma 2 2 2 2 6" xfId="1797" xr:uid="{00000000-0005-0000-0000-00001E270000}"/>
    <cellStyle name="Comma 2 2 2 3" xfId="1798" xr:uid="{00000000-0005-0000-0000-00001F270000}"/>
    <cellStyle name="Comma 2 2 2 3 2" xfId="1799" xr:uid="{00000000-0005-0000-0000-000020270000}"/>
    <cellStyle name="Comma 2 2 2 3 2 2" xfId="1800" xr:uid="{00000000-0005-0000-0000-000021270000}"/>
    <cellStyle name="Comma 2 2 2 3 2 2 2" xfId="1801" xr:uid="{00000000-0005-0000-0000-000022270000}"/>
    <cellStyle name="Comma 2 2 2 3 2 3" xfId="1802" xr:uid="{00000000-0005-0000-0000-000023270000}"/>
    <cellStyle name="Comma 2 2 2 3 3" xfId="1803" xr:uid="{00000000-0005-0000-0000-000024270000}"/>
    <cellStyle name="Comma 2 2 2 3 3 2" xfId="1804" xr:uid="{00000000-0005-0000-0000-000025270000}"/>
    <cellStyle name="Comma 2 2 2 3 3 2 2" xfId="1805" xr:uid="{00000000-0005-0000-0000-000026270000}"/>
    <cellStyle name="Comma 2 2 2 3 3 3" xfId="1806" xr:uid="{00000000-0005-0000-0000-000027270000}"/>
    <cellStyle name="Comma 2 2 2 3 4" xfId="1807" xr:uid="{00000000-0005-0000-0000-000028270000}"/>
    <cellStyle name="Comma 2 2 2 3 4 2" xfId="1808" xr:uid="{00000000-0005-0000-0000-000029270000}"/>
    <cellStyle name="Comma 2 2 2 3 5" xfId="1809" xr:uid="{00000000-0005-0000-0000-00002A270000}"/>
    <cellStyle name="Comma 2 2 2 4" xfId="1810" xr:uid="{00000000-0005-0000-0000-00002B270000}"/>
    <cellStyle name="Comma 2 2 2 4 2" xfId="1811" xr:uid="{00000000-0005-0000-0000-00002C270000}"/>
    <cellStyle name="Comma 2 2 2 4 2 2" xfId="1812" xr:uid="{00000000-0005-0000-0000-00002D270000}"/>
    <cellStyle name="Comma 2 2 2 4 3" xfId="1813" xr:uid="{00000000-0005-0000-0000-00002E270000}"/>
    <cellStyle name="Comma 2 2 2 5" xfId="1814" xr:uid="{00000000-0005-0000-0000-00002F270000}"/>
    <cellStyle name="Comma 2 2 2 5 2" xfId="1815" xr:uid="{00000000-0005-0000-0000-000030270000}"/>
    <cellStyle name="Comma 2 2 2 5 2 2" xfId="1816" xr:uid="{00000000-0005-0000-0000-000031270000}"/>
    <cellStyle name="Comma 2 2 2 5 3" xfId="1817" xr:uid="{00000000-0005-0000-0000-000032270000}"/>
    <cellStyle name="Comma 2 2 2 6" xfId="1818" xr:uid="{00000000-0005-0000-0000-000033270000}"/>
    <cellStyle name="Comma 2 2 2 6 2" xfId="1819" xr:uid="{00000000-0005-0000-0000-000034270000}"/>
    <cellStyle name="Comma 2 2 2 7" xfId="1820" xr:uid="{00000000-0005-0000-0000-000035270000}"/>
    <cellStyle name="Comma 2 2 2 8" xfId="10677" xr:uid="{00000000-0005-0000-0000-000036270000}"/>
    <cellStyle name="Comma 2 2 3" xfId="1821" xr:uid="{00000000-0005-0000-0000-000037270000}"/>
    <cellStyle name="Comma 2 2 3 2" xfId="1822" xr:uid="{00000000-0005-0000-0000-000038270000}"/>
    <cellStyle name="Comma 2 2 3 2 2" xfId="1823" xr:uid="{00000000-0005-0000-0000-000039270000}"/>
    <cellStyle name="Comma 2 2 3 2 2 2" xfId="1824" xr:uid="{00000000-0005-0000-0000-00003A270000}"/>
    <cellStyle name="Comma 2 2 3 2 2 2 2" xfId="1825" xr:uid="{00000000-0005-0000-0000-00003B270000}"/>
    <cellStyle name="Comma 2 2 3 2 2 3" xfId="1826" xr:uid="{00000000-0005-0000-0000-00003C270000}"/>
    <cellStyle name="Comma 2 2 3 2 3" xfId="1827" xr:uid="{00000000-0005-0000-0000-00003D270000}"/>
    <cellStyle name="Comma 2 2 3 2 3 2" xfId="1828" xr:uid="{00000000-0005-0000-0000-00003E270000}"/>
    <cellStyle name="Comma 2 2 3 2 3 2 2" xfId="1829" xr:uid="{00000000-0005-0000-0000-00003F270000}"/>
    <cellStyle name="Comma 2 2 3 2 3 3" xfId="1830" xr:uid="{00000000-0005-0000-0000-000040270000}"/>
    <cellStyle name="Comma 2 2 3 2 4" xfId="1831" xr:uid="{00000000-0005-0000-0000-000041270000}"/>
    <cellStyle name="Comma 2 2 3 2 4 2" xfId="1832" xr:uid="{00000000-0005-0000-0000-000042270000}"/>
    <cellStyle name="Comma 2 2 3 2 5" xfId="1833" xr:uid="{00000000-0005-0000-0000-000043270000}"/>
    <cellStyle name="Comma 2 2 3 3" xfId="1834" xr:uid="{00000000-0005-0000-0000-000044270000}"/>
    <cellStyle name="Comma 2 2 3 3 2" xfId="1835" xr:uid="{00000000-0005-0000-0000-000045270000}"/>
    <cellStyle name="Comma 2 2 3 3 2 2" xfId="1836" xr:uid="{00000000-0005-0000-0000-000046270000}"/>
    <cellStyle name="Comma 2 2 3 3 3" xfId="1837" xr:uid="{00000000-0005-0000-0000-000047270000}"/>
    <cellStyle name="Comma 2 2 3 4" xfId="1838" xr:uid="{00000000-0005-0000-0000-000048270000}"/>
    <cellStyle name="Comma 2 2 3 4 2" xfId="1839" xr:uid="{00000000-0005-0000-0000-000049270000}"/>
    <cellStyle name="Comma 2 2 3 4 2 2" xfId="1840" xr:uid="{00000000-0005-0000-0000-00004A270000}"/>
    <cellStyle name="Comma 2 2 3 4 3" xfId="1841" xr:uid="{00000000-0005-0000-0000-00004B270000}"/>
    <cellStyle name="Comma 2 2 3 5" xfId="1842" xr:uid="{00000000-0005-0000-0000-00004C270000}"/>
    <cellStyle name="Comma 2 2 3 5 2" xfId="1843" xr:uid="{00000000-0005-0000-0000-00004D270000}"/>
    <cellStyle name="Comma 2 2 3 6" xfId="1844" xr:uid="{00000000-0005-0000-0000-00004E270000}"/>
    <cellStyle name="Comma 2 2 4" xfId="1845" xr:uid="{00000000-0005-0000-0000-00004F270000}"/>
    <cellStyle name="Comma 2 2 4 2" xfId="1846" xr:uid="{00000000-0005-0000-0000-000050270000}"/>
    <cellStyle name="Comma 2 2 4 2 2" xfId="1847" xr:uid="{00000000-0005-0000-0000-000051270000}"/>
    <cellStyle name="Comma 2 2 4 2 2 2" xfId="1848" xr:uid="{00000000-0005-0000-0000-000052270000}"/>
    <cellStyle name="Comma 2 2 4 2 3" xfId="1849" xr:uid="{00000000-0005-0000-0000-000053270000}"/>
    <cellStyle name="Comma 2 2 4 3" xfId="1850" xr:uid="{00000000-0005-0000-0000-000054270000}"/>
    <cellStyle name="Comma 2 2 4 3 2" xfId="1851" xr:uid="{00000000-0005-0000-0000-000055270000}"/>
    <cellStyle name="Comma 2 2 4 3 2 2" xfId="1852" xr:uid="{00000000-0005-0000-0000-000056270000}"/>
    <cellStyle name="Comma 2 2 4 3 3" xfId="1853" xr:uid="{00000000-0005-0000-0000-000057270000}"/>
    <cellStyle name="Comma 2 2 4 4" xfId="1854" xr:uid="{00000000-0005-0000-0000-000058270000}"/>
    <cellStyle name="Comma 2 2 4 4 2" xfId="1855" xr:uid="{00000000-0005-0000-0000-000059270000}"/>
    <cellStyle name="Comma 2 2 4 5" xfId="1856" xr:uid="{00000000-0005-0000-0000-00005A270000}"/>
    <cellStyle name="Comma 2 2 5" xfId="1857" xr:uid="{00000000-0005-0000-0000-00005B270000}"/>
    <cellStyle name="Comma 2 2 5 2" xfId="1858" xr:uid="{00000000-0005-0000-0000-00005C270000}"/>
    <cellStyle name="Comma 2 2 5 2 2" xfId="1859" xr:uid="{00000000-0005-0000-0000-00005D270000}"/>
    <cellStyle name="Comma 2 2 5 3" xfId="1860" xr:uid="{00000000-0005-0000-0000-00005E270000}"/>
    <cellStyle name="Comma 2 2 6" xfId="1861" xr:uid="{00000000-0005-0000-0000-00005F270000}"/>
    <cellStyle name="Comma 2 2 6 2" xfId="1862" xr:uid="{00000000-0005-0000-0000-000060270000}"/>
    <cellStyle name="Comma 2 2 6 2 2" xfId="1863" xr:uid="{00000000-0005-0000-0000-000061270000}"/>
    <cellStyle name="Comma 2 2 6 3" xfId="1864" xr:uid="{00000000-0005-0000-0000-000062270000}"/>
    <cellStyle name="Comma 2 2 7" xfId="1865" xr:uid="{00000000-0005-0000-0000-000063270000}"/>
    <cellStyle name="Comma 2 2 7 2" xfId="1866" xr:uid="{00000000-0005-0000-0000-000064270000}"/>
    <cellStyle name="Comma 2 2 8" xfId="1867" xr:uid="{00000000-0005-0000-0000-000065270000}"/>
    <cellStyle name="Comma 2 2 9" xfId="54199" xr:uid="{00000000-0005-0000-0000-000066270000}"/>
    <cellStyle name="Comma 2 3" xfId="1868" xr:uid="{00000000-0005-0000-0000-000067270000}"/>
    <cellStyle name="Comma 2 3 2" xfId="1869" xr:uid="{00000000-0005-0000-0000-000068270000}"/>
    <cellStyle name="Comma 2 3 2 2" xfId="1870" xr:uid="{00000000-0005-0000-0000-000069270000}"/>
    <cellStyle name="Comma 2 3 2 2 2" xfId="1871" xr:uid="{00000000-0005-0000-0000-00006A270000}"/>
    <cellStyle name="Comma 2 3 2 2 2 2" xfId="1872" xr:uid="{00000000-0005-0000-0000-00006B270000}"/>
    <cellStyle name="Comma 2 3 2 2 2 2 2" xfId="1873" xr:uid="{00000000-0005-0000-0000-00006C270000}"/>
    <cellStyle name="Comma 2 3 2 2 2 3" xfId="1874" xr:uid="{00000000-0005-0000-0000-00006D270000}"/>
    <cellStyle name="Comma 2 3 2 2 3" xfId="1875" xr:uid="{00000000-0005-0000-0000-00006E270000}"/>
    <cellStyle name="Comma 2 3 2 2 3 2" xfId="1876" xr:uid="{00000000-0005-0000-0000-00006F270000}"/>
    <cellStyle name="Comma 2 3 2 2 3 2 2" xfId="1877" xr:uid="{00000000-0005-0000-0000-000070270000}"/>
    <cellStyle name="Comma 2 3 2 2 3 3" xfId="1878" xr:uid="{00000000-0005-0000-0000-000071270000}"/>
    <cellStyle name="Comma 2 3 2 2 4" xfId="1879" xr:uid="{00000000-0005-0000-0000-000072270000}"/>
    <cellStyle name="Comma 2 3 2 2 4 2" xfId="1880" xr:uid="{00000000-0005-0000-0000-000073270000}"/>
    <cellStyle name="Comma 2 3 2 2 5" xfId="1881" xr:uid="{00000000-0005-0000-0000-000074270000}"/>
    <cellStyle name="Comma 2 3 2 3" xfId="1882" xr:uid="{00000000-0005-0000-0000-000075270000}"/>
    <cellStyle name="Comma 2 3 2 3 2" xfId="1883" xr:uid="{00000000-0005-0000-0000-000076270000}"/>
    <cellStyle name="Comma 2 3 2 3 2 2" xfId="1884" xr:uid="{00000000-0005-0000-0000-000077270000}"/>
    <cellStyle name="Comma 2 3 2 3 3" xfId="1885" xr:uid="{00000000-0005-0000-0000-000078270000}"/>
    <cellStyle name="Comma 2 3 2 4" xfId="1886" xr:uid="{00000000-0005-0000-0000-000079270000}"/>
    <cellStyle name="Comma 2 3 2 4 2" xfId="1887" xr:uid="{00000000-0005-0000-0000-00007A270000}"/>
    <cellStyle name="Comma 2 3 2 4 2 2" xfId="1888" xr:uid="{00000000-0005-0000-0000-00007B270000}"/>
    <cellStyle name="Comma 2 3 2 4 3" xfId="1889" xr:uid="{00000000-0005-0000-0000-00007C270000}"/>
    <cellStyle name="Comma 2 3 2 5" xfId="1890" xr:uid="{00000000-0005-0000-0000-00007D270000}"/>
    <cellStyle name="Comma 2 3 2 5 2" xfId="1891" xr:uid="{00000000-0005-0000-0000-00007E270000}"/>
    <cellStyle name="Comma 2 3 2 6" xfId="1892" xr:uid="{00000000-0005-0000-0000-00007F270000}"/>
    <cellStyle name="Comma 2 3 3" xfId="1893" xr:uid="{00000000-0005-0000-0000-000080270000}"/>
    <cellStyle name="Comma 2 3 3 2" xfId="1894" xr:uid="{00000000-0005-0000-0000-000081270000}"/>
    <cellStyle name="Comma 2 3 3 2 2" xfId="1895" xr:uid="{00000000-0005-0000-0000-000082270000}"/>
    <cellStyle name="Comma 2 3 3 2 2 2" xfId="1896" xr:uid="{00000000-0005-0000-0000-000083270000}"/>
    <cellStyle name="Comma 2 3 3 2 3" xfId="1897" xr:uid="{00000000-0005-0000-0000-000084270000}"/>
    <cellStyle name="Comma 2 3 3 3" xfId="1898" xr:uid="{00000000-0005-0000-0000-000085270000}"/>
    <cellStyle name="Comma 2 3 3 3 2" xfId="1899" xr:uid="{00000000-0005-0000-0000-000086270000}"/>
    <cellStyle name="Comma 2 3 3 3 2 2" xfId="1900" xr:uid="{00000000-0005-0000-0000-000087270000}"/>
    <cellStyle name="Comma 2 3 3 3 3" xfId="1901" xr:uid="{00000000-0005-0000-0000-000088270000}"/>
    <cellStyle name="Comma 2 3 3 4" xfId="1902" xr:uid="{00000000-0005-0000-0000-000089270000}"/>
    <cellStyle name="Comma 2 3 3 4 2" xfId="1903" xr:uid="{00000000-0005-0000-0000-00008A270000}"/>
    <cellStyle name="Comma 2 3 3 5" xfId="1904" xr:uid="{00000000-0005-0000-0000-00008B270000}"/>
    <cellStyle name="Comma 2 3 4" xfId="1905" xr:uid="{00000000-0005-0000-0000-00008C270000}"/>
    <cellStyle name="Comma 2 3 4 2" xfId="1906" xr:uid="{00000000-0005-0000-0000-00008D270000}"/>
    <cellStyle name="Comma 2 3 4 2 2" xfId="1907" xr:uid="{00000000-0005-0000-0000-00008E270000}"/>
    <cellStyle name="Comma 2 3 4 3" xfId="1908" xr:uid="{00000000-0005-0000-0000-00008F270000}"/>
    <cellStyle name="Comma 2 3 5" xfId="1909" xr:uid="{00000000-0005-0000-0000-000090270000}"/>
    <cellStyle name="Comma 2 3 5 2" xfId="1910" xr:uid="{00000000-0005-0000-0000-000091270000}"/>
    <cellStyle name="Comma 2 3 5 2 2" xfId="1911" xr:uid="{00000000-0005-0000-0000-000092270000}"/>
    <cellStyle name="Comma 2 3 5 3" xfId="1912" xr:uid="{00000000-0005-0000-0000-000093270000}"/>
    <cellStyle name="Comma 2 3 6" xfId="1913" xr:uid="{00000000-0005-0000-0000-000094270000}"/>
    <cellStyle name="Comma 2 3 6 2" xfId="1914" xr:uid="{00000000-0005-0000-0000-000095270000}"/>
    <cellStyle name="Comma 2 3 7" xfId="1915" xr:uid="{00000000-0005-0000-0000-000096270000}"/>
    <cellStyle name="Comma 2 4" xfId="1916" xr:uid="{00000000-0005-0000-0000-000097270000}"/>
    <cellStyle name="Comma 2 4 2" xfId="1917" xr:uid="{00000000-0005-0000-0000-000098270000}"/>
    <cellStyle name="Comma 2 4 2 2" xfId="1918" xr:uid="{00000000-0005-0000-0000-000099270000}"/>
    <cellStyle name="Comma 2 4 2 2 2" xfId="1919" xr:uid="{00000000-0005-0000-0000-00009A270000}"/>
    <cellStyle name="Comma 2 4 2 2 2 2" xfId="1920" xr:uid="{00000000-0005-0000-0000-00009B270000}"/>
    <cellStyle name="Comma 2 4 2 2 3" xfId="1921" xr:uid="{00000000-0005-0000-0000-00009C270000}"/>
    <cellStyle name="Comma 2 4 2 3" xfId="1922" xr:uid="{00000000-0005-0000-0000-00009D270000}"/>
    <cellStyle name="Comma 2 4 2 3 2" xfId="1923" xr:uid="{00000000-0005-0000-0000-00009E270000}"/>
    <cellStyle name="Comma 2 4 2 3 2 2" xfId="1924" xr:uid="{00000000-0005-0000-0000-00009F270000}"/>
    <cellStyle name="Comma 2 4 2 3 3" xfId="1925" xr:uid="{00000000-0005-0000-0000-0000A0270000}"/>
    <cellStyle name="Comma 2 4 2 4" xfId="1926" xr:uid="{00000000-0005-0000-0000-0000A1270000}"/>
    <cellStyle name="Comma 2 4 2 4 2" xfId="1927" xr:uid="{00000000-0005-0000-0000-0000A2270000}"/>
    <cellStyle name="Comma 2 4 2 5" xfId="1928" xr:uid="{00000000-0005-0000-0000-0000A3270000}"/>
    <cellStyle name="Comma 2 4 3" xfId="1929" xr:uid="{00000000-0005-0000-0000-0000A4270000}"/>
    <cellStyle name="Comma 2 4 3 2" xfId="1930" xr:uid="{00000000-0005-0000-0000-0000A5270000}"/>
    <cellStyle name="Comma 2 4 3 2 2" xfId="1931" xr:uid="{00000000-0005-0000-0000-0000A6270000}"/>
    <cellStyle name="Comma 2 4 3 3" xfId="1932" xr:uid="{00000000-0005-0000-0000-0000A7270000}"/>
    <cellStyle name="Comma 2 4 4" xfId="1933" xr:uid="{00000000-0005-0000-0000-0000A8270000}"/>
    <cellStyle name="Comma 2 4 4 2" xfId="1934" xr:uid="{00000000-0005-0000-0000-0000A9270000}"/>
    <cellStyle name="Comma 2 4 4 2 2" xfId="1935" xr:uid="{00000000-0005-0000-0000-0000AA270000}"/>
    <cellStyle name="Comma 2 4 4 3" xfId="1936" xr:uid="{00000000-0005-0000-0000-0000AB270000}"/>
    <cellStyle name="Comma 2 4 5" xfId="1937" xr:uid="{00000000-0005-0000-0000-0000AC270000}"/>
    <cellStyle name="Comma 2 4 5 2" xfId="1938" xr:uid="{00000000-0005-0000-0000-0000AD270000}"/>
    <cellStyle name="Comma 2 4 6" xfId="1939" xr:uid="{00000000-0005-0000-0000-0000AE270000}"/>
    <cellStyle name="Comma 2 5" xfId="1940" xr:uid="{00000000-0005-0000-0000-0000AF270000}"/>
    <cellStyle name="Comma 2 5 2" xfId="1941" xr:uid="{00000000-0005-0000-0000-0000B0270000}"/>
    <cellStyle name="Comma 2 5 2 2" xfId="1942" xr:uid="{00000000-0005-0000-0000-0000B1270000}"/>
    <cellStyle name="Comma 2 5 2 2 2" xfId="1943" xr:uid="{00000000-0005-0000-0000-0000B2270000}"/>
    <cellStyle name="Comma 2 5 2 3" xfId="1944" xr:uid="{00000000-0005-0000-0000-0000B3270000}"/>
    <cellStyle name="Comma 2 5 3" xfId="1945" xr:uid="{00000000-0005-0000-0000-0000B4270000}"/>
    <cellStyle name="Comma 2 5 3 2" xfId="1946" xr:uid="{00000000-0005-0000-0000-0000B5270000}"/>
    <cellStyle name="Comma 2 5 3 2 2" xfId="1947" xr:uid="{00000000-0005-0000-0000-0000B6270000}"/>
    <cellStyle name="Comma 2 5 3 3" xfId="1948" xr:uid="{00000000-0005-0000-0000-0000B7270000}"/>
    <cellStyle name="Comma 2 5 4" xfId="1949" xr:uid="{00000000-0005-0000-0000-0000B8270000}"/>
    <cellStyle name="Comma 2 5 4 2" xfId="1950" xr:uid="{00000000-0005-0000-0000-0000B9270000}"/>
    <cellStyle name="Comma 2 5 5" xfId="1951" xr:uid="{00000000-0005-0000-0000-0000BA270000}"/>
    <cellStyle name="Comma 2 6" xfId="1952" xr:uid="{00000000-0005-0000-0000-0000BB270000}"/>
    <cellStyle name="Comma 2 6 2" xfId="1953" xr:uid="{00000000-0005-0000-0000-0000BC270000}"/>
    <cellStyle name="Comma 2 6 2 2" xfId="1954" xr:uid="{00000000-0005-0000-0000-0000BD270000}"/>
    <cellStyle name="Comma 2 6 3" xfId="1955" xr:uid="{00000000-0005-0000-0000-0000BE270000}"/>
    <cellStyle name="Comma 2 7" xfId="1956" xr:uid="{00000000-0005-0000-0000-0000BF270000}"/>
    <cellStyle name="Comma 2 7 2" xfId="1957" xr:uid="{00000000-0005-0000-0000-0000C0270000}"/>
    <cellStyle name="Comma 2 7 2 2" xfId="1958" xr:uid="{00000000-0005-0000-0000-0000C1270000}"/>
    <cellStyle name="Comma 2 7 3" xfId="1959" xr:uid="{00000000-0005-0000-0000-0000C2270000}"/>
    <cellStyle name="Comma 2 8" xfId="1960" xr:uid="{00000000-0005-0000-0000-0000C3270000}"/>
    <cellStyle name="Comma 2 9" xfId="1961" xr:uid="{00000000-0005-0000-0000-0000C4270000}"/>
    <cellStyle name="Comma 2 9 2" xfId="1962" xr:uid="{00000000-0005-0000-0000-0000C5270000}"/>
    <cellStyle name="Comma 20" xfId="10678" xr:uid="{00000000-0005-0000-0000-0000C6270000}"/>
    <cellStyle name="Comma 21" xfId="10679" xr:uid="{00000000-0005-0000-0000-0000C7270000}"/>
    <cellStyle name="Comma 22" xfId="10680" xr:uid="{00000000-0005-0000-0000-0000C8270000}"/>
    <cellStyle name="Comma 23" xfId="10681" xr:uid="{00000000-0005-0000-0000-0000C9270000}"/>
    <cellStyle name="Comma 24" xfId="10682" xr:uid="{00000000-0005-0000-0000-0000CA270000}"/>
    <cellStyle name="Comma 25" xfId="10683" xr:uid="{00000000-0005-0000-0000-0000CB270000}"/>
    <cellStyle name="Comma 26" xfId="10684" xr:uid="{00000000-0005-0000-0000-0000CC270000}"/>
    <cellStyle name="Comma 27" xfId="10685" xr:uid="{00000000-0005-0000-0000-0000CD270000}"/>
    <cellStyle name="Comma 28" xfId="10686" xr:uid="{00000000-0005-0000-0000-0000CE270000}"/>
    <cellStyle name="Comma 29" xfId="10687" xr:uid="{00000000-0005-0000-0000-0000CF270000}"/>
    <cellStyle name="Comma 3" xfId="1963" xr:uid="{00000000-0005-0000-0000-0000D0270000}"/>
    <cellStyle name="Comma 3 2" xfId="1964" xr:uid="{00000000-0005-0000-0000-0000D1270000}"/>
    <cellStyle name="Comma 3 2 2" xfId="1965" xr:uid="{00000000-0005-0000-0000-0000D2270000}"/>
    <cellStyle name="Comma 3 2 2 2" xfId="1966" xr:uid="{00000000-0005-0000-0000-0000D3270000}"/>
    <cellStyle name="Comma 3 2 2 2 2" xfId="10688" xr:uid="{00000000-0005-0000-0000-0000D4270000}"/>
    <cellStyle name="Comma 3 2 2 2 3" xfId="54200" xr:uid="{00000000-0005-0000-0000-0000D5270000}"/>
    <cellStyle name="Comma 3 2 2 3" xfId="1967" xr:uid="{00000000-0005-0000-0000-0000D6270000}"/>
    <cellStyle name="Comma 3 2 2 3 2" xfId="54201" xr:uid="{00000000-0005-0000-0000-0000D7270000}"/>
    <cellStyle name="Comma 3 2 2 4" xfId="10689" xr:uid="{00000000-0005-0000-0000-0000D8270000}"/>
    <cellStyle name="Comma 3 2 2 5" xfId="10690" xr:uid="{00000000-0005-0000-0000-0000D9270000}"/>
    <cellStyle name="Comma 3 2 3" xfId="1968" xr:uid="{00000000-0005-0000-0000-0000DA270000}"/>
    <cellStyle name="Comma 3 2 3 2" xfId="10691" xr:uid="{00000000-0005-0000-0000-0000DB270000}"/>
    <cellStyle name="Comma 3 2 4" xfId="10692" xr:uid="{00000000-0005-0000-0000-0000DC270000}"/>
    <cellStyle name="Comma 3 3" xfId="1969" xr:uid="{00000000-0005-0000-0000-0000DD270000}"/>
    <cellStyle name="Comma 3 3 2" xfId="1970" xr:uid="{00000000-0005-0000-0000-0000DE270000}"/>
    <cellStyle name="Comma 3 3 2 2" xfId="1971" xr:uid="{00000000-0005-0000-0000-0000DF270000}"/>
    <cellStyle name="Comma 3 3 2 2 2" xfId="10693" xr:uid="{00000000-0005-0000-0000-0000E0270000}"/>
    <cellStyle name="Comma 3 3 2 3" xfId="10694" xr:uid="{00000000-0005-0000-0000-0000E1270000}"/>
    <cellStyle name="Comma 3 3 3" xfId="1972" xr:uid="{00000000-0005-0000-0000-0000E2270000}"/>
    <cellStyle name="Comma 3 3 3 2" xfId="10695" xr:uid="{00000000-0005-0000-0000-0000E3270000}"/>
    <cellStyle name="Comma 3 3 4" xfId="10696" xr:uid="{00000000-0005-0000-0000-0000E4270000}"/>
    <cellStyle name="Comma 3 3 5" xfId="10697" xr:uid="{00000000-0005-0000-0000-0000E5270000}"/>
    <cellStyle name="Comma 3 4" xfId="1973" xr:uid="{00000000-0005-0000-0000-0000E6270000}"/>
    <cellStyle name="Comma 3 4 2" xfId="1974" xr:uid="{00000000-0005-0000-0000-0000E7270000}"/>
    <cellStyle name="Comma 3 4 2 2" xfId="1975" xr:uid="{00000000-0005-0000-0000-0000E8270000}"/>
    <cellStyle name="Comma 3 4 2 2 2" xfId="10698" xr:uid="{00000000-0005-0000-0000-0000E9270000}"/>
    <cellStyle name="Comma 3 4 2 3" xfId="10699" xr:uid="{00000000-0005-0000-0000-0000EA270000}"/>
    <cellStyle name="Comma 3 4 3" xfId="1976" xr:uid="{00000000-0005-0000-0000-0000EB270000}"/>
    <cellStyle name="Comma 3 4 3 2" xfId="10700" xr:uid="{00000000-0005-0000-0000-0000EC270000}"/>
    <cellStyle name="Comma 3 4 4" xfId="10701" xr:uid="{00000000-0005-0000-0000-0000ED270000}"/>
    <cellStyle name="Comma 3 5" xfId="1977" xr:uid="{00000000-0005-0000-0000-0000EE270000}"/>
    <cellStyle name="Comma 3 5 2" xfId="1978" xr:uid="{00000000-0005-0000-0000-0000EF270000}"/>
    <cellStyle name="Comma 3 5 2 2" xfId="1979" xr:uid="{00000000-0005-0000-0000-0000F0270000}"/>
    <cellStyle name="Comma 3 5 2 2 2" xfId="10702" xr:uid="{00000000-0005-0000-0000-0000F1270000}"/>
    <cellStyle name="Comma 3 5 2 3" xfId="10703" xr:uid="{00000000-0005-0000-0000-0000F2270000}"/>
    <cellStyle name="Comma 3 5 3" xfId="1980" xr:uid="{00000000-0005-0000-0000-0000F3270000}"/>
    <cellStyle name="Comma 3 5 3 2" xfId="10704" xr:uid="{00000000-0005-0000-0000-0000F4270000}"/>
    <cellStyle name="Comma 3 5 4" xfId="10705" xr:uid="{00000000-0005-0000-0000-0000F5270000}"/>
    <cellStyle name="Comma 3 6" xfId="1981" xr:uid="{00000000-0005-0000-0000-0000F6270000}"/>
    <cellStyle name="Comma 3 6 2" xfId="1982" xr:uid="{00000000-0005-0000-0000-0000F7270000}"/>
    <cellStyle name="Comma 3 6 2 2" xfId="1983" xr:uid="{00000000-0005-0000-0000-0000F8270000}"/>
    <cellStyle name="Comma 3 6 2 2 2" xfId="10706" xr:uid="{00000000-0005-0000-0000-0000F9270000}"/>
    <cellStyle name="Comma 3 6 2 3" xfId="10707" xr:uid="{00000000-0005-0000-0000-0000FA270000}"/>
    <cellStyle name="Comma 3 6 3" xfId="1984" xr:uid="{00000000-0005-0000-0000-0000FB270000}"/>
    <cellStyle name="Comma 3 6 3 2" xfId="10708" xr:uid="{00000000-0005-0000-0000-0000FC270000}"/>
    <cellStyle name="Comma 3 6 4" xfId="10709" xr:uid="{00000000-0005-0000-0000-0000FD270000}"/>
    <cellStyle name="Comma 3 7" xfId="1985" xr:uid="{00000000-0005-0000-0000-0000FE270000}"/>
    <cellStyle name="Comma 3 7 2" xfId="1986" xr:uid="{00000000-0005-0000-0000-0000FF270000}"/>
    <cellStyle name="Comma 3 7 2 2" xfId="10710" xr:uid="{00000000-0005-0000-0000-000000280000}"/>
    <cellStyle name="Comma 3 7 3" xfId="10711" xr:uid="{00000000-0005-0000-0000-000001280000}"/>
    <cellStyle name="Comma 3 8" xfId="1987" xr:uid="{00000000-0005-0000-0000-000002280000}"/>
    <cellStyle name="Comma 3 8 2" xfId="10712" xr:uid="{00000000-0005-0000-0000-000003280000}"/>
    <cellStyle name="Comma 30" xfId="10713" xr:uid="{00000000-0005-0000-0000-000004280000}"/>
    <cellStyle name="Comma 31" xfId="10714" xr:uid="{00000000-0005-0000-0000-000005280000}"/>
    <cellStyle name="Comma 32" xfId="10715" xr:uid="{00000000-0005-0000-0000-000006280000}"/>
    <cellStyle name="Comma 33" xfId="10716" xr:uid="{00000000-0005-0000-0000-000007280000}"/>
    <cellStyle name="Comma 34" xfId="10717" xr:uid="{00000000-0005-0000-0000-000008280000}"/>
    <cellStyle name="Comma 35" xfId="10718" xr:uid="{00000000-0005-0000-0000-000009280000}"/>
    <cellStyle name="Comma 36" xfId="10719" xr:uid="{00000000-0005-0000-0000-00000A280000}"/>
    <cellStyle name="Comma 37" xfId="10720" xr:uid="{00000000-0005-0000-0000-00000B280000}"/>
    <cellStyle name="Comma 38" xfId="10721" xr:uid="{00000000-0005-0000-0000-00000C280000}"/>
    <cellStyle name="Comma 39" xfId="10722" xr:uid="{00000000-0005-0000-0000-00000D280000}"/>
    <cellStyle name="Comma 4" xfId="1988" xr:uid="{00000000-0005-0000-0000-00000E280000}"/>
    <cellStyle name="Comma 4 2" xfId="1989" xr:uid="{00000000-0005-0000-0000-00000F280000}"/>
    <cellStyle name="Comma 4 2 2" xfId="1990" xr:uid="{00000000-0005-0000-0000-000010280000}"/>
    <cellStyle name="Comma 4 2 2 2" xfId="10723" xr:uid="{00000000-0005-0000-0000-000011280000}"/>
    <cellStyle name="Comma 4 2 3" xfId="10724" xr:uid="{00000000-0005-0000-0000-000012280000}"/>
    <cellStyle name="Comma 4 2 4" xfId="10725" xr:uid="{00000000-0005-0000-0000-000013280000}"/>
    <cellStyle name="Comma 4 3" xfId="1991" xr:uid="{00000000-0005-0000-0000-000014280000}"/>
    <cellStyle name="Comma 4 3 2" xfId="10726" xr:uid="{00000000-0005-0000-0000-000015280000}"/>
    <cellStyle name="Comma 4 3 3" xfId="10727" xr:uid="{00000000-0005-0000-0000-000016280000}"/>
    <cellStyle name="Comma 4 4" xfId="10728" xr:uid="{00000000-0005-0000-0000-000017280000}"/>
    <cellStyle name="Comma 4 4 2" xfId="10729" xr:uid="{00000000-0005-0000-0000-000018280000}"/>
    <cellStyle name="Comma 4 5" xfId="10730" xr:uid="{00000000-0005-0000-0000-000019280000}"/>
    <cellStyle name="Comma 40" xfId="10731" xr:uid="{00000000-0005-0000-0000-00001A280000}"/>
    <cellStyle name="Comma 41" xfId="10732" xr:uid="{00000000-0005-0000-0000-00001B280000}"/>
    <cellStyle name="Comma 42" xfId="10733" xr:uid="{00000000-0005-0000-0000-00001C280000}"/>
    <cellStyle name="Comma 43" xfId="10734" xr:uid="{00000000-0005-0000-0000-00001D280000}"/>
    <cellStyle name="Comma 44" xfId="10735" xr:uid="{00000000-0005-0000-0000-00001E280000}"/>
    <cellStyle name="Comma 45" xfId="10736" xr:uid="{00000000-0005-0000-0000-00001F280000}"/>
    <cellStyle name="Comma 46" xfId="10737" xr:uid="{00000000-0005-0000-0000-000020280000}"/>
    <cellStyle name="Comma 47" xfId="10738" xr:uid="{00000000-0005-0000-0000-000021280000}"/>
    <cellStyle name="Comma 48" xfId="10739" xr:uid="{00000000-0005-0000-0000-000022280000}"/>
    <cellStyle name="Comma 49" xfId="10740" xr:uid="{00000000-0005-0000-0000-000023280000}"/>
    <cellStyle name="Comma 5" xfId="1992" xr:uid="{00000000-0005-0000-0000-000024280000}"/>
    <cellStyle name="Comma 5 2" xfId="1993" xr:uid="{00000000-0005-0000-0000-000025280000}"/>
    <cellStyle name="Comma 5 2 2" xfId="10741" xr:uid="{00000000-0005-0000-0000-000026280000}"/>
    <cellStyle name="Comma 5 2 2 2" xfId="10742" xr:uid="{00000000-0005-0000-0000-000027280000}"/>
    <cellStyle name="Comma 5 2 2 3" xfId="10743" xr:uid="{00000000-0005-0000-0000-000028280000}"/>
    <cellStyle name="Comma 5 2 2 4" xfId="10744" xr:uid="{00000000-0005-0000-0000-000029280000}"/>
    <cellStyle name="Comma 5 2 3" xfId="10745" xr:uid="{00000000-0005-0000-0000-00002A280000}"/>
    <cellStyle name="Comma 5 2 4" xfId="10746" xr:uid="{00000000-0005-0000-0000-00002B280000}"/>
    <cellStyle name="Comma 5 2 5" xfId="10747" xr:uid="{00000000-0005-0000-0000-00002C280000}"/>
    <cellStyle name="Comma 5 3" xfId="1994" xr:uid="{00000000-0005-0000-0000-00002D280000}"/>
    <cellStyle name="Comma 5 3 2" xfId="10748" xr:uid="{00000000-0005-0000-0000-00002E280000}"/>
    <cellStyle name="Comma 5 3 2 2" xfId="10749" xr:uid="{00000000-0005-0000-0000-00002F280000}"/>
    <cellStyle name="Comma 5 3 3" xfId="10750" xr:uid="{00000000-0005-0000-0000-000030280000}"/>
    <cellStyle name="Comma 5 3 4" xfId="10751" xr:uid="{00000000-0005-0000-0000-000031280000}"/>
    <cellStyle name="Comma 5 3 5" xfId="10752" xr:uid="{00000000-0005-0000-0000-000032280000}"/>
    <cellStyle name="Comma 5 4" xfId="10753" xr:uid="{00000000-0005-0000-0000-000033280000}"/>
    <cellStyle name="Comma 5 4 2" xfId="10754" xr:uid="{00000000-0005-0000-0000-000034280000}"/>
    <cellStyle name="Comma 5 5" xfId="10755" xr:uid="{00000000-0005-0000-0000-000035280000}"/>
    <cellStyle name="Comma 5 6" xfId="10756" xr:uid="{00000000-0005-0000-0000-000036280000}"/>
    <cellStyle name="Comma 50" xfId="10757" xr:uid="{00000000-0005-0000-0000-000037280000}"/>
    <cellStyle name="Comma 51" xfId="10758" xr:uid="{00000000-0005-0000-0000-000038280000}"/>
    <cellStyle name="Comma 52" xfId="10759" xr:uid="{00000000-0005-0000-0000-000039280000}"/>
    <cellStyle name="Comma 53" xfId="10760" xr:uid="{00000000-0005-0000-0000-00003A280000}"/>
    <cellStyle name="Comma 54" xfId="10761" xr:uid="{00000000-0005-0000-0000-00003B280000}"/>
    <cellStyle name="Comma 55" xfId="10762" xr:uid="{00000000-0005-0000-0000-00003C280000}"/>
    <cellStyle name="Comma 56" xfId="10763" xr:uid="{00000000-0005-0000-0000-00003D280000}"/>
    <cellStyle name="Comma 57" xfId="10764" xr:uid="{00000000-0005-0000-0000-00003E280000}"/>
    <cellStyle name="Comma 58" xfId="10765" xr:uid="{00000000-0005-0000-0000-00003F280000}"/>
    <cellStyle name="Comma 59" xfId="10766" xr:uid="{00000000-0005-0000-0000-000040280000}"/>
    <cellStyle name="Comma 6" xfId="1995" xr:uid="{00000000-0005-0000-0000-000041280000}"/>
    <cellStyle name="Comma 6 2" xfId="1996" xr:uid="{00000000-0005-0000-0000-000042280000}"/>
    <cellStyle name="Comma 6 2 2" xfId="10767" xr:uid="{00000000-0005-0000-0000-000043280000}"/>
    <cellStyle name="Comma 6 3" xfId="10768" xr:uid="{00000000-0005-0000-0000-000044280000}"/>
    <cellStyle name="Comma 6 4" xfId="10769" xr:uid="{00000000-0005-0000-0000-000045280000}"/>
    <cellStyle name="Comma 6 5" xfId="10770" xr:uid="{00000000-0005-0000-0000-000046280000}"/>
    <cellStyle name="Comma 60" xfId="10771" xr:uid="{00000000-0005-0000-0000-000047280000}"/>
    <cellStyle name="Comma 61" xfId="10772" xr:uid="{00000000-0005-0000-0000-000048280000}"/>
    <cellStyle name="Comma 62" xfId="10773" xr:uid="{00000000-0005-0000-0000-000049280000}"/>
    <cellStyle name="Comma 63" xfId="10774" xr:uid="{00000000-0005-0000-0000-00004A280000}"/>
    <cellStyle name="Comma 64" xfId="10775" xr:uid="{00000000-0005-0000-0000-00004B280000}"/>
    <cellStyle name="Comma 65" xfId="10776" xr:uid="{00000000-0005-0000-0000-00004C280000}"/>
    <cellStyle name="Comma 66" xfId="10777" xr:uid="{00000000-0005-0000-0000-00004D280000}"/>
    <cellStyle name="Comma 67" xfId="10778" xr:uid="{00000000-0005-0000-0000-00004E280000}"/>
    <cellStyle name="Comma 68" xfId="10779" xr:uid="{00000000-0005-0000-0000-00004F280000}"/>
    <cellStyle name="Comma 69" xfId="10780" xr:uid="{00000000-0005-0000-0000-000050280000}"/>
    <cellStyle name="Comma 7" xfId="1997" xr:uid="{00000000-0005-0000-0000-000051280000}"/>
    <cellStyle name="Comma 7 2" xfId="1998" xr:uid="{00000000-0005-0000-0000-000052280000}"/>
    <cellStyle name="Comma 7 2 2" xfId="10781" xr:uid="{00000000-0005-0000-0000-000053280000}"/>
    <cellStyle name="Comma 7 2 3" xfId="10782" xr:uid="{00000000-0005-0000-0000-000054280000}"/>
    <cellStyle name="Comma 7 3" xfId="10783" xr:uid="{00000000-0005-0000-0000-000055280000}"/>
    <cellStyle name="Comma 7 3 2" xfId="10784" xr:uid="{00000000-0005-0000-0000-000056280000}"/>
    <cellStyle name="Comma 7 4" xfId="10785" xr:uid="{00000000-0005-0000-0000-000057280000}"/>
    <cellStyle name="Comma 7 5" xfId="10786" xr:uid="{00000000-0005-0000-0000-000058280000}"/>
    <cellStyle name="Comma 70" xfId="10787" xr:uid="{00000000-0005-0000-0000-000059280000}"/>
    <cellStyle name="Comma 71" xfId="10788" xr:uid="{00000000-0005-0000-0000-00005A280000}"/>
    <cellStyle name="Comma 72" xfId="10789" xr:uid="{00000000-0005-0000-0000-00005B280000}"/>
    <cellStyle name="Comma 73" xfId="10790" xr:uid="{00000000-0005-0000-0000-00005C280000}"/>
    <cellStyle name="Comma 74" xfId="10791" xr:uid="{00000000-0005-0000-0000-00005D280000}"/>
    <cellStyle name="Comma 75" xfId="10792" xr:uid="{00000000-0005-0000-0000-00005E280000}"/>
    <cellStyle name="Comma 76" xfId="10793" xr:uid="{00000000-0005-0000-0000-00005F280000}"/>
    <cellStyle name="Comma 77" xfId="10794" xr:uid="{00000000-0005-0000-0000-000060280000}"/>
    <cellStyle name="Comma 78" xfId="10795" xr:uid="{00000000-0005-0000-0000-000061280000}"/>
    <cellStyle name="Comma 79" xfId="10796" xr:uid="{00000000-0005-0000-0000-000062280000}"/>
    <cellStyle name="Comma 8" xfId="1999" xr:uid="{00000000-0005-0000-0000-000063280000}"/>
    <cellStyle name="Comma 8 2" xfId="2000" xr:uid="{00000000-0005-0000-0000-000064280000}"/>
    <cellStyle name="Comma 8 2 2" xfId="10797" xr:uid="{00000000-0005-0000-0000-000065280000}"/>
    <cellStyle name="Comma 8 3" xfId="10798" xr:uid="{00000000-0005-0000-0000-000066280000}"/>
    <cellStyle name="Comma 8 3 2" xfId="10799" xr:uid="{00000000-0005-0000-0000-000067280000}"/>
    <cellStyle name="Comma 80" xfId="10800" xr:uid="{00000000-0005-0000-0000-000068280000}"/>
    <cellStyle name="Comma 80 2" xfId="10801" xr:uid="{00000000-0005-0000-0000-000069280000}"/>
    <cellStyle name="Comma 80 3" xfId="10802" xr:uid="{00000000-0005-0000-0000-00006A280000}"/>
    <cellStyle name="Comma 81" xfId="10803" xr:uid="{00000000-0005-0000-0000-00006B280000}"/>
    <cellStyle name="Comma 81 2" xfId="10804" xr:uid="{00000000-0005-0000-0000-00006C280000}"/>
    <cellStyle name="Comma 81 3" xfId="10805" xr:uid="{00000000-0005-0000-0000-00006D280000}"/>
    <cellStyle name="Comma 82" xfId="10806" xr:uid="{00000000-0005-0000-0000-00006E280000}"/>
    <cellStyle name="Comma 82 2" xfId="10807" xr:uid="{00000000-0005-0000-0000-00006F280000}"/>
    <cellStyle name="Comma 82 3" xfId="10808" xr:uid="{00000000-0005-0000-0000-000070280000}"/>
    <cellStyle name="Comma 83" xfId="10809" xr:uid="{00000000-0005-0000-0000-000071280000}"/>
    <cellStyle name="Comma 83 2" xfId="10810" xr:uid="{00000000-0005-0000-0000-000072280000}"/>
    <cellStyle name="Comma 83 3" xfId="10811" xr:uid="{00000000-0005-0000-0000-000073280000}"/>
    <cellStyle name="Comma 84" xfId="10812" xr:uid="{00000000-0005-0000-0000-000074280000}"/>
    <cellStyle name="Comma 84 2" xfId="10813" xr:uid="{00000000-0005-0000-0000-000075280000}"/>
    <cellStyle name="Comma 84 3" xfId="10814" xr:uid="{00000000-0005-0000-0000-000076280000}"/>
    <cellStyle name="Comma 85" xfId="10815" xr:uid="{00000000-0005-0000-0000-000077280000}"/>
    <cellStyle name="Comma 85 2" xfId="10816" xr:uid="{00000000-0005-0000-0000-000078280000}"/>
    <cellStyle name="Comma 86" xfId="10817" xr:uid="{00000000-0005-0000-0000-000079280000}"/>
    <cellStyle name="Comma 86 2" xfId="10818" xr:uid="{00000000-0005-0000-0000-00007A280000}"/>
    <cellStyle name="Comma 87" xfId="10819" xr:uid="{00000000-0005-0000-0000-00007B280000}"/>
    <cellStyle name="Comma 87 2" xfId="10820" xr:uid="{00000000-0005-0000-0000-00007C280000}"/>
    <cellStyle name="Comma 88" xfId="10821" xr:uid="{00000000-0005-0000-0000-00007D280000}"/>
    <cellStyle name="Comma 88 2" xfId="10822" xr:uid="{00000000-0005-0000-0000-00007E280000}"/>
    <cellStyle name="Comma 89" xfId="10823" xr:uid="{00000000-0005-0000-0000-00007F280000}"/>
    <cellStyle name="Comma 9" xfId="2001" xr:uid="{00000000-0005-0000-0000-000080280000}"/>
    <cellStyle name="Comma 9 10" xfId="10824" xr:uid="{00000000-0005-0000-0000-000081280000}"/>
    <cellStyle name="Comma 9 11" xfId="10825" xr:uid="{00000000-0005-0000-0000-000082280000}"/>
    <cellStyle name="Comma 9 12" xfId="10826" xr:uid="{00000000-0005-0000-0000-000083280000}"/>
    <cellStyle name="Comma 9 2" xfId="2002" xr:uid="{00000000-0005-0000-0000-000084280000}"/>
    <cellStyle name="Comma 9 2 2" xfId="10827" xr:uid="{00000000-0005-0000-0000-000085280000}"/>
    <cellStyle name="Comma 9 2 2 2" xfId="10828" xr:uid="{00000000-0005-0000-0000-000086280000}"/>
    <cellStyle name="Comma 9 2 2 2 2" xfId="10829" xr:uid="{00000000-0005-0000-0000-000087280000}"/>
    <cellStyle name="Comma 9 2 2 2 3" xfId="10830" xr:uid="{00000000-0005-0000-0000-000088280000}"/>
    <cellStyle name="Comma 9 2 2 3" xfId="10831" xr:uid="{00000000-0005-0000-0000-000089280000}"/>
    <cellStyle name="Comma 9 2 2 3 2" xfId="10832" xr:uid="{00000000-0005-0000-0000-00008A280000}"/>
    <cellStyle name="Comma 9 2 2 3 3" xfId="10833" xr:uid="{00000000-0005-0000-0000-00008B280000}"/>
    <cellStyle name="Comma 9 2 2 4" xfId="10834" xr:uid="{00000000-0005-0000-0000-00008C280000}"/>
    <cellStyle name="Comma 9 2 2 5" xfId="10835" xr:uid="{00000000-0005-0000-0000-00008D280000}"/>
    <cellStyle name="Comma 9 2 2 6" xfId="10836" xr:uid="{00000000-0005-0000-0000-00008E280000}"/>
    <cellStyle name="Comma 9 2 3" xfId="10837" xr:uid="{00000000-0005-0000-0000-00008F280000}"/>
    <cellStyle name="Comma 9 2 3 2" xfId="10838" xr:uid="{00000000-0005-0000-0000-000090280000}"/>
    <cellStyle name="Comma 9 2 3 3" xfId="10839" xr:uid="{00000000-0005-0000-0000-000091280000}"/>
    <cellStyle name="Comma 9 2 4" xfId="10840" xr:uid="{00000000-0005-0000-0000-000092280000}"/>
    <cellStyle name="Comma 9 2 4 2" xfId="10841" xr:uid="{00000000-0005-0000-0000-000093280000}"/>
    <cellStyle name="Comma 9 2 4 3" xfId="10842" xr:uid="{00000000-0005-0000-0000-000094280000}"/>
    <cellStyle name="Comma 9 2 5" xfId="10843" xr:uid="{00000000-0005-0000-0000-000095280000}"/>
    <cellStyle name="Comma 9 2 6" xfId="10844" xr:uid="{00000000-0005-0000-0000-000096280000}"/>
    <cellStyle name="Comma 9 2 7" xfId="10845" xr:uid="{00000000-0005-0000-0000-000097280000}"/>
    <cellStyle name="Comma 9 2 8" xfId="10846" xr:uid="{00000000-0005-0000-0000-000098280000}"/>
    <cellStyle name="Comma 9 2 9" xfId="10847" xr:uid="{00000000-0005-0000-0000-000099280000}"/>
    <cellStyle name="Comma 9 3" xfId="10848" xr:uid="{00000000-0005-0000-0000-00009A280000}"/>
    <cellStyle name="Comma 9 3 2" xfId="10849" xr:uid="{00000000-0005-0000-0000-00009B280000}"/>
    <cellStyle name="Comma 9 3 2 2" xfId="10850" xr:uid="{00000000-0005-0000-0000-00009C280000}"/>
    <cellStyle name="Comma 9 3 2 2 2" xfId="10851" xr:uid="{00000000-0005-0000-0000-00009D280000}"/>
    <cellStyle name="Comma 9 3 2 3" xfId="10852" xr:uid="{00000000-0005-0000-0000-00009E280000}"/>
    <cellStyle name="Comma 9 3 3" xfId="10853" xr:uid="{00000000-0005-0000-0000-00009F280000}"/>
    <cellStyle name="Comma 9 3 3 2" xfId="10854" xr:uid="{00000000-0005-0000-0000-0000A0280000}"/>
    <cellStyle name="Comma 9 3 3 3" xfId="10855" xr:uid="{00000000-0005-0000-0000-0000A1280000}"/>
    <cellStyle name="Comma 9 3 4" xfId="10856" xr:uid="{00000000-0005-0000-0000-0000A2280000}"/>
    <cellStyle name="Comma 9 3 5" xfId="10857" xr:uid="{00000000-0005-0000-0000-0000A3280000}"/>
    <cellStyle name="Comma 9 3 6" xfId="10858" xr:uid="{00000000-0005-0000-0000-0000A4280000}"/>
    <cellStyle name="Comma 9 4" xfId="10859" xr:uid="{00000000-0005-0000-0000-0000A5280000}"/>
    <cellStyle name="Comma 9 4 2" xfId="10860" xr:uid="{00000000-0005-0000-0000-0000A6280000}"/>
    <cellStyle name="Comma 9 4 3" xfId="10861" xr:uid="{00000000-0005-0000-0000-0000A7280000}"/>
    <cellStyle name="Comma 9 5" xfId="10862" xr:uid="{00000000-0005-0000-0000-0000A8280000}"/>
    <cellStyle name="Comma 9 5 2" xfId="10863" xr:uid="{00000000-0005-0000-0000-0000A9280000}"/>
    <cellStyle name="Comma 9 5 3" xfId="10864" xr:uid="{00000000-0005-0000-0000-0000AA280000}"/>
    <cellStyle name="Comma 9 6" xfId="10865" xr:uid="{00000000-0005-0000-0000-0000AB280000}"/>
    <cellStyle name="Comma 9 7" xfId="10866" xr:uid="{00000000-0005-0000-0000-0000AC280000}"/>
    <cellStyle name="Comma 9 8" xfId="10867" xr:uid="{00000000-0005-0000-0000-0000AD280000}"/>
    <cellStyle name="Comma 9 9" xfId="10868" xr:uid="{00000000-0005-0000-0000-0000AE280000}"/>
    <cellStyle name="Comma 90" xfId="10869" xr:uid="{00000000-0005-0000-0000-0000AF280000}"/>
    <cellStyle name="Comma 91" xfId="10870" xr:uid="{00000000-0005-0000-0000-0000B0280000}"/>
    <cellStyle name="Comma 92" xfId="10871" xr:uid="{00000000-0005-0000-0000-0000B1280000}"/>
    <cellStyle name="Comma 93" xfId="10872" xr:uid="{00000000-0005-0000-0000-0000B2280000}"/>
    <cellStyle name="Comma 94" xfId="10873" xr:uid="{00000000-0005-0000-0000-0000B3280000}"/>
    <cellStyle name="Comma 95" xfId="10874" xr:uid="{00000000-0005-0000-0000-0000B4280000}"/>
    <cellStyle name="Comma 96" xfId="10875" xr:uid="{00000000-0005-0000-0000-0000B5280000}"/>
    <cellStyle name="Comma 97" xfId="10876" xr:uid="{00000000-0005-0000-0000-0000B6280000}"/>
    <cellStyle name="Comma 98" xfId="10877" xr:uid="{00000000-0005-0000-0000-0000B7280000}"/>
    <cellStyle name="Comma 99" xfId="10878" xr:uid="{00000000-0005-0000-0000-0000B8280000}"/>
    <cellStyle name="comma zerodec" xfId="2003" xr:uid="{00000000-0005-0000-0000-0000B9280000}"/>
    <cellStyle name="comma zerodec 2" xfId="2004" xr:uid="{00000000-0005-0000-0000-0000BA280000}"/>
    <cellStyle name="comma zerodec 2 2" xfId="2005" xr:uid="{00000000-0005-0000-0000-0000BB280000}"/>
    <cellStyle name="comma zerodec 3" xfId="2006" xr:uid="{00000000-0005-0000-0000-0000BC280000}"/>
    <cellStyle name="comma zerodec 3 2" xfId="2007" xr:uid="{00000000-0005-0000-0000-0000BD280000}"/>
    <cellStyle name="comma zerodec 3 2 2" xfId="10879" xr:uid="{00000000-0005-0000-0000-0000BE280000}"/>
    <cellStyle name="comma zerodec 4" xfId="10880" xr:uid="{00000000-0005-0000-0000-0000BF280000}"/>
    <cellStyle name="comma zerodec 5" xfId="10881" xr:uid="{00000000-0005-0000-0000-0000C0280000}"/>
    <cellStyle name="Comma,0" xfId="10882" xr:uid="{00000000-0005-0000-0000-0000C1280000}"/>
    <cellStyle name="Comma,1" xfId="10883" xr:uid="{00000000-0005-0000-0000-0000C2280000}"/>
    <cellStyle name="Comma,2" xfId="10884" xr:uid="{00000000-0005-0000-0000-0000C3280000}"/>
    <cellStyle name="Comma0" xfId="10885" xr:uid="{00000000-0005-0000-0000-0000C4280000}"/>
    <cellStyle name="Copied" xfId="10886" xr:uid="{00000000-0005-0000-0000-0000C5280000}"/>
    <cellStyle name="Currency" xfId="7" builtinId="4"/>
    <cellStyle name="Currency (0)" xfId="10887" xr:uid="{00000000-0005-0000-0000-0000C7280000}"/>
    <cellStyle name="Currency (2)" xfId="10888" xr:uid="{00000000-0005-0000-0000-0000C8280000}"/>
    <cellStyle name="Currency [00]" xfId="10889" xr:uid="{00000000-0005-0000-0000-0000C9280000}"/>
    <cellStyle name="Currency 10" xfId="10890" xr:uid="{00000000-0005-0000-0000-0000CA280000}"/>
    <cellStyle name="Currency 10 2" xfId="54202" xr:uid="{00000000-0005-0000-0000-0000CB280000}"/>
    <cellStyle name="Currency 10 2 7" xfId="54203" xr:uid="{00000000-0005-0000-0000-0000CC280000}"/>
    <cellStyle name="Currency 11" xfId="10891" xr:uid="{00000000-0005-0000-0000-0000CD280000}"/>
    <cellStyle name="Currency 12" xfId="10892" xr:uid="{00000000-0005-0000-0000-0000CE280000}"/>
    <cellStyle name="Currency 12 2" xfId="10893" xr:uid="{00000000-0005-0000-0000-0000CF280000}"/>
    <cellStyle name="Currency 12 3" xfId="10894" xr:uid="{00000000-0005-0000-0000-0000D0280000}"/>
    <cellStyle name="Currency 13" xfId="10895" xr:uid="{00000000-0005-0000-0000-0000D1280000}"/>
    <cellStyle name="Currency 13 2" xfId="10896" xr:uid="{00000000-0005-0000-0000-0000D2280000}"/>
    <cellStyle name="Currency 13 3" xfId="10897" xr:uid="{00000000-0005-0000-0000-0000D3280000}"/>
    <cellStyle name="Currency 14" xfId="10898" xr:uid="{00000000-0005-0000-0000-0000D4280000}"/>
    <cellStyle name="Currency 14 2" xfId="10899" xr:uid="{00000000-0005-0000-0000-0000D5280000}"/>
    <cellStyle name="Currency 14 3" xfId="10900" xr:uid="{00000000-0005-0000-0000-0000D6280000}"/>
    <cellStyle name="Currency 15" xfId="10901" xr:uid="{00000000-0005-0000-0000-0000D7280000}"/>
    <cellStyle name="Currency 15 2" xfId="10902" xr:uid="{00000000-0005-0000-0000-0000D8280000}"/>
    <cellStyle name="Currency 15 3" xfId="10903" xr:uid="{00000000-0005-0000-0000-0000D9280000}"/>
    <cellStyle name="Currency 16" xfId="10904" xr:uid="{00000000-0005-0000-0000-0000DA280000}"/>
    <cellStyle name="Currency 16 2" xfId="10905" xr:uid="{00000000-0005-0000-0000-0000DB280000}"/>
    <cellStyle name="Currency 16 3" xfId="10906" xr:uid="{00000000-0005-0000-0000-0000DC280000}"/>
    <cellStyle name="Currency 17" xfId="10907" xr:uid="{00000000-0005-0000-0000-0000DD280000}"/>
    <cellStyle name="Currency 17 2" xfId="10908" xr:uid="{00000000-0005-0000-0000-0000DE280000}"/>
    <cellStyle name="Currency 18" xfId="10909" xr:uid="{00000000-0005-0000-0000-0000DF280000}"/>
    <cellStyle name="Currency 18 2" xfId="10910" xr:uid="{00000000-0005-0000-0000-0000E0280000}"/>
    <cellStyle name="Currency 19" xfId="10911" xr:uid="{00000000-0005-0000-0000-0000E1280000}"/>
    <cellStyle name="Currency 19 2" xfId="10912" xr:uid="{00000000-0005-0000-0000-0000E2280000}"/>
    <cellStyle name="Currency 2" xfId="2008" xr:uid="{00000000-0005-0000-0000-0000E3280000}"/>
    <cellStyle name="Currency 2 10" xfId="10913" xr:uid="{00000000-0005-0000-0000-0000E4280000}"/>
    <cellStyle name="Currency 2 11" xfId="10914" xr:uid="{00000000-0005-0000-0000-0000E5280000}"/>
    <cellStyle name="Currency 2 12" xfId="10915" xr:uid="{00000000-0005-0000-0000-0000E6280000}"/>
    <cellStyle name="Currency 2 13" xfId="10916" xr:uid="{00000000-0005-0000-0000-0000E7280000}"/>
    <cellStyle name="Currency 2 14" xfId="10917" xr:uid="{00000000-0005-0000-0000-0000E8280000}"/>
    <cellStyle name="Currency 2 15" xfId="10918" xr:uid="{00000000-0005-0000-0000-0000E9280000}"/>
    <cellStyle name="Currency 2 16" xfId="10919" xr:uid="{00000000-0005-0000-0000-0000EA280000}"/>
    <cellStyle name="Currency 2 17" xfId="10920" xr:uid="{00000000-0005-0000-0000-0000EB280000}"/>
    <cellStyle name="Currency 2 18" xfId="10921" xr:uid="{00000000-0005-0000-0000-0000EC280000}"/>
    <cellStyle name="Currency 2 19" xfId="10922" xr:uid="{00000000-0005-0000-0000-0000ED280000}"/>
    <cellStyle name="Currency 2 2" xfId="2009" xr:uid="{00000000-0005-0000-0000-0000EE280000}"/>
    <cellStyle name="Currency 2 2 2" xfId="2010" xr:uid="{00000000-0005-0000-0000-0000EF280000}"/>
    <cellStyle name="Currency 2 2 2 2" xfId="10923" xr:uid="{00000000-0005-0000-0000-0000F0280000}"/>
    <cellStyle name="Currency 2 2 2 3" xfId="10924" xr:uid="{00000000-0005-0000-0000-0000F1280000}"/>
    <cellStyle name="Currency 2 2 3" xfId="10925" xr:uid="{00000000-0005-0000-0000-0000F2280000}"/>
    <cellStyle name="Currency 2 20" xfId="10926" xr:uid="{00000000-0005-0000-0000-0000F3280000}"/>
    <cellStyle name="Currency 2 3" xfId="10927" xr:uid="{00000000-0005-0000-0000-0000F4280000}"/>
    <cellStyle name="Currency 2 3 2" xfId="10928" xr:uid="{00000000-0005-0000-0000-0000F5280000}"/>
    <cellStyle name="Currency 2 3 2 2" xfId="10929" xr:uid="{00000000-0005-0000-0000-0000F6280000}"/>
    <cellStyle name="Currency 2 3 3" xfId="10930" xr:uid="{00000000-0005-0000-0000-0000F7280000}"/>
    <cellStyle name="Currency 2 4" xfId="10931" xr:uid="{00000000-0005-0000-0000-0000F8280000}"/>
    <cellStyle name="Currency 2 4 2" xfId="10932" xr:uid="{00000000-0005-0000-0000-0000F9280000}"/>
    <cellStyle name="Currency 2 4 3" xfId="10933" xr:uid="{00000000-0005-0000-0000-0000FA280000}"/>
    <cellStyle name="Currency 2 5" xfId="10934" xr:uid="{00000000-0005-0000-0000-0000FB280000}"/>
    <cellStyle name="Currency 2 5 2" xfId="10935" xr:uid="{00000000-0005-0000-0000-0000FC280000}"/>
    <cellStyle name="Currency 2 5 3" xfId="10936" xr:uid="{00000000-0005-0000-0000-0000FD280000}"/>
    <cellStyle name="Currency 2 6" xfId="10937" xr:uid="{00000000-0005-0000-0000-0000FE280000}"/>
    <cellStyle name="Currency 2 7" xfId="10938" xr:uid="{00000000-0005-0000-0000-0000FF280000}"/>
    <cellStyle name="Currency 2 8" xfId="10939" xr:uid="{00000000-0005-0000-0000-000000290000}"/>
    <cellStyle name="Currency 2 9" xfId="10940" xr:uid="{00000000-0005-0000-0000-000001290000}"/>
    <cellStyle name="Currency 20" xfId="10941" xr:uid="{00000000-0005-0000-0000-000002290000}"/>
    <cellStyle name="Currency 20 2" xfId="10942" xr:uid="{00000000-0005-0000-0000-000003290000}"/>
    <cellStyle name="Currency 21" xfId="10943" xr:uid="{00000000-0005-0000-0000-000004290000}"/>
    <cellStyle name="Currency 22" xfId="10944" xr:uid="{00000000-0005-0000-0000-000005290000}"/>
    <cellStyle name="Currency 23" xfId="10945" xr:uid="{00000000-0005-0000-0000-000006290000}"/>
    <cellStyle name="Currency 24" xfId="10946" xr:uid="{00000000-0005-0000-0000-000007290000}"/>
    <cellStyle name="Currency 25" xfId="10947" xr:uid="{00000000-0005-0000-0000-000008290000}"/>
    <cellStyle name="Currency 26" xfId="10948" xr:uid="{00000000-0005-0000-0000-000009290000}"/>
    <cellStyle name="Currency 27" xfId="10949" xr:uid="{00000000-0005-0000-0000-00000A290000}"/>
    <cellStyle name="Currency 28" xfId="10950" xr:uid="{00000000-0005-0000-0000-00000B290000}"/>
    <cellStyle name="Currency 29" xfId="10951" xr:uid="{00000000-0005-0000-0000-00000C290000}"/>
    <cellStyle name="Currency 3" xfId="2011" xr:uid="{00000000-0005-0000-0000-00000D290000}"/>
    <cellStyle name="Currency 3 2" xfId="2012" xr:uid="{00000000-0005-0000-0000-00000E290000}"/>
    <cellStyle name="Currency 3 2 2" xfId="10952" xr:uid="{00000000-0005-0000-0000-00000F290000}"/>
    <cellStyle name="Currency 3 2 2 2" xfId="10953" xr:uid="{00000000-0005-0000-0000-000010290000}"/>
    <cellStyle name="Currency 3 2 2 3" xfId="10954" xr:uid="{00000000-0005-0000-0000-000011290000}"/>
    <cellStyle name="Currency 3 2 3" xfId="10955" xr:uid="{00000000-0005-0000-0000-000012290000}"/>
    <cellStyle name="Currency 3 2 4" xfId="10956" xr:uid="{00000000-0005-0000-0000-000013290000}"/>
    <cellStyle name="Currency 3 2 5" xfId="10957" xr:uid="{00000000-0005-0000-0000-000014290000}"/>
    <cellStyle name="Currency 3 3" xfId="10958" xr:uid="{00000000-0005-0000-0000-000015290000}"/>
    <cellStyle name="Currency 3 3 2" xfId="10959" xr:uid="{00000000-0005-0000-0000-000016290000}"/>
    <cellStyle name="Currency 3 3 3" xfId="10960" xr:uid="{00000000-0005-0000-0000-000017290000}"/>
    <cellStyle name="Currency 3 3 4" xfId="10961" xr:uid="{00000000-0005-0000-0000-000018290000}"/>
    <cellStyle name="Currency 3 4" xfId="10962" xr:uid="{00000000-0005-0000-0000-000019290000}"/>
    <cellStyle name="Currency 3 5" xfId="10963" xr:uid="{00000000-0005-0000-0000-00001A290000}"/>
    <cellStyle name="Currency 3 6" xfId="10964" xr:uid="{00000000-0005-0000-0000-00001B290000}"/>
    <cellStyle name="Currency 30" xfId="10965" xr:uid="{00000000-0005-0000-0000-00001C290000}"/>
    <cellStyle name="Currency 31" xfId="10966" xr:uid="{00000000-0005-0000-0000-00001D290000}"/>
    <cellStyle name="Currency 32" xfId="10967" xr:uid="{00000000-0005-0000-0000-00001E290000}"/>
    <cellStyle name="Currency 33" xfId="10968" xr:uid="{00000000-0005-0000-0000-00001F290000}"/>
    <cellStyle name="Currency 34" xfId="10969" xr:uid="{00000000-0005-0000-0000-000020290000}"/>
    <cellStyle name="Currency 35" xfId="10970" xr:uid="{00000000-0005-0000-0000-000021290000}"/>
    <cellStyle name="Currency 36" xfId="10971" xr:uid="{00000000-0005-0000-0000-000022290000}"/>
    <cellStyle name="Currency 37" xfId="10972" xr:uid="{00000000-0005-0000-0000-000023290000}"/>
    <cellStyle name="Currency 38" xfId="10973" xr:uid="{00000000-0005-0000-0000-000024290000}"/>
    <cellStyle name="Currency 39" xfId="10974" xr:uid="{00000000-0005-0000-0000-000025290000}"/>
    <cellStyle name="Currency 4" xfId="2013" xr:uid="{00000000-0005-0000-0000-000026290000}"/>
    <cellStyle name="Currency 4 2" xfId="2014" xr:uid="{00000000-0005-0000-0000-000027290000}"/>
    <cellStyle name="Currency 4 2 2" xfId="10975" xr:uid="{00000000-0005-0000-0000-000028290000}"/>
    <cellStyle name="Currency 4 2 3" xfId="10976" xr:uid="{00000000-0005-0000-0000-000029290000}"/>
    <cellStyle name="Currency 4 3" xfId="2015" xr:uid="{00000000-0005-0000-0000-00002A290000}"/>
    <cellStyle name="Currency 4 4" xfId="10977" xr:uid="{00000000-0005-0000-0000-00002B290000}"/>
    <cellStyle name="Currency 40" xfId="10978" xr:uid="{00000000-0005-0000-0000-00002C290000}"/>
    <cellStyle name="Currency 41" xfId="10979" xr:uid="{00000000-0005-0000-0000-00002D290000}"/>
    <cellStyle name="Currency 42" xfId="10980" xr:uid="{00000000-0005-0000-0000-00002E290000}"/>
    <cellStyle name="Currency 43" xfId="10981" xr:uid="{00000000-0005-0000-0000-00002F290000}"/>
    <cellStyle name="Currency 44" xfId="10982" xr:uid="{00000000-0005-0000-0000-000030290000}"/>
    <cellStyle name="Currency 45" xfId="10983" xr:uid="{00000000-0005-0000-0000-000031290000}"/>
    <cellStyle name="Currency 46" xfId="10984" xr:uid="{00000000-0005-0000-0000-000032290000}"/>
    <cellStyle name="Currency 47" xfId="10985" xr:uid="{00000000-0005-0000-0000-000033290000}"/>
    <cellStyle name="Currency 48" xfId="10986" xr:uid="{00000000-0005-0000-0000-000034290000}"/>
    <cellStyle name="Currency 49" xfId="10987" xr:uid="{00000000-0005-0000-0000-000035290000}"/>
    <cellStyle name="Currency 5" xfId="2016" xr:uid="{00000000-0005-0000-0000-000036290000}"/>
    <cellStyle name="Currency 5 2" xfId="2017" xr:uid="{00000000-0005-0000-0000-000037290000}"/>
    <cellStyle name="Currency 5 2 2" xfId="10988" xr:uid="{00000000-0005-0000-0000-000038290000}"/>
    <cellStyle name="Currency 5 2 3" xfId="10989" xr:uid="{00000000-0005-0000-0000-000039290000}"/>
    <cellStyle name="Currency 5 3" xfId="10990" xr:uid="{00000000-0005-0000-0000-00003A290000}"/>
    <cellStyle name="Currency 5 3 2" xfId="10991" xr:uid="{00000000-0005-0000-0000-00003B290000}"/>
    <cellStyle name="Currency 5 4" xfId="10992" xr:uid="{00000000-0005-0000-0000-00003C290000}"/>
    <cellStyle name="Currency 5 5" xfId="10993" xr:uid="{00000000-0005-0000-0000-00003D290000}"/>
    <cellStyle name="Currency 5 6" xfId="10994" xr:uid="{00000000-0005-0000-0000-00003E290000}"/>
    <cellStyle name="Currency 50" xfId="10995" xr:uid="{00000000-0005-0000-0000-00003F290000}"/>
    <cellStyle name="Currency 51" xfId="10996" xr:uid="{00000000-0005-0000-0000-000040290000}"/>
    <cellStyle name="Currency 52" xfId="10997" xr:uid="{00000000-0005-0000-0000-000041290000}"/>
    <cellStyle name="Currency 53" xfId="10998" xr:uid="{00000000-0005-0000-0000-000042290000}"/>
    <cellStyle name="Currency 54" xfId="10999" xr:uid="{00000000-0005-0000-0000-000043290000}"/>
    <cellStyle name="Currency 55" xfId="11000" xr:uid="{00000000-0005-0000-0000-000044290000}"/>
    <cellStyle name="Currency 56" xfId="11001" xr:uid="{00000000-0005-0000-0000-000045290000}"/>
    <cellStyle name="Currency 57" xfId="11002" xr:uid="{00000000-0005-0000-0000-000046290000}"/>
    <cellStyle name="Currency 58" xfId="11003" xr:uid="{00000000-0005-0000-0000-000047290000}"/>
    <cellStyle name="Currency 59" xfId="11004" xr:uid="{00000000-0005-0000-0000-000048290000}"/>
    <cellStyle name="Currency 6" xfId="2018" xr:uid="{00000000-0005-0000-0000-000049290000}"/>
    <cellStyle name="Currency 6 2" xfId="11005" xr:uid="{00000000-0005-0000-0000-00004A290000}"/>
    <cellStyle name="Currency 6 3" xfId="11006" xr:uid="{00000000-0005-0000-0000-00004B290000}"/>
    <cellStyle name="Currency 60" xfId="11007" xr:uid="{00000000-0005-0000-0000-00004C290000}"/>
    <cellStyle name="Currency 61" xfId="11008" xr:uid="{00000000-0005-0000-0000-00004D290000}"/>
    <cellStyle name="Currency 62" xfId="11009" xr:uid="{00000000-0005-0000-0000-00004E290000}"/>
    <cellStyle name="Currency 63" xfId="11010" xr:uid="{00000000-0005-0000-0000-00004F290000}"/>
    <cellStyle name="Currency 64" xfId="11011" xr:uid="{00000000-0005-0000-0000-000050290000}"/>
    <cellStyle name="Currency 65" xfId="11012" xr:uid="{00000000-0005-0000-0000-000051290000}"/>
    <cellStyle name="Currency 66" xfId="11013" xr:uid="{00000000-0005-0000-0000-000052290000}"/>
    <cellStyle name="Currency 67" xfId="11014" xr:uid="{00000000-0005-0000-0000-000053290000}"/>
    <cellStyle name="Currency 7" xfId="11015" xr:uid="{00000000-0005-0000-0000-000054290000}"/>
    <cellStyle name="Currency 7 2" xfId="11016" xr:uid="{00000000-0005-0000-0000-000055290000}"/>
    <cellStyle name="Currency 7 3" xfId="11017" xr:uid="{00000000-0005-0000-0000-000056290000}"/>
    <cellStyle name="Currency 8" xfId="11018" xr:uid="{00000000-0005-0000-0000-000057290000}"/>
    <cellStyle name="Currency 8 2" xfId="11019" xr:uid="{00000000-0005-0000-0000-000058290000}"/>
    <cellStyle name="Currency 9" xfId="11020" xr:uid="{00000000-0005-0000-0000-000059290000}"/>
    <cellStyle name="Currency,0" xfId="11021" xr:uid="{00000000-0005-0000-0000-00005A290000}"/>
    <cellStyle name="Currency,2" xfId="11022" xr:uid="{00000000-0005-0000-0000-00005B290000}"/>
    <cellStyle name="Currency0" xfId="11023" xr:uid="{00000000-0005-0000-0000-00005C290000}"/>
    <cellStyle name="Currency1" xfId="2019" xr:uid="{00000000-0005-0000-0000-00005D290000}"/>
    <cellStyle name="Currency1 2" xfId="2020" xr:uid="{00000000-0005-0000-0000-00005E290000}"/>
    <cellStyle name="Currency1 2 2" xfId="2021" xr:uid="{00000000-0005-0000-0000-00005F290000}"/>
    <cellStyle name="Currency1 3" xfId="2022" xr:uid="{00000000-0005-0000-0000-000060290000}"/>
    <cellStyle name="Currency1 3 2" xfId="2023" xr:uid="{00000000-0005-0000-0000-000061290000}"/>
    <cellStyle name="Currency1 3 2 2" xfId="11024" xr:uid="{00000000-0005-0000-0000-000062290000}"/>
    <cellStyle name="Currency1 4" xfId="11025" xr:uid="{00000000-0005-0000-0000-000063290000}"/>
    <cellStyle name="Currency1 5" xfId="11026" xr:uid="{00000000-0005-0000-0000-000064290000}"/>
    <cellStyle name="Date" xfId="11027" xr:uid="{00000000-0005-0000-0000-000065290000}"/>
    <cellStyle name="Date 2" xfId="11028" xr:uid="{00000000-0005-0000-0000-000066290000}"/>
    <cellStyle name="Date Short" xfId="11029" xr:uid="{00000000-0005-0000-0000-000067290000}"/>
    <cellStyle name="dateclr" xfId="11030" xr:uid="{00000000-0005-0000-0000-000068290000}"/>
    <cellStyle name="Date-Time" xfId="11031" xr:uid="{00000000-0005-0000-0000-000069290000}"/>
    <cellStyle name="DecBold" xfId="11032" xr:uid="{00000000-0005-0000-0000-00006A290000}"/>
    <cellStyle name="Decimal 1" xfId="11033" xr:uid="{00000000-0005-0000-0000-00006B290000}"/>
    <cellStyle name="Decimal 2" xfId="11034" xr:uid="{00000000-0005-0000-0000-00006C290000}"/>
    <cellStyle name="Decimal 3" xfId="11035" xr:uid="{00000000-0005-0000-0000-00006D290000}"/>
    <cellStyle name="DELTA" xfId="11036" xr:uid="{00000000-0005-0000-0000-00006E290000}"/>
    <cellStyle name="Detail Row" xfId="11037" xr:uid="{00000000-0005-0000-0000-00006F290000}"/>
    <cellStyle name="Dezimal [0]_Mappe11" xfId="11038" xr:uid="{00000000-0005-0000-0000-000070290000}"/>
    <cellStyle name="Dezimal_Mappe11" xfId="11039" xr:uid="{00000000-0005-0000-0000-000071290000}"/>
    <cellStyle name="Dollar (zero dec)" xfId="2024" xr:uid="{00000000-0005-0000-0000-000072290000}"/>
    <cellStyle name="Dollar (zero dec) 2" xfId="2025" xr:uid="{00000000-0005-0000-0000-000073290000}"/>
    <cellStyle name="Dollar (zero dec) 2 2" xfId="2026" xr:uid="{00000000-0005-0000-0000-000074290000}"/>
    <cellStyle name="Dollar (zero dec) 3" xfId="2027" xr:uid="{00000000-0005-0000-0000-000075290000}"/>
    <cellStyle name="Dollar (zero dec) 3 2" xfId="2028" xr:uid="{00000000-0005-0000-0000-000076290000}"/>
    <cellStyle name="Dollar (zero dec) 3 2 2" xfId="11040" xr:uid="{00000000-0005-0000-0000-000077290000}"/>
    <cellStyle name="Dollar (zero dec) 4" xfId="11041" xr:uid="{00000000-0005-0000-0000-000078290000}"/>
    <cellStyle name="Dollar (zero dec) 5" xfId="11042" xr:uid="{00000000-0005-0000-0000-000079290000}"/>
    <cellStyle name="Enter Currency (0)" xfId="11043" xr:uid="{00000000-0005-0000-0000-00007A290000}"/>
    <cellStyle name="Enter Currency (2)" xfId="11044" xr:uid="{00000000-0005-0000-0000-00007B290000}"/>
    <cellStyle name="Enter Units (0)" xfId="11045" xr:uid="{00000000-0005-0000-0000-00007C290000}"/>
    <cellStyle name="Enter Units (1)" xfId="11046" xr:uid="{00000000-0005-0000-0000-00007D290000}"/>
    <cellStyle name="Enter Units (2)" xfId="11047" xr:uid="{00000000-0005-0000-0000-00007E290000}"/>
    <cellStyle name="Entered" xfId="11048" xr:uid="{00000000-0005-0000-0000-00007F290000}"/>
    <cellStyle name="EPMLargeKeyFigure" xfId="11049" xr:uid="{00000000-0005-0000-0000-000080290000}"/>
    <cellStyle name="Euro" xfId="11050" xr:uid="{00000000-0005-0000-0000-000081290000}"/>
    <cellStyle name="Explanatory Text 2" xfId="2029" xr:uid="{00000000-0005-0000-0000-000082290000}"/>
    <cellStyle name="Explanatory Text 2 2" xfId="11051" xr:uid="{00000000-0005-0000-0000-000083290000}"/>
    <cellStyle name="Explanatory Text 3" xfId="2030" xr:uid="{00000000-0005-0000-0000-000084290000}"/>
    <cellStyle name="Explanatory Text 4" xfId="11052" xr:uid="{00000000-0005-0000-0000-000085290000}"/>
    <cellStyle name="Fixed" xfId="11053" xr:uid="{00000000-0005-0000-0000-000086290000}"/>
    <cellStyle name="FMVNumber" xfId="11054" xr:uid="{00000000-0005-0000-0000-000087290000}"/>
    <cellStyle name="Forecast" xfId="11055" xr:uid="{00000000-0005-0000-0000-000088290000}"/>
    <cellStyle name="Good 2" xfId="2031" xr:uid="{00000000-0005-0000-0000-000089290000}"/>
    <cellStyle name="Good 2 2" xfId="11056" xr:uid="{00000000-0005-0000-0000-00008A290000}"/>
    <cellStyle name="Good 3" xfId="2032" xr:uid="{00000000-0005-0000-0000-00008B290000}"/>
    <cellStyle name="Good 4" xfId="11057" xr:uid="{00000000-0005-0000-0000-00008C290000}"/>
    <cellStyle name="GREENCLEAR" xfId="11058" xr:uid="{00000000-0005-0000-0000-00008D290000}"/>
    <cellStyle name="GREENCLEAR 2" xfId="11059" xr:uid="{00000000-0005-0000-0000-00008E290000}"/>
    <cellStyle name="GREENSHADE" xfId="11060" xr:uid="{00000000-0005-0000-0000-00008F290000}"/>
    <cellStyle name="GREENSHADE 2" xfId="11061" xr:uid="{00000000-0005-0000-0000-000090290000}"/>
    <cellStyle name="Grey" xfId="2033" xr:uid="{00000000-0005-0000-0000-000091290000}"/>
    <cellStyle name="Grey 2" xfId="2034" xr:uid="{00000000-0005-0000-0000-000092290000}"/>
    <cellStyle name="Grey 3" xfId="11062" xr:uid="{00000000-0005-0000-0000-000093290000}"/>
    <cellStyle name="Grey 4" xfId="11063" xr:uid="{00000000-0005-0000-0000-000094290000}"/>
    <cellStyle name="GSA Align" xfId="11064" xr:uid="{00000000-0005-0000-0000-000095290000}"/>
    <cellStyle name="GSA Align Center" xfId="11065" xr:uid="{00000000-0005-0000-0000-000096290000}"/>
    <cellStyle name="GSA Align Left" xfId="11066" xr:uid="{00000000-0005-0000-0000-000097290000}"/>
    <cellStyle name="GSA Date" xfId="11067" xr:uid="{00000000-0005-0000-0000-000098290000}"/>
    <cellStyle name="GSA Price" xfId="11068" xr:uid="{00000000-0005-0000-0000-000099290000}"/>
    <cellStyle name="HEADER" xfId="11069" xr:uid="{00000000-0005-0000-0000-00009A290000}"/>
    <cellStyle name="Header1" xfId="2035" xr:uid="{00000000-0005-0000-0000-00009B290000}"/>
    <cellStyle name="Header2" xfId="2036" xr:uid="{00000000-0005-0000-0000-00009C290000}"/>
    <cellStyle name="Header2 2" xfId="11070" xr:uid="{00000000-0005-0000-0000-00009D290000}"/>
    <cellStyle name="Header2 2 10" xfId="11071" xr:uid="{00000000-0005-0000-0000-00009E290000}"/>
    <cellStyle name="Header2 2 10 2" xfId="11072" xr:uid="{00000000-0005-0000-0000-00009F290000}"/>
    <cellStyle name="Header2 2 10 3" xfId="11073" xr:uid="{00000000-0005-0000-0000-0000A0290000}"/>
    <cellStyle name="Header2 2 2" xfId="11074" xr:uid="{00000000-0005-0000-0000-0000A1290000}"/>
    <cellStyle name="Header2 2 2 10" xfId="11075" xr:uid="{00000000-0005-0000-0000-0000A2290000}"/>
    <cellStyle name="Header2 2 2 10 2" xfId="11076" xr:uid="{00000000-0005-0000-0000-0000A3290000}"/>
    <cellStyle name="Header2 2 2 10 3" xfId="11077" xr:uid="{00000000-0005-0000-0000-0000A4290000}"/>
    <cellStyle name="Header2 2 2 11" xfId="11078" xr:uid="{00000000-0005-0000-0000-0000A5290000}"/>
    <cellStyle name="Header2 2 2 11 2" xfId="11079" xr:uid="{00000000-0005-0000-0000-0000A6290000}"/>
    <cellStyle name="Header2 2 2 11 3" xfId="11080" xr:uid="{00000000-0005-0000-0000-0000A7290000}"/>
    <cellStyle name="Header2 2 2 12" xfId="11081" xr:uid="{00000000-0005-0000-0000-0000A8290000}"/>
    <cellStyle name="Header2 2 2 12 2" xfId="11082" xr:uid="{00000000-0005-0000-0000-0000A9290000}"/>
    <cellStyle name="Header2 2 2 12 3" xfId="11083" xr:uid="{00000000-0005-0000-0000-0000AA290000}"/>
    <cellStyle name="Header2 2 2 13" xfId="11084" xr:uid="{00000000-0005-0000-0000-0000AB290000}"/>
    <cellStyle name="Header2 2 2 13 2" xfId="11085" xr:uid="{00000000-0005-0000-0000-0000AC290000}"/>
    <cellStyle name="Header2 2 2 13 3" xfId="11086" xr:uid="{00000000-0005-0000-0000-0000AD290000}"/>
    <cellStyle name="Header2 2 2 14" xfId="11087" xr:uid="{00000000-0005-0000-0000-0000AE290000}"/>
    <cellStyle name="Header2 2 2 14 2" xfId="11088" xr:uid="{00000000-0005-0000-0000-0000AF290000}"/>
    <cellStyle name="Header2 2 2 14 3" xfId="11089" xr:uid="{00000000-0005-0000-0000-0000B0290000}"/>
    <cellStyle name="Header2 2 2 2" xfId="11090" xr:uid="{00000000-0005-0000-0000-0000B1290000}"/>
    <cellStyle name="Header2 2 2 2 2" xfId="11091" xr:uid="{00000000-0005-0000-0000-0000B2290000}"/>
    <cellStyle name="Header2 2 2 2 2 2" xfId="11092" xr:uid="{00000000-0005-0000-0000-0000B3290000}"/>
    <cellStyle name="Header2 2 2 2 2 2 2" xfId="11093" xr:uid="{00000000-0005-0000-0000-0000B4290000}"/>
    <cellStyle name="Header2 2 2 2 2 2 3" xfId="11094" xr:uid="{00000000-0005-0000-0000-0000B5290000}"/>
    <cellStyle name="Header2 2 2 2 2 3" xfId="11095" xr:uid="{00000000-0005-0000-0000-0000B6290000}"/>
    <cellStyle name="Header2 2 2 2 2 3 2" xfId="11096" xr:uid="{00000000-0005-0000-0000-0000B7290000}"/>
    <cellStyle name="Header2 2 2 2 2 3 3" xfId="11097" xr:uid="{00000000-0005-0000-0000-0000B8290000}"/>
    <cellStyle name="Header2 2 2 2 2 4" xfId="11098" xr:uid="{00000000-0005-0000-0000-0000B9290000}"/>
    <cellStyle name="Header2 2 2 2 2 4 2" xfId="11099" xr:uid="{00000000-0005-0000-0000-0000BA290000}"/>
    <cellStyle name="Header2 2 2 2 2 4 3" xfId="11100" xr:uid="{00000000-0005-0000-0000-0000BB290000}"/>
    <cellStyle name="Header2 2 2 2 2 5" xfId="11101" xr:uid="{00000000-0005-0000-0000-0000BC290000}"/>
    <cellStyle name="Header2 2 2 2 2 5 2" xfId="11102" xr:uid="{00000000-0005-0000-0000-0000BD290000}"/>
    <cellStyle name="Header2 2 2 2 2 5 3" xfId="11103" xr:uid="{00000000-0005-0000-0000-0000BE290000}"/>
    <cellStyle name="Header2 2 2 2 2 6" xfId="11104" xr:uid="{00000000-0005-0000-0000-0000BF290000}"/>
    <cellStyle name="Header2 2 2 2 2 6 2" xfId="11105" xr:uid="{00000000-0005-0000-0000-0000C0290000}"/>
    <cellStyle name="Header2 2 2 2 2 6 3" xfId="11106" xr:uid="{00000000-0005-0000-0000-0000C1290000}"/>
    <cellStyle name="Header2 2 2 2 2 7" xfId="11107" xr:uid="{00000000-0005-0000-0000-0000C2290000}"/>
    <cellStyle name="Header2 2 2 2 2 8" xfId="11108" xr:uid="{00000000-0005-0000-0000-0000C3290000}"/>
    <cellStyle name="Header2 2 2 2 3" xfId="11109" xr:uid="{00000000-0005-0000-0000-0000C4290000}"/>
    <cellStyle name="Header2 2 2 2 3 2" xfId="11110" xr:uid="{00000000-0005-0000-0000-0000C5290000}"/>
    <cellStyle name="Header2 2 2 2 3 2 2" xfId="11111" xr:uid="{00000000-0005-0000-0000-0000C6290000}"/>
    <cellStyle name="Header2 2 2 2 3 2 3" xfId="11112" xr:uid="{00000000-0005-0000-0000-0000C7290000}"/>
    <cellStyle name="Header2 2 2 2 3 3" xfId="11113" xr:uid="{00000000-0005-0000-0000-0000C8290000}"/>
    <cellStyle name="Header2 2 2 2 3 3 2" xfId="11114" xr:uid="{00000000-0005-0000-0000-0000C9290000}"/>
    <cellStyle name="Header2 2 2 2 3 3 3" xfId="11115" xr:uid="{00000000-0005-0000-0000-0000CA290000}"/>
    <cellStyle name="Header2 2 2 2 3 4" xfId="11116" xr:uid="{00000000-0005-0000-0000-0000CB290000}"/>
    <cellStyle name="Header2 2 2 2 3 4 2" xfId="11117" xr:uid="{00000000-0005-0000-0000-0000CC290000}"/>
    <cellStyle name="Header2 2 2 2 3 4 3" xfId="11118" xr:uid="{00000000-0005-0000-0000-0000CD290000}"/>
    <cellStyle name="Header2 2 2 2 3 5" xfId="11119" xr:uid="{00000000-0005-0000-0000-0000CE290000}"/>
    <cellStyle name="Header2 2 2 2 3 5 2" xfId="11120" xr:uid="{00000000-0005-0000-0000-0000CF290000}"/>
    <cellStyle name="Header2 2 2 2 3 5 3" xfId="11121" xr:uid="{00000000-0005-0000-0000-0000D0290000}"/>
    <cellStyle name="Header2 2 2 2 3 6" xfId="11122" xr:uid="{00000000-0005-0000-0000-0000D1290000}"/>
    <cellStyle name="Header2 2 2 2 3 6 2" xfId="11123" xr:uid="{00000000-0005-0000-0000-0000D2290000}"/>
    <cellStyle name="Header2 2 2 2 3 6 3" xfId="11124" xr:uid="{00000000-0005-0000-0000-0000D3290000}"/>
    <cellStyle name="Header2 2 2 2 3 7" xfId="11125" xr:uid="{00000000-0005-0000-0000-0000D4290000}"/>
    <cellStyle name="Header2 2 2 2 3 8" xfId="11126" xr:uid="{00000000-0005-0000-0000-0000D5290000}"/>
    <cellStyle name="Header2 2 2 2 4" xfId="11127" xr:uid="{00000000-0005-0000-0000-0000D6290000}"/>
    <cellStyle name="Header2 2 2 2 4 2" xfId="11128" xr:uid="{00000000-0005-0000-0000-0000D7290000}"/>
    <cellStyle name="Header2 2 2 2 4 2 2" xfId="11129" xr:uid="{00000000-0005-0000-0000-0000D8290000}"/>
    <cellStyle name="Header2 2 2 2 4 2 3" xfId="11130" xr:uid="{00000000-0005-0000-0000-0000D9290000}"/>
    <cellStyle name="Header2 2 2 2 4 3" xfId="11131" xr:uid="{00000000-0005-0000-0000-0000DA290000}"/>
    <cellStyle name="Header2 2 2 2 4 3 2" xfId="11132" xr:uid="{00000000-0005-0000-0000-0000DB290000}"/>
    <cellStyle name="Header2 2 2 2 4 3 3" xfId="11133" xr:uid="{00000000-0005-0000-0000-0000DC290000}"/>
    <cellStyle name="Header2 2 2 2 4 4" xfId="11134" xr:uid="{00000000-0005-0000-0000-0000DD290000}"/>
    <cellStyle name="Header2 2 2 2 4 4 2" xfId="11135" xr:uid="{00000000-0005-0000-0000-0000DE290000}"/>
    <cellStyle name="Header2 2 2 2 4 4 3" xfId="11136" xr:uid="{00000000-0005-0000-0000-0000DF290000}"/>
    <cellStyle name="Header2 2 2 2 4 5" xfId="11137" xr:uid="{00000000-0005-0000-0000-0000E0290000}"/>
    <cellStyle name="Header2 2 2 2 4 5 2" xfId="11138" xr:uid="{00000000-0005-0000-0000-0000E1290000}"/>
    <cellStyle name="Header2 2 2 2 4 5 3" xfId="11139" xr:uid="{00000000-0005-0000-0000-0000E2290000}"/>
    <cellStyle name="Header2 2 2 2 4 6" xfId="11140" xr:uid="{00000000-0005-0000-0000-0000E3290000}"/>
    <cellStyle name="Header2 2 2 2 4 6 2" xfId="11141" xr:uid="{00000000-0005-0000-0000-0000E4290000}"/>
    <cellStyle name="Header2 2 2 2 4 6 3" xfId="11142" xr:uid="{00000000-0005-0000-0000-0000E5290000}"/>
    <cellStyle name="Header2 2 2 2 4 7" xfId="11143" xr:uid="{00000000-0005-0000-0000-0000E6290000}"/>
    <cellStyle name="Header2 2 2 2 4 8" xfId="11144" xr:uid="{00000000-0005-0000-0000-0000E7290000}"/>
    <cellStyle name="Header2 2 2 2 5" xfId="11145" xr:uid="{00000000-0005-0000-0000-0000E8290000}"/>
    <cellStyle name="Header2 2 2 2 5 2" xfId="11146" xr:uid="{00000000-0005-0000-0000-0000E9290000}"/>
    <cellStyle name="Header2 2 2 2 5 2 2" xfId="11147" xr:uid="{00000000-0005-0000-0000-0000EA290000}"/>
    <cellStyle name="Header2 2 2 2 5 2 3" xfId="11148" xr:uid="{00000000-0005-0000-0000-0000EB290000}"/>
    <cellStyle name="Header2 2 2 2 5 3" xfId="11149" xr:uid="{00000000-0005-0000-0000-0000EC290000}"/>
    <cellStyle name="Header2 2 2 2 5 3 2" xfId="11150" xr:uid="{00000000-0005-0000-0000-0000ED290000}"/>
    <cellStyle name="Header2 2 2 2 5 3 3" xfId="11151" xr:uid="{00000000-0005-0000-0000-0000EE290000}"/>
    <cellStyle name="Header2 2 2 2 5 4" xfId="11152" xr:uid="{00000000-0005-0000-0000-0000EF290000}"/>
    <cellStyle name="Header2 2 2 2 5 4 2" xfId="11153" xr:uid="{00000000-0005-0000-0000-0000F0290000}"/>
    <cellStyle name="Header2 2 2 2 5 4 3" xfId="11154" xr:uid="{00000000-0005-0000-0000-0000F1290000}"/>
    <cellStyle name="Header2 2 2 2 5 5" xfId="11155" xr:uid="{00000000-0005-0000-0000-0000F2290000}"/>
    <cellStyle name="Header2 2 2 2 5 5 2" xfId="11156" xr:uid="{00000000-0005-0000-0000-0000F3290000}"/>
    <cellStyle name="Header2 2 2 2 5 5 3" xfId="11157" xr:uid="{00000000-0005-0000-0000-0000F4290000}"/>
    <cellStyle name="Header2 2 2 2 5 6" xfId="11158" xr:uid="{00000000-0005-0000-0000-0000F5290000}"/>
    <cellStyle name="Header2 2 2 2 5 6 2" xfId="11159" xr:uid="{00000000-0005-0000-0000-0000F6290000}"/>
    <cellStyle name="Header2 2 2 2 5 6 3" xfId="11160" xr:uid="{00000000-0005-0000-0000-0000F7290000}"/>
    <cellStyle name="Header2 2 2 2 5 7" xfId="11161" xr:uid="{00000000-0005-0000-0000-0000F8290000}"/>
    <cellStyle name="Header2 2 2 2 6" xfId="11162" xr:uid="{00000000-0005-0000-0000-0000F9290000}"/>
    <cellStyle name="Header2 2 2 2 6 2" xfId="11163" xr:uid="{00000000-0005-0000-0000-0000FA290000}"/>
    <cellStyle name="Header2 2 2 2 6 2 2" xfId="11164" xr:uid="{00000000-0005-0000-0000-0000FB290000}"/>
    <cellStyle name="Header2 2 2 2 6 2 3" xfId="11165" xr:uid="{00000000-0005-0000-0000-0000FC290000}"/>
    <cellStyle name="Header2 2 2 2 6 3" xfId="11166" xr:uid="{00000000-0005-0000-0000-0000FD290000}"/>
    <cellStyle name="Header2 2 2 2 6 3 2" xfId="11167" xr:uid="{00000000-0005-0000-0000-0000FE290000}"/>
    <cellStyle name="Header2 2 2 2 6 3 3" xfId="11168" xr:uid="{00000000-0005-0000-0000-0000FF290000}"/>
    <cellStyle name="Header2 2 2 2 6 4" xfId="11169" xr:uid="{00000000-0005-0000-0000-0000002A0000}"/>
    <cellStyle name="Header2 2 2 2 6 4 2" xfId="11170" xr:uid="{00000000-0005-0000-0000-0000012A0000}"/>
    <cellStyle name="Header2 2 2 2 6 4 3" xfId="11171" xr:uid="{00000000-0005-0000-0000-0000022A0000}"/>
    <cellStyle name="Header2 2 2 2 6 5" xfId="11172" xr:uid="{00000000-0005-0000-0000-0000032A0000}"/>
    <cellStyle name="Header2 2 2 2 6 5 2" xfId="11173" xr:uid="{00000000-0005-0000-0000-0000042A0000}"/>
    <cellStyle name="Header2 2 2 2 6 5 3" xfId="11174" xr:uid="{00000000-0005-0000-0000-0000052A0000}"/>
    <cellStyle name="Header2 2 2 2 6 6" xfId="11175" xr:uid="{00000000-0005-0000-0000-0000062A0000}"/>
    <cellStyle name="Header2 2 2 2 6 6 2" xfId="11176" xr:uid="{00000000-0005-0000-0000-0000072A0000}"/>
    <cellStyle name="Header2 2 2 2 6 6 3" xfId="11177" xr:uid="{00000000-0005-0000-0000-0000082A0000}"/>
    <cellStyle name="Header2 2 2 2 6 7" xfId="11178" xr:uid="{00000000-0005-0000-0000-0000092A0000}"/>
    <cellStyle name="Header2 2 2 2 7" xfId="11179" xr:uid="{00000000-0005-0000-0000-00000A2A0000}"/>
    <cellStyle name="Header2 2 2 2 7 2" xfId="11180" xr:uid="{00000000-0005-0000-0000-00000B2A0000}"/>
    <cellStyle name="Header2 2 2 2 7 3" xfId="11181" xr:uid="{00000000-0005-0000-0000-00000C2A0000}"/>
    <cellStyle name="Header2 2 2 3" xfId="11182" xr:uid="{00000000-0005-0000-0000-00000D2A0000}"/>
    <cellStyle name="Header2 2 2 3 2" xfId="11183" xr:uid="{00000000-0005-0000-0000-00000E2A0000}"/>
    <cellStyle name="Header2 2 2 3 2 2" xfId="11184" xr:uid="{00000000-0005-0000-0000-00000F2A0000}"/>
    <cellStyle name="Header2 2 2 3 2 2 2" xfId="11185" xr:uid="{00000000-0005-0000-0000-0000102A0000}"/>
    <cellStyle name="Header2 2 2 3 2 2 3" xfId="11186" xr:uid="{00000000-0005-0000-0000-0000112A0000}"/>
    <cellStyle name="Header2 2 2 3 2 3" xfId="11187" xr:uid="{00000000-0005-0000-0000-0000122A0000}"/>
    <cellStyle name="Header2 2 2 3 2 3 2" xfId="11188" xr:uid="{00000000-0005-0000-0000-0000132A0000}"/>
    <cellStyle name="Header2 2 2 3 2 3 3" xfId="11189" xr:uid="{00000000-0005-0000-0000-0000142A0000}"/>
    <cellStyle name="Header2 2 2 3 2 4" xfId="11190" xr:uid="{00000000-0005-0000-0000-0000152A0000}"/>
    <cellStyle name="Header2 2 2 3 2 4 2" xfId="11191" xr:uid="{00000000-0005-0000-0000-0000162A0000}"/>
    <cellStyle name="Header2 2 2 3 2 4 3" xfId="11192" xr:uid="{00000000-0005-0000-0000-0000172A0000}"/>
    <cellStyle name="Header2 2 2 3 2 5" xfId="11193" xr:uid="{00000000-0005-0000-0000-0000182A0000}"/>
    <cellStyle name="Header2 2 2 3 2 5 2" xfId="11194" xr:uid="{00000000-0005-0000-0000-0000192A0000}"/>
    <cellStyle name="Header2 2 2 3 2 5 3" xfId="11195" xr:uid="{00000000-0005-0000-0000-00001A2A0000}"/>
    <cellStyle name="Header2 2 2 3 2 6" xfId="11196" xr:uid="{00000000-0005-0000-0000-00001B2A0000}"/>
    <cellStyle name="Header2 2 2 3 2 6 2" xfId="11197" xr:uid="{00000000-0005-0000-0000-00001C2A0000}"/>
    <cellStyle name="Header2 2 2 3 2 6 3" xfId="11198" xr:uid="{00000000-0005-0000-0000-00001D2A0000}"/>
    <cellStyle name="Header2 2 2 3 2 7" xfId="11199" xr:uid="{00000000-0005-0000-0000-00001E2A0000}"/>
    <cellStyle name="Header2 2 2 3 2 8" xfId="11200" xr:uid="{00000000-0005-0000-0000-00001F2A0000}"/>
    <cellStyle name="Header2 2 2 3 3" xfId="11201" xr:uid="{00000000-0005-0000-0000-0000202A0000}"/>
    <cellStyle name="Header2 2 2 3 3 2" xfId="11202" xr:uid="{00000000-0005-0000-0000-0000212A0000}"/>
    <cellStyle name="Header2 2 2 3 3 2 2" xfId="11203" xr:uid="{00000000-0005-0000-0000-0000222A0000}"/>
    <cellStyle name="Header2 2 2 3 3 2 3" xfId="11204" xr:uid="{00000000-0005-0000-0000-0000232A0000}"/>
    <cellStyle name="Header2 2 2 3 3 3" xfId="11205" xr:uid="{00000000-0005-0000-0000-0000242A0000}"/>
    <cellStyle name="Header2 2 2 3 3 3 2" xfId="11206" xr:uid="{00000000-0005-0000-0000-0000252A0000}"/>
    <cellStyle name="Header2 2 2 3 3 3 3" xfId="11207" xr:uid="{00000000-0005-0000-0000-0000262A0000}"/>
    <cellStyle name="Header2 2 2 3 3 4" xfId="11208" xr:uid="{00000000-0005-0000-0000-0000272A0000}"/>
    <cellStyle name="Header2 2 2 3 3 4 2" xfId="11209" xr:uid="{00000000-0005-0000-0000-0000282A0000}"/>
    <cellStyle name="Header2 2 2 3 3 4 3" xfId="11210" xr:uid="{00000000-0005-0000-0000-0000292A0000}"/>
    <cellStyle name="Header2 2 2 3 3 5" xfId="11211" xr:uid="{00000000-0005-0000-0000-00002A2A0000}"/>
    <cellStyle name="Header2 2 2 3 3 5 2" xfId="11212" xr:uid="{00000000-0005-0000-0000-00002B2A0000}"/>
    <cellStyle name="Header2 2 2 3 3 5 3" xfId="11213" xr:uid="{00000000-0005-0000-0000-00002C2A0000}"/>
    <cellStyle name="Header2 2 2 3 3 6" xfId="11214" xr:uid="{00000000-0005-0000-0000-00002D2A0000}"/>
    <cellStyle name="Header2 2 2 3 3 6 2" xfId="11215" xr:uid="{00000000-0005-0000-0000-00002E2A0000}"/>
    <cellStyle name="Header2 2 2 3 3 6 3" xfId="11216" xr:uid="{00000000-0005-0000-0000-00002F2A0000}"/>
    <cellStyle name="Header2 2 2 3 3 7" xfId="11217" xr:uid="{00000000-0005-0000-0000-0000302A0000}"/>
    <cellStyle name="Header2 2 2 3 3 8" xfId="11218" xr:uid="{00000000-0005-0000-0000-0000312A0000}"/>
    <cellStyle name="Header2 2 2 3 4" xfId="11219" xr:uid="{00000000-0005-0000-0000-0000322A0000}"/>
    <cellStyle name="Header2 2 2 3 4 2" xfId="11220" xr:uid="{00000000-0005-0000-0000-0000332A0000}"/>
    <cellStyle name="Header2 2 2 3 4 2 2" xfId="11221" xr:uid="{00000000-0005-0000-0000-0000342A0000}"/>
    <cellStyle name="Header2 2 2 3 4 2 3" xfId="11222" xr:uid="{00000000-0005-0000-0000-0000352A0000}"/>
    <cellStyle name="Header2 2 2 3 4 3" xfId="11223" xr:uid="{00000000-0005-0000-0000-0000362A0000}"/>
    <cellStyle name="Header2 2 2 3 4 3 2" xfId="11224" xr:uid="{00000000-0005-0000-0000-0000372A0000}"/>
    <cellStyle name="Header2 2 2 3 4 3 3" xfId="11225" xr:uid="{00000000-0005-0000-0000-0000382A0000}"/>
    <cellStyle name="Header2 2 2 3 4 4" xfId="11226" xr:uid="{00000000-0005-0000-0000-0000392A0000}"/>
    <cellStyle name="Header2 2 2 3 4 4 2" xfId="11227" xr:uid="{00000000-0005-0000-0000-00003A2A0000}"/>
    <cellStyle name="Header2 2 2 3 4 4 3" xfId="11228" xr:uid="{00000000-0005-0000-0000-00003B2A0000}"/>
    <cellStyle name="Header2 2 2 3 4 5" xfId="11229" xr:uid="{00000000-0005-0000-0000-00003C2A0000}"/>
    <cellStyle name="Header2 2 2 3 4 5 2" xfId="11230" xr:uid="{00000000-0005-0000-0000-00003D2A0000}"/>
    <cellStyle name="Header2 2 2 3 4 5 3" xfId="11231" xr:uid="{00000000-0005-0000-0000-00003E2A0000}"/>
    <cellStyle name="Header2 2 2 3 4 6" xfId="11232" xr:uid="{00000000-0005-0000-0000-00003F2A0000}"/>
    <cellStyle name="Header2 2 2 3 4 6 2" xfId="11233" xr:uid="{00000000-0005-0000-0000-0000402A0000}"/>
    <cellStyle name="Header2 2 2 3 4 6 3" xfId="11234" xr:uid="{00000000-0005-0000-0000-0000412A0000}"/>
    <cellStyle name="Header2 2 2 3 4 7" xfId="11235" xr:uid="{00000000-0005-0000-0000-0000422A0000}"/>
    <cellStyle name="Header2 2 2 3 4 8" xfId="11236" xr:uid="{00000000-0005-0000-0000-0000432A0000}"/>
    <cellStyle name="Header2 2 2 3 5" xfId="11237" xr:uid="{00000000-0005-0000-0000-0000442A0000}"/>
    <cellStyle name="Header2 2 2 3 5 2" xfId="11238" xr:uid="{00000000-0005-0000-0000-0000452A0000}"/>
    <cellStyle name="Header2 2 2 3 5 2 2" xfId="11239" xr:uid="{00000000-0005-0000-0000-0000462A0000}"/>
    <cellStyle name="Header2 2 2 3 5 2 3" xfId="11240" xr:uid="{00000000-0005-0000-0000-0000472A0000}"/>
    <cellStyle name="Header2 2 2 3 5 3" xfId="11241" xr:uid="{00000000-0005-0000-0000-0000482A0000}"/>
    <cellStyle name="Header2 2 2 3 5 3 2" xfId="11242" xr:uid="{00000000-0005-0000-0000-0000492A0000}"/>
    <cellStyle name="Header2 2 2 3 5 3 3" xfId="11243" xr:uid="{00000000-0005-0000-0000-00004A2A0000}"/>
    <cellStyle name="Header2 2 2 3 5 4" xfId="11244" xr:uid="{00000000-0005-0000-0000-00004B2A0000}"/>
    <cellStyle name="Header2 2 2 3 5 4 2" xfId="11245" xr:uid="{00000000-0005-0000-0000-00004C2A0000}"/>
    <cellStyle name="Header2 2 2 3 5 4 3" xfId="11246" xr:uid="{00000000-0005-0000-0000-00004D2A0000}"/>
    <cellStyle name="Header2 2 2 3 5 5" xfId="11247" xr:uid="{00000000-0005-0000-0000-00004E2A0000}"/>
    <cellStyle name="Header2 2 2 3 5 5 2" xfId="11248" xr:uid="{00000000-0005-0000-0000-00004F2A0000}"/>
    <cellStyle name="Header2 2 2 3 5 5 3" xfId="11249" xr:uid="{00000000-0005-0000-0000-0000502A0000}"/>
    <cellStyle name="Header2 2 2 3 5 6" xfId="11250" xr:uid="{00000000-0005-0000-0000-0000512A0000}"/>
    <cellStyle name="Header2 2 2 3 5 6 2" xfId="11251" xr:uid="{00000000-0005-0000-0000-0000522A0000}"/>
    <cellStyle name="Header2 2 2 3 5 6 3" xfId="11252" xr:uid="{00000000-0005-0000-0000-0000532A0000}"/>
    <cellStyle name="Header2 2 2 3 5 7" xfId="11253" xr:uid="{00000000-0005-0000-0000-0000542A0000}"/>
    <cellStyle name="Header2 2 2 3 6" xfId="11254" xr:uid="{00000000-0005-0000-0000-0000552A0000}"/>
    <cellStyle name="Header2 2 2 3 6 2" xfId="11255" xr:uid="{00000000-0005-0000-0000-0000562A0000}"/>
    <cellStyle name="Header2 2 2 3 6 2 2" xfId="11256" xr:uid="{00000000-0005-0000-0000-0000572A0000}"/>
    <cellStyle name="Header2 2 2 3 6 2 3" xfId="11257" xr:uid="{00000000-0005-0000-0000-0000582A0000}"/>
    <cellStyle name="Header2 2 2 3 6 3" xfId="11258" xr:uid="{00000000-0005-0000-0000-0000592A0000}"/>
    <cellStyle name="Header2 2 2 3 6 3 2" xfId="11259" xr:uid="{00000000-0005-0000-0000-00005A2A0000}"/>
    <cellStyle name="Header2 2 2 3 6 3 3" xfId="11260" xr:uid="{00000000-0005-0000-0000-00005B2A0000}"/>
    <cellStyle name="Header2 2 2 3 6 4" xfId="11261" xr:uid="{00000000-0005-0000-0000-00005C2A0000}"/>
    <cellStyle name="Header2 2 2 3 6 4 2" xfId="11262" xr:uid="{00000000-0005-0000-0000-00005D2A0000}"/>
    <cellStyle name="Header2 2 2 3 6 4 3" xfId="11263" xr:uid="{00000000-0005-0000-0000-00005E2A0000}"/>
    <cellStyle name="Header2 2 2 3 6 5" xfId="11264" xr:uid="{00000000-0005-0000-0000-00005F2A0000}"/>
    <cellStyle name="Header2 2 2 3 6 5 2" xfId="11265" xr:uid="{00000000-0005-0000-0000-0000602A0000}"/>
    <cellStyle name="Header2 2 2 3 6 5 3" xfId="11266" xr:uid="{00000000-0005-0000-0000-0000612A0000}"/>
    <cellStyle name="Header2 2 2 3 6 6" xfId="11267" xr:uid="{00000000-0005-0000-0000-0000622A0000}"/>
    <cellStyle name="Header2 2 2 3 6 6 2" xfId="11268" xr:uid="{00000000-0005-0000-0000-0000632A0000}"/>
    <cellStyle name="Header2 2 2 3 6 6 3" xfId="11269" xr:uid="{00000000-0005-0000-0000-0000642A0000}"/>
    <cellStyle name="Header2 2 2 3 6 7" xfId="11270" xr:uid="{00000000-0005-0000-0000-0000652A0000}"/>
    <cellStyle name="Header2 2 2 4" xfId="11271" xr:uid="{00000000-0005-0000-0000-0000662A0000}"/>
    <cellStyle name="Header2 2 2 4 2" xfId="11272" xr:uid="{00000000-0005-0000-0000-0000672A0000}"/>
    <cellStyle name="Header2 2 2 4 2 2" xfId="11273" xr:uid="{00000000-0005-0000-0000-0000682A0000}"/>
    <cellStyle name="Header2 2 2 4 2 2 2" xfId="11274" xr:uid="{00000000-0005-0000-0000-0000692A0000}"/>
    <cellStyle name="Header2 2 2 4 2 2 3" xfId="11275" xr:uid="{00000000-0005-0000-0000-00006A2A0000}"/>
    <cellStyle name="Header2 2 2 4 2 3" xfId="11276" xr:uid="{00000000-0005-0000-0000-00006B2A0000}"/>
    <cellStyle name="Header2 2 2 4 2 3 2" xfId="11277" xr:uid="{00000000-0005-0000-0000-00006C2A0000}"/>
    <cellStyle name="Header2 2 2 4 2 3 3" xfId="11278" xr:uid="{00000000-0005-0000-0000-00006D2A0000}"/>
    <cellStyle name="Header2 2 2 4 2 4" xfId="11279" xr:uid="{00000000-0005-0000-0000-00006E2A0000}"/>
    <cellStyle name="Header2 2 2 4 2 4 2" xfId="11280" xr:uid="{00000000-0005-0000-0000-00006F2A0000}"/>
    <cellStyle name="Header2 2 2 4 2 4 3" xfId="11281" xr:uid="{00000000-0005-0000-0000-0000702A0000}"/>
    <cellStyle name="Header2 2 2 4 2 5" xfId="11282" xr:uid="{00000000-0005-0000-0000-0000712A0000}"/>
    <cellStyle name="Header2 2 2 4 2 5 2" xfId="11283" xr:uid="{00000000-0005-0000-0000-0000722A0000}"/>
    <cellStyle name="Header2 2 2 4 2 5 3" xfId="11284" xr:uid="{00000000-0005-0000-0000-0000732A0000}"/>
    <cellStyle name="Header2 2 2 4 2 6" xfId="11285" xr:uid="{00000000-0005-0000-0000-0000742A0000}"/>
    <cellStyle name="Header2 2 2 4 2 6 2" xfId="11286" xr:uid="{00000000-0005-0000-0000-0000752A0000}"/>
    <cellStyle name="Header2 2 2 4 2 6 3" xfId="11287" xr:uid="{00000000-0005-0000-0000-0000762A0000}"/>
    <cellStyle name="Header2 2 2 4 2 7" xfId="11288" xr:uid="{00000000-0005-0000-0000-0000772A0000}"/>
    <cellStyle name="Header2 2 2 4 2 8" xfId="11289" xr:uid="{00000000-0005-0000-0000-0000782A0000}"/>
    <cellStyle name="Header2 2 2 4 3" xfId="11290" xr:uid="{00000000-0005-0000-0000-0000792A0000}"/>
    <cellStyle name="Header2 2 2 4 3 2" xfId="11291" xr:uid="{00000000-0005-0000-0000-00007A2A0000}"/>
    <cellStyle name="Header2 2 2 4 3 2 2" xfId="11292" xr:uid="{00000000-0005-0000-0000-00007B2A0000}"/>
    <cellStyle name="Header2 2 2 4 3 2 3" xfId="11293" xr:uid="{00000000-0005-0000-0000-00007C2A0000}"/>
    <cellStyle name="Header2 2 2 4 3 3" xfId="11294" xr:uid="{00000000-0005-0000-0000-00007D2A0000}"/>
    <cellStyle name="Header2 2 2 4 3 3 2" xfId="11295" xr:uid="{00000000-0005-0000-0000-00007E2A0000}"/>
    <cellStyle name="Header2 2 2 4 3 3 3" xfId="11296" xr:uid="{00000000-0005-0000-0000-00007F2A0000}"/>
    <cellStyle name="Header2 2 2 4 3 4" xfId="11297" xr:uid="{00000000-0005-0000-0000-0000802A0000}"/>
    <cellStyle name="Header2 2 2 4 3 4 2" xfId="11298" xr:uid="{00000000-0005-0000-0000-0000812A0000}"/>
    <cellStyle name="Header2 2 2 4 3 4 3" xfId="11299" xr:uid="{00000000-0005-0000-0000-0000822A0000}"/>
    <cellStyle name="Header2 2 2 4 3 5" xfId="11300" xr:uid="{00000000-0005-0000-0000-0000832A0000}"/>
    <cellStyle name="Header2 2 2 4 3 5 2" xfId="11301" xr:uid="{00000000-0005-0000-0000-0000842A0000}"/>
    <cellStyle name="Header2 2 2 4 3 5 3" xfId="11302" xr:uid="{00000000-0005-0000-0000-0000852A0000}"/>
    <cellStyle name="Header2 2 2 4 3 6" xfId="11303" xr:uid="{00000000-0005-0000-0000-0000862A0000}"/>
    <cellStyle name="Header2 2 2 4 3 6 2" xfId="11304" xr:uid="{00000000-0005-0000-0000-0000872A0000}"/>
    <cellStyle name="Header2 2 2 4 3 6 3" xfId="11305" xr:uid="{00000000-0005-0000-0000-0000882A0000}"/>
    <cellStyle name="Header2 2 2 4 3 7" xfId="11306" xr:uid="{00000000-0005-0000-0000-0000892A0000}"/>
    <cellStyle name="Header2 2 2 4 3 8" xfId="11307" xr:uid="{00000000-0005-0000-0000-00008A2A0000}"/>
    <cellStyle name="Header2 2 2 4 4" xfId="11308" xr:uid="{00000000-0005-0000-0000-00008B2A0000}"/>
    <cellStyle name="Header2 2 2 4 4 2" xfId="11309" xr:uid="{00000000-0005-0000-0000-00008C2A0000}"/>
    <cellStyle name="Header2 2 2 4 4 2 2" xfId="11310" xr:uid="{00000000-0005-0000-0000-00008D2A0000}"/>
    <cellStyle name="Header2 2 2 4 4 2 3" xfId="11311" xr:uid="{00000000-0005-0000-0000-00008E2A0000}"/>
    <cellStyle name="Header2 2 2 4 4 3" xfId="11312" xr:uid="{00000000-0005-0000-0000-00008F2A0000}"/>
    <cellStyle name="Header2 2 2 4 4 3 2" xfId="11313" xr:uid="{00000000-0005-0000-0000-0000902A0000}"/>
    <cellStyle name="Header2 2 2 4 4 3 3" xfId="11314" xr:uid="{00000000-0005-0000-0000-0000912A0000}"/>
    <cellStyle name="Header2 2 2 4 4 4" xfId="11315" xr:uid="{00000000-0005-0000-0000-0000922A0000}"/>
    <cellStyle name="Header2 2 2 4 4 4 2" xfId="11316" xr:uid="{00000000-0005-0000-0000-0000932A0000}"/>
    <cellStyle name="Header2 2 2 4 4 4 3" xfId="11317" xr:uid="{00000000-0005-0000-0000-0000942A0000}"/>
    <cellStyle name="Header2 2 2 4 4 5" xfId="11318" xr:uid="{00000000-0005-0000-0000-0000952A0000}"/>
    <cellStyle name="Header2 2 2 4 4 5 2" xfId="11319" xr:uid="{00000000-0005-0000-0000-0000962A0000}"/>
    <cellStyle name="Header2 2 2 4 4 5 3" xfId="11320" xr:uid="{00000000-0005-0000-0000-0000972A0000}"/>
    <cellStyle name="Header2 2 2 4 4 6" xfId="11321" xr:uid="{00000000-0005-0000-0000-0000982A0000}"/>
    <cellStyle name="Header2 2 2 4 4 6 2" xfId="11322" xr:uid="{00000000-0005-0000-0000-0000992A0000}"/>
    <cellStyle name="Header2 2 2 4 4 6 3" xfId="11323" xr:uid="{00000000-0005-0000-0000-00009A2A0000}"/>
    <cellStyle name="Header2 2 2 4 4 7" xfId="11324" xr:uid="{00000000-0005-0000-0000-00009B2A0000}"/>
    <cellStyle name="Header2 2 2 4 4 8" xfId="11325" xr:uid="{00000000-0005-0000-0000-00009C2A0000}"/>
    <cellStyle name="Header2 2 2 4 5" xfId="11326" xr:uid="{00000000-0005-0000-0000-00009D2A0000}"/>
    <cellStyle name="Header2 2 2 4 5 2" xfId="11327" xr:uid="{00000000-0005-0000-0000-00009E2A0000}"/>
    <cellStyle name="Header2 2 2 4 5 2 2" xfId="11328" xr:uid="{00000000-0005-0000-0000-00009F2A0000}"/>
    <cellStyle name="Header2 2 2 4 5 2 3" xfId="11329" xr:uid="{00000000-0005-0000-0000-0000A02A0000}"/>
    <cellStyle name="Header2 2 2 4 5 3" xfId="11330" xr:uid="{00000000-0005-0000-0000-0000A12A0000}"/>
    <cellStyle name="Header2 2 2 4 5 3 2" xfId="11331" xr:uid="{00000000-0005-0000-0000-0000A22A0000}"/>
    <cellStyle name="Header2 2 2 4 5 3 3" xfId="11332" xr:uid="{00000000-0005-0000-0000-0000A32A0000}"/>
    <cellStyle name="Header2 2 2 4 5 4" xfId="11333" xr:uid="{00000000-0005-0000-0000-0000A42A0000}"/>
    <cellStyle name="Header2 2 2 4 5 4 2" xfId="11334" xr:uid="{00000000-0005-0000-0000-0000A52A0000}"/>
    <cellStyle name="Header2 2 2 4 5 4 3" xfId="11335" xr:uid="{00000000-0005-0000-0000-0000A62A0000}"/>
    <cellStyle name="Header2 2 2 4 5 5" xfId="11336" xr:uid="{00000000-0005-0000-0000-0000A72A0000}"/>
    <cellStyle name="Header2 2 2 4 5 5 2" xfId="11337" xr:uid="{00000000-0005-0000-0000-0000A82A0000}"/>
    <cellStyle name="Header2 2 2 4 5 5 3" xfId="11338" xr:uid="{00000000-0005-0000-0000-0000A92A0000}"/>
    <cellStyle name="Header2 2 2 4 5 6" xfId="11339" xr:uid="{00000000-0005-0000-0000-0000AA2A0000}"/>
    <cellStyle name="Header2 2 2 4 5 6 2" xfId="11340" xr:uid="{00000000-0005-0000-0000-0000AB2A0000}"/>
    <cellStyle name="Header2 2 2 4 5 6 3" xfId="11341" xr:uid="{00000000-0005-0000-0000-0000AC2A0000}"/>
    <cellStyle name="Header2 2 2 4 5 7" xfId="11342" xr:uid="{00000000-0005-0000-0000-0000AD2A0000}"/>
    <cellStyle name="Header2 2 2 4 6" xfId="11343" xr:uid="{00000000-0005-0000-0000-0000AE2A0000}"/>
    <cellStyle name="Header2 2 2 4 6 2" xfId="11344" xr:uid="{00000000-0005-0000-0000-0000AF2A0000}"/>
    <cellStyle name="Header2 2 2 4 6 2 2" xfId="11345" xr:uid="{00000000-0005-0000-0000-0000B02A0000}"/>
    <cellStyle name="Header2 2 2 4 6 2 3" xfId="11346" xr:uid="{00000000-0005-0000-0000-0000B12A0000}"/>
    <cellStyle name="Header2 2 2 4 6 3" xfId="11347" xr:uid="{00000000-0005-0000-0000-0000B22A0000}"/>
    <cellStyle name="Header2 2 2 4 6 3 2" xfId="11348" xr:uid="{00000000-0005-0000-0000-0000B32A0000}"/>
    <cellStyle name="Header2 2 2 4 6 3 3" xfId="11349" xr:uid="{00000000-0005-0000-0000-0000B42A0000}"/>
    <cellStyle name="Header2 2 2 4 6 4" xfId="11350" xr:uid="{00000000-0005-0000-0000-0000B52A0000}"/>
    <cellStyle name="Header2 2 2 4 6 4 2" xfId="11351" xr:uid="{00000000-0005-0000-0000-0000B62A0000}"/>
    <cellStyle name="Header2 2 2 4 6 4 3" xfId="11352" xr:uid="{00000000-0005-0000-0000-0000B72A0000}"/>
    <cellStyle name="Header2 2 2 4 6 5" xfId="11353" xr:uid="{00000000-0005-0000-0000-0000B82A0000}"/>
    <cellStyle name="Header2 2 2 4 6 5 2" xfId="11354" xr:uid="{00000000-0005-0000-0000-0000B92A0000}"/>
    <cellStyle name="Header2 2 2 4 6 5 3" xfId="11355" xr:uid="{00000000-0005-0000-0000-0000BA2A0000}"/>
    <cellStyle name="Header2 2 2 4 6 6" xfId="11356" xr:uid="{00000000-0005-0000-0000-0000BB2A0000}"/>
    <cellStyle name="Header2 2 2 4 6 6 2" xfId="11357" xr:uid="{00000000-0005-0000-0000-0000BC2A0000}"/>
    <cellStyle name="Header2 2 2 4 6 6 3" xfId="11358" xr:uid="{00000000-0005-0000-0000-0000BD2A0000}"/>
    <cellStyle name="Header2 2 2 4 6 7" xfId="11359" xr:uid="{00000000-0005-0000-0000-0000BE2A0000}"/>
    <cellStyle name="Header2 2 2 4 7" xfId="11360" xr:uid="{00000000-0005-0000-0000-0000BF2A0000}"/>
    <cellStyle name="Header2 2 2 4 7 2" xfId="11361" xr:uid="{00000000-0005-0000-0000-0000C02A0000}"/>
    <cellStyle name="Header2 2 2 4 7 3" xfId="11362" xr:uid="{00000000-0005-0000-0000-0000C12A0000}"/>
    <cellStyle name="Header2 2 2 5" xfId="11363" xr:uid="{00000000-0005-0000-0000-0000C22A0000}"/>
    <cellStyle name="Header2 2 2 5 10" xfId="11364" xr:uid="{00000000-0005-0000-0000-0000C32A0000}"/>
    <cellStyle name="Header2 2 2 5 10 2" xfId="11365" xr:uid="{00000000-0005-0000-0000-0000C42A0000}"/>
    <cellStyle name="Header2 2 2 5 10 3" xfId="11366" xr:uid="{00000000-0005-0000-0000-0000C52A0000}"/>
    <cellStyle name="Header2 2 2 5 2" xfId="11367" xr:uid="{00000000-0005-0000-0000-0000C62A0000}"/>
    <cellStyle name="Header2 2 2 5 2 2" xfId="11368" xr:uid="{00000000-0005-0000-0000-0000C72A0000}"/>
    <cellStyle name="Header2 2 2 5 2 2 2" xfId="11369" xr:uid="{00000000-0005-0000-0000-0000C82A0000}"/>
    <cellStyle name="Header2 2 2 5 2 2 3" xfId="11370" xr:uid="{00000000-0005-0000-0000-0000C92A0000}"/>
    <cellStyle name="Header2 2 2 5 2 3" xfId="11371" xr:uid="{00000000-0005-0000-0000-0000CA2A0000}"/>
    <cellStyle name="Header2 2 2 5 2 3 2" xfId="11372" xr:uid="{00000000-0005-0000-0000-0000CB2A0000}"/>
    <cellStyle name="Header2 2 2 5 2 3 3" xfId="11373" xr:uid="{00000000-0005-0000-0000-0000CC2A0000}"/>
    <cellStyle name="Header2 2 2 5 2 4" xfId="11374" xr:uid="{00000000-0005-0000-0000-0000CD2A0000}"/>
    <cellStyle name="Header2 2 2 5 2 4 2" xfId="11375" xr:uid="{00000000-0005-0000-0000-0000CE2A0000}"/>
    <cellStyle name="Header2 2 2 5 2 4 3" xfId="11376" xr:uid="{00000000-0005-0000-0000-0000CF2A0000}"/>
    <cellStyle name="Header2 2 2 5 2 5" xfId="11377" xr:uid="{00000000-0005-0000-0000-0000D02A0000}"/>
    <cellStyle name="Header2 2 2 5 2 5 2" xfId="11378" xr:uid="{00000000-0005-0000-0000-0000D12A0000}"/>
    <cellStyle name="Header2 2 2 5 2 5 3" xfId="11379" xr:uid="{00000000-0005-0000-0000-0000D22A0000}"/>
    <cellStyle name="Header2 2 2 5 2 6" xfId="11380" xr:uid="{00000000-0005-0000-0000-0000D32A0000}"/>
    <cellStyle name="Header2 2 2 5 2 6 2" xfId="11381" xr:uid="{00000000-0005-0000-0000-0000D42A0000}"/>
    <cellStyle name="Header2 2 2 5 2 6 3" xfId="11382" xr:uid="{00000000-0005-0000-0000-0000D52A0000}"/>
    <cellStyle name="Header2 2 2 5 2 7" xfId="11383" xr:uid="{00000000-0005-0000-0000-0000D62A0000}"/>
    <cellStyle name="Header2 2 2 5 2 8" xfId="11384" xr:uid="{00000000-0005-0000-0000-0000D72A0000}"/>
    <cellStyle name="Header2 2 2 5 3" xfId="11385" xr:uid="{00000000-0005-0000-0000-0000D82A0000}"/>
    <cellStyle name="Header2 2 2 5 3 2" xfId="11386" xr:uid="{00000000-0005-0000-0000-0000D92A0000}"/>
    <cellStyle name="Header2 2 2 5 3 2 2" xfId="11387" xr:uid="{00000000-0005-0000-0000-0000DA2A0000}"/>
    <cellStyle name="Header2 2 2 5 3 2 3" xfId="11388" xr:uid="{00000000-0005-0000-0000-0000DB2A0000}"/>
    <cellStyle name="Header2 2 2 5 3 3" xfId="11389" xr:uid="{00000000-0005-0000-0000-0000DC2A0000}"/>
    <cellStyle name="Header2 2 2 5 3 3 2" xfId="11390" xr:uid="{00000000-0005-0000-0000-0000DD2A0000}"/>
    <cellStyle name="Header2 2 2 5 3 3 3" xfId="11391" xr:uid="{00000000-0005-0000-0000-0000DE2A0000}"/>
    <cellStyle name="Header2 2 2 5 3 4" xfId="11392" xr:uid="{00000000-0005-0000-0000-0000DF2A0000}"/>
    <cellStyle name="Header2 2 2 5 3 4 2" xfId="11393" xr:uid="{00000000-0005-0000-0000-0000E02A0000}"/>
    <cellStyle name="Header2 2 2 5 3 4 3" xfId="11394" xr:uid="{00000000-0005-0000-0000-0000E12A0000}"/>
    <cellStyle name="Header2 2 2 5 3 5" xfId="11395" xr:uid="{00000000-0005-0000-0000-0000E22A0000}"/>
    <cellStyle name="Header2 2 2 5 3 5 2" xfId="11396" xr:uid="{00000000-0005-0000-0000-0000E32A0000}"/>
    <cellStyle name="Header2 2 2 5 3 5 3" xfId="11397" xr:uid="{00000000-0005-0000-0000-0000E42A0000}"/>
    <cellStyle name="Header2 2 2 5 3 6" xfId="11398" xr:uid="{00000000-0005-0000-0000-0000E52A0000}"/>
    <cellStyle name="Header2 2 2 5 3 6 2" xfId="11399" xr:uid="{00000000-0005-0000-0000-0000E62A0000}"/>
    <cellStyle name="Header2 2 2 5 3 6 3" xfId="11400" xr:uid="{00000000-0005-0000-0000-0000E72A0000}"/>
    <cellStyle name="Header2 2 2 5 3 7" xfId="11401" xr:uid="{00000000-0005-0000-0000-0000E82A0000}"/>
    <cellStyle name="Header2 2 2 5 3 8" xfId="11402" xr:uid="{00000000-0005-0000-0000-0000E92A0000}"/>
    <cellStyle name="Header2 2 2 5 4" xfId="11403" xr:uid="{00000000-0005-0000-0000-0000EA2A0000}"/>
    <cellStyle name="Header2 2 2 5 4 2" xfId="11404" xr:uid="{00000000-0005-0000-0000-0000EB2A0000}"/>
    <cellStyle name="Header2 2 2 5 4 2 2" xfId="11405" xr:uid="{00000000-0005-0000-0000-0000EC2A0000}"/>
    <cellStyle name="Header2 2 2 5 4 2 3" xfId="11406" xr:uid="{00000000-0005-0000-0000-0000ED2A0000}"/>
    <cellStyle name="Header2 2 2 5 4 3" xfId="11407" xr:uid="{00000000-0005-0000-0000-0000EE2A0000}"/>
    <cellStyle name="Header2 2 2 5 4 3 2" xfId="11408" xr:uid="{00000000-0005-0000-0000-0000EF2A0000}"/>
    <cellStyle name="Header2 2 2 5 4 3 3" xfId="11409" xr:uid="{00000000-0005-0000-0000-0000F02A0000}"/>
    <cellStyle name="Header2 2 2 5 4 4" xfId="11410" xr:uid="{00000000-0005-0000-0000-0000F12A0000}"/>
    <cellStyle name="Header2 2 2 5 4 4 2" xfId="11411" xr:uid="{00000000-0005-0000-0000-0000F22A0000}"/>
    <cellStyle name="Header2 2 2 5 4 4 3" xfId="11412" xr:uid="{00000000-0005-0000-0000-0000F32A0000}"/>
    <cellStyle name="Header2 2 2 5 4 5" xfId="11413" xr:uid="{00000000-0005-0000-0000-0000F42A0000}"/>
    <cellStyle name="Header2 2 2 5 4 5 2" xfId="11414" xr:uid="{00000000-0005-0000-0000-0000F52A0000}"/>
    <cellStyle name="Header2 2 2 5 4 5 3" xfId="11415" xr:uid="{00000000-0005-0000-0000-0000F62A0000}"/>
    <cellStyle name="Header2 2 2 5 4 6" xfId="11416" xr:uid="{00000000-0005-0000-0000-0000F72A0000}"/>
    <cellStyle name="Header2 2 2 5 4 6 2" xfId="11417" xr:uid="{00000000-0005-0000-0000-0000F82A0000}"/>
    <cellStyle name="Header2 2 2 5 4 6 3" xfId="11418" xr:uid="{00000000-0005-0000-0000-0000F92A0000}"/>
    <cellStyle name="Header2 2 2 5 4 7" xfId="11419" xr:uid="{00000000-0005-0000-0000-0000FA2A0000}"/>
    <cellStyle name="Header2 2 2 5 5" xfId="11420" xr:uid="{00000000-0005-0000-0000-0000FB2A0000}"/>
    <cellStyle name="Header2 2 2 5 5 2" xfId="11421" xr:uid="{00000000-0005-0000-0000-0000FC2A0000}"/>
    <cellStyle name="Header2 2 2 5 5 2 2" xfId="11422" xr:uid="{00000000-0005-0000-0000-0000FD2A0000}"/>
    <cellStyle name="Header2 2 2 5 5 2 3" xfId="11423" xr:uid="{00000000-0005-0000-0000-0000FE2A0000}"/>
    <cellStyle name="Header2 2 2 5 5 3" xfId="11424" xr:uid="{00000000-0005-0000-0000-0000FF2A0000}"/>
    <cellStyle name="Header2 2 2 5 5 3 2" xfId="11425" xr:uid="{00000000-0005-0000-0000-0000002B0000}"/>
    <cellStyle name="Header2 2 2 5 5 3 3" xfId="11426" xr:uid="{00000000-0005-0000-0000-0000012B0000}"/>
    <cellStyle name="Header2 2 2 5 5 4" xfId="11427" xr:uid="{00000000-0005-0000-0000-0000022B0000}"/>
    <cellStyle name="Header2 2 2 5 5 4 2" xfId="11428" xr:uid="{00000000-0005-0000-0000-0000032B0000}"/>
    <cellStyle name="Header2 2 2 5 5 4 3" xfId="11429" xr:uid="{00000000-0005-0000-0000-0000042B0000}"/>
    <cellStyle name="Header2 2 2 5 5 5" xfId="11430" xr:uid="{00000000-0005-0000-0000-0000052B0000}"/>
    <cellStyle name="Header2 2 2 5 5 5 2" xfId="11431" xr:uid="{00000000-0005-0000-0000-0000062B0000}"/>
    <cellStyle name="Header2 2 2 5 5 5 3" xfId="11432" xr:uid="{00000000-0005-0000-0000-0000072B0000}"/>
    <cellStyle name="Header2 2 2 5 5 6" xfId="11433" xr:uid="{00000000-0005-0000-0000-0000082B0000}"/>
    <cellStyle name="Header2 2 2 5 5 6 2" xfId="11434" xr:uid="{00000000-0005-0000-0000-0000092B0000}"/>
    <cellStyle name="Header2 2 2 5 5 6 3" xfId="11435" xr:uid="{00000000-0005-0000-0000-00000A2B0000}"/>
    <cellStyle name="Header2 2 2 5 5 7" xfId="11436" xr:uid="{00000000-0005-0000-0000-00000B2B0000}"/>
    <cellStyle name="Header2 2 2 5 6" xfId="11437" xr:uid="{00000000-0005-0000-0000-00000C2B0000}"/>
    <cellStyle name="Header2 2 2 5 6 2" xfId="11438" xr:uid="{00000000-0005-0000-0000-00000D2B0000}"/>
    <cellStyle name="Header2 2 2 5 6 3" xfId="11439" xr:uid="{00000000-0005-0000-0000-00000E2B0000}"/>
    <cellStyle name="Header2 2 2 5 7" xfId="11440" xr:uid="{00000000-0005-0000-0000-00000F2B0000}"/>
    <cellStyle name="Header2 2 2 5 7 2" xfId="11441" xr:uid="{00000000-0005-0000-0000-0000102B0000}"/>
    <cellStyle name="Header2 2 2 5 7 3" xfId="11442" xr:uid="{00000000-0005-0000-0000-0000112B0000}"/>
    <cellStyle name="Header2 2 2 5 8" xfId="11443" xr:uid="{00000000-0005-0000-0000-0000122B0000}"/>
    <cellStyle name="Header2 2 2 5 8 2" xfId="11444" xr:uid="{00000000-0005-0000-0000-0000132B0000}"/>
    <cellStyle name="Header2 2 2 5 8 3" xfId="11445" xr:uid="{00000000-0005-0000-0000-0000142B0000}"/>
    <cellStyle name="Header2 2 2 5 9" xfId="11446" xr:uid="{00000000-0005-0000-0000-0000152B0000}"/>
    <cellStyle name="Header2 2 2 5 9 2" xfId="11447" xr:uid="{00000000-0005-0000-0000-0000162B0000}"/>
    <cellStyle name="Header2 2 2 5 9 3" xfId="11448" xr:uid="{00000000-0005-0000-0000-0000172B0000}"/>
    <cellStyle name="Header2 2 2 6" xfId="11449" xr:uid="{00000000-0005-0000-0000-0000182B0000}"/>
    <cellStyle name="Header2 2 2 6 2" xfId="11450" xr:uid="{00000000-0005-0000-0000-0000192B0000}"/>
    <cellStyle name="Header2 2 2 6 2 2" xfId="11451" xr:uid="{00000000-0005-0000-0000-00001A2B0000}"/>
    <cellStyle name="Header2 2 2 6 2 3" xfId="11452" xr:uid="{00000000-0005-0000-0000-00001B2B0000}"/>
    <cellStyle name="Header2 2 2 6 3" xfId="11453" xr:uid="{00000000-0005-0000-0000-00001C2B0000}"/>
    <cellStyle name="Header2 2 2 6 3 2" xfId="11454" xr:uid="{00000000-0005-0000-0000-00001D2B0000}"/>
    <cellStyle name="Header2 2 2 6 3 3" xfId="11455" xr:uid="{00000000-0005-0000-0000-00001E2B0000}"/>
    <cellStyle name="Header2 2 2 6 4" xfId="11456" xr:uid="{00000000-0005-0000-0000-00001F2B0000}"/>
    <cellStyle name="Header2 2 2 6 4 2" xfId="11457" xr:uid="{00000000-0005-0000-0000-0000202B0000}"/>
    <cellStyle name="Header2 2 2 6 4 3" xfId="11458" xr:uid="{00000000-0005-0000-0000-0000212B0000}"/>
    <cellStyle name="Header2 2 2 6 5" xfId="11459" xr:uid="{00000000-0005-0000-0000-0000222B0000}"/>
    <cellStyle name="Header2 2 2 6 5 2" xfId="11460" xr:uid="{00000000-0005-0000-0000-0000232B0000}"/>
    <cellStyle name="Header2 2 2 6 5 3" xfId="11461" xr:uid="{00000000-0005-0000-0000-0000242B0000}"/>
    <cellStyle name="Header2 2 2 6 6" xfId="11462" xr:uid="{00000000-0005-0000-0000-0000252B0000}"/>
    <cellStyle name="Header2 2 2 6 6 2" xfId="11463" xr:uid="{00000000-0005-0000-0000-0000262B0000}"/>
    <cellStyle name="Header2 2 2 6 6 3" xfId="11464" xr:uid="{00000000-0005-0000-0000-0000272B0000}"/>
    <cellStyle name="Header2 2 2 6 7" xfId="11465" xr:uid="{00000000-0005-0000-0000-0000282B0000}"/>
    <cellStyle name="Header2 2 2 6 8" xfId="11466" xr:uid="{00000000-0005-0000-0000-0000292B0000}"/>
    <cellStyle name="Header2 2 2 7" xfId="11467" xr:uid="{00000000-0005-0000-0000-00002A2B0000}"/>
    <cellStyle name="Header2 2 2 7 2" xfId="11468" xr:uid="{00000000-0005-0000-0000-00002B2B0000}"/>
    <cellStyle name="Header2 2 2 7 2 2" xfId="11469" xr:uid="{00000000-0005-0000-0000-00002C2B0000}"/>
    <cellStyle name="Header2 2 2 7 2 3" xfId="11470" xr:uid="{00000000-0005-0000-0000-00002D2B0000}"/>
    <cellStyle name="Header2 2 2 7 3" xfId="11471" xr:uid="{00000000-0005-0000-0000-00002E2B0000}"/>
    <cellStyle name="Header2 2 2 7 3 2" xfId="11472" xr:uid="{00000000-0005-0000-0000-00002F2B0000}"/>
    <cellStyle name="Header2 2 2 7 3 3" xfId="11473" xr:uid="{00000000-0005-0000-0000-0000302B0000}"/>
    <cellStyle name="Header2 2 2 7 4" xfId="11474" xr:uid="{00000000-0005-0000-0000-0000312B0000}"/>
    <cellStyle name="Header2 2 2 7 4 2" xfId="11475" xr:uid="{00000000-0005-0000-0000-0000322B0000}"/>
    <cellStyle name="Header2 2 2 7 4 3" xfId="11476" xr:uid="{00000000-0005-0000-0000-0000332B0000}"/>
    <cellStyle name="Header2 2 2 7 5" xfId="11477" xr:uid="{00000000-0005-0000-0000-0000342B0000}"/>
    <cellStyle name="Header2 2 2 7 5 2" xfId="11478" xr:uid="{00000000-0005-0000-0000-0000352B0000}"/>
    <cellStyle name="Header2 2 2 7 5 3" xfId="11479" xr:uid="{00000000-0005-0000-0000-0000362B0000}"/>
    <cellStyle name="Header2 2 2 7 6" xfId="11480" xr:uid="{00000000-0005-0000-0000-0000372B0000}"/>
    <cellStyle name="Header2 2 2 7 6 2" xfId="11481" xr:uid="{00000000-0005-0000-0000-0000382B0000}"/>
    <cellStyle name="Header2 2 2 7 6 3" xfId="11482" xr:uid="{00000000-0005-0000-0000-0000392B0000}"/>
    <cellStyle name="Header2 2 2 7 7" xfId="11483" xr:uid="{00000000-0005-0000-0000-00003A2B0000}"/>
    <cellStyle name="Header2 2 2 7 8" xfId="11484" xr:uid="{00000000-0005-0000-0000-00003B2B0000}"/>
    <cellStyle name="Header2 2 2 8" xfId="11485" xr:uid="{00000000-0005-0000-0000-00003C2B0000}"/>
    <cellStyle name="Header2 2 2 8 2" xfId="11486" xr:uid="{00000000-0005-0000-0000-00003D2B0000}"/>
    <cellStyle name="Header2 2 2 8 2 2" xfId="11487" xr:uid="{00000000-0005-0000-0000-00003E2B0000}"/>
    <cellStyle name="Header2 2 2 8 2 3" xfId="11488" xr:uid="{00000000-0005-0000-0000-00003F2B0000}"/>
    <cellStyle name="Header2 2 2 8 3" xfId="11489" xr:uid="{00000000-0005-0000-0000-0000402B0000}"/>
    <cellStyle name="Header2 2 2 8 3 2" xfId="11490" xr:uid="{00000000-0005-0000-0000-0000412B0000}"/>
    <cellStyle name="Header2 2 2 8 3 3" xfId="11491" xr:uid="{00000000-0005-0000-0000-0000422B0000}"/>
    <cellStyle name="Header2 2 2 8 4" xfId="11492" xr:uid="{00000000-0005-0000-0000-0000432B0000}"/>
    <cellStyle name="Header2 2 2 8 4 2" xfId="11493" xr:uid="{00000000-0005-0000-0000-0000442B0000}"/>
    <cellStyle name="Header2 2 2 8 4 3" xfId="11494" xr:uid="{00000000-0005-0000-0000-0000452B0000}"/>
    <cellStyle name="Header2 2 2 8 5" xfId="11495" xr:uid="{00000000-0005-0000-0000-0000462B0000}"/>
    <cellStyle name="Header2 2 2 8 5 2" xfId="11496" xr:uid="{00000000-0005-0000-0000-0000472B0000}"/>
    <cellStyle name="Header2 2 2 8 5 3" xfId="11497" xr:uid="{00000000-0005-0000-0000-0000482B0000}"/>
    <cellStyle name="Header2 2 2 8 6" xfId="11498" xr:uid="{00000000-0005-0000-0000-0000492B0000}"/>
    <cellStyle name="Header2 2 2 8 6 2" xfId="11499" xr:uid="{00000000-0005-0000-0000-00004A2B0000}"/>
    <cellStyle name="Header2 2 2 8 6 3" xfId="11500" xr:uid="{00000000-0005-0000-0000-00004B2B0000}"/>
    <cellStyle name="Header2 2 2 8 7" xfId="11501" xr:uid="{00000000-0005-0000-0000-00004C2B0000}"/>
    <cellStyle name="Header2 2 2 9" xfId="11502" xr:uid="{00000000-0005-0000-0000-00004D2B0000}"/>
    <cellStyle name="Header2 2 2 9 2" xfId="11503" xr:uid="{00000000-0005-0000-0000-00004E2B0000}"/>
    <cellStyle name="Header2 2 2 9 2 2" xfId="11504" xr:uid="{00000000-0005-0000-0000-00004F2B0000}"/>
    <cellStyle name="Header2 2 2 9 2 3" xfId="11505" xr:uid="{00000000-0005-0000-0000-0000502B0000}"/>
    <cellStyle name="Header2 2 2 9 3" xfId="11506" xr:uid="{00000000-0005-0000-0000-0000512B0000}"/>
    <cellStyle name="Header2 2 2 9 3 2" xfId="11507" xr:uid="{00000000-0005-0000-0000-0000522B0000}"/>
    <cellStyle name="Header2 2 2 9 3 3" xfId="11508" xr:uid="{00000000-0005-0000-0000-0000532B0000}"/>
    <cellStyle name="Header2 2 2 9 4" xfId="11509" xr:uid="{00000000-0005-0000-0000-0000542B0000}"/>
    <cellStyle name="Header2 2 2 9 4 2" xfId="11510" xr:uid="{00000000-0005-0000-0000-0000552B0000}"/>
    <cellStyle name="Header2 2 2 9 4 3" xfId="11511" xr:uid="{00000000-0005-0000-0000-0000562B0000}"/>
    <cellStyle name="Header2 2 2 9 5" xfId="11512" xr:uid="{00000000-0005-0000-0000-0000572B0000}"/>
    <cellStyle name="Header2 2 2 9 5 2" xfId="11513" xr:uid="{00000000-0005-0000-0000-0000582B0000}"/>
    <cellStyle name="Header2 2 2 9 5 3" xfId="11514" xr:uid="{00000000-0005-0000-0000-0000592B0000}"/>
    <cellStyle name="Header2 2 2 9 6" xfId="11515" xr:uid="{00000000-0005-0000-0000-00005A2B0000}"/>
    <cellStyle name="Header2 2 2 9 6 2" xfId="11516" xr:uid="{00000000-0005-0000-0000-00005B2B0000}"/>
    <cellStyle name="Header2 2 2 9 6 3" xfId="11517" xr:uid="{00000000-0005-0000-0000-00005C2B0000}"/>
    <cellStyle name="Header2 2 2 9 7" xfId="11518" xr:uid="{00000000-0005-0000-0000-00005D2B0000}"/>
    <cellStyle name="Header2 2 3" xfId="11519" xr:uid="{00000000-0005-0000-0000-00005E2B0000}"/>
    <cellStyle name="Header2 2 3 2" xfId="11520" xr:uid="{00000000-0005-0000-0000-00005F2B0000}"/>
    <cellStyle name="Header2 2 3 2 2" xfId="11521" xr:uid="{00000000-0005-0000-0000-0000602B0000}"/>
    <cellStyle name="Header2 2 3 2 2 2" xfId="11522" xr:uid="{00000000-0005-0000-0000-0000612B0000}"/>
    <cellStyle name="Header2 2 3 2 2 3" xfId="11523" xr:uid="{00000000-0005-0000-0000-0000622B0000}"/>
    <cellStyle name="Header2 2 3 2 3" xfId="11524" xr:uid="{00000000-0005-0000-0000-0000632B0000}"/>
    <cellStyle name="Header2 2 3 2 3 2" xfId="11525" xr:uid="{00000000-0005-0000-0000-0000642B0000}"/>
    <cellStyle name="Header2 2 3 2 3 3" xfId="11526" xr:uid="{00000000-0005-0000-0000-0000652B0000}"/>
    <cellStyle name="Header2 2 3 2 4" xfId="11527" xr:uid="{00000000-0005-0000-0000-0000662B0000}"/>
    <cellStyle name="Header2 2 3 2 4 2" xfId="11528" xr:uid="{00000000-0005-0000-0000-0000672B0000}"/>
    <cellStyle name="Header2 2 3 2 4 3" xfId="11529" xr:uid="{00000000-0005-0000-0000-0000682B0000}"/>
    <cellStyle name="Header2 2 3 2 5" xfId="11530" xr:uid="{00000000-0005-0000-0000-0000692B0000}"/>
    <cellStyle name="Header2 2 3 2 5 2" xfId="11531" xr:uid="{00000000-0005-0000-0000-00006A2B0000}"/>
    <cellStyle name="Header2 2 3 2 5 3" xfId="11532" xr:uid="{00000000-0005-0000-0000-00006B2B0000}"/>
    <cellStyle name="Header2 2 3 2 6" xfId="11533" xr:uid="{00000000-0005-0000-0000-00006C2B0000}"/>
    <cellStyle name="Header2 2 3 2 6 2" xfId="11534" xr:uid="{00000000-0005-0000-0000-00006D2B0000}"/>
    <cellStyle name="Header2 2 3 2 6 3" xfId="11535" xr:uid="{00000000-0005-0000-0000-00006E2B0000}"/>
    <cellStyle name="Header2 2 3 2 7" xfId="11536" xr:uid="{00000000-0005-0000-0000-00006F2B0000}"/>
    <cellStyle name="Header2 2 3 2 8" xfId="11537" xr:uid="{00000000-0005-0000-0000-0000702B0000}"/>
    <cellStyle name="Header2 2 3 3" xfId="11538" xr:uid="{00000000-0005-0000-0000-0000712B0000}"/>
    <cellStyle name="Header2 2 3 3 2" xfId="11539" xr:uid="{00000000-0005-0000-0000-0000722B0000}"/>
    <cellStyle name="Header2 2 3 3 2 2" xfId="11540" xr:uid="{00000000-0005-0000-0000-0000732B0000}"/>
    <cellStyle name="Header2 2 3 3 2 3" xfId="11541" xr:uid="{00000000-0005-0000-0000-0000742B0000}"/>
    <cellStyle name="Header2 2 3 3 3" xfId="11542" xr:uid="{00000000-0005-0000-0000-0000752B0000}"/>
    <cellStyle name="Header2 2 3 3 3 2" xfId="11543" xr:uid="{00000000-0005-0000-0000-0000762B0000}"/>
    <cellStyle name="Header2 2 3 3 3 3" xfId="11544" xr:uid="{00000000-0005-0000-0000-0000772B0000}"/>
    <cellStyle name="Header2 2 3 3 4" xfId="11545" xr:uid="{00000000-0005-0000-0000-0000782B0000}"/>
    <cellStyle name="Header2 2 3 3 4 2" xfId="11546" xr:uid="{00000000-0005-0000-0000-0000792B0000}"/>
    <cellStyle name="Header2 2 3 3 4 3" xfId="11547" xr:uid="{00000000-0005-0000-0000-00007A2B0000}"/>
    <cellStyle name="Header2 2 3 3 5" xfId="11548" xr:uid="{00000000-0005-0000-0000-00007B2B0000}"/>
    <cellStyle name="Header2 2 3 3 5 2" xfId="11549" xr:uid="{00000000-0005-0000-0000-00007C2B0000}"/>
    <cellStyle name="Header2 2 3 3 5 3" xfId="11550" xr:uid="{00000000-0005-0000-0000-00007D2B0000}"/>
    <cellStyle name="Header2 2 3 3 6" xfId="11551" xr:uid="{00000000-0005-0000-0000-00007E2B0000}"/>
    <cellStyle name="Header2 2 3 3 6 2" xfId="11552" xr:uid="{00000000-0005-0000-0000-00007F2B0000}"/>
    <cellStyle name="Header2 2 3 3 6 3" xfId="11553" xr:uid="{00000000-0005-0000-0000-0000802B0000}"/>
    <cellStyle name="Header2 2 3 3 7" xfId="11554" xr:uid="{00000000-0005-0000-0000-0000812B0000}"/>
    <cellStyle name="Header2 2 3 3 8" xfId="11555" xr:uid="{00000000-0005-0000-0000-0000822B0000}"/>
    <cellStyle name="Header2 2 3 4" xfId="11556" xr:uid="{00000000-0005-0000-0000-0000832B0000}"/>
    <cellStyle name="Header2 2 3 4 2" xfId="11557" xr:uid="{00000000-0005-0000-0000-0000842B0000}"/>
    <cellStyle name="Header2 2 3 4 2 2" xfId="11558" xr:uid="{00000000-0005-0000-0000-0000852B0000}"/>
    <cellStyle name="Header2 2 3 4 2 3" xfId="11559" xr:uid="{00000000-0005-0000-0000-0000862B0000}"/>
    <cellStyle name="Header2 2 3 4 3" xfId="11560" xr:uid="{00000000-0005-0000-0000-0000872B0000}"/>
    <cellStyle name="Header2 2 3 4 3 2" xfId="11561" xr:uid="{00000000-0005-0000-0000-0000882B0000}"/>
    <cellStyle name="Header2 2 3 4 3 3" xfId="11562" xr:uid="{00000000-0005-0000-0000-0000892B0000}"/>
    <cellStyle name="Header2 2 3 4 4" xfId="11563" xr:uid="{00000000-0005-0000-0000-00008A2B0000}"/>
    <cellStyle name="Header2 2 3 4 4 2" xfId="11564" xr:uid="{00000000-0005-0000-0000-00008B2B0000}"/>
    <cellStyle name="Header2 2 3 4 4 3" xfId="11565" xr:uid="{00000000-0005-0000-0000-00008C2B0000}"/>
    <cellStyle name="Header2 2 3 4 5" xfId="11566" xr:uid="{00000000-0005-0000-0000-00008D2B0000}"/>
    <cellStyle name="Header2 2 3 4 5 2" xfId="11567" xr:uid="{00000000-0005-0000-0000-00008E2B0000}"/>
    <cellStyle name="Header2 2 3 4 5 3" xfId="11568" xr:uid="{00000000-0005-0000-0000-00008F2B0000}"/>
    <cellStyle name="Header2 2 3 4 6" xfId="11569" xr:uid="{00000000-0005-0000-0000-0000902B0000}"/>
    <cellStyle name="Header2 2 3 4 6 2" xfId="11570" xr:uid="{00000000-0005-0000-0000-0000912B0000}"/>
    <cellStyle name="Header2 2 3 4 6 3" xfId="11571" xr:uid="{00000000-0005-0000-0000-0000922B0000}"/>
    <cellStyle name="Header2 2 3 4 7" xfId="11572" xr:uid="{00000000-0005-0000-0000-0000932B0000}"/>
    <cellStyle name="Header2 2 3 4 8" xfId="11573" xr:uid="{00000000-0005-0000-0000-0000942B0000}"/>
    <cellStyle name="Header2 2 3 5" xfId="11574" xr:uid="{00000000-0005-0000-0000-0000952B0000}"/>
    <cellStyle name="Header2 2 3 5 2" xfId="11575" xr:uid="{00000000-0005-0000-0000-0000962B0000}"/>
    <cellStyle name="Header2 2 3 5 2 2" xfId="11576" xr:uid="{00000000-0005-0000-0000-0000972B0000}"/>
    <cellStyle name="Header2 2 3 5 2 3" xfId="11577" xr:uid="{00000000-0005-0000-0000-0000982B0000}"/>
    <cellStyle name="Header2 2 3 5 3" xfId="11578" xr:uid="{00000000-0005-0000-0000-0000992B0000}"/>
    <cellStyle name="Header2 2 3 5 3 2" xfId="11579" xr:uid="{00000000-0005-0000-0000-00009A2B0000}"/>
    <cellStyle name="Header2 2 3 5 3 3" xfId="11580" xr:uid="{00000000-0005-0000-0000-00009B2B0000}"/>
    <cellStyle name="Header2 2 3 5 4" xfId="11581" xr:uid="{00000000-0005-0000-0000-00009C2B0000}"/>
    <cellStyle name="Header2 2 3 5 4 2" xfId="11582" xr:uid="{00000000-0005-0000-0000-00009D2B0000}"/>
    <cellStyle name="Header2 2 3 5 4 3" xfId="11583" xr:uid="{00000000-0005-0000-0000-00009E2B0000}"/>
    <cellStyle name="Header2 2 3 5 5" xfId="11584" xr:uid="{00000000-0005-0000-0000-00009F2B0000}"/>
    <cellStyle name="Header2 2 3 5 5 2" xfId="11585" xr:uid="{00000000-0005-0000-0000-0000A02B0000}"/>
    <cellStyle name="Header2 2 3 5 5 3" xfId="11586" xr:uid="{00000000-0005-0000-0000-0000A12B0000}"/>
    <cellStyle name="Header2 2 3 5 6" xfId="11587" xr:uid="{00000000-0005-0000-0000-0000A22B0000}"/>
    <cellStyle name="Header2 2 3 5 6 2" xfId="11588" xr:uid="{00000000-0005-0000-0000-0000A32B0000}"/>
    <cellStyle name="Header2 2 3 5 6 3" xfId="11589" xr:uid="{00000000-0005-0000-0000-0000A42B0000}"/>
    <cellStyle name="Header2 2 3 5 7" xfId="11590" xr:uid="{00000000-0005-0000-0000-0000A52B0000}"/>
    <cellStyle name="Header2 2 3 6" xfId="11591" xr:uid="{00000000-0005-0000-0000-0000A62B0000}"/>
    <cellStyle name="Header2 2 3 6 2" xfId="11592" xr:uid="{00000000-0005-0000-0000-0000A72B0000}"/>
    <cellStyle name="Header2 2 3 6 2 2" xfId="11593" xr:uid="{00000000-0005-0000-0000-0000A82B0000}"/>
    <cellStyle name="Header2 2 3 6 2 3" xfId="11594" xr:uid="{00000000-0005-0000-0000-0000A92B0000}"/>
    <cellStyle name="Header2 2 3 6 3" xfId="11595" xr:uid="{00000000-0005-0000-0000-0000AA2B0000}"/>
    <cellStyle name="Header2 2 3 6 3 2" xfId="11596" xr:uid="{00000000-0005-0000-0000-0000AB2B0000}"/>
    <cellStyle name="Header2 2 3 6 3 3" xfId="11597" xr:uid="{00000000-0005-0000-0000-0000AC2B0000}"/>
    <cellStyle name="Header2 2 3 6 4" xfId="11598" xr:uid="{00000000-0005-0000-0000-0000AD2B0000}"/>
    <cellStyle name="Header2 2 3 6 4 2" xfId="11599" xr:uid="{00000000-0005-0000-0000-0000AE2B0000}"/>
    <cellStyle name="Header2 2 3 6 4 3" xfId="11600" xr:uid="{00000000-0005-0000-0000-0000AF2B0000}"/>
    <cellStyle name="Header2 2 3 6 5" xfId="11601" xr:uid="{00000000-0005-0000-0000-0000B02B0000}"/>
    <cellStyle name="Header2 2 3 6 5 2" xfId="11602" xr:uid="{00000000-0005-0000-0000-0000B12B0000}"/>
    <cellStyle name="Header2 2 3 6 5 3" xfId="11603" xr:uid="{00000000-0005-0000-0000-0000B22B0000}"/>
    <cellStyle name="Header2 2 3 6 6" xfId="11604" xr:uid="{00000000-0005-0000-0000-0000B32B0000}"/>
    <cellStyle name="Header2 2 3 6 6 2" xfId="11605" xr:uid="{00000000-0005-0000-0000-0000B42B0000}"/>
    <cellStyle name="Header2 2 3 6 6 3" xfId="11606" xr:uid="{00000000-0005-0000-0000-0000B52B0000}"/>
    <cellStyle name="Header2 2 3 6 7" xfId="11607" xr:uid="{00000000-0005-0000-0000-0000B62B0000}"/>
    <cellStyle name="Header2 2 4" xfId="11608" xr:uid="{00000000-0005-0000-0000-0000B72B0000}"/>
    <cellStyle name="Header2 2 4 2" xfId="11609" xr:uid="{00000000-0005-0000-0000-0000B82B0000}"/>
    <cellStyle name="Header2 2 4 2 2" xfId="11610" xr:uid="{00000000-0005-0000-0000-0000B92B0000}"/>
    <cellStyle name="Header2 2 4 2 2 2" xfId="11611" xr:uid="{00000000-0005-0000-0000-0000BA2B0000}"/>
    <cellStyle name="Header2 2 4 2 2 3" xfId="11612" xr:uid="{00000000-0005-0000-0000-0000BB2B0000}"/>
    <cellStyle name="Header2 2 4 2 3" xfId="11613" xr:uid="{00000000-0005-0000-0000-0000BC2B0000}"/>
    <cellStyle name="Header2 2 4 2 3 2" xfId="11614" xr:uid="{00000000-0005-0000-0000-0000BD2B0000}"/>
    <cellStyle name="Header2 2 4 2 3 3" xfId="11615" xr:uid="{00000000-0005-0000-0000-0000BE2B0000}"/>
    <cellStyle name="Header2 2 4 2 4" xfId="11616" xr:uid="{00000000-0005-0000-0000-0000BF2B0000}"/>
    <cellStyle name="Header2 2 4 2 4 2" xfId="11617" xr:uid="{00000000-0005-0000-0000-0000C02B0000}"/>
    <cellStyle name="Header2 2 4 2 4 3" xfId="11618" xr:uid="{00000000-0005-0000-0000-0000C12B0000}"/>
    <cellStyle name="Header2 2 4 2 5" xfId="11619" xr:uid="{00000000-0005-0000-0000-0000C22B0000}"/>
    <cellStyle name="Header2 2 4 2 5 2" xfId="11620" xr:uid="{00000000-0005-0000-0000-0000C32B0000}"/>
    <cellStyle name="Header2 2 4 2 5 3" xfId="11621" xr:uid="{00000000-0005-0000-0000-0000C42B0000}"/>
    <cellStyle name="Header2 2 4 2 6" xfId="11622" xr:uid="{00000000-0005-0000-0000-0000C52B0000}"/>
    <cellStyle name="Header2 2 4 2 6 2" xfId="11623" xr:uid="{00000000-0005-0000-0000-0000C62B0000}"/>
    <cellStyle name="Header2 2 4 2 6 3" xfId="11624" xr:uid="{00000000-0005-0000-0000-0000C72B0000}"/>
    <cellStyle name="Header2 2 4 2 7" xfId="11625" xr:uid="{00000000-0005-0000-0000-0000C82B0000}"/>
    <cellStyle name="Header2 2 4 2 8" xfId="11626" xr:uid="{00000000-0005-0000-0000-0000C92B0000}"/>
    <cellStyle name="Header2 2 4 3" xfId="11627" xr:uid="{00000000-0005-0000-0000-0000CA2B0000}"/>
    <cellStyle name="Header2 2 4 3 2" xfId="11628" xr:uid="{00000000-0005-0000-0000-0000CB2B0000}"/>
    <cellStyle name="Header2 2 4 3 2 2" xfId="11629" xr:uid="{00000000-0005-0000-0000-0000CC2B0000}"/>
    <cellStyle name="Header2 2 4 3 2 3" xfId="11630" xr:uid="{00000000-0005-0000-0000-0000CD2B0000}"/>
    <cellStyle name="Header2 2 4 3 3" xfId="11631" xr:uid="{00000000-0005-0000-0000-0000CE2B0000}"/>
    <cellStyle name="Header2 2 4 3 3 2" xfId="11632" xr:uid="{00000000-0005-0000-0000-0000CF2B0000}"/>
    <cellStyle name="Header2 2 4 3 3 3" xfId="11633" xr:uid="{00000000-0005-0000-0000-0000D02B0000}"/>
    <cellStyle name="Header2 2 4 3 4" xfId="11634" xr:uid="{00000000-0005-0000-0000-0000D12B0000}"/>
    <cellStyle name="Header2 2 4 3 4 2" xfId="11635" xr:uid="{00000000-0005-0000-0000-0000D22B0000}"/>
    <cellStyle name="Header2 2 4 3 4 3" xfId="11636" xr:uid="{00000000-0005-0000-0000-0000D32B0000}"/>
    <cellStyle name="Header2 2 4 3 5" xfId="11637" xr:uid="{00000000-0005-0000-0000-0000D42B0000}"/>
    <cellStyle name="Header2 2 4 3 5 2" xfId="11638" xr:uid="{00000000-0005-0000-0000-0000D52B0000}"/>
    <cellStyle name="Header2 2 4 3 5 3" xfId="11639" xr:uid="{00000000-0005-0000-0000-0000D62B0000}"/>
    <cellStyle name="Header2 2 4 3 6" xfId="11640" xr:uid="{00000000-0005-0000-0000-0000D72B0000}"/>
    <cellStyle name="Header2 2 4 3 6 2" xfId="11641" xr:uid="{00000000-0005-0000-0000-0000D82B0000}"/>
    <cellStyle name="Header2 2 4 3 6 3" xfId="11642" xr:uid="{00000000-0005-0000-0000-0000D92B0000}"/>
    <cellStyle name="Header2 2 4 3 7" xfId="11643" xr:uid="{00000000-0005-0000-0000-0000DA2B0000}"/>
    <cellStyle name="Header2 2 4 3 8" xfId="11644" xr:uid="{00000000-0005-0000-0000-0000DB2B0000}"/>
    <cellStyle name="Header2 2 4 4" xfId="11645" xr:uid="{00000000-0005-0000-0000-0000DC2B0000}"/>
    <cellStyle name="Header2 2 4 4 2" xfId="11646" xr:uid="{00000000-0005-0000-0000-0000DD2B0000}"/>
    <cellStyle name="Header2 2 4 4 2 2" xfId="11647" xr:uid="{00000000-0005-0000-0000-0000DE2B0000}"/>
    <cellStyle name="Header2 2 4 4 2 3" xfId="11648" xr:uid="{00000000-0005-0000-0000-0000DF2B0000}"/>
    <cellStyle name="Header2 2 4 4 3" xfId="11649" xr:uid="{00000000-0005-0000-0000-0000E02B0000}"/>
    <cellStyle name="Header2 2 4 4 3 2" xfId="11650" xr:uid="{00000000-0005-0000-0000-0000E12B0000}"/>
    <cellStyle name="Header2 2 4 4 3 3" xfId="11651" xr:uid="{00000000-0005-0000-0000-0000E22B0000}"/>
    <cellStyle name="Header2 2 4 4 4" xfId="11652" xr:uid="{00000000-0005-0000-0000-0000E32B0000}"/>
    <cellStyle name="Header2 2 4 4 4 2" xfId="11653" xr:uid="{00000000-0005-0000-0000-0000E42B0000}"/>
    <cellStyle name="Header2 2 4 4 4 3" xfId="11654" xr:uid="{00000000-0005-0000-0000-0000E52B0000}"/>
    <cellStyle name="Header2 2 4 4 5" xfId="11655" xr:uid="{00000000-0005-0000-0000-0000E62B0000}"/>
    <cellStyle name="Header2 2 4 4 5 2" xfId="11656" xr:uid="{00000000-0005-0000-0000-0000E72B0000}"/>
    <cellStyle name="Header2 2 4 4 5 3" xfId="11657" xr:uid="{00000000-0005-0000-0000-0000E82B0000}"/>
    <cellStyle name="Header2 2 4 4 6" xfId="11658" xr:uid="{00000000-0005-0000-0000-0000E92B0000}"/>
    <cellStyle name="Header2 2 4 4 6 2" xfId="11659" xr:uid="{00000000-0005-0000-0000-0000EA2B0000}"/>
    <cellStyle name="Header2 2 4 4 6 3" xfId="11660" xr:uid="{00000000-0005-0000-0000-0000EB2B0000}"/>
    <cellStyle name="Header2 2 4 4 7" xfId="11661" xr:uid="{00000000-0005-0000-0000-0000EC2B0000}"/>
    <cellStyle name="Header2 2 4 4 8" xfId="11662" xr:uid="{00000000-0005-0000-0000-0000ED2B0000}"/>
    <cellStyle name="Header2 2 4 5" xfId="11663" xr:uid="{00000000-0005-0000-0000-0000EE2B0000}"/>
    <cellStyle name="Header2 2 4 5 2" xfId="11664" xr:uid="{00000000-0005-0000-0000-0000EF2B0000}"/>
    <cellStyle name="Header2 2 4 5 2 2" xfId="11665" xr:uid="{00000000-0005-0000-0000-0000F02B0000}"/>
    <cellStyle name="Header2 2 4 5 2 3" xfId="11666" xr:uid="{00000000-0005-0000-0000-0000F12B0000}"/>
    <cellStyle name="Header2 2 4 5 3" xfId="11667" xr:uid="{00000000-0005-0000-0000-0000F22B0000}"/>
    <cellStyle name="Header2 2 4 5 3 2" xfId="11668" xr:uid="{00000000-0005-0000-0000-0000F32B0000}"/>
    <cellStyle name="Header2 2 4 5 3 3" xfId="11669" xr:uid="{00000000-0005-0000-0000-0000F42B0000}"/>
    <cellStyle name="Header2 2 4 5 4" xfId="11670" xr:uid="{00000000-0005-0000-0000-0000F52B0000}"/>
    <cellStyle name="Header2 2 4 5 4 2" xfId="11671" xr:uid="{00000000-0005-0000-0000-0000F62B0000}"/>
    <cellStyle name="Header2 2 4 5 4 3" xfId="11672" xr:uid="{00000000-0005-0000-0000-0000F72B0000}"/>
    <cellStyle name="Header2 2 4 5 5" xfId="11673" xr:uid="{00000000-0005-0000-0000-0000F82B0000}"/>
    <cellStyle name="Header2 2 4 5 5 2" xfId="11674" xr:uid="{00000000-0005-0000-0000-0000F92B0000}"/>
    <cellStyle name="Header2 2 4 5 5 3" xfId="11675" xr:uid="{00000000-0005-0000-0000-0000FA2B0000}"/>
    <cellStyle name="Header2 2 4 5 6" xfId="11676" xr:uid="{00000000-0005-0000-0000-0000FB2B0000}"/>
    <cellStyle name="Header2 2 4 5 6 2" xfId="11677" xr:uid="{00000000-0005-0000-0000-0000FC2B0000}"/>
    <cellStyle name="Header2 2 4 5 6 3" xfId="11678" xr:uid="{00000000-0005-0000-0000-0000FD2B0000}"/>
    <cellStyle name="Header2 2 4 5 7" xfId="11679" xr:uid="{00000000-0005-0000-0000-0000FE2B0000}"/>
    <cellStyle name="Header2 2 4 6" xfId="11680" xr:uid="{00000000-0005-0000-0000-0000FF2B0000}"/>
    <cellStyle name="Header2 2 4 6 2" xfId="11681" xr:uid="{00000000-0005-0000-0000-0000002C0000}"/>
    <cellStyle name="Header2 2 4 6 2 2" xfId="11682" xr:uid="{00000000-0005-0000-0000-0000012C0000}"/>
    <cellStyle name="Header2 2 4 6 2 3" xfId="11683" xr:uid="{00000000-0005-0000-0000-0000022C0000}"/>
    <cellStyle name="Header2 2 4 6 3" xfId="11684" xr:uid="{00000000-0005-0000-0000-0000032C0000}"/>
    <cellStyle name="Header2 2 4 6 3 2" xfId="11685" xr:uid="{00000000-0005-0000-0000-0000042C0000}"/>
    <cellStyle name="Header2 2 4 6 3 3" xfId="11686" xr:uid="{00000000-0005-0000-0000-0000052C0000}"/>
    <cellStyle name="Header2 2 4 6 4" xfId="11687" xr:uid="{00000000-0005-0000-0000-0000062C0000}"/>
    <cellStyle name="Header2 2 4 6 4 2" xfId="11688" xr:uid="{00000000-0005-0000-0000-0000072C0000}"/>
    <cellStyle name="Header2 2 4 6 4 3" xfId="11689" xr:uid="{00000000-0005-0000-0000-0000082C0000}"/>
    <cellStyle name="Header2 2 4 6 5" xfId="11690" xr:uid="{00000000-0005-0000-0000-0000092C0000}"/>
    <cellStyle name="Header2 2 4 6 5 2" xfId="11691" xr:uid="{00000000-0005-0000-0000-00000A2C0000}"/>
    <cellStyle name="Header2 2 4 6 5 3" xfId="11692" xr:uid="{00000000-0005-0000-0000-00000B2C0000}"/>
    <cellStyle name="Header2 2 4 6 6" xfId="11693" xr:uid="{00000000-0005-0000-0000-00000C2C0000}"/>
    <cellStyle name="Header2 2 4 6 6 2" xfId="11694" xr:uid="{00000000-0005-0000-0000-00000D2C0000}"/>
    <cellStyle name="Header2 2 4 6 6 3" xfId="11695" xr:uid="{00000000-0005-0000-0000-00000E2C0000}"/>
    <cellStyle name="Header2 2 4 6 7" xfId="11696" xr:uid="{00000000-0005-0000-0000-00000F2C0000}"/>
    <cellStyle name="Header2 2 4 7" xfId="11697" xr:uid="{00000000-0005-0000-0000-0000102C0000}"/>
    <cellStyle name="Header2 2 4 7 2" xfId="11698" xr:uid="{00000000-0005-0000-0000-0000112C0000}"/>
    <cellStyle name="Header2 2 4 7 3" xfId="11699" xr:uid="{00000000-0005-0000-0000-0000122C0000}"/>
    <cellStyle name="Header2 2 5" xfId="11700" xr:uid="{00000000-0005-0000-0000-0000132C0000}"/>
    <cellStyle name="Header2 2 5 10" xfId="11701" xr:uid="{00000000-0005-0000-0000-0000142C0000}"/>
    <cellStyle name="Header2 2 5 10 2" xfId="11702" xr:uid="{00000000-0005-0000-0000-0000152C0000}"/>
    <cellStyle name="Header2 2 5 10 3" xfId="11703" xr:uid="{00000000-0005-0000-0000-0000162C0000}"/>
    <cellStyle name="Header2 2 5 2" xfId="11704" xr:uid="{00000000-0005-0000-0000-0000172C0000}"/>
    <cellStyle name="Header2 2 5 2 2" xfId="11705" xr:uid="{00000000-0005-0000-0000-0000182C0000}"/>
    <cellStyle name="Header2 2 5 2 2 2" xfId="11706" xr:uid="{00000000-0005-0000-0000-0000192C0000}"/>
    <cellStyle name="Header2 2 5 2 2 3" xfId="11707" xr:uid="{00000000-0005-0000-0000-00001A2C0000}"/>
    <cellStyle name="Header2 2 5 2 3" xfId="11708" xr:uid="{00000000-0005-0000-0000-00001B2C0000}"/>
    <cellStyle name="Header2 2 5 2 3 2" xfId="11709" xr:uid="{00000000-0005-0000-0000-00001C2C0000}"/>
    <cellStyle name="Header2 2 5 2 3 3" xfId="11710" xr:uid="{00000000-0005-0000-0000-00001D2C0000}"/>
    <cellStyle name="Header2 2 5 2 4" xfId="11711" xr:uid="{00000000-0005-0000-0000-00001E2C0000}"/>
    <cellStyle name="Header2 2 5 2 4 2" xfId="11712" xr:uid="{00000000-0005-0000-0000-00001F2C0000}"/>
    <cellStyle name="Header2 2 5 2 4 3" xfId="11713" xr:uid="{00000000-0005-0000-0000-0000202C0000}"/>
    <cellStyle name="Header2 2 5 2 5" xfId="11714" xr:uid="{00000000-0005-0000-0000-0000212C0000}"/>
    <cellStyle name="Header2 2 5 2 5 2" xfId="11715" xr:uid="{00000000-0005-0000-0000-0000222C0000}"/>
    <cellStyle name="Header2 2 5 2 5 3" xfId="11716" xr:uid="{00000000-0005-0000-0000-0000232C0000}"/>
    <cellStyle name="Header2 2 5 2 6" xfId="11717" xr:uid="{00000000-0005-0000-0000-0000242C0000}"/>
    <cellStyle name="Header2 2 5 2 6 2" xfId="11718" xr:uid="{00000000-0005-0000-0000-0000252C0000}"/>
    <cellStyle name="Header2 2 5 2 6 3" xfId="11719" xr:uid="{00000000-0005-0000-0000-0000262C0000}"/>
    <cellStyle name="Header2 2 5 2 7" xfId="11720" xr:uid="{00000000-0005-0000-0000-0000272C0000}"/>
    <cellStyle name="Header2 2 5 2 8" xfId="11721" xr:uid="{00000000-0005-0000-0000-0000282C0000}"/>
    <cellStyle name="Header2 2 5 3" xfId="11722" xr:uid="{00000000-0005-0000-0000-0000292C0000}"/>
    <cellStyle name="Header2 2 5 3 2" xfId="11723" xr:uid="{00000000-0005-0000-0000-00002A2C0000}"/>
    <cellStyle name="Header2 2 5 3 2 2" xfId="11724" xr:uid="{00000000-0005-0000-0000-00002B2C0000}"/>
    <cellStyle name="Header2 2 5 3 2 3" xfId="11725" xr:uid="{00000000-0005-0000-0000-00002C2C0000}"/>
    <cellStyle name="Header2 2 5 3 3" xfId="11726" xr:uid="{00000000-0005-0000-0000-00002D2C0000}"/>
    <cellStyle name="Header2 2 5 3 3 2" xfId="11727" xr:uid="{00000000-0005-0000-0000-00002E2C0000}"/>
    <cellStyle name="Header2 2 5 3 3 3" xfId="11728" xr:uid="{00000000-0005-0000-0000-00002F2C0000}"/>
    <cellStyle name="Header2 2 5 3 4" xfId="11729" xr:uid="{00000000-0005-0000-0000-0000302C0000}"/>
    <cellStyle name="Header2 2 5 3 4 2" xfId="11730" xr:uid="{00000000-0005-0000-0000-0000312C0000}"/>
    <cellStyle name="Header2 2 5 3 4 3" xfId="11731" xr:uid="{00000000-0005-0000-0000-0000322C0000}"/>
    <cellStyle name="Header2 2 5 3 5" xfId="11732" xr:uid="{00000000-0005-0000-0000-0000332C0000}"/>
    <cellStyle name="Header2 2 5 3 5 2" xfId="11733" xr:uid="{00000000-0005-0000-0000-0000342C0000}"/>
    <cellStyle name="Header2 2 5 3 5 3" xfId="11734" xr:uid="{00000000-0005-0000-0000-0000352C0000}"/>
    <cellStyle name="Header2 2 5 3 6" xfId="11735" xr:uid="{00000000-0005-0000-0000-0000362C0000}"/>
    <cellStyle name="Header2 2 5 3 6 2" xfId="11736" xr:uid="{00000000-0005-0000-0000-0000372C0000}"/>
    <cellStyle name="Header2 2 5 3 6 3" xfId="11737" xr:uid="{00000000-0005-0000-0000-0000382C0000}"/>
    <cellStyle name="Header2 2 5 3 7" xfId="11738" xr:uid="{00000000-0005-0000-0000-0000392C0000}"/>
    <cellStyle name="Header2 2 5 3 8" xfId="11739" xr:uid="{00000000-0005-0000-0000-00003A2C0000}"/>
    <cellStyle name="Header2 2 5 4" xfId="11740" xr:uid="{00000000-0005-0000-0000-00003B2C0000}"/>
    <cellStyle name="Header2 2 5 4 2" xfId="11741" xr:uid="{00000000-0005-0000-0000-00003C2C0000}"/>
    <cellStyle name="Header2 2 5 4 2 2" xfId="11742" xr:uid="{00000000-0005-0000-0000-00003D2C0000}"/>
    <cellStyle name="Header2 2 5 4 2 3" xfId="11743" xr:uid="{00000000-0005-0000-0000-00003E2C0000}"/>
    <cellStyle name="Header2 2 5 4 3" xfId="11744" xr:uid="{00000000-0005-0000-0000-00003F2C0000}"/>
    <cellStyle name="Header2 2 5 4 3 2" xfId="11745" xr:uid="{00000000-0005-0000-0000-0000402C0000}"/>
    <cellStyle name="Header2 2 5 4 3 3" xfId="11746" xr:uid="{00000000-0005-0000-0000-0000412C0000}"/>
    <cellStyle name="Header2 2 5 4 4" xfId="11747" xr:uid="{00000000-0005-0000-0000-0000422C0000}"/>
    <cellStyle name="Header2 2 5 4 4 2" xfId="11748" xr:uid="{00000000-0005-0000-0000-0000432C0000}"/>
    <cellStyle name="Header2 2 5 4 4 3" xfId="11749" xr:uid="{00000000-0005-0000-0000-0000442C0000}"/>
    <cellStyle name="Header2 2 5 4 5" xfId="11750" xr:uid="{00000000-0005-0000-0000-0000452C0000}"/>
    <cellStyle name="Header2 2 5 4 5 2" xfId="11751" xr:uid="{00000000-0005-0000-0000-0000462C0000}"/>
    <cellStyle name="Header2 2 5 4 5 3" xfId="11752" xr:uid="{00000000-0005-0000-0000-0000472C0000}"/>
    <cellStyle name="Header2 2 5 4 6" xfId="11753" xr:uid="{00000000-0005-0000-0000-0000482C0000}"/>
    <cellStyle name="Header2 2 5 4 6 2" xfId="11754" xr:uid="{00000000-0005-0000-0000-0000492C0000}"/>
    <cellStyle name="Header2 2 5 4 6 3" xfId="11755" xr:uid="{00000000-0005-0000-0000-00004A2C0000}"/>
    <cellStyle name="Header2 2 5 4 7" xfId="11756" xr:uid="{00000000-0005-0000-0000-00004B2C0000}"/>
    <cellStyle name="Header2 2 5 5" xfId="11757" xr:uid="{00000000-0005-0000-0000-00004C2C0000}"/>
    <cellStyle name="Header2 2 5 5 2" xfId="11758" xr:uid="{00000000-0005-0000-0000-00004D2C0000}"/>
    <cellStyle name="Header2 2 5 5 2 2" xfId="11759" xr:uid="{00000000-0005-0000-0000-00004E2C0000}"/>
    <cellStyle name="Header2 2 5 5 2 3" xfId="11760" xr:uid="{00000000-0005-0000-0000-00004F2C0000}"/>
    <cellStyle name="Header2 2 5 5 3" xfId="11761" xr:uid="{00000000-0005-0000-0000-0000502C0000}"/>
    <cellStyle name="Header2 2 5 5 3 2" xfId="11762" xr:uid="{00000000-0005-0000-0000-0000512C0000}"/>
    <cellStyle name="Header2 2 5 5 3 3" xfId="11763" xr:uid="{00000000-0005-0000-0000-0000522C0000}"/>
    <cellStyle name="Header2 2 5 5 4" xfId="11764" xr:uid="{00000000-0005-0000-0000-0000532C0000}"/>
    <cellStyle name="Header2 2 5 5 4 2" xfId="11765" xr:uid="{00000000-0005-0000-0000-0000542C0000}"/>
    <cellStyle name="Header2 2 5 5 4 3" xfId="11766" xr:uid="{00000000-0005-0000-0000-0000552C0000}"/>
    <cellStyle name="Header2 2 5 5 5" xfId="11767" xr:uid="{00000000-0005-0000-0000-0000562C0000}"/>
    <cellStyle name="Header2 2 5 5 5 2" xfId="11768" xr:uid="{00000000-0005-0000-0000-0000572C0000}"/>
    <cellStyle name="Header2 2 5 5 5 3" xfId="11769" xr:uid="{00000000-0005-0000-0000-0000582C0000}"/>
    <cellStyle name="Header2 2 5 5 6" xfId="11770" xr:uid="{00000000-0005-0000-0000-0000592C0000}"/>
    <cellStyle name="Header2 2 5 5 6 2" xfId="11771" xr:uid="{00000000-0005-0000-0000-00005A2C0000}"/>
    <cellStyle name="Header2 2 5 5 6 3" xfId="11772" xr:uid="{00000000-0005-0000-0000-00005B2C0000}"/>
    <cellStyle name="Header2 2 5 5 7" xfId="11773" xr:uid="{00000000-0005-0000-0000-00005C2C0000}"/>
    <cellStyle name="Header2 2 5 6" xfId="11774" xr:uid="{00000000-0005-0000-0000-00005D2C0000}"/>
    <cellStyle name="Header2 2 5 6 2" xfId="11775" xr:uid="{00000000-0005-0000-0000-00005E2C0000}"/>
    <cellStyle name="Header2 2 5 6 3" xfId="11776" xr:uid="{00000000-0005-0000-0000-00005F2C0000}"/>
    <cellStyle name="Header2 2 5 7" xfId="11777" xr:uid="{00000000-0005-0000-0000-0000602C0000}"/>
    <cellStyle name="Header2 2 5 7 2" xfId="11778" xr:uid="{00000000-0005-0000-0000-0000612C0000}"/>
    <cellStyle name="Header2 2 5 7 3" xfId="11779" xr:uid="{00000000-0005-0000-0000-0000622C0000}"/>
    <cellStyle name="Header2 2 5 8" xfId="11780" xr:uid="{00000000-0005-0000-0000-0000632C0000}"/>
    <cellStyle name="Header2 2 5 8 2" xfId="11781" xr:uid="{00000000-0005-0000-0000-0000642C0000}"/>
    <cellStyle name="Header2 2 5 8 3" xfId="11782" xr:uid="{00000000-0005-0000-0000-0000652C0000}"/>
    <cellStyle name="Header2 2 5 9" xfId="11783" xr:uid="{00000000-0005-0000-0000-0000662C0000}"/>
    <cellStyle name="Header2 2 5 9 2" xfId="11784" xr:uid="{00000000-0005-0000-0000-0000672C0000}"/>
    <cellStyle name="Header2 2 5 9 3" xfId="11785" xr:uid="{00000000-0005-0000-0000-0000682C0000}"/>
    <cellStyle name="Header2 2 6" xfId="11786" xr:uid="{00000000-0005-0000-0000-0000692C0000}"/>
    <cellStyle name="Header2 2 6 2" xfId="11787" xr:uid="{00000000-0005-0000-0000-00006A2C0000}"/>
    <cellStyle name="Header2 2 6 2 2" xfId="11788" xr:uid="{00000000-0005-0000-0000-00006B2C0000}"/>
    <cellStyle name="Header2 2 6 2 3" xfId="11789" xr:uid="{00000000-0005-0000-0000-00006C2C0000}"/>
    <cellStyle name="Header2 2 6 3" xfId="11790" xr:uid="{00000000-0005-0000-0000-00006D2C0000}"/>
    <cellStyle name="Header2 2 6 3 2" xfId="11791" xr:uid="{00000000-0005-0000-0000-00006E2C0000}"/>
    <cellStyle name="Header2 2 6 3 3" xfId="11792" xr:uid="{00000000-0005-0000-0000-00006F2C0000}"/>
    <cellStyle name="Header2 2 6 4" xfId="11793" xr:uid="{00000000-0005-0000-0000-0000702C0000}"/>
    <cellStyle name="Header2 2 6 4 2" xfId="11794" xr:uid="{00000000-0005-0000-0000-0000712C0000}"/>
    <cellStyle name="Header2 2 6 4 3" xfId="11795" xr:uid="{00000000-0005-0000-0000-0000722C0000}"/>
    <cellStyle name="Header2 2 6 5" xfId="11796" xr:uid="{00000000-0005-0000-0000-0000732C0000}"/>
    <cellStyle name="Header2 2 6 5 2" xfId="11797" xr:uid="{00000000-0005-0000-0000-0000742C0000}"/>
    <cellStyle name="Header2 2 6 5 3" xfId="11798" xr:uid="{00000000-0005-0000-0000-0000752C0000}"/>
    <cellStyle name="Header2 2 6 6" xfId="11799" xr:uid="{00000000-0005-0000-0000-0000762C0000}"/>
    <cellStyle name="Header2 2 6 6 2" xfId="11800" xr:uid="{00000000-0005-0000-0000-0000772C0000}"/>
    <cellStyle name="Header2 2 6 6 3" xfId="11801" xr:uid="{00000000-0005-0000-0000-0000782C0000}"/>
    <cellStyle name="Header2 2 6 7" xfId="11802" xr:uid="{00000000-0005-0000-0000-0000792C0000}"/>
    <cellStyle name="Header2 2 6 8" xfId="11803" xr:uid="{00000000-0005-0000-0000-00007A2C0000}"/>
    <cellStyle name="Header2 2 7" xfId="11804" xr:uid="{00000000-0005-0000-0000-00007B2C0000}"/>
    <cellStyle name="Header2 2 7 2" xfId="11805" xr:uid="{00000000-0005-0000-0000-00007C2C0000}"/>
    <cellStyle name="Header2 2 7 2 2" xfId="11806" xr:uid="{00000000-0005-0000-0000-00007D2C0000}"/>
    <cellStyle name="Header2 2 7 2 3" xfId="11807" xr:uid="{00000000-0005-0000-0000-00007E2C0000}"/>
    <cellStyle name="Header2 2 7 3" xfId="11808" xr:uid="{00000000-0005-0000-0000-00007F2C0000}"/>
    <cellStyle name="Header2 2 7 3 2" xfId="11809" xr:uid="{00000000-0005-0000-0000-0000802C0000}"/>
    <cellStyle name="Header2 2 7 3 3" xfId="11810" xr:uid="{00000000-0005-0000-0000-0000812C0000}"/>
    <cellStyle name="Header2 2 7 4" xfId="11811" xr:uid="{00000000-0005-0000-0000-0000822C0000}"/>
    <cellStyle name="Header2 2 7 4 2" xfId="11812" xr:uid="{00000000-0005-0000-0000-0000832C0000}"/>
    <cellStyle name="Header2 2 7 4 3" xfId="11813" xr:uid="{00000000-0005-0000-0000-0000842C0000}"/>
    <cellStyle name="Header2 2 7 5" xfId="11814" xr:uid="{00000000-0005-0000-0000-0000852C0000}"/>
    <cellStyle name="Header2 2 7 5 2" xfId="11815" xr:uid="{00000000-0005-0000-0000-0000862C0000}"/>
    <cellStyle name="Header2 2 7 5 3" xfId="11816" xr:uid="{00000000-0005-0000-0000-0000872C0000}"/>
    <cellStyle name="Header2 2 7 6" xfId="11817" xr:uid="{00000000-0005-0000-0000-0000882C0000}"/>
    <cellStyle name="Header2 2 7 6 2" xfId="11818" xr:uid="{00000000-0005-0000-0000-0000892C0000}"/>
    <cellStyle name="Header2 2 7 6 3" xfId="11819" xr:uid="{00000000-0005-0000-0000-00008A2C0000}"/>
    <cellStyle name="Header2 2 7 7" xfId="11820" xr:uid="{00000000-0005-0000-0000-00008B2C0000}"/>
    <cellStyle name="Header2 2 7 8" xfId="11821" xr:uid="{00000000-0005-0000-0000-00008C2C0000}"/>
    <cellStyle name="Header2 2 8" xfId="11822" xr:uid="{00000000-0005-0000-0000-00008D2C0000}"/>
    <cellStyle name="Header2 2 8 2" xfId="11823" xr:uid="{00000000-0005-0000-0000-00008E2C0000}"/>
    <cellStyle name="Header2 2 8 2 2" xfId="11824" xr:uid="{00000000-0005-0000-0000-00008F2C0000}"/>
    <cellStyle name="Header2 2 8 2 3" xfId="11825" xr:uid="{00000000-0005-0000-0000-0000902C0000}"/>
    <cellStyle name="Header2 2 8 3" xfId="11826" xr:uid="{00000000-0005-0000-0000-0000912C0000}"/>
    <cellStyle name="Header2 2 8 3 2" xfId="11827" xr:uid="{00000000-0005-0000-0000-0000922C0000}"/>
    <cellStyle name="Header2 2 8 3 3" xfId="11828" xr:uid="{00000000-0005-0000-0000-0000932C0000}"/>
    <cellStyle name="Header2 2 8 4" xfId="11829" xr:uid="{00000000-0005-0000-0000-0000942C0000}"/>
    <cellStyle name="Header2 2 8 4 2" xfId="11830" xr:uid="{00000000-0005-0000-0000-0000952C0000}"/>
    <cellStyle name="Header2 2 8 4 3" xfId="11831" xr:uid="{00000000-0005-0000-0000-0000962C0000}"/>
    <cellStyle name="Header2 2 8 5" xfId="11832" xr:uid="{00000000-0005-0000-0000-0000972C0000}"/>
    <cellStyle name="Header2 2 8 5 2" xfId="11833" xr:uid="{00000000-0005-0000-0000-0000982C0000}"/>
    <cellStyle name="Header2 2 8 5 3" xfId="11834" xr:uid="{00000000-0005-0000-0000-0000992C0000}"/>
    <cellStyle name="Header2 2 8 6" xfId="11835" xr:uid="{00000000-0005-0000-0000-00009A2C0000}"/>
    <cellStyle name="Header2 2 8 6 2" xfId="11836" xr:uid="{00000000-0005-0000-0000-00009B2C0000}"/>
    <cellStyle name="Header2 2 8 6 3" xfId="11837" xr:uid="{00000000-0005-0000-0000-00009C2C0000}"/>
    <cellStyle name="Header2 2 8 7" xfId="11838" xr:uid="{00000000-0005-0000-0000-00009D2C0000}"/>
    <cellStyle name="Header2 2 9" xfId="11839" xr:uid="{00000000-0005-0000-0000-00009E2C0000}"/>
    <cellStyle name="Header2 2 9 2" xfId="11840" xr:uid="{00000000-0005-0000-0000-00009F2C0000}"/>
    <cellStyle name="Header2 2 9 2 2" xfId="11841" xr:uid="{00000000-0005-0000-0000-0000A02C0000}"/>
    <cellStyle name="Header2 2 9 2 3" xfId="11842" xr:uid="{00000000-0005-0000-0000-0000A12C0000}"/>
    <cellStyle name="Header2 2 9 3" xfId="11843" xr:uid="{00000000-0005-0000-0000-0000A22C0000}"/>
    <cellStyle name="Header2 2 9 3 2" xfId="11844" xr:uid="{00000000-0005-0000-0000-0000A32C0000}"/>
    <cellStyle name="Header2 2 9 3 3" xfId="11845" xr:uid="{00000000-0005-0000-0000-0000A42C0000}"/>
    <cellStyle name="Header2 2 9 4" xfId="11846" xr:uid="{00000000-0005-0000-0000-0000A52C0000}"/>
    <cellStyle name="Header2 2 9 4 2" xfId="11847" xr:uid="{00000000-0005-0000-0000-0000A62C0000}"/>
    <cellStyle name="Header2 2 9 4 3" xfId="11848" xr:uid="{00000000-0005-0000-0000-0000A72C0000}"/>
    <cellStyle name="Header2 2 9 5" xfId="11849" xr:uid="{00000000-0005-0000-0000-0000A82C0000}"/>
    <cellStyle name="Header2 2 9 5 2" xfId="11850" xr:uid="{00000000-0005-0000-0000-0000A92C0000}"/>
    <cellStyle name="Header2 2 9 5 3" xfId="11851" xr:uid="{00000000-0005-0000-0000-0000AA2C0000}"/>
    <cellStyle name="Header2 2 9 6" xfId="11852" xr:uid="{00000000-0005-0000-0000-0000AB2C0000}"/>
    <cellStyle name="Header2 2 9 6 2" xfId="11853" xr:uid="{00000000-0005-0000-0000-0000AC2C0000}"/>
    <cellStyle name="Header2 2 9 6 3" xfId="11854" xr:uid="{00000000-0005-0000-0000-0000AD2C0000}"/>
    <cellStyle name="Header2 2 9 7" xfId="11855" xr:uid="{00000000-0005-0000-0000-0000AE2C0000}"/>
    <cellStyle name="Header2 3" xfId="11856" xr:uid="{00000000-0005-0000-0000-0000AF2C0000}"/>
    <cellStyle name="Header2 3 2" xfId="11857" xr:uid="{00000000-0005-0000-0000-0000B02C0000}"/>
    <cellStyle name="Header2 3 2 2" xfId="11858" xr:uid="{00000000-0005-0000-0000-0000B12C0000}"/>
    <cellStyle name="Header2 3 2 2 2" xfId="11859" xr:uid="{00000000-0005-0000-0000-0000B22C0000}"/>
    <cellStyle name="Header2 3 2 2 3" xfId="11860" xr:uid="{00000000-0005-0000-0000-0000B32C0000}"/>
    <cellStyle name="Header2 3 2 3" xfId="11861" xr:uid="{00000000-0005-0000-0000-0000B42C0000}"/>
    <cellStyle name="Header2 3 2 3 2" xfId="11862" xr:uid="{00000000-0005-0000-0000-0000B52C0000}"/>
    <cellStyle name="Header2 3 2 3 3" xfId="11863" xr:uid="{00000000-0005-0000-0000-0000B62C0000}"/>
    <cellStyle name="Header2 3 2 4" xfId="11864" xr:uid="{00000000-0005-0000-0000-0000B72C0000}"/>
    <cellStyle name="Header2 3 2 4 2" xfId="11865" xr:uid="{00000000-0005-0000-0000-0000B82C0000}"/>
    <cellStyle name="Header2 3 2 4 3" xfId="11866" xr:uid="{00000000-0005-0000-0000-0000B92C0000}"/>
    <cellStyle name="Header2 3 2 5" xfId="11867" xr:uid="{00000000-0005-0000-0000-0000BA2C0000}"/>
    <cellStyle name="Header2 3 2 5 2" xfId="11868" xr:uid="{00000000-0005-0000-0000-0000BB2C0000}"/>
    <cellStyle name="Header2 3 2 5 3" xfId="11869" xr:uid="{00000000-0005-0000-0000-0000BC2C0000}"/>
    <cellStyle name="Header2 3 2 6" xfId="11870" xr:uid="{00000000-0005-0000-0000-0000BD2C0000}"/>
    <cellStyle name="Header2 3 2 6 2" xfId="11871" xr:uid="{00000000-0005-0000-0000-0000BE2C0000}"/>
    <cellStyle name="Header2 3 2 6 3" xfId="11872" xr:uid="{00000000-0005-0000-0000-0000BF2C0000}"/>
    <cellStyle name="Header2 3 2 7" xfId="11873" xr:uid="{00000000-0005-0000-0000-0000C02C0000}"/>
    <cellStyle name="Header2 3 2 8" xfId="11874" xr:uid="{00000000-0005-0000-0000-0000C12C0000}"/>
    <cellStyle name="Header2 3 3" xfId="11875" xr:uid="{00000000-0005-0000-0000-0000C22C0000}"/>
    <cellStyle name="Header2 3 3 2" xfId="11876" xr:uid="{00000000-0005-0000-0000-0000C32C0000}"/>
    <cellStyle name="Header2 3 3 2 2" xfId="11877" xr:uid="{00000000-0005-0000-0000-0000C42C0000}"/>
    <cellStyle name="Header2 3 3 2 3" xfId="11878" xr:uid="{00000000-0005-0000-0000-0000C52C0000}"/>
    <cellStyle name="Header2 3 3 3" xfId="11879" xr:uid="{00000000-0005-0000-0000-0000C62C0000}"/>
    <cellStyle name="Header2 3 3 3 2" xfId="11880" xr:uid="{00000000-0005-0000-0000-0000C72C0000}"/>
    <cellStyle name="Header2 3 3 3 3" xfId="11881" xr:uid="{00000000-0005-0000-0000-0000C82C0000}"/>
    <cellStyle name="Header2 3 3 4" xfId="11882" xr:uid="{00000000-0005-0000-0000-0000C92C0000}"/>
    <cellStyle name="Header2 3 3 4 2" xfId="11883" xr:uid="{00000000-0005-0000-0000-0000CA2C0000}"/>
    <cellStyle name="Header2 3 3 4 3" xfId="11884" xr:uid="{00000000-0005-0000-0000-0000CB2C0000}"/>
    <cellStyle name="Header2 3 3 5" xfId="11885" xr:uid="{00000000-0005-0000-0000-0000CC2C0000}"/>
    <cellStyle name="Header2 3 3 5 2" xfId="11886" xr:uid="{00000000-0005-0000-0000-0000CD2C0000}"/>
    <cellStyle name="Header2 3 3 5 3" xfId="11887" xr:uid="{00000000-0005-0000-0000-0000CE2C0000}"/>
    <cellStyle name="Header2 3 3 6" xfId="11888" xr:uid="{00000000-0005-0000-0000-0000CF2C0000}"/>
    <cellStyle name="Header2 3 3 6 2" xfId="11889" xr:uid="{00000000-0005-0000-0000-0000D02C0000}"/>
    <cellStyle name="Header2 3 3 6 3" xfId="11890" xr:uid="{00000000-0005-0000-0000-0000D12C0000}"/>
    <cellStyle name="Header2 3 3 7" xfId="11891" xr:uid="{00000000-0005-0000-0000-0000D22C0000}"/>
    <cellStyle name="Header2 3 3 8" xfId="11892" xr:uid="{00000000-0005-0000-0000-0000D32C0000}"/>
    <cellStyle name="Header2 3 4" xfId="11893" xr:uid="{00000000-0005-0000-0000-0000D42C0000}"/>
    <cellStyle name="Header2 3 4 2" xfId="11894" xr:uid="{00000000-0005-0000-0000-0000D52C0000}"/>
    <cellStyle name="Header2 3 4 2 2" xfId="11895" xr:uid="{00000000-0005-0000-0000-0000D62C0000}"/>
    <cellStyle name="Header2 3 4 2 3" xfId="11896" xr:uid="{00000000-0005-0000-0000-0000D72C0000}"/>
    <cellStyle name="Header2 3 4 3" xfId="11897" xr:uid="{00000000-0005-0000-0000-0000D82C0000}"/>
    <cellStyle name="Header2 3 4 3 2" xfId="11898" xr:uid="{00000000-0005-0000-0000-0000D92C0000}"/>
    <cellStyle name="Header2 3 4 3 3" xfId="11899" xr:uid="{00000000-0005-0000-0000-0000DA2C0000}"/>
    <cellStyle name="Header2 3 4 4" xfId="11900" xr:uid="{00000000-0005-0000-0000-0000DB2C0000}"/>
    <cellStyle name="Header2 3 4 4 2" xfId="11901" xr:uid="{00000000-0005-0000-0000-0000DC2C0000}"/>
    <cellStyle name="Header2 3 4 4 3" xfId="11902" xr:uid="{00000000-0005-0000-0000-0000DD2C0000}"/>
    <cellStyle name="Header2 3 4 5" xfId="11903" xr:uid="{00000000-0005-0000-0000-0000DE2C0000}"/>
    <cellStyle name="Header2 3 4 5 2" xfId="11904" xr:uid="{00000000-0005-0000-0000-0000DF2C0000}"/>
    <cellStyle name="Header2 3 4 5 3" xfId="11905" xr:uid="{00000000-0005-0000-0000-0000E02C0000}"/>
    <cellStyle name="Header2 3 4 6" xfId="11906" xr:uid="{00000000-0005-0000-0000-0000E12C0000}"/>
    <cellStyle name="Header2 3 4 6 2" xfId="11907" xr:uid="{00000000-0005-0000-0000-0000E22C0000}"/>
    <cellStyle name="Header2 3 4 6 3" xfId="11908" xr:uid="{00000000-0005-0000-0000-0000E32C0000}"/>
    <cellStyle name="Header2 3 4 7" xfId="11909" xr:uid="{00000000-0005-0000-0000-0000E42C0000}"/>
    <cellStyle name="Header2 3 4 8" xfId="11910" xr:uid="{00000000-0005-0000-0000-0000E52C0000}"/>
    <cellStyle name="Header2 3 5" xfId="11911" xr:uid="{00000000-0005-0000-0000-0000E62C0000}"/>
    <cellStyle name="Header2 3 5 2" xfId="11912" xr:uid="{00000000-0005-0000-0000-0000E72C0000}"/>
    <cellStyle name="Header2 3 5 2 2" xfId="11913" xr:uid="{00000000-0005-0000-0000-0000E82C0000}"/>
    <cellStyle name="Header2 3 5 2 3" xfId="11914" xr:uid="{00000000-0005-0000-0000-0000E92C0000}"/>
    <cellStyle name="Header2 3 5 3" xfId="11915" xr:uid="{00000000-0005-0000-0000-0000EA2C0000}"/>
    <cellStyle name="Header2 3 5 3 2" xfId="11916" xr:uid="{00000000-0005-0000-0000-0000EB2C0000}"/>
    <cellStyle name="Header2 3 5 3 3" xfId="11917" xr:uid="{00000000-0005-0000-0000-0000EC2C0000}"/>
    <cellStyle name="Header2 3 5 4" xfId="11918" xr:uid="{00000000-0005-0000-0000-0000ED2C0000}"/>
    <cellStyle name="Header2 3 5 4 2" xfId="11919" xr:uid="{00000000-0005-0000-0000-0000EE2C0000}"/>
    <cellStyle name="Header2 3 5 4 3" xfId="11920" xr:uid="{00000000-0005-0000-0000-0000EF2C0000}"/>
    <cellStyle name="Header2 3 5 5" xfId="11921" xr:uid="{00000000-0005-0000-0000-0000F02C0000}"/>
    <cellStyle name="Header2 3 5 5 2" xfId="11922" xr:uid="{00000000-0005-0000-0000-0000F12C0000}"/>
    <cellStyle name="Header2 3 5 5 3" xfId="11923" xr:uid="{00000000-0005-0000-0000-0000F22C0000}"/>
    <cellStyle name="Header2 3 5 6" xfId="11924" xr:uid="{00000000-0005-0000-0000-0000F32C0000}"/>
    <cellStyle name="Header2 3 5 6 2" xfId="11925" xr:uid="{00000000-0005-0000-0000-0000F42C0000}"/>
    <cellStyle name="Header2 3 5 6 3" xfId="11926" xr:uid="{00000000-0005-0000-0000-0000F52C0000}"/>
    <cellStyle name="Header2 3 5 7" xfId="11927" xr:uid="{00000000-0005-0000-0000-0000F62C0000}"/>
    <cellStyle name="Header2 3 6" xfId="11928" xr:uid="{00000000-0005-0000-0000-0000F72C0000}"/>
    <cellStyle name="Header2 3 6 2" xfId="11929" xr:uid="{00000000-0005-0000-0000-0000F82C0000}"/>
    <cellStyle name="Header2 3 6 2 2" xfId="11930" xr:uid="{00000000-0005-0000-0000-0000F92C0000}"/>
    <cellStyle name="Header2 3 6 2 3" xfId="11931" xr:uid="{00000000-0005-0000-0000-0000FA2C0000}"/>
    <cellStyle name="Header2 3 6 3" xfId="11932" xr:uid="{00000000-0005-0000-0000-0000FB2C0000}"/>
    <cellStyle name="Header2 3 6 3 2" xfId="11933" xr:uid="{00000000-0005-0000-0000-0000FC2C0000}"/>
    <cellStyle name="Header2 3 6 3 3" xfId="11934" xr:uid="{00000000-0005-0000-0000-0000FD2C0000}"/>
    <cellStyle name="Header2 3 6 4" xfId="11935" xr:uid="{00000000-0005-0000-0000-0000FE2C0000}"/>
    <cellStyle name="Header2 3 6 4 2" xfId="11936" xr:uid="{00000000-0005-0000-0000-0000FF2C0000}"/>
    <cellStyle name="Header2 3 6 4 3" xfId="11937" xr:uid="{00000000-0005-0000-0000-0000002D0000}"/>
    <cellStyle name="Header2 3 6 5" xfId="11938" xr:uid="{00000000-0005-0000-0000-0000012D0000}"/>
    <cellStyle name="Header2 3 6 5 2" xfId="11939" xr:uid="{00000000-0005-0000-0000-0000022D0000}"/>
    <cellStyle name="Header2 3 6 5 3" xfId="11940" xr:uid="{00000000-0005-0000-0000-0000032D0000}"/>
    <cellStyle name="Header2 3 6 6" xfId="11941" xr:uid="{00000000-0005-0000-0000-0000042D0000}"/>
    <cellStyle name="Header2 3 6 6 2" xfId="11942" xr:uid="{00000000-0005-0000-0000-0000052D0000}"/>
    <cellStyle name="Header2 3 6 6 3" xfId="11943" xr:uid="{00000000-0005-0000-0000-0000062D0000}"/>
    <cellStyle name="Header2 3 6 7" xfId="11944" xr:uid="{00000000-0005-0000-0000-0000072D0000}"/>
    <cellStyle name="Header2 3 7" xfId="11945" xr:uid="{00000000-0005-0000-0000-0000082D0000}"/>
    <cellStyle name="Header2 3 7 2" xfId="11946" xr:uid="{00000000-0005-0000-0000-0000092D0000}"/>
    <cellStyle name="Header2 3 7 3" xfId="11947" xr:uid="{00000000-0005-0000-0000-00000A2D0000}"/>
    <cellStyle name="Header2 4" xfId="11948" xr:uid="{00000000-0005-0000-0000-00000B2D0000}"/>
    <cellStyle name="Header2 4 10" xfId="11949" xr:uid="{00000000-0005-0000-0000-00000C2D0000}"/>
    <cellStyle name="Header2 4 10 2" xfId="11950" xr:uid="{00000000-0005-0000-0000-00000D2D0000}"/>
    <cellStyle name="Header2 4 10 3" xfId="11951" xr:uid="{00000000-0005-0000-0000-00000E2D0000}"/>
    <cellStyle name="Header2 4 2" xfId="11952" xr:uid="{00000000-0005-0000-0000-00000F2D0000}"/>
    <cellStyle name="Header2 4 2 2" xfId="11953" xr:uid="{00000000-0005-0000-0000-0000102D0000}"/>
    <cellStyle name="Header2 4 2 2 2" xfId="11954" xr:uid="{00000000-0005-0000-0000-0000112D0000}"/>
    <cellStyle name="Header2 4 2 2 3" xfId="11955" xr:uid="{00000000-0005-0000-0000-0000122D0000}"/>
    <cellStyle name="Header2 4 2 3" xfId="11956" xr:uid="{00000000-0005-0000-0000-0000132D0000}"/>
    <cellStyle name="Header2 4 2 3 2" xfId="11957" xr:uid="{00000000-0005-0000-0000-0000142D0000}"/>
    <cellStyle name="Header2 4 2 3 3" xfId="11958" xr:uid="{00000000-0005-0000-0000-0000152D0000}"/>
    <cellStyle name="Header2 4 2 4" xfId="11959" xr:uid="{00000000-0005-0000-0000-0000162D0000}"/>
    <cellStyle name="Header2 4 2 4 2" xfId="11960" xr:uid="{00000000-0005-0000-0000-0000172D0000}"/>
    <cellStyle name="Header2 4 2 4 3" xfId="11961" xr:uid="{00000000-0005-0000-0000-0000182D0000}"/>
    <cellStyle name="Header2 4 2 5" xfId="11962" xr:uid="{00000000-0005-0000-0000-0000192D0000}"/>
    <cellStyle name="Header2 4 2 5 2" xfId="11963" xr:uid="{00000000-0005-0000-0000-00001A2D0000}"/>
    <cellStyle name="Header2 4 2 5 3" xfId="11964" xr:uid="{00000000-0005-0000-0000-00001B2D0000}"/>
    <cellStyle name="Header2 4 2 6" xfId="11965" xr:uid="{00000000-0005-0000-0000-00001C2D0000}"/>
    <cellStyle name="Header2 4 2 6 2" xfId="11966" xr:uid="{00000000-0005-0000-0000-00001D2D0000}"/>
    <cellStyle name="Header2 4 2 6 3" xfId="11967" xr:uid="{00000000-0005-0000-0000-00001E2D0000}"/>
    <cellStyle name="Header2 4 2 7" xfId="11968" xr:uid="{00000000-0005-0000-0000-00001F2D0000}"/>
    <cellStyle name="Header2 4 2 8" xfId="11969" xr:uid="{00000000-0005-0000-0000-0000202D0000}"/>
    <cellStyle name="Header2 4 3" xfId="11970" xr:uid="{00000000-0005-0000-0000-0000212D0000}"/>
    <cellStyle name="Header2 4 3 2" xfId="11971" xr:uid="{00000000-0005-0000-0000-0000222D0000}"/>
    <cellStyle name="Header2 4 3 2 2" xfId="11972" xr:uid="{00000000-0005-0000-0000-0000232D0000}"/>
    <cellStyle name="Header2 4 3 2 3" xfId="11973" xr:uid="{00000000-0005-0000-0000-0000242D0000}"/>
    <cellStyle name="Header2 4 3 3" xfId="11974" xr:uid="{00000000-0005-0000-0000-0000252D0000}"/>
    <cellStyle name="Header2 4 3 3 2" xfId="11975" xr:uid="{00000000-0005-0000-0000-0000262D0000}"/>
    <cellStyle name="Header2 4 3 3 3" xfId="11976" xr:uid="{00000000-0005-0000-0000-0000272D0000}"/>
    <cellStyle name="Header2 4 3 4" xfId="11977" xr:uid="{00000000-0005-0000-0000-0000282D0000}"/>
    <cellStyle name="Header2 4 3 4 2" xfId="11978" xr:uid="{00000000-0005-0000-0000-0000292D0000}"/>
    <cellStyle name="Header2 4 3 4 3" xfId="11979" xr:uid="{00000000-0005-0000-0000-00002A2D0000}"/>
    <cellStyle name="Header2 4 3 5" xfId="11980" xr:uid="{00000000-0005-0000-0000-00002B2D0000}"/>
    <cellStyle name="Header2 4 3 5 2" xfId="11981" xr:uid="{00000000-0005-0000-0000-00002C2D0000}"/>
    <cellStyle name="Header2 4 3 5 3" xfId="11982" xr:uid="{00000000-0005-0000-0000-00002D2D0000}"/>
    <cellStyle name="Header2 4 3 6" xfId="11983" xr:uid="{00000000-0005-0000-0000-00002E2D0000}"/>
    <cellStyle name="Header2 4 3 6 2" xfId="11984" xr:uid="{00000000-0005-0000-0000-00002F2D0000}"/>
    <cellStyle name="Header2 4 3 6 3" xfId="11985" xr:uid="{00000000-0005-0000-0000-0000302D0000}"/>
    <cellStyle name="Header2 4 3 7" xfId="11986" xr:uid="{00000000-0005-0000-0000-0000312D0000}"/>
    <cellStyle name="Header2 4 3 8" xfId="11987" xr:uid="{00000000-0005-0000-0000-0000322D0000}"/>
    <cellStyle name="Header2 4 4" xfId="11988" xr:uid="{00000000-0005-0000-0000-0000332D0000}"/>
    <cellStyle name="Header2 4 4 2" xfId="11989" xr:uid="{00000000-0005-0000-0000-0000342D0000}"/>
    <cellStyle name="Header2 4 4 2 2" xfId="11990" xr:uid="{00000000-0005-0000-0000-0000352D0000}"/>
    <cellStyle name="Header2 4 4 2 3" xfId="11991" xr:uid="{00000000-0005-0000-0000-0000362D0000}"/>
    <cellStyle name="Header2 4 4 3" xfId="11992" xr:uid="{00000000-0005-0000-0000-0000372D0000}"/>
    <cellStyle name="Header2 4 4 3 2" xfId="11993" xr:uid="{00000000-0005-0000-0000-0000382D0000}"/>
    <cellStyle name="Header2 4 4 3 3" xfId="11994" xr:uid="{00000000-0005-0000-0000-0000392D0000}"/>
    <cellStyle name="Header2 4 4 4" xfId="11995" xr:uid="{00000000-0005-0000-0000-00003A2D0000}"/>
    <cellStyle name="Header2 4 4 4 2" xfId="11996" xr:uid="{00000000-0005-0000-0000-00003B2D0000}"/>
    <cellStyle name="Header2 4 4 4 3" xfId="11997" xr:uid="{00000000-0005-0000-0000-00003C2D0000}"/>
    <cellStyle name="Header2 4 4 5" xfId="11998" xr:uid="{00000000-0005-0000-0000-00003D2D0000}"/>
    <cellStyle name="Header2 4 4 5 2" xfId="11999" xr:uid="{00000000-0005-0000-0000-00003E2D0000}"/>
    <cellStyle name="Header2 4 4 5 3" xfId="12000" xr:uid="{00000000-0005-0000-0000-00003F2D0000}"/>
    <cellStyle name="Header2 4 4 6" xfId="12001" xr:uid="{00000000-0005-0000-0000-0000402D0000}"/>
    <cellStyle name="Header2 4 4 6 2" xfId="12002" xr:uid="{00000000-0005-0000-0000-0000412D0000}"/>
    <cellStyle name="Header2 4 4 6 3" xfId="12003" xr:uid="{00000000-0005-0000-0000-0000422D0000}"/>
    <cellStyle name="Header2 4 4 7" xfId="12004" xr:uid="{00000000-0005-0000-0000-0000432D0000}"/>
    <cellStyle name="Header2 4 5" xfId="12005" xr:uid="{00000000-0005-0000-0000-0000442D0000}"/>
    <cellStyle name="Header2 4 5 2" xfId="12006" xr:uid="{00000000-0005-0000-0000-0000452D0000}"/>
    <cellStyle name="Header2 4 5 2 2" xfId="12007" xr:uid="{00000000-0005-0000-0000-0000462D0000}"/>
    <cellStyle name="Header2 4 5 2 3" xfId="12008" xr:uid="{00000000-0005-0000-0000-0000472D0000}"/>
    <cellStyle name="Header2 4 5 3" xfId="12009" xr:uid="{00000000-0005-0000-0000-0000482D0000}"/>
    <cellStyle name="Header2 4 5 3 2" xfId="12010" xr:uid="{00000000-0005-0000-0000-0000492D0000}"/>
    <cellStyle name="Header2 4 5 3 3" xfId="12011" xr:uid="{00000000-0005-0000-0000-00004A2D0000}"/>
    <cellStyle name="Header2 4 5 4" xfId="12012" xr:uid="{00000000-0005-0000-0000-00004B2D0000}"/>
    <cellStyle name="Header2 4 5 4 2" xfId="12013" xr:uid="{00000000-0005-0000-0000-00004C2D0000}"/>
    <cellStyle name="Header2 4 5 4 3" xfId="12014" xr:uid="{00000000-0005-0000-0000-00004D2D0000}"/>
    <cellStyle name="Header2 4 5 5" xfId="12015" xr:uid="{00000000-0005-0000-0000-00004E2D0000}"/>
    <cellStyle name="Header2 4 5 5 2" xfId="12016" xr:uid="{00000000-0005-0000-0000-00004F2D0000}"/>
    <cellStyle name="Header2 4 5 5 3" xfId="12017" xr:uid="{00000000-0005-0000-0000-0000502D0000}"/>
    <cellStyle name="Header2 4 5 6" xfId="12018" xr:uid="{00000000-0005-0000-0000-0000512D0000}"/>
    <cellStyle name="Header2 4 5 6 2" xfId="12019" xr:uid="{00000000-0005-0000-0000-0000522D0000}"/>
    <cellStyle name="Header2 4 5 6 3" xfId="12020" xr:uid="{00000000-0005-0000-0000-0000532D0000}"/>
    <cellStyle name="Header2 4 5 7" xfId="12021" xr:uid="{00000000-0005-0000-0000-0000542D0000}"/>
    <cellStyle name="Header2 4 6" xfId="12022" xr:uid="{00000000-0005-0000-0000-0000552D0000}"/>
    <cellStyle name="Header2 4 6 2" xfId="12023" xr:uid="{00000000-0005-0000-0000-0000562D0000}"/>
    <cellStyle name="Header2 4 6 3" xfId="12024" xr:uid="{00000000-0005-0000-0000-0000572D0000}"/>
    <cellStyle name="Header2 4 7" xfId="12025" xr:uid="{00000000-0005-0000-0000-0000582D0000}"/>
    <cellStyle name="Header2 4 7 2" xfId="12026" xr:uid="{00000000-0005-0000-0000-0000592D0000}"/>
    <cellStyle name="Header2 4 7 3" xfId="12027" xr:uid="{00000000-0005-0000-0000-00005A2D0000}"/>
    <cellStyle name="Header2 4 8" xfId="12028" xr:uid="{00000000-0005-0000-0000-00005B2D0000}"/>
    <cellStyle name="Header2 4 8 2" xfId="12029" xr:uid="{00000000-0005-0000-0000-00005C2D0000}"/>
    <cellStyle name="Header2 4 8 3" xfId="12030" xr:uid="{00000000-0005-0000-0000-00005D2D0000}"/>
    <cellStyle name="Header2 4 9" xfId="12031" xr:uid="{00000000-0005-0000-0000-00005E2D0000}"/>
    <cellStyle name="Header2 4 9 2" xfId="12032" xr:uid="{00000000-0005-0000-0000-00005F2D0000}"/>
    <cellStyle name="Header2 4 9 3" xfId="12033" xr:uid="{00000000-0005-0000-0000-0000602D0000}"/>
    <cellStyle name="Header2 5" xfId="12034" xr:uid="{00000000-0005-0000-0000-0000612D0000}"/>
    <cellStyle name="Header2 5 2" xfId="12035" xr:uid="{00000000-0005-0000-0000-0000622D0000}"/>
    <cellStyle name="Header2 5 2 2" xfId="12036" xr:uid="{00000000-0005-0000-0000-0000632D0000}"/>
    <cellStyle name="Header2 5 2 3" xfId="12037" xr:uid="{00000000-0005-0000-0000-0000642D0000}"/>
    <cellStyle name="Header2 5 3" xfId="12038" xr:uid="{00000000-0005-0000-0000-0000652D0000}"/>
    <cellStyle name="Header2 5 3 2" xfId="12039" xr:uid="{00000000-0005-0000-0000-0000662D0000}"/>
    <cellStyle name="Header2 5 3 3" xfId="12040" xr:uid="{00000000-0005-0000-0000-0000672D0000}"/>
    <cellStyle name="Header2 5 4" xfId="12041" xr:uid="{00000000-0005-0000-0000-0000682D0000}"/>
    <cellStyle name="Header2 5 4 2" xfId="12042" xr:uid="{00000000-0005-0000-0000-0000692D0000}"/>
    <cellStyle name="Header2 5 4 3" xfId="12043" xr:uid="{00000000-0005-0000-0000-00006A2D0000}"/>
    <cellStyle name="Header2 5 5" xfId="12044" xr:uid="{00000000-0005-0000-0000-00006B2D0000}"/>
    <cellStyle name="Header2 5 5 2" xfId="12045" xr:uid="{00000000-0005-0000-0000-00006C2D0000}"/>
    <cellStyle name="Header2 5 5 3" xfId="12046" xr:uid="{00000000-0005-0000-0000-00006D2D0000}"/>
    <cellStyle name="Header2 5 6" xfId="12047" xr:uid="{00000000-0005-0000-0000-00006E2D0000}"/>
    <cellStyle name="Header2 5 6 2" xfId="12048" xr:uid="{00000000-0005-0000-0000-00006F2D0000}"/>
    <cellStyle name="Header2 5 6 3" xfId="12049" xr:uid="{00000000-0005-0000-0000-0000702D0000}"/>
    <cellStyle name="Header2 5 7" xfId="12050" xr:uid="{00000000-0005-0000-0000-0000712D0000}"/>
    <cellStyle name="Header2 5 8" xfId="12051" xr:uid="{00000000-0005-0000-0000-0000722D0000}"/>
    <cellStyle name="Header2 6" xfId="12052" xr:uid="{00000000-0005-0000-0000-0000732D0000}"/>
    <cellStyle name="Header2 6 2" xfId="12053" xr:uid="{00000000-0005-0000-0000-0000742D0000}"/>
    <cellStyle name="Header2 6 2 2" xfId="12054" xr:uid="{00000000-0005-0000-0000-0000752D0000}"/>
    <cellStyle name="Header2 6 2 3" xfId="12055" xr:uid="{00000000-0005-0000-0000-0000762D0000}"/>
    <cellStyle name="Header2 6 3" xfId="12056" xr:uid="{00000000-0005-0000-0000-0000772D0000}"/>
    <cellStyle name="Header2 6 3 2" xfId="12057" xr:uid="{00000000-0005-0000-0000-0000782D0000}"/>
    <cellStyle name="Header2 6 3 3" xfId="12058" xr:uid="{00000000-0005-0000-0000-0000792D0000}"/>
    <cellStyle name="Header2 6 4" xfId="12059" xr:uid="{00000000-0005-0000-0000-00007A2D0000}"/>
    <cellStyle name="Header2 6 4 2" xfId="12060" xr:uid="{00000000-0005-0000-0000-00007B2D0000}"/>
    <cellStyle name="Header2 6 4 3" xfId="12061" xr:uid="{00000000-0005-0000-0000-00007C2D0000}"/>
    <cellStyle name="Header2 6 5" xfId="12062" xr:uid="{00000000-0005-0000-0000-00007D2D0000}"/>
    <cellStyle name="Header2 6 5 2" xfId="12063" xr:uid="{00000000-0005-0000-0000-00007E2D0000}"/>
    <cellStyle name="Header2 6 5 3" xfId="12064" xr:uid="{00000000-0005-0000-0000-00007F2D0000}"/>
    <cellStyle name="Header2 6 6" xfId="12065" xr:uid="{00000000-0005-0000-0000-0000802D0000}"/>
    <cellStyle name="Header2 6 6 2" xfId="12066" xr:uid="{00000000-0005-0000-0000-0000812D0000}"/>
    <cellStyle name="Header2 6 6 3" xfId="12067" xr:uid="{00000000-0005-0000-0000-0000822D0000}"/>
    <cellStyle name="Header2 6 7" xfId="12068" xr:uid="{00000000-0005-0000-0000-0000832D0000}"/>
    <cellStyle name="Header2 6 8" xfId="12069" xr:uid="{00000000-0005-0000-0000-0000842D0000}"/>
    <cellStyle name="Header2 7" xfId="12070" xr:uid="{00000000-0005-0000-0000-0000852D0000}"/>
    <cellStyle name="Header2 7 2" xfId="12071" xr:uid="{00000000-0005-0000-0000-0000862D0000}"/>
    <cellStyle name="Header2 7 2 2" xfId="12072" xr:uid="{00000000-0005-0000-0000-0000872D0000}"/>
    <cellStyle name="Header2 7 2 3" xfId="12073" xr:uid="{00000000-0005-0000-0000-0000882D0000}"/>
    <cellStyle name="Header2 7 3" xfId="12074" xr:uid="{00000000-0005-0000-0000-0000892D0000}"/>
    <cellStyle name="Header2 7 3 2" xfId="12075" xr:uid="{00000000-0005-0000-0000-00008A2D0000}"/>
    <cellStyle name="Header2 7 3 3" xfId="12076" xr:uid="{00000000-0005-0000-0000-00008B2D0000}"/>
    <cellStyle name="Header2 7 4" xfId="12077" xr:uid="{00000000-0005-0000-0000-00008C2D0000}"/>
    <cellStyle name="Header2 7 4 2" xfId="12078" xr:uid="{00000000-0005-0000-0000-00008D2D0000}"/>
    <cellStyle name="Header2 7 4 3" xfId="12079" xr:uid="{00000000-0005-0000-0000-00008E2D0000}"/>
    <cellStyle name="Header2 7 5" xfId="12080" xr:uid="{00000000-0005-0000-0000-00008F2D0000}"/>
    <cellStyle name="Header2 7 5 2" xfId="12081" xr:uid="{00000000-0005-0000-0000-0000902D0000}"/>
    <cellStyle name="Header2 7 5 3" xfId="12082" xr:uid="{00000000-0005-0000-0000-0000912D0000}"/>
    <cellStyle name="Header2 7 6" xfId="12083" xr:uid="{00000000-0005-0000-0000-0000922D0000}"/>
    <cellStyle name="Header2 7 6 2" xfId="12084" xr:uid="{00000000-0005-0000-0000-0000932D0000}"/>
    <cellStyle name="Header2 7 6 3" xfId="12085" xr:uid="{00000000-0005-0000-0000-0000942D0000}"/>
    <cellStyle name="Header2 7 7" xfId="12086" xr:uid="{00000000-0005-0000-0000-0000952D0000}"/>
    <cellStyle name="Header2 8" xfId="12087" xr:uid="{00000000-0005-0000-0000-0000962D0000}"/>
    <cellStyle name="Header2 8 2" xfId="12088" xr:uid="{00000000-0005-0000-0000-0000972D0000}"/>
    <cellStyle name="Header2 8 2 2" xfId="12089" xr:uid="{00000000-0005-0000-0000-0000982D0000}"/>
    <cellStyle name="Header2 8 2 3" xfId="12090" xr:uid="{00000000-0005-0000-0000-0000992D0000}"/>
    <cellStyle name="Header2 8 3" xfId="12091" xr:uid="{00000000-0005-0000-0000-00009A2D0000}"/>
    <cellStyle name="Header2 8 3 2" xfId="12092" xr:uid="{00000000-0005-0000-0000-00009B2D0000}"/>
    <cellStyle name="Header2 8 3 3" xfId="12093" xr:uid="{00000000-0005-0000-0000-00009C2D0000}"/>
    <cellStyle name="Header2 8 4" xfId="12094" xr:uid="{00000000-0005-0000-0000-00009D2D0000}"/>
    <cellStyle name="Header2 8 4 2" xfId="12095" xr:uid="{00000000-0005-0000-0000-00009E2D0000}"/>
    <cellStyle name="Header2 8 4 3" xfId="12096" xr:uid="{00000000-0005-0000-0000-00009F2D0000}"/>
    <cellStyle name="Header2 8 5" xfId="12097" xr:uid="{00000000-0005-0000-0000-0000A02D0000}"/>
    <cellStyle name="Header2 8 5 2" xfId="12098" xr:uid="{00000000-0005-0000-0000-0000A12D0000}"/>
    <cellStyle name="Header2 8 5 3" xfId="12099" xr:uid="{00000000-0005-0000-0000-0000A22D0000}"/>
    <cellStyle name="Header2 8 6" xfId="12100" xr:uid="{00000000-0005-0000-0000-0000A32D0000}"/>
    <cellStyle name="Header2 8 6 2" xfId="12101" xr:uid="{00000000-0005-0000-0000-0000A42D0000}"/>
    <cellStyle name="Header2 8 6 3" xfId="12102" xr:uid="{00000000-0005-0000-0000-0000A52D0000}"/>
    <cellStyle name="Header2 8 7" xfId="12103" xr:uid="{00000000-0005-0000-0000-0000A62D0000}"/>
    <cellStyle name="Heading 1 10" xfId="12104" xr:uid="{00000000-0005-0000-0000-0000A72D0000}"/>
    <cellStyle name="Heading 1 11" xfId="12105" xr:uid="{00000000-0005-0000-0000-0000A82D0000}"/>
    <cellStyle name="Heading 1 12" xfId="12106" xr:uid="{00000000-0005-0000-0000-0000A92D0000}"/>
    <cellStyle name="Heading 1 13" xfId="12107" xr:uid="{00000000-0005-0000-0000-0000AA2D0000}"/>
    <cellStyle name="Heading 1 14" xfId="12108" xr:uid="{00000000-0005-0000-0000-0000AB2D0000}"/>
    <cellStyle name="Heading 1 15" xfId="12109" xr:uid="{00000000-0005-0000-0000-0000AC2D0000}"/>
    <cellStyle name="Heading 1 16" xfId="12110" xr:uid="{00000000-0005-0000-0000-0000AD2D0000}"/>
    <cellStyle name="Heading 1 17" xfId="12111" xr:uid="{00000000-0005-0000-0000-0000AE2D0000}"/>
    <cellStyle name="Heading 1 18" xfId="12112" xr:uid="{00000000-0005-0000-0000-0000AF2D0000}"/>
    <cellStyle name="Heading 1 19" xfId="12113" xr:uid="{00000000-0005-0000-0000-0000B02D0000}"/>
    <cellStyle name="Heading 1 2" xfId="2037" xr:uid="{00000000-0005-0000-0000-0000B12D0000}"/>
    <cellStyle name="Heading 1 2 2" xfId="12114" xr:uid="{00000000-0005-0000-0000-0000B22D0000}"/>
    <cellStyle name="Heading 1 2 2 2" xfId="12115" xr:uid="{00000000-0005-0000-0000-0000B32D0000}"/>
    <cellStyle name="Heading 1 20" xfId="12116" xr:uid="{00000000-0005-0000-0000-0000B42D0000}"/>
    <cellStyle name="Heading 1 21" xfId="12117" xr:uid="{00000000-0005-0000-0000-0000B52D0000}"/>
    <cellStyle name="Heading 1 3" xfId="2038" xr:uid="{00000000-0005-0000-0000-0000B62D0000}"/>
    <cellStyle name="Heading 1 3 2" xfId="12118" xr:uid="{00000000-0005-0000-0000-0000B72D0000}"/>
    <cellStyle name="Heading 1 3 3" xfId="12119" xr:uid="{00000000-0005-0000-0000-0000B82D0000}"/>
    <cellStyle name="Heading 1 4" xfId="12120" xr:uid="{00000000-0005-0000-0000-0000B92D0000}"/>
    <cellStyle name="Heading 1 5" xfId="12121" xr:uid="{00000000-0005-0000-0000-0000BA2D0000}"/>
    <cellStyle name="Heading 1 6" xfId="12122" xr:uid="{00000000-0005-0000-0000-0000BB2D0000}"/>
    <cellStyle name="Heading 1 7" xfId="12123" xr:uid="{00000000-0005-0000-0000-0000BC2D0000}"/>
    <cellStyle name="Heading 1 8" xfId="12124" xr:uid="{00000000-0005-0000-0000-0000BD2D0000}"/>
    <cellStyle name="Heading 1 9" xfId="12125" xr:uid="{00000000-0005-0000-0000-0000BE2D0000}"/>
    <cellStyle name="Heading 2 10" xfId="12126" xr:uid="{00000000-0005-0000-0000-0000BF2D0000}"/>
    <cellStyle name="Heading 2 11" xfId="12127" xr:uid="{00000000-0005-0000-0000-0000C02D0000}"/>
    <cellStyle name="Heading 2 12" xfId="12128" xr:uid="{00000000-0005-0000-0000-0000C12D0000}"/>
    <cellStyle name="Heading 2 13" xfId="12129" xr:uid="{00000000-0005-0000-0000-0000C22D0000}"/>
    <cellStyle name="Heading 2 14" xfId="12130" xr:uid="{00000000-0005-0000-0000-0000C32D0000}"/>
    <cellStyle name="Heading 2 15" xfId="12131" xr:uid="{00000000-0005-0000-0000-0000C42D0000}"/>
    <cellStyle name="Heading 2 16" xfId="12132" xr:uid="{00000000-0005-0000-0000-0000C52D0000}"/>
    <cellStyle name="Heading 2 17" xfId="12133" xr:uid="{00000000-0005-0000-0000-0000C62D0000}"/>
    <cellStyle name="Heading 2 18" xfId="12134" xr:uid="{00000000-0005-0000-0000-0000C72D0000}"/>
    <cellStyle name="Heading 2 19" xfId="12135" xr:uid="{00000000-0005-0000-0000-0000C82D0000}"/>
    <cellStyle name="Heading 2 2" xfId="2039" xr:uid="{00000000-0005-0000-0000-0000C92D0000}"/>
    <cellStyle name="Heading 2 2 2" xfId="12136" xr:uid="{00000000-0005-0000-0000-0000CA2D0000}"/>
    <cellStyle name="Heading 2 2 2 2" xfId="12137" xr:uid="{00000000-0005-0000-0000-0000CB2D0000}"/>
    <cellStyle name="Heading 2 20" xfId="12138" xr:uid="{00000000-0005-0000-0000-0000CC2D0000}"/>
    <cellStyle name="Heading 2 21" xfId="12139" xr:uid="{00000000-0005-0000-0000-0000CD2D0000}"/>
    <cellStyle name="Heading 2 3" xfId="2040" xr:uid="{00000000-0005-0000-0000-0000CE2D0000}"/>
    <cellStyle name="Heading 2 3 2" xfId="12140" xr:uid="{00000000-0005-0000-0000-0000CF2D0000}"/>
    <cellStyle name="Heading 2 3 3" xfId="12141" xr:uid="{00000000-0005-0000-0000-0000D02D0000}"/>
    <cellStyle name="Heading 2 4" xfId="12142" xr:uid="{00000000-0005-0000-0000-0000D12D0000}"/>
    <cellStyle name="Heading 2 5" xfId="12143" xr:uid="{00000000-0005-0000-0000-0000D22D0000}"/>
    <cellStyle name="Heading 2 6" xfId="12144" xr:uid="{00000000-0005-0000-0000-0000D32D0000}"/>
    <cellStyle name="Heading 2 7" xfId="12145" xr:uid="{00000000-0005-0000-0000-0000D42D0000}"/>
    <cellStyle name="Heading 2 8" xfId="12146" xr:uid="{00000000-0005-0000-0000-0000D52D0000}"/>
    <cellStyle name="Heading 2 9" xfId="12147" xr:uid="{00000000-0005-0000-0000-0000D62D0000}"/>
    <cellStyle name="Heading 3 2" xfId="2041" xr:uid="{00000000-0005-0000-0000-0000D72D0000}"/>
    <cellStyle name="Heading 3 2 2" xfId="12148" xr:uid="{00000000-0005-0000-0000-0000D82D0000}"/>
    <cellStyle name="Heading 3 3" xfId="2042" xr:uid="{00000000-0005-0000-0000-0000D92D0000}"/>
    <cellStyle name="Heading 3 4" xfId="12149" xr:uid="{00000000-0005-0000-0000-0000DA2D0000}"/>
    <cellStyle name="Heading 4 2" xfId="2043" xr:uid="{00000000-0005-0000-0000-0000DB2D0000}"/>
    <cellStyle name="Heading 4 2 2" xfId="12150" xr:uid="{00000000-0005-0000-0000-0000DC2D0000}"/>
    <cellStyle name="Heading 4 3" xfId="2044" xr:uid="{00000000-0005-0000-0000-0000DD2D0000}"/>
    <cellStyle name="Heading 4 4" xfId="12151" xr:uid="{00000000-0005-0000-0000-0000DE2D0000}"/>
    <cellStyle name="Heading1" xfId="12152" xr:uid="{00000000-0005-0000-0000-0000DF2D0000}"/>
    <cellStyle name="Heading2" xfId="12153" xr:uid="{00000000-0005-0000-0000-0000E02D0000}"/>
    <cellStyle name="Heading3" xfId="12154" xr:uid="{00000000-0005-0000-0000-0000E12D0000}"/>
    <cellStyle name="HEADINGS" xfId="12155" xr:uid="{00000000-0005-0000-0000-0000E22D0000}"/>
    <cellStyle name="HEADINGSTOP" xfId="12156" xr:uid="{00000000-0005-0000-0000-0000E32D0000}"/>
    <cellStyle name="Helv 9 ctr wrap" xfId="12157" xr:uid="{00000000-0005-0000-0000-0000E42D0000}"/>
    <cellStyle name="Helv 9 lft wrap" xfId="12158" xr:uid="{00000000-0005-0000-0000-0000E52D0000}"/>
    <cellStyle name="helvetica" xfId="12159" xr:uid="{00000000-0005-0000-0000-0000E62D0000}"/>
    <cellStyle name="HIGHLIGHT" xfId="12160" xr:uid="{00000000-0005-0000-0000-0000E72D0000}"/>
    <cellStyle name="Hooman" xfId="12161" xr:uid="{00000000-0005-0000-0000-0000E82D0000}"/>
    <cellStyle name="Hyperlink 2" xfId="12162" xr:uid="{00000000-0005-0000-0000-0000E92D0000}"/>
    <cellStyle name="Hyperlink 2 2" xfId="12163" xr:uid="{00000000-0005-0000-0000-0000EA2D0000}"/>
    <cellStyle name="Hyperlink 3" xfId="12164" xr:uid="{00000000-0005-0000-0000-0000EB2D0000}"/>
    <cellStyle name="Hyperlink 3 2" xfId="12165" xr:uid="{00000000-0005-0000-0000-0000EC2D0000}"/>
    <cellStyle name="Hyperlink 4" xfId="12166" xr:uid="{00000000-0005-0000-0000-0000ED2D0000}"/>
    <cellStyle name="Input %" xfId="12167" xr:uid="{00000000-0005-0000-0000-0000EE2D0000}"/>
    <cellStyle name="Input [yellow]" xfId="2045" xr:uid="{00000000-0005-0000-0000-0000EF2D0000}"/>
    <cellStyle name="Input [yellow] 2" xfId="2046" xr:uid="{00000000-0005-0000-0000-0000F02D0000}"/>
    <cellStyle name="Input [yellow] 2 10" xfId="12168" xr:uid="{00000000-0005-0000-0000-0000F12D0000}"/>
    <cellStyle name="Input [yellow] 2 10 2" xfId="12169" xr:uid="{00000000-0005-0000-0000-0000F22D0000}"/>
    <cellStyle name="Input [yellow] 2 10 3" xfId="12170" xr:uid="{00000000-0005-0000-0000-0000F32D0000}"/>
    <cellStyle name="Input [yellow] 2 2" xfId="12171" xr:uid="{00000000-0005-0000-0000-0000F42D0000}"/>
    <cellStyle name="Input [yellow] 2 2 10" xfId="12172" xr:uid="{00000000-0005-0000-0000-0000F52D0000}"/>
    <cellStyle name="Input [yellow] 2 2 10 2" xfId="12173" xr:uid="{00000000-0005-0000-0000-0000F62D0000}"/>
    <cellStyle name="Input [yellow] 2 2 10 3" xfId="12174" xr:uid="{00000000-0005-0000-0000-0000F72D0000}"/>
    <cellStyle name="Input [yellow] 2 2 11" xfId="12175" xr:uid="{00000000-0005-0000-0000-0000F82D0000}"/>
    <cellStyle name="Input [yellow] 2 2 11 2" xfId="12176" xr:uid="{00000000-0005-0000-0000-0000F92D0000}"/>
    <cellStyle name="Input [yellow] 2 2 11 3" xfId="12177" xr:uid="{00000000-0005-0000-0000-0000FA2D0000}"/>
    <cellStyle name="Input [yellow] 2 2 12" xfId="12178" xr:uid="{00000000-0005-0000-0000-0000FB2D0000}"/>
    <cellStyle name="Input [yellow] 2 2 12 2" xfId="12179" xr:uid="{00000000-0005-0000-0000-0000FC2D0000}"/>
    <cellStyle name="Input [yellow] 2 2 12 3" xfId="12180" xr:uid="{00000000-0005-0000-0000-0000FD2D0000}"/>
    <cellStyle name="Input [yellow] 2 2 13" xfId="12181" xr:uid="{00000000-0005-0000-0000-0000FE2D0000}"/>
    <cellStyle name="Input [yellow] 2 2 13 2" xfId="12182" xr:uid="{00000000-0005-0000-0000-0000FF2D0000}"/>
    <cellStyle name="Input [yellow] 2 2 13 3" xfId="12183" xr:uid="{00000000-0005-0000-0000-0000002E0000}"/>
    <cellStyle name="Input [yellow] 2 2 14" xfId="12184" xr:uid="{00000000-0005-0000-0000-0000012E0000}"/>
    <cellStyle name="Input [yellow] 2 2 14 2" xfId="12185" xr:uid="{00000000-0005-0000-0000-0000022E0000}"/>
    <cellStyle name="Input [yellow] 2 2 14 3" xfId="12186" xr:uid="{00000000-0005-0000-0000-0000032E0000}"/>
    <cellStyle name="Input [yellow] 2 2 2" xfId="12187" xr:uid="{00000000-0005-0000-0000-0000042E0000}"/>
    <cellStyle name="Input [yellow] 2 2 2 2" xfId="12188" xr:uid="{00000000-0005-0000-0000-0000052E0000}"/>
    <cellStyle name="Input [yellow] 2 2 2 2 2" xfId="12189" xr:uid="{00000000-0005-0000-0000-0000062E0000}"/>
    <cellStyle name="Input [yellow] 2 2 2 2 2 2" xfId="12190" xr:uid="{00000000-0005-0000-0000-0000072E0000}"/>
    <cellStyle name="Input [yellow] 2 2 2 2 2 3" xfId="12191" xr:uid="{00000000-0005-0000-0000-0000082E0000}"/>
    <cellStyle name="Input [yellow] 2 2 2 2 3" xfId="12192" xr:uid="{00000000-0005-0000-0000-0000092E0000}"/>
    <cellStyle name="Input [yellow] 2 2 2 2 3 2" xfId="12193" xr:uid="{00000000-0005-0000-0000-00000A2E0000}"/>
    <cellStyle name="Input [yellow] 2 2 2 2 3 3" xfId="12194" xr:uid="{00000000-0005-0000-0000-00000B2E0000}"/>
    <cellStyle name="Input [yellow] 2 2 2 2 4" xfId="12195" xr:uid="{00000000-0005-0000-0000-00000C2E0000}"/>
    <cellStyle name="Input [yellow] 2 2 2 2 4 2" xfId="12196" xr:uid="{00000000-0005-0000-0000-00000D2E0000}"/>
    <cellStyle name="Input [yellow] 2 2 2 2 4 3" xfId="12197" xr:uid="{00000000-0005-0000-0000-00000E2E0000}"/>
    <cellStyle name="Input [yellow] 2 2 2 2 5" xfId="12198" xr:uid="{00000000-0005-0000-0000-00000F2E0000}"/>
    <cellStyle name="Input [yellow] 2 2 2 2 5 2" xfId="12199" xr:uid="{00000000-0005-0000-0000-0000102E0000}"/>
    <cellStyle name="Input [yellow] 2 2 2 2 5 3" xfId="12200" xr:uid="{00000000-0005-0000-0000-0000112E0000}"/>
    <cellStyle name="Input [yellow] 2 2 2 2 6" xfId="12201" xr:uid="{00000000-0005-0000-0000-0000122E0000}"/>
    <cellStyle name="Input [yellow] 2 2 2 2 6 2" xfId="12202" xr:uid="{00000000-0005-0000-0000-0000132E0000}"/>
    <cellStyle name="Input [yellow] 2 2 2 2 6 3" xfId="12203" xr:uid="{00000000-0005-0000-0000-0000142E0000}"/>
    <cellStyle name="Input [yellow] 2 2 2 2 7" xfId="12204" xr:uid="{00000000-0005-0000-0000-0000152E0000}"/>
    <cellStyle name="Input [yellow] 2 2 2 2 8" xfId="12205" xr:uid="{00000000-0005-0000-0000-0000162E0000}"/>
    <cellStyle name="Input [yellow] 2 2 2 3" xfId="12206" xr:uid="{00000000-0005-0000-0000-0000172E0000}"/>
    <cellStyle name="Input [yellow] 2 2 2 3 2" xfId="12207" xr:uid="{00000000-0005-0000-0000-0000182E0000}"/>
    <cellStyle name="Input [yellow] 2 2 2 3 2 2" xfId="12208" xr:uid="{00000000-0005-0000-0000-0000192E0000}"/>
    <cellStyle name="Input [yellow] 2 2 2 3 2 3" xfId="12209" xr:uid="{00000000-0005-0000-0000-00001A2E0000}"/>
    <cellStyle name="Input [yellow] 2 2 2 3 3" xfId="12210" xr:uid="{00000000-0005-0000-0000-00001B2E0000}"/>
    <cellStyle name="Input [yellow] 2 2 2 3 3 2" xfId="12211" xr:uid="{00000000-0005-0000-0000-00001C2E0000}"/>
    <cellStyle name="Input [yellow] 2 2 2 3 3 3" xfId="12212" xr:uid="{00000000-0005-0000-0000-00001D2E0000}"/>
    <cellStyle name="Input [yellow] 2 2 2 3 4" xfId="12213" xr:uid="{00000000-0005-0000-0000-00001E2E0000}"/>
    <cellStyle name="Input [yellow] 2 2 2 3 4 2" xfId="12214" xr:uid="{00000000-0005-0000-0000-00001F2E0000}"/>
    <cellStyle name="Input [yellow] 2 2 2 3 4 3" xfId="12215" xr:uid="{00000000-0005-0000-0000-0000202E0000}"/>
    <cellStyle name="Input [yellow] 2 2 2 3 5" xfId="12216" xr:uid="{00000000-0005-0000-0000-0000212E0000}"/>
    <cellStyle name="Input [yellow] 2 2 2 3 5 2" xfId="12217" xr:uid="{00000000-0005-0000-0000-0000222E0000}"/>
    <cellStyle name="Input [yellow] 2 2 2 3 5 3" xfId="12218" xr:uid="{00000000-0005-0000-0000-0000232E0000}"/>
    <cellStyle name="Input [yellow] 2 2 2 3 6" xfId="12219" xr:uid="{00000000-0005-0000-0000-0000242E0000}"/>
    <cellStyle name="Input [yellow] 2 2 2 3 6 2" xfId="12220" xr:uid="{00000000-0005-0000-0000-0000252E0000}"/>
    <cellStyle name="Input [yellow] 2 2 2 3 6 3" xfId="12221" xr:uid="{00000000-0005-0000-0000-0000262E0000}"/>
    <cellStyle name="Input [yellow] 2 2 2 3 7" xfId="12222" xr:uid="{00000000-0005-0000-0000-0000272E0000}"/>
    <cellStyle name="Input [yellow] 2 2 2 3 8" xfId="12223" xr:uid="{00000000-0005-0000-0000-0000282E0000}"/>
    <cellStyle name="Input [yellow] 2 2 2 4" xfId="12224" xr:uid="{00000000-0005-0000-0000-0000292E0000}"/>
    <cellStyle name="Input [yellow] 2 2 2 4 2" xfId="12225" xr:uid="{00000000-0005-0000-0000-00002A2E0000}"/>
    <cellStyle name="Input [yellow] 2 2 2 4 2 2" xfId="12226" xr:uid="{00000000-0005-0000-0000-00002B2E0000}"/>
    <cellStyle name="Input [yellow] 2 2 2 4 2 3" xfId="12227" xr:uid="{00000000-0005-0000-0000-00002C2E0000}"/>
    <cellStyle name="Input [yellow] 2 2 2 4 3" xfId="12228" xr:uid="{00000000-0005-0000-0000-00002D2E0000}"/>
    <cellStyle name="Input [yellow] 2 2 2 4 3 2" xfId="12229" xr:uid="{00000000-0005-0000-0000-00002E2E0000}"/>
    <cellStyle name="Input [yellow] 2 2 2 4 3 3" xfId="12230" xr:uid="{00000000-0005-0000-0000-00002F2E0000}"/>
    <cellStyle name="Input [yellow] 2 2 2 4 4" xfId="12231" xr:uid="{00000000-0005-0000-0000-0000302E0000}"/>
    <cellStyle name="Input [yellow] 2 2 2 4 4 2" xfId="12232" xr:uid="{00000000-0005-0000-0000-0000312E0000}"/>
    <cellStyle name="Input [yellow] 2 2 2 4 4 3" xfId="12233" xr:uid="{00000000-0005-0000-0000-0000322E0000}"/>
    <cellStyle name="Input [yellow] 2 2 2 4 5" xfId="12234" xr:uid="{00000000-0005-0000-0000-0000332E0000}"/>
    <cellStyle name="Input [yellow] 2 2 2 4 5 2" xfId="12235" xr:uid="{00000000-0005-0000-0000-0000342E0000}"/>
    <cellStyle name="Input [yellow] 2 2 2 4 5 3" xfId="12236" xr:uid="{00000000-0005-0000-0000-0000352E0000}"/>
    <cellStyle name="Input [yellow] 2 2 2 4 6" xfId="12237" xr:uid="{00000000-0005-0000-0000-0000362E0000}"/>
    <cellStyle name="Input [yellow] 2 2 2 4 6 2" xfId="12238" xr:uid="{00000000-0005-0000-0000-0000372E0000}"/>
    <cellStyle name="Input [yellow] 2 2 2 4 6 3" xfId="12239" xr:uid="{00000000-0005-0000-0000-0000382E0000}"/>
    <cellStyle name="Input [yellow] 2 2 2 4 7" xfId="12240" xr:uid="{00000000-0005-0000-0000-0000392E0000}"/>
    <cellStyle name="Input [yellow] 2 2 2 4 8" xfId="12241" xr:uid="{00000000-0005-0000-0000-00003A2E0000}"/>
    <cellStyle name="Input [yellow] 2 2 2 5" xfId="12242" xr:uid="{00000000-0005-0000-0000-00003B2E0000}"/>
    <cellStyle name="Input [yellow] 2 2 2 5 2" xfId="12243" xr:uid="{00000000-0005-0000-0000-00003C2E0000}"/>
    <cellStyle name="Input [yellow] 2 2 2 5 2 2" xfId="12244" xr:uid="{00000000-0005-0000-0000-00003D2E0000}"/>
    <cellStyle name="Input [yellow] 2 2 2 5 2 3" xfId="12245" xr:uid="{00000000-0005-0000-0000-00003E2E0000}"/>
    <cellStyle name="Input [yellow] 2 2 2 5 3" xfId="12246" xr:uid="{00000000-0005-0000-0000-00003F2E0000}"/>
    <cellStyle name="Input [yellow] 2 2 2 5 3 2" xfId="12247" xr:uid="{00000000-0005-0000-0000-0000402E0000}"/>
    <cellStyle name="Input [yellow] 2 2 2 5 3 3" xfId="12248" xr:uid="{00000000-0005-0000-0000-0000412E0000}"/>
    <cellStyle name="Input [yellow] 2 2 2 5 4" xfId="12249" xr:uid="{00000000-0005-0000-0000-0000422E0000}"/>
    <cellStyle name="Input [yellow] 2 2 2 5 4 2" xfId="12250" xr:uid="{00000000-0005-0000-0000-0000432E0000}"/>
    <cellStyle name="Input [yellow] 2 2 2 5 4 3" xfId="12251" xr:uid="{00000000-0005-0000-0000-0000442E0000}"/>
    <cellStyle name="Input [yellow] 2 2 2 5 5" xfId="12252" xr:uid="{00000000-0005-0000-0000-0000452E0000}"/>
    <cellStyle name="Input [yellow] 2 2 2 5 5 2" xfId="12253" xr:uid="{00000000-0005-0000-0000-0000462E0000}"/>
    <cellStyle name="Input [yellow] 2 2 2 5 5 3" xfId="12254" xr:uid="{00000000-0005-0000-0000-0000472E0000}"/>
    <cellStyle name="Input [yellow] 2 2 2 5 6" xfId="12255" xr:uid="{00000000-0005-0000-0000-0000482E0000}"/>
    <cellStyle name="Input [yellow] 2 2 2 5 6 2" xfId="12256" xr:uid="{00000000-0005-0000-0000-0000492E0000}"/>
    <cellStyle name="Input [yellow] 2 2 2 5 6 3" xfId="12257" xr:uid="{00000000-0005-0000-0000-00004A2E0000}"/>
    <cellStyle name="Input [yellow] 2 2 2 5 7" xfId="12258" xr:uid="{00000000-0005-0000-0000-00004B2E0000}"/>
    <cellStyle name="Input [yellow] 2 2 2 6" xfId="12259" xr:uid="{00000000-0005-0000-0000-00004C2E0000}"/>
    <cellStyle name="Input [yellow] 2 2 2 6 2" xfId="12260" xr:uid="{00000000-0005-0000-0000-00004D2E0000}"/>
    <cellStyle name="Input [yellow] 2 2 2 6 2 2" xfId="12261" xr:uid="{00000000-0005-0000-0000-00004E2E0000}"/>
    <cellStyle name="Input [yellow] 2 2 2 6 2 3" xfId="12262" xr:uid="{00000000-0005-0000-0000-00004F2E0000}"/>
    <cellStyle name="Input [yellow] 2 2 2 6 3" xfId="12263" xr:uid="{00000000-0005-0000-0000-0000502E0000}"/>
    <cellStyle name="Input [yellow] 2 2 2 6 3 2" xfId="12264" xr:uid="{00000000-0005-0000-0000-0000512E0000}"/>
    <cellStyle name="Input [yellow] 2 2 2 6 3 3" xfId="12265" xr:uid="{00000000-0005-0000-0000-0000522E0000}"/>
    <cellStyle name="Input [yellow] 2 2 2 6 4" xfId="12266" xr:uid="{00000000-0005-0000-0000-0000532E0000}"/>
    <cellStyle name="Input [yellow] 2 2 2 6 4 2" xfId="12267" xr:uid="{00000000-0005-0000-0000-0000542E0000}"/>
    <cellStyle name="Input [yellow] 2 2 2 6 4 3" xfId="12268" xr:uid="{00000000-0005-0000-0000-0000552E0000}"/>
    <cellStyle name="Input [yellow] 2 2 2 6 5" xfId="12269" xr:uid="{00000000-0005-0000-0000-0000562E0000}"/>
    <cellStyle name="Input [yellow] 2 2 2 6 5 2" xfId="12270" xr:uid="{00000000-0005-0000-0000-0000572E0000}"/>
    <cellStyle name="Input [yellow] 2 2 2 6 5 3" xfId="12271" xr:uid="{00000000-0005-0000-0000-0000582E0000}"/>
    <cellStyle name="Input [yellow] 2 2 2 6 6" xfId="12272" xr:uid="{00000000-0005-0000-0000-0000592E0000}"/>
    <cellStyle name="Input [yellow] 2 2 2 6 6 2" xfId="12273" xr:uid="{00000000-0005-0000-0000-00005A2E0000}"/>
    <cellStyle name="Input [yellow] 2 2 2 6 6 3" xfId="12274" xr:uid="{00000000-0005-0000-0000-00005B2E0000}"/>
    <cellStyle name="Input [yellow] 2 2 2 6 7" xfId="12275" xr:uid="{00000000-0005-0000-0000-00005C2E0000}"/>
    <cellStyle name="Input [yellow] 2 2 2 7" xfId="12276" xr:uid="{00000000-0005-0000-0000-00005D2E0000}"/>
    <cellStyle name="Input [yellow] 2 2 2 7 2" xfId="12277" xr:uid="{00000000-0005-0000-0000-00005E2E0000}"/>
    <cellStyle name="Input [yellow] 2 2 2 7 3" xfId="12278" xr:uid="{00000000-0005-0000-0000-00005F2E0000}"/>
    <cellStyle name="Input [yellow] 2 2 3" xfId="12279" xr:uid="{00000000-0005-0000-0000-0000602E0000}"/>
    <cellStyle name="Input [yellow] 2 2 3 2" xfId="12280" xr:uid="{00000000-0005-0000-0000-0000612E0000}"/>
    <cellStyle name="Input [yellow] 2 2 3 2 2" xfId="12281" xr:uid="{00000000-0005-0000-0000-0000622E0000}"/>
    <cellStyle name="Input [yellow] 2 2 3 2 2 2" xfId="12282" xr:uid="{00000000-0005-0000-0000-0000632E0000}"/>
    <cellStyle name="Input [yellow] 2 2 3 2 2 3" xfId="12283" xr:uid="{00000000-0005-0000-0000-0000642E0000}"/>
    <cellStyle name="Input [yellow] 2 2 3 2 3" xfId="12284" xr:uid="{00000000-0005-0000-0000-0000652E0000}"/>
    <cellStyle name="Input [yellow] 2 2 3 2 3 2" xfId="12285" xr:uid="{00000000-0005-0000-0000-0000662E0000}"/>
    <cellStyle name="Input [yellow] 2 2 3 2 3 3" xfId="12286" xr:uid="{00000000-0005-0000-0000-0000672E0000}"/>
    <cellStyle name="Input [yellow] 2 2 3 2 4" xfId="12287" xr:uid="{00000000-0005-0000-0000-0000682E0000}"/>
    <cellStyle name="Input [yellow] 2 2 3 2 4 2" xfId="12288" xr:uid="{00000000-0005-0000-0000-0000692E0000}"/>
    <cellStyle name="Input [yellow] 2 2 3 2 4 3" xfId="12289" xr:uid="{00000000-0005-0000-0000-00006A2E0000}"/>
    <cellStyle name="Input [yellow] 2 2 3 2 5" xfId="12290" xr:uid="{00000000-0005-0000-0000-00006B2E0000}"/>
    <cellStyle name="Input [yellow] 2 2 3 2 5 2" xfId="12291" xr:uid="{00000000-0005-0000-0000-00006C2E0000}"/>
    <cellStyle name="Input [yellow] 2 2 3 2 5 3" xfId="12292" xr:uid="{00000000-0005-0000-0000-00006D2E0000}"/>
    <cellStyle name="Input [yellow] 2 2 3 2 6" xfId="12293" xr:uid="{00000000-0005-0000-0000-00006E2E0000}"/>
    <cellStyle name="Input [yellow] 2 2 3 2 6 2" xfId="12294" xr:uid="{00000000-0005-0000-0000-00006F2E0000}"/>
    <cellStyle name="Input [yellow] 2 2 3 2 6 3" xfId="12295" xr:uid="{00000000-0005-0000-0000-0000702E0000}"/>
    <cellStyle name="Input [yellow] 2 2 3 2 7" xfId="12296" xr:uid="{00000000-0005-0000-0000-0000712E0000}"/>
    <cellStyle name="Input [yellow] 2 2 3 2 8" xfId="12297" xr:uid="{00000000-0005-0000-0000-0000722E0000}"/>
    <cellStyle name="Input [yellow] 2 2 3 3" xfId="12298" xr:uid="{00000000-0005-0000-0000-0000732E0000}"/>
    <cellStyle name="Input [yellow] 2 2 3 3 2" xfId="12299" xr:uid="{00000000-0005-0000-0000-0000742E0000}"/>
    <cellStyle name="Input [yellow] 2 2 3 3 2 2" xfId="12300" xr:uid="{00000000-0005-0000-0000-0000752E0000}"/>
    <cellStyle name="Input [yellow] 2 2 3 3 2 3" xfId="12301" xr:uid="{00000000-0005-0000-0000-0000762E0000}"/>
    <cellStyle name="Input [yellow] 2 2 3 3 3" xfId="12302" xr:uid="{00000000-0005-0000-0000-0000772E0000}"/>
    <cellStyle name="Input [yellow] 2 2 3 3 3 2" xfId="12303" xr:uid="{00000000-0005-0000-0000-0000782E0000}"/>
    <cellStyle name="Input [yellow] 2 2 3 3 3 3" xfId="12304" xr:uid="{00000000-0005-0000-0000-0000792E0000}"/>
    <cellStyle name="Input [yellow] 2 2 3 3 4" xfId="12305" xr:uid="{00000000-0005-0000-0000-00007A2E0000}"/>
    <cellStyle name="Input [yellow] 2 2 3 3 4 2" xfId="12306" xr:uid="{00000000-0005-0000-0000-00007B2E0000}"/>
    <cellStyle name="Input [yellow] 2 2 3 3 4 3" xfId="12307" xr:uid="{00000000-0005-0000-0000-00007C2E0000}"/>
    <cellStyle name="Input [yellow] 2 2 3 3 5" xfId="12308" xr:uid="{00000000-0005-0000-0000-00007D2E0000}"/>
    <cellStyle name="Input [yellow] 2 2 3 3 5 2" xfId="12309" xr:uid="{00000000-0005-0000-0000-00007E2E0000}"/>
    <cellStyle name="Input [yellow] 2 2 3 3 5 3" xfId="12310" xr:uid="{00000000-0005-0000-0000-00007F2E0000}"/>
    <cellStyle name="Input [yellow] 2 2 3 3 6" xfId="12311" xr:uid="{00000000-0005-0000-0000-0000802E0000}"/>
    <cellStyle name="Input [yellow] 2 2 3 3 6 2" xfId="12312" xr:uid="{00000000-0005-0000-0000-0000812E0000}"/>
    <cellStyle name="Input [yellow] 2 2 3 3 6 3" xfId="12313" xr:uid="{00000000-0005-0000-0000-0000822E0000}"/>
    <cellStyle name="Input [yellow] 2 2 3 3 7" xfId="12314" xr:uid="{00000000-0005-0000-0000-0000832E0000}"/>
    <cellStyle name="Input [yellow] 2 2 3 3 8" xfId="12315" xr:uid="{00000000-0005-0000-0000-0000842E0000}"/>
    <cellStyle name="Input [yellow] 2 2 3 4" xfId="12316" xr:uid="{00000000-0005-0000-0000-0000852E0000}"/>
    <cellStyle name="Input [yellow] 2 2 3 4 2" xfId="12317" xr:uid="{00000000-0005-0000-0000-0000862E0000}"/>
    <cellStyle name="Input [yellow] 2 2 3 4 2 2" xfId="12318" xr:uid="{00000000-0005-0000-0000-0000872E0000}"/>
    <cellStyle name="Input [yellow] 2 2 3 4 2 3" xfId="12319" xr:uid="{00000000-0005-0000-0000-0000882E0000}"/>
    <cellStyle name="Input [yellow] 2 2 3 4 3" xfId="12320" xr:uid="{00000000-0005-0000-0000-0000892E0000}"/>
    <cellStyle name="Input [yellow] 2 2 3 4 3 2" xfId="12321" xr:uid="{00000000-0005-0000-0000-00008A2E0000}"/>
    <cellStyle name="Input [yellow] 2 2 3 4 3 3" xfId="12322" xr:uid="{00000000-0005-0000-0000-00008B2E0000}"/>
    <cellStyle name="Input [yellow] 2 2 3 4 4" xfId="12323" xr:uid="{00000000-0005-0000-0000-00008C2E0000}"/>
    <cellStyle name="Input [yellow] 2 2 3 4 4 2" xfId="12324" xr:uid="{00000000-0005-0000-0000-00008D2E0000}"/>
    <cellStyle name="Input [yellow] 2 2 3 4 4 3" xfId="12325" xr:uid="{00000000-0005-0000-0000-00008E2E0000}"/>
    <cellStyle name="Input [yellow] 2 2 3 4 5" xfId="12326" xr:uid="{00000000-0005-0000-0000-00008F2E0000}"/>
    <cellStyle name="Input [yellow] 2 2 3 4 5 2" xfId="12327" xr:uid="{00000000-0005-0000-0000-0000902E0000}"/>
    <cellStyle name="Input [yellow] 2 2 3 4 5 3" xfId="12328" xr:uid="{00000000-0005-0000-0000-0000912E0000}"/>
    <cellStyle name="Input [yellow] 2 2 3 4 6" xfId="12329" xr:uid="{00000000-0005-0000-0000-0000922E0000}"/>
    <cellStyle name="Input [yellow] 2 2 3 4 6 2" xfId="12330" xr:uid="{00000000-0005-0000-0000-0000932E0000}"/>
    <cellStyle name="Input [yellow] 2 2 3 4 6 3" xfId="12331" xr:uid="{00000000-0005-0000-0000-0000942E0000}"/>
    <cellStyle name="Input [yellow] 2 2 3 4 7" xfId="12332" xr:uid="{00000000-0005-0000-0000-0000952E0000}"/>
    <cellStyle name="Input [yellow] 2 2 3 4 8" xfId="12333" xr:uid="{00000000-0005-0000-0000-0000962E0000}"/>
    <cellStyle name="Input [yellow] 2 2 3 5" xfId="12334" xr:uid="{00000000-0005-0000-0000-0000972E0000}"/>
    <cellStyle name="Input [yellow] 2 2 3 5 2" xfId="12335" xr:uid="{00000000-0005-0000-0000-0000982E0000}"/>
    <cellStyle name="Input [yellow] 2 2 3 5 2 2" xfId="12336" xr:uid="{00000000-0005-0000-0000-0000992E0000}"/>
    <cellStyle name="Input [yellow] 2 2 3 5 2 3" xfId="12337" xr:uid="{00000000-0005-0000-0000-00009A2E0000}"/>
    <cellStyle name="Input [yellow] 2 2 3 5 3" xfId="12338" xr:uid="{00000000-0005-0000-0000-00009B2E0000}"/>
    <cellStyle name="Input [yellow] 2 2 3 5 3 2" xfId="12339" xr:uid="{00000000-0005-0000-0000-00009C2E0000}"/>
    <cellStyle name="Input [yellow] 2 2 3 5 3 3" xfId="12340" xr:uid="{00000000-0005-0000-0000-00009D2E0000}"/>
    <cellStyle name="Input [yellow] 2 2 3 5 4" xfId="12341" xr:uid="{00000000-0005-0000-0000-00009E2E0000}"/>
    <cellStyle name="Input [yellow] 2 2 3 5 4 2" xfId="12342" xr:uid="{00000000-0005-0000-0000-00009F2E0000}"/>
    <cellStyle name="Input [yellow] 2 2 3 5 4 3" xfId="12343" xr:uid="{00000000-0005-0000-0000-0000A02E0000}"/>
    <cellStyle name="Input [yellow] 2 2 3 5 5" xfId="12344" xr:uid="{00000000-0005-0000-0000-0000A12E0000}"/>
    <cellStyle name="Input [yellow] 2 2 3 5 5 2" xfId="12345" xr:uid="{00000000-0005-0000-0000-0000A22E0000}"/>
    <cellStyle name="Input [yellow] 2 2 3 5 5 3" xfId="12346" xr:uid="{00000000-0005-0000-0000-0000A32E0000}"/>
    <cellStyle name="Input [yellow] 2 2 3 5 6" xfId="12347" xr:uid="{00000000-0005-0000-0000-0000A42E0000}"/>
    <cellStyle name="Input [yellow] 2 2 3 5 6 2" xfId="12348" xr:uid="{00000000-0005-0000-0000-0000A52E0000}"/>
    <cellStyle name="Input [yellow] 2 2 3 5 6 3" xfId="12349" xr:uid="{00000000-0005-0000-0000-0000A62E0000}"/>
    <cellStyle name="Input [yellow] 2 2 3 5 7" xfId="12350" xr:uid="{00000000-0005-0000-0000-0000A72E0000}"/>
    <cellStyle name="Input [yellow] 2 2 3 6" xfId="12351" xr:uid="{00000000-0005-0000-0000-0000A82E0000}"/>
    <cellStyle name="Input [yellow] 2 2 3 6 2" xfId="12352" xr:uid="{00000000-0005-0000-0000-0000A92E0000}"/>
    <cellStyle name="Input [yellow] 2 2 3 6 2 2" xfId="12353" xr:uid="{00000000-0005-0000-0000-0000AA2E0000}"/>
    <cellStyle name="Input [yellow] 2 2 3 6 2 3" xfId="12354" xr:uid="{00000000-0005-0000-0000-0000AB2E0000}"/>
    <cellStyle name="Input [yellow] 2 2 3 6 3" xfId="12355" xr:uid="{00000000-0005-0000-0000-0000AC2E0000}"/>
    <cellStyle name="Input [yellow] 2 2 3 6 3 2" xfId="12356" xr:uid="{00000000-0005-0000-0000-0000AD2E0000}"/>
    <cellStyle name="Input [yellow] 2 2 3 6 3 3" xfId="12357" xr:uid="{00000000-0005-0000-0000-0000AE2E0000}"/>
    <cellStyle name="Input [yellow] 2 2 3 6 4" xfId="12358" xr:uid="{00000000-0005-0000-0000-0000AF2E0000}"/>
    <cellStyle name="Input [yellow] 2 2 3 6 4 2" xfId="12359" xr:uid="{00000000-0005-0000-0000-0000B02E0000}"/>
    <cellStyle name="Input [yellow] 2 2 3 6 4 3" xfId="12360" xr:uid="{00000000-0005-0000-0000-0000B12E0000}"/>
    <cellStyle name="Input [yellow] 2 2 3 6 5" xfId="12361" xr:uid="{00000000-0005-0000-0000-0000B22E0000}"/>
    <cellStyle name="Input [yellow] 2 2 3 6 5 2" xfId="12362" xr:uid="{00000000-0005-0000-0000-0000B32E0000}"/>
    <cellStyle name="Input [yellow] 2 2 3 6 5 3" xfId="12363" xr:uid="{00000000-0005-0000-0000-0000B42E0000}"/>
    <cellStyle name="Input [yellow] 2 2 3 6 6" xfId="12364" xr:uid="{00000000-0005-0000-0000-0000B52E0000}"/>
    <cellStyle name="Input [yellow] 2 2 3 6 6 2" xfId="12365" xr:uid="{00000000-0005-0000-0000-0000B62E0000}"/>
    <cellStyle name="Input [yellow] 2 2 3 6 6 3" xfId="12366" xr:uid="{00000000-0005-0000-0000-0000B72E0000}"/>
    <cellStyle name="Input [yellow] 2 2 3 6 7" xfId="12367" xr:uid="{00000000-0005-0000-0000-0000B82E0000}"/>
    <cellStyle name="Input [yellow] 2 2 3 7" xfId="12368" xr:uid="{00000000-0005-0000-0000-0000B92E0000}"/>
    <cellStyle name="Input [yellow] 2 2 3 7 2" xfId="12369" xr:uid="{00000000-0005-0000-0000-0000BA2E0000}"/>
    <cellStyle name="Input [yellow] 2 2 3 7 3" xfId="12370" xr:uid="{00000000-0005-0000-0000-0000BB2E0000}"/>
    <cellStyle name="Input [yellow] 2 2 4" xfId="12371" xr:uid="{00000000-0005-0000-0000-0000BC2E0000}"/>
    <cellStyle name="Input [yellow] 2 2 4 10" xfId="12372" xr:uid="{00000000-0005-0000-0000-0000BD2E0000}"/>
    <cellStyle name="Input [yellow] 2 2 4 10 2" xfId="12373" xr:uid="{00000000-0005-0000-0000-0000BE2E0000}"/>
    <cellStyle name="Input [yellow] 2 2 4 10 3" xfId="12374" xr:uid="{00000000-0005-0000-0000-0000BF2E0000}"/>
    <cellStyle name="Input [yellow] 2 2 4 2" xfId="12375" xr:uid="{00000000-0005-0000-0000-0000C02E0000}"/>
    <cellStyle name="Input [yellow] 2 2 4 2 2" xfId="12376" xr:uid="{00000000-0005-0000-0000-0000C12E0000}"/>
    <cellStyle name="Input [yellow] 2 2 4 2 2 2" xfId="12377" xr:uid="{00000000-0005-0000-0000-0000C22E0000}"/>
    <cellStyle name="Input [yellow] 2 2 4 2 2 3" xfId="12378" xr:uid="{00000000-0005-0000-0000-0000C32E0000}"/>
    <cellStyle name="Input [yellow] 2 2 4 2 3" xfId="12379" xr:uid="{00000000-0005-0000-0000-0000C42E0000}"/>
    <cellStyle name="Input [yellow] 2 2 4 2 3 2" xfId="12380" xr:uid="{00000000-0005-0000-0000-0000C52E0000}"/>
    <cellStyle name="Input [yellow] 2 2 4 2 3 3" xfId="12381" xr:uid="{00000000-0005-0000-0000-0000C62E0000}"/>
    <cellStyle name="Input [yellow] 2 2 4 2 4" xfId="12382" xr:uid="{00000000-0005-0000-0000-0000C72E0000}"/>
    <cellStyle name="Input [yellow] 2 2 4 2 4 2" xfId="12383" xr:uid="{00000000-0005-0000-0000-0000C82E0000}"/>
    <cellStyle name="Input [yellow] 2 2 4 2 4 3" xfId="12384" xr:uid="{00000000-0005-0000-0000-0000C92E0000}"/>
    <cellStyle name="Input [yellow] 2 2 4 2 5" xfId="12385" xr:uid="{00000000-0005-0000-0000-0000CA2E0000}"/>
    <cellStyle name="Input [yellow] 2 2 4 2 5 2" xfId="12386" xr:uid="{00000000-0005-0000-0000-0000CB2E0000}"/>
    <cellStyle name="Input [yellow] 2 2 4 2 5 3" xfId="12387" xr:uid="{00000000-0005-0000-0000-0000CC2E0000}"/>
    <cellStyle name="Input [yellow] 2 2 4 2 6" xfId="12388" xr:uid="{00000000-0005-0000-0000-0000CD2E0000}"/>
    <cellStyle name="Input [yellow] 2 2 4 2 6 2" xfId="12389" xr:uid="{00000000-0005-0000-0000-0000CE2E0000}"/>
    <cellStyle name="Input [yellow] 2 2 4 2 6 3" xfId="12390" xr:uid="{00000000-0005-0000-0000-0000CF2E0000}"/>
    <cellStyle name="Input [yellow] 2 2 4 2 7" xfId="12391" xr:uid="{00000000-0005-0000-0000-0000D02E0000}"/>
    <cellStyle name="Input [yellow] 2 2 4 2 8" xfId="12392" xr:uid="{00000000-0005-0000-0000-0000D12E0000}"/>
    <cellStyle name="Input [yellow] 2 2 4 3" xfId="12393" xr:uid="{00000000-0005-0000-0000-0000D22E0000}"/>
    <cellStyle name="Input [yellow] 2 2 4 3 2" xfId="12394" xr:uid="{00000000-0005-0000-0000-0000D32E0000}"/>
    <cellStyle name="Input [yellow] 2 2 4 3 2 2" xfId="12395" xr:uid="{00000000-0005-0000-0000-0000D42E0000}"/>
    <cellStyle name="Input [yellow] 2 2 4 3 2 3" xfId="12396" xr:uid="{00000000-0005-0000-0000-0000D52E0000}"/>
    <cellStyle name="Input [yellow] 2 2 4 3 3" xfId="12397" xr:uid="{00000000-0005-0000-0000-0000D62E0000}"/>
    <cellStyle name="Input [yellow] 2 2 4 3 3 2" xfId="12398" xr:uid="{00000000-0005-0000-0000-0000D72E0000}"/>
    <cellStyle name="Input [yellow] 2 2 4 3 3 3" xfId="12399" xr:uid="{00000000-0005-0000-0000-0000D82E0000}"/>
    <cellStyle name="Input [yellow] 2 2 4 3 4" xfId="12400" xr:uid="{00000000-0005-0000-0000-0000D92E0000}"/>
    <cellStyle name="Input [yellow] 2 2 4 3 4 2" xfId="12401" xr:uid="{00000000-0005-0000-0000-0000DA2E0000}"/>
    <cellStyle name="Input [yellow] 2 2 4 3 4 3" xfId="12402" xr:uid="{00000000-0005-0000-0000-0000DB2E0000}"/>
    <cellStyle name="Input [yellow] 2 2 4 3 5" xfId="12403" xr:uid="{00000000-0005-0000-0000-0000DC2E0000}"/>
    <cellStyle name="Input [yellow] 2 2 4 3 5 2" xfId="12404" xr:uid="{00000000-0005-0000-0000-0000DD2E0000}"/>
    <cellStyle name="Input [yellow] 2 2 4 3 5 3" xfId="12405" xr:uid="{00000000-0005-0000-0000-0000DE2E0000}"/>
    <cellStyle name="Input [yellow] 2 2 4 3 6" xfId="12406" xr:uid="{00000000-0005-0000-0000-0000DF2E0000}"/>
    <cellStyle name="Input [yellow] 2 2 4 3 6 2" xfId="12407" xr:uid="{00000000-0005-0000-0000-0000E02E0000}"/>
    <cellStyle name="Input [yellow] 2 2 4 3 6 3" xfId="12408" xr:uid="{00000000-0005-0000-0000-0000E12E0000}"/>
    <cellStyle name="Input [yellow] 2 2 4 3 7" xfId="12409" xr:uid="{00000000-0005-0000-0000-0000E22E0000}"/>
    <cellStyle name="Input [yellow] 2 2 4 3 8" xfId="12410" xr:uid="{00000000-0005-0000-0000-0000E32E0000}"/>
    <cellStyle name="Input [yellow] 2 2 4 4" xfId="12411" xr:uid="{00000000-0005-0000-0000-0000E42E0000}"/>
    <cellStyle name="Input [yellow] 2 2 4 4 2" xfId="12412" xr:uid="{00000000-0005-0000-0000-0000E52E0000}"/>
    <cellStyle name="Input [yellow] 2 2 4 4 2 2" xfId="12413" xr:uid="{00000000-0005-0000-0000-0000E62E0000}"/>
    <cellStyle name="Input [yellow] 2 2 4 4 2 3" xfId="12414" xr:uid="{00000000-0005-0000-0000-0000E72E0000}"/>
    <cellStyle name="Input [yellow] 2 2 4 4 3" xfId="12415" xr:uid="{00000000-0005-0000-0000-0000E82E0000}"/>
    <cellStyle name="Input [yellow] 2 2 4 4 3 2" xfId="12416" xr:uid="{00000000-0005-0000-0000-0000E92E0000}"/>
    <cellStyle name="Input [yellow] 2 2 4 4 3 3" xfId="12417" xr:uid="{00000000-0005-0000-0000-0000EA2E0000}"/>
    <cellStyle name="Input [yellow] 2 2 4 4 4" xfId="12418" xr:uid="{00000000-0005-0000-0000-0000EB2E0000}"/>
    <cellStyle name="Input [yellow] 2 2 4 4 4 2" xfId="12419" xr:uid="{00000000-0005-0000-0000-0000EC2E0000}"/>
    <cellStyle name="Input [yellow] 2 2 4 4 4 3" xfId="12420" xr:uid="{00000000-0005-0000-0000-0000ED2E0000}"/>
    <cellStyle name="Input [yellow] 2 2 4 4 5" xfId="12421" xr:uid="{00000000-0005-0000-0000-0000EE2E0000}"/>
    <cellStyle name="Input [yellow] 2 2 4 4 5 2" xfId="12422" xr:uid="{00000000-0005-0000-0000-0000EF2E0000}"/>
    <cellStyle name="Input [yellow] 2 2 4 4 5 3" xfId="12423" xr:uid="{00000000-0005-0000-0000-0000F02E0000}"/>
    <cellStyle name="Input [yellow] 2 2 4 4 6" xfId="12424" xr:uid="{00000000-0005-0000-0000-0000F12E0000}"/>
    <cellStyle name="Input [yellow] 2 2 4 4 6 2" xfId="12425" xr:uid="{00000000-0005-0000-0000-0000F22E0000}"/>
    <cellStyle name="Input [yellow] 2 2 4 4 6 3" xfId="12426" xr:uid="{00000000-0005-0000-0000-0000F32E0000}"/>
    <cellStyle name="Input [yellow] 2 2 4 4 7" xfId="12427" xr:uid="{00000000-0005-0000-0000-0000F42E0000}"/>
    <cellStyle name="Input [yellow] 2 2 4 5" xfId="12428" xr:uid="{00000000-0005-0000-0000-0000F52E0000}"/>
    <cellStyle name="Input [yellow] 2 2 4 5 2" xfId="12429" xr:uid="{00000000-0005-0000-0000-0000F62E0000}"/>
    <cellStyle name="Input [yellow] 2 2 4 5 2 2" xfId="12430" xr:uid="{00000000-0005-0000-0000-0000F72E0000}"/>
    <cellStyle name="Input [yellow] 2 2 4 5 2 3" xfId="12431" xr:uid="{00000000-0005-0000-0000-0000F82E0000}"/>
    <cellStyle name="Input [yellow] 2 2 4 5 3" xfId="12432" xr:uid="{00000000-0005-0000-0000-0000F92E0000}"/>
    <cellStyle name="Input [yellow] 2 2 4 5 3 2" xfId="12433" xr:uid="{00000000-0005-0000-0000-0000FA2E0000}"/>
    <cellStyle name="Input [yellow] 2 2 4 5 3 3" xfId="12434" xr:uid="{00000000-0005-0000-0000-0000FB2E0000}"/>
    <cellStyle name="Input [yellow] 2 2 4 5 4" xfId="12435" xr:uid="{00000000-0005-0000-0000-0000FC2E0000}"/>
    <cellStyle name="Input [yellow] 2 2 4 5 4 2" xfId="12436" xr:uid="{00000000-0005-0000-0000-0000FD2E0000}"/>
    <cellStyle name="Input [yellow] 2 2 4 5 4 3" xfId="12437" xr:uid="{00000000-0005-0000-0000-0000FE2E0000}"/>
    <cellStyle name="Input [yellow] 2 2 4 5 5" xfId="12438" xr:uid="{00000000-0005-0000-0000-0000FF2E0000}"/>
    <cellStyle name="Input [yellow] 2 2 4 5 5 2" xfId="12439" xr:uid="{00000000-0005-0000-0000-0000002F0000}"/>
    <cellStyle name="Input [yellow] 2 2 4 5 5 3" xfId="12440" xr:uid="{00000000-0005-0000-0000-0000012F0000}"/>
    <cellStyle name="Input [yellow] 2 2 4 5 6" xfId="12441" xr:uid="{00000000-0005-0000-0000-0000022F0000}"/>
    <cellStyle name="Input [yellow] 2 2 4 5 6 2" xfId="12442" xr:uid="{00000000-0005-0000-0000-0000032F0000}"/>
    <cellStyle name="Input [yellow] 2 2 4 5 6 3" xfId="12443" xr:uid="{00000000-0005-0000-0000-0000042F0000}"/>
    <cellStyle name="Input [yellow] 2 2 4 5 7" xfId="12444" xr:uid="{00000000-0005-0000-0000-0000052F0000}"/>
    <cellStyle name="Input [yellow] 2 2 4 6" xfId="12445" xr:uid="{00000000-0005-0000-0000-0000062F0000}"/>
    <cellStyle name="Input [yellow] 2 2 4 6 2" xfId="12446" xr:uid="{00000000-0005-0000-0000-0000072F0000}"/>
    <cellStyle name="Input [yellow] 2 2 4 6 3" xfId="12447" xr:uid="{00000000-0005-0000-0000-0000082F0000}"/>
    <cellStyle name="Input [yellow] 2 2 4 7" xfId="12448" xr:uid="{00000000-0005-0000-0000-0000092F0000}"/>
    <cellStyle name="Input [yellow] 2 2 4 7 2" xfId="12449" xr:uid="{00000000-0005-0000-0000-00000A2F0000}"/>
    <cellStyle name="Input [yellow] 2 2 4 7 3" xfId="12450" xr:uid="{00000000-0005-0000-0000-00000B2F0000}"/>
    <cellStyle name="Input [yellow] 2 2 4 8" xfId="12451" xr:uid="{00000000-0005-0000-0000-00000C2F0000}"/>
    <cellStyle name="Input [yellow] 2 2 4 8 2" xfId="12452" xr:uid="{00000000-0005-0000-0000-00000D2F0000}"/>
    <cellStyle name="Input [yellow] 2 2 4 8 3" xfId="12453" xr:uid="{00000000-0005-0000-0000-00000E2F0000}"/>
    <cellStyle name="Input [yellow] 2 2 4 9" xfId="12454" xr:uid="{00000000-0005-0000-0000-00000F2F0000}"/>
    <cellStyle name="Input [yellow] 2 2 4 9 2" xfId="12455" xr:uid="{00000000-0005-0000-0000-0000102F0000}"/>
    <cellStyle name="Input [yellow] 2 2 4 9 3" xfId="12456" xr:uid="{00000000-0005-0000-0000-0000112F0000}"/>
    <cellStyle name="Input [yellow] 2 2 5" xfId="12457" xr:uid="{00000000-0005-0000-0000-0000122F0000}"/>
    <cellStyle name="Input [yellow] 2 2 5 10" xfId="12458" xr:uid="{00000000-0005-0000-0000-0000132F0000}"/>
    <cellStyle name="Input [yellow] 2 2 5 10 2" xfId="12459" xr:uid="{00000000-0005-0000-0000-0000142F0000}"/>
    <cellStyle name="Input [yellow] 2 2 5 10 3" xfId="12460" xr:uid="{00000000-0005-0000-0000-0000152F0000}"/>
    <cellStyle name="Input [yellow] 2 2 5 2" xfId="12461" xr:uid="{00000000-0005-0000-0000-0000162F0000}"/>
    <cellStyle name="Input [yellow] 2 2 5 2 2" xfId="12462" xr:uid="{00000000-0005-0000-0000-0000172F0000}"/>
    <cellStyle name="Input [yellow] 2 2 5 2 2 2" xfId="12463" xr:uid="{00000000-0005-0000-0000-0000182F0000}"/>
    <cellStyle name="Input [yellow] 2 2 5 2 2 3" xfId="12464" xr:uid="{00000000-0005-0000-0000-0000192F0000}"/>
    <cellStyle name="Input [yellow] 2 2 5 2 3" xfId="12465" xr:uid="{00000000-0005-0000-0000-00001A2F0000}"/>
    <cellStyle name="Input [yellow] 2 2 5 2 3 2" xfId="12466" xr:uid="{00000000-0005-0000-0000-00001B2F0000}"/>
    <cellStyle name="Input [yellow] 2 2 5 2 3 3" xfId="12467" xr:uid="{00000000-0005-0000-0000-00001C2F0000}"/>
    <cellStyle name="Input [yellow] 2 2 5 2 4" xfId="12468" xr:uid="{00000000-0005-0000-0000-00001D2F0000}"/>
    <cellStyle name="Input [yellow] 2 2 5 2 4 2" xfId="12469" xr:uid="{00000000-0005-0000-0000-00001E2F0000}"/>
    <cellStyle name="Input [yellow] 2 2 5 2 4 3" xfId="12470" xr:uid="{00000000-0005-0000-0000-00001F2F0000}"/>
    <cellStyle name="Input [yellow] 2 2 5 2 5" xfId="12471" xr:uid="{00000000-0005-0000-0000-0000202F0000}"/>
    <cellStyle name="Input [yellow] 2 2 5 2 5 2" xfId="12472" xr:uid="{00000000-0005-0000-0000-0000212F0000}"/>
    <cellStyle name="Input [yellow] 2 2 5 2 5 3" xfId="12473" xr:uid="{00000000-0005-0000-0000-0000222F0000}"/>
    <cellStyle name="Input [yellow] 2 2 5 2 6" xfId="12474" xr:uid="{00000000-0005-0000-0000-0000232F0000}"/>
    <cellStyle name="Input [yellow] 2 2 5 2 6 2" xfId="12475" xr:uid="{00000000-0005-0000-0000-0000242F0000}"/>
    <cellStyle name="Input [yellow] 2 2 5 2 6 3" xfId="12476" xr:uid="{00000000-0005-0000-0000-0000252F0000}"/>
    <cellStyle name="Input [yellow] 2 2 5 2 7" xfId="12477" xr:uid="{00000000-0005-0000-0000-0000262F0000}"/>
    <cellStyle name="Input [yellow] 2 2 5 2 8" xfId="12478" xr:uid="{00000000-0005-0000-0000-0000272F0000}"/>
    <cellStyle name="Input [yellow] 2 2 5 3" xfId="12479" xr:uid="{00000000-0005-0000-0000-0000282F0000}"/>
    <cellStyle name="Input [yellow] 2 2 5 3 2" xfId="12480" xr:uid="{00000000-0005-0000-0000-0000292F0000}"/>
    <cellStyle name="Input [yellow] 2 2 5 3 2 2" xfId="12481" xr:uid="{00000000-0005-0000-0000-00002A2F0000}"/>
    <cellStyle name="Input [yellow] 2 2 5 3 2 3" xfId="12482" xr:uid="{00000000-0005-0000-0000-00002B2F0000}"/>
    <cellStyle name="Input [yellow] 2 2 5 3 3" xfId="12483" xr:uid="{00000000-0005-0000-0000-00002C2F0000}"/>
    <cellStyle name="Input [yellow] 2 2 5 3 3 2" xfId="12484" xr:uid="{00000000-0005-0000-0000-00002D2F0000}"/>
    <cellStyle name="Input [yellow] 2 2 5 3 3 3" xfId="12485" xr:uid="{00000000-0005-0000-0000-00002E2F0000}"/>
    <cellStyle name="Input [yellow] 2 2 5 3 4" xfId="12486" xr:uid="{00000000-0005-0000-0000-00002F2F0000}"/>
    <cellStyle name="Input [yellow] 2 2 5 3 4 2" xfId="12487" xr:uid="{00000000-0005-0000-0000-0000302F0000}"/>
    <cellStyle name="Input [yellow] 2 2 5 3 4 3" xfId="12488" xr:uid="{00000000-0005-0000-0000-0000312F0000}"/>
    <cellStyle name="Input [yellow] 2 2 5 3 5" xfId="12489" xr:uid="{00000000-0005-0000-0000-0000322F0000}"/>
    <cellStyle name="Input [yellow] 2 2 5 3 5 2" xfId="12490" xr:uid="{00000000-0005-0000-0000-0000332F0000}"/>
    <cellStyle name="Input [yellow] 2 2 5 3 5 3" xfId="12491" xr:uid="{00000000-0005-0000-0000-0000342F0000}"/>
    <cellStyle name="Input [yellow] 2 2 5 3 6" xfId="12492" xr:uid="{00000000-0005-0000-0000-0000352F0000}"/>
    <cellStyle name="Input [yellow] 2 2 5 3 6 2" xfId="12493" xr:uid="{00000000-0005-0000-0000-0000362F0000}"/>
    <cellStyle name="Input [yellow] 2 2 5 3 6 3" xfId="12494" xr:uid="{00000000-0005-0000-0000-0000372F0000}"/>
    <cellStyle name="Input [yellow] 2 2 5 3 7" xfId="12495" xr:uid="{00000000-0005-0000-0000-0000382F0000}"/>
    <cellStyle name="Input [yellow] 2 2 5 3 8" xfId="12496" xr:uid="{00000000-0005-0000-0000-0000392F0000}"/>
    <cellStyle name="Input [yellow] 2 2 5 4" xfId="12497" xr:uid="{00000000-0005-0000-0000-00003A2F0000}"/>
    <cellStyle name="Input [yellow] 2 2 5 4 2" xfId="12498" xr:uid="{00000000-0005-0000-0000-00003B2F0000}"/>
    <cellStyle name="Input [yellow] 2 2 5 4 2 2" xfId="12499" xr:uid="{00000000-0005-0000-0000-00003C2F0000}"/>
    <cellStyle name="Input [yellow] 2 2 5 4 2 3" xfId="12500" xr:uid="{00000000-0005-0000-0000-00003D2F0000}"/>
    <cellStyle name="Input [yellow] 2 2 5 4 3" xfId="12501" xr:uid="{00000000-0005-0000-0000-00003E2F0000}"/>
    <cellStyle name="Input [yellow] 2 2 5 4 3 2" xfId="12502" xr:uid="{00000000-0005-0000-0000-00003F2F0000}"/>
    <cellStyle name="Input [yellow] 2 2 5 4 3 3" xfId="12503" xr:uid="{00000000-0005-0000-0000-0000402F0000}"/>
    <cellStyle name="Input [yellow] 2 2 5 4 4" xfId="12504" xr:uid="{00000000-0005-0000-0000-0000412F0000}"/>
    <cellStyle name="Input [yellow] 2 2 5 4 4 2" xfId="12505" xr:uid="{00000000-0005-0000-0000-0000422F0000}"/>
    <cellStyle name="Input [yellow] 2 2 5 4 4 3" xfId="12506" xr:uid="{00000000-0005-0000-0000-0000432F0000}"/>
    <cellStyle name="Input [yellow] 2 2 5 4 5" xfId="12507" xr:uid="{00000000-0005-0000-0000-0000442F0000}"/>
    <cellStyle name="Input [yellow] 2 2 5 4 5 2" xfId="12508" xr:uid="{00000000-0005-0000-0000-0000452F0000}"/>
    <cellStyle name="Input [yellow] 2 2 5 4 5 3" xfId="12509" xr:uid="{00000000-0005-0000-0000-0000462F0000}"/>
    <cellStyle name="Input [yellow] 2 2 5 4 6" xfId="12510" xr:uid="{00000000-0005-0000-0000-0000472F0000}"/>
    <cellStyle name="Input [yellow] 2 2 5 4 6 2" xfId="12511" xr:uid="{00000000-0005-0000-0000-0000482F0000}"/>
    <cellStyle name="Input [yellow] 2 2 5 4 6 3" xfId="12512" xr:uid="{00000000-0005-0000-0000-0000492F0000}"/>
    <cellStyle name="Input [yellow] 2 2 5 4 7" xfId="12513" xr:uid="{00000000-0005-0000-0000-00004A2F0000}"/>
    <cellStyle name="Input [yellow] 2 2 5 5" xfId="12514" xr:uid="{00000000-0005-0000-0000-00004B2F0000}"/>
    <cellStyle name="Input [yellow] 2 2 5 5 2" xfId="12515" xr:uid="{00000000-0005-0000-0000-00004C2F0000}"/>
    <cellStyle name="Input [yellow] 2 2 5 5 2 2" xfId="12516" xr:uid="{00000000-0005-0000-0000-00004D2F0000}"/>
    <cellStyle name="Input [yellow] 2 2 5 5 2 3" xfId="12517" xr:uid="{00000000-0005-0000-0000-00004E2F0000}"/>
    <cellStyle name="Input [yellow] 2 2 5 5 3" xfId="12518" xr:uid="{00000000-0005-0000-0000-00004F2F0000}"/>
    <cellStyle name="Input [yellow] 2 2 5 5 3 2" xfId="12519" xr:uid="{00000000-0005-0000-0000-0000502F0000}"/>
    <cellStyle name="Input [yellow] 2 2 5 5 3 3" xfId="12520" xr:uid="{00000000-0005-0000-0000-0000512F0000}"/>
    <cellStyle name="Input [yellow] 2 2 5 5 4" xfId="12521" xr:uid="{00000000-0005-0000-0000-0000522F0000}"/>
    <cellStyle name="Input [yellow] 2 2 5 5 4 2" xfId="12522" xr:uid="{00000000-0005-0000-0000-0000532F0000}"/>
    <cellStyle name="Input [yellow] 2 2 5 5 4 3" xfId="12523" xr:uid="{00000000-0005-0000-0000-0000542F0000}"/>
    <cellStyle name="Input [yellow] 2 2 5 5 5" xfId="12524" xr:uid="{00000000-0005-0000-0000-0000552F0000}"/>
    <cellStyle name="Input [yellow] 2 2 5 5 5 2" xfId="12525" xr:uid="{00000000-0005-0000-0000-0000562F0000}"/>
    <cellStyle name="Input [yellow] 2 2 5 5 5 3" xfId="12526" xr:uid="{00000000-0005-0000-0000-0000572F0000}"/>
    <cellStyle name="Input [yellow] 2 2 5 5 6" xfId="12527" xr:uid="{00000000-0005-0000-0000-0000582F0000}"/>
    <cellStyle name="Input [yellow] 2 2 5 5 6 2" xfId="12528" xr:uid="{00000000-0005-0000-0000-0000592F0000}"/>
    <cellStyle name="Input [yellow] 2 2 5 5 6 3" xfId="12529" xr:uid="{00000000-0005-0000-0000-00005A2F0000}"/>
    <cellStyle name="Input [yellow] 2 2 5 5 7" xfId="12530" xr:uid="{00000000-0005-0000-0000-00005B2F0000}"/>
    <cellStyle name="Input [yellow] 2 2 5 6" xfId="12531" xr:uid="{00000000-0005-0000-0000-00005C2F0000}"/>
    <cellStyle name="Input [yellow] 2 2 5 6 2" xfId="12532" xr:uid="{00000000-0005-0000-0000-00005D2F0000}"/>
    <cellStyle name="Input [yellow] 2 2 5 6 3" xfId="12533" xr:uid="{00000000-0005-0000-0000-00005E2F0000}"/>
    <cellStyle name="Input [yellow] 2 2 5 7" xfId="12534" xr:uid="{00000000-0005-0000-0000-00005F2F0000}"/>
    <cellStyle name="Input [yellow] 2 2 5 7 2" xfId="12535" xr:uid="{00000000-0005-0000-0000-0000602F0000}"/>
    <cellStyle name="Input [yellow] 2 2 5 7 3" xfId="12536" xr:uid="{00000000-0005-0000-0000-0000612F0000}"/>
    <cellStyle name="Input [yellow] 2 2 5 8" xfId="12537" xr:uid="{00000000-0005-0000-0000-0000622F0000}"/>
    <cellStyle name="Input [yellow] 2 2 5 8 2" xfId="12538" xr:uid="{00000000-0005-0000-0000-0000632F0000}"/>
    <cellStyle name="Input [yellow] 2 2 5 8 3" xfId="12539" xr:uid="{00000000-0005-0000-0000-0000642F0000}"/>
    <cellStyle name="Input [yellow] 2 2 5 9" xfId="12540" xr:uid="{00000000-0005-0000-0000-0000652F0000}"/>
    <cellStyle name="Input [yellow] 2 2 5 9 2" xfId="12541" xr:uid="{00000000-0005-0000-0000-0000662F0000}"/>
    <cellStyle name="Input [yellow] 2 2 5 9 3" xfId="12542" xr:uid="{00000000-0005-0000-0000-0000672F0000}"/>
    <cellStyle name="Input [yellow] 2 2 6" xfId="12543" xr:uid="{00000000-0005-0000-0000-0000682F0000}"/>
    <cellStyle name="Input [yellow] 2 2 6 2" xfId="12544" xr:uid="{00000000-0005-0000-0000-0000692F0000}"/>
    <cellStyle name="Input [yellow] 2 2 6 2 2" xfId="12545" xr:uid="{00000000-0005-0000-0000-00006A2F0000}"/>
    <cellStyle name="Input [yellow] 2 2 6 2 3" xfId="12546" xr:uid="{00000000-0005-0000-0000-00006B2F0000}"/>
    <cellStyle name="Input [yellow] 2 2 6 3" xfId="12547" xr:uid="{00000000-0005-0000-0000-00006C2F0000}"/>
    <cellStyle name="Input [yellow] 2 2 6 3 2" xfId="12548" xr:uid="{00000000-0005-0000-0000-00006D2F0000}"/>
    <cellStyle name="Input [yellow] 2 2 6 3 3" xfId="12549" xr:uid="{00000000-0005-0000-0000-00006E2F0000}"/>
    <cellStyle name="Input [yellow] 2 2 6 4" xfId="12550" xr:uid="{00000000-0005-0000-0000-00006F2F0000}"/>
    <cellStyle name="Input [yellow] 2 2 6 4 2" xfId="12551" xr:uid="{00000000-0005-0000-0000-0000702F0000}"/>
    <cellStyle name="Input [yellow] 2 2 6 4 3" xfId="12552" xr:uid="{00000000-0005-0000-0000-0000712F0000}"/>
    <cellStyle name="Input [yellow] 2 2 6 5" xfId="12553" xr:uid="{00000000-0005-0000-0000-0000722F0000}"/>
    <cellStyle name="Input [yellow] 2 2 6 5 2" xfId="12554" xr:uid="{00000000-0005-0000-0000-0000732F0000}"/>
    <cellStyle name="Input [yellow] 2 2 6 5 3" xfId="12555" xr:uid="{00000000-0005-0000-0000-0000742F0000}"/>
    <cellStyle name="Input [yellow] 2 2 6 6" xfId="12556" xr:uid="{00000000-0005-0000-0000-0000752F0000}"/>
    <cellStyle name="Input [yellow] 2 2 6 6 2" xfId="12557" xr:uid="{00000000-0005-0000-0000-0000762F0000}"/>
    <cellStyle name="Input [yellow] 2 2 6 6 3" xfId="12558" xr:uid="{00000000-0005-0000-0000-0000772F0000}"/>
    <cellStyle name="Input [yellow] 2 2 6 7" xfId="12559" xr:uid="{00000000-0005-0000-0000-0000782F0000}"/>
    <cellStyle name="Input [yellow] 2 2 6 8" xfId="12560" xr:uid="{00000000-0005-0000-0000-0000792F0000}"/>
    <cellStyle name="Input [yellow] 2 2 7" xfId="12561" xr:uid="{00000000-0005-0000-0000-00007A2F0000}"/>
    <cellStyle name="Input [yellow] 2 2 7 2" xfId="12562" xr:uid="{00000000-0005-0000-0000-00007B2F0000}"/>
    <cellStyle name="Input [yellow] 2 2 7 2 2" xfId="12563" xr:uid="{00000000-0005-0000-0000-00007C2F0000}"/>
    <cellStyle name="Input [yellow] 2 2 7 2 3" xfId="12564" xr:uid="{00000000-0005-0000-0000-00007D2F0000}"/>
    <cellStyle name="Input [yellow] 2 2 7 3" xfId="12565" xr:uid="{00000000-0005-0000-0000-00007E2F0000}"/>
    <cellStyle name="Input [yellow] 2 2 7 3 2" xfId="12566" xr:uid="{00000000-0005-0000-0000-00007F2F0000}"/>
    <cellStyle name="Input [yellow] 2 2 7 3 3" xfId="12567" xr:uid="{00000000-0005-0000-0000-0000802F0000}"/>
    <cellStyle name="Input [yellow] 2 2 7 4" xfId="12568" xr:uid="{00000000-0005-0000-0000-0000812F0000}"/>
    <cellStyle name="Input [yellow] 2 2 7 4 2" xfId="12569" xr:uid="{00000000-0005-0000-0000-0000822F0000}"/>
    <cellStyle name="Input [yellow] 2 2 7 4 3" xfId="12570" xr:uid="{00000000-0005-0000-0000-0000832F0000}"/>
    <cellStyle name="Input [yellow] 2 2 7 5" xfId="12571" xr:uid="{00000000-0005-0000-0000-0000842F0000}"/>
    <cellStyle name="Input [yellow] 2 2 7 5 2" xfId="12572" xr:uid="{00000000-0005-0000-0000-0000852F0000}"/>
    <cellStyle name="Input [yellow] 2 2 7 5 3" xfId="12573" xr:uid="{00000000-0005-0000-0000-0000862F0000}"/>
    <cellStyle name="Input [yellow] 2 2 7 6" xfId="12574" xr:uid="{00000000-0005-0000-0000-0000872F0000}"/>
    <cellStyle name="Input [yellow] 2 2 7 6 2" xfId="12575" xr:uid="{00000000-0005-0000-0000-0000882F0000}"/>
    <cellStyle name="Input [yellow] 2 2 7 6 3" xfId="12576" xr:uid="{00000000-0005-0000-0000-0000892F0000}"/>
    <cellStyle name="Input [yellow] 2 2 7 7" xfId="12577" xr:uid="{00000000-0005-0000-0000-00008A2F0000}"/>
    <cellStyle name="Input [yellow] 2 2 7 8" xfId="12578" xr:uid="{00000000-0005-0000-0000-00008B2F0000}"/>
    <cellStyle name="Input [yellow] 2 2 8" xfId="12579" xr:uid="{00000000-0005-0000-0000-00008C2F0000}"/>
    <cellStyle name="Input [yellow] 2 2 8 2" xfId="12580" xr:uid="{00000000-0005-0000-0000-00008D2F0000}"/>
    <cellStyle name="Input [yellow] 2 2 8 2 2" xfId="12581" xr:uid="{00000000-0005-0000-0000-00008E2F0000}"/>
    <cellStyle name="Input [yellow] 2 2 8 2 3" xfId="12582" xr:uid="{00000000-0005-0000-0000-00008F2F0000}"/>
    <cellStyle name="Input [yellow] 2 2 8 3" xfId="12583" xr:uid="{00000000-0005-0000-0000-0000902F0000}"/>
    <cellStyle name="Input [yellow] 2 2 8 3 2" xfId="12584" xr:uid="{00000000-0005-0000-0000-0000912F0000}"/>
    <cellStyle name="Input [yellow] 2 2 8 3 3" xfId="12585" xr:uid="{00000000-0005-0000-0000-0000922F0000}"/>
    <cellStyle name="Input [yellow] 2 2 8 4" xfId="12586" xr:uid="{00000000-0005-0000-0000-0000932F0000}"/>
    <cellStyle name="Input [yellow] 2 2 8 4 2" xfId="12587" xr:uid="{00000000-0005-0000-0000-0000942F0000}"/>
    <cellStyle name="Input [yellow] 2 2 8 4 3" xfId="12588" xr:uid="{00000000-0005-0000-0000-0000952F0000}"/>
    <cellStyle name="Input [yellow] 2 2 8 5" xfId="12589" xr:uid="{00000000-0005-0000-0000-0000962F0000}"/>
    <cellStyle name="Input [yellow] 2 2 8 5 2" xfId="12590" xr:uid="{00000000-0005-0000-0000-0000972F0000}"/>
    <cellStyle name="Input [yellow] 2 2 8 5 3" xfId="12591" xr:uid="{00000000-0005-0000-0000-0000982F0000}"/>
    <cellStyle name="Input [yellow] 2 2 8 6" xfId="12592" xr:uid="{00000000-0005-0000-0000-0000992F0000}"/>
    <cellStyle name="Input [yellow] 2 2 8 6 2" xfId="12593" xr:uid="{00000000-0005-0000-0000-00009A2F0000}"/>
    <cellStyle name="Input [yellow] 2 2 8 6 3" xfId="12594" xr:uid="{00000000-0005-0000-0000-00009B2F0000}"/>
    <cellStyle name="Input [yellow] 2 2 8 7" xfId="12595" xr:uid="{00000000-0005-0000-0000-00009C2F0000}"/>
    <cellStyle name="Input [yellow] 2 2 9" xfId="12596" xr:uid="{00000000-0005-0000-0000-00009D2F0000}"/>
    <cellStyle name="Input [yellow] 2 2 9 2" xfId="12597" xr:uid="{00000000-0005-0000-0000-00009E2F0000}"/>
    <cellStyle name="Input [yellow] 2 2 9 2 2" xfId="12598" xr:uid="{00000000-0005-0000-0000-00009F2F0000}"/>
    <cellStyle name="Input [yellow] 2 2 9 2 3" xfId="12599" xr:uid="{00000000-0005-0000-0000-0000A02F0000}"/>
    <cellStyle name="Input [yellow] 2 2 9 3" xfId="12600" xr:uid="{00000000-0005-0000-0000-0000A12F0000}"/>
    <cellStyle name="Input [yellow] 2 2 9 3 2" xfId="12601" xr:uid="{00000000-0005-0000-0000-0000A22F0000}"/>
    <cellStyle name="Input [yellow] 2 2 9 3 3" xfId="12602" xr:uid="{00000000-0005-0000-0000-0000A32F0000}"/>
    <cellStyle name="Input [yellow] 2 2 9 4" xfId="12603" xr:uid="{00000000-0005-0000-0000-0000A42F0000}"/>
    <cellStyle name="Input [yellow] 2 2 9 4 2" xfId="12604" xr:uid="{00000000-0005-0000-0000-0000A52F0000}"/>
    <cellStyle name="Input [yellow] 2 2 9 4 3" xfId="12605" xr:uid="{00000000-0005-0000-0000-0000A62F0000}"/>
    <cellStyle name="Input [yellow] 2 2 9 5" xfId="12606" xr:uid="{00000000-0005-0000-0000-0000A72F0000}"/>
    <cellStyle name="Input [yellow] 2 2 9 5 2" xfId="12607" xr:uid="{00000000-0005-0000-0000-0000A82F0000}"/>
    <cellStyle name="Input [yellow] 2 2 9 5 3" xfId="12608" xr:uid="{00000000-0005-0000-0000-0000A92F0000}"/>
    <cellStyle name="Input [yellow] 2 2 9 6" xfId="12609" xr:uid="{00000000-0005-0000-0000-0000AA2F0000}"/>
    <cellStyle name="Input [yellow] 2 2 9 6 2" xfId="12610" xr:uid="{00000000-0005-0000-0000-0000AB2F0000}"/>
    <cellStyle name="Input [yellow] 2 2 9 6 3" xfId="12611" xr:uid="{00000000-0005-0000-0000-0000AC2F0000}"/>
    <cellStyle name="Input [yellow] 2 2 9 7" xfId="12612" xr:uid="{00000000-0005-0000-0000-0000AD2F0000}"/>
    <cellStyle name="Input [yellow] 2 3" xfId="12613" xr:uid="{00000000-0005-0000-0000-0000AE2F0000}"/>
    <cellStyle name="Input [yellow] 2 3 2" xfId="12614" xr:uid="{00000000-0005-0000-0000-0000AF2F0000}"/>
    <cellStyle name="Input [yellow] 2 3 2 2" xfId="12615" xr:uid="{00000000-0005-0000-0000-0000B02F0000}"/>
    <cellStyle name="Input [yellow] 2 3 2 2 2" xfId="12616" xr:uid="{00000000-0005-0000-0000-0000B12F0000}"/>
    <cellStyle name="Input [yellow] 2 3 2 2 3" xfId="12617" xr:uid="{00000000-0005-0000-0000-0000B22F0000}"/>
    <cellStyle name="Input [yellow] 2 3 2 3" xfId="12618" xr:uid="{00000000-0005-0000-0000-0000B32F0000}"/>
    <cellStyle name="Input [yellow] 2 3 2 3 2" xfId="12619" xr:uid="{00000000-0005-0000-0000-0000B42F0000}"/>
    <cellStyle name="Input [yellow] 2 3 2 3 3" xfId="12620" xr:uid="{00000000-0005-0000-0000-0000B52F0000}"/>
    <cellStyle name="Input [yellow] 2 3 2 4" xfId="12621" xr:uid="{00000000-0005-0000-0000-0000B62F0000}"/>
    <cellStyle name="Input [yellow] 2 3 2 4 2" xfId="12622" xr:uid="{00000000-0005-0000-0000-0000B72F0000}"/>
    <cellStyle name="Input [yellow] 2 3 2 4 3" xfId="12623" xr:uid="{00000000-0005-0000-0000-0000B82F0000}"/>
    <cellStyle name="Input [yellow] 2 3 2 5" xfId="12624" xr:uid="{00000000-0005-0000-0000-0000B92F0000}"/>
    <cellStyle name="Input [yellow] 2 3 2 5 2" xfId="12625" xr:uid="{00000000-0005-0000-0000-0000BA2F0000}"/>
    <cellStyle name="Input [yellow] 2 3 2 5 3" xfId="12626" xr:uid="{00000000-0005-0000-0000-0000BB2F0000}"/>
    <cellStyle name="Input [yellow] 2 3 2 6" xfId="12627" xr:uid="{00000000-0005-0000-0000-0000BC2F0000}"/>
    <cellStyle name="Input [yellow] 2 3 2 6 2" xfId="12628" xr:uid="{00000000-0005-0000-0000-0000BD2F0000}"/>
    <cellStyle name="Input [yellow] 2 3 2 6 3" xfId="12629" xr:uid="{00000000-0005-0000-0000-0000BE2F0000}"/>
    <cellStyle name="Input [yellow] 2 3 2 7" xfId="12630" xr:uid="{00000000-0005-0000-0000-0000BF2F0000}"/>
    <cellStyle name="Input [yellow] 2 3 2 8" xfId="12631" xr:uid="{00000000-0005-0000-0000-0000C02F0000}"/>
    <cellStyle name="Input [yellow] 2 3 3" xfId="12632" xr:uid="{00000000-0005-0000-0000-0000C12F0000}"/>
    <cellStyle name="Input [yellow] 2 3 3 2" xfId="12633" xr:uid="{00000000-0005-0000-0000-0000C22F0000}"/>
    <cellStyle name="Input [yellow] 2 3 3 2 2" xfId="12634" xr:uid="{00000000-0005-0000-0000-0000C32F0000}"/>
    <cellStyle name="Input [yellow] 2 3 3 2 3" xfId="12635" xr:uid="{00000000-0005-0000-0000-0000C42F0000}"/>
    <cellStyle name="Input [yellow] 2 3 3 3" xfId="12636" xr:uid="{00000000-0005-0000-0000-0000C52F0000}"/>
    <cellStyle name="Input [yellow] 2 3 3 3 2" xfId="12637" xr:uid="{00000000-0005-0000-0000-0000C62F0000}"/>
    <cellStyle name="Input [yellow] 2 3 3 3 3" xfId="12638" xr:uid="{00000000-0005-0000-0000-0000C72F0000}"/>
    <cellStyle name="Input [yellow] 2 3 3 4" xfId="12639" xr:uid="{00000000-0005-0000-0000-0000C82F0000}"/>
    <cellStyle name="Input [yellow] 2 3 3 4 2" xfId="12640" xr:uid="{00000000-0005-0000-0000-0000C92F0000}"/>
    <cellStyle name="Input [yellow] 2 3 3 4 3" xfId="12641" xr:uid="{00000000-0005-0000-0000-0000CA2F0000}"/>
    <cellStyle name="Input [yellow] 2 3 3 5" xfId="12642" xr:uid="{00000000-0005-0000-0000-0000CB2F0000}"/>
    <cellStyle name="Input [yellow] 2 3 3 5 2" xfId="12643" xr:uid="{00000000-0005-0000-0000-0000CC2F0000}"/>
    <cellStyle name="Input [yellow] 2 3 3 5 3" xfId="12644" xr:uid="{00000000-0005-0000-0000-0000CD2F0000}"/>
    <cellStyle name="Input [yellow] 2 3 3 6" xfId="12645" xr:uid="{00000000-0005-0000-0000-0000CE2F0000}"/>
    <cellStyle name="Input [yellow] 2 3 3 6 2" xfId="12646" xr:uid="{00000000-0005-0000-0000-0000CF2F0000}"/>
    <cellStyle name="Input [yellow] 2 3 3 6 3" xfId="12647" xr:uid="{00000000-0005-0000-0000-0000D02F0000}"/>
    <cellStyle name="Input [yellow] 2 3 3 7" xfId="12648" xr:uid="{00000000-0005-0000-0000-0000D12F0000}"/>
    <cellStyle name="Input [yellow] 2 3 3 8" xfId="12649" xr:uid="{00000000-0005-0000-0000-0000D22F0000}"/>
    <cellStyle name="Input [yellow] 2 3 4" xfId="12650" xr:uid="{00000000-0005-0000-0000-0000D32F0000}"/>
    <cellStyle name="Input [yellow] 2 3 4 2" xfId="12651" xr:uid="{00000000-0005-0000-0000-0000D42F0000}"/>
    <cellStyle name="Input [yellow] 2 3 4 2 2" xfId="12652" xr:uid="{00000000-0005-0000-0000-0000D52F0000}"/>
    <cellStyle name="Input [yellow] 2 3 4 2 3" xfId="12653" xr:uid="{00000000-0005-0000-0000-0000D62F0000}"/>
    <cellStyle name="Input [yellow] 2 3 4 3" xfId="12654" xr:uid="{00000000-0005-0000-0000-0000D72F0000}"/>
    <cellStyle name="Input [yellow] 2 3 4 3 2" xfId="12655" xr:uid="{00000000-0005-0000-0000-0000D82F0000}"/>
    <cellStyle name="Input [yellow] 2 3 4 3 3" xfId="12656" xr:uid="{00000000-0005-0000-0000-0000D92F0000}"/>
    <cellStyle name="Input [yellow] 2 3 4 4" xfId="12657" xr:uid="{00000000-0005-0000-0000-0000DA2F0000}"/>
    <cellStyle name="Input [yellow] 2 3 4 4 2" xfId="12658" xr:uid="{00000000-0005-0000-0000-0000DB2F0000}"/>
    <cellStyle name="Input [yellow] 2 3 4 4 3" xfId="12659" xr:uid="{00000000-0005-0000-0000-0000DC2F0000}"/>
    <cellStyle name="Input [yellow] 2 3 4 5" xfId="12660" xr:uid="{00000000-0005-0000-0000-0000DD2F0000}"/>
    <cellStyle name="Input [yellow] 2 3 4 5 2" xfId="12661" xr:uid="{00000000-0005-0000-0000-0000DE2F0000}"/>
    <cellStyle name="Input [yellow] 2 3 4 5 3" xfId="12662" xr:uid="{00000000-0005-0000-0000-0000DF2F0000}"/>
    <cellStyle name="Input [yellow] 2 3 4 6" xfId="12663" xr:uid="{00000000-0005-0000-0000-0000E02F0000}"/>
    <cellStyle name="Input [yellow] 2 3 4 6 2" xfId="12664" xr:uid="{00000000-0005-0000-0000-0000E12F0000}"/>
    <cellStyle name="Input [yellow] 2 3 4 6 3" xfId="12665" xr:uid="{00000000-0005-0000-0000-0000E22F0000}"/>
    <cellStyle name="Input [yellow] 2 3 4 7" xfId="12666" xr:uid="{00000000-0005-0000-0000-0000E32F0000}"/>
    <cellStyle name="Input [yellow] 2 3 4 8" xfId="12667" xr:uid="{00000000-0005-0000-0000-0000E42F0000}"/>
    <cellStyle name="Input [yellow] 2 3 5" xfId="12668" xr:uid="{00000000-0005-0000-0000-0000E52F0000}"/>
    <cellStyle name="Input [yellow] 2 3 5 2" xfId="12669" xr:uid="{00000000-0005-0000-0000-0000E62F0000}"/>
    <cellStyle name="Input [yellow] 2 3 5 2 2" xfId="12670" xr:uid="{00000000-0005-0000-0000-0000E72F0000}"/>
    <cellStyle name="Input [yellow] 2 3 5 2 3" xfId="12671" xr:uid="{00000000-0005-0000-0000-0000E82F0000}"/>
    <cellStyle name="Input [yellow] 2 3 5 3" xfId="12672" xr:uid="{00000000-0005-0000-0000-0000E92F0000}"/>
    <cellStyle name="Input [yellow] 2 3 5 3 2" xfId="12673" xr:uid="{00000000-0005-0000-0000-0000EA2F0000}"/>
    <cellStyle name="Input [yellow] 2 3 5 3 3" xfId="12674" xr:uid="{00000000-0005-0000-0000-0000EB2F0000}"/>
    <cellStyle name="Input [yellow] 2 3 5 4" xfId="12675" xr:uid="{00000000-0005-0000-0000-0000EC2F0000}"/>
    <cellStyle name="Input [yellow] 2 3 5 4 2" xfId="12676" xr:uid="{00000000-0005-0000-0000-0000ED2F0000}"/>
    <cellStyle name="Input [yellow] 2 3 5 4 3" xfId="12677" xr:uid="{00000000-0005-0000-0000-0000EE2F0000}"/>
    <cellStyle name="Input [yellow] 2 3 5 5" xfId="12678" xr:uid="{00000000-0005-0000-0000-0000EF2F0000}"/>
    <cellStyle name="Input [yellow] 2 3 5 5 2" xfId="12679" xr:uid="{00000000-0005-0000-0000-0000F02F0000}"/>
    <cellStyle name="Input [yellow] 2 3 5 5 3" xfId="12680" xr:uid="{00000000-0005-0000-0000-0000F12F0000}"/>
    <cellStyle name="Input [yellow] 2 3 5 6" xfId="12681" xr:uid="{00000000-0005-0000-0000-0000F22F0000}"/>
    <cellStyle name="Input [yellow] 2 3 5 6 2" xfId="12682" xr:uid="{00000000-0005-0000-0000-0000F32F0000}"/>
    <cellStyle name="Input [yellow] 2 3 5 6 3" xfId="12683" xr:uid="{00000000-0005-0000-0000-0000F42F0000}"/>
    <cellStyle name="Input [yellow] 2 3 5 7" xfId="12684" xr:uid="{00000000-0005-0000-0000-0000F52F0000}"/>
    <cellStyle name="Input [yellow] 2 3 6" xfId="12685" xr:uid="{00000000-0005-0000-0000-0000F62F0000}"/>
    <cellStyle name="Input [yellow] 2 3 6 2" xfId="12686" xr:uid="{00000000-0005-0000-0000-0000F72F0000}"/>
    <cellStyle name="Input [yellow] 2 3 6 2 2" xfId="12687" xr:uid="{00000000-0005-0000-0000-0000F82F0000}"/>
    <cellStyle name="Input [yellow] 2 3 6 2 3" xfId="12688" xr:uid="{00000000-0005-0000-0000-0000F92F0000}"/>
    <cellStyle name="Input [yellow] 2 3 6 3" xfId="12689" xr:uid="{00000000-0005-0000-0000-0000FA2F0000}"/>
    <cellStyle name="Input [yellow] 2 3 6 3 2" xfId="12690" xr:uid="{00000000-0005-0000-0000-0000FB2F0000}"/>
    <cellStyle name="Input [yellow] 2 3 6 3 3" xfId="12691" xr:uid="{00000000-0005-0000-0000-0000FC2F0000}"/>
    <cellStyle name="Input [yellow] 2 3 6 4" xfId="12692" xr:uid="{00000000-0005-0000-0000-0000FD2F0000}"/>
    <cellStyle name="Input [yellow] 2 3 6 4 2" xfId="12693" xr:uid="{00000000-0005-0000-0000-0000FE2F0000}"/>
    <cellStyle name="Input [yellow] 2 3 6 4 3" xfId="12694" xr:uid="{00000000-0005-0000-0000-0000FF2F0000}"/>
    <cellStyle name="Input [yellow] 2 3 6 5" xfId="12695" xr:uid="{00000000-0005-0000-0000-000000300000}"/>
    <cellStyle name="Input [yellow] 2 3 6 5 2" xfId="12696" xr:uid="{00000000-0005-0000-0000-000001300000}"/>
    <cellStyle name="Input [yellow] 2 3 6 5 3" xfId="12697" xr:uid="{00000000-0005-0000-0000-000002300000}"/>
    <cellStyle name="Input [yellow] 2 3 6 6" xfId="12698" xr:uid="{00000000-0005-0000-0000-000003300000}"/>
    <cellStyle name="Input [yellow] 2 3 6 6 2" xfId="12699" xr:uid="{00000000-0005-0000-0000-000004300000}"/>
    <cellStyle name="Input [yellow] 2 3 6 6 3" xfId="12700" xr:uid="{00000000-0005-0000-0000-000005300000}"/>
    <cellStyle name="Input [yellow] 2 3 6 7" xfId="12701" xr:uid="{00000000-0005-0000-0000-000006300000}"/>
    <cellStyle name="Input [yellow] 2 3 7" xfId="12702" xr:uid="{00000000-0005-0000-0000-000007300000}"/>
    <cellStyle name="Input [yellow] 2 3 7 2" xfId="12703" xr:uid="{00000000-0005-0000-0000-000008300000}"/>
    <cellStyle name="Input [yellow] 2 3 7 3" xfId="12704" xr:uid="{00000000-0005-0000-0000-000009300000}"/>
    <cellStyle name="Input [yellow] 2 4" xfId="12705" xr:uid="{00000000-0005-0000-0000-00000A300000}"/>
    <cellStyle name="Input [yellow] 2 4 10" xfId="12706" xr:uid="{00000000-0005-0000-0000-00000B300000}"/>
    <cellStyle name="Input [yellow] 2 4 10 2" xfId="12707" xr:uid="{00000000-0005-0000-0000-00000C300000}"/>
    <cellStyle name="Input [yellow] 2 4 10 3" xfId="12708" xr:uid="{00000000-0005-0000-0000-00000D300000}"/>
    <cellStyle name="Input [yellow] 2 4 2" xfId="12709" xr:uid="{00000000-0005-0000-0000-00000E300000}"/>
    <cellStyle name="Input [yellow] 2 4 2 2" xfId="12710" xr:uid="{00000000-0005-0000-0000-00000F300000}"/>
    <cellStyle name="Input [yellow] 2 4 2 2 2" xfId="12711" xr:uid="{00000000-0005-0000-0000-000010300000}"/>
    <cellStyle name="Input [yellow] 2 4 2 2 3" xfId="12712" xr:uid="{00000000-0005-0000-0000-000011300000}"/>
    <cellStyle name="Input [yellow] 2 4 2 3" xfId="12713" xr:uid="{00000000-0005-0000-0000-000012300000}"/>
    <cellStyle name="Input [yellow] 2 4 2 3 2" xfId="12714" xr:uid="{00000000-0005-0000-0000-000013300000}"/>
    <cellStyle name="Input [yellow] 2 4 2 3 3" xfId="12715" xr:uid="{00000000-0005-0000-0000-000014300000}"/>
    <cellStyle name="Input [yellow] 2 4 2 4" xfId="12716" xr:uid="{00000000-0005-0000-0000-000015300000}"/>
    <cellStyle name="Input [yellow] 2 4 2 4 2" xfId="12717" xr:uid="{00000000-0005-0000-0000-000016300000}"/>
    <cellStyle name="Input [yellow] 2 4 2 4 3" xfId="12718" xr:uid="{00000000-0005-0000-0000-000017300000}"/>
    <cellStyle name="Input [yellow] 2 4 2 5" xfId="12719" xr:uid="{00000000-0005-0000-0000-000018300000}"/>
    <cellStyle name="Input [yellow] 2 4 2 5 2" xfId="12720" xr:uid="{00000000-0005-0000-0000-000019300000}"/>
    <cellStyle name="Input [yellow] 2 4 2 5 3" xfId="12721" xr:uid="{00000000-0005-0000-0000-00001A300000}"/>
    <cellStyle name="Input [yellow] 2 4 2 6" xfId="12722" xr:uid="{00000000-0005-0000-0000-00001B300000}"/>
    <cellStyle name="Input [yellow] 2 4 2 6 2" xfId="12723" xr:uid="{00000000-0005-0000-0000-00001C300000}"/>
    <cellStyle name="Input [yellow] 2 4 2 6 3" xfId="12724" xr:uid="{00000000-0005-0000-0000-00001D300000}"/>
    <cellStyle name="Input [yellow] 2 4 2 7" xfId="12725" xr:uid="{00000000-0005-0000-0000-00001E300000}"/>
    <cellStyle name="Input [yellow] 2 4 2 8" xfId="12726" xr:uid="{00000000-0005-0000-0000-00001F300000}"/>
    <cellStyle name="Input [yellow] 2 4 3" xfId="12727" xr:uid="{00000000-0005-0000-0000-000020300000}"/>
    <cellStyle name="Input [yellow] 2 4 3 2" xfId="12728" xr:uid="{00000000-0005-0000-0000-000021300000}"/>
    <cellStyle name="Input [yellow] 2 4 3 2 2" xfId="12729" xr:uid="{00000000-0005-0000-0000-000022300000}"/>
    <cellStyle name="Input [yellow] 2 4 3 2 3" xfId="12730" xr:uid="{00000000-0005-0000-0000-000023300000}"/>
    <cellStyle name="Input [yellow] 2 4 3 3" xfId="12731" xr:uid="{00000000-0005-0000-0000-000024300000}"/>
    <cellStyle name="Input [yellow] 2 4 3 3 2" xfId="12732" xr:uid="{00000000-0005-0000-0000-000025300000}"/>
    <cellStyle name="Input [yellow] 2 4 3 3 3" xfId="12733" xr:uid="{00000000-0005-0000-0000-000026300000}"/>
    <cellStyle name="Input [yellow] 2 4 3 4" xfId="12734" xr:uid="{00000000-0005-0000-0000-000027300000}"/>
    <cellStyle name="Input [yellow] 2 4 3 4 2" xfId="12735" xr:uid="{00000000-0005-0000-0000-000028300000}"/>
    <cellStyle name="Input [yellow] 2 4 3 4 3" xfId="12736" xr:uid="{00000000-0005-0000-0000-000029300000}"/>
    <cellStyle name="Input [yellow] 2 4 3 5" xfId="12737" xr:uid="{00000000-0005-0000-0000-00002A300000}"/>
    <cellStyle name="Input [yellow] 2 4 3 5 2" xfId="12738" xr:uid="{00000000-0005-0000-0000-00002B300000}"/>
    <cellStyle name="Input [yellow] 2 4 3 5 3" xfId="12739" xr:uid="{00000000-0005-0000-0000-00002C300000}"/>
    <cellStyle name="Input [yellow] 2 4 3 6" xfId="12740" xr:uid="{00000000-0005-0000-0000-00002D300000}"/>
    <cellStyle name="Input [yellow] 2 4 3 6 2" xfId="12741" xr:uid="{00000000-0005-0000-0000-00002E300000}"/>
    <cellStyle name="Input [yellow] 2 4 3 6 3" xfId="12742" xr:uid="{00000000-0005-0000-0000-00002F300000}"/>
    <cellStyle name="Input [yellow] 2 4 3 7" xfId="12743" xr:uid="{00000000-0005-0000-0000-000030300000}"/>
    <cellStyle name="Input [yellow] 2 4 3 8" xfId="12744" xr:uid="{00000000-0005-0000-0000-000031300000}"/>
    <cellStyle name="Input [yellow] 2 4 4" xfId="12745" xr:uid="{00000000-0005-0000-0000-000032300000}"/>
    <cellStyle name="Input [yellow] 2 4 4 2" xfId="12746" xr:uid="{00000000-0005-0000-0000-000033300000}"/>
    <cellStyle name="Input [yellow] 2 4 4 2 2" xfId="12747" xr:uid="{00000000-0005-0000-0000-000034300000}"/>
    <cellStyle name="Input [yellow] 2 4 4 2 3" xfId="12748" xr:uid="{00000000-0005-0000-0000-000035300000}"/>
    <cellStyle name="Input [yellow] 2 4 4 3" xfId="12749" xr:uid="{00000000-0005-0000-0000-000036300000}"/>
    <cellStyle name="Input [yellow] 2 4 4 3 2" xfId="12750" xr:uid="{00000000-0005-0000-0000-000037300000}"/>
    <cellStyle name="Input [yellow] 2 4 4 3 3" xfId="12751" xr:uid="{00000000-0005-0000-0000-000038300000}"/>
    <cellStyle name="Input [yellow] 2 4 4 4" xfId="12752" xr:uid="{00000000-0005-0000-0000-000039300000}"/>
    <cellStyle name="Input [yellow] 2 4 4 4 2" xfId="12753" xr:uid="{00000000-0005-0000-0000-00003A300000}"/>
    <cellStyle name="Input [yellow] 2 4 4 4 3" xfId="12754" xr:uid="{00000000-0005-0000-0000-00003B300000}"/>
    <cellStyle name="Input [yellow] 2 4 4 5" xfId="12755" xr:uid="{00000000-0005-0000-0000-00003C300000}"/>
    <cellStyle name="Input [yellow] 2 4 4 5 2" xfId="12756" xr:uid="{00000000-0005-0000-0000-00003D300000}"/>
    <cellStyle name="Input [yellow] 2 4 4 5 3" xfId="12757" xr:uid="{00000000-0005-0000-0000-00003E300000}"/>
    <cellStyle name="Input [yellow] 2 4 4 6" xfId="12758" xr:uid="{00000000-0005-0000-0000-00003F300000}"/>
    <cellStyle name="Input [yellow] 2 4 4 6 2" xfId="12759" xr:uid="{00000000-0005-0000-0000-000040300000}"/>
    <cellStyle name="Input [yellow] 2 4 4 6 3" xfId="12760" xr:uid="{00000000-0005-0000-0000-000041300000}"/>
    <cellStyle name="Input [yellow] 2 4 4 7" xfId="12761" xr:uid="{00000000-0005-0000-0000-000042300000}"/>
    <cellStyle name="Input [yellow] 2 4 5" xfId="12762" xr:uid="{00000000-0005-0000-0000-000043300000}"/>
    <cellStyle name="Input [yellow] 2 4 5 2" xfId="12763" xr:uid="{00000000-0005-0000-0000-000044300000}"/>
    <cellStyle name="Input [yellow] 2 4 5 2 2" xfId="12764" xr:uid="{00000000-0005-0000-0000-000045300000}"/>
    <cellStyle name="Input [yellow] 2 4 5 2 3" xfId="12765" xr:uid="{00000000-0005-0000-0000-000046300000}"/>
    <cellStyle name="Input [yellow] 2 4 5 3" xfId="12766" xr:uid="{00000000-0005-0000-0000-000047300000}"/>
    <cellStyle name="Input [yellow] 2 4 5 3 2" xfId="12767" xr:uid="{00000000-0005-0000-0000-000048300000}"/>
    <cellStyle name="Input [yellow] 2 4 5 3 3" xfId="12768" xr:uid="{00000000-0005-0000-0000-000049300000}"/>
    <cellStyle name="Input [yellow] 2 4 5 4" xfId="12769" xr:uid="{00000000-0005-0000-0000-00004A300000}"/>
    <cellStyle name="Input [yellow] 2 4 5 4 2" xfId="12770" xr:uid="{00000000-0005-0000-0000-00004B300000}"/>
    <cellStyle name="Input [yellow] 2 4 5 4 3" xfId="12771" xr:uid="{00000000-0005-0000-0000-00004C300000}"/>
    <cellStyle name="Input [yellow] 2 4 5 5" xfId="12772" xr:uid="{00000000-0005-0000-0000-00004D300000}"/>
    <cellStyle name="Input [yellow] 2 4 5 5 2" xfId="12773" xr:uid="{00000000-0005-0000-0000-00004E300000}"/>
    <cellStyle name="Input [yellow] 2 4 5 5 3" xfId="12774" xr:uid="{00000000-0005-0000-0000-00004F300000}"/>
    <cellStyle name="Input [yellow] 2 4 5 6" xfId="12775" xr:uid="{00000000-0005-0000-0000-000050300000}"/>
    <cellStyle name="Input [yellow] 2 4 5 6 2" xfId="12776" xr:uid="{00000000-0005-0000-0000-000051300000}"/>
    <cellStyle name="Input [yellow] 2 4 5 6 3" xfId="12777" xr:uid="{00000000-0005-0000-0000-000052300000}"/>
    <cellStyle name="Input [yellow] 2 4 5 7" xfId="12778" xr:uid="{00000000-0005-0000-0000-000053300000}"/>
    <cellStyle name="Input [yellow] 2 4 6" xfId="12779" xr:uid="{00000000-0005-0000-0000-000054300000}"/>
    <cellStyle name="Input [yellow] 2 4 6 2" xfId="12780" xr:uid="{00000000-0005-0000-0000-000055300000}"/>
    <cellStyle name="Input [yellow] 2 4 6 3" xfId="12781" xr:uid="{00000000-0005-0000-0000-000056300000}"/>
    <cellStyle name="Input [yellow] 2 4 7" xfId="12782" xr:uid="{00000000-0005-0000-0000-000057300000}"/>
    <cellStyle name="Input [yellow] 2 4 7 2" xfId="12783" xr:uid="{00000000-0005-0000-0000-000058300000}"/>
    <cellStyle name="Input [yellow] 2 4 7 3" xfId="12784" xr:uid="{00000000-0005-0000-0000-000059300000}"/>
    <cellStyle name="Input [yellow] 2 4 8" xfId="12785" xr:uid="{00000000-0005-0000-0000-00005A300000}"/>
    <cellStyle name="Input [yellow] 2 4 8 2" xfId="12786" xr:uid="{00000000-0005-0000-0000-00005B300000}"/>
    <cellStyle name="Input [yellow] 2 4 8 3" xfId="12787" xr:uid="{00000000-0005-0000-0000-00005C300000}"/>
    <cellStyle name="Input [yellow] 2 4 9" xfId="12788" xr:uid="{00000000-0005-0000-0000-00005D300000}"/>
    <cellStyle name="Input [yellow] 2 4 9 2" xfId="12789" xr:uid="{00000000-0005-0000-0000-00005E300000}"/>
    <cellStyle name="Input [yellow] 2 4 9 3" xfId="12790" xr:uid="{00000000-0005-0000-0000-00005F300000}"/>
    <cellStyle name="Input [yellow] 2 5" xfId="12791" xr:uid="{00000000-0005-0000-0000-000060300000}"/>
    <cellStyle name="Input [yellow] 2 5 10" xfId="12792" xr:uid="{00000000-0005-0000-0000-000061300000}"/>
    <cellStyle name="Input [yellow] 2 5 10 2" xfId="12793" xr:uid="{00000000-0005-0000-0000-000062300000}"/>
    <cellStyle name="Input [yellow] 2 5 10 3" xfId="12794" xr:uid="{00000000-0005-0000-0000-000063300000}"/>
    <cellStyle name="Input [yellow] 2 5 2" xfId="12795" xr:uid="{00000000-0005-0000-0000-000064300000}"/>
    <cellStyle name="Input [yellow] 2 5 2 2" xfId="12796" xr:uid="{00000000-0005-0000-0000-000065300000}"/>
    <cellStyle name="Input [yellow] 2 5 2 2 2" xfId="12797" xr:uid="{00000000-0005-0000-0000-000066300000}"/>
    <cellStyle name="Input [yellow] 2 5 2 2 3" xfId="12798" xr:uid="{00000000-0005-0000-0000-000067300000}"/>
    <cellStyle name="Input [yellow] 2 5 2 3" xfId="12799" xr:uid="{00000000-0005-0000-0000-000068300000}"/>
    <cellStyle name="Input [yellow] 2 5 2 3 2" xfId="12800" xr:uid="{00000000-0005-0000-0000-000069300000}"/>
    <cellStyle name="Input [yellow] 2 5 2 3 3" xfId="12801" xr:uid="{00000000-0005-0000-0000-00006A300000}"/>
    <cellStyle name="Input [yellow] 2 5 2 4" xfId="12802" xr:uid="{00000000-0005-0000-0000-00006B300000}"/>
    <cellStyle name="Input [yellow] 2 5 2 4 2" xfId="12803" xr:uid="{00000000-0005-0000-0000-00006C300000}"/>
    <cellStyle name="Input [yellow] 2 5 2 4 3" xfId="12804" xr:uid="{00000000-0005-0000-0000-00006D300000}"/>
    <cellStyle name="Input [yellow] 2 5 2 5" xfId="12805" xr:uid="{00000000-0005-0000-0000-00006E300000}"/>
    <cellStyle name="Input [yellow] 2 5 2 5 2" xfId="12806" xr:uid="{00000000-0005-0000-0000-00006F300000}"/>
    <cellStyle name="Input [yellow] 2 5 2 5 3" xfId="12807" xr:uid="{00000000-0005-0000-0000-000070300000}"/>
    <cellStyle name="Input [yellow] 2 5 2 6" xfId="12808" xr:uid="{00000000-0005-0000-0000-000071300000}"/>
    <cellStyle name="Input [yellow] 2 5 2 6 2" xfId="12809" xr:uid="{00000000-0005-0000-0000-000072300000}"/>
    <cellStyle name="Input [yellow] 2 5 2 6 3" xfId="12810" xr:uid="{00000000-0005-0000-0000-000073300000}"/>
    <cellStyle name="Input [yellow] 2 5 2 7" xfId="12811" xr:uid="{00000000-0005-0000-0000-000074300000}"/>
    <cellStyle name="Input [yellow] 2 5 2 8" xfId="12812" xr:uid="{00000000-0005-0000-0000-000075300000}"/>
    <cellStyle name="Input [yellow] 2 5 3" xfId="12813" xr:uid="{00000000-0005-0000-0000-000076300000}"/>
    <cellStyle name="Input [yellow] 2 5 3 2" xfId="12814" xr:uid="{00000000-0005-0000-0000-000077300000}"/>
    <cellStyle name="Input [yellow] 2 5 3 2 2" xfId="12815" xr:uid="{00000000-0005-0000-0000-000078300000}"/>
    <cellStyle name="Input [yellow] 2 5 3 2 3" xfId="12816" xr:uid="{00000000-0005-0000-0000-000079300000}"/>
    <cellStyle name="Input [yellow] 2 5 3 3" xfId="12817" xr:uid="{00000000-0005-0000-0000-00007A300000}"/>
    <cellStyle name="Input [yellow] 2 5 3 3 2" xfId="12818" xr:uid="{00000000-0005-0000-0000-00007B300000}"/>
    <cellStyle name="Input [yellow] 2 5 3 3 3" xfId="12819" xr:uid="{00000000-0005-0000-0000-00007C300000}"/>
    <cellStyle name="Input [yellow] 2 5 3 4" xfId="12820" xr:uid="{00000000-0005-0000-0000-00007D300000}"/>
    <cellStyle name="Input [yellow] 2 5 3 4 2" xfId="12821" xr:uid="{00000000-0005-0000-0000-00007E300000}"/>
    <cellStyle name="Input [yellow] 2 5 3 4 3" xfId="12822" xr:uid="{00000000-0005-0000-0000-00007F300000}"/>
    <cellStyle name="Input [yellow] 2 5 3 5" xfId="12823" xr:uid="{00000000-0005-0000-0000-000080300000}"/>
    <cellStyle name="Input [yellow] 2 5 3 5 2" xfId="12824" xr:uid="{00000000-0005-0000-0000-000081300000}"/>
    <cellStyle name="Input [yellow] 2 5 3 5 3" xfId="12825" xr:uid="{00000000-0005-0000-0000-000082300000}"/>
    <cellStyle name="Input [yellow] 2 5 3 6" xfId="12826" xr:uid="{00000000-0005-0000-0000-000083300000}"/>
    <cellStyle name="Input [yellow] 2 5 3 6 2" xfId="12827" xr:uid="{00000000-0005-0000-0000-000084300000}"/>
    <cellStyle name="Input [yellow] 2 5 3 6 3" xfId="12828" xr:uid="{00000000-0005-0000-0000-000085300000}"/>
    <cellStyle name="Input [yellow] 2 5 3 7" xfId="12829" xr:uid="{00000000-0005-0000-0000-000086300000}"/>
    <cellStyle name="Input [yellow] 2 5 3 8" xfId="12830" xr:uid="{00000000-0005-0000-0000-000087300000}"/>
    <cellStyle name="Input [yellow] 2 5 4" xfId="12831" xr:uid="{00000000-0005-0000-0000-000088300000}"/>
    <cellStyle name="Input [yellow] 2 5 4 2" xfId="12832" xr:uid="{00000000-0005-0000-0000-000089300000}"/>
    <cellStyle name="Input [yellow] 2 5 4 2 2" xfId="12833" xr:uid="{00000000-0005-0000-0000-00008A300000}"/>
    <cellStyle name="Input [yellow] 2 5 4 2 3" xfId="12834" xr:uid="{00000000-0005-0000-0000-00008B300000}"/>
    <cellStyle name="Input [yellow] 2 5 4 3" xfId="12835" xr:uid="{00000000-0005-0000-0000-00008C300000}"/>
    <cellStyle name="Input [yellow] 2 5 4 3 2" xfId="12836" xr:uid="{00000000-0005-0000-0000-00008D300000}"/>
    <cellStyle name="Input [yellow] 2 5 4 3 3" xfId="12837" xr:uid="{00000000-0005-0000-0000-00008E300000}"/>
    <cellStyle name="Input [yellow] 2 5 4 4" xfId="12838" xr:uid="{00000000-0005-0000-0000-00008F300000}"/>
    <cellStyle name="Input [yellow] 2 5 4 4 2" xfId="12839" xr:uid="{00000000-0005-0000-0000-000090300000}"/>
    <cellStyle name="Input [yellow] 2 5 4 4 3" xfId="12840" xr:uid="{00000000-0005-0000-0000-000091300000}"/>
    <cellStyle name="Input [yellow] 2 5 4 5" xfId="12841" xr:uid="{00000000-0005-0000-0000-000092300000}"/>
    <cellStyle name="Input [yellow] 2 5 4 5 2" xfId="12842" xr:uid="{00000000-0005-0000-0000-000093300000}"/>
    <cellStyle name="Input [yellow] 2 5 4 5 3" xfId="12843" xr:uid="{00000000-0005-0000-0000-000094300000}"/>
    <cellStyle name="Input [yellow] 2 5 4 6" xfId="12844" xr:uid="{00000000-0005-0000-0000-000095300000}"/>
    <cellStyle name="Input [yellow] 2 5 4 6 2" xfId="12845" xr:uid="{00000000-0005-0000-0000-000096300000}"/>
    <cellStyle name="Input [yellow] 2 5 4 6 3" xfId="12846" xr:uid="{00000000-0005-0000-0000-000097300000}"/>
    <cellStyle name="Input [yellow] 2 5 4 7" xfId="12847" xr:uid="{00000000-0005-0000-0000-000098300000}"/>
    <cellStyle name="Input [yellow] 2 5 5" xfId="12848" xr:uid="{00000000-0005-0000-0000-000099300000}"/>
    <cellStyle name="Input [yellow] 2 5 5 2" xfId="12849" xr:uid="{00000000-0005-0000-0000-00009A300000}"/>
    <cellStyle name="Input [yellow] 2 5 5 2 2" xfId="12850" xr:uid="{00000000-0005-0000-0000-00009B300000}"/>
    <cellStyle name="Input [yellow] 2 5 5 2 3" xfId="12851" xr:uid="{00000000-0005-0000-0000-00009C300000}"/>
    <cellStyle name="Input [yellow] 2 5 5 3" xfId="12852" xr:uid="{00000000-0005-0000-0000-00009D300000}"/>
    <cellStyle name="Input [yellow] 2 5 5 3 2" xfId="12853" xr:uid="{00000000-0005-0000-0000-00009E300000}"/>
    <cellStyle name="Input [yellow] 2 5 5 3 3" xfId="12854" xr:uid="{00000000-0005-0000-0000-00009F300000}"/>
    <cellStyle name="Input [yellow] 2 5 5 4" xfId="12855" xr:uid="{00000000-0005-0000-0000-0000A0300000}"/>
    <cellStyle name="Input [yellow] 2 5 5 4 2" xfId="12856" xr:uid="{00000000-0005-0000-0000-0000A1300000}"/>
    <cellStyle name="Input [yellow] 2 5 5 4 3" xfId="12857" xr:uid="{00000000-0005-0000-0000-0000A2300000}"/>
    <cellStyle name="Input [yellow] 2 5 5 5" xfId="12858" xr:uid="{00000000-0005-0000-0000-0000A3300000}"/>
    <cellStyle name="Input [yellow] 2 5 5 5 2" xfId="12859" xr:uid="{00000000-0005-0000-0000-0000A4300000}"/>
    <cellStyle name="Input [yellow] 2 5 5 5 3" xfId="12860" xr:uid="{00000000-0005-0000-0000-0000A5300000}"/>
    <cellStyle name="Input [yellow] 2 5 5 6" xfId="12861" xr:uid="{00000000-0005-0000-0000-0000A6300000}"/>
    <cellStyle name="Input [yellow] 2 5 5 6 2" xfId="12862" xr:uid="{00000000-0005-0000-0000-0000A7300000}"/>
    <cellStyle name="Input [yellow] 2 5 5 6 3" xfId="12863" xr:uid="{00000000-0005-0000-0000-0000A8300000}"/>
    <cellStyle name="Input [yellow] 2 5 5 7" xfId="12864" xr:uid="{00000000-0005-0000-0000-0000A9300000}"/>
    <cellStyle name="Input [yellow] 2 5 6" xfId="12865" xr:uid="{00000000-0005-0000-0000-0000AA300000}"/>
    <cellStyle name="Input [yellow] 2 5 6 2" xfId="12866" xr:uid="{00000000-0005-0000-0000-0000AB300000}"/>
    <cellStyle name="Input [yellow] 2 5 6 3" xfId="12867" xr:uid="{00000000-0005-0000-0000-0000AC300000}"/>
    <cellStyle name="Input [yellow] 2 5 7" xfId="12868" xr:uid="{00000000-0005-0000-0000-0000AD300000}"/>
    <cellStyle name="Input [yellow] 2 5 7 2" xfId="12869" xr:uid="{00000000-0005-0000-0000-0000AE300000}"/>
    <cellStyle name="Input [yellow] 2 5 7 3" xfId="12870" xr:uid="{00000000-0005-0000-0000-0000AF300000}"/>
    <cellStyle name="Input [yellow] 2 5 8" xfId="12871" xr:uid="{00000000-0005-0000-0000-0000B0300000}"/>
    <cellStyle name="Input [yellow] 2 5 8 2" xfId="12872" xr:uid="{00000000-0005-0000-0000-0000B1300000}"/>
    <cellStyle name="Input [yellow] 2 5 8 3" xfId="12873" xr:uid="{00000000-0005-0000-0000-0000B2300000}"/>
    <cellStyle name="Input [yellow] 2 5 9" xfId="12874" xr:uid="{00000000-0005-0000-0000-0000B3300000}"/>
    <cellStyle name="Input [yellow] 2 5 9 2" xfId="12875" xr:uid="{00000000-0005-0000-0000-0000B4300000}"/>
    <cellStyle name="Input [yellow] 2 5 9 3" xfId="12876" xr:uid="{00000000-0005-0000-0000-0000B5300000}"/>
    <cellStyle name="Input [yellow] 2 6" xfId="12877" xr:uid="{00000000-0005-0000-0000-0000B6300000}"/>
    <cellStyle name="Input [yellow] 2 6 2" xfId="12878" xr:uid="{00000000-0005-0000-0000-0000B7300000}"/>
    <cellStyle name="Input [yellow] 2 6 2 2" xfId="12879" xr:uid="{00000000-0005-0000-0000-0000B8300000}"/>
    <cellStyle name="Input [yellow] 2 6 2 3" xfId="12880" xr:uid="{00000000-0005-0000-0000-0000B9300000}"/>
    <cellStyle name="Input [yellow] 2 6 3" xfId="12881" xr:uid="{00000000-0005-0000-0000-0000BA300000}"/>
    <cellStyle name="Input [yellow] 2 6 3 2" xfId="12882" xr:uid="{00000000-0005-0000-0000-0000BB300000}"/>
    <cellStyle name="Input [yellow] 2 6 3 3" xfId="12883" xr:uid="{00000000-0005-0000-0000-0000BC300000}"/>
    <cellStyle name="Input [yellow] 2 6 4" xfId="12884" xr:uid="{00000000-0005-0000-0000-0000BD300000}"/>
    <cellStyle name="Input [yellow] 2 6 4 2" xfId="12885" xr:uid="{00000000-0005-0000-0000-0000BE300000}"/>
    <cellStyle name="Input [yellow] 2 6 4 3" xfId="12886" xr:uid="{00000000-0005-0000-0000-0000BF300000}"/>
    <cellStyle name="Input [yellow] 2 6 5" xfId="12887" xr:uid="{00000000-0005-0000-0000-0000C0300000}"/>
    <cellStyle name="Input [yellow] 2 6 5 2" xfId="12888" xr:uid="{00000000-0005-0000-0000-0000C1300000}"/>
    <cellStyle name="Input [yellow] 2 6 5 3" xfId="12889" xr:uid="{00000000-0005-0000-0000-0000C2300000}"/>
    <cellStyle name="Input [yellow] 2 6 6" xfId="12890" xr:uid="{00000000-0005-0000-0000-0000C3300000}"/>
    <cellStyle name="Input [yellow] 2 6 6 2" xfId="12891" xr:uid="{00000000-0005-0000-0000-0000C4300000}"/>
    <cellStyle name="Input [yellow] 2 6 6 3" xfId="12892" xr:uid="{00000000-0005-0000-0000-0000C5300000}"/>
    <cellStyle name="Input [yellow] 2 6 7" xfId="12893" xr:uid="{00000000-0005-0000-0000-0000C6300000}"/>
    <cellStyle name="Input [yellow] 2 6 8" xfId="12894" xr:uid="{00000000-0005-0000-0000-0000C7300000}"/>
    <cellStyle name="Input [yellow] 2 7" xfId="12895" xr:uid="{00000000-0005-0000-0000-0000C8300000}"/>
    <cellStyle name="Input [yellow] 2 7 2" xfId="12896" xr:uid="{00000000-0005-0000-0000-0000C9300000}"/>
    <cellStyle name="Input [yellow] 2 7 2 2" xfId="12897" xr:uid="{00000000-0005-0000-0000-0000CA300000}"/>
    <cellStyle name="Input [yellow] 2 7 2 3" xfId="12898" xr:uid="{00000000-0005-0000-0000-0000CB300000}"/>
    <cellStyle name="Input [yellow] 2 7 3" xfId="12899" xr:uid="{00000000-0005-0000-0000-0000CC300000}"/>
    <cellStyle name="Input [yellow] 2 7 3 2" xfId="12900" xr:uid="{00000000-0005-0000-0000-0000CD300000}"/>
    <cellStyle name="Input [yellow] 2 7 3 3" xfId="12901" xr:uid="{00000000-0005-0000-0000-0000CE300000}"/>
    <cellStyle name="Input [yellow] 2 7 4" xfId="12902" xr:uid="{00000000-0005-0000-0000-0000CF300000}"/>
    <cellStyle name="Input [yellow] 2 7 4 2" xfId="12903" xr:uid="{00000000-0005-0000-0000-0000D0300000}"/>
    <cellStyle name="Input [yellow] 2 7 4 3" xfId="12904" xr:uid="{00000000-0005-0000-0000-0000D1300000}"/>
    <cellStyle name="Input [yellow] 2 7 5" xfId="12905" xr:uid="{00000000-0005-0000-0000-0000D2300000}"/>
    <cellStyle name="Input [yellow] 2 7 5 2" xfId="12906" xr:uid="{00000000-0005-0000-0000-0000D3300000}"/>
    <cellStyle name="Input [yellow] 2 7 5 3" xfId="12907" xr:uid="{00000000-0005-0000-0000-0000D4300000}"/>
    <cellStyle name="Input [yellow] 2 7 6" xfId="12908" xr:uid="{00000000-0005-0000-0000-0000D5300000}"/>
    <cellStyle name="Input [yellow] 2 7 6 2" xfId="12909" xr:uid="{00000000-0005-0000-0000-0000D6300000}"/>
    <cellStyle name="Input [yellow] 2 7 6 3" xfId="12910" xr:uid="{00000000-0005-0000-0000-0000D7300000}"/>
    <cellStyle name="Input [yellow] 2 7 7" xfId="12911" xr:uid="{00000000-0005-0000-0000-0000D8300000}"/>
    <cellStyle name="Input [yellow] 2 7 8" xfId="12912" xr:uid="{00000000-0005-0000-0000-0000D9300000}"/>
    <cellStyle name="Input [yellow] 2 8" xfId="12913" xr:uid="{00000000-0005-0000-0000-0000DA300000}"/>
    <cellStyle name="Input [yellow] 2 8 2" xfId="12914" xr:uid="{00000000-0005-0000-0000-0000DB300000}"/>
    <cellStyle name="Input [yellow] 2 8 2 2" xfId="12915" xr:uid="{00000000-0005-0000-0000-0000DC300000}"/>
    <cellStyle name="Input [yellow] 2 8 2 3" xfId="12916" xr:uid="{00000000-0005-0000-0000-0000DD300000}"/>
    <cellStyle name="Input [yellow] 2 8 3" xfId="12917" xr:uid="{00000000-0005-0000-0000-0000DE300000}"/>
    <cellStyle name="Input [yellow] 2 8 3 2" xfId="12918" xr:uid="{00000000-0005-0000-0000-0000DF300000}"/>
    <cellStyle name="Input [yellow] 2 8 3 3" xfId="12919" xr:uid="{00000000-0005-0000-0000-0000E0300000}"/>
    <cellStyle name="Input [yellow] 2 8 4" xfId="12920" xr:uid="{00000000-0005-0000-0000-0000E1300000}"/>
    <cellStyle name="Input [yellow] 2 8 4 2" xfId="12921" xr:uid="{00000000-0005-0000-0000-0000E2300000}"/>
    <cellStyle name="Input [yellow] 2 8 4 3" xfId="12922" xr:uid="{00000000-0005-0000-0000-0000E3300000}"/>
    <cellStyle name="Input [yellow] 2 8 5" xfId="12923" xr:uid="{00000000-0005-0000-0000-0000E4300000}"/>
    <cellStyle name="Input [yellow] 2 8 5 2" xfId="12924" xr:uid="{00000000-0005-0000-0000-0000E5300000}"/>
    <cellStyle name="Input [yellow] 2 8 5 3" xfId="12925" xr:uid="{00000000-0005-0000-0000-0000E6300000}"/>
    <cellStyle name="Input [yellow] 2 8 6" xfId="12926" xr:uid="{00000000-0005-0000-0000-0000E7300000}"/>
    <cellStyle name="Input [yellow] 2 8 6 2" xfId="12927" xr:uid="{00000000-0005-0000-0000-0000E8300000}"/>
    <cellStyle name="Input [yellow] 2 8 6 3" xfId="12928" xr:uid="{00000000-0005-0000-0000-0000E9300000}"/>
    <cellStyle name="Input [yellow] 2 8 7" xfId="12929" xr:uid="{00000000-0005-0000-0000-0000EA300000}"/>
    <cellStyle name="Input [yellow] 2 9" xfId="12930" xr:uid="{00000000-0005-0000-0000-0000EB300000}"/>
    <cellStyle name="Input [yellow] 2 9 2" xfId="12931" xr:uid="{00000000-0005-0000-0000-0000EC300000}"/>
    <cellStyle name="Input [yellow] 2 9 2 2" xfId="12932" xr:uid="{00000000-0005-0000-0000-0000ED300000}"/>
    <cellStyle name="Input [yellow] 2 9 2 3" xfId="12933" xr:uid="{00000000-0005-0000-0000-0000EE300000}"/>
    <cellStyle name="Input [yellow] 2 9 3" xfId="12934" xr:uid="{00000000-0005-0000-0000-0000EF300000}"/>
    <cellStyle name="Input [yellow] 2 9 3 2" xfId="12935" xr:uid="{00000000-0005-0000-0000-0000F0300000}"/>
    <cellStyle name="Input [yellow] 2 9 3 3" xfId="12936" xr:uid="{00000000-0005-0000-0000-0000F1300000}"/>
    <cellStyle name="Input [yellow] 2 9 4" xfId="12937" xr:uid="{00000000-0005-0000-0000-0000F2300000}"/>
    <cellStyle name="Input [yellow] 2 9 4 2" xfId="12938" xr:uid="{00000000-0005-0000-0000-0000F3300000}"/>
    <cellStyle name="Input [yellow] 2 9 4 3" xfId="12939" xr:uid="{00000000-0005-0000-0000-0000F4300000}"/>
    <cellStyle name="Input [yellow] 2 9 5" xfId="12940" xr:uid="{00000000-0005-0000-0000-0000F5300000}"/>
    <cellStyle name="Input [yellow] 2 9 5 2" xfId="12941" xr:uid="{00000000-0005-0000-0000-0000F6300000}"/>
    <cellStyle name="Input [yellow] 2 9 5 3" xfId="12942" xr:uid="{00000000-0005-0000-0000-0000F7300000}"/>
    <cellStyle name="Input [yellow] 2 9 6" xfId="12943" xr:uid="{00000000-0005-0000-0000-0000F8300000}"/>
    <cellStyle name="Input [yellow] 2 9 6 2" xfId="12944" xr:uid="{00000000-0005-0000-0000-0000F9300000}"/>
    <cellStyle name="Input [yellow] 2 9 6 3" xfId="12945" xr:uid="{00000000-0005-0000-0000-0000FA300000}"/>
    <cellStyle name="Input [yellow] 2 9 7" xfId="12946" xr:uid="{00000000-0005-0000-0000-0000FB300000}"/>
    <cellStyle name="Input [yellow] 3" xfId="12947" xr:uid="{00000000-0005-0000-0000-0000FC300000}"/>
    <cellStyle name="Input [yellow] 3 10" xfId="12948" xr:uid="{00000000-0005-0000-0000-0000FD300000}"/>
    <cellStyle name="Input [yellow] 3 10 2" xfId="12949" xr:uid="{00000000-0005-0000-0000-0000FE300000}"/>
    <cellStyle name="Input [yellow] 3 10 3" xfId="12950" xr:uid="{00000000-0005-0000-0000-0000FF300000}"/>
    <cellStyle name="Input [yellow] 3 2" xfId="12951" xr:uid="{00000000-0005-0000-0000-000000310000}"/>
    <cellStyle name="Input [yellow] 3 2 2" xfId="12952" xr:uid="{00000000-0005-0000-0000-000001310000}"/>
    <cellStyle name="Input [yellow] 3 2 2 2" xfId="12953" xr:uid="{00000000-0005-0000-0000-000002310000}"/>
    <cellStyle name="Input [yellow] 3 2 2 3" xfId="12954" xr:uid="{00000000-0005-0000-0000-000003310000}"/>
    <cellStyle name="Input [yellow] 3 2 3" xfId="12955" xr:uid="{00000000-0005-0000-0000-000004310000}"/>
    <cellStyle name="Input [yellow] 3 2 3 2" xfId="12956" xr:uid="{00000000-0005-0000-0000-000005310000}"/>
    <cellStyle name="Input [yellow] 3 2 3 3" xfId="12957" xr:uid="{00000000-0005-0000-0000-000006310000}"/>
    <cellStyle name="Input [yellow] 3 2 4" xfId="12958" xr:uid="{00000000-0005-0000-0000-000007310000}"/>
    <cellStyle name="Input [yellow] 3 2 4 2" xfId="12959" xr:uid="{00000000-0005-0000-0000-000008310000}"/>
    <cellStyle name="Input [yellow] 3 2 4 3" xfId="12960" xr:uid="{00000000-0005-0000-0000-000009310000}"/>
    <cellStyle name="Input [yellow] 3 2 5" xfId="12961" xr:uid="{00000000-0005-0000-0000-00000A310000}"/>
    <cellStyle name="Input [yellow] 3 2 5 2" xfId="12962" xr:uid="{00000000-0005-0000-0000-00000B310000}"/>
    <cellStyle name="Input [yellow] 3 2 5 3" xfId="12963" xr:uid="{00000000-0005-0000-0000-00000C310000}"/>
    <cellStyle name="Input [yellow] 3 2 6" xfId="12964" xr:uid="{00000000-0005-0000-0000-00000D310000}"/>
    <cellStyle name="Input [yellow] 3 2 6 2" xfId="12965" xr:uid="{00000000-0005-0000-0000-00000E310000}"/>
    <cellStyle name="Input [yellow] 3 2 6 3" xfId="12966" xr:uid="{00000000-0005-0000-0000-00000F310000}"/>
    <cellStyle name="Input [yellow] 3 2 7" xfId="12967" xr:uid="{00000000-0005-0000-0000-000010310000}"/>
    <cellStyle name="Input [yellow] 3 2 8" xfId="12968" xr:uid="{00000000-0005-0000-0000-000011310000}"/>
    <cellStyle name="Input [yellow] 3 3" xfId="12969" xr:uid="{00000000-0005-0000-0000-000012310000}"/>
    <cellStyle name="Input [yellow] 3 3 2" xfId="12970" xr:uid="{00000000-0005-0000-0000-000013310000}"/>
    <cellStyle name="Input [yellow] 3 3 2 2" xfId="12971" xr:uid="{00000000-0005-0000-0000-000014310000}"/>
    <cellStyle name="Input [yellow] 3 3 2 3" xfId="12972" xr:uid="{00000000-0005-0000-0000-000015310000}"/>
    <cellStyle name="Input [yellow] 3 3 3" xfId="12973" xr:uid="{00000000-0005-0000-0000-000016310000}"/>
    <cellStyle name="Input [yellow] 3 3 3 2" xfId="12974" xr:uid="{00000000-0005-0000-0000-000017310000}"/>
    <cellStyle name="Input [yellow] 3 3 3 3" xfId="12975" xr:uid="{00000000-0005-0000-0000-000018310000}"/>
    <cellStyle name="Input [yellow] 3 3 4" xfId="12976" xr:uid="{00000000-0005-0000-0000-000019310000}"/>
    <cellStyle name="Input [yellow] 3 3 4 2" xfId="12977" xr:uid="{00000000-0005-0000-0000-00001A310000}"/>
    <cellStyle name="Input [yellow] 3 3 4 3" xfId="12978" xr:uid="{00000000-0005-0000-0000-00001B310000}"/>
    <cellStyle name="Input [yellow] 3 3 5" xfId="12979" xr:uid="{00000000-0005-0000-0000-00001C310000}"/>
    <cellStyle name="Input [yellow] 3 3 5 2" xfId="12980" xr:uid="{00000000-0005-0000-0000-00001D310000}"/>
    <cellStyle name="Input [yellow] 3 3 5 3" xfId="12981" xr:uid="{00000000-0005-0000-0000-00001E310000}"/>
    <cellStyle name="Input [yellow] 3 3 6" xfId="12982" xr:uid="{00000000-0005-0000-0000-00001F310000}"/>
    <cellStyle name="Input [yellow] 3 3 6 2" xfId="12983" xr:uid="{00000000-0005-0000-0000-000020310000}"/>
    <cellStyle name="Input [yellow] 3 3 6 3" xfId="12984" xr:uid="{00000000-0005-0000-0000-000021310000}"/>
    <cellStyle name="Input [yellow] 3 3 7" xfId="12985" xr:uid="{00000000-0005-0000-0000-000022310000}"/>
    <cellStyle name="Input [yellow] 3 3 8" xfId="12986" xr:uid="{00000000-0005-0000-0000-000023310000}"/>
    <cellStyle name="Input [yellow] 3 4" xfId="12987" xr:uid="{00000000-0005-0000-0000-000024310000}"/>
    <cellStyle name="Input [yellow] 3 4 2" xfId="12988" xr:uid="{00000000-0005-0000-0000-000025310000}"/>
    <cellStyle name="Input [yellow] 3 4 2 2" xfId="12989" xr:uid="{00000000-0005-0000-0000-000026310000}"/>
    <cellStyle name="Input [yellow] 3 4 2 3" xfId="12990" xr:uid="{00000000-0005-0000-0000-000027310000}"/>
    <cellStyle name="Input [yellow] 3 4 3" xfId="12991" xr:uid="{00000000-0005-0000-0000-000028310000}"/>
    <cellStyle name="Input [yellow] 3 4 3 2" xfId="12992" xr:uid="{00000000-0005-0000-0000-000029310000}"/>
    <cellStyle name="Input [yellow] 3 4 3 3" xfId="12993" xr:uid="{00000000-0005-0000-0000-00002A310000}"/>
    <cellStyle name="Input [yellow] 3 4 4" xfId="12994" xr:uid="{00000000-0005-0000-0000-00002B310000}"/>
    <cellStyle name="Input [yellow] 3 4 4 2" xfId="12995" xr:uid="{00000000-0005-0000-0000-00002C310000}"/>
    <cellStyle name="Input [yellow] 3 4 4 3" xfId="12996" xr:uid="{00000000-0005-0000-0000-00002D310000}"/>
    <cellStyle name="Input [yellow] 3 4 5" xfId="12997" xr:uid="{00000000-0005-0000-0000-00002E310000}"/>
    <cellStyle name="Input [yellow] 3 4 5 2" xfId="12998" xr:uid="{00000000-0005-0000-0000-00002F310000}"/>
    <cellStyle name="Input [yellow] 3 4 5 3" xfId="12999" xr:uid="{00000000-0005-0000-0000-000030310000}"/>
    <cellStyle name="Input [yellow] 3 4 6" xfId="13000" xr:uid="{00000000-0005-0000-0000-000031310000}"/>
    <cellStyle name="Input [yellow] 3 4 6 2" xfId="13001" xr:uid="{00000000-0005-0000-0000-000032310000}"/>
    <cellStyle name="Input [yellow] 3 4 6 3" xfId="13002" xr:uid="{00000000-0005-0000-0000-000033310000}"/>
    <cellStyle name="Input [yellow] 3 4 7" xfId="13003" xr:uid="{00000000-0005-0000-0000-000034310000}"/>
    <cellStyle name="Input [yellow] 3 5" xfId="13004" xr:uid="{00000000-0005-0000-0000-000035310000}"/>
    <cellStyle name="Input [yellow] 3 5 2" xfId="13005" xr:uid="{00000000-0005-0000-0000-000036310000}"/>
    <cellStyle name="Input [yellow] 3 5 2 2" xfId="13006" xr:uid="{00000000-0005-0000-0000-000037310000}"/>
    <cellStyle name="Input [yellow] 3 5 2 3" xfId="13007" xr:uid="{00000000-0005-0000-0000-000038310000}"/>
    <cellStyle name="Input [yellow] 3 5 3" xfId="13008" xr:uid="{00000000-0005-0000-0000-000039310000}"/>
    <cellStyle name="Input [yellow] 3 5 3 2" xfId="13009" xr:uid="{00000000-0005-0000-0000-00003A310000}"/>
    <cellStyle name="Input [yellow] 3 5 3 3" xfId="13010" xr:uid="{00000000-0005-0000-0000-00003B310000}"/>
    <cellStyle name="Input [yellow] 3 5 4" xfId="13011" xr:uid="{00000000-0005-0000-0000-00003C310000}"/>
    <cellStyle name="Input [yellow] 3 5 4 2" xfId="13012" xr:uid="{00000000-0005-0000-0000-00003D310000}"/>
    <cellStyle name="Input [yellow] 3 5 4 3" xfId="13013" xr:uid="{00000000-0005-0000-0000-00003E310000}"/>
    <cellStyle name="Input [yellow] 3 5 5" xfId="13014" xr:uid="{00000000-0005-0000-0000-00003F310000}"/>
    <cellStyle name="Input [yellow] 3 5 5 2" xfId="13015" xr:uid="{00000000-0005-0000-0000-000040310000}"/>
    <cellStyle name="Input [yellow] 3 5 5 3" xfId="13016" xr:uid="{00000000-0005-0000-0000-000041310000}"/>
    <cellStyle name="Input [yellow] 3 5 6" xfId="13017" xr:uid="{00000000-0005-0000-0000-000042310000}"/>
    <cellStyle name="Input [yellow] 3 5 6 2" xfId="13018" xr:uid="{00000000-0005-0000-0000-000043310000}"/>
    <cellStyle name="Input [yellow] 3 5 6 3" xfId="13019" xr:uid="{00000000-0005-0000-0000-000044310000}"/>
    <cellStyle name="Input [yellow] 3 5 7" xfId="13020" xr:uid="{00000000-0005-0000-0000-000045310000}"/>
    <cellStyle name="Input [yellow] 3 6" xfId="13021" xr:uid="{00000000-0005-0000-0000-000046310000}"/>
    <cellStyle name="Input [yellow] 3 6 2" xfId="13022" xr:uid="{00000000-0005-0000-0000-000047310000}"/>
    <cellStyle name="Input [yellow] 3 6 3" xfId="13023" xr:uid="{00000000-0005-0000-0000-000048310000}"/>
    <cellStyle name="Input [yellow] 3 7" xfId="13024" xr:uid="{00000000-0005-0000-0000-000049310000}"/>
    <cellStyle name="Input [yellow] 3 7 2" xfId="13025" xr:uid="{00000000-0005-0000-0000-00004A310000}"/>
    <cellStyle name="Input [yellow] 3 7 3" xfId="13026" xr:uid="{00000000-0005-0000-0000-00004B310000}"/>
    <cellStyle name="Input [yellow] 3 8" xfId="13027" xr:uid="{00000000-0005-0000-0000-00004C310000}"/>
    <cellStyle name="Input [yellow] 3 8 2" xfId="13028" xr:uid="{00000000-0005-0000-0000-00004D310000}"/>
    <cellStyle name="Input [yellow] 3 8 3" xfId="13029" xr:uid="{00000000-0005-0000-0000-00004E310000}"/>
    <cellStyle name="Input [yellow] 3 9" xfId="13030" xr:uid="{00000000-0005-0000-0000-00004F310000}"/>
    <cellStyle name="Input [yellow] 3 9 2" xfId="13031" xr:uid="{00000000-0005-0000-0000-000050310000}"/>
    <cellStyle name="Input [yellow] 3 9 3" xfId="13032" xr:uid="{00000000-0005-0000-0000-000051310000}"/>
    <cellStyle name="Input [yellow] 4" xfId="13033" xr:uid="{00000000-0005-0000-0000-000052310000}"/>
    <cellStyle name="Input [yellow] 4 10" xfId="13034" xr:uid="{00000000-0005-0000-0000-000053310000}"/>
    <cellStyle name="Input [yellow] 4 10 2" xfId="13035" xr:uid="{00000000-0005-0000-0000-000054310000}"/>
    <cellStyle name="Input [yellow] 4 10 3" xfId="13036" xr:uid="{00000000-0005-0000-0000-000055310000}"/>
    <cellStyle name="Input [yellow] 4 2" xfId="13037" xr:uid="{00000000-0005-0000-0000-000056310000}"/>
    <cellStyle name="Input [yellow] 4 2 2" xfId="13038" xr:uid="{00000000-0005-0000-0000-000057310000}"/>
    <cellStyle name="Input [yellow] 4 2 2 2" xfId="13039" xr:uid="{00000000-0005-0000-0000-000058310000}"/>
    <cellStyle name="Input [yellow] 4 2 2 3" xfId="13040" xr:uid="{00000000-0005-0000-0000-000059310000}"/>
    <cellStyle name="Input [yellow] 4 2 3" xfId="13041" xr:uid="{00000000-0005-0000-0000-00005A310000}"/>
    <cellStyle name="Input [yellow] 4 2 3 2" xfId="13042" xr:uid="{00000000-0005-0000-0000-00005B310000}"/>
    <cellStyle name="Input [yellow] 4 2 3 3" xfId="13043" xr:uid="{00000000-0005-0000-0000-00005C310000}"/>
    <cellStyle name="Input [yellow] 4 2 4" xfId="13044" xr:uid="{00000000-0005-0000-0000-00005D310000}"/>
    <cellStyle name="Input [yellow] 4 2 4 2" xfId="13045" xr:uid="{00000000-0005-0000-0000-00005E310000}"/>
    <cellStyle name="Input [yellow] 4 2 4 3" xfId="13046" xr:uid="{00000000-0005-0000-0000-00005F310000}"/>
    <cellStyle name="Input [yellow] 4 2 5" xfId="13047" xr:uid="{00000000-0005-0000-0000-000060310000}"/>
    <cellStyle name="Input [yellow] 4 2 5 2" xfId="13048" xr:uid="{00000000-0005-0000-0000-000061310000}"/>
    <cellStyle name="Input [yellow] 4 2 5 3" xfId="13049" xr:uid="{00000000-0005-0000-0000-000062310000}"/>
    <cellStyle name="Input [yellow] 4 2 6" xfId="13050" xr:uid="{00000000-0005-0000-0000-000063310000}"/>
    <cellStyle name="Input [yellow] 4 2 6 2" xfId="13051" xr:uid="{00000000-0005-0000-0000-000064310000}"/>
    <cellStyle name="Input [yellow] 4 2 6 3" xfId="13052" xr:uid="{00000000-0005-0000-0000-000065310000}"/>
    <cellStyle name="Input [yellow] 4 2 7" xfId="13053" xr:uid="{00000000-0005-0000-0000-000066310000}"/>
    <cellStyle name="Input [yellow] 4 2 8" xfId="13054" xr:uid="{00000000-0005-0000-0000-000067310000}"/>
    <cellStyle name="Input [yellow] 4 3" xfId="13055" xr:uid="{00000000-0005-0000-0000-000068310000}"/>
    <cellStyle name="Input [yellow] 4 3 2" xfId="13056" xr:uid="{00000000-0005-0000-0000-000069310000}"/>
    <cellStyle name="Input [yellow] 4 3 2 2" xfId="13057" xr:uid="{00000000-0005-0000-0000-00006A310000}"/>
    <cellStyle name="Input [yellow] 4 3 2 3" xfId="13058" xr:uid="{00000000-0005-0000-0000-00006B310000}"/>
    <cellStyle name="Input [yellow] 4 3 3" xfId="13059" xr:uid="{00000000-0005-0000-0000-00006C310000}"/>
    <cellStyle name="Input [yellow] 4 3 3 2" xfId="13060" xr:uid="{00000000-0005-0000-0000-00006D310000}"/>
    <cellStyle name="Input [yellow] 4 3 3 3" xfId="13061" xr:uid="{00000000-0005-0000-0000-00006E310000}"/>
    <cellStyle name="Input [yellow] 4 3 4" xfId="13062" xr:uid="{00000000-0005-0000-0000-00006F310000}"/>
    <cellStyle name="Input [yellow] 4 3 4 2" xfId="13063" xr:uid="{00000000-0005-0000-0000-000070310000}"/>
    <cellStyle name="Input [yellow] 4 3 4 3" xfId="13064" xr:uid="{00000000-0005-0000-0000-000071310000}"/>
    <cellStyle name="Input [yellow] 4 3 5" xfId="13065" xr:uid="{00000000-0005-0000-0000-000072310000}"/>
    <cellStyle name="Input [yellow] 4 3 5 2" xfId="13066" xr:uid="{00000000-0005-0000-0000-000073310000}"/>
    <cellStyle name="Input [yellow] 4 3 5 3" xfId="13067" xr:uid="{00000000-0005-0000-0000-000074310000}"/>
    <cellStyle name="Input [yellow] 4 3 6" xfId="13068" xr:uid="{00000000-0005-0000-0000-000075310000}"/>
    <cellStyle name="Input [yellow] 4 3 6 2" xfId="13069" xr:uid="{00000000-0005-0000-0000-000076310000}"/>
    <cellStyle name="Input [yellow] 4 3 6 3" xfId="13070" xr:uid="{00000000-0005-0000-0000-000077310000}"/>
    <cellStyle name="Input [yellow] 4 3 7" xfId="13071" xr:uid="{00000000-0005-0000-0000-000078310000}"/>
    <cellStyle name="Input [yellow] 4 3 8" xfId="13072" xr:uid="{00000000-0005-0000-0000-000079310000}"/>
    <cellStyle name="Input [yellow] 4 4" xfId="13073" xr:uid="{00000000-0005-0000-0000-00007A310000}"/>
    <cellStyle name="Input [yellow] 4 4 2" xfId="13074" xr:uid="{00000000-0005-0000-0000-00007B310000}"/>
    <cellStyle name="Input [yellow] 4 4 2 2" xfId="13075" xr:uid="{00000000-0005-0000-0000-00007C310000}"/>
    <cellStyle name="Input [yellow] 4 4 2 3" xfId="13076" xr:uid="{00000000-0005-0000-0000-00007D310000}"/>
    <cellStyle name="Input [yellow] 4 4 3" xfId="13077" xr:uid="{00000000-0005-0000-0000-00007E310000}"/>
    <cellStyle name="Input [yellow] 4 4 3 2" xfId="13078" xr:uid="{00000000-0005-0000-0000-00007F310000}"/>
    <cellStyle name="Input [yellow] 4 4 3 3" xfId="13079" xr:uid="{00000000-0005-0000-0000-000080310000}"/>
    <cellStyle name="Input [yellow] 4 4 4" xfId="13080" xr:uid="{00000000-0005-0000-0000-000081310000}"/>
    <cellStyle name="Input [yellow] 4 4 4 2" xfId="13081" xr:uid="{00000000-0005-0000-0000-000082310000}"/>
    <cellStyle name="Input [yellow] 4 4 4 3" xfId="13082" xr:uid="{00000000-0005-0000-0000-000083310000}"/>
    <cellStyle name="Input [yellow] 4 4 5" xfId="13083" xr:uid="{00000000-0005-0000-0000-000084310000}"/>
    <cellStyle name="Input [yellow] 4 4 5 2" xfId="13084" xr:uid="{00000000-0005-0000-0000-000085310000}"/>
    <cellStyle name="Input [yellow] 4 4 5 3" xfId="13085" xr:uid="{00000000-0005-0000-0000-000086310000}"/>
    <cellStyle name="Input [yellow] 4 4 6" xfId="13086" xr:uid="{00000000-0005-0000-0000-000087310000}"/>
    <cellStyle name="Input [yellow] 4 4 6 2" xfId="13087" xr:uid="{00000000-0005-0000-0000-000088310000}"/>
    <cellStyle name="Input [yellow] 4 4 6 3" xfId="13088" xr:uid="{00000000-0005-0000-0000-000089310000}"/>
    <cellStyle name="Input [yellow] 4 4 7" xfId="13089" xr:uid="{00000000-0005-0000-0000-00008A310000}"/>
    <cellStyle name="Input [yellow] 4 5" xfId="13090" xr:uid="{00000000-0005-0000-0000-00008B310000}"/>
    <cellStyle name="Input [yellow] 4 5 2" xfId="13091" xr:uid="{00000000-0005-0000-0000-00008C310000}"/>
    <cellStyle name="Input [yellow] 4 5 2 2" xfId="13092" xr:uid="{00000000-0005-0000-0000-00008D310000}"/>
    <cellStyle name="Input [yellow] 4 5 2 3" xfId="13093" xr:uid="{00000000-0005-0000-0000-00008E310000}"/>
    <cellStyle name="Input [yellow] 4 5 3" xfId="13094" xr:uid="{00000000-0005-0000-0000-00008F310000}"/>
    <cellStyle name="Input [yellow] 4 5 3 2" xfId="13095" xr:uid="{00000000-0005-0000-0000-000090310000}"/>
    <cellStyle name="Input [yellow] 4 5 3 3" xfId="13096" xr:uid="{00000000-0005-0000-0000-000091310000}"/>
    <cellStyle name="Input [yellow] 4 5 4" xfId="13097" xr:uid="{00000000-0005-0000-0000-000092310000}"/>
    <cellStyle name="Input [yellow] 4 5 4 2" xfId="13098" xr:uid="{00000000-0005-0000-0000-000093310000}"/>
    <cellStyle name="Input [yellow] 4 5 4 3" xfId="13099" xr:uid="{00000000-0005-0000-0000-000094310000}"/>
    <cellStyle name="Input [yellow] 4 5 5" xfId="13100" xr:uid="{00000000-0005-0000-0000-000095310000}"/>
    <cellStyle name="Input [yellow] 4 5 5 2" xfId="13101" xr:uid="{00000000-0005-0000-0000-000096310000}"/>
    <cellStyle name="Input [yellow] 4 5 5 3" xfId="13102" xr:uid="{00000000-0005-0000-0000-000097310000}"/>
    <cellStyle name="Input [yellow] 4 5 6" xfId="13103" xr:uid="{00000000-0005-0000-0000-000098310000}"/>
    <cellStyle name="Input [yellow] 4 5 6 2" xfId="13104" xr:uid="{00000000-0005-0000-0000-000099310000}"/>
    <cellStyle name="Input [yellow] 4 5 6 3" xfId="13105" xr:uid="{00000000-0005-0000-0000-00009A310000}"/>
    <cellStyle name="Input [yellow] 4 5 7" xfId="13106" xr:uid="{00000000-0005-0000-0000-00009B310000}"/>
    <cellStyle name="Input [yellow] 4 6" xfId="13107" xr:uid="{00000000-0005-0000-0000-00009C310000}"/>
    <cellStyle name="Input [yellow] 4 6 2" xfId="13108" xr:uid="{00000000-0005-0000-0000-00009D310000}"/>
    <cellStyle name="Input [yellow] 4 6 3" xfId="13109" xr:uid="{00000000-0005-0000-0000-00009E310000}"/>
    <cellStyle name="Input [yellow] 4 7" xfId="13110" xr:uid="{00000000-0005-0000-0000-00009F310000}"/>
    <cellStyle name="Input [yellow] 4 7 2" xfId="13111" xr:uid="{00000000-0005-0000-0000-0000A0310000}"/>
    <cellStyle name="Input [yellow] 4 7 3" xfId="13112" xr:uid="{00000000-0005-0000-0000-0000A1310000}"/>
    <cellStyle name="Input [yellow] 4 8" xfId="13113" xr:uid="{00000000-0005-0000-0000-0000A2310000}"/>
    <cellStyle name="Input [yellow] 4 8 2" xfId="13114" xr:uid="{00000000-0005-0000-0000-0000A3310000}"/>
    <cellStyle name="Input [yellow] 4 8 3" xfId="13115" xr:uid="{00000000-0005-0000-0000-0000A4310000}"/>
    <cellStyle name="Input [yellow] 4 9" xfId="13116" xr:uid="{00000000-0005-0000-0000-0000A5310000}"/>
    <cellStyle name="Input [yellow] 4 9 2" xfId="13117" xr:uid="{00000000-0005-0000-0000-0000A6310000}"/>
    <cellStyle name="Input [yellow] 4 9 3" xfId="13118" xr:uid="{00000000-0005-0000-0000-0000A7310000}"/>
    <cellStyle name="Input [yellow] 5" xfId="13119" xr:uid="{00000000-0005-0000-0000-0000A8310000}"/>
    <cellStyle name="Input [yellow] 5 2" xfId="13120" xr:uid="{00000000-0005-0000-0000-0000A9310000}"/>
    <cellStyle name="Input [yellow] 5 2 2" xfId="13121" xr:uid="{00000000-0005-0000-0000-0000AA310000}"/>
    <cellStyle name="Input [yellow] 5 2 3" xfId="13122" xr:uid="{00000000-0005-0000-0000-0000AB310000}"/>
    <cellStyle name="Input [yellow] 5 3" xfId="13123" xr:uid="{00000000-0005-0000-0000-0000AC310000}"/>
    <cellStyle name="Input [yellow] 5 3 2" xfId="13124" xr:uid="{00000000-0005-0000-0000-0000AD310000}"/>
    <cellStyle name="Input [yellow] 5 3 3" xfId="13125" xr:uid="{00000000-0005-0000-0000-0000AE310000}"/>
    <cellStyle name="Input [yellow] 5 4" xfId="13126" xr:uid="{00000000-0005-0000-0000-0000AF310000}"/>
    <cellStyle name="Input [yellow] 5 4 2" xfId="13127" xr:uid="{00000000-0005-0000-0000-0000B0310000}"/>
    <cellStyle name="Input [yellow] 5 4 3" xfId="13128" xr:uid="{00000000-0005-0000-0000-0000B1310000}"/>
    <cellStyle name="Input [yellow] 5 5" xfId="13129" xr:uid="{00000000-0005-0000-0000-0000B2310000}"/>
    <cellStyle name="Input [yellow] 5 5 2" xfId="13130" xr:uid="{00000000-0005-0000-0000-0000B3310000}"/>
    <cellStyle name="Input [yellow] 5 5 3" xfId="13131" xr:uid="{00000000-0005-0000-0000-0000B4310000}"/>
    <cellStyle name="Input [yellow] 5 6" xfId="13132" xr:uid="{00000000-0005-0000-0000-0000B5310000}"/>
    <cellStyle name="Input [yellow] 5 6 2" xfId="13133" xr:uid="{00000000-0005-0000-0000-0000B6310000}"/>
    <cellStyle name="Input [yellow] 5 6 3" xfId="13134" xr:uid="{00000000-0005-0000-0000-0000B7310000}"/>
    <cellStyle name="Input [yellow] 5 7" xfId="13135" xr:uid="{00000000-0005-0000-0000-0000B8310000}"/>
    <cellStyle name="Input [yellow] 5 8" xfId="13136" xr:uid="{00000000-0005-0000-0000-0000B9310000}"/>
    <cellStyle name="Input [yellow] 6" xfId="13137" xr:uid="{00000000-0005-0000-0000-0000BA310000}"/>
    <cellStyle name="Input [yellow] 6 2" xfId="13138" xr:uid="{00000000-0005-0000-0000-0000BB310000}"/>
    <cellStyle name="Input [yellow] 6 2 2" xfId="13139" xr:uid="{00000000-0005-0000-0000-0000BC310000}"/>
    <cellStyle name="Input [yellow] 6 2 3" xfId="13140" xr:uid="{00000000-0005-0000-0000-0000BD310000}"/>
    <cellStyle name="Input [yellow] 6 3" xfId="13141" xr:uid="{00000000-0005-0000-0000-0000BE310000}"/>
    <cellStyle name="Input [yellow] 6 3 2" xfId="13142" xr:uid="{00000000-0005-0000-0000-0000BF310000}"/>
    <cellStyle name="Input [yellow] 6 3 3" xfId="13143" xr:uid="{00000000-0005-0000-0000-0000C0310000}"/>
    <cellStyle name="Input [yellow] 6 4" xfId="13144" xr:uid="{00000000-0005-0000-0000-0000C1310000}"/>
    <cellStyle name="Input [yellow] 6 4 2" xfId="13145" xr:uid="{00000000-0005-0000-0000-0000C2310000}"/>
    <cellStyle name="Input [yellow] 6 4 3" xfId="13146" xr:uid="{00000000-0005-0000-0000-0000C3310000}"/>
    <cellStyle name="Input [yellow] 6 5" xfId="13147" xr:uid="{00000000-0005-0000-0000-0000C4310000}"/>
    <cellStyle name="Input [yellow] 6 5 2" xfId="13148" xr:uid="{00000000-0005-0000-0000-0000C5310000}"/>
    <cellStyle name="Input [yellow] 6 5 3" xfId="13149" xr:uid="{00000000-0005-0000-0000-0000C6310000}"/>
    <cellStyle name="Input [yellow] 6 6" xfId="13150" xr:uid="{00000000-0005-0000-0000-0000C7310000}"/>
    <cellStyle name="Input [yellow] 6 6 2" xfId="13151" xr:uid="{00000000-0005-0000-0000-0000C8310000}"/>
    <cellStyle name="Input [yellow] 6 6 3" xfId="13152" xr:uid="{00000000-0005-0000-0000-0000C9310000}"/>
    <cellStyle name="Input [yellow] 6 7" xfId="13153" xr:uid="{00000000-0005-0000-0000-0000CA310000}"/>
    <cellStyle name="Input [yellow] 6 8" xfId="13154" xr:uid="{00000000-0005-0000-0000-0000CB310000}"/>
    <cellStyle name="Input [yellow] 7" xfId="13155" xr:uid="{00000000-0005-0000-0000-0000CC310000}"/>
    <cellStyle name="Input [yellow] 7 2" xfId="13156" xr:uid="{00000000-0005-0000-0000-0000CD310000}"/>
    <cellStyle name="Input [yellow] 7 2 2" xfId="13157" xr:uid="{00000000-0005-0000-0000-0000CE310000}"/>
    <cellStyle name="Input [yellow] 7 2 3" xfId="13158" xr:uid="{00000000-0005-0000-0000-0000CF310000}"/>
    <cellStyle name="Input [yellow] 7 3" xfId="13159" xr:uid="{00000000-0005-0000-0000-0000D0310000}"/>
    <cellStyle name="Input [yellow] 7 3 2" xfId="13160" xr:uid="{00000000-0005-0000-0000-0000D1310000}"/>
    <cellStyle name="Input [yellow] 7 3 3" xfId="13161" xr:uid="{00000000-0005-0000-0000-0000D2310000}"/>
    <cellStyle name="Input [yellow] 7 4" xfId="13162" xr:uid="{00000000-0005-0000-0000-0000D3310000}"/>
    <cellStyle name="Input [yellow] 7 4 2" xfId="13163" xr:uid="{00000000-0005-0000-0000-0000D4310000}"/>
    <cellStyle name="Input [yellow] 7 4 3" xfId="13164" xr:uid="{00000000-0005-0000-0000-0000D5310000}"/>
    <cellStyle name="Input [yellow] 7 5" xfId="13165" xr:uid="{00000000-0005-0000-0000-0000D6310000}"/>
    <cellStyle name="Input [yellow] 7 5 2" xfId="13166" xr:uid="{00000000-0005-0000-0000-0000D7310000}"/>
    <cellStyle name="Input [yellow] 7 5 3" xfId="13167" xr:uid="{00000000-0005-0000-0000-0000D8310000}"/>
    <cellStyle name="Input [yellow] 7 6" xfId="13168" xr:uid="{00000000-0005-0000-0000-0000D9310000}"/>
    <cellStyle name="Input [yellow] 7 6 2" xfId="13169" xr:uid="{00000000-0005-0000-0000-0000DA310000}"/>
    <cellStyle name="Input [yellow] 7 6 3" xfId="13170" xr:uid="{00000000-0005-0000-0000-0000DB310000}"/>
    <cellStyle name="Input [yellow] 7 7" xfId="13171" xr:uid="{00000000-0005-0000-0000-0000DC310000}"/>
    <cellStyle name="Input [yellow] 8" xfId="13172" xr:uid="{00000000-0005-0000-0000-0000DD310000}"/>
    <cellStyle name="Input [yellow] 8 2" xfId="13173" xr:uid="{00000000-0005-0000-0000-0000DE310000}"/>
    <cellStyle name="Input [yellow] 8 2 2" xfId="13174" xr:uid="{00000000-0005-0000-0000-0000DF310000}"/>
    <cellStyle name="Input [yellow] 8 2 3" xfId="13175" xr:uid="{00000000-0005-0000-0000-0000E0310000}"/>
    <cellStyle name="Input [yellow] 8 3" xfId="13176" xr:uid="{00000000-0005-0000-0000-0000E1310000}"/>
    <cellStyle name="Input [yellow] 8 3 2" xfId="13177" xr:uid="{00000000-0005-0000-0000-0000E2310000}"/>
    <cellStyle name="Input [yellow] 8 3 3" xfId="13178" xr:uid="{00000000-0005-0000-0000-0000E3310000}"/>
    <cellStyle name="Input [yellow] 8 4" xfId="13179" xr:uid="{00000000-0005-0000-0000-0000E4310000}"/>
    <cellStyle name="Input [yellow] 8 4 2" xfId="13180" xr:uid="{00000000-0005-0000-0000-0000E5310000}"/>
    <cellStyle name="Input [yellow] 8 4 3" xfId="13181" xr:uid="{00000000-0005-0000-0000-0000E6310000}"/>
    <cellStyle name="Input [yellow] 8 5" xfId="13182" xr:uid="{00000000-0005-0000-0000-0000E7310000}"/>
    <cellStyle name="Input [yellow] 8 5 2" xfId="13183" xr:uid="{00000000-0005-0000-0000-0000E8310000}"/>
    <cellStyle name="Input [yellow] 8 5 3" xfId="13184" xr:uid="{00000000-0005-0000-0000-0000E9310000}"/>
    <cellStyle name="Input [yellow] 8 6" xfId="13185" xr:uid="{00000000-0005-0000-0000-0000EA310000}"/>
    <cellStyle name="Input [yellow] 8 6 2" xfId="13186" xr:uid="{00000000-0005-0000-0000-0000EB310000}"/>
    <cellStyle name="Input [yellow] 8 6 3" xfId="13187" xr:uid="{00000000-0005-0000-0000-0000EC310000}"/>
    <cellStyle name="Input [yellow] 8 7" xfId="13188" xr:uid="{00000000-0005-0000-0000-0000ED310000}"/>
    <cellStyle name="Input 1" xfId="13189" xr:uid="{00000000-0005-0000-0000-0000EE310000}"/>
    <cellStyle name="Input 10" xfId="13190" xr:uid="{00000000-0005-0000-0000-0000EF310000}"/>
    <cellStyle name="Input 10 2" xfId="13191" xr:uid="{00000000-0005-0000-0000-0000F0310000}"/>
    <cellStyle name="Input 11" xfId="13192" xr:uid="{00000000-0005-0000-0000-0000F1310000}"/>
    <cellStyle name="Input 11 2" xfId="13193" xr:uid="{00000000-0005-0000-0000-0000F2310000}"/>
    <cellStyle name="Input 11 Bold" xfId="13194" xr:uid="{00000000-0005-0000-0000-0000F3310000}"/>
    <cellStyle name="Input 12" xfId="13195" xr:uid="{00000000-0005-0000-0000-0000F4310000}"/>
    <cellStyle name="Input 12 2" xfId="13196" xr:uid="{00000000-0005-0000-0000-0000F5310000}"/>
    <cellStyle name="Input 13" xfId="13197" xr:uid="{00000000-0005-0000-0000-0000F6310000}"/>
    <cellStyle name="Input 13 2" xfId="13198" xr:uid="{00000000-0005-0000-0000-0000F7310000}"/>
    <cellStyle name="Input 14" xfId="13199" xr:uid="{00000000-0005-0000-0000-0000F8310000}"/>
    <cellStyle name="Input 14 2" xfId="13200" xr:uid="{00000000-0005-0000-0000-0000F9310000}"/>
    <cellStyle name="Input 15" xfId="13201" xr:uid="{00000000-0005-0000-0000-0000FA310000}"/>
    <cellStyle name="Input 15 2" xfId="13202" xr:uid="{00000000-0005-0000-0000-0000FB310000}"/>
    <cellStyle name="Input 16" xfId="13203" xr:uid="{00000000-0005-0000-0000-0000FC310000}"/>
    <cellStyle name="Input 16 2" xfId="13204" xr:uid="{00000000-0005-0000-0000-0000FD310000}"/>
    <cellStyle name="Input 17" xfId="13205" xr:uid="{00000000-0005-0000-0000-0000FE310000}"/>
    <cellStyle name="Input 17 2" xfId="13206" xr:uid="{00000000-0005-0000-0000-0000FF310000}"/>
    <cellStyle name="Input 18" xfId="13207" xr:uid="{00000000-0005-0000-0000-000000320000}"/>
    <cellStyle name="Input 18 2" xfId="13208" xr:uid="{00000000-0005-0000-0000-000001320000}"/>
    <cellStyle name="Input 19" xfId="13209" xr:uid="{00000000-0005-0000-0000-000002320000}"/>
    <cellStyle name="Input 19 2" xfId="13210" xr:uid="{00000000-0005-0000-0000-000003320000}"/>
    <cellStyle name="Input 2" xfId="2047" xr:uid="{00000000-0005-0000-0000-000004320000}"/>
    <cellStyle name="Input 2 2" xfId="13211" xr:uid="{00000000-0005-0000-0000-000005320000}"/>
    <cellStyle name="Input 2 2 2" xfId="13212" xr:uid="{00000000-0005-0000-0000-000006320000}"/>
    <cellStyle name="Input 2 2 3" xfId="13213" xr:uid="{00000000-0005-0000-0000-000007320000}"/>
    <cellStyle name="Input 2 3" xfId="13214" xr:uid="{00000000-0005-0000-0000-000008320000}"/>
    <cellStyle name="Input 20" xfId="13215" xr:uid="{00000000-0005-0000-0000-000009320000}"/>
    <cellStyle name="Input 20 2" xfId="13216" xr:uid="{00000000-0005-0000-0000-00000A320000}"/>
    <cellStyle name="Input 21" xfId="13217" xr:uid="{00000000-0005-0000-0000-00000B320000}"/>
    <cellStyle name="Input 21 2" xfId="13218" xr:uid="{00000000-0005-0000-0000-00000C320000}"/>
    <cellStyle name="Input 22" xfId="13219" xr:uid="{00000000-0005-0000-0000-00000D320000}"/>
    <cellStyle name="Input 23" xfId="13220" xr:uid="{00000000-0005-0000-0000-00000E320000}"/>
    <cellStyle name="Input 24" xfId="13221" xr:uid="{00000000-0005-0000-0000-00000F320000}"/>
    <cellStyle name="Input 25" xfId="13222" xr:uid="{00000000-0005-0000-0000-000010320000}"/>
    <cellStyle name="Input 26" xfId="13223" xr:uid="{00000000-0005-0000-0000-000011320000}"/>
    <cellStyle name="Input 27" xfId="13224" xr:uid="{00000000-0005-0000-0000-000012320000}"/>
    <cellStyle name="Input 28" xfId="13225" xr:uid="{00000000-0005-0000-0000-000013320000}"/>
    <cellStyle name="Input 29" xfId="13226" xr:uid="{00000000-0005-0000-0000-000014320000}"/>
    <cellStyle name="Input 3" xfId="2048" xr:uid="{00000000-0005-0000-0000-000015320000}"/>
    <cellStyle name="Input 3 2" xfId="13227" xr:uid="{00000000-0005-0000-0000-000016320000}"/>
    <cellStyle name="Input 3 3" xfId="13228" xr:uid="{00000000-0005-0000-0000-000017320000}"/>
    <cellStyle name="Input 30" xfId="13229" xr:uid="{00000000-0005-0000-0000-000018320000}"/>
    <cellStyle name="Input 31" xfId="13230" xr:uid="{00000000-0005-0000-0000-000019320000}"/>
    <cellStyle name="Input 32" xfId="13231" xr:uid="{00000000-0005-0000-0000-00001A320000}"/>
    <cellStyle name="Input 33" xfId="13232" xr:uid="{00000000-0005-0000-0000-00001B320000}"/>
    <cellStyle name="Input 34" xfId="13233" xr:uid="{00000000-0005-0000-0000-00001C320000}"/>
    <cellStyle name="Input 35" xfId="13234" xr:uid="{00000000-0005-0000-0000-00001D320000}"/>
    <cellStyle name="Input 36" xfId="13235" xr:uid="{00000000-0005-0000-0000-00001E320000}"/>
    <cellStyle name="Input 37" xfId="13236" xr:uid="{00000000-0005-0000-0000-00001F320000}"/>
    <cellStyle name="Input 38" xfId="13237" xr:uid="{00000000-0005-0000-0000-000020320000}"/>
    <cellStyle name="Input 39" xfId="13238" xr:uid="{00000000-0005-0000-0000-000021320000}"/>
    <cellStyle name="Input 4" xfId="13239" xr:uid="{00000000-0005-0000-0000-000022320000}"/>
    <cellStyle name="Input 4 2" xfId="13240" xr:uid="{00000000-0005-0000-0000-000023320000}"/>
    <cellStyle name="Input 4 3" xfId="13241" xr:uid="{00000000-0005-0000-0000-000024320000}"/>
    <cellStyle name="Input 40" xfId="13242" xr:uid="{00000000-0005-0000-0000-000025320000}"/>
    <cellStyle name="Input 41" xfId="13243" xr:uid="{00000000-0005-0000-0000-000026320000}"/>
    <cellStyle name="Input 42" xfId="13244" xr:uid="{00000000-0005-0000-0000-000027320000}"/>
    <cellStyle name="Input 43" xfId="13245" xr:uid="{00000000-0005-0000-0000-000028320000}"/>
    <cellStyle name="Input 44" xfId="13246" xr:uid="{00000000-0005-0000-0000-000029320000}"/>
    <cellStyle name="Input 45" xfId="13247" xr:uid="{00000000-0005-0000-0000-00002A320000}"/>
    <cellStyle name="Input 46" xfId="13248" xr:uid="{00000000-0005-0000-0000-00002B320000}"/>
    <cellStyle name="Input 47" xfId="13249" xr:uid="{00000000-0005-0000-0000-00002C320000}"/>
    <cellStyle name="Input 5" xfId="13250" xr:uid="{00000000-0005-0000-0000-00002D320000}"/>
    <cellStyle name="Input 5 2" xfId="13251" xr:uid="{00000000-0005-0000-0000-00002E320000}"/>
    <cellStyle name="Input 6" xfId="13252" xr:uid="{00000000-0005-0000-0000-00002F320000}"/>
    <cellStyle name="Input 6 2" xfId="13253" xr:uid="{00000000-0005-0000-0000-000030320000}"/>
    <cellStyle name="Input 6 3" xfId="13254" xr:uid="{00000000-0005-0000-0000-000031320000}"/>
    <cellStyle name="Input 7" xfId="13255" xr:uid="{00000000-0005-0000-0000-000032320000}"/>
    <cellStyle name="Input 7 2" xfId="13256" xr:uid="{00000000-0005-0000-0000-000033320000}"/>
    <cellStyle name="Input 7 3" xfId="13257" xr:uid="{00000000-0005-0000-0000-000034320000}"/>
    <cellStyle name="Input 8" xfId="13258" xr:uid="{00000000-0005-0000-0000-000035320000}"/>
    <cellStyle name="Input 8 2" xfId="13259" xr:uid="{00000000-0005-0000-0000-000036320000}"/>
    <cellStyle name="Input 9" xfId="13260" xr:uid="{00000000-0005-0000-0000-000037320000}"/>
    <cellStyle name="Input 9 2" xfId="13261" xr:uid="{00000000-0005-0000-0000-000038320000}"/>
    <cellStyle name="InputPercent" xfId="13262" xr:uid="{00000000-0005-0000-0000-000039320000}"/>
    <cellStyle name="InputValue" xfId="13263" xr:uid="{00000000-0005-0000-0000-00003A320000}"/>
    <cellStyle name="John" xfId="13264" xr:uid="{00000000-0005-0000-0000-00003B320000}"/>
    <cellStyle name="Jun" xfId="13265" xr:uid="{00000000-0005-0000-0000-00003C320000}"/>
    <cellStyle name="LEVEL20-30" xfId="13266" xr:uid="{00000000-0005-0000-0000-00003D320000}"/>
    <cellStyle name="LEVEL20-30 2" xfId="13267" xr:uid="{00000000-0005-0000-0000-00003E320000}"/>
    <cellStyle name="LEVEL60-90" xfId="13268" xr:uid="{00000000-0005-0000-0000-00003F320000}"/>
    <cellStyle name="LEVEL60-90 2" xfId="13269" xr:uid="{00000000-0005-0000-0000-000040320000}"/>
    <cellStyle name="Link Currency (0)" xfId="13270" xr:uid="{00000000-0005-0000-0000-000041320000}"/>
    <cellStyle name="Link Currency (2)" xfId="13271" xr:uid="{00000000-0005-0000-0000-000042320000}"/>
    <cellStyle name="Link Units (0)" xfId="13272" xr:uid="{00000000-0005-0000-0000-000043320000}"/>
    <cellStyle name="Link Units (1)" xfId="13273" xr:uid="{00000000-0005-0000-0000-000044320000}"/>
    <cellStyle name="Link Units (2)" xfId="13274" xr:uid="{00000000-0005-0000-0000-000045320000}"/>
    <cellStyle name="Linked Cell 2" xfId="2049" xr:uid="{00000000-0005-0000-0000-000046320000}"/>
    <cellStyle name="Linked Cell 2 2" xfId="13275" xr:uid="{00000000-0005-0000-0000-000047320000}"/>
    <cellStyle name="Linked Cell 3" xfId="2050" xr:uid="{00000000-0005-0000-0000-000048320000}"/>
    <cellStyle name="Linked Cell 4" xfId="13276" xr:uid="{00000000-0005-0000-0000-000049320000}"/>
    <cellStyle name="M" xfId="13277" xr:uid="{00000000-0005-0000-0000-00004A320000}"/>
    <cellStyle name="M.00" xfId="13278" xr:uid="{00000000-0005-0000-0000-00004B320000}"/>
    <cellStyle name="M_9. Rev2Cost_GDPIPI" xfId="13279" xr:uid="{00000000-0005-0000-0000-00004C320000}"/>
    <cellStyle name="M_lists" xfId="13280" xr:uid="{00000000-0005-0000-0000-00004D320000}"/>
    <cellStyle name="M_lists_4. Current Monthly Fixed Charge" xfId="13281" xr:uid="{00000000-0005-0000-0000-00004E320000}"/>
    <cellStyle name="M_Sheet4" xfId="13282" xr:uid="{00000000-0005-0000-0000-00004F320000}"/>
    <cellStyle name="Migliaia (0)_IT Assets" xfId="13283" xr:uid="{00000000-0005-0000-0000-000050320000}"/>
    <cellStyle name="Migliaia_IT Assets" xfId="13284" xr:uid="{00000000-0005-0000-0000-000051320000}"/>
    <cellStyle name="Millares [0]_pldt" xfId="13285" xr:uid="{00000000-0005-0000-0000-000052320000}"/>
    <cellStyle name="Millares_pldt" xfId="13286" xr:uid="{00000000-0005-0000-0000-000053320000}"/>
    <cellStyle name="Milliers [0]_EDYAN" xfId="13287" xr:uid="{00000000-0005-0000-0000-000054320000}"/>
    <cellStyle name="Milliers_EDYAN" xfId="13288" xr:uid="{00000000-0005-0000-0000-000055320000}"/>
    <cellStyle name="Moneda [0]_pldt" xfId="13289" xr:uid="{00000000-0005-0000-0000-000056320000}"/>
    <cellStyle name="Moneda_pldt" xfId="13290" xr:uid="{00000000-0005-0000-0000-000057320000}"/>
    <cellStyle name="Monétaire [0]_EDYAN" xfId="13291" xr:uid="{00000000-0005-0000-0000-000058320000}"/>
    <cellStyle name="Monétaire_EDYAN" xfId="13292" xr:uid="{00000000-0005-0000-0000-000059320000}"/>
    <cellStyle name="Month" xfId="13293" xr:uid="{00000000-0005-0000-0000-00005A320000}"/>
    <cellStyle name="MS_COL_STYLE" xfId="13294" xr:uid="{00000000-0005-0000-0000-00005B320000}"/>
    <cellStyle name="multiple" xfId="13295" xr:uid="{00000000-0005-0000-0000-00005C320000}"/>
    <cellStyle name="NavStyleDefault" xfId="13296" xr:uid="{00000000-0005-0000-0000-00005D320000}"/>
    <cellStyle name="Neutral 2" xfId="2051" xr:uid="{00000000-0005-0000-0000-00005E320000}"/>
    <cellStyle name="Neutral 2 2" xfId="13297" xr:uid="{00000000-0005-0000-0000-00005F320000}"/>
    <cellStyle name="Neutral 3" xfId="2052" xr:uid="{00000000-0005-0000-0000-000060320000}"/>
    <cellStyle name="Neutral 4" xfId="13298" xr:uid="{00000000-0005-0000-0000-000061320000}"/>
    <cellStyle name="NEW" xfId="13299" xr:uid="{00000000-0005-0000-0000-000062320000}"/>
    <cellStyle name="no dec" xfId="13300" xr:uid="{00000000-0005-0000-0000-000063320000}"/>
    <cellStyle name="Normal" xfId="0" builtinId="0"/>
    <cellStyle name="Normal - Style1" xfId="2053" xr:uid="{00000000-0005-0000-0000-000065320000}"/>
    <cellStyle name="Normal - Style1 2" xfId="2054" xr:uid="{00000000-0005-0000-0000-000066320000}"/>
    <cellStyle name="Normal - Style1 2 2" xfId="2055" xr:uid="{00000000-0005-0000-0000-000067320000}"/>
    <cellStyle name="Normal - Style1 2 2 2" xfId="13301" xr:uid="{00000000-0005-0000-0000-000068320000}"/>
    <cellStyle name="Normal - Style1 2 2 2 2" xfId="13302" xr:uid="{00000000-0005-0000-0000-000069320000}"/>
    <cellStyle name="Normal - Style1 2 2 3" xfId="13303" xr:uid="{00000000-0005-0000-0000-00006A320000}"/>
    <cellStyle name="Normal - Style1 2 2 4" xfId="13304" xr:uid="{00000000-0005-0000-0000-00006B320000}"/>
    <cellStyle name="Normal - Style1 2 3" xfId="13305" xr:uid="{00000000-0005-0000-0000-00006C320000}"/>
    <cellStyle name="Normal - Style1 2 3 2" xfId="13306" xr:uid="{00000000-0005-0000-0000-00006D320000}"/>
    <cellStyle name="Normal - Style1 2 3 3" xfId="13307" xr:uid="{00000000-0005-0000-0000-00006E320000}"/>
    <cellStyle name="Normal - Style1 2 4" xfId="13308" xr:uid="{00000000-0005-0000-0000-00006F320000}"/>
    <cellStyle name="Normal - Style1 2 4 2" xfId="13309" xr:uid="{00000000-0005-0000-0000-000070320000}"/>
    <cellStyle name="Normal - Style1 2 5" xfId="13310" xr:uid="{00000000-0005-0000-0000-000071320000}"/>
    <cellStyle name="Normal - Style1 2 5 2" xfId="13311" xr:uid="{00000000-0005-0000-0000-000072320000}"/>
    <cellStyle name="Normal - Style1 2 6" xfId="13312" xr:uid="{00000000-0005-0000-0000-000073320000}"/>
    <cellStyle name="Normal - Style1 3" xfId="2056" xr:uid="{00000000-0005-0000-0000-000074320000}"/>
    <cellStyle name="Normal - Style1 3 2" xfId="2057" xr:uid="{00000000-0005-0000-0000-000075320000}"/>
    <cellStyle name="Normal - Style1 3 2 2" xfId="13313" xr:uid="{00000000-0005-0000-0000-000076320000}"/>
    <cellStyle name="Normal - Style1 3 3" xfId="13314" xr:uid="{00000000-0005-0000-0000-000077320000}"/>
    <cellStyle name="Normal - Style1 3 3 2" xfId="13315" xr:uid="{00000000-0005-0000-0000-000078320000}"/>
    <cellStyle name="Normal - Style1 3 4" xfId="13316" xr:uid="{00000000-0005-0000-0000-000079320000}"/>
    <cellStyle name="Normal - Style1 4" xfId="2058" xr:uid="{00000000-0005-0000-0000-00007A320000}"/>
    <cellStyle name="Normal - Style1 4 2" xfId="13317" xr:uid="{00000000-0005-0000-0000-00007B320000}"/>
    <cellStyle name="Normal - Style1 4 2 2" xfId="13318" xr:uid="{00000000-0005-0000-0000-00007C320000}"/>
    <cellStyle name="Normal - Style1 4 3" xfId="13319" xr:uid="{00000000-0005-0000-0000-00007D320000}"/>
    <cellStyle name="Normal - Style1 4 4" xfId="13320" xr:uid="{00000000-0005-0000-0000-00007E320000}"/>
    <cellStyle name="Normal - Style1 4 5" xfId="13321" xr:uid="{00000000-0005-0000-0000-00007F320000}"/>
    <cellStyle name="Normal - Style1 5" xfId="13322" xr:uid="{00000000-0005-0000-0000-000080320000}"/>
    <cellStyle name="Normal - Style1 5 2" xfId="13323" xr:uid="{00000000-0005-0000-0000-000081320000}"/>
    <cellStyle name="Normal - Style1 5 3" xfId="13324" xr:uid="{00000000-0005-0000-0000-000082320000}"/>
    <cellStyle name="Normal - Style1 5 4" xfId="13325" xr:uid="{00000000-0005-0000-0000-000083320000}"/>
    <cellStyle name="Normal - Style1 5 5" xfId="13326" xr:uid="{00000000-0005-0000-0000-000084320000}"/>
    <cellStyle name="Normal - Style1 6" xfId="13327" xr:uid="{00000000-0005-0000-0000-000085320000}"/>
    <cellStyle name="Normal - Style1 7" xfId="13328" xr:uid="{00000000-0005-0000-0000-000086320000}"/>
    <cellStyle name="Normal - Style2" xfId="13329" xr:uid="{00000000-0005-0000-0000-000087320000}"/>
    <cellStyle name="Normal - Style3" xfId="13330" xr:uid="{00000000-0005-0000-0000-000088320000}"/>
    <cellStyle name="Normal - Style4" xfId="13331" xr:uid="{00000000-0005-0000-0000-000089320000}"/>
    <cellStyle name="Normal - Style5" xfId="13332" xr:uid="{00000000-0005-0000-0000-00008A320000}"/>
    <cellStyle name="Normal 10" xfId="2059" xr:uid="{00000000-0005-0000-0000-00008B320000}"/>
    <cellStyle name="Normal 10 10" xfId="13333" xr:uid="{00000000-0005-0000-0000-00008C320000}"/>
    <cellStyle name="Normal 10 11" xfId="13334" xr:uid="{00000000-0005-0000-0000-00008D320000}"/>
    <cellStyle name="Normal 10 12" xfId="13335" xr:uid="{00000000-0005-0000-0000-00008E320000}"/>
    <cellStyle name="Normal 10 2" xfId="6" xr:uid="{00000000-0005-0000-0000-00008F320000}"/>
    <cellStyle name="Normal 10 2 2" xfId="2060" xr:uid="{00000000-0005-0000-0000-000090320000}"/>
    <cellStyle name="Normal 10 2 2 2" xfId="13336" xr:uid="{00000000-0005-0000-0000-000091320000}"/>
    <cellStyle name="Normal 10 2 2 3" xfId="13337" xr:uid="{00000000-0005-0000-0000-000092320000}"/>
    <cellStyle name="Normal 10 2 3" xfId="13338" xr:uid="{00000000-0005-0000-0000-000093320000}"/>
    <cellStyle name="Normal 10 2 4" xfId="13339" xr:uid="{00000000-0005-0000-0000-000094320000}"/>
    <cellStyle name="Normal 10 2 5" xfId="13340" xr:uid="{00000000-0005-0000-0000-000095320000}"/>
    <cellStyle name="Normal 10 3" xfId="13341" xr:uid="{00000000-0005-0000-0000-000096320000}"/>
    <cellStyle name="Normal 10 4" xfId="13342" xr:uid="{00000000-0005-0000-0000-000097320000}"/>
    <cellStyle name="Normal 10 4 2" xfId="13343" xr:uid="{00000000-0005-0000-0000-000098320000}"/>
    <cellStyle name="Normal 10 5" xfId="13344" xr:uid="{00000000-0005-0000-0000-000099320000}"/>
    <cellStyle name="Normal 10 6" xfId="13345" xr:uid="{00000000-0005-0000-0000-00009A320000}"/>
    <cellStyle name="Normal 10 6 2" xfId="13346" xr:uid="{00000000-0005-0000-0000-00009B320000}"/>
    <cellStyle name="Normal 10 7" xfId="13347" xr:uid="{00000000-0005-0000-0000-00009C320000}"/>
    <cellStyle name="Normal 10 7 2" xfId="13348" xr:uid="{00000000-0005-0000-0000-00009D320000}"/>
    <cellStyle name="Normal 10 8" xfId="13349" xr:uid="{00000000-0005-0000-0000-00009E320000}"/>
    <cellStyle name="Normal 10 8 2" xfId="13350" xr:uid="{00000000-0005-0000-0000-00009F320000}"/>
    <cellStyle name="Normal 10 9" xfId="13351" xr:uid="{00000000-0005-0000-0000-0000A0320000}"/>
    <cellStyle name="Normal 100" xfId="2061" xr:uid="{00000000-0005-0000-0000-0000A1320000}"/>
    <cellStyle name="Normal 100 10" xfId="13352" xr:uid="{00000000-0005-0000-0000-0000A2320000}"/>
    <cellStyle name="Normal 100 11" xfId="13353" xr:uid="{00000000-0005-0000-0000-0000A3320000}"/>
    <cellStyle name="Normal 100 12" xfId="13354" xr:uid="{00000000-0005-0000-0000-0000A4320000}"/>
    <cellStyle name="Normal 100 2" xfId="13355" xr:uid="{00000000-0005-0000-0000-0000A5320000}"/>
    <cellStyle name="Normal 100 2 2" xfId="13356" xr:uid="{00000000-0005-0000-0000-0000A6320000}"/>
    <cellStyle name="Normal 100 2 2 2" xfId="13357" xr:uid="{00000000-0005-0000-0000-0000A7320000}"/>
    <cellStyle name="Normal 100 2 2 2 2" xfId="13358" xr:uid="{00000000-0005-0000-0000-0000A8320000}"/>
    <cellStyle name="Normal 100 2 2 2 2 2" xfId="13359" xr:uid="{00000000-0005-0000-0000-0000A9320000}"/>
    <cellStyle name="Normal 100 2 2 2 2 3" xfId="13360" xr:uid="{00000000-0005-0000-0000-0000AA320000}"/>
    <cellStyle name="Normal 100 2 2 2 3" xfId="13361" xr:uid="{00000000-0005-0000-0000-0000AB320000}"/>
    <cellStyle name="Normal 100 2 2 2 3 2" xfId="13362" xr:uid="{00000000-0005-0000-0000-0000AC320000}"/>
    <cellStyle name="Normal 100 2 2 2 3 3" xfId="13363" xr:uid="{00000000-0005-0000-0000-0000AD320000}"/>
    <cellStyle name="Normal 100 2 2 2 4" xfId="13364" xr:uid="{00000000-0005-0000-0000-0000AE320000}"/>
    <cellStyle name="Normal 100 2 2 2 5" xfId="13365" xr:uid="{00000000-0005-0000-0000-0000AF320000}"/>
    <cellStyle name="Normal 100 2 2 2 6" xfId="13366" xr:uid="{00000000-0005-0000-0000-0000B0320000}"/>
    <cellStyle name="Normal 100 2 2 3" xfId="13367" xr:uid="{00000000-0005-0000-0000-0000B1320000}"/>
    <cellStyle name="Normal 100 2 2 3 2" xfId="13368" xr:uid="{00000000-0005-0000-0000-0000B2320000}"/>
    <cellStyle name="Normal 100 2 2 3 3" xfId="13369" xr:uid="{00000000-0005-0000-0000-0000B3320000}"/>
    <cellStyle name="Normal 100 2 2 4" xfId="13370" xr:uid="{00000000-0005-0000-0000-0000B4320000}"/>
    <cellStyle name="Normal 100 2 2 4 2" xfId="13371" xr:uid="{00000000-0005-0000-0000-0000B5320000}"/>
    <cellStyle name="Normal 100 2 2 4 3" xfId="13372" xr:uid="{00000000-0005-0000-0000-0000B6320000}"/>
    <cellStyle name="Normal 100 2 2 5" xfId="13373" xr:uid="{00000000-0005-0000-0000-0000B7320000}"/>
    <cellStyle name="Normal 100 2 2 6" xfId="13374" xr:uid="{00000000-0005-0000-0000-0000B8320000}"/>
    <cellStyle name="Normal 100 2 2 7" xfId="13375" xr:uid="{00000000-0005-0000-0000-0000B9320000}"/>
    <cellStyle name="Normal 100 2 2 8" xfId="13376" xr:uid="{00000000-0005-0000-0000-0000BA320000}"/>
    <cellStyle name="Normal 100 2 3" xfId="13377" xr:uid="{00000000-0005-0000-0000-0000BB320000}"/>
    <cellStyle name="Normal 100 2 3 2" xfId="13378" xr:uid="{00000000-0005-0000-0000-0000BC320000}"/>
    <cellStyle name="Normal 100 2 3 2 2" xfId="13379" xr:uid="{00000000-0005-0000-0000-0000BD320000}"/>
    <cellStyle name="Normal 100 2 3 2 3" xfId="13380" xr:uid="{00000000-0005-0000-0000-0000BE320000}"/>
    <cellStyle name="Normal 100 2 3 3" xfId="13381" xr:uid="{00000000-0005-0000-0000-0000BF320000}"/>
    <cellStyle name="Normal 100 2 3 3 2" xfId="13382" xr:uid="{00000000-0005-0000-0000-0000C0320000}"/>
    <cellStyle name="Normal 100 2 3 3 3" xfId="13383" xr:uid="{00000000-0005-0000-0000-0000C1320000}"/>
    <cellStyle name="Normal 100 2 3 4" xfId="13384" xr:uid="{00000000-0005-0000-0000-0000C2320000}"/>
    <cellStyle name="Normal 100 2 3 5" xfId="13385" xr:uid="{00000000-0005-0000-0000-0000C3320000}"/>
    <cellStyle name="Normal 100 2 3 6" xfId="13386" xr:uid="{00000000-0005-0000-0000-0000C4320000}"/>
    <cellStyle name="Normal 100 2 4" xfId="13387" xr:uid="{00000000-0005-0000-0000-0000C5320000}"/>
    <cellStyle name="Normal 100 2 4 2" xfId="13388" xr:uid="{00000000-0005-0000-0000-0000C6320000}"/>
    <cellStyle name="Normal 100 2 4 3" xfId="13389" xr:uid="{00000000-0005-0000-0000-0000C7320000}"/>
    <cellStyle name="Normal 100 2 5" xfId="13390" xr:uid="{00000000-0005-0000-0000-0000C8320000}"/>
    <cellStyle name="Normal 100 2 5 2" xfId="13391" xr:uid="{00000000-0005-0000-0000-0000C9320000}"/>
    <cellStyle name="Normal 100 2 5 3" xfId="13392" xr:uid="{00000000-0005-0000-0000-0000CA320000}"/>
    <cellStyle name="Normal 100 2 6" xfId="13393" xr:uid="{00000000-0005-0000-0000-0000CB320000}"/>
    <cellStyle name="Normal 100 2 7" xfId="13394" xr:uid="{00000000-0005-0000-0000-0000CC320000}"/>
    <cellStyle name="Normal 100 2 8" xfId="13395" xr:uid="{00000000-0005-0000-0000-0000CD320000}"/>
    <cellStyle name="Normal 100 2 9" xfId="13396" xr:uid="{00000000-0005-0000-0000-0000CE320000}"/>
    <cellStyle name="Normal 100 3" xfId="13397" xr:uid="{00000000-0005-0000-0000-0000CF320000}"/>
    <cellStyle name="Normal 100 3 2" xfId="13398" xr:uid="{00000000-0005-0000-0000-0000D0320000}"/>
    <cellStyle name="Normal 100 3 2 2" xfId="13399" xr:uid="{00000000-0005-0000-0000-0000D1320000}"/>
    <cellStyle name="Normal 100 3 2 2 2" xfId="13400" xr:uid="{00000000-0005-0000-0000-0000D2320000}"/>
    <cellStyle name="Normal 100 3 2 2 3" xfId="13401" xr:uid="{00000000-0005-0000-0000-0000D3320000}"/>
    <cellStyle name="Normal 100 3 2 3" xfId="13402" xr:uid="{00000000-0005-0000-0000-0000D4320000}"/>
    <cellStyle name="Normal 100 3 2 3 2" xfId="13403" xr:uid="{00000000-0005-0000-0000-0000D5320000}"/>
    <cellStyle name="Normal 100 3 2 3 3" xfId="13404" xr:uid="{00000000-0005-0000-0000-0000D6320000}"/>
    <cellStyle name="Normal 100 3 2 4" xfId="13405" xr:uid="{00000000-0005-0000-0000-0000D7320000}"/>
    <cellStyle name="Normal 100 3 2 5" xfId="13406" xr:uid="{00000000-0005-0000-0000-0000D8320000}"/>
    <cellStyle name="Normal 100 3 2 6" xfId="13407" xr:uid="{00000000-0005-0000-0000-0000D9320000}"/>
    <cellStyle name="Normal 100 3 3" xfId="13408" xr:uid="{00000000-0005-0000-0000-0000DA320000}"/>
    <cellStyle name="Normal 100 3 3 2" xfId="13409" xr:uid="{00000000-0005-0000-0000-0000DB320000}"/>
    <cellStyle name="Normal 100 3 3 3" xfId="13410" xr:uid="{00000000-0005-0000-0000-0000DC320000}"/>
    <cellStyle name="Normal 100 3 4" xfId="13411" xr:uid="{00000000-0005-0000-0000-0000DD320000}"/>
    <cellStyle name="Normal 100 3 4 2" xfId="13412" xr:uid="{00000000-0005-0000-0000-0000DE320000}"/>
    <cellStyle name="Normal 100 3 4 3" xfId="13413" xr:uid="{00000000-0005-0000-0000-0000DF320000}"/>
    <cellStyle name="Normal 100 3 5" xfId="13414" xr:uid="{00000000-0005-0000-0000-0000E0320000}"/>
    <cellStyle name="Normal 100 3 6" xfId="13415" xr:uid="{00000000-0005-0000-0000-0000E1320000}"/>
    <cellStyle name="Normal 100 3 7" xfId="13416" xr:uid="{00000000-0005-0000-0000-0000E2320000}"/>
    <cellStyle name="Normal 100 3 8" xfId="13417" xr:uid="{00000000-0005-0000-0000-0000E3320000}"/>
    <cellStyle name="Normal 100 4" xfId="13418" xr:uid="{00000000-0005-0000-0000-0000E4320000}"/>
    <cellStyle name="Normal 100 4 2" xfId="13419" xr:uid="{00000000-0005-0000-0000-0000E5320000}"/>
    <cellStyle name="Normal 100 4 2 2" xfId="13420" xr:uid="{00000000-0005-0000-0000-0000E6320000}"/>
    <cellStyle name="Normal 100 4 2 3" xfId="13421" xr:uid="{00000000-0005-0000-0000-0000E7320000}"/>
    <cellStyle name="Normal 100 4 3" xfId="13422" xr:uid="{00000000-0005-0000-0000-0000E8320000}"/>
    <cellStyle name="Normal 100 4 3 2" xfId="13423" xr:uid="{00000000-0005-0000-0000-0000E9320000}"/>
    <cellStyle name="Normal 100 4 3 3" xfId="13424" xr:uid="{00000000-0005-0000-0000-0000EA320000}"/>
    <cellStyle name="Normal 100 4 4" xfId="13425" xr:uid="{00000000-0005-0000-0000-0000EB320000}"/>
    <cellStyle name="Normal 100 4 5" xfId="13426" xr:uid="{00000000-0005-0000-0000-0000EC320000}"/>
    <cellStyle name="Normal 100 4 6" xfId="13427" xr:uid="{00000000-0005-0000-0000-0000ED320000}"/>
    <cellStyle name="Normal 100 5" xfId="13428" xr:uid="{00000000-0005-0000-0000-0000EE320000}"/>
    <cellStyle name="Normal 100 5 2" xfId="13429" xr:uid="{00000000-0005-0000-0000-0000EF320000}"/>
    <cellStyle name="Normal 100 5 3" xfId="13430" xr:uid="{00000000-0005-0000-0000-0000F0320000}"/>
    <cellStyle name="Normal 100 6" xfId="13431" xr:uid="{00000000-0005-0000-0000-0000F1320000}"/>
    <cellStyle name="Normal 100 6 2" xfId="13432" xr:uid="{00000000-0005-0000-0000-0000F2320000}"/>
    <cellStyle name="Normal 100 6 3" xfId="13433" xr:uid="{00000000-0005-0000-0000-0000F3320000}"/>
    <cellStyle name="Normal 100 7" xfId="13434" xr:uid="{00000000-0005-0000-0000-0000F4320000}"/>
    <cellStyle name="Normal 100 8" xfId="13435" xr:uid="{00000000-0005-0000-0000-0000F5320000}"/>
    <cellStyle name="Normal 100 9" xfId="13436" xr:uid="{00000000-0005-0000-0000-0000F6320000}"/>
    <cellStyle name="Normal 1000" xfId="13437" xr:uid="{00000000-0005-0000-0000-0000F7320000}"/>
    <cellStyle name="Normal 1001" xfId="13438" xr:uid="{00000000-0005-0000-0000-0000F8320000}"/>
    <cellStyle name="Normal 1002" xfId="13439" xr:uid="{00000000-0005-0000-0000-0000F9320000}"/>
    <cellStyle name="Normal 1003" xfId="13440" xr:uid="{00000000-0005-0000-0000-0000FA320000}"/>
    <cellStyle name="Normal 1004" xfId="13441" xr:uid="{00000000-0005-0000-0000-0000FB320000}"/>
    <cellStyle name="Normal 1005" xfId="13442" xr:uid="{00000000-0005-0000-0000-0000FC320000}"/>
    <cellStyle name="Normal 1006" xfId="13443" xr:uid="{00000000-0005-0000-0000-0000FD320000}"/>
    <cellStyle name="Normal 1007" xfId="13444" xr:uid="{00000000-0005-0000-0000-0000FE320000}"/>
    <cellStyle name="Normal 1008" xfId="13445" xr:uid="{00000000-0005-0000-0000-0000FF320000}"/>
    <cellStyle name="Normal 1009" xfId="13446" xr:uid="{00000000-0005-0000-0000-000000330000}"/>
    <cellStyle name="Normal 101" xfId="2062" xr:uid="{00000000-0005-0000-0000-000001330000}"/>
    <cellStyle name="Normal 101 10" xfId="13447" xr:uid="{00000000-0005-0000-0000-000002330000}"/>
    <cellStyle name="Normal 101 11" xfId="13448" xr:uid="{00000000-0005-0000-0000-000003330000}"/>
    <cellStyle name="Normal 101 12" xfId="13449" xr:uid="{00000000-0005-0000-0000-000004330000}"/>
    <cellStyle name="Normal 101 2" xfId="13450" xr:uid="{00000000-0005-0000-0000-000005330000}"/>
    <cellStyle name="Normal 101 2 2" xfId="13451" xr:uid="{00000000-0005-0000-0000-000006330000}"/>
    <cellStyle name="Normal 101 2 2 2" xfId="13452" xr:uid="{00000000-0005-0000-0000-000007330000}"/>
    <cellStyle name="Normal 101 2 2 2 2" xfId="13453" xr:uid="{00000000-0005-0000-0000-000008330000}"/>
    <cellStyle name="Normal 101 2 2 2 2 2" xfId="13454" xr:uid="{00000000-0005-0000-0000-000009330000}"/>
    <cellStyle name="Normal 101 2 2 2 2 3" xfId="13455" xr:uid="{00000000-0005-0000-0000-00000A330000}"/>
    <cellStyle name="Normal 101 2 2 2 3" xfId="13456" xr:uid="{00000000-0005-0000-0000-00000B330000}"/>
    <cellStyle name="Normal 101 2 2 2 3 2" xfId="13457" xr:uid="{00000000-0005-0000-0000-00000C330000}"/>
    <cellStyle name="Normal 101 2 2 2 3 3" xfId="13458" xr:uid="{00000000-0005-0000-0000-00000D330000}"/>
    <cellStyle name="Normal 101 2 2 2 4" xfId="13459" xr:uid="{00000000-0005-0000-0000-00000E330000}"/>
    <cellStyle name="Normal 101 2 2 2 5" xfId="13460" xr:uid="{00000000-0005-0000-0000-00000F330000}"/>
    <cellStyle name="Normal 101 2 2 2 6" xfId="13461" xr:uid="{00000000-0005-0000-0000-000010330000}"/>
    <cellStyle name="Normal 101 2 2 3" xfId="13462" xr:uid="{00000000-0005-0000-0000-000011330000}"/>
    <cellStyle name="Normal 101 2 2 3 2" xfId="13463" xr:uid="{00000000-0005-0000-0000-000012330000}"/>
    <cellStyle name="Normal 101 2 2 3 3" xfId="13464" xr:uid="{00000000-0005-0000-0000-000013330000}"/>
    <cellStyle name="Normal 101 2 2 4" xfId="13465" xr:uid="{00000000-0005-0000-0000-000014330000}"/>
    <cellStyle name="Normal 101 2 2 4 2" xfId="13466" xr:uid="{00000000-0005-0000-0000-000015330000}"/>
    <cellStyle name="Normal 101 2 2 4 3" xfId="13467" xr:uid="{00000000-0005-0000-0000-000016330000}"/>
    <cellStyle name="Normal 101 2 2 5" xfId="13468" xr:uid="{00000000-0005-0000-0000-000017330000}"/>
    <cellStyle name="Normal 101 2 2 6" xfId="13469" xr:uid="{00000000-0005-0000-0000-000018330000}"/>
    <cellStyle name="Normal 101 2 2 7" xfId="13470" xr:uid="{00000000-0005-0000-0000-000019330000}"/>
    <cellStyle name="Normal 101 2 2 8" xfId="13471" xr:uid="{00000000-0005-0000-0000-00001A330000}"/>
    <cellStyle name="Normal 101 2 3" xfId="13472" xr:uid="{00000000-0005-0000-0000-00001B330000}"/>
    <cellStyle name="Normal 101 2 3 2" xfId="13473" xr:uid="{00000000-0005-0000-0000-00001C330000}"/>
    <cellStyle name="Normal 101 2 3 2 2" xfId="13474" xr:uid="{00000000-0005-0000-0000-00001D330000}"/>
    <cellStyle name="Normal 101 2 3 2 3" xfId="13475" xr:uid="{00000000-0005-0000-0000-00001E330000}"/>
    <cellStyle name="Normal 101 2 3 3" xfId="13476" xr:uid="{00000000-0005-0000-0000-00001F330000}"/>
    <cellStyle name="Normal 101 2 3 3 2" xfId="13477" xr:uid="{00000000-0005-0000-0000-000020330000}"/>
    <cellStyle name="Normal 101 2 3 3 3" xfId="13478" xr:uid="{00000000-0005-0000-0000-000021330000}"/>
    <cellStyle name="Normal 101 2 3 4" xfId="13479" xr:uid="{00000000-0005-0000-0000-000022330000}"/>
    <cellStyle name="Normal 101 2 3 5" xfId="13480" xr:uid="{00000000-0005-0000-0000-000023330000}"/>
    <cellStyle name="Normal 101 2 3 6" xfId="13481" xr:uid="{00000000-0005-0000-0000-000024330000}"/>
    <cellStyle name="Normal 101 2 4" xfId="13482" xr:uid="{00000000-0005-0000-0000-000025330000}"/>
    <cellStyle name="Normal 101 2 4 2" xfId="13483" xr:uid="{00000000-0005-0000-0000-000026330000}"/>
    <cellStyle name="Normal 101 2 4 3" xfId="13484" xr:uid="{00000000-0005-0000-0000-000027330000}"/>
    <cellStyle name="Normal 101 2 5" xfId="13485" xr:uid="{00000000-0005-0000-0000-000028330000}"/>
    <cellStyle name="Normal 101 2 5 2" xfId="13486" xr:uid="{00000000-0005-0000-0000-000029330000}"/>
    <cellStyle name="Normal 101 2 5 3" xfId="13487" xr:uid="{00000000-0005-0000-0000-00002A330000}"/>
    <cellStyle name="Normal 101 2 6" xfId="13488" xr:uid="{00000000-0005-0000-0000-00002B330000}"/>
    <cellStyle name="Normal 101 2 7" xfId="13489" xr:uid="{00000000-0005-0000-0000-00002C330000}"/>
    <cellStyle name="Normal 101 2 8" xfId="13490" xr:uid="{00000000-0005-0000-0000-00002D330000}"/>
    <cellStyle name="Normal 101 2 9" xfId="13491" xr:uid="{00000000-0005-0000-0000-00002E330000}"/>
    <cellStyle name="Normal 101 3" xfId="13492" xr:uid="{00000000-0005-0000-0000-00002F330000}"/>
    <cellStyle name="Normal 101 3 2" xfId="13493" xr:uid="{00000000-0005-0000-0000-000030330000}"/>
    <cellStyle name="Normal 101 3 2 2" xfId="13494" xr:uid="{00000000-0005-0000-0000-000031330000}"/>
    <cellStyle name="Normal 101 3 2 2 2" xfId="13495" xr:uid="{00000000-0005-0000-0000-000032330000}"/>
    <cellStyle name="Normal 101 3 2 2 3" xfId="13496" xr:uid="{00000000-0005-0000-0000-000033330000}"/>
    <cellStyle name="Normal 101 3 2 3" xfId="13497" xr:uid="{00000000-0005-0000-0000-000034330000}"/>
    <cellStyle name="Normal 101 3 2 3 2" xfId="13498" xr:uid="{00000000-0005-0000-0000-000035330000}"/>
    <cellStyle name="Normal 101 3 2 3 3" xfId="13499" xr:uid="{00000000-0005-0000-0000-000036330000}"/>
    <cellStyle name="Normal 101 3 2 4" xfId="13500" xr:uid="{00000000-0005-0000-0000-000037330000}"/>
    <cellStyle name="Normal 101 3 2 5" xfId="13501" xr:uid="{00000000-0005-0000-0000-000038330000}"/>
    <cellStyle name="Normal 101 3 2 6" xfId="13502" xr:uid="{00000000-0005-0000-0000-000039330000}"/>
    <cellStyle name="Normal 101 3 3" xfId="13503" xr:uid="{00000000-0005-0000-0000-00003A330000}"/>
    <cellStyle name="Normal 101 3 3 2" xfId="13504" xr:uid="{00000000-0005-0000-0000-00003B330000}"/>
    <cellStyle name="Normal 101 3 3 3" xfId="13505" xr:uid="{00000000-0005-0000-0000-00003C330000}"/>
    <cellStyle name="Normal 101 3 4" xfId="13506" xr:uid="{00000000-0005-0000-0000-00003D330000}"/>
    <cellStyle name="Normal 101 3 4 2" xfId="13507" xr:uid="{00000000-0005-0000-0000-00003E330000}"/>
    <cellStyle name="Normal 101 3 4 3" xfId="13508" xr:uid="{00000000-0005-0000-0000-00003F330000}"/>
    <cellStyle name="Normal 101 3 5" xfId="13509" xr:uid="{00000000-0005-0000-0000-000040330000}"/>
    <cellStyle name="Normal 101 3 6" xfId="13510" xr:uid="{00000000-0005-0000-0000-000041330000}"/>
    <cellStyle name="Normal 101 3 7" xfId="13511" xr:uid="{00000000-0005-0000-0000-000042330000}"/>
    <cellStyle name="Normal 101 3 8" xfId="13512" xr:uid="{00000000-0005-0000-0000-000043330000}"/>
    <cellStyle name="Normal 101 4" xfId="13513" xr:uid="{00000000-0005-0000-0000-000044330000}"/>
    <cellStyle name="Normal 101 4 2" xfId="13514" xr:uid="{00000000-0005-0000-0000-000045330000}"/>
    <cellStyle name="Normal 101 4 2 2" xfId="13515" xr:uid="{00000000-0005-0000-0000-000046330000}"/>
    <cellStyle name="Normal 101 4 2 3" xfId="13516" xr:uid="{00000000-0005-0000-0000-000047330000}"/>
    <cellStyle name="Normal 101 4 3" xfId="13517" xr:uid="{00000000-0005-0000-0000-000048330000}"/>
    <cellStyle name="Normal 101 4 3 2" xfId="13518" xr:uid="{00000000-0005-0000-0000-000049330000}"/>
    <cellStyle name="Normal 101 4 3 3" xfId="13519" xr:uid="{00000000-0005-0000-0000-00004A330000}"/>
    <cellStyle name="Normal 101 4 4" xfId="13520" xr:uid="{00000000-0005-0000-0000-00004B330000}"/>
    <cellStyle name="Normal 101 4 5" xfId="13521" xr:uid="{00000000-0005-0000-0000-00004C330000}"/>
    <cellStyle name="Normal 101 4 6" xfId="13522" xr:uid="{00000000-0005-0000-0000-00004D330000}"/>
    <cellStyle name="Normal 101 5" xfId="13523" xr:uid="{00000000-0005-0000-0000-00004E330000}"/>
    <cellStyle name="Normal 101 5 2" xfId="13524" xr:uid="{00000000-0005-0000-0000-00004F330000}"/>
    <cellStyle name="Normal 101 5 3" xfId="13525" xr:uid="{00000000-0005-0000-0000-000050330000}"/>
    <cellStyle name="Normal 101 6" xfId="13526" xr:uid="{00000000-0005-0000-0000-000051330000}"/>
    <cellStyle name="Normal 101 6 2" xfId="13527" xr:uid="{00000000-0005-0000-0000-000052330000}"/>
    <cellStyle name="Normal 101 6 3" xfId="13528" xr:uid="{00000000-0005-0000-0000-000053330000}"/>
    <cellStyle name="Normal 101 7" xfId="13529" xr:uid="{00000000-0005-0000-0000-000054330000}"/>
    <cellStyle name="Normal 101 8" xfId="13530" xr:uid="{00000000-0005-0000-0000-000055330000}"/>
    <cellStyle name="Normal 101 9" xfId="13531" xr:uid="{00000000-0005-0000-0000-000056330000}"/>
    <cellStyle name="Normal 1010" xfId="13532" xr:uid="{00000000-0005-0000-0000-000057330000}"/>
    <cellStyle name="Normal 1011" xfId="13533" xr:uid="{00000000-0005-0000-0000-000058330000}"/>
    <cellStyle name="Normal 1012" xfId="13534" xr:uid="{00000000-0005-0000-0000-000059330000}"/>
    <cellStyle name="Normal 1013" xfId="13535" xr:uid="{00000000-0005-0000-0000-00005A330000}"/>
    <cellStyle name="Normal 1014" xfId="13536" xr:uid="{00000000-0005-0000-0000-00005B330000}"/>
    <cellStyle name="Normal 1015" xfId="13537" xr:uid="{00000000-0005-0000-0000-00005C330000}"/>
    <cellStyle name="Normal 1016" xfId="13538" xr:uid="{00000000-0005-0000-0000-00005D330000}"/>
    <cellStyle name="Normal 1017" xfId="13539" xr:uid="{00000000-0005-0000-0000-00005E330000}"/>
    <cellStyle name="Normal 1018" xfId="13540" xr:uid="{00000000-0005-0000-0000-00005F330000}"/>
    <cellStyle name="Normal 1019" xfId="13541" xr:uid="{00000000-0005-0000-0000-000060330000}"/>
    <cellStyle name="Normal 102" xfId="2063" xr:uid="{00000000-0005-0000-0000-000061330000}"/>
    <cellStyle name="Normal 102 10" xfId="13542" xr:uid="{00000000-0005-0000-0000-000062330000}"/>
    <cellStyle name="Normal 102 11" xfId="13543" xr:uid="{00000000-0005-0000-0000-000063330000}"/>
    <cellStyle name="Normal 102 12" xfId="13544" xr:uid="{00000000-0005-0000-0000-000064330000}"/>
    <cellStyle name="Normal 102 2" xfId="13545" xr:uid="{00000000-0005-0000-0000-000065330000}"/>
    <cellStyle name="Normal 102 2 2" xfId="13546" xr:uid="{00000000-0005-0000-0000-000066330000}"/>
    <cellStyle name="Normal 102 2 2 2" xfId="13547" xr:uid="{00000000-0005-0000-0000-000067330000}"/>
    <cellStyle name="Normal 102 2 2 2 2" xfId="13548" xr:uid="{00000000-0005-0000-0000-000068330000}"/>
    <cellStyle name="Normal 102 2 2 2 2 2" xfId="13549" xr:uid="{00000000-0005-0000-0000-000069330000}"/>
    <cellStyle name="Normal 102 2 2 2 2 3" xfId="13550" xr:uid="{00000000-0005-0000-0000-00006A330000}"/>
    <cellStyle name="Normal 102 2 2 2 3" xfId="13551" xr:uid="{00000000-0005-0000-0000-00006B330000}"/>
    <cellStyle name="Normal 102 2 2 2 3 2" xfId="13552" xr:uid="{00000000-0005-0000-0000-00006C330000}"/>
    <cellStyle name="Normal 102 2 2 2 3 3" xfId="13553" xr:uid="{00000000-0005-0000-0000-00006D330000}"/>
    <cellStyle name="Normal 102 2 2 2 4" xfId="13554" xr:uid="{00000000-0005-0000-0000-00006E330000}"/>
    <cellStyle name="Normal 102 2 2 2 5" xfId="13555" xr:uid="{00000000-0005-0000-0000-00006F330000}"/>
    <cellStyle name="Normal 102 2 2 2 6" xfId="13556" xr:uid="{00000000-0005-0000-0000-000070330000}"/>
    <cellStyle name="Normal 102 2 2 3" xfId="13557" xr:uid="{00000000-0005-0000-0000-000071330000}"/>
    <cellStyle name="Normal 102 2 2 3 2" xfId="13558" xr:uid="{00000000-0005-0000-0000-000072330000}"/>
    <cellStyle name="Normal 102 2 2 3 3" xfId="13559" xr:uid="{00000000-0005-0000-0000-000073330000}"/>
    <cellStyle name="Normal 102 2 2 4" xfId="13560" xr:uid="{00000000-0005-0000-0000-000074330000}"/>
    <cellStyle name="Normal 102 2 2 4 2" xfId="13561" xr:uid="{00000000-0005-0000-0000-000075330000}"/>
    <cellStyle name="Normal 102 2 2 4 3" xfId="13562" xr:uid="{00000000-0005-0000-0000-000076330000}"/>
    <cellStyle name="Normal 102 2 2 5" xfId="13563" xr:uid="{00000000-0005-0000-0000-000077330000}"/>
    <cellStyle name="Normal 102 2 2 6" xfId="13564" xr:uid="{00000000-0005-0000-0000-000078330000}"/>
    <cellStyle name="Normal 102 2 2 7" xfId="13565" xr:uid="{00000000-0005-0000-0000-000079330000}"/>
    <cellStyle name="Normal 102 2 2 8" xfId="13566" xr:uid="{00000000-0005-0000-0000-00007A330000}"/>
    <cellStyle name="Normal 102 2 3" xfId="13567" xr:uid="{00000000-0005-0000-0000-00007B330000}"/>
    <cellStyle name="Normal 102 2 3 2" xfId="13568" xr:uid="{00000000-0005-0000-0000-00007C330000}"/>
    <cellStyle name="Normal 102 2 3 2 2" xfId="13569" xr:uid="{00000000-0005-0000-0000-00007D330000}"/>
    <cellStyle name="Normal 102 2 3 2 3" xfId="13570" xr:uid="{00000000-0005-0000-0000-00007E330000}"/>
    <cellStyle name="Normal 102 2 3 3" xfId="13571" xr:uid="{00000000-0005-0000-0000-00007F330000}"/>
    <cellStyle name="Normal 102 2 3 3 2" xfId="13572" xr:uid="{00000000-0005-0000-0000-000080330000}"/>
    <cellStyle name="Normal 102 2 3 3 3" xfId="13573" xr:uid="{00000000-0005-0000-0000-000081330000}"/>
    <cellStyle name="Normal 102 2 3 4" xfId="13574" xr:uid="{00000000-0005-0000-0000-000082330000}"/>
    <cellStyle name="Normal 102 2 3 5" xfId="13575" xr:uid="{00000000-0005-0000-0000-000083330000}"/>
    <cellStyle name="Normal 102 2 3 6" xfId="13576" xr:uid="{00000000-0005-0000-0000-000084330000}"/>
    <cellStyle name="Normal 102 2 4" xfId="13577" xr:uid="{00000000-0005-0000-0000-000085330000}"/>
    <cellStyle name="Normal 102 2 4 2" xfId="13578" xr:uid="{00000000-0005-0000-0000-000086330000}"/>
    <cellStyle name="Normal 102 2 4 3" xfId="13579" xr:uid="{00000000-0005-0000-0000-000087330000}"/>
    <cellStyle name="Normal 102 2 5" xfId="13580" xr:uid="{00000000-0005-0000-0000-000088330000}"/>
    <cellStyle name="Normal 102 2 5 2" xfId="13581" xr:uid="{00000000-0005-0000-0000-000089330000}"/>
    <cellStyle name="Normal 102 2 5 3" xfId="13582" xr:uid="{00000000-0005-0000-0000-00008A330000}"/>
    <cellStyle name="Normal 102 2 6" xfId="13583" xr:uid="{00000000-0005-0000-0000-00008B330000}"/>
    <cellStyle name="Normal 102 2 7" xfId="13584" xr:uid="{00000000-0005-0000-0000-00008C330000}"/>
    <cellStyle name="Normal 102 2 8" xfId="13585" xr:uid="{00000000-0005-0000-0000-00008D330000}"/>
    <cellStyle name="Normal 102 2 9" xfId="13586" xr:uid="{00000000-0005-0000-0000-00008E330000}"/>
    <cellStyle name="Normal 102 3" xfId="13587" xr:uid="{00000000-0005-0000-0000-00008F330000}"/>
    <cellStyle name="Normal 102 3 2" xfId="13588" xr:uid="{00000000-0005-0000-0000-000090330000}"/>
    <cellStyle name="Normal 102 3 2 2" xfId="13589" xr:uid="{00000000-0005-0000-0000-000091330000}"/>
    <cellStyle name="Normal 102 3 2 2 2" xfId="13590" xr:uid="{00000000-0005-0000-0000-000092330000}"/>
    <cellStyle name="Normal 102 3 2 2 3" xfId="13591" xr:uid="{00000000-0005-0000-0000-000093330000}"/>
    <cellStyle name="Normal 102 3 2 3" xfId="13592" xr:uid="{00000000-0005-0000-0000-000094330000}"/>
    <cellStyle name="Normal 102 3 2 3 2" xfId="13593" xr:uid="{00000000-0005-0000-0000-000095330000}"/>
    <cellStyle name="Normal 102 3 2 3 3" xfId="13594" xr:uid="{00000000-0005-0000-0000-000096330000}"/>
    <cellStyle name="Normal 102 3 2 4" xfId="13595" xr:uid="{00000000-0005-0000-0000-000097330000}"/>
    <cellStyle name="Normal 102 3 2 5" xfId="13596" xr:uid="{00000000-0005-0000-0000-000098330000}"/>
    <cellStyle name="Normal 102 3 2 6" xfId="13597" xr:uid="{00000000-0005-0000-0000-000099330000}"/>
    <cellStyle name="Normal 102 3 3" xfId="13598" xr:uid="{00000000-0005-0000-0000-00009A330000}"/>
    <cellStyle name="Normal 102 3 3 2" xfId="13599" xr:uid="{00000000-0005-0000-0000-00009B330000}"/>
    <cellStyle name="Normal 102 3 3 3" xfId="13600" xr:uid="{00000000-0005-0000-0000-00009C330000}"/>
    <cellStyle name="Normal 102 3 4" xfId="13601" xr:uid="{00000000-0005-0000-0000-00009D330000}"/>
    <cellStyle name="Normal 102 3 4 2" xfId="13602" xr:uid="{00000000-0005-0000-0000-00009E330000}"/>
    <cellStyle name="Normal 102 3 4 3" xfId="13603" xr:uid="{00000000-0005-0000-0000-00009F330000}"/>
    <cellStyle name="Normal 102 3 5" xfId="13604" xr:uid="{00000000-0005-0000-0000-0000A0330000}"/>
    <cellStyle name="Normal 102 3 6" xfId="13605" xr:uid="{00000000-0005-0000-0000-0000A1330000}"/>
    <cellStyle name="Normal 102 3 7" xfId="13606" xr:uid="{00000000-0005-0000-0000-0000A2330000}"/>
    <cellStyle name="Normal 102 3 8" xfId="13607" xr:uid="{00000000-0005-0000-0000-0000A3330000}"/>
    <cellStyle name="Normal 102 4" xfId="13608" xr:uid="{00000000-0005-0000-0000-0000A4330000}"/>
    <cellStyle name="Normal 102 4 2" xfId="13609" xr:uid="{00000000-0005-0000-0000-0000A5330000}"/>
    <cellStyle name="Normal 102 4 2 2" xfId="13610" xr:uid="{00000000-0005-0000-0000-0000A6330000}"/>
    <cellStyle name="Normal 102 4 2 3" xfId="13611" xr:uid="{00000000-0005-0000-0000-0000A7330000}"/>
    <cellStyle name="Normal 102 4 3" xfId="13612" xr:uid="{00000000-0005-0000-0000-0000A8330000}"/>
    <cellStyle name="Normal 102 4 3 2" xfId="13613" xr:uid="{00000000-0005-0000-0000-0000A9330000}"/>
    <cellStyle name="Normal 102 4 3 3" xfId="13614" xr:uid="{00000000-0005-0000-0000-0000AA330000}"/>
    <cellStyle name="Normal 102 4 4" xfId="13615" xr:uid="{00000000-0005-0000-0000-0000AB330000}"/>
    <cellStyle name="Normal 102 4 5" xfId="13616" xr:uid="{00000000-0005-0000-0000-0000AC330000}"/>
    <cellStyle name="Normal 102 4 6" xfId="13617" xr:uid="{00000000-0005-0000-0000-0000AD330000}"/>
    <cellStyle name="Normal 102 5" xfId="13618" xr:uid="{00000000-0005-0000-0000-0000AE330000}"/>
    <cellStyle name="Normal 102 5 2" xfId="13619" xr:uid="{00000000-0005-0000-0000-0000AF330000}"/>
    <cellStyle name="Normal 102 5 3" xfId="13620" xr:uid="{00000000-0005-0000-0000-0000B0330000}"/>
    <cellStyle name="Normal 102 6" xfId="13621" xr:uid="{00000000-0005-0000-0000-0000B1330000}"/>
    <cellStyle name="Normal 102 6 2" xfId="13622" xr:uid="{00000000-0005-0000-0000-0000B2330000}"/>
    <cellStyle name="Normal 102 6 3" xfId="13623" xr:uid="{00000000-0005-0000-0000-0000B3330000}"/>
    <cellStyle name="Normal 102 7" xfId="13624" xr:uid="{00000000-0005-0000-0000-0000B4330000}"/>
    <cellStyle name="Normal 102 8" xfId="13625" xr:uid="{00000000-0005-0000-0000-0000B5330000}"/>
    <cellStyle name="Normal 102 9" xfId="13626" xr:uid="{00000000-0005-0000-0000-0000B6330000}"/>
    <cellStyle name="Normal 1020" xfId="13627" xr:uid="{00000000-0005-0000-0000-0000B7330000}"/>
    <cellStyle name="Normal 1021" xfId="13628" xr:uid="{00000000-0005-0000-0000-0000B8330000}"/>
    <cellStyle name="Normal 1022" xfId="13629" xr:uid="{00000000-0005-0000-0000-0000B9330000}"/>
    <cellStyle name="Normal 1023" xfId="13630" xr:uid="{00000000-0005-0000-0000-0000BA330000}"/>
    <cellStyle name="Normal 1024" xfId="13631" xr:uid="{00000000-0005-0000-0000-0000BB330000}"/>
    <cellStyle name="Normal 1025" xfId="13632" xr:uid="{00000000-0005-0000-0000-0000BC330000}"/>
    <cellStyle name="Normal 1026" xfId="13633" xr:uid="{00000000-0005-0000-0000-0000BD330000}"/>
    <cellStyle name="Normal 1027" xfId="13634" xr:uid="{00000000-0005-0000-0000-0000BE330000}"/>
    <cellStyle name="Normal 1028" xfId="13635" xr:uid="{00000000-0005-0000-0000-0000BF330000}"/>
    <cellStyle name="Normal 1029" xfId="13636" xr:uid="{00000000-0005-0000-0000-0000C0330000}"/>
    <cellStyle name="Normal 103" xfId="2064" xr:uid="{00000000-0005-0000-0000-0000C1330000}"/>
    <cellStyle name="Normal 103 10" xfId="13637" xr:uid="{00000000-0005-0000-0000-0000C2330000}"/>
    <cellStyle name="Normal 103 11" xfId="13638" xr:uid="{00000000-0005-0000-0000-0000C3330000}"/>
    <cellStyle name="Normal 103 12" xfId="13639" xr:uid="{00000000-0005-0000-0000-0000C4330000}"/>
    <cellStyle name="Normal 103 2" xfId="13640" xr:uid="{00000000-0005-0000-0000-0000C5330000}"/>
    <cellStyle name="Normal 103 2 2" xfId="13641" xr:uid="{00000000-0005-0000-0000-0000C6330000}"/>
    <cellStyle name="Normal 103 2 2 2" xfId="13642" xr:uid="{00000000-0005-0000-0000-0000C7330000}"/>
    <cellStyle name="Normal 103 2 2 2 2" xfId="13643" xr:uid="{00000000-0005-0000-0000-0000C8330000}"/>
    <cellStyle name="Normal 103 2 2 2 2 2" xfId="13644" xr:uid="{00000000-0005-0000-0000-0000C9330000}"/>
    <cellStyle name="Normal 103 2 2 2 2 3" xfId="13645" xr:uid="{00000000-0005-0000-0000-0000CA330000}"/>
    <cellStyle name="Normal 103 2 2 2 3" xfId="13646" xr:uid="{00000000-0005-0000-0000-0000CB330000}"/>
    <cellStyle name="Normal 103 2 2 2 3 2" xfId="13647" xr:uid="{00000000-0005-0000-0000-0000CC330000}"/>
    <cellStyle name="Normal 103 2 2 2 3 3" xfId="13648" xr:uid="{00000000-0005-0000-0000-0000CD330000}"/>
    <cellStyle name="Normal 103 2 2 2 4" xfId="13649" xr:uid="{00000000-0005-0000-0000-0000CE330000}"/>
    <cellStyle name="Normal 103 2 2 2 5" xfId="13650" xr:uid="{00000000-0005-0000-0000-0000CF330000}"/>
    <cellStyle name="Normal 103 2 2 2 6" xfId="13651" xr:uid="{00000000-0005-0000-0000-0000D0330000}"/>
    <cellStyle name="Normal 103 2 2 3" xfId="13652" xr:uid="{00000000-0005-0000-0000-0000D1330000}"/>
    <cellStyle name="Normal 103 2 2 3 2" xfId="13653" xr:uid="{00000000-0005-0000-0000-0000D2330000}"/>
    <cellStyle name="Normal 103 2 2 3 3" xfId="13654" xr:uid="{00000000-0005-0000-0000-0000D3330000}"/>
    <cellStyle name="Normal 103 2 2 4" xfId="13655" xr:uid="{00000000-0005-0000-0000-0000D4330000}"/>
    <cellStyle name="Normal 103 2 2 4 2" xfId="13656" xr:uid="{00000000-0005-0000-0000-0000D5330000}"/>
    <cellStyle name="Normal 103 2 2 4 3" xfId="13657" xr:uid="{00000000-0005-0000-0000-0000D6330000}"/>
    <cellStyle name="Normal 103 2 2 5" xfId="13658" xr:uid="{00000000-0005-0000-0000-0000D7330000}"/>
    <cellStyle name="Normal 103 2 2 6" xfId="13659" xr:uid="{00000000-0005-0000-0000-0000D8330000}"/>
    <cellStyle name="Normal 103 2 2 7" xfId="13660" xr:uid="{00000000-0005-0000-0000-0000D9330000}"/>
    <cellStyle name="Normal 103 2 2 8" xfId="13661" xr:uid="{00000000-0005-0000-0000-0000DA330000}"/>
    <cellStyle name="Normal 103 2 3" xfId="13662" xr:uid="{00000000-0005-0000-0000-0000DB330000}"/>
    <cellStyle name="Normal 103 2 3 2" xfId="13663" xr:uid="{00000000-0005-0000-0000-0000DC330000}"/>
    <cellStyle name="Normal 103 2 3 2 2" xfId="13664" xr:uid="{00000000-0005-0000-0000-0000DD330000}"/>
    <cellStyle name="Normal 103 2 3 2 3" xfId="13665" xr:uid="{00000000-0005-0000-0000-0000DE330000}"/>
    <cellStyle name="Normal 103 2 3 3" xfId="13666" xr:uid="{00000000-0005-0000-0000-0000DF330000}"/>
    <cellStyle name="Normal 103 2 3 3 2" xfId="13667" xr:uid="{00000000-0005-0000-0000-0000E0330000}"/>
    <cellStyle name="Normal 103 2 3 3 3" xfId="13668" xr:uid="{00000000-0005-0000-0000-0000E1330000}"/>
    <cellStyle name="Normal 103 2 3 4" xfId="13669" xr:uid="{00000000-0005-0000-0000-0000E2330000}"/>
    <cellStyle name="Normal 103 2 3 5" xfId="13670" xr:uid="{00000000-0005-0000-0000-0000E3330000}"/>
    <cellStyle name="Normal 103 2 3 6" xfId="13671" xr:uid="{00000000-0005-0000-0000-0000E4330000}"/>
    <cellStyle name="Normal 103 2 4" xfId="13672" xr:uid="{00000000-0005-0000-0000-0000E5330000}"/>
    <cellStyle name="Normal 103 2 4 2" xfId="13673" xr:uid="{00000000-0005-0000-0000-0000E6330000}"/>
    <cellStyle name="Normal 103 2 4 3" xfId="13674" xr:uid="{00000000-0005-0000-0000-0000E7330000}"/>
    <cellStyle name="Normal 103 2 5" xfId="13675" xr:uid="{00000000-0005-0000-0000-0000E8330000}"/>
    <cellStyle name="Normal 103 2 5 2" xfId="13676" xr:uid="{00000000-0005-0000-0000-0000E9330000}"/>
    <cellStyle name="Normal 103 2 5 3" xfId="13677" xr:uid="{00000000-0005-0000-0000-0000EA330000}"/>
    <cellStyle name="Normal 103 2 6" xfId="13678" xr:uid="{00000000-0005-0000-0000-0000EB330000}"/>
    <cellStyle name="Normal 103 2 7" xfId="13679" xr:uid="{00000000-0005-0000-0000-0000EC330000}"/>
    <cellStyle name="Normal 103 2 8" xfId="13680" xr:uid="{00000000-0005-0000-0000-0000ED330000}"/>
    <cellStyle name="Normal 103 2 9" xfId="13681" xr:uid="{00000000-0005-0000-0000-0000EE330000}"/>
    <cellStyle name="Normal 103 3" xfId="13682" xr:uid="{00000000-0005-0000-0000-0000EF330000}"/>
    <cellStyle name="Normal 103 3 2" xfId="13683" xr:uid="{00000000-0005-0000-0000-0000F0330000}"/>
    <cellStyle name="Normal 103 3 2 2" xfId="13684" xr:uid="{00000000-0005-0000-0000-0000F1330000}"/>
    <cellStyle name="Normal 103 3 2 2 2" xfId="13685" xr:uid="{00000000-0005-0000-0000-0000F2330000}"/>
    <cellStyle name="Normal 103 3 2 2 3" xfId="13686" xr:uid="{00000000-0005-0000-0000-0000F3330000}"/>
    <cellStyle name="Normal 103 3 2 3" xfId="13687" xr:uid="{00000000-0005-0000-0000-0000F4330000}"/>
    <cellStyle name="Normal 103 3 2 3 2" xfId="13688" xr:uid="{00000000-0005-0000-0000-0000F5330000}"/>
    <cellStyle name="Normal 103 3 2 3 3" xfId="13689" xr:uid="{00000000-0005-0000-0000-0000F6330000}"/>
    <cellStyle name="Normal 103 3 2 4" xfId="13690" xr:uid="{00000000-0005-0000-0000-0000F7330000}"/>
    <cellStyle name="Normal 103 3 2 5" xfId="13691" xr:uid="{00000000-0005-0000-0000-0000F8330000}"/>
    <cellStyle name="Normal 103 3 2 6" xfId="13692" xr:uid="{00000000-0005-0000-0000-0000F9330000}"/>
    <cellStyle name="Normal 103 3 3" xfId="13693" xr:uid="{00000000-0005-0000-0000-0000FA330000}"/>
    <cellStyle name="Normal 103 3 3 2" xfId="13694" xr:uid="{00000000-0005-0000-0000-0000FB330000}"/>
    <cellStyle name="Normal 103 3 3 3" xfId="13695" xr:uid="{00000000-0005-0000-0000-0000FC330000}"/>
    <cellStyle name="Normal 103 3 4" xfId="13696" xr:uid="{00000000-0005-0000-0000-0000FD330000}"/>
    <cellStyle name="Normal 103 3 4 2" xfId="13697" xr:uid="{00000000-0005-0000-0000-0000FE330000}"/>
    <cellStyle name="Normal 103 3 4 3" xfId="13698" xr:uid="{00000000-0005-0000-0000-0000FF330000}"/>
    <cellStyle name="Normal 103 3 5" xfId="13699" xr:uid="{00000000-0005-0000-0000-000000340000}"/>
    <cellStyle name="Normal 103 3 6" xfId="13700" xr:uid="{00000000-0005-0000-0000-000001340000}"/>
    <cellStyle name="Normal 103 3 7" xfId="13701" xr:uid="{00000000-0005-0000-0000-000002340000}"/>
    <cellStyle name="Normal 103 3 8" xfId="13702" xr:uid="{00000000-0005-0000-0000-000003340000}"/>
    <cellStyle name="Normal 103 4" xfId="13703" xr:uid="{00000000-0005-0000-0000-000004340000}"/>
    <cellStyle name="Normal 103 4 2" xfId="13704" xr:uid="{00000000-0005-0000-0000-000005340000}"/>
    <cellStyle name="Normal 103 4 2 2" xfId="13705" xr:uid="{00000000-0005-0000-0000-000006340000}"/>
    <cellStyle name="Normal 103 4 2 3" xfId="13706" xr:uid="{00000000-0005-0000-0000-000007340000}"/>
    <cellStyle name="Normal 103 4 3" xfId="13707" xr:uid="{00000000-0005-0000-0000-000008340000}"/>
    <cellStyle name="Normal 103 4 3 2" xfId="13708" xr:uid="{00000000-0005-0000-0000-000009340000}"/>
    <cellStyle name="Normal 103 4 3 3" xfId="13709" xr:uid="{00000000-0005-0000-0000-00000A340000}"/>
    <cellStyle name="Normal 103 4 4" xfId="13710" xr:uid="{00000000-0005-0000-0000-00000B340000}"/>
    <cellStyle name="Normal 103 4 5" xfId="13711" xr:uid="{00000000-0005-0000-0000-00000C340000}"/>
    <cellStyle name="Normal 103 4 6" xfId="13712" xr:uid="{00000000-0005-0000-0000-00000D340000}"/>
    <cellStyle name="Normal 103 5" xfId="13713" xr:uid="{00000000-0005-0000-0000-00000E340000}"/>
    <cellStyle name="Normal 103 5 2" xfId="13714" xr:uid="{00000000-0005-0000-0000-00000F340000}"/>
    <cellStyle name="Normal 103 5 3" xfId="13715" xr:uid="{00000000-0005-0000-0000-000010340000}"/>
    <cellStyle name="Normal 103 6" xfId="13716" xr:uid="{00000000-0005-0000-0000-000011340000}"/>
    <cellStyle name="Normal 103 6 2" xfId="13717" xr:uid="{00000000-0005-0000-0000-000012340000}"/>
    <cellStyle name="Normal 103 6 3" xfId="13718" xr:uid="{00000000-0005-0000-0000-000013340000}"/>
    <cellStyle name="Normal 103 7" xfId="13719" xr:uid="{00000000-0005-0000-0000-000014340000}"/>
    <cellStyle name="Normal 103 8" xfId="13720" xr:uid="{00000000-0005-0000-0000-000015340000}"/>
    <cellStyle name="Normal 103 9" xfId="13721" xr:uid="{00000000-0005-0000-0000-000016340000}"/>
    <cellStyle name="Normal 1030" xfId="13722" xr:uid="{00000000-0005-0000-0000-000017340000}"/>
    <cellStyle name="Normal 1031" xfId="13723" xr:uid="{00000000-0005-0000-0000-000018340000}"/>
    <cellStyle name="Normal 1032" xfId="13724" xr:uid="{00000000-0005-0000-0000-000019340000}"/>
    <cellStyle name="Normal 1033" xfId="13725" xr:uid="{00000000-0005-0000-0000-00001A340000}"/>
    <cellStyle name="Normal 1034" xfId="13726" xr:uid="{00000000-0005-0000-0000-00001B340000}"/>
    <cellStyle name="Normal 1035" xfId="13727" xr:uid="{00000000-0005-0000-0000-00001C340000}"/>
    <cellStyle name="Normal 1036" xfId="13728" xr:uid="{00000000-0005-0000-0000-00001D340000}"/>
    <cellStyle name="Normal 1037" xfId="13729" xr:uid="{00000000-0005-0000-0000-00001E340000}"/>
    <cellStyle name="Normal 1038" xfId="13730" xr:uid="{00000000-0005-0000-0000-00001F340000}"/>
    <cellStyle name="Normal 1039" xfId="13731" xr:uid="{00000000-0005-0000-0000-000020340000}"/>
    <cellStyle name="Normal 104" xfId="2065" xr:uid="{00000000-0005-0000-0000-000021340000}"/>
    <cellStyle name="Normal 104 10" xfId="13732" xr:uid="{00000000-0005-0000-0000-000022340000}"/>
    <cellStyle name="Normal 104 11" xfId="13733" xr:uid="{00000000-0005-0000-0000-000023340000}"/>
    <cellStyle name="Normal 104 12" xfId="13734" xr:uid="{00000000-0005-0000-0000-000024340000}"/>
    <cellStyle name="Normal 104 2" xfId="13735" xr:uid="{00000000-0005-0000-0000-000025340000}"/>
    <cellStyle name="Normal 104 2 2" xfId="13736" xr:uid="{00000000-0005-0000-0000-000026340000}"/>
    <cellStyle name="Normal 104 2 2 2" xfId="13737" xr:uid="{00000000-0005-0000-0000-000027340000}"/>
    <cellStyle name="Normal 104 2 2 2 2" xfId="13738" xr:uid="{00000000-0005-0000-0000-000028340000}"/>
    <cellStyle name="Normal 104 2 2 2 2 2" xfId="13739" xr:uid="{00000000-0005-0000-0000-000029340000}"/>
    <cellStyle name="Normal 104 2 2 2 2 3" xfId="13740" xr:uid="{00000000-0005-0000-0000-00002A340000}"/>
    <cellStyle name="Normal 104 2 2 2 3" xfId="13741" xr:uid="{00000000-0005-0000-0000-00002B340000}"/>
    <cellStyle name="Normal 104 2 2 2 3 2" xfId="13742" xr:uid="{00000000-0005-0000-0000-00002C340000}"/>
    <cellStyle name="Normal 104 2 2 2 3 3" xfId="13743" xr:uid="{00000000-0005-0000-0000-00002D340000}"/>
    <cellStyle name="Normal 104 2 2 2 4" xfId="13744" xr:uid="{00000000-0005-0000-0000-00002E340000}"/>
    <cellStyle name="Normal 104 2 2 2 5" xfId="13745" xr:uid="{00000000-0005-0000-0000-00002F340000}"/>
    <cellStyle name="Normal 104 2 2 2 6" xfId="13746" xr:uid="{00000000-0005-0000-0000-000030340000}"/>
    <cellStyle name="Normal 104 2 2 3" xfId="13747" xr:uid="{00000000-0005-0000-0000-000031340000}"/>
    <cellStyle name="Normal 104 2 2 3 2" xfId="13748" xr:uid="{00000000-0005-0000-0000-000032340000}"/>
    <cellStyle name="Normal 104 2 2 3 3" xfId="13749" xr:uid="{00000000-0005-0000-0000-000033340000}"/>
    <cellStyle name="Normal 104 2 2 4" xfId="13750" xr:uid="{00000000-0005-0000-0000-000034340000}"/>
    <cellStyle name="Normal 104 2 2 4 2" xfId="13751" xr:uid="{00000000-0005-0000-0000-000035340000}"/>
    <cellStyle name="Normal 104 2 2 4 3" xfId="13752" xr:uid="{00000000-0005-0000-0000-000036340000}"/>
    <cellStyle name="Normal 104 2 2 5" xfId="13753" xr:uid="{00000000-0005-0000-0000-000037340000}"/>
    <cellStyle name="Normal 104 2 2 6" xfId="13754" xr:uid="{00000000-0005-0000-0000-000038340000}"/>
    <cellStyle name="Normal 104 2 2 7" xfId="13755" xr:uid="{00000000-0005-0000-0000-000039340000}"/>
    <cellStyle name="Normal 104 2 2 8" xfId="13756" xr:uid="{00000000-0005-0000-0000-00003A340000}"/>
    <cellStyle name="Normal 104 2 3" xfId="13757" xr:uid="{00000000-0005-0000-0000-00003B340000}"/>
    <cellStyle name="Normal 104 2 3 2" xfId="13758" xr:uid="{00000000-0005-0000-0000-00003C340000}"/>
    <cellStyle name="Normal 104 2 3 2 2" xfId="13759" xr:uid="{00000000-0005-0000-0000-00003D340000}"/>
    <cellStyle name="Normal 104 2 3 2 3" xfId="13760" xr:uid="{00000000-0005-0000-0000-00003E340000}"/>
    <cellStyle name="Normal 104 2 3 3" xfId="13761" xr:uid="{00000000-0005-0000-0000-00003F340000}"/>
    <cellStyle name="Normal 104 2 3 3 2" xfId="13762" xr:uid="{00000000-0005-0000-0000-000040340000}"/>
    <cellStyle name="Normal 104 2 3 3 3" xfId="13763" xr:uid="{00000000-0005-0000-0000-000041340000}"/>
    <cellStyle name="Normal 104 2 3 4" xfId="13764" xr:uid="{00000000-0005-0000-0000-000042340000}"/>
    <cellStyle name="Normal 104 2 3 5" xfId="13765" xr:uid="{00000000-0005-0000-0000-000043340000}"/>
    <cellStyle name="Normal 104 2 3 6" xfId="13766" xr:uid="{00000000-0005-0000-0000-000044340000}"/>
    <cellStyle name="Normal 104 2 4" xfId="13767" xr:uid="{00000000-0005-0000-0000-000045340000}"/>
    <cellStyle name="Normal 104 2 4 2" xfId="13768" xr:uid="{00000000-0005-0000-0000-000046340000}"/>
    <cellStyle name="Normal 104 2 4 3" xfId="13769" xr:uid="{00000000-0005-0000-0000-000047340000}"/>
    <cellStyle name="Normal 104 2 5" xfId="13770" xr:uid="{00000000-0005-0000-0000-000048340000}"/>
    <cellStyle name="Normal 104 2 5 2" xfId="13771" xr:uid="{00000000-0005-0000-0000-000049340000}"/>
    <cellStyle name="Normal 104 2 5 3" xfId="13772" xr:uid="{00000000-0005-0000-0000-00004A340000}"/>
    <cellStyle name="Normal 104 2 6" xfId="13773" xr:uid="{00000000-0005-0000-0000-00004B340000}"/>
    <cellStyle name="Normal 104 2 7" xfId="13774" xr:uid="{00000000-0005-0000-0000-00004C340000}"/>
    <cellStyle name="Normal 104 2 8" xfId="13775" xr:uid="{00000000-0005-0000-0000-00004D340000}"/>
    <cellStyle name="Normal 104 2 9" xfId="13776" xr:uid="{00000000-0005-0000-0000-00004E340000}"/>
    <cellStyle name="Normal 104 3" xfId="13777" xr:uid="{00000000-0005-0000-0000-00004F340000}"/>
    <cellStyle name="Normal 104 3 2" xfId="13778" xr:uid="{00000000-0005-0000-0000-000050340000}"/>
    <cellStyle name="Normal 104 3 2 2" xfId="13779" xr:uid="{00000000-0005-0000-0000-000051340000}"/>
    <cellStyle name="Normal 104 3 2 2 2" xfId="13780" xr:uid="{00000000-0005-0000-0000-000052340000}"/>
    <cellStyle name="Normal 104 3 2 2 3" xfId="13781" xr:uid="{00000000-0005-0000-0000-000053340000}"/>
    <cellStyle name="Normal 104 3 2 3" xfId="13782" xr:uid="{00000000-0005-0000-0000-000054340000}"/>
    <cellStyle name="Normal 104 3 2 3 2" xfId="13783" xr:uid="{00000000-0005-0000-0000-000055340000}"/>
    <cellStyle name="Normal 104 3 2 3 3" xfId="13784" xr:uid="{00000000-0005-0000-0000-000056340000}"/>
    <cellStyle name="Normal 104 3 2 4" xfId="13785" xr:uid="{00000000-0005-0000-0000-000057340000}"/>
    <cellStyle name="Normal 104 3 2 5" xfId="13786" xr:uid="{00000000-0005-0000-0000-000058340000}"/>
    <cellStyle name="Normal 104 3 2 6" xfId="13787" xr:uid="{00000000-0005-0000-0000-000059340000}"/>
    <cellStyle name="Normal 104 3 3" xfId="13788" xr:uid="{00000000-0005-0000-0000-00005A340000}"/>
    <cellStyle name="Normal 104 3 3 2" xfId="13789" xr:uid="{00000000-0005-0000-0000-00005B340000}"/>
    <cellStyle name="Normal 104 3 3 3" xfId="13790" xr:uid="{00000000-0005-0000-0000-00005C340000}"/>
    <cellStyle name="Normal 104 3 4" xfId="13791" xr:uid="{00000000-0005-0000-0000-00005D340000}"/>
    <cellStyle name="Normal 104 3 4 2" xfId="13792" xr:uid="{00000000-0005-0000-0000-00005E340000}"/>
    <cellStyle name="Normal 104 3 4 3" xfId="13793" xr:uid="{00000000-0005-0000-0000-00005F340000}"/>
    <cellStyle name="Normal 104 3 5" xfId="13794" xr:uid="{00000000-0005-0000-0000-000060340000}"/>
    <cellStyle name="Normal 104 3 6" xfId="13795" xr:uid="{00000000-0005-0000-0000-000061340000}"/>
    <cellStyle name="Normal 104 3 7" xfId="13796" xr:uid="{00000000-0005-0000-0000-000062340000}"/>
    <cellStyle name="Normal 104 3 8" xfId="13797" xr:uid="{00000000-0005-0000-0000-000063340000}"/>
    <cellStyle name="Normal 104 4" xfId="13798" xr:uid="{00000000-0005-0000-0000-000064340000}"/>
    <cellStyle name="Normal 104 4 2" xfId="13799" xr:uid="{00000000-0005-0000-0000-000065340000}"/>
    <cellStyle name="Normal 104 4 2 2" xfId="13800" xr:uid="{00000000-0005-0000-0000-000066340000}"/>
    <cellStyle name="Normal 104 4 2 3" xfId="13801" xr:uid="{00000000-0005-0000-0000-000067340000}"/>
    <cellStyle name="Normal 104 4 3" xfId="13802" xr:uid="{00000000-0005-0000-0000-000068340000}"/>
    <cellStyle name="Normal 104 4 3 2" xfId="13803" xr:uid="{00000000-0005-0000-0000-000069340000}"/>
    <cellStyle name="Normal 104 4 3 3" xfId="13804" xr:uid="{00000000-0005-0000-0000-00006A340000}"/>
    <cellStyle name="Normal 104 4 4" xfId="13805" xr:uid="{00000000-0005-0000-0000-00006B340000}"/>
    <cellStyle name="Normal 104 4 5" xfId="13806" xr:uid="{00000000-0005-0000-0000-00006C340000}"/>
    <cellStyle name="Normal 104 4 6" xfId="13807" xr:uid="{00000000-0005-0000-0000-00006D340000}"/>
    <cellStyle name="Normal 104 5" xfId="13808" xr:uid="{00000000-0005-0000-0000-00006E340000}"/>
    <cellStyle name="Normal 104 5 2" xfId="13809" xr:uid="{00000000-0005-0000-0000-00006F340000}"/>
    <cellStyle name="Normal 104 5 3" xfId="13810" xr:uid="{00000000-0005-0000-0000-000070340000}"/>
    <cellStyle name="Normal 104 6" xfId="13811" xr:uid="{00000000-0005-0000-0000-000071340000}"/>
    <cellStyle name="Normal 104 6 2" xfId="13812" xr:uid="{00000000-0005-0000-0000-000072340000}"/>
    <cellStyle name="Normal 104 6 3" xfId="13813" xr:uid="{00000000-0005-0000-0000-000073340000}"/>
    <cellStyle name="Normal 104 7" xfId="13814" xr:uid="{00000000-0005-0000-0000-000074340000}"/>
    <cellStyle name="Normal 104 8" xfId="13815" xr:uid="{00000000-0005-0000-0000-000075340000}"/>
    <cellStyle name="Normal 104 9" xfId="13816" xr:uid="{00000000-0005-0000-0000-000076340000}"/>
    <cellStyle name="Normal 1040" xfId="13817" xr:uid="{00000000-0005-0000-0000-000077340000}"/>
    <cellStyle name="Normal 1041" xfId="13818" xr:uid="{00000000-0005-0000-0000-000078340000}"/>
    <cellStyle name="Normal 1042" xfId="13819" xr:uid="{00000000-0005-0000-0000-000079340000}"/>
    <cellStyle name="Normal 1043" xfId="13820" xr:uid="{00000000-0005-0000-0000-00007A340000}"/>
    <cellStyle name="Normal 1044" xfId="13821" xr:uid="{00000000-0005-0000-0000-00007B340000}"/>
    <cellStyle name="Normal 1045" xfId="13822" xr:uid="{00000000-0005-0000-0000-00007C340000}"/>
    <cellStyle name="Normal 1046" xfId="13823" xr:uid="{00000000-0005-0000-0000-00007D340000}"/>
    <cellStyle name="Normal 1047" xfId="13824" xr:uid="{00000000-0005-0000-0000-00007E340000}"/>
    <cellStyle name="Normal 1048" xfId="13825" xr:uid="{00000000-0005-0000-0000-00007F340000}"/>
    <cellStyle name="Normal 1049" xfId="13826" xr:uid="{00000000-0005-0000-0000-000080340000}"/>
    <cellStyle name="Normal 105" xfId="2066" xr:uid="{00000000-0005-0000-0000-000081340000}"/>
    <cellStyle name="Normal 105 10" xfId="13827" xr:uid="{00000000-0005-0000-0000-000082340000}"/>
    <cellStyle name="Normal 105 11" xfId="13828" xr:uid="{00000000-0005-0000-0000-000083340000}"/>
    <cellStyle name="Normal 105 12" xfId="13829" xr:uid="{00000000-0005-0000-0000-000084340000}"/>
    <cellStyle name="Normal 105 2" xfId="13830" xr:uid="{00000000-0005-0000-0000-000085340000}"/>
    <cellStyle name="Normal 105 2 2" xfId="13831" xr:uid="{00000000-0005-0000-0000-000086340000}"/>
    <cellStyle name="Normal 105 2 2 2" xfId="13832" xr:uid="{00000000-0005-0000-0000-000087340000}"/>
    <cellStyle name="Normal 105 2 2 2 2" xfId="13833" xr:uid="{00000000-0005-0000-0000-000088340000}"/>
    <cellStyle name="Normal 105 2 2 2 2 2" xfId="13834" xr:uid="{00000000-0005-0000-0000-000089340000}"/>
    <cellStyle name="Normal 105 2 2 2 2 3" xfId="13835" xr:uid="{00000000-0005-0000-0000-00008A340000}"/>
    <cellStyle name="Normal 105 2 2 2 3" xfId="13836" xr:uid="{00000000-0005-0000-0000-00008B340000}"/>
    <cellStyle name="Normal 105 2 2 2 3 2" xfId="13837" xr:uid="{00000000-0005-0000-0000-00008C340000}"/>
    <cellStyle name="Normal 105 2 2 2 3 3" xfId="13838" xr:uid="{00000000-0005-0000-0000-00008D340000}"/>
    <cellStyle name="Normal 105 2 2 2 4" xfId="13839" xr:uid="{00000000-0005-0000-0000-00008E340000}"/>
    <cellStyle name="Normal 105 2 2 2 5" xfId="13840" xr:uid="{00000000-0005-0000-0000-00008F340000}"/>
    <cellStyle name="Normal 105 2 2 2 6" xfId="13841" xr:uid="{00000000-0005-0000-0000-000090340000}"/>
    <cellStyle name="Normal 105 2 2 3" xfId="13842" xr:uid="{00000000-0005-0000-0000-000091340000}"/>
    <cellStyle name="Normal 105 2 2 3 2" xfId="13843" xr:uid="{00000000-0005-0000-0000-000092340000}"/>
    <cellStyle name="Normal 105 2 2 3 3" xfId="13844" xr:uid="{00000000-0005-0000-0000-000093340000}"/>
    <cellStyle name="Normal 105 2 2 4" xfId="13845" xr:uid="{00000000-0005-0000-0000-000094340000}"/>
    <cellStyle name="Normal 105 2 2 4 2" xfId="13846" xr:uid="{00000000-0005-0000-0000-000095340000}"/>
    <cellStyle name="Normal 105 2 2 4 3" xfId="13847" xr:uid="{00000000-0005-0000-0000-000096340000}"/>
    <cellStyle name="Normal 105 2 2 5" xfId="13848" xr:uid="{00000000-0005-0000-0000-000097340000}"/>
    <cellStyle name="Normal 105 2 2 6" xfId="13849" xr:uid="{00000000-0005-0000-0000-000098340000}"/>
    <cellStyle name="Normal 105 2 2 7" xfId="13850" xr:uid="{00000000-0005-0000-0000-000099340000}"/>
    <cellStyle name="Normal 105 2 2 8" xfId="13851" xr:uid="{00000000-0005-0000-0000-00009A340000}"/>
    <cellStyle name="Normal 105 2 3" xfId="13852" xr:uid="{00000000-0005-0000-0000-00009B340000}"/>
    <cellStyle name="Normal 105 2 3 2" xfId="13853" xr:uid="{00000000-0005-0000-0000-00009C340000}"/>
    <cellStyle name="Normal 105 2 3 2 2" xfId="13854" xr:uid="{00000000-0005-0000-0000-00009D340000}"/>
    <cellStyle name="Normal 105 2 3 2 3" xfId="13855" xr:uid="{00000000-0005-0000-0000-00009E340000}"/>
    <cellStyle name="Normal 105 2 3 3" xfId="13856" xr:uid="{00000000-0005-0000-0000-00009F340000}"/>
    <cellStyle name="Normal 105 2 3 3 2" xfId="13857" xr:uid="{00000000-0005-0000-0000-0000A0340000}"/>
    <cellStyle name="Normal 105 2 3 3 3" xfId="13858" xr:uid="{00000000-0005-0000-0000-0000A1340000}"/>
    <cellStyle name="Normal 105 2 3 4" xfId="13859" xr:uid="{00000000-0005-0000-0000-0000A2340000}"/>
    <cellStyle name="Normal 105 2 3 5" xfId="13860" xr:uid="{00000000-0005-0000-0000-0000A3340000}"/>
    <cellStyle name="Normal 105 2 3 6" xfId="13861" xr:uid="{00000000-0005-0000-0000-0000A4340000}"/>
    <cellStyle name="Normal 105 2 4" xfId="13862" xr:uid="{00000000-0005-0000-0000-0000A5340000}"/>
    <cellStyle name="Normal 105 2 4 2" xfId="13863" xr:uid="{00000000-0005-0000-0000-0000A6340000}"/>
    <cellStyle name="Normal 105 2 4 3" xfId="13864" xr:uid="{00000000-0005-0000-0000-0000A7340000}"/>
    <cellStyle name="Normal 105 2 5" xfId="13865" xr:uid="{00000000-0005-0000-0000-0000A8340000}"/>
    <cellStyle name="Normal 105 2 5 2" xfId="13866" xr:uid="{00000000-0005-0000-0000-0000A9340000}"/>
    <cellStyle name="Normal 105 2 5 3" xfId="13867" xr:uid="{00000000-0005-0000-0000-0000AA340000}"/>
    <cellStyle name="Normal 105 2 6" xfId="13868" xr:uid="{00000000-0005-0000-0000-0000AB340000}"/>
    <cellStyle name="Normal 105 2 7" xfId="13869" xr:uid="{00000000-0005-0000-0000-0000AC340000}"/>
    <cellStyle name="Normal 105 2 8" xfId="13870" xr:uid="{00000000-0005-0000-0000-0000AD340000}"/>
    <cellStyle name="Normal 105 2 9" xfId="13871" xr:uid="{00000000-0005-0000-0000-0000AE340000}"/>
    <cellStyle name="Normal 105 3" xfId="13872" xr:uid="{00000000-0005-0000-0000-0000AF340000}"/>
    <cellStyle name="Normal 105 3 2" xfId="13873" xr:uid="{00000000-0005-0000-0000-0000B0340000}"/>
    <cellStyle name="Normal 105 3 2 2" xfId="13874" xr:uid="{00000000-0005-0000-0000-0000B1340000}"/>
    <cellStyle name="Normal 105 3 2 2 2" xfId="13875" xr:uid="{00000000-0005-0000-0000-0000B2340000}"/>
    <cellStyle name="Normal 105 3 2 2 3" xfId="13876" xr:uid="{00000000-0005-0000-0000-0000B3340000}"/>
    <cellStyle name="Normal 105 3 2 3" xfId="13877" xr:uid="{00000000-0005-0000-0000-0000B4340000}"/>
    <cellStyle name="Normal 105 3 2 3 2" xfId="13878" xr:uid="{00000000-0005-0000-0000-0000B5340000}"/>
    <cellStyle name="Normal 105 3 2 3 3" xfId="13879" xr:uid="{00000000-0005-0000-0000-0000B6340000}"/>
    <cellStyle name="Normal 105 3 2 4" xfId="13880" xr:uid="{00000000-0005-0000-0000-0000B7340000}"/>
    <cellStyle name="Normal 105 3 2 5" xfId="13881" xr:uid="{00000000-0005-0000-0000-0000B8340000}"/>
    <cellStyle name="Normal 105 3 2 6" xfId="13882" xr:uid="{00000000-0005-0000-0000-0000B9340000}"/>
    <cellStyle name="Normal 105 3 3" xfId="13883" xr:uid="{00000000-0005-0000-0000-0000BA340000}"/>
    <cellStyle name="Normal 105 3 3 2" xfId="13884" xr:uid="{00000000-0005-0000-0000-0000BB340000}"/>
    <cellStyle name="Normal 105 3 3 3" xfId="13885" xr:uid="{00000000-0005-0000-0000-0000BC340000}"/>
    <cellStyle name="Normal 105 3 4" xfId="13886" xr:uid="{00000000-0005-0000-0000-0000BD340000}"/>
    <cellStyle name="Normal 105 3 4 2" xfId="13887" xr:uid="{00000000-0005-0000-0000-0000BE340000}"/>
    <cellStyle name="Normal 105 3 4 3" xfId="13888" xr:uid="{00000000-0005-0000-0000-0000BF340000}"/>
    <cellStyle name="Normal 105 3 5" xfId="13889" xr:uid="{00000000-0005-0000-0000-0000C0340000}"/>
    <cellStyle name="Normal 105 3 6" xfId="13890" xr:uid="{00000000-0005-0000-0000-0000C1340000}"/>
    <cellStyle name="Normal 105 3 7" xfId="13891" xr:uid="{00000000-0005-0000-0000-0000C2340000}"/>
    <cellStyle name="Normal 105 3 8" xfId="13892" xr:uid="{00000000-0005-0000-0000-0000C3340000}"/>
    <cellStyle name="Normal 105 4" xfId="13893" xr:uid="{00000000-0005-0000-0000-0000C4340000}"/>
    <cellStyle name="Normal 105 4 2" xfId="13894" xr:uid="{00000000-0005-0000-0000-0000C5340000}"/>
    <cellStyle name="Normal 105 4 2 2" xfId="13895" xr:uid="{00000000-0005-0000-0000-0000C6340000}"/>
    <cellStyle name="Normal 105 4 2 3" xfId="13896" xr:uid="{00000000-0005-0000-0000-0000C7340000}"/>
    <cellStyle name="Normal 105 4 3" xfId="13897" xr:uid="{00000000-0005-0000-0000-0000C8340000}"/>
    <cellStyle name="Normal 105 4 3 2" xfId="13898" xr:uid="{00000000-0005-0000-0000-0000C9340000}"/>
    <cellStyle name="Normal 105 4 3 3" xfId="13899" xr:uid="{00000000-0005-0000-0000-0000CA340000}"/>
    <cellStyle name="Normal 105 4 4" xfId="13900" xr:uid="{00000000-0005-0000-0000-0000CB340000}"/>
    <cellStyle name="Normal 105 4 5" xfId="13901" xr:uid="{00000000-0005-0000-0000-0000CC340000}"/>
    <cellStyle name="Normal 105 4 6" xfId="13902" xr:uid="{00000000-0005-0000-0000-0000CD340000}"/>
    <cellStyle name="Normal 105 5" xfId="13903" xr:uid="{00000000-0005-0000-0000-0000CE340000}"/>
    <cellStyle name="Normal 105 5 2" xfId="13904" xr:uid="{00000000-0005-0000-0000-0000CF340000}"/>
    <cellStyle name="Normal 105 5 3" xfId="13905" xr:uid="{00000000-0005-0000-0000-0000D0340000}"/>
    <cellStyle name="Normal 105 6" xfId="13906" xr:uid="{00000000-0005-0000-0000-0000D1340000}"/>
    <cellStyle name="Normal 105 6 2" xfId="13907" xr:uid="{00000000-0005-0000-0000-0000D2340000}"/>
    <cellStyle name="Normal 105 6 3" xfId="13908" xr:uid="{00000000-0005-0000-0000-0000D3340000}"/>
    <cellStyle name="Normal 105 7" xfId="13909" xr:uid="{00000000-0005-0000-0000-0000D4340000}"/>
    <cellStyle name="Normal 105 8" xfId="13910" xr:uid="{00000000-0005-0000-0000-0000D5340000}"/>
    <cellStyle name="Normal 105 9" xfId="13911" xr:uid="{00000000-0005-0000-0000-0000D6340000}"/>
    <cellStyle name="Normal 1050" xfId="13912" xr:uid="{00000000-0005-0000-0000-0000D7340000}"/>
    <cellStyle name="Normal 1051" xfId="13913" xr:uid="{00000000-0005-0000-0000-0000D8340000}"/>
    <cellStyle name="Normal 1052" xfId="13914" xr:uid="{00000000-0005-0000-0000-0000D9340000}"/>
    <cellStyle name="Normal 1053" xfId="13915" xr:uid="{00000000-0005-0000-0000-0000DA340000}"/>
    <cellStyle name="Normal 1054" xfId="13916" xr:uid="{00000000-0005-0000-0000-0000DB340000}"/>
    <cellStyle name="Normal 1055" xfId="13917" xr:uid="{00000000-0005-0000-0000-0000DC340000}"/>
    <cellStyle name="Normal 1056" xfId="13918" xr:uid="{00000000-0005-0000-0000-0000DD340000}"/>
    <cellStyle name="Normal 1057" xfId="13919" xr:uid="{00000000-0005-0000-0000-0000DE340000}"/>
    <cellStyle name="Normal 1058" xfId="13920" xr:uid="{00000000-0005-0000-0000-0000DF340000}"/>
    <cellStyle name="Normal 1059" xfId="13921" xr:uid="{00000000-0005-0000-0000-0000E0340000}"/>
    <cellStyle name="Normal 106" xfId="2067" xr:uid="{00000000-0005-0000-0000-0000E1340000}"/>
    <cellStyle name="Normal 106 10" xfId="13922" xr:uid="{00000000-0005-0000-0000-0000E2340000}"/>
    <cellStyle name="Normal 106 11" xfId="13923" xr:uid="{00000000-0005-0000-0000-0000E3340000}"/>
    <cellStyle name="Normal 106 12" xfId="13924" xr:uid="{00000000-0005-0000-0000-0000E4340000}"/>
    <cellStyle name="Normal 106 2" xfId="13925" xr:uid="{00000000-0005-0000-0000-0000E5340000}"/>
    <cellStyle name="Normal 106 2 2" xfId="13926" xr:uid="{00000000-0005-0000-0000-0000E6340000}"/>
    <cellStyle name="Normal 106 2 2 2" xfId="13927" xr:uid="{00000000-0005-0000-0000-0000E7340000}"/>
    <cellStyle name="Normal 106 2 2 2 2" xfId="13928" xr:uid="{00000000-0005-0000-0000-0000E8340000}"/>
    <cellStyle name="Normal 106 2 2 2 2 2" xfId="13929" xr:uid="{00000000-0005-0000-0000-0000E9340000}"/>
    <cellStyle name="Normal 106 2 2 2 2 3" xfId="13930" xr:uid="{00000000-0005-0000-0000-0000EA340000}"/>
    <cellStyle name="Normal 106 2 2 2 3" xfId="13931" xr:uid="{00000000-0005-0000-0000-0000EB340000}"/>
    <cellStyle name="Normal 106 2 2 2 3 2" xfId="13932" xr:uid="{00000000-0005-0000-0000-0000EC340000}"/>
    <cellStyle name="Normal 106 2 2 2 3 3" xfId="13933" xr:uid="{00000000-0005-0000-0000-0000ED340000}"/>
    <cellStyle name="Normal 106 2 2 2 4" xfId="13934" xr:uid="{00000000-0005-0000-0000-0000EE340000}"/>
    <cellStyle name="Normal 106 2 2 2 5" xfId="13935" xr:uid="{00000000-0005-0000-0000-0000EF340000}"/>
    <cellStyle name="Normal 106 2 2 2 6" xfId="13936" xr:uid="{00000000-0005-0000-0000-0000F0340000}"/>
    <cellStyle name="Normal 106 2 2 3" xfId="13937" xr:uid="{00000000-0005-0000-0000-0000F1340000}"/>
    <cellStyle name="Normal 106 2 2 3 2" xfId="13938" xr:uid="{00000000-0005-0000-0000-0000F2340000}"/>
    <cellStyle name="Normal 106 2 2 3 3" xfId="13939" xr:uid="{00000000-0005-0000-0000-0000F3340000}"/>
    <cellStyle name="Normal 106 2 2 4" xfId="13940" xr:uid="{00000000-0005-0000-0000-0000F4340000}"/>
    <cellStyle name="Normal 106 2 2 4 2" xfId="13941" xr:uid="{00000000-0005-0000-0000-0000F5340000}"/>
    <cellStyle name="Normal 106 2 2 4 3" xfId="13942" xr:uid="{00000000-0005-0000-0000-0000F6340000}"/>
    <cellStyle name="Normal 106 2 2 5" xfId="13943" xr:uid="{00000000-0005-0000-0000-0000F7340000}"/>
    <cellStyle name="Normal 106 2 2 6" xfId="13944" xr:uid="{00000000-0005-0000-0000-0000F8340000}"/>
    <cellStyle name="Normal 106 2 2 7" xfId="13945" xr:uid="{00000000-0005-0000-0000-0000F9340000}"/>
    <cellStyle name="Normal 106 2 2 8" xfId="13946" xr:uid="{00000000-0005-0000-0000-0000FA340000}"/>
    <cellStyle name="Normal 106 2 3" xfId="13947" xr:uid="{00000000-0005-0000-0000-0000FB340000}"/>
    <cellStyle name="Normal 106 2 3 2" xfId="13948" xr:uid="{00000000-0005-0000-0000-0000FC340000}"/>
    <cellStyle name="Normal 106 2 3 2 2" xfId="13949" xr:uid="{00000000-0005-0000-0000-0000FD340000}"/>
    <cellStyle name="Normal 106 2 3 2 3" xfId="13950" xr:uid="{00000000-0005-0000-0000-0000FE340000}"/>
    <cellStyle name="Normal 106 2 3 3" xfId="13951" xr:uid="{00000000-0005-0000-0000-0000FF340000}"/>
    <cellStyle name="Normal 106 2 3 3 2" xfId="13952" xr:uid="{00000000-0005-0000-0000-000000350000}"/>
    <cellStyle name="Normal 106 2 3 3 3" xfId="13953" xr:uid="{00000000-0005-0000-0000-000001350000}"/>
    <cellStyle name="Normal 106 2 3 4" xfId="13954" xr:uid="{00000000-0005-0000-0000-000002350000}"/>
    <cellStyle name="Normal 106 2 3 5" xfId="13955" xr:uid="{00000000-0005-0000-0000-000003350000}"/>
    <cellStyle name="Normal 106 2 3 6" xfId="13956" xr:uid="{00000000-0005-0000-0000-000004350000}"/>
    <cellStyle name="Normal 106 2 4" xfId="13957" xr:uid="{00000000-0005-0000-0000-000005350000}"/>
    <cellStyle name="Normal 106 2 4 2" xfId="13958" xr:uid="{00000000-0005-0000-0000-000006350000}"/>
    <cellStyle name="Normal 106 2 4 3" xfId="13959" xr:uid="{00000000-0005-0000-0000-000007350000}"/>
    <cellStyle name="Normal 106 2 5" xfId="13960" xr:uid="{00000000-0005-0000-0000-000008350000}"/>
    <cellStyle name="Normal 106 2 5 2" xfId="13961" xr:uid="{00000000-0005-0000-0000-000009350000}"/>
    <cellStyle name="Normal 106 2 5 3" xfId="13962" xr:uid="{00000000-0005-0000-0000-00000A350000}"/>
    <cellStyle name="Normal 106 2 6" xfId="13963" xr:uid="{00000000-0005-0000-0000-00000B350000}"/>
    <cellStyle name="Normal 106 2 7" xfId="13964" xr:uid="{00000000-0005-0000-0000-00000C350000}"/>
    <cellStyle name="Normal 106 2 8" xfId="13965" xr:uid="{00000000-0005-0000-0000-00000D350000}"/>
    <cellStyle name="Normal 106 2 9" xfId="13966" xr:uid="{00000000-0005-0000-0000-00000E350000}"/>
    <cellStyle name="Normal 106 3" xfId="13967" xr:uid="{00000000-0005-0000-0000-00000F350000}"/>
    <cellStyle name="Normal 106 3 2" xfId="13968" xr:uid="{00000000-0005-0000-0000-000010350000}"/>
    <cellStyle name="Normal 106 3 2 2" xfId="13969" xr:uid="{00000000-0005-0000-0000-000011350000}"/>
    <cellStyle name="Normal 106 3 2 2 2" xfId="13970" xr:uid="{00000000-0005-0000-0000-000012350000}"/>
    <cellStyle name="Normal 106 3 2 2 3" xfId="13971" xr:uid="{00000000-0005-0000-0000-000013350000}"/>
    <cellStyle name="Normal 106 3 2 3" xfId="13972" xr:uid="{00000000-0005-0000-0000-000014350000}"/>
    <cellStyle name="Normal 106 3 2 3 2" xfId="13973" xr:uid="{00000000-0005-0000-0000-000015350000}"/>
    <cellStyle name="Normal 106 3 2 3 3" xfId="13974" xr:uid="{00000000-0005-0000-0000-000016350000}"/>
    <cellStyle name="Normal 106 3 2 4" xfId="13975" xr:uid="{00000000-0005-0000-0000-000017350000}"/>
    <cellStyle name="Normal 106 3 2 5" xfId="13976" xr:uid="{00000000-0005-0000-0000-000018350000}"/>
    <cellStyle name="Normal 106 3 2 6" xfId="13977" xr:uid="{00000000-0005-0000-0000-000019350000}"/>
    <cellStyle name="Normal 106 3 3" xfId="13978" xr:uid="{00000000-0005-0000-0000-00001A350000}"/>
    <cellStyle name="Normal 106 3 3 2" xfId="13979" xr:uid="{00000000-0005-0000-0000-00001B350000}"/>
    <cellStyle name="Normal 106 3 3 3" xfId="13980" xr:uid="{00000000-0005-0000-0000-00001C350000}"/>
    <cellStyle name="Normal 106 3 4" xfId="13981" xr:uid="{00000000-0005-0000-0000-00001D350000}"/>
    <cellStyle name="Normal 106 3 4 2" xfId="13982" xr:uid="{00000000-0005-0000-0000-00001E350000}"/>
    <cellStyle name="Normal 106 3 4 3" xfId="13983" xr:uid="{00000000-0005-0000-0000-00001F350000}"/>
    <cellStyle name="Normal 106 3 5" xfId="13984" xr:uid="{00000000-0005-0000-0000-000020350000}"/>
    <cellStyle name="Normal 106 3 6" xfId="13985" xr:uid="{00000000-0005-0000-0000-000021350000}"/>
    <cellStyle name="Normal 106 3 7" xfId="13986" xr:uid="{00000000-0005-0000-0000-000022350000}"/>
    <cellStyle name="Normal 106 3 8" xfId="13987" xr:uid="{00000000-0005-0000-0000-000023350000}"/>
    <cellStyle name="Normal 106 4" xfId="13988" xr:uid="{00000000-0005-0000-0000-000024350000}"/>
    <cellStyle name="Normal 106 4 2" xfId="13989" xr:uid="{00000000-0005-0000-0000-000025350000}"/>
    <cellStyle name="Normal 106 4 2 2" xfId="13990" xr:uid="{00000000-0005-0000-0000-000026350000}"/>
    <cellStyle name="Normal 106 4 2 3" xfId="13991" xr:uid="{00000000-0005-0000-0000-000027350000}"/>
    <cellStyle name="Normal 106 4 3" xfId="13992" xr:uid="{00000000-0005-0000-0000-000028350000}"/>
    <cellStyle name="Normal 106 4 3 2" xfId="13993" xr:uid="{00000000-0005-0000-0000-000029350000}"/>
    <cellStyle name="Normal 106 4 3 3" xfId="13994" xr:uid="{00000000-0005-0000-0000-00002A350000}"/>
    <cellStyle name="Normal 106 4 4" xfId="13995" xr:uid="{00000000-0005-0000-0000-00002B350000}"/>
    <cellStyle name="Normal 106 4 5" xfId="13996" xr:uid="{00000000-0005-0000-0000-00002C350000}"/>
    <cellStyle name="Normal 106 4 6" xfId="13997" xr:uid="{00000000-0005-0000-0000-00002D350000}"/>
    <cellStyle name="Normal 106 5" xfId="13998" xr:uid="{00000000-0005-0000-0000-00002E350000}"/>
    <cellStyle name="Normal 106 5 2" xfId="13999" xr:uid="{00000000-0005-0000-0000-00002F350000}"/>
    <cellStyle name="Normal 106 5 3" xfId="14000" xr:uid="{00000000-0005-0000-0000-000030350000}"/>
    <cellStyle name="Normal 106 6" xfId="14001" xr:uid="{00000000-0005-0000-0000-000031350000}"/>
    <cellStyle name="Normal 106 6 2" xfId="14002" xr:uid="{00000000-0005-0000-0000-000032350000}"/>
    <cellStyle name="Normal 106 6 3" xfId="14003" xr:uid="{00000000-0005-0000-0000-000033350000}"/>
    <cellStyle name="Normal 106 7" xfId="14004" xr:uid="{00000000-0005-0000-0000-000034350000}"/>
    <cellStyle name="Normal 106 8" xfId="14005" xr:uid="{00000000-0005-0000-0000-000035350000}"/>
    <cellStyle name="Normal 106 9" xfId="14006" xr:uid="{00000000-0005-0000-0000-000036350000}"/>
    <cellStyle name="Normal 1060" xfId="14007" xr:uid="{00000000-0005-0000-0000-000037350000}"/>
    <cellStyle name="Normal 1061" xfId="14008" xr:uid="{00000000-0005-0000-0000-000038350000}"/>
    <cellStyle name="Normal 1062" xfId="14009" xr:uid="{00000000-0005-0000-0000-000039350000}"/>
    <cellStyle name="Normal 1063" xfId="14010" xr:uid="{00000000-0005-0000-0000-00003A350000}"/>
    <cellStyle name="Normal 1064" xfId="14011" xr:uid="{00000000-0005-0000-0000-00003B350000}"/>
    <cellStyle name="Normal 1065" xfId="14012" xr:uid="{00000000-0005-0000-0000-00003C350000}"/>
    <cellStyle name="Normal 1066" xfId="14013" xr:uid="{00000000-0005-0000-0000-00003D350000}"/>
    <cellStyle name="Normal 1067" xfId="14014" xr:uid="{00000000-0005-0000-0000-00003E350000}"/>
    <cellStyle name="Normal 1068" xfId="14015" xr:uid="{00000000-0005-0000-0000-00003F350000}"/>
    <cellStyle name="Normal 1069" xfId="14016" xr:uid="{00000000-0005-0000-0000-000040350000}"/>
    <cellStyle name="Normal 107" xfId="2068" xr:uid="{00000000-0005-0000-0000-000041350000}"/>
    <cellStyle name="Normal 107 10" xfId="14017" xr:uid="{00000000-0005-0000-0000-000042350000}"/>
    <cellStyle name="Normal 107 11" xfId="14018" xr:uid="{00000000-0005-0000-0000-000043350000}"/>
    <cellStyle name="Normal 107 12" xfId="14019" xr:uid="{00000000-0005-0000-0000-000044350000}"/>
    <cellStyle name="Normal 107 2" xfId="14020" xr:uid="{00000000-0005-0000-0000-000045350000}"/>
    <cellStyle name="Normal 107 2 2" xfId="14021" xr:uid="{00000000-0005-0000-0000-000046350000}"/>
    <cellStyle name="Normal 107 2 2 2" xfId="14022" xr:uid="{00000000-0005-0000-0000-000047350000}"/>
    <cellStyle name="Normal 107 2 2 2 2" xfId="14023" xr:uid="{00000000-0005-0000-0000-000048350000}"/>
    <cellStyle name="Normal 107 2 2 2 2 2" xfId="14024" xr:uid="{00000000-0005-0000-0000-000049350000}"/>
    <cellStyle name="Normal 107 2 2 2 2 3" xfId="14025" xr:uid="{00000000-0005-0000-0000-00004A350000}"/>
    <cellStyle name="Normal 107 2 2 2 3" xfId="14026" xr:uid="{00000000-0005-0000-0000-00004B350000}"/>
    <cellStyle name="Normal 107 2 2 2 3 2" xfId="14027" xr:uid="{00000000-0005-0000-0000-00004C350000}"/>
    <cellStyle name="Normal 107 2 2 2 3 3" xfId="14028" xr:uid="{00000000-0005-0000-0000-00004D350000}"/>
    <cellStyle name="Normal 107 2 2 2 4" xfId="14029" xr:uid="{00000000-0005-0000-0000-00004E350000}"/>
    <cellStyle name="Normal 107 2 2 2 5" xfId="14030" xr:uid="{00000000-0005-0000-0000-00004F350000}"/>
    <cellStyle name="Normal 107 2 2 2 6" xfId="14031" xr:uid="{00000000-0005-0000-0000-000050350000}"/>
    <cellStyle name="Normal 107 2 2 3" xfId="14032" xr:uid="{00000000-0005-0000-0000-000051350000}"/>
    <cellStyle name="Normal 107 2 2 3 2" xfId="14033" xr:uid="{00000000-0005-0000-0000-000052350000}"/>
    <cellStyle name="Normal 107 2 2 3 3" xfId="14034" xr:uid="{00000000-0005-0000-0000-000053350000}"/>
    <cellStyle name="Normal 107 2 2 4" xfId="14035" xr:uid="{00000000-0005-0000-0000-000054350000}"/>
    <cellStyle name="Normal 107 2 2 4 2" xfId="14036" xr:uid="{00000000-0005-0000-0000-000055350000}"/>
    <cellStyle name="Normal 107 2 2 4 3" xfId="14037" xr:uid="{00000000-0005-0000-0000-000056350000}"/>
    <cellStyle name="Normal 107 2 2 5" xfId="14038" xr:uid="{00000000-0005-0000-0000-000057350000}"/>
    <cellStyle name="Normal 107 2 2 6" xfId="14039" xr:uid="{00000000-0005-0000-0000-000058350000}"/>
    <cellStyle name="Normal 107 2 2 7" xfId="14040" xr:uid="{00000000-0005-0000-0000-000059350000}"/>
    <cellStyle name="Normal 107 2 2 8" xfId="14041" xr:uid="{00000000-0005-0000-0000-00005A350000}"/>
    <cellStyle name="Normal 107 2 3" xfId="14042" xr:uid="{00000000-0005-0000-0000-00005B350000}"/>
    <cellStyle name="Normal 107 2 3 2" xfId="14043" xr:uid="{00000000-0005-0000-0000-00005C350000}"/>
    <cellStyle name="Normal 107 2 3 2 2" xfId="14044" xr:uid="{00000000-0005-0000-0000-00005D350000}"/>
    <cellStyle name="Normal 107 2 3 2 3" xfId="14045" xr:uid="{00000000-0005-0000-0000-00005E350000}"/>
    <cellStyle name="Normal 107 2 3 3" xfId="14046" xr:uid="{00000000-0005-0000-0000-00005F350000}"/>
    <cellStyle name="Normal 107 2 3 3 2" xfId="14047" xr:uid="{00000000-0005-0000-0000-000060350000}"/>
    <cellStyle name="Normal 107 2 3 3 3" xfId="14048" xr:uid="{00000000-0005-0000-0000-000061350000}"/>
    <cellStyle name="Normal 107 2 3 4" xfId="14049" xr:uid="{00000000-0005-0000-0000-000062350000}"/>
    <cellStyle name="Normal 107 2 3 5" xfId="14050" xr:uid="{00000000-0005-0000-0000-000063350000}"/>
    <cellStyle name="Normal 107 2 3 6" xfId="14051" xr:uid="{00000000-0005-0000-0000-000064350000}"/>
    <cellStyle name="Normal 107 2 4" xfId="14052" xr:uid="{00000000-0005-0000-0000-000065350000}"/>
    <cellStyle name="Normal 107 2 4 2" xfId="14053" xr:uid="{00000000-0005-0000-0000-000066350000}"/>
    <cellStyle name="Normal 107 2 4 3" xfId="14054" xr:uid="{00000000-0005-0000-0000-000067350000}"/>
    <cellStyle name="Normal 107 2 5" xfId="14055" xr:uid="{00000000-0005-0000-0000-000068350000}"/>
    <cellStyle name="Normal 107 2 5 2" xfId="14056" xr:uid="{00000000-0005-0000-0000-000069350000}"/>
    <cellStyle name="Normal 107 2 5 3" xfId="14057" xr:uid="{00000000-0005-0000-0000-00006A350000}"/>
    <cellStyle name="Normal 107 2 6" xfId="14058" xr:uid="{00000000-0005-0000-0000-00006B350000}"/>
    <cellStyle name="Normal 107 2 7" xfId="14059" xr:uid="{00000000-0005-0000-0000-00006C350000}"/>
    <cellStyle name="Normal 107 2 8" xfId="14060" xr:uid="{00000000-0005-0000-0000-00006D350000}"/>
    <cellStyle name="Normal 107 2 9" xfId="14061" xr:uid="{00000000-0005-0000-0000-00006E350000}"/>
    <cellStyle name="Normal 107 3" xfId="14062" xr:uid="{00000000-0005-0000-0000-00006F350000}"/>
    <cellStyle name="Normal 107 3 2" xfId="14063" xr:uid="{00000000-0005-0000-0000-000070350000}"/>
    <cellStyle name="Normal 107 3 2 2" xfId="14064" xr:uid="{00000000-0005-0000-0000-000071350000}"/>
    <cellStyle name="Normal 107 3 2 2 2" xfId="14065" xr:uid="{00000000-0005-0000-0000-000072350000}"/>
    <cellStyle name="Normal 107 3 2 2 3" xfId="14066" xr:uid="{00000000-0005-0000-0000-000073350000}"/>
    <cellStyle name="Normal 107 3 2 3" xfId="14067" xr:uid="{00000000-0005-0000-0000-000074350000}"/>
    <cellStyle name="Normal 107 3 2 3 2" xfId="14068" xr:uid="{00000000-0005-0000-0000-000075350000}"/>
    <cellStyle name="Normal 107 3 2 3 3" xfId="14069" xr:uid="{00000000-0005-0000-0000-000076350000}"/>
    <cellStyle name="Normal 107 3 2 4" xfId="14070" xr:uid="{00000000-0005-0000-0000-000077350000}"/>
    <cellStyle name="Normal 107 3 2 5" xfId="14071" xr:uid="{00000000-0005-0000-0000-000078350000}"/>
    <cellStyle name="Normal 107 3 2 6" xfId="14072" xr:uid="{00000000-0005-0000-0000-000079350000}"/>
    <cellStyle name="Normal 107 3 3" xfId="14073" xr:uid="{00000000-0005-0000-0000-00007A350000}"/>
    <cellStyle name="Normal 107 3 3 2" xfId="14074" xr:uid="{00000000-0005-0000-0000-00007B350000}"/>
    <cellStyle name="Normal 107 3 3 3" xfId="14075" xr:uid="{00000000-0005-0000-0000-00007C350000}"/>
    <cellStyle name="Normal 107 3 4" xfId="14076" xr:uid="{00000000-0005-0000-0000-00007D350000}"/>
    <cellStyle name="Normal 107 3 4 2" xfId="14077" xr:uid="{00000000-0005-0000-0000-00007E350000}"/>
    <cellStyle name="Normal 107 3 4 3" xfId="14078" xr:uid="{00000000-0005-0000-0000-00007F350000}"/>
    <cellStyle name="Normal 107 3 5" xfId="14079" xr:uid="{00000000-0005-0000-0000-000080350000}"/>
    <cellStyle name="Normal 107 3 6" xfId="14080" xr:uid="{00000000-0005-0000-0000-000081350000}"/>
    <cellStyle name="Normal 107 3 7" xfId="14081" xr:uid="{00000000-0005-0000-0000-000082350000}"/>
    <cellStyle name="Normal 107 3 8" xfId="14082" xr:uid="{00000000-0005-0000-0000-000083350000}"/>
    <cellStyle name="Normal 107 4" xfId="14083" xr:uid="{00000000-0005-0000-0000-000084350000}"/>
    <cellStyle name="Normal 107 4 2" xfId="14084" xr:uid="{00000000-0005-0000-0000-000085350000}"/>
    <cellStyle name="Normal 107 4 2 2" xfId="14085" xr:uid="{00000000-0005-0000-0000-000086350000}"/>
    <cellStyle name="Normal 107 4 2 3" xfId="14086" xr:uid="{00000000-0005-0000-0000-000087350000}"/>
    <cellStyle name="Normal 107 4 3" xfId="14087" xr:uid="{00000000-0005-0000-0000-000088350000}"/>
    <cellStyle name="Normal 107 4 3 2" xfId="14088" xr:uid="{00000000-0005-0000-0000-000089350000}"/>
    <cellStyle name="Normal 107 4 3 3" xfId="14089" xr:uid="{00000000-0005-0000-0000-00008A350000}"/>
    <cellStyle name="Normal 107 4 4" xfId="14090" xr:uid="{00000000-0005-0000-0000-00008B350000}"/>
    <cellStyle name="Normal 107 4 5" xfId="14091" xr:uid="{00000000-0005-0000-0000-00008C350000}"/>
    <cellStyle name="Normal 107 4 6" xfId="14092" xr:uid="{00000000-0005-0000-0000-00008D350000}"/>
    <cellStyle name="Normal 107 5" xfId="14093" xr:uid="{00000000-0005-0000-0000-00008E350000}"/>
    <cellStyle name="Normal 107 5 2" xfId="14094" xr:uid="{00000000-0005-0000-0000-00008F350000}"/>
    <cellStyle name="Normal 107 5 3" xfId="14095" xr:uid="{00000000-0005-0000-0000-000090350000}"/>
    <cellStyle name="Normal 107 6" xfId="14096" xr:uid="{00000000-0005-0000-0000-000091350000}"/>
    <cellStyle name="Normal 107 6 2" xfId="14097" xr:uid="{00000000-0005-0000-0000-000092350000}"/>
    <cellStyle name="Normal 107 6 3" xfId="14098" xr:uid="{00000000-0005-0000-0000-000093350000}"/>
    <cellStyle name="Normal 107 7" xfId="14099" xr:uid="{00000000-0005-0000-0000-000094350000}"/>
    <cellStyle name="Normal 107 8" xfId="14100" xr:uid="{00000000-0005-0000-0000-000095350000}"/>
    <cellStyle name="Normal 107 9" xfId="14101" xr:uid="{00000000-0005-0000-0000-000096350000}"/>
    <cellStyle name="Normal 1070" xfId="14102" xr:uid="{00000000-0005-0000-0000-000097350000}"/>
    <cellStyle name="Normal 1071" xfId="14103" xr:uid="{00000000-0005-0000-0000-000098350000}"/>
    <cellStyle name="Normal 1072" xfId="14104" xr:uid="{00000000-0005-0000-0000-000099350000}"/>
    <cellStyle name="Normal 1073" xfId="14105" xr:uid="{00000000-0005-0000-0000-00009A350000}"/>
    <cellStyle name="Normal 1074" xfId="14106" xr:uid="{00000000-0005-0000-0000-00009B350000}"/>
    <cellStyle name="Normal 1075" xfId="14107" xr:uid="{00000000-0005-0000-0000-00009C350000}"/>
    <cellStyle name="Normal 1076" xfId="14108" xr:uid="{00000000-0005-0000-0000-00009D350000}"/>
    <cellStyle name="Normal 1077" xfId="14109" xr:uid="{00000000-0005-0000-0000-00009E350000}"/>
    <cellStyle name="Normal 1078" xfId="14110" xr:uid="{00000000-0005-0000-0000-00009F350000}"/>
    <cellStyle name="Normal 1079" xfId="14111" xr:uid="{00000000-0005-0000-0000-0000A0350000}"/>
    <cellStyle name="Normal 108" xfId="2069" xr:uid="{00000000-0005-0000-0000-0000A1350000}"/>
    <cellStyle name="Normal 108 10" xfId="14112" xr:uid="{00000000-0005-0000-0000-0000A2350000}"/>
    <cellStyle name="Normal 108 11" xfId="14113" xr:uid="{00000000-0005-0000-0000-0000A3350000}"/>
    <cellStyle name="Normal 108 12" xfId="14114" xr:uid="{00000000-0005-0000-0000-0000A4350000}"/>
    <cellStyle name="Normal 108 2" xfId="14115" xr:uid="{00000000-0005-0000-0000-0000A5350000}"/>
    <cellStyle name="Normal 108 2 2" xfId="14116" xr:uid="{00000000-0005-0000-0000-0000A6350000}"/>
    <cellStyle name="Normal 108 2 2 2" xfId="14117" xr:uid="{00000000-0005-0000-0000-0000A7350000}"/>
    <cellStyle name="Normal 108 2 2 2 2" xfId="14118" xr:uid="{00000000-0005-0000-0000-0000A8350000}"/>
    <cellStyle name="Normal 108 2 2 2 2 2" xfId="14119" xr:uid="{00000000-0005-0000-0000-0000A9350000}"/>
    <cellStyle name="Normal 108 2 2 2 2 3" xfId="14120" xr:uid="{00000000-0005-0000-0000-0000AA350000}"/>
    <cellStyle name="Normal 108 2 2 2 3" xfId="14121" xr:uid="{00000000-0005-0000-0000-0000AB350000}"/>
    <cellStyle name="Normal 108 2 2 2 3 2" xfId="14122" xr:uid="{00000000-0005-0000-0000-0000AC350000}"/>
    <cellStyle name="Normal 108 2 2 2 3 3" xfId="14123" xr:uid="{00000000-0005-0000-0000-0000AD350000}"/>
    <cellStyle name="Normal 108 2 2 2 4" xfId="14124" xr:uid="{00000000-0005-0000-0000-0000AE350000}"/>
    <cellStyle name="Normal 108 2 2 2 5" xfId="14125" xr:uid="{00000000-0005-0000-0000-0000AF350000}"/>
    <cellStyle name="Normal 108 2 2 2 6" xfId="14126" xr:uid="{00000000-0005-0000-0000-0000B0350000}"/>
    <cellStyle name="Normal 108 2 2 3" xfId="14127" xr:uid="{00000000-0005-0000-0000-0000B1350000}"/>
    <cellStyle name="Normal 108 2 2 3 2" xfId="14128" xr:uid="{00000000-0005-0000-0000-0000B2350000}"/>
    <cellStyle name="Normal 108 2 2 3 3" xfId="14129" xr:uid="{00000000-0005-0000-0000-0000B3350000}"/>
    <cellStyle name="Normal 108 2 2 4" xfId="14130" xr:uid="{00000000-0005-0000-0000-0000B4350000}"/>
    <cellStyle name="Normal 108 2 2 4 2" xfId="14131" xr:uid="{00000000-0005-0000-0000-0000B5350000}"/>
    <cellStyle name="Normal 108 2 2 4 3" xfId="14132" xr:uid="{00000000-0005-0000-0000-0000B6350000}"/>
    <cellStyle name="Normal 108 2 2 5" xfId="14133" xr:uid="{00000000-0005-0000-0000-0000B7350000}"/>
    <cellStyle name="Normal 108 2 2 6" xfId="14134" xr:uid="{00000000-0005-0000-0000-0000B8350000}"/>
    <cellStyle name="Normal 108 2 2 7" xfId="14135" xr:uid="{00000000-0005-0000-0000-0000B9350000}"/>
    <cellStyle name="Normal 108 2 2 8" xfId="14136" xr:uid="{00000000-0005-0000-0000-0000BA350000}"/>
    <cellStyle name="Normal 108 2 3" xfId="14137" xr:uid="{00000000-0005-0000-0000-0000BB350000}"/>
    <cellStyle name="Normal 108 2 3 2" xfId="14138" xr:uid="{00000000-0005-0000-0000-0000BC350000}"/>
    <cellStyle name="Normal 108 2 3 2 2" xfId="14139" xr:uid="{00000000-0005-0000-0000-0000BD350000}"/>
    <cellStyle name="Normal 108 2 3 2 3" xfId="14140" xr:uid="{00000000-0005-0000-0000-0000BE350000}"/>
    <cellStyle name="Normal 108 2 3 3" xfId="14141" xr:uid="{00000000-0005-0000-0000-0000BF350000}"/>
    <cellStyle name="Normal 108 2 3 3 2" xfId="14142" xr:uid="{00000000-0005-0000-0000-0000C0350000}"/>
    <cellStyle name="Normal 108 2 3 3 3" xfId="14143" xr:uid="{00000000-0005-0000-0000-0000C1350000}"/>
    <cellStyle name="Normal 108 2 3 4" xfId="14144" xr:uid="{00000000-0005-0000-0000-0000C2350000}"/>
    <cellStyle name="Normal 108 2 3 5" xfId="14145" xr:uid="{00000000-0005-0000-0000-0000C3350000}"/>
    <cellStyle name="Normal 108 2 3 6" xfId="14146" xr:uid="{00000000-0005-0000-0000-0000C4350000}"/>
    <cellStyle name="Normal 108 2 4" xfId="14147" xr:uid="{00000000-0005-0000-0000-0000C5350000}"/>
    <cellStyle name="Normal 108 2 4 2" xfId="14148" xr:uid="{00000000-0005-0000-0000-0000C6350000}"/>
    <cellStyle name="Normal 108 2 4 3" xfId="14149" xr:uid="{00000000-0005-0000-0000-0000C7350000}"/>
    <cellStyle name="Normal 108 2 5" xfId="14150" xr:uid="{00000000-0005-0000-0000-0000C8350000}"/>
    <cellStyle name="Normal 108 2 5 2" xfId="14151" xr:uid="{00000000-0005-0000-0000-0000C9350000}"/>
    <cellStyle name="Normal 108 2 5 3" xfId="14152" xr:uid="{00000000-0005-0000-0000-0000CA350000}"/>
    <cellStyle name="Normal 108 2 6" xfId="14153" xr:uid="{00000000-0005-0000-0000-0000CB350000}"/>
    <cellStyle name="Normal 108 2 7" xfId="14154" xr:uid="{00000000-0005-0000-0000-0000CC350000}"/>
    <cellStyle name="Normal 108 2 8" xfId="14155" xr:uid="{00000000-0005-0000-0000-0000CD350000}"/>
    <cellStyle name="Normal 108 2 9" xfId="14156" xr:uid="{00000000-0005-0000-0000-0000CE350000}"/>
    <cellStyle name="Normal 108 3" xfId="14157" xr:uid="{00000000-0005-0000-0000-0000CF350000}"/>
    <cellStyle name="Normal 108 3 2" xfId="14158" xr:uid="{00000000-0005-0000-0000-0000D0350000}"/>
    <cellStyle name="Normal 108 3 2 2" xfId="14159" xr:uid="{00000000-0005-0000-0000-0000D1350000}"/>
    <cellStyle name="Normal 108 3 2 2 2" xfId="14160" xr:uid="{00000000-0005-0000-0000-0000D2350000}"/>
    <cellStyle name="Normal 108 3 2 2 3" xfId="14161" xr:uid="{00000000-0005-0000-0000-0000D3350000}"/>
    <cellStyle name="Normal 108 3 2 3" xfId="14162" xr:uid="{00000000-0005-0000-0000-0000D4350000}"/>
    <cellStyle name="Normal 108 3 2 3 2" xfId="14163" xr:uid="{00000000-0005-0000-0000-0000D5350000}"/>
    <cellStyle name="Normal 108 3 2 3 3" xfId="14164" xr:uid="{00000000-0005-0000-0000-0000D6350000}"/>
    <cellStyle name="Normal 108 3 2 4" xfId="14165" xr:uid="{00000000-0005-0000-0000-0000D7350000}"/>
    <cellStyle name="Normal 108 3 2 5" xfId="14166" xr:uid="{00000000-0005-0000-0000-0000D8350000}"/>
    <cellStyle name="Normal 108 3 2 6" xfId="14167" xr:uid="{00000000-0005-0000-0000-0000D9350000}"/>
    <cellStyle name="Normal 108 3 3" xfId="14168" xr:uid="{00000000-0005-0000-0000-0000DA350000}"/>
    <cellStyle name="Normal 108 3 3 2" xfId="14169" xr:uid="{00000000-0005-0000-0000-0000DB350000}"/>
    <cellStyle name="Normal 108 3 3 3" xfId="14170" xr:uid="{00000000-0005-0000-0000-0000DC350000}"/>
    <cellStyle name="Normal 108 3 4" xfId="14171" xr:uid="{00000000-0005-0000-0000-0000DD350000}"/>
    <cellStyle name="Normal 108 3 4 2" xfId="14172" xr:uid="{00000000-0005-0000-0000-0000DE350000}"/>
    <cellStyle name="Normal 108 3 4 3" xfId="14173" xr:uid="{00000000-0005-0000-0000-0000DF350000}"/>
    <cellStyle name="Normal 108 3 5" xfId="14174" xr:uid="{00000000-0005-0000-0000-0000E0350000}"/>
    <cellStyle name="Normal 108 3 6" xfId="14175" xr:uid="{00000000-0005-0000-0000-0000E1350000}"/>
    <cellStyle name="Normal 108 3 7" xfId="14176" xr:uid="{00000000-0005-0000-0000-0000E2350000}"/>
    <cellStyle name="Normal 108 3 8" xfId="14177" xr:uid="{00000000-0005-0000-0000-0000E3350000}"/>
    <cellStyle name="Normal 108 4" xfId="14178" xr:uid="{00000000-0005-0000-0000-0000E4350000}"/>
    <cellStyle name="Normal 108 4 2" xfId="14179" xr:uid="{00000000-0005-0000-0000-0000E5350000}"/>
    <cellStyle name="Normal 108 4 2 2" xfId="14180" xr:uid="{00000000-0005-0000-0000-0000E6350000}"/>
    <cellStyle name="Normal 108 4 2 3" xfId="14181" xr:uid="{00000000-0005-0000-0000-0000E7350000}"/>
    <cellStyle name="Normal 108 4 3" xfId="14182" xr:uid="{00000000-0005-0000-0000-0000E8350000}"/>
    <cellStyle name="Normal 108 4 3 2" xfId="14183" xr:uid="{00000000-0005-0000-0000-0000E9350000}"/>
    <cellStyle name="Normal 108 4 3 3" xfId="14184" xr:uid="{00000000-0005-0000-0000-0000EA350000}"/>
    <cellStyle name="Normal 108 4 4" xfId="14185" xr:uid="{00000000-0005-0000-0000-0000EB350000}"/>
    <cellStyle name="Normal 108 4 5" xfId="14186" xr:uid="{00000000-0005-0000-0000-0000EC350000}"/>
    <cellStyle name="Normal 108 4 6" xfId="14187" xr:uid="{00000000-0005-0000-0000-0000ED350000}"/>
    <cellStyle name="Normal 108 5" xfId="14188" xr:uid="{00000000-0005-0000-0000-0000EE350000}"/>
    <cellStyle name="Normal 108 5 2" xfId="14189" xr:uid="{00000000-0005-0000-0000-0000EF350000}"/>
    <cellStyle name="Normal 108 5 3" xfId="14190" xr:uid="{00000000-0005-0000-0000-0000F0350000}"/>
    <cellStyle name="Normal 108 6" xfId="14191" xr:uid="{00000000-0005-0000-0000-0000F1350000}"/>
    <cellStyle name="Normal 108 6 2" xfId="14192" xr:uid="{00000000-0005-0000-0000-0000F2350000}"/>
    <cellStyle name="Normal 108 6 3" xfId="14193" xr:uid="{00000000-0005-0000-0000-0000F3350000}"/>
    <cellStyle name="Normal 108 7" xfId="14194" xr:uid="{00000000-0005-0000-0000-0000F4350000}"/>
    <cellStyle name="Normal 108 8" xfId="14195" xr:uid="{00000000-0005-0000-0000-0000F5350000}"/>
    <cellStyle name="Normal 108 9" xfId="14196" xr:uid="{00000000-0005-0000-0000-0000F6350000}"/>
    <cellStyle name="Normal 1080" xfId="14197" xr:uid="{00000000-0005-0000-0000-0000F7350000}"/>
    <cellStyle name="Normal 1081" xfId="14198" xr:uid="{00000000-0005-0000-0000-0000F8350000}"/>
    <cellStyle name="Normal 1082" xfId="14199" xr:uid="{00000000-0005-0000-0000-0000F9350000}"/>
    <cellStyle name="Normal 1083" xfId="14200" xr:uid="{00000000-0005-0000-0000-0000FA350000}"/>
    <cellStyle name="Normal 1084" xfId="14201" xr:uid="{00000000-0005-0000-0000-0000FB350000}"/>
    <cellStyle name="Normal 1085" xfId="14202" xr:uid="{00000000-0005-0000-0000-0000FC350000}"/>
    <cellStyle name="Normal 1086" xfId="14203" xr:uid="{00000000-0005-0000-0000-0000FD350000}"/>
    <cellStyle name="Normal 1087" xfId="14204" xr:uid="{00000000-0005-0000-0000-0000FE350000}"/>
    <cellStyle name="Normal 1088" xfId="14205" xr:uid="{00000000-0005-0000-0000-0000FF350000}"/>
    <cellStyle name="Normal 1089" xfId="14206" xr:uid="{00000000-0005-0000-0000-000000360000}"/>
    <cellStyle name="Normal 109" xfId="2070" xr:uid="{00000000-0005-0000-0000-000001360000}"/>
    <cellStyle name="Normal 109 10" xfId="14207" xr:uid="{00000000-0005-0000-0000-000002360000}"/>
    <cellStyle name="Normal 109 11" xfId="14208" xr:uid="{00000000-0005-0000-0000-000003360000}"/>
    <cellStyle name="Normal 109 12" xfId="14209" xr:uid="{00000000-0005-0000-0000-000004360000}"/>
    <cellStyle name="Normal 109 2" xfId="14210" xr:uid="{00000000-0005-0000-0000-000005360000}"/>
    <cellStyle name="Normal 109 2 2" xfId="14211" xr:uid="{00000000-0005-0000-0000-000006360000}"/>
    <cellStyle name="Normal 109 2 2 2" xfId="14212" xr:uid="{00000000-0005-0000-0000-000007360000}"/>
    <cellStyle name="Normal 109 2 2 2 2" xfId="14213" xr:uid="{00000000-0005-0000-0000-000008360000}"/>
    <cellStyle name="Normal 109 2 2 2 2 2" xfId="14214" xr:uid="{00000000-0005-0000-0000-000009360000}"/>
    <cellStyle name="Normal 109 2 2 2 2 3" xfId="14215" xr:uid="{00000000-0005-0000-0000-00000A360000}"/>
    <cellStyle name="Normal 109 2 2 2 3" xfId="14216" xr:uid="{00000000-0005-0000-0000-00000B360000}"/>
    <cellStyle name="Normal 109 2 2 2 3 2" xfId="14217" xr:uid="{00000000-0005-0000-0000-00000C360000}"/>
    <cellStyle name="Normal 109 2 2 2 3 3" xfId="14218" xr:uid="{00000000-0005-0000-0000-00000D360000}"/>
    <cellStyle name="Normal 109 2 2 2 4" xfId="14219" xr:uid="{00000000-0005-0000-0000-00000E360000}"/>
    <cellStyle name="Normal 109 2 2 2 5" xfId="14220" xr:uid="{00000000-0005-0000-0000-00000F360000}"/>
    <cellStyle name="Normal 109 2 2 2 6" xfId="14221" xr:uid="{00000000-0005-0000-0000-000010360000}"/>
    <cellStyle name="Normal 109 2 2 3" xfId="14222" xr:uid="{00000000-0005-0000-0000-000011360000}"/>
    <cellStyle name="Normal 109 2 2 3 2" xfId="14223" xr:uid="{00000000-0005-0000-0000-000012360000}"/>
    <cellStyle name="Normal 109 2 2 3 3" xfId="14224" xr:uid="{00000000-0005-0000-0000-000013360000}"/>
    <cellStyle name="Normal 109 2 2 4" xfId="14225" xr:uid="{00000000-0005-0000-0000-000014360000}"/>
    <cellStyle name="Normal 109 2 2 4 2" xfId="14226" xr:uid="{00000000-0005-0000-0000-000015360000}"/>
    <cellStyle name="Normal 109 2 2 4 3" xfId="14227" xr:uid="{00000000-0005-0000-0000-000016360000}"/>
    <cellStyle name="Normal 109 2 2 5" xfId="14228" xr:uid="{00000000-0005-0000-0000-000017360000}"/>
    <cellStyle name="Normal 109 2 2 6" xfId="14229" xr:uid="{00000000-0005-0000-0000-000018360000}"/>
    <cellStyle name="Normal 109 2 2 7" xfId="14230" xr:uid="{00000000-0005-0000-0000-000019360000}"/>
    <cellStyle name="Normal 109 2 2 8" xfId="14231" xr:uid="{00000000-0005-0000-0000-00001A360000}"/>
    <cellStyle name="Normal 109 2 3" xfId="14232" xr:uid="{00000000-0005-0000-0000-00001B360000}"/>
    <cellStyle name="Normal 109 2 3 2" xfId="14233" xr:uid="{00000000-0005-0000-0000-00001C360000}"/>
    <cellStyle name="Normal 109 2 3 2 2" xfId="14234" xr:uid="{00000000-0005-0000-0000-00001D360000}"/>
    <cellStyle name="Normal 109 2 3 2 3" xfId="14235" xr:uid="{00000000-0005-0000-0000-00001E360000}"/>
    <cellStyle name="Normal 109 2 3 3" xfId="14236" xr:uid="{00000000-0005-0000-0000-00001F360000}"/>
    <cellStyle name="Normal 109 2 3 3 2" xfId="14237" xr:uid="{00000000-0005-0000-0000-000020360000}"/>
    <cellStyle name="Normal 109 2 3 3 3" xfId="14238" xr:uid="{00000000-0005-0000-0000-000021360000}"/>
    <cellStyle name="Normal 109 2 3 4" xfId="14239" xr:uid="{00000000-0005-0000-0000-000022360000}"/>
    <cellStyle name="Normal 109 2 3 5" xfId="14240" xr:uid="{00000000-0005-0000-0000-000023360000}"/>
    <cellStyle name="Normal 109 2 3 6" xfId="14241" xr:uid="{00000000-0005-0000-0000-000024360000}"/>
    <cellStyle name="Normal 109 2 4" xfId="14242" xr:uid="{00000000-0005-0000-0000-000025360000}"/>
    <cellStyle name="Normal 109 2 4 2" xfId="14243" xr:uid="{00000000-0005-0000-0000-000026360000}"/>
    <cellStyle name="Normal 109 2 4 3" xfId="14244" xr:uid="{00000000-0005-0000-0000-000027360000}"/>
    <cellStyle name="Normal 109 2 5" xfId="14245" xr:uid="{00000000-0005-0000-0000-000028360000}"/>
    <cellStyle name="Normal 109 2 5 2" xfId="14246" xr:uid="{00000000-0005-0000-0000-000029360000}"/>
    <cellStyle name="Normal 109 2 5 3" xfId="14247" xr:uid="{00000000-0005-0000-0000-00002A360000}"/>
    <cellStyle name="Normal 109 2 6" xfId="14248" xr:uid="{00000000-0005-0000-0000-00002B360000}"/>
    <cellStyle name="Normal 109 2 7" xfId="14249" xr:uid="{00000000-0005-0000-0000-00002C360000}"/>
    <cellStyle name="Normal 109 2 8" xfId="14250" xr:uid="{00000000-0005-0000-0000-00002D360000}"/>
    <cellStyle name="Normal 109 2 9" xfId="14251" xr:uid="{00000000-0005-0000-0000-00002E360000}"/>
    <cellStyle name="Normal 109 3" xfId="14252" xr:uid="{00000000-0005-0000-0000-00002F360000}"/>
    <cellStyle name="Normal 109 3 2" xfId="14253" xr:uid="{00000000-0005-0000-0000-000030360000}"/>
    <cellStyle name="Normal 109 3 2 2" xfId="14254" xr:uid="{00000000-0005-0000-0000-000031360000}"/>
    <cellStyle name="Normal 109 3 2 2 2" xfId="14255" xr:uid="{00000000-0005-0000-0000-000032360000}"/>
    <cellStyle name="Normal 109 3 2 2 3" xfId="14256" xr:uid="{00000000-0005-0000-0000-000033360000}"/>
    <cellStyle name="Normal 109 3 2 3" xfId="14257" xr:uid="{00000000-0005-0000-0000-000034360000}"/>
    <cellStyle name="Normal 109 3 2 3 2" xfId="14258" xr:uid="{00000000-0005-0000-0000-000035360000}"/>
    <cellStyle name="Normal 109 3 2 3 3" xfId="14259" xr:uid="{00000000-0005-0000-0000-000036360000}"/>
    <cellStyle name="Normal 109 3 2 4" xfId="14260" xr:uid="{00000000-0005-0000-0000-000037360000}"/>
    <cellStyle name="Normal 109 3 2 5" xfId="14261" xr:uid="{00000000-0005-0000-0000-000038360000}"/>
    <cellStyle name="Normal 109 3 2 6" xfId="14262" xr:uid="{00000000-0005-0000-0000-000039360000}"/>
    <cellStyle name="Normal 109 3 3" xfId="14263" xr:uid="{00000000-0005-0000-0000-00003A360000}"/>
    <cellStyle name="Normal 109 3 3 2" xfId="14264" xr:uid="{00000000-0005-0000-0000-00003B360000}"/>
    <cellStyle name="Normal 109 3 3 3" xfId="14265" xr:uid="{00000000-0005-0000-0000-00003C360000}"/>
    <cellStyle name="Normal 109 3 4" xfId="14266" xr:uid="{00000000-0005-0000-0000-00003D360000}"/>
    <cellStyle name="Normal 109 3 4 2" xfId="14267" xr:uid="{00000000-0005-0000-0000-00003E360000}"/>
    <cellStyle name="Normal 109 3 4 3" xfId="14268" xr:uid="{00000000-0005-0000-0000-00003F360000}"/>
    <cellStyle name="Normal 109 3 5" xfId="14269" xr:uid="{00000000-0005-0000-0000-000040360000}"/>
    <cellStyle name="Normal 109 3 6" xfId="14270" xr:uid="{00000000-0005-0000-0000-000041360000}"/>
    <cellStyle name="Normal 109 3 7" xfId="14271" xr:uid="{00000000-0005-0000-0000-000042360000}"/>
    <cellStyle name="Normal 109 3 8" xfId="14272" xr:uid="{00000000-0005-0000-0000-000043360000}"/>
    <cellStyle name="Normal 109 4" xfId="14273" xr:uid="{00000000-0005-0000-0000-000044360000}"/>
    <cellStyle name="Normal 109 4 2" xfId="14274" xr:uid="{00000000-0005-0000-0000-000045360000}"/>
    <cellStyle name="Normal 109 4 2 2" xfId="14275" xr:uid="{00000000-0005-0000-0000-000046360000}"/>
    <cellStyle name="Normal 109 4 2 3" xfId="14276" xr:uid="{00000000-0005-0000-0000-000047360000}"/>
    <cellStyle name="Normal 109 4 3" xfId="14277" xr:uid="{00000000-0005-0000-0000-000048360000}"/>
    <cellStyle name="Normal 109 4 3 2" xfId="14278" xr:uid="{00000000-0005-0000-0000-000049360000}"/>
    <cellStyle name="Normal 109 4 3 3" xfId="14279" xr:uid="{00000000-0005-0000-0000-00004A360000}"/>
    <cellStyle name="Normal 109 4 4" xfId="14280" xr:uid="{00000000-0005-0000-0000-00004B360000}"/>
    <cellStyle name="Normal 109 4 5" xfId="14281" xr:uid="{00000000-0005-0000-0000-00004C360000}"/>
    <cellStyle name="Normal 109 4 6" xfId="14282" xr:uid="{00000000-0005-0000-0000-00004D360000}"/>
    <cellStyle name="Normal 109 5" xfId="14283" xr:uid="{00000000-0005-0000-0000-00004E360000}"/>
    <cellStyle name="Normal 109 5 2" xfId="14284" xr:uid="{00000000-0005-0000-0000-00004F360000}"/>
    <cellStyle name="Normal 109 5 3" xfId="14285" xr:uid="{00000000-0005-0000-0000-000050360000}"/>
    <cellStyle name="Normal 109 6" xfId="14286" xr:uid="{00000000-0005-0000-0000-000051360000}"/>
    <cellStyle name="Normal 109 6 2" xfId="14287" xr:uid="{00000000-0005-0000-0000-000052360000}"/>
    <cellStyle name="Normal 109 6 3" xfId="14288" xr:uid="{00000000-0005-0000-0000-000053360000}"/>
    <cellStyle name="Normal 109 7" xfId="14289" xr:uid="{00000000-0005-0000-0000-000054360000}"/>
    <cellStyle name="Normal 109 8" xfId="14290" xr:uid="{00000000-0005-0000-0000-000055360000}"/>
    <cellStyle name="Normal 109 9" xfId="14291" xr:uid="{00000000-0005-0000-0000-000056360000}"/>
    <cellStyle name="Normal 1090" xfId="14292" xr:uid="{00000000-0005-0000-0000-000057360000}"/>
    <cellStyle name="Normal 1091" xfId="14293" xr:uid="{00000000-0005-0000-0000-000058360000}"/>
    <cellStyle name="Normal 1092" xfId="14294" xr:uid="{00000000-0005-0000-0000-000059360000}"/>
    <cellStyle name="Normal 1093" xfId="14295" xr:uid="{00000000-0005-0000-0000-00005A360000}"/>
    <cellStyle name="Normal 1094" xfId="14296" xr:uid="{00000000-0005-0000-0000-00005B360000}"/>
    <cellStyle name="Normal 1095" xfId="14297" xr:uid="{00000000-0005-0000-0000-00005C360000}"/>
    <cellStyle name="Normal 1096" xfId="14298" xr:uid="{00000000-0005-0000-0000-00005D360000}"/>
    <cellStyle name="Normal 1097" xfId="14299" xr:uid="{00000000-0005-0000-0000-00005E360000}"/>
    <cellStyle name="Normal 1098" xfId="14300" xr:uid="{00000000-0005-0000-0000-00005F360000}"/>
    <cellStyle name="Normal 1099" xfId="14301" xr:uid="{00000000-0005-0000-0000-000060360000}"/>
    <cellStyle name="Normal 11" xfId="2071" xr:uid="{00000000-0005-0000-0000-000061360000}"/>
    <cellStyle name="Normal 11 10" xfId="14302" xr:uid="{00000000-0005-0000-0000-000062360000}"/>
    <cellStyle name="Normal 11 11" xfId="14303" xr:uid="{00000000-0005-0000-0000-000063360000}"/>
    <cellStyle name="Normal 11 12" xfId="14304" xr:uid="{00000000-0005-0000-0000-000064360000}"/>
    <cellStyle name="Normal 11 13" xfId="14305" xr:uid="{00000000-0005-0000-0000-000065360000}"/>
    <cellStyle name="Normal 11 14" xfId="14306" xr:uid="{00000000-0005-0000-0000-000066360000}"/>
    <cellStyle name="Normal 11 15" xfId="14307" xr:uid="{00000000-0005-0000-0000-000067360000}"/>
    <cellStyle name="Normal 11 16" xfId="14308" xr:uid="{00000000-0005-0000-0000-000068360000}"/>
    <cellStyle name="Normal 11 17" xfId="14309" xr:uid="{00000000-0005-0000-0000-000069360000}"/>
    <cellStyle name="Normal 11 18" xfId="14310" xr:uid="{00000000-0005-0000-0000-00006A360000}"/>
    <cellStyle name="Normal 11 19" xfId="14311" xr:uid="{00000000-0005-0000-0000-00006B360000}"/>
    <cellStyle name="Normal 11 2" xfId="2072" xr:uid="{00000000-0005-0000-0000-00006C360000}"/>
    <cellStyle name="Normal 11 2 2" xfId="14312" xr:uid="{00000000-0005-0000-0000-00006D360000}"/>
    <cellStyle name="Normal 11 2 3" xfId="14313" xr:uid="{00000000-0005-0000-0000-00006E360000}"/>
    <cellStyle name="Normal 11 2 3 2" xfId="14314" xr:uid="{00000000-0005-0000-0000-00006F360000}"/>
    <cellStyle name="Normal 11 2 4" xfId="14315" xr:uid="{00000000-0005-0000-0000-000070360000}"/>
    <cellStyle name="Normal 11 2 5" xfId="14316" xr:uid="{00000000-0005-0000-0000-000071360000}"/>
    <cellStyle name="Normal 11 2 6" xfId="14317" xr:uid="{00000000-0005-0000-0000-000072360000}"/>
    <cellStyle name="Normal 11 20" xfId="14318" xr:uid="{00000000-0005-0000-0000-000073360000}"/>
    <cellStyle name="Normal 11 21" xfId="14319" xr:uid="{00000000-0005-0000-0000-000074360000}"/>
    <cellStyle name="Normal 11 22" xfId="14320" xr:uid="{00000000-0005-0000-0000-000075360000}"/>
    <cellStyle name="Normal 11 22 2" xfId="14321" xr:uid="{00000000-0005-0000-0000-000076360000}"/>
    <cellStyle name="Normal 11 23" xfId="14322" xr:uid="{00000000-0005-0000-0000-000077360000}"/>
    <cellStyle name="Normal 11 24" xfId="14323" xr:uid="{00000000-0005-0000-0000-000078360000}"/>
    <cellStyle name="Normal 11 24 2" xfId="14324" xr:uid="{00000000-0005-0000-0000-000079360000}"/>
    <cellStyle name="Normal 11 25" xfId="14325" xr:uid="{00000000-0005-0000-0000-00007A360000}"/>
    <cellStyle name="Normal 11 25 2" xfId="14326" xr:uid="{00000000-0005-0000-0000-00007B360000}"/>
    <cellStyle name="Normal 11 26" xfId="14327" xr:uid="{00000000-0005-0000-0000-00007C360000}"/>
    <cellStyle name="Normal 11 26 2" xfId="14328" xr:uid="{00000000-0005-0000-0000-00007D360000}"/>
    <cellStyle name="Normal 11 27" xfId="14329" xr:uid="{00000000-0005-0000-0000-00007E360000}"/>
    <cellStyle name="Normal 11 28" xfId="14330" xr:uid="{00000000-0005-0000-0000-00007F360000}"/>
    <cellStyle name="Normal 11 29" xfId="14331" xr:uid="{00000000-0005-0000-0000-000080360000}"/>
    <cellStyle name="Normal 11 3" xfId="14332" xr:uid="{00000000-0005-0000-0000-000081360000}"/>
    <cellStyle name="Normal 11 4" xfId="14333" xr:uid="{00000000-0005-0000-0000-000082360000}"/>
    <cellStyle name="Normal 11 5" xfId="14334" xr:uid="{00000000-0005-0000-0000-000083360000}"/>
    <cellStyle name="Normal 11 6" xfId="14335" xr:uid="{00000000-0005-0000-0000-000084360000}"/>
    <cellStyle name="Normal 11 7" xfId="14336" xr:uid="{00000000-0005-0000-0000-000085360000}"/>
    <cellStyle name="Normal 11 8" xfId="14337" xr:uid="{00000000-0005-0000-0000-000086360000}"/>
    <cellStyle name="Normal 11 9" xfId="14338" xr:uid="{00000000-0005-0000-0000-000087360000}"/>
    <cellStyle name="Normal 110" xfId="2073" xr:uid="{00000000-0005-0000-0000-000088360000}"/>
    <cellStyle name="Normal 110 10" xfId="14339" xr:uid="{00000000-0005-0000-0000-000089360000}"/>
    <cellStyle name="Normal 110 11" xfId="14340" xr:uid="{00000000-0005-0000-0000-00008A360000}"/>
    <cellStyle name="Normal 110 12" xfId="14341" xr:uid="{00000000-0005-0000-0000-00008B360000}"/>
    <cellStyle name="Normal 110 2" xfId="14342" xr:uid="{00000000-0005-0000-0000-00008C360000}"/>
    <cellStyle name="Normal 110 2 2" xfId="14343" xr:uid="{00000000-0005-0000-0000-00008D360000}"/>
    <cellStyle name="Normal 110 2 2 2" xfId="14344" xr:uid="{00000000-0005-0000-0000-00008E360000}"/>
    <cellStyle name="Normal 110 2 2 2 2" xfId="14345" xr:uid="{00000000-0005-0000-0000-00008F360000}"/>
    <cellStyle name="Normal 110 2 2 2 2 2" xfId="14346" xr:uid="{00000000-0005-0000-0000-000090360000}"/>
    <cellStyle name="Normal 110 2 2 2 2 3" xfId="14347" xr:uid="{00000000-0005-0000-0000-000091360000}"/>
    <cellStyle name="Normal 110 2 2 2 3" xfId="14348" xr:uid="{00000000-0005-0000-0000-000092360000}"/>
    <cellStyle name="Normal 110 2 2 2 3 2" xfId="14349" xr:uid="{00000000-0005-0000-0000-000093360000}"/>
    <cellStyle name="Normal 110 2 2 2 3 3" xfId="14350" xr:uid="{00000000-0005-0000-0000-000094360000}"/>
    <cellStyle name="Normal 110 2 2 2 4" xfId="14351" xr:uid="{00000000-0005-0000-0000-000095360000}"/>
    <cellStyle name="Normal 110 2 2 2 5" xfId="14352" xr:uid="{00000000-0005-0000-0000-000096360000}"/>
    <cellStyle name="Normal 110 2 2 2 6" xfId="14353" xr:uid="{00000000-0005-0000-0000-000097360000}"/>
    <cellStyle name="Normal 110 2 2 3" xfId="14354" xr:uid="{00000000-0005-0000-0000-000098360000}"/>
    <cellStyle name="Normal 110 2 2 3 2" xfId="14355" xr:uid="{00000000-0005-0000-0000-000099360000}"/>
    <cellStyle name="Normal 110 2 2 3 3" xfId="14356" xr:uid="{00000000-0005-0000-0000-00009A360000}"/>
    <cellStyle name="Normal 110 2 2 4" xfId="14357" xr:uid="{00000000-0005-0000-0000-00009B360000}"/>
    <cellStyle name="Normal 110 2 2 4 2" xfId="14358" xr:uid="{00000000-0005-0000-0000-00009C360000}"/>
    <cellStyle name="Normal 110 2 2 4 3" xfId="14359" xr:uid="{00000000-0005-0000-0000-00009D360000}"/>
    <cellStyle name="Normal 110 2 2 5" xfId="14360" xr:uid="{00000000-0005-0000-0000-00009E360000}"/>
    <cellStyle name="Normal 110 2 2 6" xfId="14361" xr:uid="{00000000-0005-0000-0000-00009F360000}"/>
    <cellStyle name="Normal 110 2 2 7" xfId="14362" xr:uid="{00000000-0005-0000-0000-0000A0360000}"/>
    <cellStyle name="Normal 110 2 2 8" xfId="14363" xr:uid="{00000000-0005-0000-0000-0000A1360000}"/>
    <cellStyle name="Normal 110 2 3" xfId="14364" xr:uid="{00000000-0005-0000-0000-0000A2360000}"/>
    <cellStyle name="Normal 110 2 3 2" xfId="14365" xr:uid="{00000000-0005-0000-0000-0000A3360000}"/>
    <cellStyle name="Normal 110 2 3 2 2" xfId="14366" xr:uid="{00000000-0005-0000-0000-0000A4360000}"/>
    <cellStyle name="Normal 110 2 3 2 3" xfId="14367" xr:uid="{00000000-0005-0000-0000-0000A5360000}"/>
    <cellStyle name="Normal 110 2 3 3" xfId="14368" xr:uid="{00000000-0005-0000-0000-0000A6360000}"/>
    <cellStyle name="Normal 110 2 3 3 2" xfId="14369" xr:uid="{00000000-0005-0000-0000-0000A7360000}"/>
    <cellStyle name="Normal 110 2 3 3 3" xfId="14370" xr:uid="{00000000-0005-0000-0000-0000A8360000}"/>
    <cellStyle name="Normal 110 2 3 4" xfId="14371" xr:uid="{00000000-0005-0000-0000-0000A9360000}"/>
    <cellStyle name="Normal 110 2 3 5" xfId="14372" xr:uid="{00000000-0005-0000-0000-0000AA360000}"/>
    <cellStyle name="Normal 110 2 3 6" xfId="14373" xr:uid="{00000000-0005-0000-0000-0000AB360000}"/>
    <cellStyle name="Normal 110 2 4" xfId="14374" xr:uid="{00000000-0005-0000-0000-0000AC360000}"/>
    <cellStyle name="Normal 110 2 4 2" xfId="14375" xr:uid="{00000000-0005-0000-0000-0000AD360000}"/>
    <cellStyle name="Normal 110 2 4 3" xfId="14376" xr:uid="{00000000-0005-0000-0000-0000AE360000}"/>
    <cellStyle name="Normal 110 2 5" xfId="14377" xr:uid="{00000000-0005-0000-0000-0000AF360000}"/>
    <cellStyle name="Normal 110 2 5 2" xfId="14378" xr:uid="{00000000-0005-0000-0000-0000B0360000}"/>
    <cellStyle name="Normal 110 2 5 3" xfId="14379" xr:uid="{00000000-0005-0000-0000-0000B1360000}"/>
    <cellStyle name="Normal 110 2 6" xfId="14380" xr:uid="{00000000-0005-0000-0000-0000B2360000}"/>
    <cellStyle name="Normal 110 2 7" xfId="14381" xr:uid="{00000000-0005-0000-0000-0000B3360000}"/>
    <cellStyle name="Normal 110 2 8" xfId="14382" xr:uid="{00000000-0005-0000-0000-0000B4360000}"/>
    <cellStyle name="Normal 110 2 9" xfId="14383" xr:uid="{00000000-0005-0000-0000-0000B5360000}"/>
    <cellStyle name="Normal 110 3" xfId="14384" xr:uid="{00000000-0005-0000-0000-0000B6360000}"/>
    <cellStyle name="Normal 110 3 2" xfId="14385" xr:uid="{00000000-0005-0000-0000-0000B7360000}"/>
    <cellStyle name="Normal 110 3 2 2" xfId="14386" xr:uid="{00000000-0005-0000-0000-0000B8360000}"/>
    <cellStyle name="Normal 110 3 2 2 2" xfId="14387" xr:uid="{00000000-0005-0000-0000-0000B9360000}"/>
    <cellStyle name="Normal 110 3 2 2 3" xfId="14388" xr:uid="{00000000-0005-0000-0000-0000BA360000}"/>
    <cellStyle name="Normal 110 3 2 3" xfId="14389" xr:uid="{00000000-0005-0000-0000-0000BB360000}"/>
    <cellStyle name="Normal 110 3 2 3 2" xfId="14390" xr:uid="{00000000-0005-0000-0000-0000BC360000}"/>
    <cellStyle name="Normal 110 3 2 3 3" xfId="14391" xr:uid="{00000000-0005-0000-0000-0000BD360000}"/>
    <cellStyle name="Normal 110 3 2 4" xfId="14392" xr:uid="{00000000-0005-0000-0000-0000BE360000}"/>
    <cellStyle name="Normal 110 3 2 5" xfId="14393" xr:uid="{00000000-0005-0000-0000-0000BF360000}"/>
    <cellStyle name="Normal 110 3 2 6" xfId="14394" xr:uid="{00000000-0005-0000-0000-0000C0360000}"/>
    <cellStyle name="Normal 110 3 3" xfId="14395" xr:uid="{00000000-0005-0000-0000-0000C1360000}"/>
    <cellStyle name="Normal 110 3 3 2" xfId="14396" xr:uid="{00000000-0005-0000-0000-0000C2360000}"/>
    <cellStyle name="Normal 110 3 3 3" xfId="14397" xr:uid="{00000000-0005-0000-0000-0000C3360000}"/>
    <cellStyle name="Normal 110 3 4" xfId="14398" xr:uid="{00000000-0005-0000-0000-0000C4360000}"/>
    <cellStyle name="Normal 110 3 4 2" xfId="14399" xr:uid="{00000000-0005-0000-0000-0000C5360000}"/>
    <cellStyle name="Normal 110 3 4 3" xfId="14400" xr:uid="{00000000-0005-0000-0000-0000C6360000}"/>
    <cellStyle name="Normal 110 3 5" xfId="14401" xr:uid="{00000000-0005-0000-0000-0000C7360000}"/>
    <cellStyle name="Normal 110 3 6" xfId="14402" xr:uid="{00000000-0005-0000-0000-0000C8360000}"/>
    <cellStyle name="Normal 110 3 7" xfId="14403" xr:uid="{00000000-0005-0000-0000-0000C9360000}"/>
    <cellStyle name="Normal 110 3 8" xfId="14404" xr:uid="{00000000-0005-0000-0000-0000CA360000}"/>
    <cellStyle name="Normal 110 4" xfId="14405" xr:uid="{00000000-0005-0000-0000-0000CB360000}"/>
    <cellStyle name="Normal 110 4 2" xfId="14406" xr:uid="{00000000-0005-0000-0000-0000CC360000}"/>
    <cellStyle name="Normal 110 4 2 2" xfId="14407" xr:uid="{00000000-0005-0000-0000-0000CD360000}"/>
    <cellStyle name="Normal 110 4 2 3" xfId="14408" xr:uid="{00000000-0005-0000-0000-0000CE360000}"/>
    <cellStyle name="Normal 110 4 3" xfId="14409" xr:uid="{00000000-0005-0000-0000-0000CF360000}"/>
    <cellStyle name="Normal 110 4 3 2" xfId="14410" xr:uid="{00000000-0005-0000-0000-0000D0360000}"/>
    <cellStyle name="Normal 110 4 3 3" xfId="14411" xr:uid="{00000000-0005-0000-0000-0000D1360000}"/>
    <cellStyle name="Normal 110 4 4" xfId="14412" xr:uid="{00000000-0005-0000-0000-0000D2360000}"/>
    <cellStyle name="Normal 110 4 5" xfId="14413" xr:uid="{00000000-0005-0000-0000-0000D3360000}"/>
    <cellStyle name="Normal 110 4 6" xfId="14414" xr:uid="{00000000-0005-0000-0000-0000D4360000}"/>
    <cellStyle name="Normal 110 5" xfId="14415" xr:uid="{00000000-0005-0000-0000-0000D5360000}"/>
    <cellStyle name="Normal 110 5 2" xfId="14416" xr:uid="{00000000-0005-0000-0000-0000D6360000}"/>
    <cellStyle name="Normal 110 5 3" xfId="14417" xr:uid="{00000000-0005-0000-0000-0000D7360000}"/>
    <cellStyle name="Normal 110 6" xfId="14418" xr:uid="{00000000-0005-0000-0000-0000D8360000}"/>
    <cellStyle name="Normal 110 6 2" xfId="14419" xr:uid="{00000000-0005-0000-0000-0000D9360000}"/>
    <cellStyle name="Normal 110 6 3" xfId="14420" xr:uid="{00000000-0005-0000-0000-0000DA360000}"/>
    <cellStyle name="Normal 110 7" xfId="14421" xr:uid="{00000000-0005-0000-0000-0000DB360000}"/>
    <cellStyle name="Normal 110 8" xfId="14422" xr:uid="{00000000-0005-0000-0000-0000DC360000}"/>
    <cellStyle name="Normal 110 9" xfId="14423" xr:uid="{00000000-0005-0000-0000-0000DD360000}"/>
    <cellStyle name="Normal 1100" xfId="14424" xr:uid="{00000000-0005-0000-0000-0000DE360000}"/>
    <cellStyle name="Normal 1101" xfId="14425" xr:uid="{00000000-0005-0000-0000-0000DF360000}"/>
    <cellStyle name="Normal 1102" xfId="14426" xr:uid="{00000000-0005-0000-0000-0000E0360000}"/>
    <cellStyle name="Normal 1103" xfId="14427" xr:uid="{00000000-0005-0000-0000-0000E1360000}"/>
    <cellStyle name="Normal 1104" xfId="14428" xr:uid="{00000000-0005-0000-0000-0000E2360000}"/>
    <cellStyle name="Normal 1105" xfId="14429" xr:uid="{00000000-0005-0000-0000-0000E3360000}"/>
    <cellStyle name="Normal 1106" xfId="14430" xr:uid="{00000000-0005-0000-0000-0000E4360000}"/>
    <cellStyle name="Normal 1107" xfId="14431" xr:uid="{00000000-0005-0000-0000-0000E5360000}"/>
    <cellStyle name="Normal 1108" xfId="14432" xr:uid="{00000000-0005-0000-0000-0000E6360000}"/>
    <cellStyle name="Normal 1109" xfId="14433" xr:uid="{00000000-0005-0000-0000-0000E7360000}"/>
    <cellStyle name="Normal 111" xfId="2074" xr:uid="{00000000-0005-0000-0000-0000E8360000}"/>
    <cellStyle name="Normal 111 10" xfId="14434" xr:uid="{00000000-0005-0000-0000-0000E9360000}"/>
    <cellStyle name="Normal 111 11" xfId="14435" xr:uid="{00000000-0005-0000-0000-0000EA360000}"/>
    <cellStyle name="Normal 111 12" xfId="14436" xr:uid="{00000000-0005-0000-0000-0000EB360000}"/>
    <cellStyle name="Normal 111 2" xfId="14437" xr:uid="{00000000-0005-0000-0000-0000EC360000}"/>
    <cellStyle name="Normal 111 2 2" xfId="14438" xr:uid="{00000000-0005-0000-0000-0000ED360000}"/>
    <cellStyle name="Normal 111 2 2 2" xfId="14439" xr:uid="{00000000-0005-0000-0000-0000EE360000}"/>
    <cellStyle name="Normal 111 2 2 2 2" xfId="14440" xr:uid="{00000000-0005-0000-0000-0000EF360000}"/>
    <cellStyle name="Normal 111 2 2 2 2 2" xfId="14441" xr:uid="{00000000-0005-0000-0000-0000F0360000}"/>
    <cellStyle name="Normal 111 2 2 2 2 3" xfId="14442" xr:uid="{00000000-0005-0000-0000-0000F1360000}"/>
    <cellStyle name="Normal 111 2 2 2 3" xfId="14443" xr:uid="{00000000-0005-0000-0000-0000F2360000}"/>
    <cellStyle name="Normal 111 2 2 2 3 2" xfId="14444" xr:uid="{00000000-0005-0000-0000-0000F3360000}"/>
    <cellStyle name="Normal 111 2 2 2 3 3" xfId="14445" xr:uid="{00000000-0005-0000-0000-0000F4360000}"/>
    <cellStyle name="Normal 111 2 2 2 4" xfId="14446" xr:uid="{00000000-0005-0000-0000-0000F5360000}"/>
    <cellStyle name="Normal 111 2 2 2 5" xfId="14447" xr:uid="{00000000-0005-0000-0000-0000F6360000}"/>
    <cellStyle name="Normal 111 2 2 2 6" xfId="14448" xr:uid="{00000000-0005-0000-0000-0000F7360000}"/>
    <cellStyle name="Normal 111 2 2 3" xfId="14449" xr:uid="{00000000-0005-0000-0000-0000F8360000}"/>
    <cellStyle name="Normal 111 2 2 3 2" xfId="14450" xr:uid="{00000000-0005-0000-0000-0000F9360000}"/>
    <cellStyle name="Normal 111 2 2 3 3" xfId="14451" xr:uid="{00000000-0005-0000-0000-0000FA360000}"/>
    <cellStyle name="Normal 111 2 2 4" xfId="14452" xr:uid="{00000000-0005-0000-0000-0000FB360000}"/>
    <cellStyle name="Normal 111 2 2 4 2" xfId="14453" xr:uid="{00000000-0005-0000-0000-0000FC360000}"/>
    <cellStyle name="Normal 111 2 2 4 3" xfId="14454" xr:uid="{00000000-0005-0000-0000-0000FD360000}"/>
    <cellStyle name="Normal 111 2 2 5" xfId="14455" xr:uid="{00000000-0005-0000-0000-0000FE360000}"/>
    <cellStyle name="Normal 111 2 2 6" xfId="14456" xr:uid="{00000000-0005-0000-0000-0000FF360000}"/>
    <cellStyle name="Normal 111 2 2 7" xfId="14457" xr:uid="{00000000-0005-0000-0000-000000370000}"/>
    <cellStyle name="Normal 111 2 2 8" xfId="14458" xr:uid="{00000000-0005-0000-0000-000001370000}"/>
    <cellStyle name="Normal 111 2 3" xfId="14459" xr:uid="{00000000-0005-0000-0000-000002370000}"/>
    <cellStyle name="Normal 111 2 3 2" xfId="14460" xr:uid="{00000000-0005-0000-0000-000003370000}"/>
    <cellStyle name="Normal 111 2 3 2 2" xfId="14461" xr:uid="{00000000-0005-0000-0000-000004370000}"/>
    <cellStyle name="Normal 111 2 3 2 3" xfId="14462" xr:uid="{00000000-0005-0000-0000-000005370000}"/>
    <cellStyle name="Normal 111 2 3 3" xfId="14463" xr:uid="{00000000-0005-0000-0000-000006370000}"/>
    <cellStyle name="Normal 111 2 3 3 2" xfId="14464" xr:uid="{00000000-0005-0000-0000-000007370000}"/>
    <cellStyle name="Normal 111 2 3 3 3" xfId="14465" xr:uid="{00000000-0005-0000-0000-000008370000}"/>
    <cellStyle name="Normal 111 2 3 4" xfId="14466" xr:uid="{00000000-0005-0000-0000-000009370000}"/>
    <cellStyle name="Normal 111 2 3 5" xfId="14467" xr:uid="{00000000-0005-0000-0000-00000A370000}"/>
    <cellStyle name="Normal 111 2 3 6" xfId="14468" xr:uid="{00000000-0005-0000-0000-00000B370000}"/>
    <cellStyle name="Normal 111 2 4" xfId="14469" xr:uid="{00000000-0005-0000-0000-00000C370000}"/>
    <cellStyle name="Normal 111 2 4 2" xfId="14470" xr:uid="{00000000-0005-0000-0000-00000D370000}"/>
    <cellStyle name="Normal 111 2 4 3" xfId="14471" xr:uid="{00000000-0005-0000-0000-00000E370000}"/>
    <cellStyle name="Normal 111 2 5" xfId="14472" xr:uid="{00000000-0005-0000-0000-00000F370000}"/>
    <cellStyle name="Normal 111 2 5 2" xfId="14473" xr:uid="{00000000-0005-0000-0000-000010370000}"/>
    <cellStyle name="Normal 111 2 5 3" xfId="14474" xr:uid="{00000000-0005-0000-0000-000011370000}"/>
    <cellStyle name="Normal 111 2 6" xfId="14475" xr:uid="{00000000-0005-0000-0000-000012370000}"/>
    <cellStyle name="Normal 111 2 7" xfId="14476" xr:uid="{00000000-0005-0000-0000-000013370000}"/>
    <cellStyle name="Normal 111 2 8" xfId="14477" xr:uid="{00000000-0005-0000-0000-000014370000}"/>
    <cellStyle name="Normal 111 2 9" xfId="14478" xr:uid="{00000000-0005-0000-0000-000015370000}"/>
    <cellStyle name="Normal 111 3" xfId="14479" xr:uid="{00000000-0005-0000-0000-000016370000}"/>
    <cellStyle name="Normal 111 3 2" xfId="14480" xr:uid="{00000000-0005-0000-0000-000017370000}"/>
    <cellStyle name="Normal 111 3 2 2" xfId="14481" xr:uid="{00000000-0005-0000-0000-000018370000}"/>
    <cellStyle name="Normal 111 3 2 2 2" xfId="14482" xr:uid="{00000000-0005-0000-0000-000019370000}"/>
    <cellStyle name="Normal 111 3 2 2 3" xfId="14483" xr:uid="{00000000-0005-0000-0000-00001A370000}"/>
    <cellStyle name="Normal 111 3 2 3" xfId="14484" xr:uid="{00000000-0005-0000-0000-00001B370000}"/>
    <cellStyle name="Normal 111 3 2 3 2" xfId="14485" xr:uid="{00000000-0005-0000-0000-00001C370000}"/>
    <cellStyle name="Normal 111 3 2 3 3" xfId="14486" xr:uid="{00000000-0005-0000-0000-00001D370000}"/>
    <cellStyle name="Normal 111 3 2 4" xfId="14487" xr:uid="{00000000-0005-0000-0000-00001E370000}"/>
    <cellStyle name="Normal 111 3 2 5" xfId="14488" xr:uid="{00000000-0005-0000-0000-00001F370000}"/>
    <cellStyle name="Normal 111 3 2 6" xfId="14489" xr:uid="{00000000-0005-0000-0000-000020370000}"/>
    <cellStyle name="Normal 111 3 3" xfId="14490" xr:uid="{00000000-0005-0000-0000-000021370000}"/>
    <cellStyle name="Normal 111 3 3 2" xfId="14491" xr:uid="{00000000-0005-0000-0000-000022370000}"/>
    <cellStyle name="Normal 111 3 3 3" xfId="14492" xr:uid="{00000000-0005-0000-0000-000023370000}"/>
    <cellStyle name="Normal 111 3 4" xfId="14493" xr:uid="{00000000-0005-0000-0000-000024370000}"/>
    <cellStyle name="Normal 111 3 4 2" xfId="14494" xr:uid="{00000000-0005-0000-0000-000025370000}"/>
    <cellStyle name="Normal 111 3 4 3" xfId="14495" xr:uid="{00000000-0005-0000-0000-000026370000}"/>
    <cellStyle name="Normal 111 3 5" xfId="14496" xr:uid="{00000000-0005-0000-0000-000027370000}"/>
    <cellStyle name="Normal 111 3 6" xfId="14497" xr:uid="{00000000-0005-0000-0000-000028370000}"/>
    <cellStyle name="Normal 111 3 7" xfId="14498" xr:uid="{00000000-0005-0000-0000-000029370000}"/>
    <cellStyle name="Normal 111 3 8" xfId="14499" xr:uid="{00000000-0005-0000-0000-00002A370000}"/>
    <cellStyle name="Normal 111 4" xfId="14500" xr:uid="{00000000-0005-0000-0000-00002B370000}"/>
    <cellStyle name="Normal 111 4 2" xfId="14501" xr:uid="{00000000-0005-0000-0000-00002C370000}"/>
    <cellStyle name="Normal 111 4 2 2" xfId="14502" xr:uid="{00000000-0005-0000-0000-00002D370000}"/>
    <cellStyle name="Normal 111 4 2 3" xfId="14503" xr:uid="{00000000-0005-0000-0000-00002E370000}"/>
    <cellStyle name="Normal 111 4 3" xfId="14504" xr:uid="{00000000-0005-0000-0000-00002F370000}"/>
    <cellStyle name="Normal 111 4 3 2" xfId="14505" xr:uid="{00000000-0005-0000-0000-000030370000}"/>
    <cellStyle name="Normal 111 4 3 3" xfId="14506" xr:uid="{00000000-0005-0000-0000-000031370000}"/>
    <cellStyle name="Normal 111 4 4" xfId="14507" xr:uid="{00000000-0005-0000-0000-000032370000}"/>
    <cellStyle name="Normal 111 4 5" xfId="14508" xr:uid="{00000000-0005-0000-0000-000033370000}"/>
    <cellStyle name="Normal 111 4 6" xfId="14509" xr:uid="{00000000-0005-0000-0000-000034370000}"/>
    <cellStyle name="Normal 111 5" xfId="14510" xr:uid="{00000000-0005-0000-0000-000035370000}"/>
    <cellStyle name="Normal 111 5 2" xfId="14511" xr:uid="{00000000-0005-0000-0000-000036370000}"/>
    <cellStyle name="Normal 111 5 3" xfId="14512" xr:uid="{00000000-0005-0000-0000-000037370000}"/>
    <cellStyle name="Normal 111 6" xfId="14513" xr:uid="{00000000-0005-0000-0000-000038370000}"/>
    <cellStyle name="Normal 111 6 2" xfId="14514" xr:uid="{00000000-0005-0000-0000-000039370000}"/>
    <cellStyle name="Normal 111 6 3" xfId="14515" xr:uid="{00000000-0005-0000-0000-00003A370000}"/>
    <cellStyle name="Normal 111 7" xfId="14516" xr:uid="{00000000-0005-0000-0000-00003B370000}"/>
    <cellStyle name="Normal 111 8" xfId="14517" xr:uid="{00000000-0005-0000-0000-00003C370000}"/>
    <cellStyle name="Normal 111 9" xfId="14518" xr:uid="{00000000-0005-0000-0000-00003D370000}"/>
    <cellStyle name="Normal 1110" xfId="14519" xr:uid="{00000000-0005-0000-0000-00003E370000}"/>
    <cellStyle name="Normal 1111" xfId="14520" xr:uid="{00000000-0005-0000-0000-00003F370000}"/>
    <cellStyle name="Normal 1112" xfId="14521" xr:uid="{00000000-0005-0000-0000-000040370000}"/>
    <cellStyle name="Normal 1113" xfId="14522" xr:uid="{00000000-0005-0000-0000-000041370000}"/>
    <cellStyle name="Normal 1114" xfId="14523" xr:uid="{00000000-0005-0000-0000-000042370000}"/>
    <cellStyle name="Normal 1115" xfId="14524" xr:uid="{00000000-0005-0000-0000-000043370000}"/>
    <cellStyle name="Normal 1116" xfId="14525" xr:uid="{00000000-0005-0000-0000-000044370000}"/>
    <cellStyle name="Normal 1117" xfId="14526" xr:uid="{00000000-0005-0000-0000-000045370000}"/>
    <cellStyle name="Normal 1118" xfId="14527" xr:uid="{00000000-0005-0000-0000-000046370000}"/>
    <cellStyle name="Normal 1119" xfId="14528" xr:uid="{00000000-0005-0000-0000-000047370000}"/>
    <cellStyle name="Normal 112" xfId="2075" xr:uid="{00000000-0005-0000-0000-000048370000}"/>
    <cellStyle name="Normal 112 10" xfId="14529" xr:uid="{00000000-0005-0000-0000-000049370000}"/>
    <cellStyle name="Normal 112 11" xfId="14530" xr:uid="{00000000-0005-0000-0000-00004A370000}"/>
    <cellStyle name="Normal 112 12" xfId="14531" xr:uid="{00000000-0005-0000-0000-00004B370000}"/>
    <cellStyle name="Normal 112 2" xfId="14532" xr:uid="{00000000-0005-0000-0000-00004C370000}"/>
    <cellStyle name="Normal 112 2 2" xfId="14533" xr:uid="{00000000-0005-0000-0000-00004D370000}"/>
    <cellStyle name="Normal 112 2 2 2" xfId="14534" xr:uid="{00000000-0005-0000-0000-00004E370000}"/>
    <cellStyle name="Normal 112 2 2 2 2" xfId="14535" xr:uid="{00000000-0005-0000-0000-00004F370000}"/>
    <cellStyle name="Normal 112 2 2 2 2 2" xfId="14536" xr:uid="{00000000-0005-0000-0000-000050370000}"/>
    <cellStyle name="Normal 112 2 2 2 2 3" xfId="14537" xr:uid="{00000000-0005-0000-0000-000051370000}"/>
    <cellStyle name="Normal 112 2 2 2 3" xfId="14538" xr:uid="{00000000-0005-0000-0000-000052370000}"/>
    <cellStyle name="Normal 112 2 2 2 3 2" xfId="14539" xr:uid="{00000000-0005-0000-0000-000053370000}"/>
    <cellStyle name="Normal 112 2 2 2 3 3" xfId="14540" xr:uid="{00000000-0005-0000-0000-000054370000}"/>
    <cellStyle name="Normal 112 2 2 2 4" xfId="14541" xr:uid="{00000000-0005-0000-0000-000055370000}"/>
    <cellStyle name="Normal 112 2 2 2 5" xfId="14542" xr:uid="{00000000-0005-0000-0000-000056370000}"/>
    <cellStyle name="Normal 112 2 2 2 6" xfId="14543" xr:uid="{00000000-0005-0000-0000-000057370000}"/>
    <cellStyle name="Normal 112 2 2 3" xfId="14544" xr:uid="{00000000-0005-0000-0000-000058370000}"/>
    <cellStyle name="Normal 112 2 2 3 2" xfId="14545" xr:uid="{00000000-0005-0000-0000-000059370000}"/>
    <cellStyle name="Normal 112 2 2 3 3" xfId="14546" xr:uid="{00000000-0005-0000-0000-00005A370000}"/>
    <cellStyle name="Normal 112 2 2 4" xfId="14547" xr:uid="{00000000-0005-0000-0000-00005B370000}"/>
    <cellStyle name="Normal 112 2 2 4 2" xfId="14548" xr:uid="{00000000-0005-0000-0000-00005C370000}"/>
    <cellStyle name="Normal 112 2 2 4 3" xfId="14549" xr:uid="{00000000-0005-0000-0000-00005D370000}"/>
    <cellStyle name="Normal 112 2 2 5" xfId="14550" xr:uid="{00000000-0005-0000-0000-00005E370000}"/>
    <cellStyle name="Normal 112 2 2 6" xfId="14551" xr:uid="{00000000-0005-0000-0000-00005F370000}"/>
    <cellStyle name="Normal 112 2 2 7" xfId="14552" xr:uid="{00000000-0005-0000-0000-000060370000}"/>
    <cellStyle name="Normal 112 2 2 8" xfId="14553" xr:uid="{00000000-0005-0000-0000-000061370000}"/>
    <cellStyle name="Normal 112 2 3" xfId="14554" xr:uid="{00000000-0005-0000-0000-000062370000}"/>
    <cellStyle name="Normal 112 2 3 2" xfId="14555" xr:uid="{00000000-0005-0000-0000-000063370000}"/>
    <cellStyle name="Normal 112 2 3 2 2" xfId="14556" xr:uid="{00000000-0005-0000-0000-000064370000}"/>
    <cellStyle name="Normal 112 2 3 2 3" xfId="14557" xr:uid="{00000000-0005-0000-0000-000065370000}"/>
    <cellStyle name="Normal 112 2 3 3" xfId="14558" xr:uid="{00000000-0005-0000-0000-000066370000}"/>
    <cellStyle name="Normal 112 2 3 3 2" xfId="14559" xr:uid="{00000000-0005-0000-0000-000067370000}"/>
    <cellStyle name="Normal 112 2 3 3 3" xfId="14560" xr:uid="{00000000-0005-0000-0000-000068370000}"/>
    <cellStyle name="Normal 112 2 3 4" xfId="14561" xr:uid="{00000000-0005-0000-0000-000069370000}"/>
    <cellStyle name="Normal 112 2 3 5" xfId="14562" xr:uid="{00000000-0005-0000-0000-00006A370000}"/>
    <cellStyle name="Normal 112 2 3 6" xfId="14563" xr:uid="{00000000-0005-0000-0000-00006B370000}"/>
    <cellStyle name="Normal 112 2 4" xfId="14564" xr:uid="{00000000-0005-0000-0000-00006C370000}"/>
    <cellStyle name="Normal 112 2 4 2" xfId="14565" xr:uid="{00000000-0005-0000-0000-00006D370000}"/>
    <cellStyle name="Normal 112 2 4 3" xfId="14566" xr:uid="{00000000-0005-0000-0000-00006E370000}"/>
    <cellStyle name="Normal 112 2 5" xfId="14567" xr:uid="{00000000-0005-0000-0000-00006F370000}"/>
    <cellStyle name="Normal 112 2 5 2" xfId="14568" xr:uid="{00000000-0005-0000-0000-000070370000}"/>
    <cellStyle name="Normal 112 2 5 3" xfId="14569" xr:uid="{00000000-0005-0000-0000-000071370000}"/>
    <cellStyle name="Normal 112 2 6" xfId="14570" xr:uid="{00000000-0005-0000-0000-000072370000}"/>
    <cellStyle name="Normal 112 2 7" xfId="14571" xr:uid="{00000000-0005-0000-0000-000073370000}"/>
    <cellStyle name="Normal 112 2 8" xfId="14572" xr:uid="{00000000-0005-0000-0000-000074370000}"/>
    <cellStyle name="Normal 112 2 9" xfId="14573" xr:uid="{00000000-0005-0000-0000-000075370000}"/>
    <cellStyle name="Normal 112 3" xfId="14574" xr:uid="{00000000-0005-0000-0000-000076370000}"/>
    <cellStyle name="Normal 112 3 2" xfId="14575" xr:uid="{00000000-0005-0000-0000-000077370000}"/>
    <cellStyle name="Normal 112 3 2 2" xfId="14576" xr:uid="{00000000-0005-0000-0000-000078370000}"/>
    <cellStyle name="Normal 112 3 2 2 2" xfId="14577" xr:uid="{00000000-0005-0000-0000-000079370000}"/>
    <cellStyle name="Normal 112 3 2 2 3" xfId="14578" xr:uid="{00000000-0005-0000-0000-00007A370000}"/>
    <cellStyle name="Normal 112 3 2 3" xfId="14579" xr:uid="{00000000-0005-0000-0000-00007B370000}"/>
    <cellStyle name="Normal 112 3 2 3 2" xfId="14580" xr:uid="{00000000-0005-0000-0000-00007C370000}"/>
    <cellStyle name="Normal 112 3 2 3 3" xfId="14581" xr:uid="{00000000-0005-0000-0000-00007D370000}"/>
    <cellStyle name="Normal 112 3 2 4" xfId="14582" xr:uid="{00000000-0005-0000-0000-00007E370000}"/>
    <cellStyle name="Normal 112 3 2 5" xfId="14583" xr:uid="{00000000-0005-0000-0000-00007F370000}"/>
    <cellStyle name="Normal 112 3 2 6" xfId="14584" xr:uid="{00000000-0005-0000-0000-000080370000}"/>
    <cellStyle name="Normal 112 3 3" xfId="14585" xr:uid="{00000000-0005-0000-0000-000081370000}"/>
    <cellStyle name="Normal 112 3 3 2" xfId="14586" xr:uid="{00000000-0005-0000-0000-000082370000}"/>
    <cellStyle name="Normal 112 3 3 3" xfId="14587" xr:uid="{00000000-0005-0000-0000-000083370000}"/>
    <cellStyle name="Normal 112 3 4" xfId="14588" xr:uid="{00000000-0005-0000-0000-000084370000}"/>
    <cellStyle name="Normal 112 3 4 2" xfId="14589" xr:uid="{00000000-0005-0000-0000-000085370000}"/>
    <cellStyle name="Normal 112 3 4 3" xfId="14590" xr:uid="{00000000-0005-0000-0000-000086370000}"/>
    <cellStyle name="Normal 112 3 5" xfId="14591" xr:uid="{00000000-0005-0000-0000-000087370000}"/>
    <cellStyle name="Normal 112 3 6" xfId="14592" xr:uid="{00000000-0005-0000-0000-000088370000}"/>
    <cellStyle name="Normal 112 3 7" xfId="14593" xr:uid="{00000000-0005-0000-0000-000089370000}"/>
    <cellStyle name="Normal 112 3 8" xfId="14594" xr:uid="{00000000-0005-0000-0000-00008A370000}"/>
    <cellStyle name="Normal 112 4" xfId="14595" xr:uid="{00000000-0005-0000-0000-00008B370000}"/>
    <cellStyle name="Normal 112 4 2" xfId="14596" xr:uid="{00000000-0005-0000-0000-00008C370000}"/>
    <cellStyle name="Normal 112 4 2 2" xfId="14597" xr:uid="{00000000-0005-0000-0000-00008D370000}"/>
    <cellStyle name="Normal 112 4 2 3" xfId="14598" xr:uid="{00000000-0005-0000-0000-00008E370000}"/>
    <cellStyle name="Normal 112 4 3" xfId="14599" xr:uid="{00000000-0005-0000-0000-00008F370000}"/>
    <cellStyle name="Normal 112 4 3 2" xfId="14600" xr:uid="{00000000-0005-0000-0000-000090370000}"/>
    <cellStyle name="Normal 112 4 3 3" xfId="14601" xr:uid="{00000000-0005-0000-0000-000091370000}"/>
    <cellStyle name="Normal 112 4 4" xfId="14602" xr:uid="{00000000-0005-0000-0000-000092370000}"/>
    <cellStyle name="Normal 112 4 5" xfId="14603" xr:uid="{00000000-0005-0000-0000-000093370000}"/>
    <cellStyle name="Normal 112 4 6" xfId="14604" xr:uid="{00000000-0005-0000-0000-000094370000}"/>
    <cellStyle name="Normal 112 5" xfId="14605" xr:uid="{00000000-0005-0000-0000-000095370000}"/>
    <cellStyle name="Normal 112 5 2" xfId="14606" xr:uid="{00000000-0005-0000-0000-000096370000}"/>
    <cellStyle name="Normal 112 5 3" xfId="14607" xr:uid="{00000000-0005-0000-0000-000097370000}"/>
    <cellStyle name="Normal 112 6" xfId="14608" xr:uid="{00000000-0005-0000-0000-000098370000}"/>
    <cellStyle name="Normal 112 6 2" xfId="14609" xr:uid="{00000000-0005-0000-0000-000099370000}"/>
    <cellStyle name="Normal 112 6 3" xfId="14610" xr:uid="{00000000-0005-0000-0000-00009A370000}"/>
    <cellStyle name="Normal 112 7" xfId="14611" xr:uid="{00000000-0005-0000-0000-00009B370000}"/>
    <cellStyle name="Normal 112 8" xfId="14612" xr:uid="{00000000-0005-0000-0000-00009C370000}"/>
    <cellStyle name="Normal 112 9" xfId="14613" xr:uid="{00000000-0005-0000-0000-00009D370000}"/>
    <cellStyle name="Normal 1120" xfId="14614" xr:uid="{00000000-0005-0000-0000-00009E370000}"/>
    <cellStyle name="Normal 1121" xfId="14615" xr:uid="{00000000-0005-0000-0000-00009F370000}"/>
    <cellStyle name="Normal 1122" xfId="14616" xr:uid="{00000000-0005-0000-0000-0000A0370000}"/>
    <cellStyle name="Normal 1123" xfId="14617" xr:uid="{00000000-0005-0000-0000-0000A1370000}"/>
    <cellStyle name="Normal 1124" xfId="14618" xr:uid="{00000000-0005-0000-0000-0000A2370000}"/>
    <cellStyle name="Normal 1125" xfId="14619" xr:uid="{00000000-0005-0000-0000-0000A3370000}"/>
    <cellStyle name="Normal 1126" xfId="14620" xr:uid="{00000000-0005-0000-0000-0000A4370000}"/>
    <cellStyle name="Normal 1127" xfId="14621" xr:uid="{00000000-0005-0000-0000-0000A5370000}"/>
    <cellStyle name="Normal 1128" xfId="14622" xr:uid="{00000000-0005-0000-0000-0000A6370000}"/>
    <cellStyle name="Normal 1129" xfId="14623" xr:uid="{00000000-0005-0000-0000-0000A7370000}"/>
    <cellStyle name="Normal 113" xfId="2076" xr:uid="{00000000-0005-0000-0000-0000A8370000}"/>
    <cellStyle name="Normal 113 10" xfId="14624" xr:uid="{00000000-0005-0000-0000-0000A9370000}"/>
    <cellStyle name="Normal 113 11" xfId="14625" xr:uid="{00000000-0005-0000-0000-0000AA370000}"/>
    <cellStyle name="Normal 113 12" xfId="14626" xr:uid="{00000000-0005-0000-0000-0000AB370000}"/>
    <cellStyle name="Normal 113 2" xfId="14627" xr:uid="{00000000-0005-0000-0000-0000AC370000}"/>
    <cellStyle name="Normal 113 2 2" xfId="14628" xr:uid="{00000000-0005-0000-0000-0000AD370000}"/>
    <cellStyle name="Normal 113 2 2 2" xfId="14629" xr:uid="{00000000-0005-0000-0000-0000AE370000}"/>
    <cellStyle name="Normal 113 2 2 2 2" xfId="14630" xr:uid="{00000000-0005-0000-0000-0000AF370000}"/>
    <cellStyle name="Normal 113 2 2 2 2 2" xfId="14631" xr:uid="{00000000-0005-0000-0000-0000B0370000}"/>
    <cellStyle name="Normal 113 2 2 2 2 3" xfId="14632" xr:uid="{00000000-0005-0000-0000-0000B1370000}"/>
    <cellStyle name="Normal 113 2 2 2 3" xfId="14633" xr:uid="{00000000-0005-0000-0000-0000B2370000}"/>
    <cellStyle name="Normal 113 2 2 2 3 2" xfId="14634" xr:uid="{00000000-0005-0000-0000-0000B3370000}"/>
    <cellStyle name="Normal 113 2 2 2 3 3" xfId="14635" xr:uid="{00000000-0005-0000-0000-0000B4370000}"/>
    <cellStyle name="Normal 113 2 2 2 4" xfId="14636" xr:uid="{00000000-0005-0000-0000-0000B5370000}"/>
    <cellStyle name="Normal 113 2 2 2 5" xfId="14637" xr:uid="{00000000-0005-0000-0000-0000B6370000}"/>
    <cellStyle name="Normal 113 2 2 2 6" xfId="14638" xr:uid="{00000000-0005-0000-0000-0000B7370000}"/>
    <cellStyle name="Normal 113 2 2 3" xfId="14639" xr:uid="{00000000-0005-0000-0000-0000B8370000}"/>
    <cellStyle name="Normal 113 2 2 3 2" xfId="14640" xr:uid="{00000000-0005-0000-0000-0000B9370000}"/>
    <cellStyle name="Normal 113 2 2 3 3" xfId="14641" xr:uid="{00000000-0005-0000-0000-0000BA370000}"/>
    <cellStyle name="Normal 113 2 2 4" xfId="14642" xr:uid="{00000000-0005-0000-0000-0000BB370000}"/>
    <cellStyle name="Normal 113 2 2 4 2" xfId="14643" xr:uid="{00000000-0005-0000-0000-0000BC370000}"/>
    <cellStyle name="Normal 113 2 2 4 3" xfId="14644" xr:uid="{00000000-0005-0000-0000-0000BD370000}"/>
    <cellStyle name="Normal 113 2 2 5" xfId="14645" xr:uid="{00000000-0005-0000-0000-0000BE370000}"/>
    <cellStyle name="Normal 113 2 2 6" xfId="14646" xr:uid="{00000000-0005-0000-0000-0000BF370000}"/>
    <cellStyle name="Normal 113 2 2 7" xfId="14647" xr:uid="{00000000-0005-0000-0000-0000C0370000}"/>
    <cellStyle name="Normal 113 2 2 8" xfId="14648" xr:uid="{00000000-0005-0000-0000-0000C1370000}"/>
    <cellStyle name="Normal 113 2 3" xfId="14649" xr:uid="{00000000-0005-0000-0000-0000C2370000}"/>
    <cellStyle name="Normal 113 2 3 2" xfId="14650" xr:uid="{00000000-0005-0000-0000-0000C3370000}"/>
    <cellStyle name="Normal 113 2 3 2 2" xfId="14651" xr:uid="{00000000-0005-0000-0000-0000C4370000}"/>
    <cellStyle name="Normal 113 2 3 2 3" xfId="14652" xr:uid="{00000000-0005-0000-0000-0000C5370000}"/>
    <cellStyle name="Normal 113 2 3 3" xfId="14653" xr:uid="{00000000-0005-0000-0000-0000C6370000}"/>
    <cellStyle name="Normal 113 2 3 3 2" xfId="14654" xr:uid="{00000000-0005-0000-0000-0000C7370000}"/>
    <cellStyle name="Normal 113 2 3 3 3" xfId="14655" xr:uid="{00000000-0005-0000-0000-0000C8370000}"/>
    <cellStyle name="Normal 113 2 3 4" xfId="14656" xr:uid="{00000000-0005-0000-0000-0000C9370000}"/>
    <cellStyle name="Normal 113 2 3 5" xfId="14657" xr:uid="{00000000-0005-0000-0000-0000CA370000}"/>
    <cellStyle name="Normal 113 2 3 6" xfId="14658" xr:uid="{00000000-0005-0000-0000-0000CB370000}"/>
    <cellStyle name="Normal 113 2 4" xfId="14659" xr:uid="{00000000-0005-0000-0000-0000CC370000}"/>
    <cellStyle name="Normal 113 2 4 2" xfId="14660" xr:uid="{00000000-0005-0000-0000-0000CD370000}"/>
    <cellStyle name="Normal 113 2 4 3" xfId="14661" xr:uid="{00000000-0005-0000-0000-0000CE370000}"/>
    <cellStyle name="Normal 113 2 5" xfId="14662" xr:uid="{00000000-0005-0000-0000-0000CF370000}"/>
    <cellStyle name="Normal 113 2 5 2" xfId="14663" xr:uid="{00000000-0005-0000-0000-0000D0370000}"/>
    <cellStyle name="Normal 113 2 5 3" xfId="14664" xr:uid="{00000000-0005-0000-0000-0000D1370000}"/>
    <cellStyle name="Normal 113 2 6" xfId="14665" xr:uid="{00000000-0005-0000-0000-0000D2370000}"/>
    <cellStyle name="Normal 113 2 7" xfId="14666" xr:uid="{00000000-0005-0000-0000-0000D3370000}"/>
    <cellStyle name="Normal 113 2 8" xfId="14667" xr:uid="{00000000-0005-0000-0000-0000D4370000}"/>
    <cellStyle name="Normal 113 2 9" xfId="14668" xr:uid="{00000000-0005-0000-0000-0000D5370000}"/>
    <cellStyle name="Normal 113 3" xfId="14669" xr:uid="{00000000-0005-0000-0000-0000D6370000}"/>
    <cellStyle name="Normal 113 3 2" xfId="14670" xr:uid="{00000000-0005-0000-0000-0000D7370000}"/>
    <cellStyle name="Normal 113 3 2 2" xfId="14671" xr:uid="{00000000-0005-0000-0000-0000D8370000}"/>
    <cellStyle name="Normal 113 3 2 2 2" xfId="14672" xr:uid="{00000000-0005-0000-0000-0000D9370000}"/>
    <cellStyle name="Normal 113 3 2 2 3" xfId="14673" xr:uid="{00000000-0005-0000-0000-0000DA370000}"/>
    <cellStyle name="Normal 113 3 2 3" xfId="14674" xr:uid="{00000000-0005-0000-0000-0000DB370000}"/>
    <cellStyle name="Normal 113 3 2 3 2" xfId="14675" xr:uid="{00000000-0005-0000-0000-0000DC370000}"/>
    <cellStyle name="Normal 113 3 2 3 3" xfId="14676" xr:uid="{00000000-0005-0000-0000-0000DD370000}"/>
    <cellStyle name="Normal 113 3 2 4" xfId="14677" xr:uid="{00000000-0005-0000-0000-0000DE370000}"/>
    <cellStyle name="Normal 113 3 2 5" xfId="14678" xr:uid="{00000000-0005-0000-0000-0000DF370000}"/>
    <cellStyle name="Normal 113 3 2 6" xfId="14679" xr:uid="{00000000-0005-0000-0000-0000E0370000}"/>
    <cellStyle name="Normal 113 3 3" xfId="14680" xr:uid="{00000000-0005-0000-0000-0000E1370000}"/>
    <cellStyle name="Normal 113 3 3 2" xfId="14681" xr:uid="{00000000-0005-0000-0000-0000E2370000}"/>
    <cellStyle name="Normal 113 3 3 3" xfId="14682" xr:uid="{00000000-0005-0000-0000-0000E3370000}"/>
    <cellStyle name="Normal 113 3 4" xfId="14683" xr:uid="{00000000-0005-0000-0000-0000E4370000}"/>
    <cellStyle name="Normal 113 3 4 2" xfId="14684" xr:uid="{00000000-0005-0000-0000-0000E5370000}"/>
    <cellStyle name="Normal 113 3 4 3" xfId="14685" xr:uid="{00000000-0005-0000-0000-0000E6370000}"/>
    <cellStyle name="Normal 113 3 5" xfId="14686" xr:uid="{00000000-0005-0000-0000-0000E7370000}"/>
    <cellStyle name="Normal 113 3 6" xfId="14687" xr:uid="{00000000-0005-0000-0000-0000E8370000}"/>
    <cellStyle name="Normal 113 3 7" xfId="14688" xr:uid="{00000000-0005-0000-0000-0000E9370000}"/>
    <cellStyle name="Normal 113 3 8" xfId="14689" xr:uid="{00000000-0005-0000-0000-0000EA370000}"/>
    <cellStyle name="Normal 113 4" xfId="14690" xr:uid="{00000000-0005-0000-0000-0000EB370000}"/>
    <cellStyle name="Normal 113 4 2" xfId="14691" xr:uid="{00000000-0005-0000-0000-0000EC370000}"/>
    <cellStyle name="Normal 113 4 2 2" xfId="14692" xr:uid="{00000000-0005-0000-0000-0000ED370000}"/>
    <cellStyle name="Normal 113 4 2 3" xfId="14693" xr:uid="{00000000-0005-0000-0000-0000EE370000}"/>
    <cellStyle name="Normal 113 4 3" xfId="14694" xr:uid="{00000000-0005-0000-0000-0000EF370000}"/>
    <cellStyle name="Normal 113 4 3 2" xfId="14695" xr:uid="{00000000-0005-0000-0000-0000F0370000}"/>
    <cellStyle name="Normal 113 4 3 3" xfId="14696" xr:uid="{00000000-0005-0000-0000-0000F1370000}"/>
    <cellStyle name="Normal 113 4 4" xfId="14697" xr:uid="{00000000-0005-0000-0000-0000F2370000}"/>
    <cellStyle name="Normal 113 4 5" xfId="14698" xr:uid="{00000000-0005-0000-0000-0000F3370000}"/>
    <cellStyle name="Normal 113 4 6" xfId="14699" xr:uid="{00000000-0005-0000-0000-0000F4370000}"/>
    <cellStyle name="Normal 113 5" xfId="14700" xr:uid="{00000000-0005-0000-0000-0000F5370000}"/>
    <cellStyle name="Normal 113 5 2" xfId="14701" xr:uid="{00000000-0005-0000-0000-0000F6370000}"/>
    <cellStyle name="Normal 113 5 3" xfId="14702" xr:uid="{00000000-0005-0000-0000-0000F7370000}"/>
    <cellStyle name="Normal 113 6" xfId="14703" xr:uid="{00000000-0005-0000-0000-0000F8370000}"/>
    <cellStyle name="Normal 113 6 2" xfId="14704" xr:uid="{00000000-0005-0000-0000-0000F9370000}"/>
    <cellStyle name="Normal 113 6 3" xfId="14705" xr:uid="{00000000-0005-0000-0000-0000FA370000}"/>
    <cellStyle name="Normal 113 7" xfId="14706" xr:uid="{00000000-0005-0000-0000-0000FB370000}"/>
    <cellStyle name="Normal 113 8" xfId="14707" xr:uid="{00000000-0005-0000-0000-0000FC370000}"/>
    <cellStyle name="Normal 113 9" xfId="14708" xr:uid="{00000000-0005-0000-0000-0000FD370000}"/>
    <cellStyle name="Normal 1130" xfId="14709" xr:uid="{00000000-0005-0000-0000-0000FE370000}"/>
    <cellStyle name="Normal 1131" xfId="14710" xr:uid="{00000000-0005-0000-0000-0000FF370000}"/>
    <cellStyle name="Normal 1132" xfId="14711" xr:uid="{00000000-0005-0000-0000-000000380000}"/>
    <cellStyle name="Normal 1133" xfId="14712" xr:uid="{00000000-0005-0000-0000-000001380000}"/>
    <cellStyle name="Normal 1134" xfId="14713" xr:uid="{00000000-0005-0000-0000-000002380000}"/>
    <cellStyle name="Normal 1135" xfId="14714" xr:uid="{00000000-0005-0000-0000-000003380000}"/>
    <cellStyle name="Normal 1136" xfId="14715" xr:uid="{00000000-0005-0000-0000-000004380000}"/>
    <cellStyle name="Normal 1137" xfId="14716" xr:uid="{00000000-0005-0000-0000-000005380000}"/>
    <cellStyle name="Normal 1138" xfId="14717" xr:uid="{00000000-0005-0000-0000-000006380000}"/>
    <cellStyle name="Normal 1139" xfId="14718" xr:uid="{00000000-0005-0000-0000-000007380000}"/>
    <cellStyle name="Normal 114" xfId="2077" xr:uid="{00000000-0005-0000-0000-000008380000}"/>
    <cellStyle name="Normal 114 10" xfId="14719" xr:uid="{00000000-0005-0000-0000-000009380000}"/>
    <cellStyle name="Normal 114 11" xfId="14720" xr:uid="{00000000-0005-0000-0000-00000A380000}"/>
    <cellStyle name="Normal 114 12" xfId="14721" xr:uid="{00000000-0005-0000-0000-00000B380000}"/>
    <cellStyle name="Normal 114 2" xfId="14722" xr:uid="{00000000-0005-0000-0000-00000C380000}"/>
    <cellStyle name="Normal 114 2 2" xfId="14723" xr:uid="{00000000-0005-0000-0000-00000D380000}"/>
    <cellStyle name="Normal 114 2 2 2" xfId="14724" xr:uid="{00000000-0005-0000-0000-00000E380000}"/>
    <cellStyle name="Normal 114 2 2 2 2" xfId="14725" xr:uid="{00000000-0005-0000-0000-00000F380000}"/>
    <cellStyle name="Normal 114 2 2 2 2 2" xfId="14726" xr:uid="{00000000-0005-0000-0000-000010380000}"/>
    <cellStyle name="Normal 114 2 2 2 2 3" xfId="14727" xr:uid="{00000000-0005-0000-0000-000011380000}"/>
    <cellStyle name="Normal 114 2 2 2 3" xfId="14728" xr:uid="{00000000-0005-0000-0000-000012380000}"/>
    <cellStyle name="Normal 114 2 2 2 3 2" xfId="14729" xr:uid="{00000000-0005-0000-0000-000013380000}"/>
    <cellStyle name="Normal 114 2 2 2 3 3" xfId="14730" xr:uid="{00000000-0005-0000-0000-000014380000}"/>
    <cellStyle name="Normal 114 2 2 2 4" xfId="14731" xr:uid="{00000000-0005-0000-0000-000015380000}"/>
    <cellStyle name="Normal 114 2 2 2 5" xfId="14732" xr:uid="{00000000-0005-0000-0000-000016380000}"/>
    <cellStyle name="Normal 114 2 2 2 6" xfId="14733" xr:uid="{00000000-0005-0000-0000-000017380000}"/>
    <cellStyle name="Normal 114 2 2 3" xfId="14734" xr:uid="{00000000-0005-0000-0000-000018380000}"/>
    <cellStyle name="Normal 114 2 2 3 2" xfId="14735" xr:uid="{00000000-0005-0000-0000-000019380000}"/>
    <cellStyle name="Normal 114 2 2 3 3" xfId="14736" xr:uid="{00000000-0005-0000-0000-00001A380000}"/>
    <cellStyle name="Normal 114 2 2 4" xfId="14737" xr:uid="{00000000-0005-0000-0000-00001B380000}"/>
    <cellStyle name="Normal 114 2 2 4 2" xfId="14738" xr:uid="{00000000-0005-0000-0000-00001C380000}"/>
    <cellStyle name="Normal 114 2 2 4 3" xfId="14739" xr:uid="{00000000-0005-0000-0000-00001D380000}"/>
    <cellStyle name="Normal 114 2 2 5" xfId="14740" xr:uid="{00000000-0005-0000-0000-00001E380000}"/>
    <cellStyle name="Normal 114 2 2 6" xfId="14741" xr:uid="{00000000-0005-0000-0000-00001F380000}"/>
    <cellStyle name="Normal 114 2 2 7" xfId="14742" xr:uid="{00000000-0005-0000-0000-000020380000}"/>
    <cellStyle name="Normal 114 2 2 8" xfId="14743" xr:uid="{00000000-0005-0000-0000-000021380000}"/>
    <cellStyle name="Normal 114 2 3" xfId="14744" xr:uid="{00000000-0005-0000-0000-000022380000}"/>
    <cellStyle name="Normal 114 2 3 2" xfId="14745" xr:uid="{00000000-0005-0000-0000-000023380000}"/>
    <cellStyle name="Normal 114 2 3 2 2" xfId="14746" xr:uid="{00000000-0005-0000-0000-000024380000}"/>
    <cellStyle name="Normal 114 2 3 2 3" xfId="14747" xr:uid="{00000000-0005-0000-0000-000025380000}"/>
    <cellStyle name="Normal 114 2 3 3" xfId="14748" xr:uid="{00000000-0005-0000-0000-000026380000}"/>
    <cellStyle name="Normal 114 2 3 3 2" xfId="14749" xr:uid="{00000000-0005-0000-0000-000027380000}"/>
    <cellStyle name="Normal 114 2 3 3 3" xfId="14750" xr:uid="{00000000-0005-0000-0000-000028380000}"/>
    <cellStyle name="Normal 114 2 3 4" xfId="14751" xr:uid="{00000000-0005-0000-0000-000029380000}"/>
    <cellStyle name="Normal 114 2 3 5" xfId="14752" xr:uid="{00000000-0005-0000-0000-00002A380000}"/>
    <cellStyle name="Normal 114 2 3 6" xfId="14753" xr:uid="{00000000-0005-0000-0000-00002B380000}"/>
    <cellStyle name="Normal 114 2 4" xfId="14754" xr:uid="{00000000-0005-0000-0000-00002C380000}"/>
    <cellStyle name="Normal 114 2 4 2" xfId="14755" xr:uid="{00000000-0005-0000-0000-00002D380000}"/>
    <cellStyle name="Normal 114 2 4 3" xfId="14756" xr:uid="{00000000-0005-0000-0000-00002E380000}"/>
    <cellStyle name="Normal 114 2 5" xfId="14757" xr:uid="{00000000-0005-0000-0000-00002F380000}"/>
    <cellStyle name="Normal 114 2 5 2" xfId="14758" xr:uid="{00000000-0005-0000-0000-000030380000}"/>
    <cellStyle name="Normal 114 2 5 3" xfId="14759" xr:uid="{00000000-0005-0000-0000-000031380000}"/>
    <cellStyle name="Normal 114 2 6" xfId="14760" xr:uid="{00000000-0005-0000-0000-000032380000}"/>
    <cellStyle name="Normal 114 2 7" xfId="14761" xr:uid="{00000000-0005-0000-0000-000033380000}"/>
    <cellStyle name="Normal 114 2 8" xfId="14762" xr:uid="{00000000-0005-0000-0000-000034380000}"/>
    <cellStyle name="Normal 114 2 9" xfId="14763" xr:uid="{00000000-0005-0000-0000-000035380000}"/>
    <cellStyle name="Normal 114 3" xfId="14764" xr:uid="{00000000-0005-0000-0000-000036380000}"/>
    <cellStyle name="Normal 114 3 2" xfId="14765" xr:uid="{00000000-0005-0000-0000-000037380000}"/>
    <cellStyle name="Normal 114 3 2 2" xfId="14766" xr:uid="{00000000-0005-0000-0000-000038380000}"/>
    <cellStyle name="Normal 114 3 2 2 2" xfId="14767" xr:uid="{00000000-0005-0000-0000-000039380000}"/>
    <cellStyle name="Normal 114 3 2 2 3" xfId="14768" xr:uid="{00000000-0005-0000-0000-00003A380000}"/>
    <cellStyle name="Normal 114 3 2 3" xfId="14769" xr:uid="{00000000-0005-0000-0000-00003B380000}"/>
    <cellStyle name="Normal 114 3 2 3 2" xfId="14770" xr:uid="{00000000-0005-0000-0000-00003C380000}"/>
    <cellStyle name="Normal 114 3 2 3 3" xfId="14771" xr:uid="{00000000-0005-0000-0000-00003D380000}"/>
    <cellStyle name="Normal 114 3 2 4" xfId="14772" xr:uid="{00000000-0005-0000-0000-00003E380000}"/>
    <cellStyle name="Normal 114 3 2 5" xfId="14773" xr:uid="{00000000-0005-0000-0000-00003F380000}"/>
    <cellStyle name="Normal 114 3 2 6" xfId="14774" xr:uid="{00000000-0005-0000-0000-000040380000}"/>
    <cellStyle name="Normal 114 3 3" xfId="14775" xr:uid="{00000000-0005-0000-0000-000041380000}"/>
    <cellStyle name="Normal 114 3 3 2" xfId="14776" xr:uid="{00000000-0005-0000-0000-000042380000}"/>
    <cellStyle name="Normal 114 3 3 3" xfId="14777" xr:uid="{00000000-0005-0000-0000-000043380000}"/>
    <cellStyle name="Normal 114 3 4" xfId="14778" xr:uid="{00000000-0005-0000-0000-000044380000}"/>
    <cellStyle name="Normal 114 3 4 2" xfId="14779" xr:uid="{00000000-0005-0000-0000-000045380000}"/>
    <cellStyle name="Normal 114 3 4 3" xfId="14780" xr:uid="{00000000-0005-0000-0000-000046380000}"/>
    <cellStyle name="Normal 114 3 5" xfId="14781" xr:uid="{00000000-0005-0000-0000-000047380000}"/>
    <cellStyle name="Normal 114 3 6" xfId="14782" xr:uid="{00000000-0005-0000-0000-000048380000}"/>
    <cellStyle name="Normal 114 3 7" xfId="14783" xr:uid="{00000000-0005-0000-0000-000049380000}"/>
    <cellStyle name="Normal 114 3 8" xfId="14784" xr:uid="{00000000-0005-0000-0000-00004A380000}"/>
    <cellStyle name="Normal 114 4" xfId="14785" xr:uid="{00000000-0005-0000-0000-00004B380000}"/>
    <cellStyle name="Normal 114 4 2" xfId="14786" xr:uid="{00000000-0005-0000-0000-00004C380000}"/>
    <cellStyle name="Normal 114 4 2 2" xfId="14787" xr:uid="{00000000-0005-0000-0000-00004D380000}"/>
    <cellStyle name="Normal 114 4 2 3" xfId="14788" xr:uid="{00000000-0005-0000-0000-00004E380000}"/>
    <cellStyle name="Normal 114 4 3" xfId="14789" xr:uid="{00000000-0005-0000-0000-00004F380000}"/>
    <cellStyle name="Normal 114 4 3 2" xfId="14790" xr:uid="{00000000-0005-0000-0000-000050380000}"/>
    <cellStyle name="Normal 114 4 3 3" xfId="14791" xr:uid="{00000000-0005-0000-0000-000051380000}"/>
    <cellStyle name="Normal 114 4 4" xfId="14792" xr:uid="{00000000-0005-0000-0000-000052380000}"/>
    <cellStyle name="Normal 114 4 5" xfId="14793" xr:uid="{00000000-0005-0000-0000-000053380000}"/>
    <cellStyle name="Normal 114 4 6" xfId="14794" xr:uid="{00000000-0005-0000-0000-000054380000}"/>
    <cellStyle name="Normal 114 5" xfId="14795" xr:uid="{00000000-0005-0000-0000-000055380000}"/>
    <cellStyle name="Normal 114 5 2" xfId="14796" xr:uid="{00000000-0005-0000-0000-000056380000}"/>
    <cellStyle name="Normal 114 5 3" xfId="14797" xr:uid="{00000000-0005-0000-0000-000057380000}"/>
    <cellStyle name="Normal 114 6" xfId="14798" xr:uid="{00000000-0005-0000-0000-000058380000}"/>
    <cellStyle name="Normal 114 6 2" xfId="14799" xr:uid="{00000000-0005-0000-0000-000059380000}"/>
    <cellStyle name="Normal 114 6 3" xfId="14800" xr:uid="{00000000-0005-0000-0000-00005A380000}"/>
    <cellStyle name="Normal 114 7" xfId="14801" xr:uid="{00000000-0005-0000-0000-00005B380000}"/>
    <cellStyle name="Normal 114 8" xfId="14802" xr:uid="{00000000-0005-0000-0000-00005C380000}"/>
    <cellStyle name="Normal 114 9" xfId="14803" xr:uid="{00000000-0005-0000-0000-00005D380000}"/>
    <cellStyle name="Normal 1140" xfId="14804" xr:uid="{00000000-0005-0000-0000-00005E380000}"/>
    <cellStyle name="Normal 1141" xfId="14805" xr:uid="{00000000-0005-0000-0000-00005F380000}"/>
    <cellStyle name="Normal 1142" xfId="14806" xr:uid="{00000000-0005-0000-0000-000060380000}"/>
    <cellStyle name="Normal 1143" xfId="14807" xr:uid="{00000000-0005-0000-0000-000061380000}"/>
    <cellStyle name="Normal 1144" xfId="14808" xr:uid="{00000000-0005-0000-0000-000062380000}"/>
    <cellStyle name="Normal 1145" xfId="54469" xr:uid="{60AC09D5-F00E-4402-B625-77D741CFD9FB}"/>
    <cellStyle name="Normal 115" xfId="2078" xr:uid="{00000000-0005-0000-0000-000063380000}"/>
    <cellStyle name="Normal 115 10" xfId="14809" xr:uid="{00000000-0005-0000-0000-000064380000}"/>
    <cellStyle name="Normal 115 11" xfId="14810" xr:uid="{00000000-0005-0000-0000-000065380000}"/>
    <cellStyle name="Normal 115 12" xfId="14811" xr:uid="{00000000-0005-0000-0000-000066380000}"/>
    <cellStyle name="Normal 115 2" xfId="14812" xr:uid="{00000000-0005-0000-0000-000067380000}"/>
    <cellStyle name="Normal 115 2 10" xfId="14813" xr:uid="{00000000-0005-0000-0000-000068380000}"/>
    <cellStyle name="Normal 115 2 2" xfId="14814" xr:uid="{00000000-0005-0000-0000-000069380000}"/>
    <cellStyle name="Normal 115 2 2 2" xfId="14815" xr:uid="{00000000-0005-0000-0000-00006A380000}"/>
    <cellStyle name="Normal 115 2 2 2 2" xfId="14816" xr:uid="{00000000-0005-0000-0000-00006B380000}"/>
    <cellStyle name="Normal 115 2 2 2 2 2" xfId="14817" xr:uid="{00000000-0005-0000-0000-00006C380000}"/>
    <cellStyle name="Normal 115 2 2 2 2 3" xfId="14818" xr:uid="{00000000-0005-0000-0000-00006D380000}"/>
    <cellStyle name="Normal 115 2 2 2 3" xfId="14819" xr:uid="{00000000-0005-0000-0000-00006E380000}"/>
    <cellStyle name="Normal 115 2 2 2 3 2" xfId="14820" xr:uid="{00000000-0005-0000-0000-00006F380000}"/>
    <cellStyle name="Normal 115 2 2 2 3 3" xfId="14821" xr:uid="{00000000-0005-0000-0000-000070380000}"/>
    <cellStyle name="Normal 115 2 2 2 4" xfId="14822" xr:uid="{00000000-0005-0000-0000-000071380000}"/>
    <cellStyle name="Normal 115 2 2 2 5" xfId="14823" xr:uid="{00000000-0005-0000-0000-000072380000}"/>
    <cellStyle name="Normal 115 2 2 2 6" xfId="14824" xr:uid="{00000000-0005-0000-0000-000073380000}"/>
    <cellStyle name="Normal 115 2 2 2 7" xfId="14825" xr:uid="{00000000-0005-0000-0000-000074380000}"/>
    <cellStyle name="Normal 115 2 2 3" xfId="14826" xr:uid="{00000000-0005-0000-0000-000075380000}"/>
    <cellStyle name="Normal 115 2 2 3 2" xfId="14827" xr:uid="{00000000-0005-0000-0000-000076380000}"/>
    <cellStyle name="Normal 115 2 2 3 3" xfId="14828" xr:uid="{00000000-0005-0000-0000-000077380000}"/>
    <cellStyle name="Normal 115 2 2 3 4" xfId="14829" xr:uid="{00000000-0005-0000-0000-000078380000}"/>
    <cellStyle name="Normal 115 2 2 4" xfId="14830" xr:uid="{00000000-0005-0000-0000-000079380000}"/>
    <cellStyle name="Normal 115 2 2 4 2" xfId="14831" xr:uid="{00000000-0005-0000-0000-00007A380000}"/>
    <cellStyle name="Normal 115 2 2 4 3" xfId="14832" xr:uid="{00000000-0005-0000-0000-00007B380000}"/>
    <cellStyle name="Normal 115 2 2 5" xfId="14833" xr:uid="{00000000-0005-0000-0000-00007C380000}"/>
    <cellStyle name="Normal 115 2 2 6" xfId="14834" xr:uid="{00000000-0005-0000-0000-00007D380000}"/>
    <cellStyle name="Normal 115 2 2 7" xfId="14835" xr:uid="{00000000-0005-0000-0000-00007E380000}"/>
    <cellStyle name="Normal 115 2 2 8" xfId="14836" xr:uid="{00000000-0005-0000-0000-00007F380000}"/>
    <cellStyle name="Normal 115 2 2 9" xfId="14837" xr:uid="{00000000-0005-0000-0000-000080380000}"/>
    <cellStyle name="Normal 115 2 3" xfId="14838" xr:uid="{00000000-0005-0000-0000-000081380000}"/>
    <cellStyle name="Normal 115 2 3 2" xfId="14839" xr:uid="{00000000-0005-0000-0000-000082380000}"/>
    <cellStyle name="Normal 115 2 3 2 2" xfId="14840" xr:uid="{00000000-0005-0000-0000-000083380000}"/>
    <cellStyle name="Normal 115 2 3 2 3" xfId="14841" xr:uid="{00000000-0005-0000-0000-000084380000}"/>
    <cellStyle name="Normal 115 2 3 3" xfId="14842" xr:uid="{00000000-0005-0000-0000-000085380000}"/>
    <cellStyle name="Normal 115 2 3 3 2" xfId="14843" xr:uid="{00000000-0005-0000-0000-000086380000}"/>
    <cellStyle name="Normal 115 2 3 3 3" xfId="14844" xr:uid="{00000000-0005-0000-0000-000087380000}"/>
    <cellStyle name="Normal 115 2 3 4" xfId="14845" xr:uid="{00000000-0005-0000-0000-000088380000}"/>
    <cellStyle name="Normal 115 2 3 5" xfId="14846" xr:uid="{00000000-0005-0000-0000-000089380000}"/>
    <cellStyle name="Normal 115 2 3 6" xfId="14847" xr:uid="{00000000-0005-0000-0000-00008A380000}"/>
    <cellStyle name="Normal 115 2 3 7" xfId="14848" xr:uid="{00000000-0005-0000-0000-00008B380000}"/>
    <cellStyle name="Normal 115 2 4" xfId="14849" xr:uid="{00000000-0005-0000-0000-00008C380000}"/>
    <cellStyle name="Normal 115 2 4 2" xfId="14850" xr:uid="{00000000-0005-0000-0000-00008D380000}"/>
    <cellStyle name="Normal 115 2 4 3" xfId="14851" xr:uid="{00000000-0005-0000-0000-00008E380000}"/>
    <cellStyle name="Normal 115 2 4 4" xfId="14852" xr:uid="{00000000-0005-0000-0000-00008F380000}"/>
    <cellStyle name="Normal 115 2 5" xfId="14853" xr:uid="{00000000-0005-0000-0000-000090380000}"/>
    <cellStyle name="Normal 115 2 5 2" xfId="14854" xr:uid="{00000000-0005-0000-0000-000091380000}"/>
    <cellStyle name="Normal 115 2 5 3" xfId="14855" xr:uid="{00000000-0005-0000-0000-000092380000}"/>
    <cellStyle name="Normal 115 2 6" xfId="14856" xr:uid="{00000000-0005-0000-0000-000093380000}"/>
    <cellStyle name="Normal 115 2 7" xfId="14857" xr:uid="{00000000-0005-0000-0000-000094380000}"/>
    <cellStyle name="Normal 115 2 8" xfId="14858" xr:uid="{00000000-0005-0000-0000-000095380000}"/>
    <cellStyle name="Normal 115 2 9" xfId="14859" xr:uid="{00000000-0005-0000-0000-000096380000}"/>
    <cellStyle name="Normal 115 2_Order Book" xfId="14860" xr:uid="{00000000-0005-0000-0000-000097380000}"/>
    <cellStyle name="Normal 115 3" xfId="14861" xr:uid="{00000000-0005-0000-0000-000098380000}"/>
    <cellStyle name="Normal 115 3 2" xfId="14862" xr:uid="{00000000-0005-0000-0000-000099380000}"/>
    <cellStyle name="Normal 115 3 2 2" xfId="14863" xr:uid="{00000000-0005-0000-0000-00009A380000}"/>
    <cellStyle name="Normal 115 3 2 2 2" xfId="14864" xr:uid="{00000000-0005-0000-0000-00009B380000}"/>
    <cellStyle name="Normal 115 3 2 2 3" xfId="14865" xr:uid="{00000000-0005-0000-0000-00009C380000}"/>
    <cellStyle name="Normal 115 3 2 3" xfId="14866" xr:uid="{00000000-0005-0000-0000-00009D380000}"/>
    <cellStyle name="Normal 115 3 2 3 2" xfId="14867" xr:uid="{00000000-0005-0000-0000-00009E380000}"/>
    <cellStyle name="Normal 115 3 2 3 3" xfId="14868" xr:uid="{00000000-0005-0000-0000-00009F380000}"/>
    <cellStyle name="Normal 115 3 2 4" xfId="14869" xr:uid="{00000000-0005-0000-0000-0000A0380000}"/>
    <cellStyle name="Normal 115 3 2 5" xfId="14870" xr:uid="{00000000-0005-0000-0000-0000A1380000}"/>
    <cellStyle name="Normal 115 3 2 6" xfId="14871" xr:uid="{00000000-0005-0000-0000-0000A2380000}"/>
    <cellStyle name="Normal 115 3 2 7" xfId="14872" xr:uid="{00000000-0005-0000-0000-0000A3380000}"/>
    <cellStyle name="Normal 115 3 3" xfId="14873" xr:uid="{00000000-0005-0000-0000-0000A4380000}"/>
    <cellStyle name="Normal 115 3 3 2" xfId="14874" xr:uid="{00000000-0005-0000-0000-0000A5380000}"/>
    <cellStyle name="Normal 115 3 3 3" xfId="14875" xr:uid="{00000000-0005-0000-0000-0000A6380000}"/>
    <cellStyle name="Normal 115 3 3 4" xfId="14876" xr:uid="{00000000-0005-0000-0000-0000A7380000}"/>
    <cellStyle name="Normal 115 3 4" xfId="14877" xr:uid="{00000000-0005-0000-0000-0000A8380000}"/>
    <cellStyle name="Normal 115 3 4 2" xfId="14878" xr:uid="{00000000-0005-0000-0000-0000A9380000}"/>
    <cellStyle name="Normal 115 3 4 3" xfId="14879" xr:uid="{00000000-0005-0000-0000-0000AA380000}"/>
    <cellStyle name="Normal 115 3 5" xfId="14880" xr:uid="{00000000-0005-0000-0000-0000AB380000}"/>
    <cellStyle name="Normal 115 3 6" xfId="14881" xr:uid="{00000000-0005-0000-0000-0000AC380000}"/>
    <cellStyle name="Normal 115 3 7" xfId="14882" xr:uid="{00000000-0005-0000-0000-0000AD380000}"/>
    <cellStyle name="Normal 115 3 8" xfId="14883" xr:uid="{00000000-0005-0000-0000-0000AE380000}"/>
    <cellStyle name="Normal 115 3 9" xfId="14884" xr:uid="{00000000-0005-0000-0000-0000AF380000}"/>
    <cellStyle name="Normal 115 4" xfId="14885" xr:uid="{00000000-0005-0000-0000-0000B0380000}"/>
    <cellStyle name="Normal 115 4 2" xfId="14886" xr:uid="{00000000-0005-0000-0000-0000B1380000}"/>
    <cellStyle name="Normal 115 4 2 2" xfId="14887" xr:uid="{00000000-0005-0000-0000-0000B2380000}"/>
    <cellStyle name="Normal 115 4 2 3" xfId="14888" xr:uid="{00000000-0005-0000-0000-0000B3380000}"/>
    <cellStyle name="Normal 115 4 3" xfId="14889" xr:uid="{00000000-0005-0000-0000-0000B4380000}"/>
    <cellStyle name="Normal 115 4 3 2" xfId="14890" xr:uid="{00000000-0005-0000-0000-0000B5380000}"/>
    <cellStyle name="Normal 115 4 3 3" xfId="14891" xr:uid="{00000000-0005-0000-0000-0000B6380000}"/>
    <cellStyle name="Normal 115 4 4" xfId="14892" xr:uid="{00000000-0005-0000-0000-0000B7380000}"/>
    <cellStyle name="Normal 115 4 5" xfId="14893" xr:uid="{00000000-0005-0000-0000-0000B8380000}"/>
    <cellStyle name="Normal 115 4 6" xfId="14894" xr:uid="{00000000-0005-0000-0000-0000B9380000}"/>
    <cellStyle name="Normal 115 4 7" xfId="14895" xr:uid="{00000000-0005-0000-0000-0000BA380000}"/>
    <cellStyle name="Normal 115 5" xfId="14896" xr:uid="{00000000-0005-0000-0000-0000BB380000}"/>
    <cellStyle name="Normal 115 5 2" xfId="14897" xr:uid="{00000000-0005-0000-0000-0000BC380000}"/>
    <cellStyle name="Normal 115 5 3" xfId="14898" xr:uid="{00000000-0005-0000-0000-0000BD380000}"/>
    <cellStyle name="Normal 115 5 4" xfId="14899" xr:uid="{00000000-0005-0000-0000-0000BE380000}"/>
    <cellStyle name="Normal 115 6" xfId="14900" xr:uid="{00000000-0005-0000-0000-0000BF380000}"/>
    <cellStyle name="Normal 115 6 2" xfId="14901" xr:uid="{00000000-0005-0000-0000-0000C0380000}"/>
    <cellStyle name="Normal 115 6 3" xfId="14902" xr:uid="{00000000-0005-0000-0000-0000C1380000}"/>
    <cellStyle name="Normal 115 6 4" xfId="14903" xr:uid="{00000000-0005-0000-0000-0000C2380000}"/>
    <cellStyle name="Normal 115 7" xfId="14904" xr:uid="{00000000-0005-0000-0000-0000C3380000}"/>
    <cellStyle name="Normal 115 8" xfId="14905" xr:uid="{00000000-0005-0000-0000-0000C4380000}"/>
    <cellStyle name="Normal 115 9" xfId="14906" xr:uid="{00000000-0005-0000-0000-0000C5380000}"/>
    <cellStyle name="Normal 115_Order Book" xfId="14907" xr:uid="{00000000-0005-0000-0000-0000C6380000}"/>
    <cellStyle name="Normal 116" xfId="2079" xr:uid="{00000000-0005-0000-0000-0000C7380000}"/>
    <cellStyle name="Normal 116 10" xfId="14908" xr:uid="{00000000-0005-0000-0000-0000C8380000}"/>
    <cellStyle name="Normal 116 11" xfId="14909" xr:uid="{00000000-0005-0000-0000-0000C9380000}"/>
    <cellStyle name="Normal 116 12" xfId="14910" xr:uid="{00000000-0005-0000-0000-0000CA380000}"/>
    <cellStyle name="Normal 116 2" xfId="14911" xr:uid="{00000000-0005-0000-0000-0000CB380000}"/>
    <cellStyle name="Normal 116 2 10" xfId="14912" xr:uid="{00000000-0005-0000-0000-0000CC380000}"/>
    <cellStyle name="Normal 116 2 2" xfId="14913" xr:uid="{00000000-0005-0000-0000-0000CD380000}"/>
    <cellStyle name="Normal 116 2 2 2" xfId="14914" xr:uid="{00000000-0005-0000-0000-0000CE380000}"/>
    <cellStyle name="Normal 116 2 2 2 2" xfId="14915" xr:uid="{00000000-0005-0000-0000-0000CF380000}"/>
    <cellStyle name="Normal 116 2 2 2 2 2" xfId="14916" xr:uid="{00000000-0005-0000-0000-0000D0380000}"/>
    <cellStyle name="Normal 116 2 2 2 2 3" xfId="14917" xr:uid="{00000000-0005-0000-0000-0000D1380000}"/>
    <cellStyle name="Normal 116 2 2 2 3" xfId="14918" xr:uid="{00000000-0005-0000-0000-0000D2380000}"/>
    <cellStyle name="Normal 116 2 2 2 3 2" xfId="14919" xr:uid="{00000000-0005-0000-0000-0000D3380000}"/>
    <cellStyle name="Normal 116 2 2 2 3 3" xfId="14920" xr:uid="{00000000-0005-0000-0000-0000D4380000}"/>
    <cellStyle name="Normal 116 2 2 2 4" xfId="14921" xr:uid="{00000000-0005-0000-0000-0000D5380000}"/>
    <cellStyle name="Normal 116 2 2 2 5" xfId="14922" xr:uid="{00000000-0005-0000-0000-0000D6380000}"/>
    <cellStyle name="Normal 116 2 2 2 6" xfId="14923" xr:uid="{00000000-0005-0000-0000-0000D7380000}"/>
    <cellStyle name="Normal 116 2 2 2 7" xfId="14924" xr:uid="{00000000-0005-0000-0000-0000D8380000}"/>
    <cellStyle name="Normal 116 2 2 3" xfId="14925" xr:uid="{00000000-0005-0000-0000-0000D9380000}"/>
    <cellStyle name="Normal 116 2 2 3 2" xfId="14926" xr:uid="{00000000-0005-0000-0000-0000DA380000}"/>
    <cellStyle name="Normal 116 2 2 3 3" xfId="14927" xr:uid="{00000000-0005-0000-0000-0000DB380000}"/>
    <cellStyle name="Normal 116 2 2 3 4" xfId="14928" xr:uid="{00000000-0005-0000-0000-0000DC380000}"/>
    <cellStyle name="Normal 116 2 2 4" xfId="14929" xr:uid="{00000000-0005-0000-0000-0000DD380000}"/>
    <cellStyle name="Normal 116 2 2 4 2" xfId="14930" xr:uid="{00000000-0005-0000-0000-0000DE380000}"/>
    <cellStyle name="Normal 116 2 2 4 3" xfId="14931" xr:uid="{00000000-0005-0000-0000-0000DF380000}"/>
    <cellStyle name="Normal 116 2 2 5" xfId="14932" xr:uid="{00000000-0005-0000-0000-0000E0380000}"/>
    <cellStyle name="Normal 116 2 2 6" xfId="14933" xr:uid="{00000000-0005-0000-0000-0000E1380000}"/>
    <cellStyle name="Normal 116 2 2 7" xfId="14934" xr:uid="{00000000-0005-0000-0000-0000E2380000}"/>
    <cellStyle name="Normal 116 2 2 8" xfId="14935" xr:uid="{00000000-0005-0000-0000-0000E3380000}"/>
    <cellStyle name="Normal 116 2 2 9" xfId="14936" xr:uid="{00000000-0005-0000-0000-0000E4380000}"/>
    <cellStyle name="Normal 116 2 3" xfId="14937" xr:uid="{00000000-0005-0000-0000-0000E5380000}"/>
    <cellStyle name="Normal 116 2 3 2" xfId="14938" xr:uid="{00000000-0005-0000-0000-0000E6380000}"/>
    <cellStyle name="Normal 116 2 3 2 2" xfId="14939" xr:uid="{00000000-0005-0000-0000-0000E7380000}"/>
    <cellStyle name="Normal 116 2 3 2 3" xfId="14940" xr:uid="{00000000-0005-0000-0000-0000E8380000}"/>
    <cellStyle name="Normal 116 2 3 3" xfId="14941" xr:uid="{00000000-0005-0000-0000-0000E9380000}"/>
    <cellStyle name="Normal 116 2 3 3 2" xfId="14942" xr:uid="{00000000-0005-0000-0000-0000EA380000}"/>
    <cellStyle name="Normal 116 2 3 3 3" xfId="14943" xr:uid="{00000000-0005-0000-0000-0000EB380000}"/>
    <cellStyle name="Normal 116 2 3 4" xfId="14944" xr:uid="{00000000-0005-0000-0000-0000EC380000}"/>
    <cellStyle name="Normal 116 2 3 5" xfId="14945" xr:uid="{00000000-0005-0000-0000-0000ED380000}"/>
    <cellStyle name="Normal 116 2 3 6" xfId="14946" xr:uid="{00000000-0005-0000-0000-0000EE380000}"/>
    <cellStyle name="Normal 116 2 3 7" xfId="14947" xr:uid="{00000000-0005-0000-0000-0000EF380000}"/>
    <cellStyle name="Normal 116 2 4" xfId="14948" xr:uid="{00000000-0005-0000-0000-0000F0380000}"/>
    <cellStyle name="Normal 116 2 4 2" xfId="14949" xr:uid="{00000000-0005-0000-0000-0000F1380000}"/>
    <cellStyle name="Normal 116 2 4 3" xfId="14950" xr:uid="{00000000-0005-0000-0000-0000F2380000}"/>
    <cellStyle name="Normal 116 2 4 4" xfId="14951" xr:uid="{00000000-0005-0000-0000-0000F3380000}"/>
    <cellStyle name="Normal 116 2 5" xfId="14952" xr:uid="{00000000-0005-0000-0000-0000F4380000}"/>
    <cellStyle name="Normal 116 2 5 2" xfId="14953" xr:uid="{00000000-0005-0000-0000-0000F5380000}"/>
    <cellStyle name="Normal 116 2 5 3" xfId="14954" xr:uid="{00000000-0005-0000-0000-0000F6380000}"/>
    <cellStyle name="Normal 116 2 6" xfId="14955" xr:uid="{00000000-0005-0000-0000-0000F7380000}"/>
    <cellStyle name="Normal 116 2 7" xfId="14956" xr:uid="{00000000-0005-0000-0000-0000F8380000}"/>
    <cellStyle name="Normal 116 2 8" xfId="14957" xr:uid="{00000000-0005-0000-0000-0000F9380000}"/>
    <cellStyle name="Normal 116 2 9" xfId="14958" xr:uid="{00000000-0005-0000-0000-0000FA380000}"/>
    <cellStyle name="Normal 116 2_Order Book" xfId="14959" xr:uid="{00000000-0005-0000-0000-0000FB380000}"/>
    <cellStyle name="Normal 116 3" xfId="14960" xr:uid="{00000000-0005-0000-0000-0000FC380000}"/>
    <cellStyle name="Normal 116 3 2" xfId="14961" xr:uid="{00000000-0005-0000-0000-0000FD380000}"/>
    <cellStyle name="Normal 116 3 2 2" xfId="14962" xr:uid="{00000000-0005-0000-0000-0000FE380000}"/>
    <cellStyle name="Normal 116 3 2 2 2" xfId="14963" xr:uid="{00000000-0005-0000-0000-0000FF380000}"/>
    <cellStyle name="Normal 116 3 2 2 3" xfId="14964" xr:uid="{00000000-0005-0000-0000-000000390000}"/>
    <cellStyle name="Normal 116 3 2 3" xfId="14965" xr:uid="{00000000-0005-0000-0000-000001390000}"/>
    <cellStyle name="Normal 116 3 2 3 2" xfId="14966" xr:uid="{00000000-0005-0000-0000-000002390000}"/>
    <cellStyle name="Normal 116 3 2 3 3" xfId="14967" xr:uid="{00000000-0005-0000-0000-000003390000}"/>
    <cellStyle name="Normal 116 3 2 4" xfId="14968" xr:uid="{00000000-0005-0000-0000-000004390000}"/>
    <cellStyle name="Normal 116 3 2 5" xfId="14969" xr:uid="{00000000-0005-0000-0000-000005390000}"/>
    <cellStyle name="Normal 116 3 2 6" xfId="14970" xr:uid="{00000000-0005-0000-0000-000006390000}"/>
    <cellStyle name="Normal 116 3 2 7" xfId="14971" xr:uid="{00000000-0005-0000-0000-000007390000}"/>
    <cellStyle name="Normal 116 3 3" xfId="14972" xr:uid="{00000000-0005-0000-0000-000008390000}"/>
    <cellStyle name="Normal 116 3 3 2" xfId="14973" xr:uid="{00000000-0005-0000-0000-000009390000}"/>
    <cellStyle name="Normal 116 3 3 3" xfId="14974" xr:uid="{00000000-0005-0000-0000-00000A390000}"/>
    <cellStyle name="Normal 116 3 3 4" xfId="14975" xr:uid="{00000000-0005-0000-0000-00000B390000}"/>
    <cellStyle name="Normal 116 3 4" xfId="14976" xr:uid="{00000000-0005-0000-0000-00000C390000}"/>
    <cellStyle name="Normal 116 3 4 2" xfId="14977" xr:uid="{00000000-0005-0000-0000-00000D390000}"/>
    <cellStyle name="Normal 116 3 4 3" xfId="14978" xr:uid="{00000000-0005-0000-0000-00000E390000}"/>
    <cellStyle name="Normal 116 3 5" xfId="14979" xr:uid="{00000000-0005-0000-0000-00000F390000}"/>
    <cellStyle name="Normal 116 3 6" xfId="14980" xr:uid="{00000000-0005-0000-0000-000010390000}"/>
    <cellStyle name="Normal 116 3 7" xfId="14981" xr:uid="{00000000-0005-0000-0000-000011390000}"/>
    <cellStyle name="Normal 116 3 8" xfId="14982" xr:uid="{00000000-0005-0000-0000-000012390000}"/>
    <cellStyle name="Normal 116 3 9" xfId="14983" xr:uid="{00000000-0005-0000-0000-000013390000}"/>
    <cellStyle name="Normal 116 4" xfId="14984" xr:uid="{00000000-0005-0000-0000-000014390000}"/>
    <cellStyle name="Normal 116 4 2" xfId="14985" xr:uid="{00000000-0005-0000-0000-000015390000}"/>
    <cellStyle name="Normal 116 4 2 2" xfId="14986" xr:uid="{00000000-0005-0000-0000-000016390000}"/>
    <cellStyle name="Normal 116 4 2 3" xfId="14987" xr:uid="{00000000-0005-0000-0000-000017390000}"/>
    <cellStyle name="Normal 116 4 3" xfId="14988" xr:uid="{00000000-0005-0000-0000-000018390000}"/>
    <cellStyle name="Normal 116 4 3 2" xfId="14989" xr:uid="{00000000-0005-0000-0000-000019390000}"/>
    <cellStyle name="Normal 116 4 3 3" xfId="14990" xr:uid="{00000000-0005-0000-0000-00001A390000}"/>
    <cellStyle name="Normal 116 4 4" xfId="14991" xr:uid="{00000000-0005-0000-0000-00001B390000}"/>
    <cellStyle name="Normal 116 4 5" xfId="14992" xr:uid="{00000000-0005-0000-0000-00001C390000}"/>
    <cellStyle name="Normal 116 4 6" xfId="14993" xr:uid="{00000000-0005-0000-0000-00001D390000}"/>
    <cellStyle name="Normal 116 4 7" xfId="14994" xr:uid="{00000000-0005-0000-0000-00001E390000}"/>
    <cellStyle name="Normal 116 5" xfId="14995" xr:uid="{00000000-0005-0000-0000-00001F390000}"/>
    <cellStyle name="Normal 116 5 2" xfId="14996" xr:uid="{00000000-0005-0000-0000-000020390000}"/>
    <cellStyle name="Normal 116 5 3" xfId="14997" xr:uid="{00000000-0005-0000-0000-000021390000}"/>
    <cellStyle name="Normal 116 5 4" xfId="14998" xr:uid="{00000000-0005-0000-0000-000022390000}"/>
    <cellStyle name="Normal 116 6" xfId="14999" xr:uid="{00000000-0005-0000-0000-000023390000}"/>
    <cellStyle name="Normal 116 6 2" xfId="15000" xr:uid="{00000000-0005-0000-0000-000024390000}"/>
    <cellStyle name="Normal 116 6 3" xfId="15001" xr:uid="{00000000-0005-0000-0000-000025390000}"/>
    <cellStyle name="Normal 116 7" xfId="15002" xr:uid="{00000000-0005-0000-0000-000026390000}"/>
    <cellStyle name="Normal 116 8" xfId="15003" xr:uid="{00000000-0005-0000-0000-000027390000}"/>
    <cellStyle name="Normal 116 9" xfId="15004" xr:uid="{00000000-0005-0000-0000-000028390000}"/>
    <cellStyle name="Normal 116_Order Book" xfId="15005" xr:uid="{00000000-0005-0000-0000-000029390000}"/>
    <cellStyle name="Normal 117" xfId="2080" xr:uid="{00000000-0005-0000-0000-00002A390000}"/>
    <cellStyle name="Normal 117 10" xfId="15006" xr:uid="{00000000-0005-0000-0000-00002B390000}"/>
    <cellStyle name="Normal 117 11" xfId="15007" xr:uid="{00000000-0005-0000-0000-00002C390000}"/>
    <cellStyle name="Normal 117 12" xfId="15008" xr:uid="{00000000-0005-0000-0000-00002D390000}"/>
    <cellStyle name="Normal 117 2" xfId="15009" xr:uid="{00000000-0005-0000-0000-00002E390000}"/>
    <cellStyle name="Normal 117 2 2" xfId="15010" xr:uid="{00000000-0005-0000-0000-00002F390000}"/>
    <cellStyle name="Normal 117 2 2 2" xfId="15011" xr:uid="{00000000-0005-0000-0000-000030390000}"/>
    <cellStyle name="Normal 117 2 2 2 2" xfId="15012" xr:uid="{00000000-0005-0000-0000-000031390000}"/>
    <cellStyle name="Normal 117 2 2 2 2 2" xfId="15013" xr:uid="{00000000-0005-0000-0000-000032390000}"/>
    <cellStyle name="Normal 117 2 2 2 2 3" xfId="15014" xr:uid="{00000000-0005-0000-0000-000033390000}"/>
    <cellStyle name="Normal 117 2 2 2 3" xfId="15015" xr:uid="{00000000-0005-0000-0000-000034390000}"/>
    <cellStyle name="Normal 117 2 2 2 3 2" xfId="15016" xr:uid="{00000000-0005-0000-0000-000035390000}"/>
    <cellStyle name="Normal 117 2 2 2 3 3" xfId="15017" xr:uid="{00000000-0005-0000-0000-000036390000}"/>
    <cellStyle name="Normal 117 2 2 2 4" xfId="15018" xr:uid="{00000000-0005-0000-0000-000037390000}"/>
    <cellStyle name="Normal 117 2 2 2 5" xfId="15019" xr:uid="{00000000-0005-0000-0000-000038390000}"/>
    <cellStyle name="Normal 117 2 2 2 6" xfId="15020" xr:uid="{00000000-0005-0000-0000-000039390000}"/>
    <cellStyle name="Normal 117 2 2 3" xfId="15021" xr:uid="{00000000-0005-0000-0000-00003A390000}"/>
    <cellStyle name="Normal 117 2 2 3 2" xfId="15022" xr:uid="{00000000-0005-0000-0000-00003B390000}"/>
    <cellStyle name="Normal 117 2 2 3 3" xfId="15023" xr:uid="{00000000-0005-0000-0000-00003C390000}"/>
    <cellStyle name="Normal 117 2 2 4" xfId="15024" xr:uid="{00000000-0005-0000-0000-00003D390000}"/>
    <cellStyle name="Normal 117 2 2 4 2" xfId="15025" xr:uid="{00000000-0005-0000-0000-00003E390000}"/>
    <cellStyle name="Normal 117 2 2 4 3" xfId="15026" xr:uid="{00000000-0005-0000-0000-00003F390000}"/>
    <cellStyle name="Normal 117 2 2 5" xfId="15027" xr:uid="{00000000-0005-0000-0000-000040390000}"/>
    <cellStyle name="Normal 117 2 2 6" xfId="15028" xr:uid="{00000000-0005-0000-0000-000041390000}"/>
    <cellStyle name="Normal 117 2 2 7" xfId="15029" xr:uid="{00000000-0005-0000-0000-000042390000}"/>
    <cellStyle name="Normal 117 2 2 8" xfId="15030" xr:uid="{00000000-0005-0000-0000-000043390000}"/>
    <cellStyle name="Normal 117 2 3" xfId="15031" xr:uid="{00000000-0005-0000-0000-000044390000}"/>
    <cellStyle name="Normal 117 2 3 2" xfId="15032" xr:uid="{00000000-0005-0000-0000-000045390000}"/>
    <cellStyle name="Normal 117 2 3 2 2" xfId="15033" xr:uid="{00000000-0005-0000-0000-000046390000}"/>
    <cellStyle name="Normal 117 2 3 2 3" xfId="15034" xr:uid="{00000000-0005-0000-0000-000047390000}"/>
    <cellStyle name="Normal 117 2 3 3" xfId="15035" xr:uid="{00000000-0005-0000-0000-000048390000}"/>
    <cellStyle name="Normal 117 2 3 3 2" xfId="15036" xr:uid="{00000000-0005-0000-0000-000049390000}"/>
    <cellStyle name="Normal 117 2 3 3 3" xfId="15037" xr:uid="{00000000-0005-0000-0000-00004A390000}"/>
    <cellStyle name="Normal 117 2 3 4" xfId="15038" xr:uid="{00000000-0005-0000-0000-00004B390000}"/>
    <cellStyle name="Normal 117 2 3 5" xfId="15039" xr:uid="{00000000-0005-0000-0000-00004C390000}"/>
    <cellStyle name="Normal 117 2 3 6" xfId="15040" xr:uid="{00000000-0005-0000-0000-00004D390000}"/>
    <cellStyle name="Normal 117 2 4" xfId="15041" xr:uid="{00000000-0005-0000-0000-00004E390000}"/>
    <cellStyle name="Normal 117 2 4 2" xfId="15042" xr:uid="{00000000-0005-0000-0000-00004F390000}"/>
    <cellStyle name="Normal 117 2 4 3" xfId="15043" xr:uid="{00000000-0005-0000-0000-000050390000}"/>
    <cellStyle name="Normal 117 2 5" xfId="15044" xr:uid="{00000000-0005-0000-0000-000051390000}"/>
    <cellStyle name="Normal 117 2 5 2" xfId="15045" xr:uid="{00000000-0005-0000-0000-000052390000}"/>
    <cellStyle name="Normal 117 2 5 3" xfId="15046" xr:uid="{00000000-0005-0000-0000-000053390000}"/>
    <cellStyle name="Normal 117 2 6" xfId="15047" xr:uid="{00000000-0005-0000-0000-000054390000}"/>
    <cellStyle name="Normal 117 2 7" xfId="15048" xr:uid="{00000000-0005-0000-0000-000055390000}"/>
    <cellStyle name="Normal 117 2 8" xfId="15049" xr:uid="{00000000-0005-0000-0000-000056390000}"/>
    <cellStyle name="Normal 117 2 9" xfId="15050" xr:uid="{00000000-0005-0000-0000-000057390000}"/>
    <cellStyle name="Normal 117 3" xfId="15051" xr:uid="{00000000-0005-0000-0000-000058390000}"/>
    <cellStyle name="Normal 117 3 2" xfId="15052" xr:uid="{00000000-0005-0000-0000-000059390000}"/>
    <cellStyle name="Normal 117 3 2 2" xfId="15053" xr:uid="{00000000-0005-0000-0000-00005A390000}"/>
    <cellStyle name="Normal 117 3 2 2 2" xfId="15054" xr:uid="{00000000-0005-0000-0000-00005B390000}"/>
    <cellStyle name="Normal 117 3 2 2 3" xfId="15055" xr:uid="{00000000-0005-0000-0000-00005C390000}"/>
    <cellStyle name="Normal 117 3 2 3" xfId="15056" xr:uid="{00000000-0005-0000-0000-00005D390000}"/>
    <cellStyle name="Normal 117 3 2 3 2" xfId="15057" xr:uid="{00000000-0005-0000-0000-00005E390000}"/>
    <cellStyle name="Normal 117 3 2 3 3" xfId="15058" xr:uid="{00000000-0005-0000-0000-00005F390000}"/>
    <cellStyle name="Normal 117 3 2 4" xfId="15059" xr:uid="{00000000-0005-0000-0000-000060390000}"/>
    <cellStyle name="Normal 117 3 2 5" xfId="15060" xr:uid="{00000000-0005-0000-0000-000061390000}"/>
    <cellStyle name="Normal 117 3 2 6" xfId="15061" xr:uid="{00000000-0005-0000-0000-000062390000}"/>
    <cellStyle name="Normal 117 3 3" xfId="15062" xr:uid="{00000000-0005-0000-0000-000063390000}"/>
    <cellStyle name="Normal 117 3 3 2" xfId="15063" xr:uid="{00000000-0005-0000-0000-000064390000}"/>
    <cellStyle name="Normal 117 3 3 3" xfId="15064" xr:uid="{00000000-0005-0000-0000-000065390000}"/>
    <cellStyle name="Normal 117 3 4" xfId="15065" xr:uid="{00000000-0005-0000-0000-000066390000}"/>
    <cellStyle name="Normal 117 3 4 2" xfId="15066" xr:uid="{00000000-0005-0000-0000-000067390000}"/>
    <cellStyle name="Normal 117 3 4 3" xfId="15067" xr:uid="{00000000-0005-0000-0000-000068390000}"/>
    <cellStyle name="Normal 117 3 5" xfId="15068" xr:uid="{00000000-0005-0000-0000-000069390000}"/>
    <cellStyle name="Normal 117 3 6" xfId="15069" xr:uid="{00000000-0005-0000-0000-00006A390000}"/>
    <cellStyle name="Normal 117 3 7" xfId="15070" xr:uid="{00000000-0005-0000-0000-00006B390000}"/>
    <cellStyle name="Normal 117 3 8" xfId="15071" xr:uid="{00000000-0005-0000-0000-00006C390000}"/>
    <cellStyle name="Normal 117 4" xfId="15072" xr:uid="{00000000-0005-0000-0000-00006D390000}"/>
    <cellStyle name="Normal 117 4 2" xfId="15073" xr:uid="{00000000-0005-0000-0000-00006E390000}"/>
    <cellStyle name="Normal 117 4 2 2" xfId="15074" xr:uid="{00000000-0005-0000-0000-00006F390000}"/>
    <cellStyle name="Normal 117 4 2 3" xfId="15075" xr:uid="{00000000-0005-0000-0000-000070390000}"/>
    <cellStyle name="Normal 117 4 3" xfId="15076" xr:uid="{00000000-0005-0000-0000-000071390000}"/>
    <cellStyle name="Normal 117 4 3 2" xfId="15077" xr:uid="{00000000-0005-0000-0000-000072390000}"/>
    <cellStyle name="Normal 117 4 3 3" xfId="15078" xr:uid="{00000000-0005-0000-0000-000073390000}"/>
    <cellStyle name="Normal 117 4 4" xfId="15079" xr:uid="{00000000-0005-0000-0000-000074390000}"/>
    <cellStyle name="Normal 117 4 5" xfId="15080" xr:uid="{00000000-0005-0000-0000-000075390000}"/>
    <cellStyle name="Normal 117 4 6" xfId="15081" xr:uid="{00000000-0005-0000-0000-000076390000}"/>
    <cellStyle name="Normal 117 5" xfId="15082" xr:uid="{00000000-0005-0000-0000-000077390000}"/>
    <cellStyle name="Normal 117 5 2" xfId="15083" xr:uid="{00000000-0005-0000-0000-000078390000}"/>
    <cellStyle name="Normal 117 5 3" xfId="15084" xr:uid="{00000000-0005-0000-0000-000079390000}"/>
    <cellStyle name="Normal 117 6" xfId="15085" xr:uid="{00000000-0005-0000-0000-00007A390000}"/>
    <cellStyle name="Normal 117 6 2" xfId="15086" xr:uid="{00000000-0005-0000-0000-00007B390000}"/>
    <cellStyle name="Normal 117 6 3" xfId="15087" xr:uid="{00000000-0005-0000-0000-00007C390000}"/>
    <cellStyle name="Normal 117 7" xfId="15088" xr:uid="{00000000-0005-0000-0000-00007D390000}"/>
    <cellStyle name="Normal 117 8" xfId="15089" xr:uid="{00000000-0005-0000-0000-00007E390000}"/>
    <cellStyle name="Normal 117 9" xfId="15090" xr:uid="{00000000-0005-0000-0000-00007F390000}"/>
    <cellStyle name="Normal 118" xfId="2081" xr:uid="{00000000-0005-0000-0000-000080390000}"/>
    <cellStyle name="Normal 118 10" xfId="15091" xr:uid="{00000000-0005-0000-0000-000081390000}"/>
    <cellStyle name="Normal 118 11" xfId="15092" xr:uid="{00000000-0005-0000-0000-000082390000}"/>
    <cellStyle name="Normal 118 12" xfId="15093" xr:uid="{00000000-0005-0000-0000-000083390000}"/>
    <cellStyle name="Normal 118 2" xfId="15094" xr:uid="{00000000-0005-0000-0000-000084390000}"/>
    <cellStyle name="Normal 118 2 2" xfId="15095" xr:uid="{00000000-0005-0000-0000-000085390000}"/>
    <cellStyle name="Normal 118 2 2 2" xfId="15096" xr:uid="{00000000-0005-0000-0000-000086390000}"/>
    <cellStyle name="Normal 118 2 2 2 2" xfId="15097" xr:uid="{00000000-0005-0000-0000-000087390000}"/>
    <cellStyle name="Normal 118 2 2 2 2 2" xfId="15098" xr:uid="{00000000-0005-0000-0000-000088390000}"/>
    <cellStyle name="Normal 118 2 2 2 2 3" xfId="15099" xr:uid="{00000000-0005-0000-0000-000089390000}"/>
    <cellStyle name="Normal 118 2 2 2 3" xfId="15100" xr:uid="{00000000-0005-0000-0000-00008A390000}"/>
    <cellStyle name="Normal 118 2 2 2 3 2" xfId="15101" xr:uid="{00000000-0005-0000-0000-00008B390000}"/>
    <cellStyle name="Normal 118 2 2 2 3 3" xfId="15102" xr:uid="{00000000-0005-0000-0000-00008C390000}"/>
    <cellStyle name="Normal 118 2 2 2 4" xfId="15103" xr:uid="{00000000-0005-0000-0000-00008D390000}"/>
    <cellStyle name="Normal 118 2 2 2 5" xfId="15104" xr:uid="{00000000-0005-0000-0000-00008E390000}"/>
    <cellStyle name="Normal 118 2 2 2 6" xfId="15105" xr:uid="{00000000-0005-0000-0000-00008F390000}"/>
    <cellStyle name="Normal 118 2 2 3" xfId="15106" xr:uid="{00000000-0005-0000-0000-000090390000}"/>
    <cellStyle name="Normal 118 2 2 3 2" xfId="15107" xr:uid="{00000000-0005-0000-0000-000091390000}"/>
    <cellStyle name="Normal 118 2 2 3 3" xfId="15108" xr:uid="{00000000-0005-0000-0000-000092390000}"/>
    <cellStyle name="Normal 118 2 2 4" xfId="15109" xr:uid="{00000000-0005-0000-0000-000093390000}"/>
    <cellStyle name="Normal 118 2 2 4 2" xfId="15110" xr:uid="{00000000-0005-0000-0000-000094390000}"/>
    <cellStyle name="Normal 118 2 2 4 3" xfId="15111" xr:uid="{00000000-0005-0000-0000-000095390000}"/>
    <cellStyle name="Normal 118 2 2 5" xfId="15112" xr:uid="{00000000-0005-0000-0000-000096390000}"/>
    <cellStyle name="Normal 118 2 2 6" xfId="15113" xr:uid="{00000000-0005-0000-0000-000097390000}"/>
    <cellStyle name="Normal 118 2 2 7" xfId="15114" xr:uid="{00000000-0005-0000-0000-000098390000}"/>
    <cellStyle name="Normal 118 2 2 8" xfId="15115" xr:uid="{00000000-0005-0000-0000-000099390000}"/>
    <cellStyle name="Normal 118 2 3" xfId="15116" xr:uid="{00000000-0005-0000-0000-00009A390000}"/>
    <cellStyle name="Normal 118 2 3 2" xfId="15117" xr:uid="{00000000-0005-0000-0000-00009B390000}"/>
    <cellStyle name="Normal 118 2 3 2 2" xfId="15118" xr:uid="{00000000-0005-0000-0000-00009C390000}"/>
    <cellStyle name="Normal 118 2 3 2 3" xfId="15119" xr:uid="{00000000-0005-0000-0000-00009D390000}"/>
    <cellStyle name="Normal 118 2 3 3" xfId="15120" xr:uid="{00000000-0005-0000-0000-00009E390000}"/>
    <cellStyle name="Normal 118 2 3 3 2" xfId="15121" xr:uid="{00000000-0005-0000-0000-00009F390000}"/>
    <cellStyle name="Normal 118 2 3 3 3" xfId="15122" xr:uid="{00000000-0005-0000-0000-0000A0390000}"/>
    <cellStyle name="Normal 118 2 3 4" xfId="15123" xr:uid="{00000000-0005-0000-0000-0000A1390000}"/>
    <cellStyle name="Normal 118 2 3 5" xfId="15124" xr:uid="{00000000-0005-0000-0000-0000A2390000}"/>
    <cellStyle name="Normal 118 2 3 6" xfId="15125" xr:uid="{00000000-0005-0000-0000-0000A3390000}"/>
    <cellStyle name="Normal 118 2 4" xfId="15126" xr:uid="{00000000-0005-0000-0000-0000A4390000}"/>
    <cellStyle name="Normal 118 2 4 2" xfId="15127" xr:uid="{00000000-0005-0000-0000-0000A5390000}"/>
    <cellStyle name="Normal 118 2 4 3" xfId="15128" xr:uid="{00000000-0005-0000-0000-0000A6390000}"/>
    <cellStyle name="Normal 118 2 5" xfId="15129" xr:uid="{00000000-0005-0000-0000-0000A7390000}"/>
    <cellStyle name="Normal 118 2 5 2" xfId="15130" xr:uid="{00000000-0005-0000-0000-0000A8390000}"/>
    <cellStyle name="Normal 118 2 5 3" xfId="15131" xr:uid="{00000000-0005-0000-0000-0000A9390000}"/>
    <cellStyle name="Normal 118 2 6" xfId="15132" xr:uid="{00000000-0005-0000-0000-0000AA390000}"/>
    <cellStyle name="Normal 118 2 7" xfId="15133" xr:uid="{00000000-0005-0000-0000-0000AB390000}"/>
    <cellStyle name="Normal 118 2 8" xfId="15134" xr:uid="{00000000-0005-0000-0000-0000AC390000}"/>
    <cellStyle name="Normal 118 2 9" xfId="15135" xr:uid="{00000000-0005-0000-0000-0000AD390000}"/>
    <cellStyle name="Normal 118 3" xfId="15136" xr:uid="{00000000-0005-0000-0000-0000AE390000}"/>
    <cellStyle name="Normal 118 3 2" xfId="15137" xr:uid="{00000000-0005-0000-0000-0000AF390000}"/>
    <cellStyle name="Normal 118 3 2 2" xfId="15138" xr:uid="{00000000-0005-0000-0000-0000B0390000}"/>
    <cellStyle name="Normal 118 3 2 2 2" xfId="15139" xr:uid="{00000000-0005-0000-0000-0000B1390000}"/>
    <cellStyle name="Normal 118 3 2 2 3" xfId="15140" xr:uid="{00000000-0005-0000-0000-0000B2390000}"/>
    <cellStyle name="Normal 118 3 2 3" xfId="15141" xr:uid="{00000000-0005-0000-0000-0000B3390000}"/>
    <cellStyle name="Normal 118 3 2 3 2" xfId="15142" xr:uid="{00000000-0005-0000-0000-0000B4390000}"/>
    <cellStyle name="Normal 118 3 2 3 3" xfId="15143" xr:uid="{00000000-0005-0000-0000-0000B5390000}"/>
    <cellStyle name="Normal 118 3 2 4" xfId="15144" xr:uid="{00000000-0005-0000-0000-0000B6390000}"/>
    <cellStyle name="Normal 118 3 2 5" xfId="15145" xr:uid="{00000000-0005-0000-0000-0000B7390000}"/>
    <cellStyle name="Normal 118 3 2 6" xfId="15146" xr:uid="{00000000-0005-0000-0000-0000B8390000}"/>
    <cellStyle name="Normal 118 3 3" xfId="15147" xr:uid="{00000000-0005-0000-0000-0000B9390000}"/>
    <cellStyle name="Normal 118 3 3 2" xfId="15148" xr:uid="{00000000-0005-0000-0000-0000BA390000}"/>
    <cellStyle name="Normal 118 3 3 3" xfId="15149" xr:uid="{00000000-0005-0000-0000-0000BB390000}"/>
    <cellStyle name="Normal 118 3 4" xfId="15150" xr:uid="{00000000-0005-0000-0000-0000BC390000}"/>
    <cellStyle name="Normal 118 3 4 2" xfId="15151" xr:uid="{00000000-0005-0000-0000-0000BD390000}"/>
    <cellStyle name="Normal 118 3 4 3" xfId="15152" xr:uid="{00000000-0005-0000-0000-0000BE390000}"/>
    <cellStyle name="Normal 118 3 5" xfId="15153" xr:uid="{00000000-0005-0000-0000-0000BF390000}"/>
    <cellStyle name="Normal 118 3 6" xfId="15154" xr:uid="{00000000-0005-0000-0000-0000C0390000}"/>
    <cellStyle name="Normal 118 3 7" xfId="15155" xr:uid="{00000000-0005-0000-0000-0000C1390000}"/>
    <cellStyle name="Normal 118 3 8" xfId="15156" xr:uid="{00000000-0005-0000-0000-0000C2390000}"/>
    <cellStyle name="Normal 118 4" xfId="15157" xr:uid="{00000000-0005-0000-0000-0000C3390000}"/>
    <cellStyle name="Normal 118 4 2" xfId="15158" xr:uid="{00000000-0005-0000-0000-0000C4390000}"/>
    <cellStyle name="Normal 118 4 2 2" xfId="15159" xr:uid="{00000000-0005-0000-0000-0000C5390000}"/>
    <cellStyle name="Normal 118 4 2 3" xfId="15160" xr:uid="{00000000-0005-0000-0000-0000C6390000}"/>
    <cellStyle name="Normal 118 4 3" xfId="15161" xr:uid="{00000000-0005-0000-0000-0000C7390000}"/>
    <cellStyle name="Normal 118 4 3 2" xfId="15162" xr:uid="{00000000-0005-0000-0000-0000C8390000}"/>
    <cellStyle name="Normal 118 4 3 3" xfId="15163" xr:uid="{00000000-0005-0000-0000-0000C9390000}"/>
    <cellStyle name="Normal 118 4 4" xfId="15164" xr:uid="{00000000-0005-0000-0000-0000CA390000}"/>
    <cellStyle name="Normal 118 4 5" xfId="15165" xr:uid="{00000000-0005-0000-0000-0000CB390000}"/>
    <cellStyle name="Normal 118 4 6" xfId="15166" xr:uid="{00000000-0005-0000-0000-0000CC390000}"/>
    <cellStyle name="Normal 118 5" xfId="15167" xr:uid="{00000000-0005-0000-0000-0000CD390000}"/>
    <cellStyle name="Normal 118 5 2" xfId="15168" xr:uid="{00000000-0005-0000-0000-0000CE390000}"/>
    <cellStyle name="Normal 118 5 3" xfId="15169" xr:uid="{00000000-0005-0000-0000-0000CF390000}"/>
    <cellStyle name="Normal 118 6" xfId="15170" xr:uid="{00000000-0005-0000-0000-0000D0390000}"/>
    <cellStyle name="Normal 118 6 2" xfId="15171" xr:uid="{00000000-0005-0000-0000-0000D1390000}"/>
    <cellStyle name="Normal 118 6 3" xfId="15172" xr:uid="{00000000-0005-0000-0000-0000D2390000}"/>
    <cellStyle name="Normal 118 7" xfId="15173" xr:uid="{00000000-0005-0000-0000-0000D3390000}"/>
    <cellStyle name="Normal 118 8" xfId="15174" xr:uid="{00000000-0005-0000-0000-0000D4390000}"/>
    <cellStyle name="Normal 118 9" xfId="15175" xr:uid="{00000000-0005-0000-0000-0000D5390000}"/>
    <cellStyle name="Normal 119" xfId="2082" xr:uid="{00000000-0005-0000-0000-0000D6390000}"/>
    <cellStyle name="Normal 119 10" xfId="15176" xr:uid="{00000000-0005-0000-0000-0000D7390000}"/>
    <cellStyle name="Normal 119 11" xfId="15177" xr:uid="{00000000-0005-0000-0000-0000D8390000}"/>
    <cellStyle name="Normal 119 12" xfId="15178" xr:uid="{00000000-0005-0000-0000-0000D9390000}"/>
    <cellStyle name="Normal 119 2" xfId="15179" xr:uid="{00000000-0005-0000-0000-0000DA390000}"/>
    <cellStyle name="Normal 119 2 2" xfId="15180" xr:uid="{00000000-0005-0000-0000-0000DB390000}"/>
    <cellStyle name="Normal 119 2 2 2" xfId="15181" xr:uid="{00000000-0005-0000-0000-0000DC390000}"/>
    <cellStyle name="Normal 119 2 2 2 2" xfId="15182" xr:uid="{00000000-0005-0000-0000-0000DD390000}"/>
    <cellStyle name="Normal 119 2 2 2 2 2" xfId="15183" xr:uid="{00000000-0005-0000-0000-0000DE390000}"/>
    <cellStyle name="Normal 119 2 2 2 2 3" xfId="15184" xr:uid="{00000000-0005-0000-0000-0000DF390000}"/>
    <cellStyle name="Normal 119 2 2 2 3" xfId="15185" xr:uid="{00000000-0005-0000-0000-0000E0390000}"/>
    <cellStyle name="Normal 119 2 2 2 3 2" xfId="15186" xr:uid="{00000000-0005-0000-0000-0000E1390000}"/>
    <cellStyle name="Normal 119 2 2 2 3 3" xfId="15187" xr:uid="{00000000-0005-0000-0000-0000E2390000}"/>
    <cellStyle name="Normal 119 2 2 2 4" xfId="15188" xr:uid="{00000000-0005-0000-0000-0000E3390000}"/>
    <cellStyle name="Normal 119 2 2 2 5" xfId="15189" xr:uid="{00000000-0005-0000-0000-0000E4390000}"/>
    <cellStyle name="Normal 119 2 2 2 6" xfId="15190" xr:uid="{00000000-0005-0000-0000-0000E5390000}"/>
    <cellStyle name="Normal 119 2 2 3" xfId="15191" xr:uid="{00000000-0005-0000-0000-0000E6390000}"/>
    <cellStyle name="Normal 119 2 2 3 2" xfId="15192" xr:uid="{00000000-0005-0000-0000-0000E7390000}"/>
    <cellStyle name="Normal 119 2 2 3 3" xfId="15193" xr:uid="{00000000-0005-0000-0000-0000E8390000}"/>
    <cellStyle name="Normal 119 2 2 4" xfId="15194" xr:uid="{00000000-0005-0000-0000-0000E9390000}"/>
    <cellStyle name="Normal 119 2 2 4 2" xfId="15195" xr:uid="{00000000-0005-0000-0000-0000EA390000}"/>
    <cellStyle name="Normal 119 2 2 4 3" xfId="15196" xr:uid="{00000000-0005-0000-0000-0000EB390000}"/>
    <cellStyle name="Normal 119 2 2 5" xfId="15197" xr:uid="{00000000-0005-0000-0000-0000EC390000}"/>
    <cellStyle name="Normal 119 2 2 6" xfId="15198" xr:uid="{00000000-0005-0000-0000-0000ED390000}"/>
    <cellStyle name="Normal 119 2 2 7" xfId="15199" xr:uid="{00000000-0005-0000-0000-0000EE390000}"/>
    <cellStyle name="Normal 119 2 2 8" xfId="15200" xr:uid="{00000000-0005-0000-0000-0000EF390000}"/>
    <cellStyle name="Normal 119 2 3" xfId="15201" xr:uid="{00000000-0005-0000-0000-0000F0390000}"/>
    <cellStyle name="Normal 119 2 3 2" xfId="15202" xr:uid="{00000000-0005-0000-0000-0000F1390000}"/>
    <cellStyle name="Normal 119 2 3 2 2" xfId="15203" xr:uid="{00000000-0005-0000-0000-0000F2390000}"/>
    <cellStyle name="Normal 119 2 3 2 3" xfId="15204" xr:uid="{00000000-0005-0000-0000-0000F3390000}"/>
    <cellStyle name="Normal 119 2 3 3" xfId="15205" xr:uid="{00000000-0005-0000-0000-0000F4390000}"/>
    <cellStyle name="Normal 119 2 3 3 2" xfId="15206" xr:uid="{00000000-0005-0000-0000-0000F5390000}"/>
    <cellStyle name="Normal 119 2 3 3 3" xfId="15207" xr:uid="{00000000-0005-0000-0000-0000F6390000}"/>
    <cellStyle name="Normal 119 2 3 4" xfId="15208" xr:uid="{00000000-0005-0000-0000-0000F7390000}"/>
    <cellStyle name="Normal 119 2 3 5" xfId="15209" xr:uid="{00000000-0005-0000-0000-0000F8390000}"/>
    <cellStyle name="Normal 119 2 3 6" xfId="15210" xr:uid="{00000000-0005-0000-0000-0000F9390000}"/>
    <cellStyle name="Normal 119 2 4" xfId="15211" xr:uid="{00000000-0005-0000-0000-0000FA390000}"/>
    <cellStyle name="Normal 119 2 4 2" xfId="15212" xr:uid="{00000000-0005-0000-0000-0000FB390000}"/>
    <cellStyle name="Normal 119 2 4 3" xfId="15213" xr:uid="{00000000-0005-0000-0000-0000FC390000}"/>
    <cellStyle name="Normal 119 2 5" xfId="15214" xr:uid="{00000000-0005-0000-0000-0000FD390000}"/>
    <cellStyle name="Normal 119 2 5 2" xfId="15215" xr:uid="{00000000-0005-0000-0000-0000FE390000}"/>
    <cellStyle name="Normal 119 2 5 3" xfId="15216" xr:uid="{00000000-0005-0000-0000-0000FF390000}"/>
    <cellStyle name="Normal 119 2 6" xfId="15217" xr:uid="{00000000-0005-0000-0000-0000003A0000}"/>
    <cellStyle name="Normal 119 2 7" xfId="15218" xr:uid="{00000000-0005-0000-0000-0000013A0000}"/>
    <cellStyle name="Normal 119 2 8" xfId="15219" xr:uid="{00000000-0005-0000-0000-0000023A0000}"/>
    <cellStyle name="Normal 119 2 9" xfId="15220" xr:uid="{00000000-0005-0000-0000-0000033A0000}"/>
    <cellStyle name="Normal 119 3" xfId="15221" xr:uid="{00000000-0005-0000-0000-0000043A0000}"/>
    <cellStyle name="Normal 119 3 2" xfId="15222" xr:uid="{00000000-0005-0000-0000-0000053A0000}"/>
    <cellStyle name="Normal 119 3 2 2" xfId="15223" xr:uid="{00000000-0005-0000-0000-0000063A0000}"/>
    <cellStyle name="Normal 119 3 2 2 2" xfId="15224" xr:uid="{00000000-0005-0000-0000-0000073A0000}"/>
    <cellStyle name="Normal 119 3 2 2 3" xfId="15225" xr:uid="{00000000-0005-0000-0000-0000083A0000}"/>
    <cellStyle name="Normal 119 3 2 3" xfId="15226" xr:uid="{00000000-0005-0000-0000-0000093A0000}"/>
    <cellStyle name="Normal 119 3 2 3 2" xfId="15227" xr:uid="{00000000-0005-0000-0000-00000A3A0000}"/>
    <cellStyle name="Normal 119 3 2 3 3" xfId="15228" xr:uid="{00000000-0005-0000-0000-00000B3A0000}"/>
    <cellStyle name="Normal 119 3 2 4" xfId="15229" xr:uid="{00000000-0005-0000-0000-00000C3A0000}"/>
    <cellStyle name="Normal 119 3 2 5" xfId="15230" xr:uid="{00000000-0005-0000-0000-00000D3A0000}"/>
    <cellStyle name="Normal 119 3 2 6" xfId="15231" xr:uid="{00000000-0005-0000-0000-00000E3A0000}"/>
    <cellStyle name="Normal 119 3 3" xfId="15232" xr:uid="{00000000-0005-0000-0000-00000F3A0000}"/>
    <cellStyle name="Normal 119 3 3 2" xfId="15233" xr:uid="{00000000-0005-0000-0000-0000103A0000}"/>
    <cellStyle name="Normal 119 3 3 3" xfId="15234" xr:uid="{00000000-0005-0000-0000-0000113A0000}"/>
    <cellStyle name="Normal 119 3 4" xfId="15235" xr:uid="{00000000-0005-0000-0000-0000123A0000}"/>
    <cellStyle name="Normal 119 3 4 2" xfId="15236" xr:uid="{00000000-0005-0000-0000-0000133A0000}"/>
    <cellStyle name="Normal 119 3 4 3" xfId="15237" xr:uid="{00000000-0005-0000-0000-0000143A0000}"/>
    <cellStyle name="Normal 119 3 5" xfId="15238" xr:uid="{00000000-0005-0000-0000-0000153A0000}"/>
    <cellStyle name="Normal 119 3 6" xfId="15239" xr:uid="{00000000-0005-0000-0000-0000163A0000}"/>
    <cellStyle name="Normal 119 3 7" xfId="15240" xr:uid="{00000000-0005-0000-0000-0000173A0000}"/>
    <cellStyle name="Normal 119 3 8" xfId="15241" xr:uid="{00000000-0005-0000-0000-0000183A0000}"/>
    <cellStyle name="Normal 119 4" xfId="15242" xr:uid="{00000000-0005-0000-0000-0000193A0000}"/>
    <cellStyle name="Normal 119 4 2" xfId="15243" xr:uid="{00000000-0005-0000-0000-00001A3A0000}"/>
    <cellStyle name="Normal 119 4 2 2" xfId="15244" xr:uid="{00000000-0005-0000-0000-00001B3A0000}"/>
    <cellStyle name="Normal 119 4 2 3" xfId="15245" xr:uid="{00000000-0005-0000-0000-00001C3A0000}"/>
    <cellStyle name="Normal 119 4 3" xfId="15246" xr:uid="{00000000-0005-0000-0000-00001D3A0000}"/>
    <cellStyle name="Normal 119 4 3 2" xfId="15247" xr:uid="{00000000-0005-0000-0000-00001E3A0000}"/>
    <cellStyle name="Normal 119 4 3 3" xfId="15248" xr:uid="{00000000-0005-0000-0000-00001F3A0000}"/>
    <cellStyle name="Normal 119 4 4" xfId="15249" xr:uid="{00000000-0005-0000-0000-0000203A0000}"/>
    <cellStyle name="Normal 119 4 5" xfId="15250" xr:uid="{00000000-0005-0000-0000-0000213A0000}"/>
    <cellStyle name="Normal 119 4 6" xfId="15251" xr:uid="{00000000-0005-0000-0000-0000223A0000}"/>
    <cellStyle name="Normal 119 5" xfId="15252" xr:uid="{00000000-0005-0000-0000-0000233A0000}"/>
    <cellStyle name="Normal 119 5 2" xfId="15253" xr:uid="{00000000-0005-0000-0000-0000243A0000}"/>
    <cellStyle name="Normal 119 5 3" xfId="15254" xr:uid="{00000000-0005-0000-0000-0000253A0000}"/>
    <cellStyle name="Normal 119 6" xfId="15255" xr:uid="{00000000-0005-0000-0000-0000263A0000}"/>
    <cellStyle name="Normal 119 6 2" xfId="15256" xr:uid="{00000000-0005-0000-0000-0000273A0000}"/>
    <cellStyle name="Normal 119 6 3" xfId="15257" xr:uid="{00000000-0005-0000-0000-0000283A0000}"/>
    <cellStyle name="Normal 119 7" xfId="15258" xr:uid="{00000000-0005-0000-0000-0000293A0000}"/>
    <cellStyle name="Normal 119 8" xfId="15259" xr:uid="{00000000-0005-0000-0000-00002A3A0000}"/>
    <cellStyle name="Normal 119 9" xfId="15260" xr:uid="{00000000-0005-0000-0000-00002B3A0000}"/>
    <cellStyle name="Normal 12" xfId="2083" xr:uid="{00000000-0005-0000-0000-00002C3A0000}"/>
    <cellStyle name="Normal 12 10" xfId="15261" xr:uid="{00000000-0005-0000-0000-00002D3A0000}"/>
    <cellStyle name="Normal 12 11" xfId="15262" xr:uid="{00000000-0005-0000-0000-00002E3A0000}"/>
    <cellStyle name="Normal 12 2" xfId="2084" xr:uid="{00000000-0005-0000-0000-00002F3A0000}"/>
    <cellStyle name="Normal 12 2 2" xfId="2085" xr:uid="{00000000-0005-0000-0000-0000303A0000}"/>
    <cellStyle name="Normal 12 2 2 2" xfId="15263" xr:uid="{00000000-0005-0000-0000-0000313A0000}"/>
    <cellStyle name="Normal 12 2 2 3" xfId="15264" xr:uid="{00000000-0005-0000-0000-0000323A0000}"/>
    <cellStyle name="Normal 12 2 3" xfId="15265" xr:uid="{00000000-0005-0000-0000-0000333A0000}"/>
    <cellStyle name="Normal 12 2 4" xfId="15266" xr:uid="{00000000-0005-0000-0000-0000343A0000}"/>
    <cellStyle name="Normal 12 2 5" xfId="15267" xr:uid="{00000000-0005-0000-0000-0000353A0000}"/>
    <cellStyle name="Normal 12 3" xfId="15268" xr:uid="{00000000-0005-0000-0000-0000363A0000}"/>
    <cellStyle name="Normal 12 4" xfId="15269" xr:uid="{00000000-0005-0000-0000-0000373A0000}"/>
    <cellStyle name="Normal 12 4 2" xfId="15270" xr:uid="{00000000-0005-0000-0000-0000383A0000}"/>
    <cellStyle name="Normal 12 4 3" xfId="54204" xr:uid="{00000000-0005-0000-0000-0000393A0000}"/>
    <cellStyle name="Normal 12 5" xfId="15271" xr:uid="{00000000-0005-0000-0000-00003A3A0000}"/>
    <cellStyle name="Normal 12 6" xfId="15272" xr:uid="{00000000-0005-0000-0000-00003B3A0000}"/>
    <cellStyle name="Normal 12 6 2" xfId="15273" xr:uid="{00000000-0005-0000-0000-00003C3A0000}"/>
    <cellStyle name="Normal 12 7" xfId="15274" xr:uid="{00000000-0005-0000-0000-00003D3A0000}"/>
    <cellStyle name="Normal 12 7 2" xfId="15275" xr:uid="{00000000-0005-0000-0000-00003E3A0000}"/>
    <cellStyle name="Normal 12 8" xfId="15276" xr:uid="{00000000-0005-0000-0000-00003F3A0000}"/>
    <cellStyle name="Normal 12 8 2" xfId="15277" xr:uid="{00000000-0005-0000-0000-0000403A0000}"/>
    <cellStyle name="Normal 12 9" xfId="15278" xr:uid="{00000000-0005-0000-0000-0000413A0000}"/>
    <cellStyle name="Normal 120" xfId="2086" xr:uid="{00000000-0005-0000-0000-0000423A0000}"/>
    <cellStyle name="Normal 120 10" xfId="15279" xr:uid="{00000000-0005-0000-0000-0000433A0000}"/>
    <cellStyle name="Normal 120 11" xfId="15280" xr:uid="{00000000-0005-0000-0000-0000443A0000}"/>
    <cellStyle name="Normal 120 12" xfId="15281" xr:uid="{00000000-0005-0000-0000-0000453A0000}"/>
    <cellStyle name="Normal 120 2" xfId="15282" xr:uid="{00000000-0005-0000-0000-0000463A0000}"/>
    <cellStyle name="Normal 120 2 2" xfId="15283" xr:uid="{00000000-0005-0000-0000-0000473A0000}"/>
    <cellStyle name="Normal 120 2 2 2" xfId="15284" xr:uid="{00000000-0005-0000-0000-0000483A0000}"/>
    <cellStyle name="Normal 120 2 2 2 2" xfId="15285" xr:uid="{00000000-0005-0000-0000-0000493A0000}"/>
    <cellStyle name="Normal 120 2 2 2 2 2" xfId="15286" xr:uid="{00000000-0005-0000-0000-00004A3A0000}"/>
    <cellStyle name="Normal 120 2 2 2 2 3" xfId="15287" xr:uid="{00000000-0005-0000-0000-00004B3A0000}"/>
    <cellStyle name="Normal 120 2 2 2 3" xfId="15288" xr:uid="{00000000-0005-0000-0000-00004C3A0000}"/>
    <cellStyle name="Normal 120 2 2 2 3 2" xfId="15289" xr:uid="{00000000-0005-0000-0000-00004D3A0000}"/>
    <cellStyle name="Normal 120 2 2 2 3 3" xfId="15290" xr:uid="{00000000-0005-0000-0000-00004E3A0000}"/>
    <cellStyle name="Normal 120 2 2 2 4" xfId="15291" xr:uid="{00000000-0005-0000-0000-00004F3A0000}"/>
    <cellStyle name="Normal 120 2 2 2 5" xfId="15292" xr:uid="{00000000-0005-0000-0000-0000503A0000}"/>
    <cellStyle name="Normal 120 2 2 2 6" xfId="15293" xr:uid="{00000000-0005-0000-0000-0000513A0000}"/>
    <cellStyle name="Normal 120 2 2 3" xfId="15294" xr:uid="{00000000-0005-0000-0000-0000523A0000}"/>
    <cellStyle name="Normal 120 2 2 3 2" xfId="15295" xr:uid="{00000000-0005-0000-0000-0000533A0000}"/>
    <cellStyle name="Normal 120 2 2 3 3" xfId="15296" xr:uid="{00000000-0005-0000-0000-0000543A0000}"/>
    <cellStyle name="Normal 120 2 2 4" xfId="15297" xr:uid="{00000000-0005-0000-0000-0000553A0000}"/>
    <cellStyle name="Normal 120 2 2 4 2" xfId="15298" xr:uid="{00000000-0005-0000-0000-0000563A0000}"/>
    <cellStyle name="Normal 120 2 2 4 3" xfId="15299" xr:uid="{00000000-0005-0000-0000-0000573A0000}"/>
    <cellStyle name="Normal 120 2 2 5" xfId="15300" xr:uid="{00000000-0005-0000-0000-0000583A0000}"/>
    <cellStyle name="Normal 120 2 2 6" xfId="15301" xr:uid="{00000000-0005-0000-0000-0000593A0000}"/>
    <cellStyle name="Normal 120 2 2 7" xfId="15302" xr:uid="{00000000-0005-0000-0000-00005A3A0000}"/>
    <cellStyle name="Normal 120 2 2 8" xfId="15303" xr:uid="{00000000-0005-0000-0000-00005B3A0000}"/>
    <cellStyle name="Normal 120 2 3" xfId="15304" xr:uid="{00000000-0005-0000-0000-00005C3A0000}"/>
    <cellStyle name="Normal 120 2 3 2" xfId="15305" xr:uid="{00000000-0005-0000-0000-00005D3A0000}"/>
    <cellStyle name="Normal 120 2 3 2 2" xfId="15306" xr:uid="{00000000-0005-0000-0000-00005E3A0000}"/>
    <cellStyle name="Normal 120 2 3 2 3" xfId="15307" xr:uid="{00000000-0005-0000-0000-00005F3A0000}"/>
    <cellStyle name="Normal 120 2 3 3" xfId="15308" xr:uid="{00000000-0005-0000-0000-0000603A0000}"/>
    <cellStyle name="Normal 120 2 3 3 2" xfId="15309" xr:uid="{00000000-0005-0000-0000-0000613A0000}"/>
    <cellStyle name="Normal 120 2 3 3 3" xfId="15310" xr:uid="{00000000-0005-0000-0000-0000623A0000}"/>
    <cellStyle name="Normal 120 2 3 4" xfId="15311" xr:uid="{00000000-0005-0000-0000-0000633A0000}"/>
    <cellStyle name="Normal 120 2 3 5" xfId="15312" xr:uid="{00000000-0005-0000-0000-0000643A0000}"/>
    <cellStyle name="Normal 120 2 3 6" xfId="15313" xr:uid="{00000000-0005-0000-0000-0000653A0000}"/>
    <cellStyle name="Normal 120 2 4" xfId="15314" xr:uid="{00000000-0005-0000-0000-0000663A0000}"/>
    <cellStyle name="Normal 120 2 4 2" xfId="15315" xr:uid="{00000000-0005-0000-0000-0000673A0000}"/>
    <cellStyle name="Normal 120 2 4 3" xfId="15316" xr:uid="{00000000-0005-0000-0000-0000683A0000}"/>
    <cellStyle name="Normal 120 2 5" xfId="15317" xr:uid="{00000000-0005-0000-0000-0000693A0000}"/>
    <cellStyle name="Normal 120 2 5 2" xfId="15318" xr:uid="{00000000-0005-0000-0000-00006A3A0000}"/>
    <cellStyle name="Normal 120 2 5 3" xfId="15319" xr:uid="{00000000-0005-0000-0000-00006B3A0000}"/>
    <cellStyle name="Normal 120 2 6" xfId="15320" xr:uid="{00000000-0005-0000-0000-00006C3A0000}"/>
    <cellStyle name="Normal 120 2 7" xfId="15321" xr:uid="{00000000-0005-0000-0000-00006D3A0000}"/>
    <cellStyle name="Normal 120 2 8" xfId="15322" xr:uid="{00000000-0005-0000-0000-00006E3A0000}"/>
    <cellStyle name="Normal 120 2 9" xfId="15323" xr:uid="{00000000-0005-0000-0000-00006F3A0000}"/>
    <cellStyle name="Normal 120 3" xfId="15324" xr:uid="{00000000-0005-0000-0000-0000703A0000}"/>
    <cellStyle name="Normal 120 3 2" xfId="15325" xr:uid="{00000000-0005-0000-0000-0000713A0000}"/>
    <cellStyle name="Normal 120 3 2 2" xfId="15326" xr:uid="{00000000-0005-0000-0000-0000723A0000}"/>
    <cellStyle name="Normal 120 3 2 2 2" xfId="15327" xr:uid="{00000000-0005-0000-0000-0000733A0000}"/>
    <cellStyle name="Normal 120 3 2 2 3" xfId="15328" xr:uid="{00000000-0005-0000-0000-0000743A0000}"/>
    <cellStyle name="Normal 120 3 2 3" xfId="15329" xr:uid="{00000000-0005-0000-0000-0000753A0000}"/>
    <cellStyle name="Normal 120 3 2 3 2" xfId="15330" xr:uid="{00000000-0005-0000-0000-0000763A0000}"/>
    <cellStyle name="Normal 120 3 2 3 3" xfId="15331" xr:uid="{00000000-0005-0000-0000-0000773A0000}"/>
    <cellStyle name="Normal 120 3 2 4" xfId="15332" xr:uid="{00000000-0005-0000-0000-0000783A0000}"/>
    <cellStyle name="Normal 120 3 2 5" xfId="15333" xr:uid="{00000000-0005-0000-0000-0000793A0000}"/>
    <cellStyle name="Normal 120 3 2 6" xfId="15334" xr:uid="{00000000-0005-0000-0000-00007A3A0000}"/>
    <cellStyle name="Normal 120 3 3" xfId="15335" xr:uid="{00000000-0005-0000-0000-00007B3A0000}"/>
    <cellStyle name="Normal 120 3 3 2" xfId="15336" xr:uid="{00000000-0005-0000-0000-00007C3A0000}"/>
    <cellStyle name="Normal 120 3 3 3" xfId="15337" xr:uid="{00000000-0005-0000-0000-00007D3A0000}"/>
    <cellStyle name="Normal 120 3 4" xfId="15338" xr:uid="{00000000-0005-0000-0000-00007E3A0000}"/>
    <cellStyle name="Normal 120 3 4 2" xfId="15339" xr:uid="{00000000-0005-0000-0000-00007F3A0000}"/>
    <cellStyle name="Normal 120 3 4 3" xfId="15340" xr:uid="{00000000-0005-0000-0000-0000803A0000}"/>
    <cellStyle name="Normal 120 3 5" xfId="15341" xr:uid="{00000000-0005-0000-0000-0000813A0000}"/>
    <cellStyle name="Normal 120 3 6" xfId="15342" xr:uid="{00000000-0005-0000-0000-0000823A0000}"/>
    <cellStyle name="Normal 120 3 7" xfId="15343" xr:uid="{00000000-0005-0000-0000-0000833A0000}"/>
    <cellStyle name="Normal 120 3 8" xfId="15344" xr:uid="{00000000-0005-0000-0000-0000843A0000}"/>
    <cellStyle name="Normal 120 4" xfId="15345" xr:uid="{00000000-0005-0000-0000-0000853A0000}"/>
    <cellStyle name="Normal 120 4 2" xfId="15346" xr:uid="{00000000-0005-0000-0000-0000863A0000}"/>
    <cellStyle name="Normal 120 4 2 2" xfId="15347" xr:uid="{00000000-0005-0000-0000-0000873A0000}"/>
    <cellStyle name="Normal 120 4 2 3" xfId="15348" xr:uid="{00000000-0005-0000-0000-0000883A0000}"/>
    <cellStyle name="Normal 120 4 3" xfId="15349" xr:uid="{00000000-0005-0000-0000-0000893A0000}"/>
    <cellStyle name="Normal 120 4 3 2" xfId="15350" xr:uid="{00000000-0005-0000-0000-00008A3A0000}"/>
    <cellStyle name="Normal 120 4 3 3" xfId="15351" xr:uid="{00000000-0005-0000-0000-00008B3A0000}"/>
    <cellStyle name="Normal 120 4 4" xfId="15352" xr:uid="{00000000-0005-0000-0000-00008C3A0000}"/>
    <cellStyle name="Normal 120 4 5" xfId="15353" xr:uid="{00000000-0005-0000-0000-00008D3A0000}"/>
    <cellStyle name="Normal 120 4 6" xfId="15354" xr:uid="{00000000-0005-0000-0000-00008E3A0000}"/>
    <cellStyle name="Normal 120 5" xfId="15355" xr:uid="{00000000-0005-0000-0000-00008F3A0000}"/>
    <cellStyle name="Normal 120 5 2" xfId="15356" xr:uid="{00000000-0005-0000-0000-0000903A0000}"/>
    <cellStyle name="Normal 120 5 3" xfId="15357" xr:uid="{00000000-0005-0000-0000-0000913A0000}"/>
    <cellStyle name="Normal 120 6" xfId="15358" xr:uid="{00000000-0005-0000-0000-0000923A0000}"/>
    <cellStyle name="Normal 120 6 2" xfId="15359" xr:uid="{00000000-0005-0000-0000-0000933A0000}"/>
    <cellStyle name="Normal 120 6 3" xfId="15360" xr:uid="{00000000-0005-0000-0000-0000943A0000}"/>
    <cellStyle name="Normal 120 7" xfId="15361" xr:uid="{00000000-0005-0000-0000-0000953A0000}"/>
    <cellStyle name="Normal 120 8" xfId="15362" xr:uid="{00000000-0005-0000-0000-0000963A0000}"/>
    <cellStyle name="Normal 120 9" xfId="15363" xr:uid="{00000000-0005-0000-0000-0000973A0000}"/>
    <cellStyle name="Normal 121" xfId="2087" xr:uid="{00000000-0005-0000-0000-0000983A0000}"/>
    <cellStyle name="Normal 121 10" xfId="15364" xr:uid="{00000000-0005-0000-0000-0000993A0000}"/>
    <cellStyle name="Normal 121 11" xfId="15365" xr:uid="{00000000-0005-0000-0000-00009A3A0000}"/>
    <cellStyle name="Normal 121 12" xfId="15366" xr:uid="{00000000-0005-0000-0000-00009B3A0000}"/>
    <cellStyle name="Normal 121 2" xfId="15367" xr:uid="{00000000-0005-0000-0000-00009C3A0000}"/>
    <cellStyle name="Normal 121 2 2" xfId="15368" xr:uid="{00000000-0005-0000-0000-00009D3A0000}"/>
    <cellStyle name="Normal 121 2 2 2" xfId="15369" xr:uid="{00000000-0005-0000-0000-00009E3A0000}"/>
    <cellStyle name="Normal 121 2 2 2 2" xfId="15370" xr:uid="{00000000-0005-0000-0000-00009F3A0000}"/>
    <cellStyle name="Normal 121 2 2 2 2 2" xfId="15371" xr:uid="{00000000-0005-0000-0000-0000A03A0000}"/>
    <cellStyle name="Normal 121 2 2 2 2 3" xfId="15372" xr:uid="{00000000-0005-0000-0000-0000A13A0000}"/>
    <cellStyle name="Normal 121 2 2 2 3" xfId="15373" xr:uid="{00000000-0005-0000-0000-0000A23A0000}"/>
    <cellStyle name="Normal 121 2 2 2 3 2" xfId="15374" xr:uid="{00000000-0005-0000-0000-0000A33A0000}"/>
    <cellStyle name="Normal 121 2 2 2 3 3" xfId="15375" xr:uid="{00000000-0005-0000-0000-0000A43A0000}"/>
    <cellStyle name="Normal 121 2 2 2 4" xfId="15376" xr:uid="{00000000-0005-0000-0000-0000A53A0000}"/>
    <cellStyle name="Normal 121 2 2 2 5" xfId="15377" xr:uid="{00000000-0005-0000-0000-0000A63A0000}"/>
    <cellStyle name="Normal 121 2 2 2 6" xfId="15378" xr:uid="{00000000-0005-0000-0000-0000A73A0000}"/>
    <cellStyle name="Normal 121 2 2 3" xfId="15379" xr:uid="{00000000-0005-0000-0000-0000A83A0000}"/>
    <cellStyle name="Normal 121 2 2 3 2" xfId="15380" xr:uid="{00000000-0005-0000-0000-0000A93A0000}"/>
    <cellStyle name="Normal 121 2 2 3 3" xfId="15381" xr:uid="{00000000-0005-0000-0000-0000AA3A0000}"/>
    <cellStyle name="Normal 121 2 2 4" xfId="15382" xr:uid="{00000000-0005-0000-0000-0000AB3A0000}"/>
    <cellStyle name="Normal 121 2 2 4 2" xfId="15383" xr:uid="{00000000-0005-0000-0000-0000AC3A0000}"/>
    <cellStyle name="Normal 121 2 2 4 3" xfId="15384" xr:uid="{00000000-0005-0000-0000-0000AD3A0000}"/>
    <cellStyle name="Normal 121 2 2 5" xfId="15385" xr:uid="{00000000-0005-0000-0000-0000AE3A0000}"/>
    <cellStyle name="Normal 121 2 2 6" xfId="15386" xr:uid="{00000000-0005-0000-0000-0000AF3A0000}"/>
    <cellStyle name="Normal 121 2 2 7" xfId="15387" xr:uid="{00000000-0005-0000-0000-0000B03A0000}"/>
    <cellStyle name="Normal 121 2 2 8" xfId="15388" xr:uid="{00000000-0005-0000-0000-0000B13A0000}"/>
    <cellStyle name="Normal 121 2 3" xfId="15389" xr:uid="{00000000-0005-0000-0000-0000B23A0000}"/>
    <cellStyle name="Normal 121 2 3 2" xfId="15390" xr:uid="{00000000-0005-0000-0000-0000B33A0000}"/>
    <cellStyle name="Normal 121 2 3 2 2" xfId="15391" xr:uid="{00000000-0005-0000-0000-0000B43A0000}"/>
    <cellStyle name="Normal 121 2 3 2 3" xfId="15392" xr:uid="{00000000-0005-0000-0000-0000B53A0000}"/>
    <cellStyle name="Normal 121 2 3 3" xfId="15393" xr:uid="{00000000-0005-0000-0000-0000B63A0000}"/>
    <cellStyle name="Normal 121 2 3 3 2" xfId="15394" xr:uid="{00000000-0005-0000-0000-0000B73A0000}"/>
    <cellStyle name="Normal 121 2 3 3 3" xfId="15395" xr:uid="{00000000-0005-0000-0000-0000B83A0000}"/>
    <cellStyle name="Normal 121 2 3 4" xfId="15396" xr:uid="{00000000-0005-0000-0000-0000B93A0000}"/>
    <cellStyle name="Normal 121 2 3 5" xfId="15397" xr:uid="{00000000-0005-0000-0000-0000BA3A0000}"/>
    <cellStyle name="Normal 121 2 3 6" xfId="15398" xr:uid="{00000000-0005-0000-0000-0000BB3A0000}"/>
    <cellStyle name="Normal 121 2 4" xfId="15399" xr:uid="{00000000-0005-0000-0000-0000BC3A0000}"/>
    <cellStyle name="Normal 121 2 4 2" xfId="15400" xr:uid="{00000000-0005-0000-0000-0000BD3A0000}"/>
    <cellStyle name="Normal 121 2 4 3" xfId="15401" xr:uid="{00000000-0005-0000-0000-0000BE3A0000}"/>
    <cellStyle name="Normal 121 2 5" xfId="15402" xr:uid="{00000000-0005-0000-0000-0000BF3A0000}"/>
    <cellStyle name="Normal 121 2 5 2" xfId="15403" xr:uid="{00000000-0005-0000-0000-0000C03A0000}"/>
    <cellStyle name="Normal 121 2 5 3" xfId="15404" xr:uid="{00000000-0005-0000-0000-0000C13A0000}"/>
    <cellStyle name="Normal 121 2 6" xfId="15405" xr:uid="{00000000-0005-0000-0000-0000C23A0000}"/>
    <cellStyle name="Normal 121 2 7" xfId="15406" xr:uid="{00000000-0005-0000-0000-0000C33A0000}"/>
    <cellStyle name="Normal 121 2 8" xfId="15407" xr:uid="{00000000-0005-0000-0000-0000C43A0000}"/>
    <cellStyle name="Normal 121 2 9" xfId="15408" xr:uid="{00000000-0005-0000-0000-0000C53A0000}"/>
    <cellStyle name="Normal 121 3" xfId="15409" xr:uid="{00000000-0005-0000-0000-0000C63A0000}"/>
    <cellStyle name="Normal 121 3 2" xfId="15410" xr:uid="{00000000-0005-0000-0000-0000C73A0000}"/>
    <cellStyle name="Normal 121 3 2 2" xfId="15411" xr:uid="{00000000-0005-0000-0000-0000C83A0000}"/>
    <cellStyle name="Normal 121 3 2 2 2" xfId="15412" xr:uid="{00000000-0005-0000-0000-0000C93A0000}"/>
    <cellStyle name="Normal 121 3 2 2 3" xfId="15413" xr:uid="{00000000-0005-0000-0000-0000CA3A0000}"/>
    <cellStyle name="Normal 121 3 2 3" xfId="15414" xr:uid="{00000000-0005-0000-0000-0000CB3A0000}"/>
    <cellStyle name="Normal 121 3 2 3 2" xfId="15415" xr:uid="{00000000-0005-0000-0000-0000CC3A0000}"/>
    <cellStyle name="Normal 121 3 2 3 3" xfId="15416" xr:uid="{00000000-0005-0000-0000-0000CD3A0000}"/>
    <cellStyle name="Normal 121 3 2 4" xfId="15417" xr:uid="{00000000-0005-0000-0000-0000CE3A0000}"/>
    <cellStyle name="Normal 121 3 2 5" xfId="15418" xr:uid="{00000000-0005-0000-0000-0000CF3A0000}"/>
    <cellStyle name="Normal 121 3 2 6" xfId="15419" xr:uid="{00000000-0005-0000-0000-0000D03A0000}"/>
    <cellStyle name="Normal 121 3 3" xfId="15420" xr:uid="{00000000-0005-0000-0000-0000D13A0000}"/>
    <cellStyle name="Normal 121 3 3 2" xfId="15421" xr:uid="{00000000-0005-0000-0000-0000D23A0000}"/>
    <cellStyle name="Normal 121 3 3 3" xfId="15422" xr:uid="{00000000-0005-0000-0000-0000D33A0000}"/>
    <cellStyle name="Normal 121 3 4" xfId="15423" xr:uid="{00000000-0005-0000-0000-0000D43A0000}"/>
    <cellStyle name="Normal 121 3 4 2" xfId="15424" xr:uid="{00000000-0005-0000-0000-0000D53A0000}"/>
    <cellStyle name="Normal 121 3 4 3" xfId="15425" xr:uid="{00000000-0005-0000-0000-0000D63A0000}"/>
    <cellStyle name="Normal 121 3 5" xfId="15426" xr:uid="{00000000-0005-0000-0000-0000D73A0000}"/>
    <cellStyle name="Normal 121 3 6" xfId="15427" xr:uid="{00000000-0005-0000-0000-0000D83A0000}"/>
    <cellStyle name="Normal 121 3 7" xfId="15428" xr:uid="{00000000-0005-0000-0000-0000D93A0000}"/>
    <cellStyle name="Normal 121 3 8" xfId="15429" xr:uid="{00000000-0005-0000-0000-0000DA3A0000}"/>
    <cellStyle name="Normal 121 4" xfId="15430" xr:uid="{00000000-0005-0000-0000-0000DB3A0000}"/>
    <cellStyle name="Normal 121 4 2" xfId="15431" xr:uid="{00000000-0005-0000-0000-0000DC3A0000}"/>
    <cellStyle name="Normal 121 4 2 2" xfId="15432" xr:uid="{00000000-0005-0000-0000-0000DD3A0000}"/>
    <cellStyle name="Normal 121 4 2 3" xfId="15433" xr:uid="{00000000-0005-0000-0000-0000DE3A0000}"/>
    <cellStyle name="Normal 121 4 3" xfId="15434" xr:uid="{00000000-0005-0000-0000-0000DF3A0000}"/>
    <cellStyle name="Normal 121 4 3 2" xfId="15435" xr:uid="{00000000-0005-0000-0000-0000E03A0000}"/>
    <cellStyle name="Normal 121 4 3 3" xfId="15436" xr:uid="{00000000-0005-0000-0000-0000E13A0000}"/>
    <cellStyle name="Normal 121 4 4" xfId="15437" xr:uid="{00000000-0005-0000-0000-0000E23A0000}"/>
    <cellStyle name="Normal 121 4 5" xfId="15438" xr:uid="{00000000-0005-0000-0000-0000E33A0000}"/>
    <cellStyle name="Normal 121 4 6" xfId="15439" xr:uid="{00000000-0005-0000-0000-0000E43A0000}"/>
    <cellStyle name="Normal 121 5" xfId="15440" xr:uid="{00000000-0005-0000-0000-0000E53A0000}"/>
    <cellStyle name="Normal 121 5 2" xfId="15441" xr:uid="{00000000-0005-0000-0000-0000E63A0000}"/>
    <cellStyle name="Normal 121 5 3" xfId="15442" xr:uid="{00000000-0005-0000-0000-0000E73A0000}"/>
    <cellStyle name="Normal 121 6" xfId="15443" xr:uid="{00000000-0005-0000-0000-0000E83A0000}"/>
    <cellStyle name="Normal 121 6 2" xfId="15444" xr:uid="{00000000-0005-0000-0000-0000E93A0000}"/>
    <cellStyle name="Normal 121 6 3" xfId="15445" xr:uid="{00000000-0005-0000-0000-0000EA3A0000}"/>
    <cellStyle name="Normal 121 7" xfId="15446" xr:uid="{00000000-0005-0000-0000-0000EB3A0000}"/>
    <cellStyle name="Normal 121 8" xfId="15447" xr:uid="{00000000-0005-0000-0000-0000EC3A0000}"/>
    <cellStyle name="Normal 121 9" xfId="15448" xr:uid="{00000000-0005-0000-0000-0000ED3A0000}"/>
    <cellStyle name="Normal 122" xfId="2088" xr:uid="{00000000-0005-0000-0000-0000EE3A0000}"/>
    <cellStyle name="Normal 122 10" xfId="15449" xr:uid="{00000000-0005-0000-0000-0000EF3A0000}"/>
    <cellStyle name="Normal 122 11" xfId="15450" xr:uid="{00000000-0005-0000-0000-0000F03A0000}"/>
    <cellStyle name="Normal 122 12" xfId="15451" xr:uid="{00000000-0005-0000-0000-0000F13A0000}"/>
    <cellStyle name="Normal 122 2" xfId="15452" xr:uid="{00000000-0005-0000-0000-0000F23A0000}"/>
    <cellStyle name="Normal 122 2 2" xfId="15453" xr:uid="{00000000-0005-0000-0000-0000F33A0000}"/>
    <cellStyle name="Normal 122 2 2 2" xfId="15454" xr:uid="{00000000-0005-0000-0000-0000F43A0000}"/>
    <cellStyle name="Normal 122 2 2 2 2" xfId="15455" xr:uid="{00000000-0005-0000-0000-0000F53A0000}"/>
    <cellStyle name="Normal 122 2 2 2 2 2" xfId="15456" xr:uid="{00000000-0005-0000-0000-0000F63A0000}"/>
    <cellStyle name="Normal 122 2 2 2 2 3" xfId="15457" xr:uid="{00000000-0005-0000-0000-0000F73A0000}"/>
    <cellStyle name="Normal 122 2 2 2 3" xfId="15458" xr:uid="{00000000-0005-0000-0000-0000F83A0000}"/>
    <cellStyle name="Normal 122 2 2 2 3 2" xfId="15459" xr:uid="{00000000-0005-0000-0000-0000F93A0000}"/>
    <cellStyle name="Normal 122 2 2 2 3 3" xfId="15460" xr:uid="{00000000-0005-0000-0000-0000FA3A0000}"/>
    <cellStyle name="Normal 122 2 2 2 4" xfId="15461" xr:uid="{00000000-0005-0000-0000-0000FB3A0000}"/>
    <cellStyle name="Normal 122 2 2 2 5" xfId="15462" xr:uid="{00000000-0005-0000-0000-0000FC3A0000}"/>
    <cellStyle name="Normal 122 2 2 2 6" xfId="15463" xr:uid="{00000000-0005-0000-0000-0000FD3A0000}"/>
    <cellStyle name="Normal 122 2 2 3" xfId="15464" xr:uid="{00000000-0005-0000-0000-0000FE3A0000}"/>
    <cellStyle name="Normal 122 2 2 3 2" xfId="15465" xr:uid="{00000000-0005-0000-0000-0000FF3A0000}"/>
    <cellStyle name="Normal 122 2 2 3 3" xfId="15466" xr:uid="{00000000-0005-0000-0000-0000003B0000}"/>
    <cellStyle name="Normal 122 2 2 4" xfId="15467" xr:uid="{00000000-0005-0000-0000-0000013B0000}"/>
    <cellStyle name="Normal 122 2 2 4 2" xfId="15468" xr:uid="{00000000-0005-0000-0000-0000023B0000}"/>
    <cellStyle name="Normal 122 2 2 4 3" xfId="15469" xr:uid="{00000000-0005-0000-0000-0000033B0000}"/>
    <cellStyle name="Normal 122 2 2 5" xfId="15470" xr:uid="{00000000-0005-0000-0000-0000043B0000}"/>
    <cellStyle name="Normal 122 2 2 6" xfId="15471" xr:uid="{00000000-0005-0000-0000-0000053B0000}"/>
    <cellStyle name="Normal 122 2 2 7" xfId="15472" xr:uid="{00000000-0005-0000-0000-0000063B0000}"/>
    <cellStyle name="Normal 122 2 2 8" xfId="15473" xr:uid="{00000000-0005-0000-0000-0000073B0000}"/>
    <cellStyle name="Normal 122 2 3" xfId="15474" xr:uid="{00000000-0005-0000-0000-0000083B0000}"/>
    <cellStyle name="Normal 122 2 3 2" xfId="15475" xr:uid="{00000000-0005-0000-0000-0000093B0000}"/>
    <cellStyle name="Normal 122 2 3 2 2" xfId="15476" xr:uid="{00000000-0005-0000-0000-00000A3B0000}"/>
    <cellStyle name="Normal 122 2 3 2 3" xfId="15477" xr:uid="{00000000-0005-0000-0000-00000B3B0000}"/>
    <cellStyle name="Normal 122 2 3 3" xfId="15478" xr:uid="{00000000-0005-0000-0000-00000C3B0000}"/>
    <cellStyle name="Normal 122 2 3 3 2" xfId="15479" xr:uid="{00000000-0005-0000-0000-00000D3B0000}"/>
    <cellStyle name="Normal 122 2 3 3 3" xfId="15480" xr:uid="{00000000-0005-0000-0000-00000E3B0000}"/>
    <cellStyle name="Normal 122 2 3 4" xfId="15481" xr:uid="{00000000-0005-0000-0000-00000F3B0000}"/>
    <cellStyle name="Normal 122 2 3 5" xfId="15482" xr:uid="{00000000-0005-0000-0000-0000103B0000}"/>
    <cellStyle name="Normal 122 2 3 6" xfId="15483" xr:uid="{00000000-0005-0000-0000-0000113B0000}"/>
    <cellStyle name="Normal 122 2 4" xfId="15484" xr:uid="{00000000-0005-0000-0000-0000123B0000}"/>
    <cellStyle name="Normal 122 2 4 2" xfId="15485" xr:uid="{00000000-0005-0000-0000-0000133B0000}"/>
    <cellStyle name="Normal 122 2 4 3" xfId="15486" xr:uid="{00000000-0005-0000-0000-0000143B0000}"/>
    <cellStyle name="Normal 122 2 5" xfId="15487" xr:uid="{00000000-0005-0000-0000-0000153B0000}"/>
    <cellStyle name="Normal 122 2 5 2" xfId="15488" xr:uid="{00000000-0005-0000-0000-0000163B0000}"/>
    <cellStyle name="Normal 122 2 5 3" xfId="15489" xr:uid="{00000000-0005-0000-0000-0000173B0000}"/>
    <cellStyle name="Normal 122 2 6" xfId="15490" xr:uid="{00000000-0005-0000-0000-0000183B0000}"/>
    <cellStyle name="Normal 122 2 7" xfId="15491" xr:uid="{00000000-0005-0000-0000-0000193B0000}"/>
    <cellStyle name="Normal 122 2 8" xfId="15492" xr:uid="{00000000-0005-0000-0000-00001A3B0000}"/>
    <cellStyle name="Normal 122 2 9" xfId="15493" xr:uid="{00000000-0005-0000-0000-00001B3B0000}"/>
    <cellStyle name="Normal 122 3" xfId="15494" xr:uid="{00000000-0005-0000-0000-00001C3B0000}"/>
    <cellStyle name="Normal 122 3 2" xfId="15495" xr:uid="{00000000-0005-0000-0000-00001D3B0000}"/>
    <cellStyle name="Normal 122 3 2 2" xfId="15496" xr:uid="{00000000-0005-0000-0000-00001E3B0000}"/>
    <cellStyle name="Normal 122 3 2 2 2" xfId="15497" xr:uid="{00000000-0005-0000-0000-00001F3B0000}"/>
    <cellStyle name="Normal 122 3 2 2 3" xfId="15498" xr:uid="{00000000-0005-0000-0000-0000203B0000}"/>
    <cellStyle name="Normal 122 3 2 3" xfId="15499" xr:uid="{00000000-0005-0000-0000-0000213B0000}"/>
    <cellStyle name="Normal 122 3 2 3 2" xfId="15500" xr:uid="{00000000-0005-0000-0000-0000223B0000}"/>
    <cellStyle name="Normal 122 3 2 3 3" xfId="15501" xr:uid="{00000000-0005-0000-0000-0000233B0000}"/>
    <cellStyle name="Normal 122 3 2 4" xfId="15502" xr:uid="{00000000-0005-0000-0000-0000243B0000}"/>
    <cellStyle name="Normal 122 3 2 5" xfId="15503" xr:uid="{00000000-0005-0000-0000-0000253B0000}"/>
    <cellStyle name="Normal 122 3 2 6" xfId="15504" xr:uid="{00000000-0005-0000-0000-0000263B0000}"/>
    <cellStyle name="Normal 122 3 3" xfId="15505" xr:uid="{00000000-0005-0000-0000-0000273B0000}"/>
    <cellStyle name="Normal 122 3 3 2" xfId="15506" xr:uid="{00000000-0005-0000-0000-0000283B0000}"/>
    <cellStyle name="Normal 122 3 3 3" xfId="15507" xr:uid="{00000000-0005-0000-0000-0000293B0000}"/>
    <cellStyle name="Normal 122 3 4" xfId="15508" xr:uid="{00000000-0005-0000-0000-00002A3B0000}"/>
    <cellStyle name="Normal 122 3 4 2" xfId="15509" xr:uid="{00000000-0005-0000-0000-00002B3B0000}"/>
    <cellStyle name="Normal 122 3 4 3" xfId="15510" xr:uid="{00000000-0005-0000-0000-00002C3B0000}"/>
    <cellStyle name="Normal 122 3 5" xfId="15511" xr:uid="{00000000-0005-0000-0000-00002D3B0000}"/>
    <cellStyle name="Normal 122 3 6" xfId="15512" xr:uid="{00000000-0005-0000-0000-00002E3B0000}"/>
    <cellStyle name="Normal 122 3 7" xfId="15513" xr:uid="{00000000-0005-0000-0000-00002F3B0000}"/>
    <cellStyle name="Normal 122 3 8" xfId="15514" xr:uid="{00000000-0005-0000-0000-0000303B0000}"/>
    <cellStyle name="Normal 122 4" xfId="15515" xr:uid="{00000000-0005-0000-0000-0000313B0000}"/>
    <cellStyle name="Normal 122 4 2" xfId="15516" xr:uid="{00000000-0005-0000-0000-0000323B0000}"/>
    <cellStyle name="Normal 122 4 2 2" xfId="15517" xr:uid="{00000000-0005-0000-0000-0000333B0000}"/>
    <cellStyle name="Normal 122 4 2 3" xfId="15518" xr:uid="{00000000-0005-0000-0000-0000343B0000}"/>
    <cellStyle name="Normal 122 4 3" xfId="15519" xr:uid="{00000000-0005-0000-0000-0000353B0000}"/>
    <cellStyle name="Normal 122 4 3 2" xfId="15520" xr:uid="{00000000-0005-0000-0000-0000363B0000}"/>
    <cellStyle name="Normal 122 4 3 3" xfId="15521" xr:uid="{00000000-0005-0000-0000-0000373B0000}"/>
    <cellStyle name="Normal 122 4 4" xfId="15522" xr:uid="{00000000-0005-0000-0000-0000383B0000}"/>
    <cellStyle name="Normal 122 4 5" xfId="15523" xr:uid="{00000000-0005-0000-0000-0000393B0000}"/>
    <cellStyle name="Normal 122 4 6" xfId="15524" xr:uid="{00000000-0005-0000-0000-00003A3B0000}"/>
    <cellStyle name="Normal 122 5" xfId="15525" xr:uid="{00000000-0005-0000-0000-00003B3B0000}"/>
    <cellStyle name="Normal 122 5 2" xfId="15526" xr:uid="{00000000-0005-0000-0000-00003C3B0000}"/>
    <cellStyle name="Normal 122 5 3" xfId="15527" xr:uid="{00000000-0005-0000-0000-00003D3B0000}"/>
    <cellStyle name="Normal 122 6" xfId="15528" xr:uid="{00000000-0005-0000-0000-00003E3B0000}"/>
    <cellStyle name="Normal 122 6 2" xfId="15529" xr:uid="{00000000-0005-0000-0000-00003F3B0000}"/>
    <cellStyle name="Normal 122 6 3" xfId="15530" xr:uid="{00000000-0005-0000-0000-0000403B0000}"/>
    <cellStyle name="Normal 122 7" xfId="15531" xr:uid="{00000000-0005-0000-0000-0000413B0000}"/>
    <cellStyle name="Normal 122 8" xfId="15532" xr:uid="{00000000-0005-0000-0000-0000423B0000}"/>
    <cellStyle name="Normal 122 9" xfId="15533" xr:uid="{00000000-0005-0000-0000-0000433B0000}"/>
    <cellStyle name="Normal 123" xfId="2089" xr:uid="{00000000-0005-0000-0000-0000443B0000}"/>
    <cellStyle name="Normal 123 10" xfId="15534" xr:uid="{00000000-0005-0000-0000-0000453B0000}"/>
    <cellStyle name="Normal 123 11" xfId="15535" xr:uid="{00000000-0005-0000-0000-0000463B0000}"/>
    <cellStyle name="Normal 123 12" xfId="15536" xr:uid="{00000000-0005-0000-0000-0000473B0000}"/>
    <cellStyle name="Normal 123 2" xfId="15537" xr:uid="{00000000-0005-0000-0000-0000483B0000}"/>
    <cellStyle name="Normal 123 2 2" xfId="15538" xr:uid="{00000000-0005-0000-0000-0000493B0000}"/>
    <cellStyle name="Normal 123 2 2 2" xfId="15539" xr:uid="{00000000-0005-0000-0000-00004A3B0000}"/>
    <cellStyle name="Normal 123 2 2 2 2" xfId="15540" xr:uid="{00000000-0005-0000-0000-00004B3B0000}"/>
    <cellStyle name="Normal 123 2 2 2 2 2" xfId="15541" xr:uid="{00000000-0005-0000-0000-00004C3B0000}"/>
    <cellStyle name="Normal 123 2 2 2 2 3" xfId="15542" xr:uid="{00000000-0005-0000-0000-00004D3B0000}"/>
    <cellStyle name="Normal 123 2 2 2 3" xfId="15543" xr:uid="{00000000-0005-0000-0000-00004E3B0000}"/>
    <cellStyle name="Normal 123 2 2 2 3 2" xfId="15544" xr:uid="{00000000-0005-0000-0000-00004F3B0000}"/>
    <cellStyle name="Normal 123 2 2 2 3 3" xfId="15545" xr:uid="{00000000-0005-0000-0000-0000503B0000}"/>
    <cellStyle name="Normal 123 2 2 2 4" xfId="15546" xr:uid="{00000000-0005-0000-0000-0000513B0000}"/>
    <cellStyle name="Normal 123 2 2 2 5" xfId="15547" xr:uid="{00000000-0005-0000-0000-0000523B0000}"/>
    <cellStyle name="Normal 123 2 2 2 6" xfId="15548" xr:uid="{00000000-0005-0000-0000-0000533B0000}"/>
    <cellStyle name="Normal 123 2 2 3" xfId="15549" xr:uid="{00000000-0005-0000-0000-0000543B0000}"/>
    <cellStyle name="Normal 123 2 2 3 2" xfId="15550" xr:uid="{00000000-0005-0000-0000-0000553B0000}"/>
    <cellStyle name="Normal 123 2 2 3 3" xfId="15551" xr:uid="{00000000-0005-0000-0000-0000563B0000}"/>
    <cellStyle name="Normal 123 2 2 4" xfId="15552" xr:uid="{00000000-0005-0000-0000-0000573B0000}"/>
    <cellStyle name="Normal 123 2 2 4 2" xfId="15553" xr:uid="{00000000-0005-0000-0000-0000583B0000}"/>
    <cellStyle name="Normal 123 2 2 4 3" xfId="15554" xr:uid="{00000000-0005-0000-0000-0000593B0000}"/>
    <cellStyle name="Normal 123 2 2 5" xfId="15555" xr:uid="{00000000-0005-0000-0000-00005A3B0000}"/>
    <cellStyle name="Normal 123 2 2 6" xfId="15556" xr:uid="{00000000-0005-0000-0000-00005B3B0000}"/>
    <cellStyle name="Normal 123 2 2 7" xfId="15557" xr:uid="{00000000-0005-0000-0000-00005C3B0000}"/>
    <cellStyle name="Normal 123 2 2 8" xfId="15558" xr:uid="{00000000-0005-0000-0000-00005D3B0000}"/>
    <cellStyle name="Normal 123 2 3" xfId="15559" xr:uid="{00000000-0005-0000-0000-00005E3B0000}"/>
    <cellStyle name="Normal 123 2 3 2" xfId="15560" xr:uid="{00000000-0005-0000-0000-00005F3B0000}"/>
    <cellStyle name="Normal 123 2 3 2 2" xfId="15561" xr:uid="{00000000-0005-0000-0000-0000603B0000}"/>
    <cellStyle name="Normal 123 2 3 2 3" xfId="15562" xr:uid="{00000000-0005-0000-0000-0000613B0000}"/>
    <cellStyle name="Normal 123 2 3 3" xfId="15563" xr:uid="{00000000-0005-0000-0000-0000623B0000}"/>
    <cellStyle name="Normal 123 2 3 3 2" xfId="15564" xr:uid="{00000000-0005-0000-0000-0000633B0000}"/>
    <cellStyle name="Normal 123 2 3 3 3" xfId="15565" xr:uid="{00000000-0005-0000-0000-0000643B0000}"/>
    <cellStyle name="Normal 123 2 3 4" xfId="15566" xr:uid="{00000000-0005-0000-0000-0000653B0000}"/>
    <cellStyle name="Normal 123 2 3 5" xfId="15567" xr:uid="{00000000-0005-0000-0000-0000663B0000}"/>
    <cellStyle name="Normal 123 2 3 6" xfId="15568" xr:uid="{00000000-0005-0000-0000-0000673B0000}"/>
    <cellStyle name="Normal 123 2 4" xfId="15569" xr:uid="{00000000-0005-0000-0000-0000683B0000}"/>
    <cellStyle name="Normal 123 2 4 2" xfId="15570" xr:uid="{00000000-0005-0000-0000-0000693B0000}"/>
    <cellStyle name="Normal 123 2 4 3" xfId="15571" xr:uid="{00000000-0005-0000-0000-00006A3B0000}"/>
    <cellStyle name="Normal 123 2 5" xfId="15572" xr:uid="{00000000-0005-0000-0000-00006B3B0000}"/>
    <cellStyle name="Normal 123 2 5 2" xfId="15573" xr:uid="{00000000-0005-0000-0000-00006C3B0000}"/>
    <cellStyle name="Normal 123 2 5 3" xfId="15574" xr:uid="{00000000-0005-0000-0000-00006D3B0000}"/>
    <cellStyle name="Normal 123 2 6" xfId="15575" xr:uid="{00000000-0005-0000-0000-00006E3B0000}"/>
    <cellStyle name="Normal 123 2 7" xfId="15576" xr:uid="{00000000-0005-0000-0000-00006F3B0000}"/>
    <cellStyle name="Normal 123 2 8" xfId="15577" xr:uid="{00000000-0005-0000-0000-0000703B0000}"/>
    <cellStyle name="Normal 123 2 9" xfId="15578" xr:uid="{00000000-0005-0000-0000-0000713B0000}"/>
    <cellStyle name="Normal 123 3" xfId="15579" xr:uid="{00000000-0005-0000-0000-0000723B0000}"/>
    <cellStyle name="Normal 123 3 2" xfId="15580" xr:uid="{00000000-0005-0000-0000-0000733B0000}"/>
    <cellStyle name="Normal 123 3 2 2" xfId="15581" xr:uid="{00000000-0005-0000-0000-0000743B0000}"/>
    <cellStyle name="Normal 123 3 2 2 2" xfId="15582" xr:uid="{00000000-0005-0000-0000-0000753B0000}"/>
    <cellStyle name="Normal 123 3 2 2 3" xfId="15583" xr:uid="{00000000-0005-0000-0000-0000763B0000}"/>
    <cellStyle name="Normal 123 3 2 3" xfId="15584" xr:uid="{00000000-0005-0000-0000-0000773B0000}"/>
    <cellStyle name="Normal 123 3 2 3 2" xfId="15585" xr:uid="{00000000-0005-0000-0000-0000783B0000}"/>
    <cellStyle name="Normal 123 3 2 3 3" xfId="15586" xr:uid="{00000000-0005-0000-0000-0000793B0000}"/>
    <cellStyle name="Normal 123 3 2 4" xfId="15587" xr:uid="{00000000-0005-0000-0000-00007A3B0000}"/>
    <cellStyle name="Normal 123 3 2 5" xfId="15588" xr:uid="{00000000-0005-0000-0000-00007B3B0000}"/>
    <cellStyle name="Normal 123 3 2 6" xfId="15589" xr:uid="{00000000-0005-0000-0000-00007C3B0000}"/>
    <cellStyle name="Normal 123 3 3" xfId="15590" xr:uid="{00000000-0005-0000-0000-00007D3B0000}"/>
    <cellStyle name="Normal 123 3 3 2" xfId="15591" xr:uid="{00000000-0005-0000-0000-00007E3B0000}"/>
    <cellStyle name="Normal 123 3 3 3" xfId="15592" xr:uid="{00000000-0005-0000-0000-00007F3B0000}"/>
    <cellStyle name="Normal 123 3 4" xfId="15593" xr:uid="{00000000-0005-0000-0000-0000803B0000}"/>
    <cellStyle name="Normal 123 3 4 2" xfId="15594" xr:uid="{00000000-0005-0000-0000-0000813B0000}"/>
    <cellStyle name="Normal 123 3 4 3" xfId="15595" xr:uid="{00000000-0005-0000-0000-0000823B0000}"/>
    <cellStyle name="Normal 123 3 5" xfId="15596" xr:uid="{00000000-0005-0000-0000-0000833B0000}"/>
    <cellStyle name="Normal 123 3 6" xfId="15597" xr:uid="{00000000-0005-0000-0000-0000843B0000}"/>
    <cellStyle name="Normal 123 3 7" xfId="15598" xr:uid="{00000000-0005-0000-0000-0000853B0000}"/>
    <cellStyle name="Normal 123 3 8" xfId="15599" xr:uid="{00000000-0005-0000-0000-0000863B0000}"/>
    <cellStyle name="Normal 123 4" xfId="15600" xr:uid="{00000000-0005-0000-0000-0000873B0000}"/>
    <cellStyle name="Normal 123 4 2" xfId="15601" xr:uid="{00000000-0005-0000-0000-0000883B0000}"/>
    <cellStyle name="Normal 123 4 2 2" xfId="15602" xr:uid="{00000000-0005-0000-0000-0000893B0000}"/>
    <cellStyle name="Normal 123 4 2 3" xfId="15603" xr:uid="{00000000-0005-0000-0000-00008A3B0000}"/>
    <cellStyle name="Normal 123 4 3" xfId="15604" xr:uid="{00000000-0005-0000-0000-00008B3B0000}"/>
    <cellStyle name="Normal 123 4 3 2" xfId="15605" xr:uid="{00000000-0005-0000-0000-00008C3B0000}"/>
    <cellStyle name="Normal 123 4 3 3" xfId="15606" xr:uid="{00000000-0005-0000-0000-00008D3B0000}"/>
    <cellStyle name="Normal 123 4 4" xfId="15607" xr:uid="{00000000-0005-0000-0000-00008E3B0000}"/>
    <cellStyle name="Normal 123 4 5" xfId="15608" xr:uid="{00000000-0005-0000-0000-00008F3B0000}"/>
    <cellStyle name="Normal 123 4 6" xfId="15609" xr:uid="{00000000-0005-0000-0000-0000903B0000}"/>
    <cellStyle name="Normal 123 5" xfId="15610" xr:uid="{00000000-0005-0000-0000-0000913B0000}"/>
    <cellStyle name="Normal 123 5 2" xfId="15611" xr:uid="{00000000-0005-0000-0000-0000923B0000}"/>
    <cellStyle name="Normal 123 5 3" xfId="15612" xr:uid="{00000000-0005-0000-0000-0000933B0000}"/>
    <cellStyle name="Normal 123 6" xfId="15613" xr:uid="{00000000-0005-0000-0000-0000943B0000}"/>
    <cellStyle name="Normal 123 6 2" xfId="15614" xr:uid="{00000000-0005-0000-0000-0000953B0000}"/>
    <cellStyle name="Normal 123 6 3" xfId="15615" xr:uid="{00000000-0005-0000-0000-0000963B0000}"/>
    <cellStyle name="Normal 123 7" xfId="15616" xr:uid="{00000000-0005-0000-0000-0000973B0000}"/>
    <cellStyle name="Normal 123 8" xfId="15617" xr:uid="{00000000-0005-0000-0000-0000983B0000}"/>
    <cellStyle name="Normal 123 9" xfId="15618" xr:uid="{00000000-0005-0000-0000-0000993B0000}"/>
    <cellStyle name="Normal 124" xfId="2090" xr:uid="{00000000-0005-0000-0000-00009A3B0000}"/>
    <cellStyle name="Normal 124 10" xfId="15619" xr:uid="{00000000-0005-0000-0000-00009B3B0000}"/>
    <cellStyle name="Normal 124 11" xfId="15620" xr:uid="{00000000-0005-0000-0000-00009C3B0000}"/>
    <cellStyle name="Normal 124 12" xfId="15621" xr:uid="{00000000-0005-0000-0000-00009D3B0000}"/>
    <cellStyle name="Normal 124 2" xfId="2091" xr:uid="{00000000-0005-0000-0000-00009E3B0000}"/>
    <cellStyle name="Normal 124 2 10" xfId="15622" xr:uid="{00000000-0005-0000-0000-00009F3B0000}"/>
    <cellStyle name="Normal 124 2 2" xfId="15623" xr:uid="{00000000-0005-0000-0000-0000A03B0000}"/>
    <cellStyle name="Normal 124 2 2 2" xfId="15624" xr:uid="{00000000-0005-0000-0000-0000A13B0000}"/>
    <cellStyle name="Normal 124 2 2 2 2" xfId="15625" xr:uid="{00000000-0005-0000-0000-0000A23B0000}"/>
    <cellStyle name="Normal 124 2 2 2 2 2" xfId="15626" xr:uid="{00000000-0005-0000-0000-0000A33B0000}"/>
    <cellStyle name="Normal 124 2 2 2 2 3" xfId="15627" xr:uid="{00000000-0005-0000-0000-0000A43B0000}"/>
    <cellStyle name="Normal 124 2 2 2 3" xfId="15628" xr:uid="{00000000-0005-0000-0000-0000A53B0000}"/>
    <cellStyle name="Normal 124 2 2 2 3 2" xfId="15629" xr:uid="{00000000-0005-0000-0000-0000A63B0000}"/>
    <cellStyle name="Normal 124 2 2 2 3 3" xfId="15630" xr:uid="{00000000-0005-0000-0000-0000A73B0000}"/>
    <cellStyle name="Normal 124 2 2 2 4" xfId="15631" xr:uid="{00000000-0005-0000-0000-0000A83B0000}"/>
    <cellStyle name="Normal 124 2 2 2 5" xfId="15632" xr:uid="{00000000-0005-0000-0000-0000A93B0000}"/>
    <cellStyle name="Normal 124 2 2 2 6" xfId="15633" xr:uid="{00000000-0005-0000-0000-0000AA3B0000}"/>
    <cellStyle name="Normal 124 2 2 3" xfId="15634" xr:uid="{00000000-0005-0000-0000-0000AB3B0000}"/>
    <cellStyle name="Normal 124 2 2 3 2" xfId="15635" xr:uid="{00000000-0005-0000-0000-0000AC3B0000}"/>
    <cellStyle name="Normal 124 2 2 3 3" xfId="15636" xr:uid="{00000000-0005-0000-0000-0000AD3B0000}"/>
    <cellStyle name="Normal 124 2 2 4" xfId="15637" xr:uid="{00000000-0005-0000-0000-0000AE3B0000}"/>
    <cellStyle name="Normal 124 2 2 4 2" xfId="15638" xr:uid="{00000000-0005-0000-0000-0000AF3B0000}"/>
    <cellStyle name="Normal 124 2 2 4 3" xfId="15639" xr:uid="{00000000-0005-0000-0000-0000B03B0000}"/>
    <cellStyle name="Normal 124 2 2 5" xfId="15640" xr:uid="{00000000-0005-0000-0000-0000B13B0000}"/>
    <cellStyle name="Normal 124 2 2 6" xfId="15641" xr:uid="{00000000-0005-0000-0000-0000B23B0000}"/>
    <cellStyle name="Normal 124 2 2 7" xfId="15642" xr:uid="{00000000-0005-0000-0000-0000B33B0000}"/>
    <cellStyle name="Normal 124 2 2 8" xfId="15643" xr:uid="{00000000-0005-0000-0000-0000B43B0000}"/>
    <cellStyle name="Normal 124 2 3" xfId="15644" xr:uid="{00000000-0005-0000-0000-0000B53B0000}"/>
    <cellStyle name="Normal 124 2 3 2" xfId="15645" xr:uid="{00000000-0005-0000-0000-0000B63B0000}"/>
    <cellStyle name="Normal 124 2 3 2 2" xfId="15646" xr:uid="{00000000-0005-0000-0000-0000B73B0000}"/>
    <cellStyle name="Normal 124 2 3 2 3" xfId="15647" xr:uid="{00000000-0005-0000-0000-0000B83B0000}"/>
    <cellStyle name="Normal 124 2 3 3" xfId="15648" xr:uid="{00000000-0005-0000-0000-0000B93B0000}"/>
    <cellStyle name="Normal 124 2 3 3 2" xfId="15649" xr:uid="{00000000-0005-0000-0000-0000BA3B0000}"/>
    <cellStyle name="Normal 124 2 3 3 3" xfId="15650" xr:uid="{00000000-0005-0000-0000-0000BB3B0000}"/>
    <cellStyle name="Normal 124 2 3 4" xfId="15651" xr:uid="{00000000-0005-0000-0000-0000BC3B0000}"/>
    <cellStyle name="Normal 124 2 3 5" xfId="15652" xr:uid="{00000000-0005-0000-0000-0000BD3B0000}"/>
    <cellStyle name="Normal 124 2 3 6" xfId="15653" xr:uid="{00000000-0005-0000-0000-0000BE3B0000}"/>
    <cellStyle name="Normal 124 2 4" xfId="15654" xr:uid="{00000000-0005-0000-0000-0000BF3B0000}"/>
    <cellStyle name="Normal 124 2 4 2" xfId="15655" xr:uid="{00000000-0005-0000-0000-0000C03B0000}"/>
    <cellStyle name="Normal 124 2 4 3" xfId="15656" xr:uid="{00000000-0005-0000-0000-0000C13B0000}"/>
    <cellStyle name="Normal 124 2 5" xfId="15657" xr:uid="{00000000-0005-0000-0000-0000C23B0000}"/>
    <cellStyle name="Normal 124 2 5 2" xfId="15658" xr:uid="{00000000-0005-0000-0000-0000C33B0000}"/>
    <cellStyle name="Normal 124 2 5 3" xfId="15659" xr:uid="{00000000-0005-0000-0000-0000C43B0000}"/>
    <cellStyle name="Normal 124 2 6" xfId="15660" xr:uid="{00000000-0005-0000-0000-0000C53B0000}"/>
    <cellStyle name="Normal 124 2 7" xfId="15661" xr:uid="{00000000-0005-0000-0000-0000C63B0000}"/>
    <cellStyle name="Normal 124 2 8" xfId="15662" xr:uid="{00000000-0005-0000-0000-0000C73B0000}"/>
    <cellStyle name="Normal 124 2 9" xfId="15663" xr:uid="{00000000-0005-0000-0000-0000C83B0000}"/>
    <cellStyle name="Normal 124 3" xfId="15664" xr:uid="{00000000-0005-0000-0000-0000C93B0000}"/>
    <cellStyle name="Normal 124 3 2" xfId="15665" xr:uid="{00000000-0005-0000-0000-0000CA3B0000}"/>
    <cellStyle name="Normal 124 3 2 2" xfId="15666" xr:uid="{00000000-0005-0000-0000-0000CB3B0000}"/>
    <cellStyle name="Normal 124 3 2 2 2" xfId="15667" xr:uid="{00000000-0005-0000-0000-0000CC3B0000}"/>
    <cellStyle name="Normal 124 3 2 2 3" xfId="15668" xr:uid="{00000000-0005-0000-0000-0000CD3B0000}"/>
    <cellStyle name="Normal 124 3 2 3" xfId="15669" xr:uid="{00000000-0005-0000-0000-0000CE3B0000}"/>
    <cellStyle name="Normal 124 3 2 3 2" xfId="15670" xr:uid="{00000000-0005-0000-0000-0000CF3B0000}"/>
    <cellStyle name="Normal 124 3 2 3 3" xfId="15671" xr:uid="{00000000-0005-0000-0000-0000D03B0000}"/>
    <cellStyle name="Normal 124 3 2 4" xfId="15672" xr:uid="{00000000-0005-0000-0000-0000D13B0000}"/>
    <cellStyle name="Normal 124 3 2 5" xfId="15673" xr:uid="{00000000-0005-0000-0000-0000D23B0000}"/>
    <cellStyle name="Normal 124 3 2 6" xfId="15674" xr:uid="{00000000-0005-0000-0000-0000D33B0000}"/>
    <cellStyle name="Normal 124 3 3" xfId="15675" xr:uid="{00000000-0005-0000-0000-0000D43B0000}"/>
    <cellStyle name="Normal 124 3 3 2" xfId="15676" xr:uid="{00000000-0005-0000-0000-0000D53B0000}"/>
    <cellStyle name="Normal 124 3 3 3" xfId="15677" xr:uid="{00000000-0005-0000-0000-0000D63B0000}"/>
    <cellStyle name="Normal 124 3 4" xfId="15678" xr:uid="{00000000-0005-0000-0000-0000D73B0000}"/>
    <cellStyle name="Normal 124 3 4 2" xfId="15679" xr:uid="{00000000-0005-0000-0000-0000D83B0000}"/>
    <cellStyle name="Normal 124 3 4 3" xfId="15680" xr:uid="{00000000-0005-0000-0000-0000D93B0000}"/>
    <cellStyle name="Normal 124 3 5" xfId="15681" xr:uid="{00000000-0005-0000-0000-0000DA3B0000}"/>
    <cellStyle name="Normal 124 3 6" xfId="15682" xr:uid="{00000000-0005-0000-0000-0000DB3B0000}"/>
    <cellStyle name="Normal 124 3 7" xfId="15683" xr:uid="{00000000-0005-0000-0000-0000DC3B0000}"/>
    <cellStyle name="Normal 124 3 8" xfId="15684" xr:uid="{00000000-0005-0000-0000-0000DD3B0000}"/>
    <cellStyle name="Normal 124 4" xfId="15685" xr:uid="{00000000-0005-0000-0000-0000DE3B0000}"/>
    <cellStyle name="Normal 124 4 2" xfId="15686" xr:uid="{00000000-0005-0000-0000-0000DF3B0000}"/>
    <cellStyle name="Normal 124 4 2 2" xfId="15687" xr:uid="{00000000-0005-0000-0000-0000E03B0000}"/>
    <cellStyle name="Normal 124 4 2 3" xfId="15688" xr:uid="{00000000-0005-0000-0000-0000E13B0000}"/>
    <cellStyle name="Normal 124 4 3" xfId="15689" xr:uid="{00000000-0005-0000-0000-0000E23B0000}"/>
    <cellStyle name="Normal 124 4 3 2" xfId="15690" xr:uid="{00000000-0005-0000-0000-0000E33B0000}"/>
    <cellStyle name="Normal 124 4 3 3" xfId="15691" xr:uid="{00000000-0005-0000-0000-0000E43B0000}"/>
    <cellStyle name="Normal 124 4 4" xfId="15692" xr:uid="{00000000-0005-0000-0000-0000E53B0000}"/>
    <cellStyle name="Normal 124 4 5" xfId="15693" xr:uid="{00000000-0005-0000-0000-0000E63B0000}"/>
    <cellStyle name="Normal 124 4 6" xfId="15694" xr:uid="{00000000-0005-0000-0000-0000E73B0000}"/>
    <cellStyle name="Normal 124 5" xfId="15695" xr:uid="{00000000-0005-0000-0000-0000E83B0000}"/>
    <cellStyle name="Normal 124 5 2" xfId="15696" xr:uid="{00000000-0005-0000-0000-0000E93B0000}"/>
    <cellStyle name="Normal 124 5 3" xfId="15697" xr:uid="{00000000-0005-0000-0000-0000EA3B0000}"/>
    <cellStyle name="Normal 124 6" xfId="15698" xr:uid="{00000000-0005-0000-0000-0000EB3B0000}"/>
    <cellStyle name="Normal 124 6 2" xfId="15699" xr:uid="{00000000-0005-0000-0000-0000EC3B0000}"/>
    <cellStyle name="Normal 124 6 3" xfId="15700" xr:uid="{00000000-0005-0000-0000-0000ED3B0000}"/>
    <cellStyle name="Normal 124 7" xfId="15701" xr:uid="{00000000-0005-0000-0000-0000EE3B0000}"/>
    <cellStyle name="Normal 124 8" xfId="15702" xr:uid="{00000000-0005-0000-0000-0000EF3B0000}"/>
    <cellStyle name="Normal 124 9" xfId="15703" xr:uid="{00000000-0005-0000-0000-0000F03B0000}"/>
    <cellStyle name="Normal 125" xfId="2092" xr:uid="{00000000-0005-0000-0000-0000F13B0000}"/>
    <cellStyle name="Normal 125 10" xfId="15704" xr:uid="{00000000-0005-0000-0000-0000F23B0000}"/>
    <cellStyle name="Normal 125 11" xfId="15705" xr:uid="{00000000-0005-0000-0000-0000F33B0000}"/>
    <cellStyle name="Normal 125 12" xfId="15706" xr:uid="{00000000-0005-0000-0000-0000F43B0000}"/>
    <cellStyle name="Normal 125 2" xfId="15707" xr:uid="{00000000-0005-0000-0000-0000F53B0000}"/>
    <cellStyle name="Normal 125 2 2" xfId="15708" xr:uid="{00000000-0005-0000-0000-0000F63B0000}"/>
    <cellStyle name="Normal 125 2 2 2" xfId="15709" xr:uid="{00000000-0005-0000-0000-0000F73B0000}"/>
    <cellStyle name="Normal 125 2 2 2 2" xfId="15710" xr:uid="{00000000-0005-0000-0000-0000F83B0000}"/>
    <cellStyle name="Normal 125 2 2 2 2 2" xfId="15711" xr:uid="{00000000-0005-0000-0000-0000F93B0000}"/>
    <cellStyle name="Normal 125 2 2 2 2 3" xfId="15712" xr:uid="{00000000-0005-0000-0000-0000FA3B0000}"/>
    <cellStyle name="Normal 125 2 2 2 3" xfId="15713" xr:uid="{00000000-0005-0000-0000-0000FB3B0000}"/>
    <cellStyle name="Normal 125 2 2 2 3 2" xfId="15714" xr:uid="{00000000-0005-0000-0000-0000FC3B0000}"/>
    <cellStyle name="Normal 125 2 2 2 3 3" xfId="15715" xr:uid="{00000000-0005-0000-0000-0000FD3B0000}"/>
    <cellStyle name="Normal 125 2 2 2 4" xfId="15716" xr:uid="{00000000-0005-0000-0000-0000FE3B0000}"/>
    <cellStyle name="Normal 125 2 2 2 5" xfId="15717" xr:uid="{00000000-0005-0000-0000-0000FF3B0000}"/>
    <cellStyle name="Normal 125 2 2 2 6" xfId="15718" xr:uid="{00000000-0005-0000-0000-0000003C0000}"/>
    <cellStyle name="Normal 125 2 2 3" xfId="15719" xr:uid="{00000000-0005-0000-0000-0000013C0000}"/>
    <cellStyle name="Normal 125 2 2 3 2" xfId="15720" xr:uid="{00000000-0005-0000-0000-0000023C0000}"/>
    <cellStyle name="Normal 125 2 2 3 3" xfId="15721" xr:uid="{00000000-0005-0000-0000-0000033C0000}"/>
    <cellStyle name="Normal 125 2 2 4" xfId="15722" xr:uid="{00000000-0005-0000-0000-0000043C0000}"/>
    <cellStyle name="Normal 125 2 2 4 2" xfId="15723" xr:uid="{00000000-0005-0000-0000-0000053C0000}"/>
    <cellStyle name="Normal 125 2 2 4 3" xfId="15724" xr:uid="{00000000-0005-0000-0000-0000063C0000}"/>
    <cellStyle name="Normal 125 2 2 5" xfId="15725" xr:uid="{00000000-0005-0000-0000-0000073C0000}"/>
    <cellStyle name="Normal 125 2 2 6" xfId="15726" xr:uid="{00000000-0005-0000-0000-0000083C0000}"/>
    <cellStyle name="Normal 125 2 2 7" xfId="15727" xr:uid="{00000000-0005-0000-0000-0000093C0000}"/>
    <cellStyle name="Normal 125 2 2 8" xfId="15728" xr:uid="{00000000-0005-0000-0000-00000A3C0000}"/>
    <cellStyle name="Normal 125 2 3" xfId="15729" xr:uid="{00000000-0005-0000-0000-00000B3C0000}"/>
    <cellStyle name="Normal 125 2 3 2" xfId="15730" xr:uid="{00000000-0005-0000-0000-00000C3C0000}"/>
    <cellStyle name="Normal 125 2 3 2 2" xfId="15731" xr:uid="{00000000-0005-0000-0000-00000D3C0000}"/>
    <cellStyle name="Normal 125 2 3 2 3" xfId="15732" xr:uid="{00000000-0005-0000-0000-00000E3C0000}"/>
    <cellStyle name="Normal 125 2 3 3" xfId="15733" xr:uid="{00000000-0005-0000-0000-00000F3C0000}"/>
    <cellStyle name="Normal 125 2 3 3 2" xfId="15734" xr:uid="{00000000-0005-0000-0000-0000103C0000}"/>
    <cellStyle name="Normal 125 2 3 3 3" xfId="15735" xr:uid="{00000000-0005-0000-0000-0000113C0000}"/>
    <cellStyle name="Normal 125 2 3 4" xfId="15736" xr:uid="{00000000-0005-0000-0000-0000123C0000}"/>
    <cellStyle name="Normal 125 2 3 5" xfId="15737" xr:uid="{00000000-0005-0000-0000-0000133C0000}"/>
    <cellStyle name="Normal 125 2 3 6" xfId="15738" xr:uid="{00000000-0005-0000-0000-0000143C0000}"/>
    <cellStyle name="Normal 125 2 4" xfId="15739" xr:uid="{00000000-0005-0000-0000-0000153C0000}"/>
    <cellStyle name="Normal 125 2 4 2" xfId="15740" xr:uid="{00000000-0005-0000-0000-0000163C0000}"/>
    <cellStyle name="Normal 125 2 4 3" xfId="15741" xr:uid="{00000000-0005-0000-0000-0000173C0000}"/>
    <cellStyle name="Normal 125 2 5" xfId="15742" xr:uid="{00000000-0005-0000-0000-0000183C0000}"/>
    <cellStyle name="Normal 125 2 5 2" xfId="15743" xr:uid="{00000000-0005-0000-0000-0000193C0000}"/>
    <cellStyle name="Normal 125 2 5 3" xfId="15744" xr:uid="{00000000-0005-0000-0000-00001A3C0000}"/>
    <cellStyle name="Normal 125 2 6" xfId="15745" xr:uid="{00000000-0005-0000-0000-00001B3C0000}"/>
    <cellStyle name="Normal 125 2 7" xfId="15746" xr:uid="{00000000-0005-0000-0000-00001C3C0000}"/>
    <cellStyle name="Normal 125 2 8" xfId="15747" xr:uid="{00000000-0005-0000-0000-00001D3C0000}"/>
    <cellStyle name="Normal 125 2 9" xfId="15748" xr:uid="{00000000-0005-0000-0000-00001E3C0000}"/>
    <cellStyle name="Normal 125 3" xfId="15749" xr:uid="{00000000-0005-0000-0000-00001F3C0000}"/>
    <cellStyle name="Normal 125 3 2" xfId="15750" xr:uid="{00000000-0005-0000-0000-0000203C0000}"/>
    <cellStyle name="Normal 125 3 2 2" xfId="15751" xr:uid="{00000000-0005-0000-0000-0000213C0000}"/>
    <cellStyle name="Normal 125 3 2 2 2" xfId="15752" xr:uid="{00000000-0005-0000-0000-0000223C0000}"/>
    <cellStyle name="Normal 125 3 2 2 3" xfId="15753" xr:uid="{00000000-0005-0000-0000-0000233C0000}"/>
    <cellStyle name="Normal 125 3 2 3" xfId="15754" xr:uid="{00000000-0005-0000-0000-0000243C0000}"/>
    <cellStyle name="Normal 125 3 2 3 2" xfId="15755" xr:uid="{00000000-0005-0000-0000-0000253C0000}"/>
    <cellStyle name="Normal 125 3 2 3 3" xfId="15756" xr:uid="{00000000-0005-0000-0000-0000263C0000}"/>
    <cellStyle name="Normal 125 3 2 4" xfId="15757" xr:uid="{00000000-0005-0000-0000-0000273C0000}"/>
    <cellStyle name="Normal 125 3 2 5" xfId="15758" xr:uid="{00000000-0005-0000-0000-0000283C0000}"/>
    <cellStyle name="Normal 125 3 2 6" xfId="15759" xr:uid="{00000000-0005-0000-0000-0000293C0000}"/>
    <cellStyle name="Normal 125 3 3" xfId="15760" xr:uid="{00000000-0005-0000-0000-00002A3C0000}"/>
    <cellStyle name="Normal 125 3 3 2" xfId="15761" xr:uid="{00000000-0005-0000-0000-00002B3C0000}"/>
    <cellStyle name="Normal 125 3 3 3" xfId="15762" xr:uid="{00000000-0005-0000-0000-00002C3C0000}"/>
    <cellStyle name="Normal 125 3 4" xfId="15763" xr:uid="{00000000-0005-0000-0000-00002D3C0000}"/>
    <cellStyle name="Normal 125 3 4 2" xfId="15764" xr:uid="{00000000-0005-0000-0000-00002E3C0000}"/>
    <cellStyle name="Normal 125 3 4 3" xfId="15765" xr:uid="{00000000-0005-0000-0000-00002F3C0000}"/>
    <cellStyle name="Normal 125 3 5" xfId="15766" xr:uid="{00000000-0005-0000-0000-0000303C0000}"/>
    <cellStyle name="Normal 125 3 6" xfId="15767" xr:uid="{00000000-0005-0000-0000-0000313C0000}"/>
    <cellStyle name="Normal 125 3 7" xfId="15768" xr:uid="{00000000-0005-0000-0000-0000323C0000}"/>
    <cellStyle name="Normal 125 3 8" xfId="15769" xr:uid="{00000000-0005-0000-0000-0000333C0000}"/>
    <cellStyle name="Normal 125 4" xfId="15770" xr:uid="{00000000-0005-0000-0000-0000343C0000}"/>
    <cellStyle name="Normal 125 4 2" xfId="15771" xr:uid="{00000000-0005-0000-0000-0000353C0000}"/>
    <cellStyle name="Normal 125 4 2 2" xfId="15772" xr:uid="{00000000-0005-0000-0000-0000363C0000}"/>
    <cellStyle name="Normal 125 4 2 3" xfId="15773" xr:uid="{00000000-0005-0000-0000-0000373C0000}"/>
    <cellStyle name="Normal 125 4 3" xfId="15774" xr:uid="{00000000-0005-0000-0000-0000383C0000}"/>
    <cellStyle name="Normal 125 4 3 2" xfId="15775" xr:uid="{00000000-0005-0000-0000-0000393C0000}"/>
    <cellStyle name="Normal 125 4 3 3" xfId="15776" xr:uid="{00000000-0005-0000-0000-00003A3C0000}"/>
    <cellStyle name="Normal 125 4 4" xfId="15777" xr:uid="{00000000-0005-0000-0000-00003B3C0000}"/>
    <cellStyle name="Normal 125 4 5" xfId="15778" xr:uid="{00000000-0005-0000-0000-00003C3C0000}"/>
    <cellStyle name="Normal 125 4 6" xfId="15779" xr:uid="{00000000-0005-0000-0000-00003D3C0000}"/>
    <cellStyle name="Normal 125 5" xfId="15780" xr:uid="{00000000-0005-0000-0000-00003E3C0000}"/>
    <cellStyle name="Normal 125 5 2" xfId="15781" xr:uid="{00000000-0005-0000-0000-00003F3C0000}"/>
    <cellStyle name="Normal 125 5 3" xfId="15782" xr:uid="{00000000-0005-0000-0000-0000403C0000}"/>
    <cellStyle name="Normal 125 6" xfId="15783" xr:uid="{00000000-0005-0000-0000-0000413C0000}"/>
    <cellStyle name="Normal 125 6 2" xfId="15784" xr:uid="{00000000-0005-0000-0000-0000423C0000}"/>
    <cellStyle name="Normal 125 6 3" xfId="15785" xr:uid="{00000000-0005-0000-0000-0000433C0000}"/>
    <cellStyle name="Normal 125 7" xfId="15786" xr:uid="{00000000-0005-0000-0000-0000443C0000}"/>
    <cellStyle name="Normal 125 8" xfId="15787" xr:uid="{00000000-0005-0000-0000-0000453C0000}"/>
    <cellStyle name="Normal 125 9" xfId="15788" xr:uid="{00000000-0005-0000-0000-0000463C0000}"/>
    <cellStyle name="Normal 126" xfId="2093" xr:uid="{00000000-0005-0000-0000-0000473C0000}"/>
    <cellStyle name="Normal 126 10" xfId="15789" xr:uid="{00000000-0005-0000-0000-0000483C0000}"/>
    <cellStyle name="Normal 126 11" xfId="15790" xr:uid="{00000000-0005-0000-0000-0000493C0000}"/>
    <cellStyle name="Normal 126 12" xfId="15791" xr:uid="{00000000-0005-0000-0000-00004A3C0000}"/>
    <cellStyle name="Normal 126 2" xfId="15792" xr:uid="{00000000-0005-0000-0000-00004B3C0000}"/>
    <cellStyle name="Normal 126 2 2" xfId="15793" xr:uid="{00000000-0005-0000-0000-00004C3C0000}"/>
    <cellStyle name="Normal 126 2 2 2" xfId="15794" xr:uid="{00000000-0005-0000-0000-00004D3C0000}"/>
    <cellStyle name="Normal 126 2 2 2 2" xfId="15795" xr:uid="{00000000-0005-0000-0000-00004E3C0000}"/>
    <cellStyle name="Normal 126 2 2 2 2 2" xfId="15796" xr:uid="{00000000-0005-0000-0000-00004F3C0000}"/>
    <cellStyle name="Normal 126 2 2 2 2 3" xfId="15797" xr:uid="{00000000-0005-0000-0000-0000503C0000}"/>
    <cellStyle name="Normal 126 2 2 2 3" xfId="15798" xr:uid="{00000000-0005-0000-0000-0000513C0000}"/>
    <cellStyle name="Normal 126 2 2 2 3 2" xfId="15799" xr:uid="{00000000-0005-0000-0000-0000523C0000}"/>
    <cellStyle name="Normal 126 2 2 2 3 3" xfId="15800" xr:uid="{00000000-0005-0000-0000-0000533C0000}"/>
    <cellStyle name="Normal 126 2 2 2 4" xfId="15801" xr:uid="{00000000-0005-0000-0000-0000543C0000}"/>
    <cellStyle name="Normal 126 2 2 2 5" xfId="15802" xr:uid="{00000000-0005-0000-0000-0000553C0000}"/>
    <cellStyle name="Normal 126 2 2 2 6" xfId="15803" xr:uid="{00000000-0005-0000-0000-0000563C0000}"/>
    <cellStyle name="Normal 126 2 2 3" xfId="15804" xr:uid="{00000000-0005-0000-0000-0000573C0000}"/>
    <cellStyle name="Normal 126 2 2 3 2" xfId="15805" xr:uid="{00000000-0005-0000-0000-0000583C0000}"/>
    <cellStyle name="Normal 126 2 2 3 3" xfId="15806" xr:uid="{00000000-0005-0000-0000-0000593C0000}"/>
    <cellStyle name="Normal 126 2 2 4" xfId="15807" xr:uid="{00000000-0005-0000-0000-00005A3C0000}"/>
    <cellStyle name="Normal 126 2 2 4 2" xfId="15808" xr:uid="{00000000-0005-0000-0000-00005B3C0000}"/>
    <cellStyle name="Normal 126 2 2 4 3" xfId="15809" xr:uid="{00000000-0005-0000-0000-00005C3C0000}"/>
    <cellStyle name="Normal 126 2 2 5" xfId="15810" xr:uid="{00000000-0005-0000-0000-00005D3C0000}"/>
    <cellStyle name="Normal 126 2 2 6" xfId="15811" xr:uid="{00000000-0005-0000-0000-00005E3C0000}"/>
    <cellStyle name="Normal 126 2 2 7" xfId="15812" xr:uid="{00000000-0005-0000-0000-00005F3C0000}"/>
    <cellStyle name="Normal 126 2 2 8" xfId="15813" xr:uid="{00000000-0005-0000-0000-0000603C0000}"/>
    <cellStyle name="Normal 126 2 3" xfId="15814" xr:uid="{00000000-0005-0000-0000-0000613C0000}"/>
    <cellStyle name="Normal 126 2 3 2" xfId="15815" xr:uid="{00000000-0005-0000-0000-0000623C0000}"/>
    <cellStyle name="Normal 126 2 3 2 2" xfId="15816" xr:uid="{00000000-0005-0000-0000-0000633C0000}"/>
    <cellStyle name="Normal 126 2 3 2 3" xfId="15817" xr:uid="{00000000-0005-0000-0000-0000643C0000}"/>
    <cellStyle name="Normal 126 2 3 3" xfId="15818" xr:uid="{00000000-0005-0000-0000-0000653C0000}"/>
    <cellStyle name="Normal 126 2 3 3 2" xfId="15819" xr:uid="{00000000-0005-0000-0000-0000663C0000}"/>
    <cellStyle name="Normal 126 2 3 3 3" xfId="15820" xr:uid="{00000000-0005-0000-0000-0000673C0000}"/>
    <cellStyle name="Normal 126 2 3 4" xfId="15821" xr:uid="{00000000-0005-0000-0000-0000683C0000}"/>
    <cellStyle name="Normal 126 2 3 5" xfId="15822" xr:uid="{00000000-0005-0000-0000-0000693C0000}"/>
    <cellStyle name="Normal 126 2 3 6" xfId="15823" xr:uid="{00000000-0005-0000-0000-00006A3C0000}"/>
    <cellStyle name="Normal 126 2 4" xfId="15824" xr:uid="{00000000-0005-0000-0000-00006B3C0000}"/>
    <cellStyle name="Normal 126 2 4 2" xfId="15825" xr:uid="{00000000-0005-0000-0000-00006C3C0000}"/>
    <cellStyle name="Normal 126 2 4 3" xfId="15826" xr:uid="{00000000-0005-0000-0000-00006D3C0000}"/>
    <cellStyle name="Normal 126 2 5" xfId="15827" xr:uid="{00000000-0005-0000-0000-00006E3C0000}"/>
    <cellStyle name="Normal 126 2 5 2" xfId="15828" xr:uid="{00000000-0005-0000-0000-00006F3C0000}"/>
    <cellStyle name="Normal 126 2 5 3" xfId="15829" xr:uid="{00000000-0005-0000-0000-0000703C0000}"/>
    <cellStyle name="Normal 126 2 6" xfId="15830" xr:uid="{00000000-0005-0000-0000-0000713C0000}"/>
    <cellStyle name="Normal 126 2 7" xfId="15831" xr:uid="{00000000-0005-0000-0000-0000723C0000}"/>
    <cellStyle name="Normal 126 2 8" xfId="15832" xr:uid="{00000000-0005-0000-0000-0000733C0000}"/>
    <cellStyle name="Normal 126 2 9" xfId="15833" xr:uid="{00000000-0005-0000-0000-0000743C0000}"/>
    <cellStyle name="Normal 126 3" xfId="15834" xr:uid="{00000000-0005-0000-0000-0000753C0000}"/>
    <cellStyle name="Normal 126 3 2" xfId="15835" xr:uid="{00000000-0005-0000-0000-0000763C0000}"/>
    <cellStyle name="Normal 126 3 2 2" xfId="15836" xr:uid="{00000000-0005-0000-0000-0000773C0000}"/>
    <cellStyle name="Normal 126 3 2 2 2" xfId="15837" xr:uid="{00000000-0005-0000-0000-0000783C0000}"/>
    <cellStyle name="Normal 126 3 2 2 3" xfId="15838" xr:uid="{00000000-0005-0000-0000-0000793C0000}"/>
    <cellStyle name="Normal 126 3 2 3" xfId="15839" xr:uid="{00000000-0005-0000-0000-00007A3C0000}"/>
    <cellStyle name="Normal 126 3 2 3 2" xfId="15840" xr:uid="{00000000-0005-0000-0000-00007B3C0000}"/>
    <cellStyle name="Normal 126 3 2 3 3" xfId="15841" xr:uid="{00000000-0005-0000-0000-00007C3C0000}"/>
    <cellStyle name="Normal 126 3 2 4" xfId="15842" xr:uid="{00000000-0005-0000-0000-00007D3C0000}"/>
    <cellStyle name="Normal 126 3 2 5" xfId="15843" xr:uid="{00000000-0005-0000-0000-00007E3C0000}"/>
    <cellStyle name="Normal 126 3 2 6" xfId="15844" xr:uid="{00000000-0005-0000-0000-00007F3C0000}"/>
    <cellStyle name="Normal 126 3 3" xfId="15845" xr:uid="{00000000-0005-0000-0000-0000803C0000}"/>
    <cellStyle name="Normal 126 3 3 2" xfId="15846" xr:uid="{00000000-0005-0000-0000-0000813C0000}"/>
    <cellStyle name="Normal 126 3 3 3" xfId="15847" xr:uid="{00000000-0005-0000-0000-0000823C0000}"/>
    <cellStyle name="Normal 126 3 4" xfId="15848" xr:uid="{00000000-0005-0000-0000-0000833C0000}"/>
    <cellStyle name="Normal 126 3 4 2" xfId="15849" xr:uid="{00000000-0005-0000-0000-0000843C0000}"/>
    <cellStyle name="Normal 126 3 4 3" xfId="15850" xr:uid="{00000000-0005-0000-0000-0000853C0000}"/>
    <cellStyle name="Normal 126 3 5" xfId="15851" xr:uid="{00000000-0005-0000-0000-0000863C0000}"/>
    <cellStyle name="Normal 126 3 6" xfId="15852" xr:uid="{00000000-0005-0000-0000-0000873C0000}"/>
    <cellStyle name="Normal 126 3 7" xfId="15853" xr:uid="{00000000-0005-0000-0000-0000883C0000}"/>
    <cellStyle name="Normal 126 3 8" xfId="15854" xr:uid="{00000000-0005-0000-0000-0000893C0000}"/>
    <cellStyle name="Normal 126 4" xfId="15855" xr:uid="{00000000-0005-0000-0000-00008A3C0000}"/>
    <cellStyle name="Normal 126 4 2" xfId="15856" xr:uid="{00000000-0005-0000-0000-00008B3C0000}"/>
    <cellStyle name="Normal 126 4 2 2" xfId="15857" xr:uid="{00000000-0005-0000-0000-00008C3C0000}"/>
    <cellStyle name="Normal 126 4 2 3" xfId="15858" xr:uid="{00000000-0005-0000-0000-00008D3C0000}"/>
    <cellStyle name="Normal 126 4 3" xfId="15859" xr:uid="{00000000-0005-0000-0000-00008E3C0000}"/>
    <cellStyle name="Normal 126 4 3 2" xfId="15860" xr:uid="{00000000-0005-0000-0000-00008F3C0000}"/>
    <cellStyle name="Normal 126 4 3 3" xfId="15861" xr:uid="{00000000-0005-0000-0000-0000903C0000}"/>
    <cellStyle name="Normal 126 4 4" xfId="15862" xr:uid="{00000000-0005-0000-0000-0000913C0000}"/>
    <cellStyle name="Normal 126 4 5" xfId="15863" xr:uid="{00000000-0005-0000-0000-0000923C0000}"/>
    <cellStyle name="Normal 126 4 6" xfId="15864" xr:uid="{00000000-0005-0000-0000-0000933C0000}"/>
    <cellStyle name="Normal 126 5" xfId="15865" xr:uid="{00000000-0005-0000-0000-0000943C0000}"/>
    <cellStyle name="Normal 126 5 2" xfId="15866" xr:uid="{00000000-0005-0000-0000-0000953C0000}"/>
    <cellStyle name="Normal 126 5 3" xfId="15867" xr:uid="{00000000-0005-0000-0000-0000963C0000}"/>
    <cellStyle name="Normal 126 6" xfId="15868" xr:uid="{00000000-0005-0000-0000-0000973C0000}"/>
    <cellStyle name="Normal 126 6 2" xfId="15869" xr:uid="{00000000-0005-0000-0000-0000983C0000}"/>
    <cellStyle name="Normal 126 6 3" xfId="15870" xr:uid="{00000000-0005-0000-0000-0000993C0000}"/>
    <cellStyle name="Normal 126 7" xfId="15871" xr:uid="{00000000-0005-0000-0000-00009A3C0000}"/>
    <cellStyle name="Normal 126 8" xfId="15872" xr:uid="{00000000-0005-0000-0000-00009B3C0000}"/>
    <cellStyle name="Normal 126 9" xfId="15873" xr:uid="{00000000-0005-0000-0000-00009C3C0000}"/>
    <cellStyle name="Normal 127" xfId="2094" xr:uid="{00000000-0005-0000-0000-00009D3C0000}"/>
    <cellStyle name="Normal 127 10" xfId="15874" xr:uid="{00000000-0005-0000-0000-00009E3C0000}"/>
    <cellStyle name="Normal 127 11" xfId="15875" xr:uid="{00000000-0005-0000-0000-00009F3C0000}"/>
    <cellStyle name="Normal 127 12" xfId="15876" xr:uid="{00000000-0005-0000-0000-0000A03C0000}"/>
    <cellStyle name="Normal 127 2" xfId="15877" xr:uid="{00000000-0005-0000-0000-0000A13C0000}"/>
    <cellStyle name="Normal 127 2 2" xfId="15878" xr:uid="{00000000-0005-0000-0000-0000A23C0000}"/>
    <cellStyle name="Normal 127 2 2 2" xfId="15879" xr:uid="{00000000-0005-0000-0000-0000A33C0000}"/>
    <cellStyle name="Normal 127 2 2 2 2" xfId="15880" xr:uid="{00000000-0005-0000-0000-0000A43C0000}"/>
    <cellStyle name="Normal 127 2 2 2 2 2" xfId="15881" xr:uid="{00000000-0005-0000-0000-0000A53C0000}"/>
    <cellStyle name="Normal 127 2 2 2 2 3" xfId="15882" xr:uid="{00000000-0005-0000-0000-0000A63C0000}"/>
    <cellStyle name="Normal 127 2 2 2 3" xfId="15883" xr:uid="{00000000-0005-0000-0000-0000A73C0000}"/>
    <cellStyle name="Normal 127 2 2 2 3 2" xfId="15884" xr:uid="{00000000-0005-0000-0000-0000A83C0000}"/>
    <cellStyle name="Normal 127 2 2 2 3 3" xfId="15885" xr:uid="{00000000-0005-0000-0000-0000A93C0000}"/>
    <cellStyle name="Normal 127 2 2 2 4" xfId="15886" xr:uid="{00000000-0005-0000-0000-0000AA3C0000}"/>
    <cellStyle name="Normal 127 2 2 2 5" xfId="15887" xr:uid="{00000000-0005-0000-0000-0000AB3C0000}"/>
    <cellStyle name="Normal 127 2 2 2 6" xfId="15888" xr:uid="{00000000-0005-0000-0000-0000AC3C0000}"/>
    <cellStyle name="Normal 127 2 2 3" xfId="15889" xr:uid="{00000000-0005-0000-0000-0000AD3C0000}"/>
    <cellStyle name="Normal 127 2 2 3 2" xfId="15890" xr:uid="{00000000-0005-0000-0000-0000AE3C0000}"/>
    <cellStyle name="Normal 127 2 2 3 3" xfId="15891" xr:uid="{00000000-0005-0000-0000-0000AF3C0000}"/>
    <cellStyle name="Normal 127 2 2 4" xfId="15892" xr:uid="{00000000-0005-0000-0000-0000B03C0000}"/>
    <cellStyle name="Normal 127 2 2 4 2" xfId="15893" xr:uid="{00000000-0005-0000-0000-0000B13C0000}"/>
    <cellStyle name="Normal 127 2 2 4 3" xfId="15894" xr:uid="{00000000-0005-0000-0000-0000B23C0000}"/>
    <cellStyle name="Normal 127 2 2 5" xfId="15895" xr:uid="{00000000-0005-0000-0000-0000B33C0000}"/>
    <cellStyle name="Normal 127 2 2 6" xfId="15896" xr:uid="{00000000-0005-0000-0000-0000B43C0000}"/>
    <cellStyle name="Normal 127 2 2 7" xfId="15897" xr:uid="{00000000-0005-0000-0000-0000B53C0000}"/>
    <cellStyle name="Normal 127 2 2 8" xfId="15898" xr:uid="{00000000-0005-0000-0000-0000B63C0000}"/>
    <cellStyle name="Normal 127 2 3" xfId="15899" xr:uid="{00000000-0005-0000-0000-0000B73C0000}"/>
    <cellStyle name="Normal 127 2 3 2" xfId="15900" xr:uid="{00000000-0005-0000-0000-0000B83C0000}"/>
    <cellStyle name="Normal 127 2 3 2 2" xfId="15901" xr:uid="{00000000-0005-0000-0000-0000B93C0000}"/>
    <cellStyle name="Normal 127 2 3 2 3" xfId="15902" xr:uid="{00000000-0005-0000-0000-0000BA3C0000}"/>
    <cellStyle name="Normal 127 2 3 3" xfId="15903" xr:uid="{00000000-0005-0000-0000-0000BB3C0000}"/>
    <cellStyle name="Normal 127 2 3 3 2" xfId="15904" xr:uid="{00000000-0005-0000-0000-0000BC3C0000}"/>
    <cellStyle name="Normal 127 2 3 3 3" xfId="15905" xr:uid="{00000000-0005-0000-0000-0000BD3C0000}"/>
    <cellStyle name="Normal 127 2 3 4" xfId="15906" xr:uid="{00000000-0005-0000-0000-0000BE3C0000}"/>
    <cellStyle name="Normal 127 2 3 5" xfId="15907" xr:uid="{00000000-0005-0000-0000-0000BF3C0000}"/>
    <cellStyle name="Normal 127 2 3 6" xfId="15908" xr:uid="{00000000-0005-0000-0000-0000C03C0000}"/>
    <cellStyle name="Normal 127 2 4" xfId="15909" xr:uid="{00000000-0005-0000-0000-0000C13C0000}"/>
    <cellStyle name="Normal 127 2 4 2" xfId="15910" xr:uid="{00000000-0005-0000-0000-0000C23C0000}"/>
    <cellStyle name="Normal 127 2 4 3" xfId="15911" xr:uid="{00000000-0005-0000-0000-0000C33C0000}"/>
    <cellStyle name="Normal 127 2 5" xfId="15912" xr:uid="{00000000-0005-0000-0000-0000C43C0000}"/>
    <cellStyle name="Normal 127 2 5 2" xfId="15913" xr:uid="{00000000-0005-0000-0000-0000C53C0000}"/>
    <cellStyle name="Normal 127 2 5 3" xfId="15914" xr:uid="{00000000-0005-0000-0000-0000C63C0000}"/>
    <cellStyle name="Normal 127 2 6" xfId="15915" xr:uid="{00000000-0005-0000-0000-0000C73C0000}"/>
    <cellStyle name="Normal 127 2 7" xfId="15916" xr:uid="{00000000-0005-0000-0000-0000C83C0000}"/>
    <cellStyle name="Normal 127 2 8" xfId="15917" xr:uid="{00000000-0005-0000-0000-0000C93C0000}"/>
    <cellStyle name="Normal 127 2 9" xfId="15918" xr:uid="{00000000-0005-0000-0000-0000CA3C0000}"/>
    <cellStyle name="Normal 127 3" xfId="15919" xr:uid="{00000000-0005-0000-0000-0000CB3C0000}"/>
    <cellStyle name="Normal 127 3 2" xfId="15920" xr:uid="{00000000-0005-0000-0000-0000CC3C0000}"/>
    <cellStyle name="Normal 127 3 2 2" xfId="15921" xr:uid="{00000000-0005-0000-0000-0000CD3C0000}"/>
    <cellStyle name="Normal 127 3 2 2 2" xfId="15922" xr:uid="{00000000-0005-0000-0000-0000CE3C0000}"/>
    <cellStyle name="Normal 127 3 2 2 3" xfId="15923" xr:uid="{00000000-0005-0000-0000-0000CF3C0000}"/>
    <cellStyle name="Normal 127 3 2 3" xfId="15924" xr:uid="{00000000-0005-0000-0000-0000D03C0000}"/>
    <cellStyle name="Normal 127 3 2 3 2" xfId="15925" xr:uid="{00000000-0005-0000-0000-0000D13C0000}"/>
    <cellStyle name="Normal 127 3 2 3 3" xfId="15926" xr:uid="{00000000-0005-0000-0000-0000D23C0000}"/>
    <cellStyle name="Normal 127 3 2 4" xfId="15927" xr:uid="{00000000-0005-0000-0000-0000D33C0000}"/>
    <cellStyle name="Normal 127 3 2 5" xfId="15928" xr:uid="{00000000-0005-0000-0000-0000D43C0000}"/>
    <cellStyle name="Normal 127 3 2 6" xfId="15929" xr:uid="{00000000-0005-0000-0000-0000D53C0000}"/>
    <cellStyle name="Normal 127 3 3" xfId="15930" xr:uid="{00000000-0005-0000-0000-0000D63C0000}"/>
    <cellStyle name="Normal 127 3 3 2" xfId="15931" xr:uid="{00000000-0005-0000-0000-0000D73C0000}"/>
    <cellStyle name="Normal 127 3 3 3" xfId="15932" xr:uid="{00000000-0005-0000-0000-0000D83C0000}"/>
    <cellStyle name="Normal 127 3 4" xfId="15933" xr:uid="{00000000-0005-0000-0000-0000D93C0000}"/>
    <cellStyle name="Normal 127 3 4 2" xfId="15934" xr:uid="{00000000-0005-0000-0000-0000DA3C0000}"/>
    <cellStyle name="Normal 127 3 4 3" xfId="15935" xr:uid="{00000000-0005-0000-0000-0000DB3C0000}"/>
    <cellStyle name="Normal 127 3 5" xfId="15936" xr:uid="{00000000-0005-0000-0000-0000DC3C0000}"/>
    <cellStyle name="Normal 127 3 6" xfId="15937" xr:uid="{00000000-0005-0000-0000-0000DD3C0000}"/>
    <cellStyle name="Normal 127 3 7" xfId="15938" xr:uid="{00000000-0005-0000-0000-0000DE3C0000}"/>
    <cellStyle name="Normal 127 3 8" xfId="15939" xr:uid="{00000000-0005-0000-0000-0000DF3C0000}"/>
    <cellStyle name="Normal 127 4" xfId="15940" xr:uid="{00000000-0005-0000-0000-0000E03C0000}"/>
    <cellStyle name="Normal 127 4 2" xfId="15941" xr:uid="{00000000-0005-0000-0000-0000E13C0000}"/>
    <cellStyle name="Normal 127 4 2 2" xfId="15942" xr:uid="{00000000-0005-0000-0000-0000E23C0000}"/>
    <cellStyle name="Normal 127 4 2 3" xfId="15943" xr:uid="{00000000-0005-0000-0000-0000E33C0000}"/>
    <cellStyle name="Normal 127 4 3" xfId="15944" xr:uid="{00000000-0005-0000-0000-0000E43C0000}"/>
    <cellStyle name="Normal 127 4 3 2" xfId="15945" xr:uid="{00000000-0005-0000-0000-0000E53C0000}"/>
    <cellStyle name="Normal 127 4 3 3" xfId="15946" xr:uid="{00000000-0005-0000-0000-0000E63C0000}"/>
    <cellStyle name="Normal 127 4 4" xfId="15947" xr:uid="{00000000-0005-0000-0000-0000E73C0000}"/>
    <cellStyle name="Normal 127 4 5" xfId="15948" xr:uid="{00000000-0005-0000-0000-0000E83C0000}"/>
    <cellStyle name="Normal 127 4 6" xfId="15949" xr:uid="{00000000-0005-0000-0000-0000E93C0000}"/>
    <cellStyle name="Normal 127 5" xfId="15950" xr:uid="{00000000-0005-0000-0000-0000EA3C0000}"/>
    <cellStyle name="Normal 127 5 2" xfId="15951" xr:uid="{00000000-0005-0000-0000-0000EB3C0000}"/>
    <cellStyle name="Normal 127 5 3" xfId="15952" xr:uid="{00000000-0005-0000-0000-0000EC3C0000}"/>
    <cellStyle name="Normal 127 6" xfId="15953" xr:uid="{00000000-0005-0000-0000-0000ED3C0000}"/>
    <cellStyle name="Normal 127 6 2" xfId="15954" xr:uid="{00000000-0005-0000-0000-0000EE3C0000}"/>
    <cellStyle name="Normal 127 6 3" xfId="15955" xr:uid="{00000000-0005-0000-0000-0000EF3C0000}"/>
    <cellStyle name="Normal 127 7" xfId="15956" xr:uid="{00000000-0005-0000-0000-0000F03C0000}"/>
    <cellStyle name="Normal 127 8" xfId="15957" xr:uid="{00000000-0005-0000-0000-0000F13C0000}"/>
    <cellStyle name="Normal 127 9" xfId="15958" xr:uid="{00000000-0005-0000-0000-0000F23C0000}"/>
    <cellStyle name="Normal 128" xfId="2095" xr:uid="{00000000-0005-0000-0000-0000F33C0000}"/>
    <cellStyle name="Normal 128 10" xfId="15959" xr:uid="{00000000-0005-0000-0000-0000F43C0000}"/>
    <cellStyle name="Normal 128 11" xfId="15960" xr:uid="{00000000-0005-0000-0000-0000F53C0000}"/>
    <cellStyle name="Normal 128 12" xfId="15961" xr:uid="{00000000-0005-0000-0000-0000F63C0000}"/>
    <cellStyle name="Normal 128 2" xfId="15962" xr:uid="{00000000-0005-0000-0000-0000F73C0000}"/>
    <cellStyle name="Normal 128 2 2" xfId="15963" xr:uid="{00000000-0005-0000-0000-0000F83C0000}"/>
    <cellStyle name="Normal 128 2 2 2" xfId="15964" xr:uid="{00000000-0005-0000-0000-0000F93C0000}"/>
    <cellStyle name="Normal 128 2 2 2 2" xfId="15965" xr:uid="{00000000-0005-0000-0000-0000FA3C0000}"/>
    <cellStyle name="Normal 128 2 2 2 2 2" xfId="15966" xr:uid="{00000000-0005-0000-0000-0000FB3C0000}"/>
    <cellStyle name="Normal 128 2 2 2 2 3" xfId="15967" xr:uid="{00000000-0005-0000-0000-0000FC3C0000}"/>
    <cellStyle name="Normal 128 2 2 2 3" xfId="15968" xr:uid="{00000000-0005-0000-0000-0000FD3C0000}"/>
    <cellStyle name="Normal 128 2 2 2 3 2" xfId="15969" xr:uid="{00000000-0005-0000-0000-0000FE3C0000}"/>
    <cellStyle name="Normal 128 2 2 2 3 3" xfId="15970" xr:uid="{00000000-0005-0000-0000-0000FF3C0000}"/>
    <cellStyle name="Normal 128 2 2 2 4" xfId="15971" xr:uid="{00000000-0005-0000-0000-0000003D0000}"/>
    <cellStyle name="Normal 128 2 2 2 5" xfId="15972" xr:uid="{00000000-0005-0000-0000-0000013D0000}"/>
    <cellStyle name="Normal 128 2 2 2 6" xfId="15973" xr:uid="{00000000-0005-0000-0000-0000023D0000}"/>
    <cellStyle name="Normal 128 2 2 3" xfId="15974" xr:uid="{00000000-0005-0000-0000-0000033D0000}"/>
    <cellStyle name="Normal 128 2 2 3 2" xfId="15975" xr:uid="{00000000-0005-0000-0000-0000043D0000}"/>
    <cellStyle name="Normal 128 2 2 3 3" xfId="15976" xr:uid="{00000000-0005-0000-0000-0000053D0000}"/>
    <cellStyle name="Normal 128 2 2 4" xfId="15977" xr:uid="{00000000-0005-0000-0000-0000063D0000}"/>
    <cellStyle name="Normal 128 2 2 4 2" xfId="15978" xr:uid="{00000000-0005-0000-0000-0000073D0000}"/>
    <cellStyle name="Normal 128 2 2 4 3" xfId="15979" xr:uid="{00000000-0005-0000-0000-0000083D0000}"/>
    <cellStyle name="Normal 128 2 2 5" xfId="15980" xr:uid="{00000000-0005-0000-0000-0000093D0000}"/>
    <cellStyle name="Normal 128 2 2 6" xfId="15981" xr:uid="{00000000-0005-0000-0000-00000A3D0000}"/>
    <cellStyle name="Normal 128 2 2 7" xfId="15982" xr:uid="{00000000-0005-0000-0000-00000B3D0000}"/>
    <cellStyle name="Normal 128 2 2 8" xfId="15983" xr:uid="{00000000-0005-0000-0000-00000C3D0000}"/>
    <cellStyle name="Normal 128 2 3" xfId="15984" xr:uid="{00000000-0005-0000-0000-00000D3D0000}"/>
    <cellStyle name="Normal 128 2 3 2" xfId="15985" xr:uid="{00000000-0005-0000-0000-00000E3D0000}"/>
    <cellStyle name="Normal 128 2 3 2 2" xfId="15986" xr:uid="{00000000-0005-0000-0000-00000F3D0000}"/>
    <cellStyle name="Normal 128 2 3 2 3" xfId="15987" xr:uid="{00000000-0005-0000-0000-0000103D0000}"/>
    <cellStyle name="Normal 128 2 3 3" xfId="15988" xr:uid="{00000000-0005-0000-0000-0000113D0000}"/>
    <cellStyle name="Normal 128 2 3 3 2" xfId="15989" xr:uid="{00000000-0005-0000-0000-0000123D0000}"/>
    <cellStyle name="Normal 128 2 3 3 3" xfId="15990" xr:uid="{00000000-0005-0000-0000-0000133D0000}"/>
    <cellStyle name="Normal 128 2 3 4" xfId="15991" xr:uid="{00000000-0005-0000-0000-0000143D0000}"/>
    <cellStyle name="Normal 128 2 3 5" xfId="15992" xr:uid="{00000000-0005-0000-0000-0000153D0000}"/>
    <cellStyle name="Normal 128 2 3 6" xfId="15993" xr:uid="{00000000-0005-0000-0000-0000163D0000}"/>
    <cellStyle name="Normal 128 2 4" xfId="15994" xr:uid="{00000000-0005-0000-0000-0000173D0000}"/>
    <cellStyle name="Normal 128 2 4 2" xfId="15995" xr:uid="{00000000-0005-0000-0000-0000183D0000}"/>
    <cellStyle name="Normal 128 2 4 3" xfId="15996" xr:uid="{00000000-0005-0000-0000-0000193D0000}"/>
    <cellStyle name="Normal 128 2 5" xfId="15997" xr:uid="{00000000-0005-0000-0000-00001A3D0000}"/>
    <cellStyle name="Normal 128 2 5 2" xfId="15998" xr:uid="{00000000-0005-0000-0000-00001B3D0000}"/>
    <cellStyle name="Normal 128 2 5 3" xfId="15999" xr:uid="{00000000-0005-0000-0000-00001C3D0000}"/>
    <cellStyle name="Normal 128 2 6" xfId="16000" xr:uid="{00000000-0005-0000-0000-00001D3D0000}"/>
    <cellStyle name="Normal 128 2 7" xfId="16001" xr:uid="{00000000-0005-0000-0000-00001E3D0000}"/>
    <cellStyle name="Normal 128 2 8" xfId="16002" xr:uid="{00000000-0005-0000-0000-00001F3D0000}"/>
    <cellStyle name="Normal 128 2 9" xfId="16003" xr:uid="{00000000-0005-0000-0000-0000203D0000}"/>
    <cellStyle name="Normal 128 3" xfId="16004" xr:uid="{00000000-0005-0000-0000-0000213D0000}"/>
    <cellStyle name="Normal 128 3 2" xfId="16005" xr:uid="{00000000-0005-0000-0000-0000223D0000}"/>
    <cellStyle name="Normal 128 3 2 2" xfId="16006" xr:uid="{00000000-0005-0000-0000-0000233D0000}"/>
    <cellStyle name="Normal 128 3 2 2 2" xfId="16007" xr:uid="{00000000-0005-0000-0000-0000243D0000}"/>
    <cellStyle name="Normal 128 3 2 2 3" xfId="16008" xr:uid="{00000000-0005-0000-0000-0000253D0000}"/>
    <cellStyle name="Normal 128 3 2 3" xfId="16009" xr:uid="{00000000-0005-0000-0000-0000263D0000}"/>
    <cellStyle name="Normal 128 3 2 3 2" xfId="16010" xr:uid="{00000000-0005-0000-0000-0000273D0000}"/>
    <cellStyle name="Normal 128 3 2 3 3" xfId="16011" xr:uid="{00000000-0005-0000-0000-0000283D0000}"/>
    <cellStyle name="Normal 128 3 2 4" xfId="16012" xr:uid="{00000000-0005-0000-0000-0000293D0000}"/>
    <cellStyle name="Normal 128 3 2 5" xfId="16013" xr:uid="{00000000-0005-0000-0000-00002A3D0000}"/>
    <cellStyle name="Normal 128 3 2 6" xfId="16014" xr:uid="{00000000-0005-0000-0000-00002B3D0000}"/>
    <cellStyle name="Normal 128 3 3" xfId="16015" xr:uid="{00000000-0005-0000-0000-00002C3D0000}"/>
    <cellStyle name="Normal 128 3 3 2" xfId="16016" xr:uid="{00000000-0005-0000-0000-00002D3D0000}"/>
    <cellStyle name="Normal 128 3 3 3" xfId="16017" xr:uid="{00000000-0005-0000-0000-00002E3D0000}"/>
    <cellStyle name="Normal 128 3 4" xfId="16018" xr:uid="{00000000-0005-0000-0000-00002F3D0000}"/>
    <cellStyle name="Normal 128 3 4 2" xfId="16019" xr:uid="{00000000-0005-0000-0000-0000303D0000}"/>
    <cellStyle name="Normal 128 3 4 3" xfId="16020" xr:uid="{00000000-0005-0000-0000-0000313D0000}"/>
    <cellStyle name="Normal 128 3 5" xfId="16021" xr:uid="{00000000-0005-0000-0000-0000323D0000}"/>
    <cellStyle name="Normal 128 3 6" xfId="16022" xr:uid="{00000000-0005-0000-0000-0000333D0000}"/>
    <cellStyle name="Normal 128 3 7" xfId="16023" xr:uid="{00000000-0005-0000-0000-0000343D0000}"/>
    <cellStyle name="Normal 128 3 8" xfId="16024" xr:uid="{00000000-0005-0000-0000-0000353D0000}"/>
    <cellStyle name="Normal 128 4" xfId="16025" xr:uid="{00000000-0005-0000-0000-0000363D0000}"/>
    <cellStyle name="Normal 128 4 2" xfId="16026" xr:uid="{00000000-0005-0000-0000-0000373D0000}"/>
    <cellStyle name="Normal 128 4 2 2" xfId="16027" xr:uid="{00000000-0005-0000-0000-0000383D0000}"/>
    <cellStyle name="Normal 128 4 2 3" xfId="16028" xr:uid="{00000000-0005-0000-0000-0000393D0000}"/>
    <cellStyle name="Normal 128 4 3" xfId="16029" xr:uid="{00000000-0005-0000-0000-00003A3D0000}"/>
    <cellStyle name="Normal 128 4 3 2" xfId="16030" xr:uid="{00000000-0005-0000-0000-00003B3D0000}"/>
    <cellStyle name="Normal 128 4 3 3" xfId="16031" xr:uid="{00000000-0005-0000-0000-00003C3D0000}"/>
    <cellStyle name="Normal 128 4 4" xfId="16032" xr:uid="{00000000-0005-0000-0000-00003D3D0000}"/>
    <cellStyle name="Normal 128 4 5" xfId="16033" xr:uid="{00000000-0005-0000-0000-00003E3D0000}"/>
    <cellStyle name="Normal 128 4 6" xfId="16034" xr:uid="{00000000-0005-0000-0000-00003F3D0000}"/>
    <cellStyle name="Normal 128 5" xfId="16035" xr:uid="{00000000-0005-0000-0000-0000403D0000}"/>
    <cellStyle name="Normal 128 5 2" xfId="16036" xr:uid="{00000000-0005-0000-0000-0000413D0000}"/>
    <cellStyle name="Normal 128 5 3" xfId="16037" xr:uid="{00000000-0005-0000-0000-0000423D0000}"/>
    <cellStyle name="Normal 128 6" xfId="16038" xr:uid="{00000000-0005-0000-0000-0000433D0000}"/>
    <cellStyle name="Normal 128 6 2" xfId="16039" xr:uid="{00000000-0005-0000-0000-0000443D0000}"/>
    <cellStyle name="Normal 128 6 3" xfId="16040" xr:uid="{00000000-0005-0000-0000-0000453D0000}"/>
    <cellStyle name="Normal 128 7" xfId="16041" xr:uid="{00000000-0005-0000-0000-0000463D0000}"/>
    <cellStyle name="Normal 128 8" xfId="16042" xr:uid="{00000000-0005-0000-0000-0000473D0000}"/>
    <cellStyle name="Normal 128 9" xfId="16043" xr:uid="{00000000-0005-0000-0000-0000483D0000}"/>
    <cellStyle name="Normal 129" xfId="2096" xr:uid="{00000000-0005-0000-0000-0000493D0000}"/>
    <cellStyle name="Normal 129 10" xfId="16044" xr:uid="{00000000-0005-0000-0000-00004A3D0000}"/>
    <cellStyle name="Normal 129 11" xfId="16045" xr:uid="{00000000-0005-0000-0000-00004B3D0000}"/>
    <cellStyle name="Normal 129 12" xfId="16046" xr:uid="{00000000-0005-0000-0000-00004C3D0000}"/>
    <cellStyle name="Normal 129 2" xfId="16047" xr:uid="{00000000-0005-0000-0000-00004D3D0000}"/>
    <cellStyle name="Normal 129 2 2" xfId="16048" xr:uid="{00000000-0005-0000-0000-00004E3D0000}"/>
    <cellStyle name="Normal 129 2 2 2" xfId="16049" xr:uid="{00000000-0005-0000-0000-00004F3D0000}"/>
    <cellStyle name="Normal 129 2 2 2 2" xfId="16050" xr:uid="{00000000-0005-0000-0000-0000503D0000}"/>
    <cellStyle name="Normal 129 2 2 2 2 2" xfId="16051" xr:uid="{00000000-0005-0000-0000-0000513D0000}"/>
    <cellStyle name="Normal 129 2 2 2 2 3" xfId="16052" xr:uid="{00000000-0005-0000-0000-0000523D0000}"/>
    <cellStyle name="Normal 129 2 2 2 3" xfId="16053" xr:uid="{00000000-0005-0000-0000-0000533D0000}"/>
    <cellStyle name="Normal 129 2 2 2 3 2" xfId="16054" xr:uid="{00000000-0005-0000-0000-0000543D0000}"/>
    <cellStyle name="Normal 129 2 2 2 3 3" xfId="16055" xr:uid="{00000000-0005-0000-0000-0000553D0000}"/>
    <cellStyle name="Normal 129 2 2 2 4" xfId="16056" xr:uid="{00000000-0005-0000-0000-0000563D0000}"/>
    <cellStyle name="Normal 129 2 2 2 5" xfId="16057" xr:uid="{00000000-0005-0000-0000-0000573D0000}"/>
    <cellStyle name="Normal 129 2 2 2 6" xfId="16058" xr:uid="{00000000-0005-0000-0000-0000583D0000}"/>
    <cellStyle name="Normal 129 2 2 3" xfId="16059" xr:uid="{00000000-0005-0000-0000-0000593D0000}"/>
    <cellStyle name="Normal 129 2 2 3 2" xfId="16060" xr:uid="{00000000-0005-0000-0000-00005A3D0000}"/>
    <cellStyle name="Normal 129 2 2 3 3" xfId="16061" xr:uid="{00000000-0005-0000-0000-00005B3D0000}"/>
    <cellStyle name="Normal 129 2 2 4" xfId="16062" xr:uid="{00000000-0005-0000-0000-00005C3D0000}"/>
    <cellStyle name="Normal 129 2 2 4 2" xfId="16063" xr:uid="{00000000-0005-0000-0000-00005D3D0000}"/>
    <cellStyle name="Normal 129 2 2 4 3" xfId="16064" xr:uid="{00000000-0005-0000-0000-00005E3D0000}"/>
    <cellStyle name="Normal 129 2 2 5" xfId="16065" xr:uid="{00000000-0005-0000-0000-00005F3D0000}"/>
    <cellStyle name="Normal 129 2 2 6" xfId="16066" xr:uid="{00000000-0005-0000-0000-0000603D0000}"/>
    <cellStyle name="Normal 129 2 2 7" xfId="16067" xr:uid="{00000000-0005-0000-0000-0000613D0000}"/>
    <cellStyle name="Normal 129 2 2 8" xfId="16068" xr:uid="{00000000-0005-0000-0000-0000623D0000}"/>
    <cellStyle name="Normal 129 2 3" xfId="16069" xr:uid="{00000000-0005-0000-0000-0000633D0000}"/>
    <cellStyle name="Normal 129 2 3 2" xfId="16070" xr:uid="{00000000-0005-0000-0000-0000643D0000}"/>
    <cellStyle name="Normal 129 2 3 2 2" xfId="16071" xr:uid="{00000000-0005-0000-0000-0000653D0000}"/>
    <cellStyle name="Normal 129 2 3 2 3" xfId="16072" xr:uid="{00000000-0005-0000-0000-0000663D0000}"/>
    <cellStyle name="Normal 129 2 3 3" xfId="16073" xr:uid="{00000000-0005-0000-0000-0000673D0000}"/>
    <cellStyle name="Normal 129 2 3 3 2" xfId="16074" xr:uid="{00000000-0005-0000-0000-0000683D0000}"/>
    <cellStyle name="Normal 129 2 3 3 3" xfId="16075" xr:uid="{00000000-0005-0000-0000-0000693D0000}"/>
    <cellStyle name="Normal 129 2 3 4" xfId="16076" xr:uid="{00000000-0005-0000-0000-00006A3D0000}"/>
    <cellStyle name="Normal 129 2 3 5" xfId="16077" xr:uid="{00000000-0005-0000-0000-00006B3D0000}"/>
    <cellStyle name="Normal 129 2 3 6" xfId="16078" xr:uid="{00000000-0005-0000-0000-00006C3D0000}"/>
    <cellStyle name="Normal 129 2 4" xfId="16079" xr:uid="{00000000-0005-0000-0000-00006D3D0000}"/>
    <cellStyle name="Normal 129 2 4 2" xfId="16080" xr:uid="{00000000-0005-0000-0000-00006E3D0000}"/>
    <cellStyle name="Normal 129 2 4 3" xfId="16081" xr:uid="{00000000-0005-0000-0000-00006F3D0000}"/>
    <cellStyle name="Normal 129 2 5" xfId="16082" xr:uid="{00000000-0005-0000-0000-0000703D0000}"/>
    <cellStyle name="Normal 129 2 5 2" xfId="16083" xr:uid="{00000000-0005-0000-0000-0000713D0000}"/>
    <cellStyle name="Normal 129 2 5 3" xfId="16084" xr:uid="{00000000-0005-0000-0000-0000723D0000}"/>
    <cellStyle name="Normal 129 2 6" xfId="16085" xr:uid="{00000000-0005-0000-0000-0000733D0000}"/>
    <cellStyle name="Normal 129 2 7" xfId="16086" xr:uid="{00000000-0005-0000-0000-0000743D0000}"/>
    <cellStyle name="Normal 129 2 8" xfId="16087" xr:uid="{00000000-0005-0000-0000-0000753D0000}"/>
    <cellStyle name="Normal 129 2 9" xfId="16088" xr:uid="{00000000-0005-0000-0000-0000763D0000}"/>
    <cellStyle name="Normal 129 3" xfId="16089" xr:uid="{00000000-0005-0000-0000-0000773D0000}"/>
    <cellStyle name="Normal 129 3 2" xfId="16090" xr:uid="{00000000-0005-0000-0000-0000783D0000}"/>
    <cellStyle name="Normal 129 3 2 2" xfId="16091" xr:uid="{00000000-0005-0000-0000-0000793D0000}"/>
    <cellStyle name="Normal 129 3 2 2 2" xfId="16092" xr:uid="{00000000-0005-0000-0000-00007A3D0000}"/>
    <cellStyle name="Normal 129 3 2 2 3" xfId="16093" xr:uid="{00000000-0005-0000-0000-00007B3D0000}"/>
    <cellStyle name="Normal 129 3 2 3" xfId="16094" xr:uid="{00000000-0005-0000-0000-00007C3D0000}"/>
    <cellStyle name="Normal 129 3 2 3 2" xfId="16095" xr:uid="{00000000-0005-0000-0000-00007D3D0000}"/>
    <cellStyle name="Normal 129 3 2 3 3" xfId="16096" xr:uid="{00000000-0005-0000-0000-00007E3D0000}"/>
    <cellStyle name="Normal 129 3 2 4" xfId="16097" xr:uid="{00000000-0005-0000-0000-00007F3D0000}"/>
    <cellStyle name="Normal 129 3 2 5" xfId="16098" xr:uid="{00000000-0005-0000-0000-0000803D0000}"/>
    <cellStyle name="Normal 129 3 2 6" xfId="16099" xr:uid="{00000000-0005-0000-0000-0000813D0000}"/>
    <cellStyle name="Normal 129 3 3" xfId="16100" xr:uid="{00000000-0005-0000-0000-0000823D0000}"/>
    <cellStyle name="Normal 129 3 3 2" xfId="16101" xr:uid="{00000000-0005-0000-0000-0000833D0000}"/>
    <cellStyle name="Normal 129 3 3 3" xfId="16102" xr:uid="{00000000-0005-0000-0000-0000843D0000}"/>
    <cellStyle name="Normal 129 3 4" xfId="16103" xr:uid="{00000000-0005-0000-0000-0000853D0000}"/>
    <cellStyle name="Normal 129 3 4 2" xfId="16104" xr:uid="{00000000-0005-0000-0000-0000863D0000}"/>
    <cellStyle name="Normal 129 3 4 3" xfId="16105" xr:uid="{00000000-0005-0000-0000-0000873D0000}"/>
    <cellStyle name="Normal 129 3 5" xfId="16106" xr:uid="{00000000-0005-0000-0000-0000883D0000}"/>
    <cellStyle name="Normal 129 3 6" xfId="16107" xr:uid="{00000000-0005-0000-0000-0000893D0000}"/>
    <cellStyle name="Normal 129 3 7" xfId="16108" xr:uid="{00000000-0005-0000-0000-00008A3D0000}"/>
    <cellStyle name="Normal 129 3 8" xfId="16109" xr:uid="{00000000-0005-0000-0000-00008B3D0000}"/>
    <cellStyle name="Normal 129 4" xfId="16110" xr:uid="{00000000-0005-0000-0000-00008C3D0000}"/>
    <cellStyle name="Normal 129 4 2" xfId="16111" xr:uid="{00000000-0005-0000-0000-00008D3D0000}"/>
    <cellStyle name="Normal 129 4 2 2" xfId="16112" xr:uid="{00000000-0005-0000-0000-00008E3D0000}"/>
    <cellStyle name="Normal 129 4 2 3" xfId="16113" xr:uid="{00000000-0005-0000-0000-00008F3D0000}"/>
    <cellStyle name="Normal 129 4 3" xfId="16114" xr:uid="{00000000-0005-0000-0000-0000903D0000}"/>
    <cellStyle name="Normal 129 4 3 2" xfId="16115" xr:uid="{00000000-0005-0000-0000-0000913D0000}"/>
    <cellStyle name="Normal 129 4 3 3" xfId="16116" xr:uid="{00000000-0005-0000-0000-0000923D0000}"/>
    <cellStyle name="Normal 129 4 4" xfId="16117" xr:uid="{00000000-0005-0000-0000-0000933D0000}"/>
    <cellStyle name="Normal 129 4 5" xfId="16118" xr:uid="{00000000-0005-0000-0000-0000943D0000}"/>
    <cellStyle name="Normal 129 4 6" xfId="16119" xr:uid="{00000000-0005-0000-0000-0000953D0000}"/>
    <cellStyle name="Normal 129 5" xfId="16120" xr:uid="{00000000-0005-0000-0000-0000963D0000}"/>
    <cellStyle name="Normal 129 5 2" xfId="16121" xr:uid="{00000000-0005-0000-0000-0000973D0000}"/>
    <cellStyle name="Normal 129 5 3" xfId="16122" xr:uid="{00000000-0005-0000-0000-0000983D0000}"/>
    <cellStyle name="Normal 129 6" xfId="16123" xr:uid="{00000000-0005-0000-0000-0000993D0000}"/>
    <cellStyle name="Normal 129 6 2" xfId="16124" xr:uid="{00000000-0005-0000-0000-00009A3D0000}"/>
    <cellStyle name="Normal 129 6 3" xfId="16125" xr:uid="{00000000-0005-0000-0000-00009B3D0000}"/>
    <cellStyle name="Normal 129 7" xfId="16126" xr:uid="{00000000-0005-0000-0000-00009C3D0000}"/>
    <cellStyle name="Normal 129 8" xfId="16127" xr:uid="{00000000-0005-0000-0000-00009D3D0000}"/>
    <cellStyle name="Normal 129 9" xfId="16128" xr:uid="{00000000-0005-0000-0000-00009E3D0000}"/>
    <cellStyle name="Normal 13" xfId="2097" xr:uid="{00000000-0005-0000-0000-00009F3D0000}"/>
    <cellStyle name="Normal 13 10" xfId="16129" xr:uid="{00000000-0005-0000-0000-0000A03D0000}"/>
    <cellStyle name="Normal 13 11" xfId="16130" xr:uid="{00000000-0005-0000-0000-0000A13D0000}"/>
    <cellStyle name="Normal 13 12" xfId="16131" xr:uid="{00000000-0005-0000-0000-0000A23D0000}"/>
    <cellStyle name="Normal 13 2" xfId="2098" xr:uid="{00000000-0005-0000-0000-0000A33D0000}"/>
    <cellStyle name="Normal 13 2 2" xfId="2099" xr:uid="{00000000-0005-0000-0000-0000A43D0000}"/>
    <cellStyle name="Normal 13 2 2 2" xfId="16132" xr:uid="{00000000-0005-0000-0000-0000A53D0000}"/>
    <cellStyle name="Normal 13 2 2 3" xfId="16133" xr:uid="{00000000-0005-0000-0000-0000A63D0000}"/>
    <cellStyle name="Normal 13 2 3" xfId="16134" xr:uid="{00000000-0005-0000-0000-0000A73D0000}"/>
    <cellStyle name="Normal 13 2 4" xfId="16135" xr:uid="{00000000-0005-0000-0000-0000A83D0000}"/>
    <cellStyle name="Normal 13 2 5" xfId="16136" xr:uid="{00000000-0005-0000-0000-0000A93D0000}"/>
    <cellStyle name="Normal 13 2 6" xfId="16137" xr:uid="{00000000-0005-0000-0000-0000AA3D0000}"/>
    <cellStyle name="Normal 13 3" xfId="2100" xr:uid="{00000000-0005-0000-0000-0000AB3D0000}"/>
    <cellStyle name="Normal 13 3 2" xfId="2101" xr:uid="{00000000-0005-0000-0000-0000AC3D0000}"/>
    <cellStyle name="Normal 13 4" xfId="2102" xr:uid="{00000000-0005-0000-0000-0000AD3D0000}"/>
    <cellStyle name="Normal 13 5" xfId="2103" xr:uid="{00000000-0005-0000-0000-0000AE3D0000}"/>
    <cellStyle name="Normal 13 5 2" xfId="16138" xr:uid="{00000000-0005-0000-0000-0000AF3D0000}"/>
    <cellStyle name="Normal 13 6" xfId="16139" xr:uid="{00000000-0005-0000-0000-0000B03D0000}"/>
    <cellStyle name="Normal 13 7" xfId="16140" xr:uid="{00000000-0005-0000-0000-0000B13D0000}"/>
    <cellStyle name="Normal 13 7 2" xfId="16141" xr:uid="{00000000-0005-0000-0000-0000B23D0000}"/>
    <cellStyle name="Normal 13 8" xfId="16142" xr:uid="{00000000-0005-0000-0000-0000B33D0000}"/>
    <cellStyle name="Normal 13 8 2" xfId="16143" xr:uid="{00000000-0005-0000-0000-0000B43D0000}"/>
    <cellStyle name="Normal 13 9" xfId="16144" xr:uid="{00000000-0005-0000-0000-0000B53D0000}"/>
    <cellStyle name="Normal 13 9 2" xfId="16145" xr:uid="{00000000-0005-0000-0000-0000B63D0000}"/>
    <cellStyle name="Normal 130" xfId="2104" xr:uid="{00000000-0005-0000-0000-0000B73D0000}"/>
    <cellStyle name="Normal 130 10" xfId="16146" xr:uid="{00000000-0005-0000-0000-0000B83D0000}"/>
    <cellStyle name="Normal 130 11" xfId="16147" xr:uid="{00000000-0005-0000-0000-0000B93D0000}"/>
    <cellStyle name="Normal 130 12" xfId="16148" xr:uid="{00000000-0005-0000-0000-0000BA3D0000}"/>
    <cellStyle name="Normal 130 2" xfId="16149" xr:uid="{00000000-0005-0000-0000-0000BB3D0000}"/>
    <cellStyle name="Normal 130 2 2" xfId="16150" xr:uid="{00000000-0005-0000-0000-0000BC3D0000}"/>
    <cellStyle name="Normal 130 2 2 2" xfId="16151" xr:uid="{00000000-0005-0000-0000-0000BD3D0000}"/>
    <cellStyle name="Normal 130 2 2 2 2" xfId="16152" xr:uid="{00000000-0005-0000-0000-0000BE3D0000}"/>
    <cellStyle name="Normal 130 2 2 2 2 2" xfId="16153" xr:uid="{00000000-0005-0000-0000-0000BF3D0000}"/>
    <cellStyle name="Normal 130 2 2 2 2 3" xfId="16154" xr:uid="{00000000-0005-0000-0000-0000C03D0000}"/>
    <cellStyle name="Normal 130 2 2 2 3" xfId="16155" xr:uid="{00000000-0005-0000-0000-0000C13D0000}"/>
    <cellStyle name="Normal 130 2 2 2 3 2" xfId="16156" xr:uid="{00000000-0005-0000-0000-0000C23D0000}"/>
    <cellStyle name="Normal 130 2 2 2 3 3" xfId="16157" xr:uid="{00000000-0005-0000-0000-0000C33D0000}"/>
    <cellStyle name="Normal 130 2 2 2 4" xfId="16158" xr:uid="{00000000-0005-0000-0000-0000C43D0000}"/>
    <cellStyle name="Normal 130 2 2 2 5" xfId="16159" xr:uid="{00000000-0005-0000-0000-0000C53D0000}"/>
    <cellStyle name="Normal 130 2 2 2 6" xfId="16160" xr:uid="{00000000-0005-0000-0000-0000C63D0000}"/>
    <cellStyle name="Normal 130 2 2 3" xfId="16161" xr:uid="{00000000-0005-0000-0000-0000C73D0000}"/>
    <cellStyle name="Normal 130 2 2 3 2" xfId="16162" xr:uid="{00000000-0005-0000-0000-0000C83D0000}"/>
    <cellStyle name="Normal 130 2 2 3 3" xfId="16163" xr:uid="{00000000-0005-0000-0000-0000C93D0000}"/>
    <cellStyle name="Normal 130 2 2 4" xfId="16164" xr:uid="{00000000-0005-0000-0000-0000CA3D0000}"/>
    <cellStyle name="Normal 130 2 2 4 2" xfId="16165" xr:uid="{00000000-0005-0000-0000-0000CB3D0000}"/>
    <cellStyle name="Normal 130 2 2 4 3" xfId="16166" xr:uid="{00000000-0005-0000-0000-0000CC3D0000}"/>
    <cellStyle name="Normal 130 2 2 5" xfId="16167" xr:uid="{00000000-0005-0000-0000-0000CD3D0000}"/>
    <cellStyle name="Normal 130 2 2 6" xfId="16168" xr:uid="{00000000-0005-0000-0000-0000CE3D0000}"/>
    <cellStyle name="Normal 130 2 2 7" xfId="16169" xr:uid="{00000000-0005-0000-0000-0000CF3D0000}"/>
    <cellStyle name="Normal 130 2 2 8" xfId="16170" xr:uid="{00000000-0005-0000-0000-0000D03D0000}"/>
    <cellStyle name="Normal 130 2 3" xfId="16171" xr:uid="{00000000-0005-0000-0000-0000D13D0000}"/>
    <cellStyle name="Normal 130 2 3 2" xfId="16172" xr:uid="{00000000-0005-0000-0000-0000D23D0000}"/>
    <cellStyle name="Normal 130 2 3 2 2" xfId="16173" xr:uid="{00000000-0005-0000-0000-0000D33D0000}"/>
    <cellStyle name="Normal 130 2 3 2 3" xfId="16174" xr:uid="{00000000-0005-0000-0000-0000D43D0000}"/>
    <cellStyle name="Normal 130 2 3 3" xfId="16175" xr:uid="{00000000-0005-0000-0000-0000D53D0000}"/>
    <cellStyle name="Normal 130 2 3 3 2" xfId="16176" xr:uid="{00000000-0005-0000-0000-0000D63D0000}"/>
    <cellStyle name="Normal 130 2 3 3 3" xfId="16177" xr:uid="{00000000-0005-0000-0000-0000D73D0000}"/>
    <cellStyle name="Normal 130 2 3 4" xfId="16178" xr:uid="{00000000-0005-0000-0000-0000D83D0000}"/>
    <cellStyle name="Normal 130 2 3 5" xfId="16179" xr:uid="{00000000-0005-0000-0000-0000D93D0000}"/>
    <cellStyle name="Normal 130 2 3 6" xfId="16180" xr:uid="{00000000-0005-0000-0000-0000DA3D0000}"/>
    <cellStyle name="Normal 130 2 4" xfId="16181" xr:uid="{00000000-0005-0000-0000-0000DB3D0000}"/>
    <cellStyle name="Normal 130 2 4 2" xfId="16182" xr:uid="{00000000-0005-0000-0000-0000DC3D0000}"/>
    <cellStyle name="Normal 130 2 4 3" xfId="16183" xr:uid="{00000000-0005-0000-0000-0000DD3D0000}"/>
    <cellStyle name="Normal 130 2 5" xfId="16184" xr:uid="{00000000-0005-0000-0000-0000DE3D0000}"/>
    <cellStyle name="Normal 130 2 5 2" xfId="16185" xr:uid="{00000000-0005-0000-0000-0000DF3D0000}"/>
    <cellStyle name="Normal 130 2 5 3" xfId="16186" xr:uid="{00000000-0005-0000-0000-0000E03D0000}"/>
    <cellStyle name="Normal 130 2 6" xfId="16187" xr:uid="{00000000-0005-0000-0000-0000E13D0000}"/>
    <cellStyle name="Normal 130 2 7" xfId="16188" xr:uid="{00000000-0005-0000-0000-0000E23D0000}"/>
    <cellStyle name="Normal 130 2 8" xfId="16189" xr:uid="{00000000-0005-0000-0000-0000E33D0000}"/>
    <cellStyle name="Normal 130 2 9" xfId="16190" xr:uid="{00000000-0005-0000-0000-0000E43D0000}"/>
    <cellStyle name="Normal 130 3" xfId="16191" xr:uid="{00000000-0005-0000-0000-0000E53D0000}"/>
    <cellStyle name="Normal 130 3 2" xfId="16192" xr:uid="{00000000-0005-0000-0000-0000E63D0000}"/>
    <cellStyle name="Normal 130 3 2 2" xfId="16193" xr:uid="{00000000-0005-0000-0000-0000E73D0000}"/>
    <cellStyle name="Normal 130 3 2 2 2" xfId="16194" xr:uid="{00000000-0005-0000-0000-0000E83D0000}"/>
    <cellStyle name="Normal 130 3 2 2 3" xfId="16195" xr:uid="{00000000-0005-0000-0000-0000E93D0000}"/>
    <cellStyle name="Normal 130 3 2 3" xfId="16196" xr:uid="{00000000-0005-0000-0000-0000EA3D0000}"/>
    <cellStyle name="Normal 130 3 2 3 2" xfId="16197" xr:uid="{00000000-0005-0000-0000-0000EB3D0000}"/>
    <cellStyle name="Normal 130 3 2 3 3" xfId="16198" xr:uid="{00000000-0005-0000-0000-0000EC3D0000}"/>
    <cellStyle name="Normal 130 3 2 4" xfId="16199" xr:uid="{00000000-0005-0000-0000-0000ED3D0000}"/>
    <cellStyle name="Normal 130 3 2 5" xfId="16200" xr:uid="{00000000-0005-0000-0000-0000EE3D0000}"/>
    <cellStyle name="Normal 130 3 2 6" xfId="16201" xr:uid="{00000000-0005-0000-0000-0000EF3D0000}"/>
    <cellStyle name="Normal 130 3 3" xfId="16202" xr:uid="{00000000-0005-0000-0000-0000F03D0000}"/>
    <cellStyle name="Normal 130 3 3 2" xfId="16203" xr:uid="{00000000-0005-0000-0000-0000F13D0000}"/>
    <cellStyle name="Normal 130 3 3 3" xfId="16204" xr:uid="{00000000-0005-0000-0000-0000F23D0000}"/>
    <cellStyle name="Normal 130 3 4" xfId="16205" xr:uid="{00000000-0005-0000-0000-0000F33D0000}"/>
    <cellStyle name="Normal 130 3 4 2" xfId="16206" xr:uid="{00000000-0005-0000-0000-0000F43D0000}"/>
    <cellStyle name="Normal 130 3 4 3" xfId="16207" xr:uid="{00000000-0005-0000-0000-0000F53D0000}"/>
    <cellStyle name="Normal 130 3 5" xfId="16208" xr:uid="{00000000-0005-0000-0000-0000F63D0000}"/>
    <cellStyle name="Normal 130 3 6" xfId="16209" xr:uid="{00000000-0005-0000-0000-0000F73D0000}"/>
    <cellStyle name="Normal 130 3 7" xfId="16210" xr:uid="{00000000-0005-0000-0000-0000F83D0000}"/>
    <cellStyle name="Normal 130 3 8" xfId="16211" xr:uid="{00000000-0005-0000-0000-0000F93D0000}"/>
    <cellStyle name="Normal 130 4" xfId="16212" xr:uid="{00000000-0005-0000-0000-0000FA3D0000}"/>
    <cellStyle name="Normal 130 4 2" xfId="16213" xr:uid="{00000000-0005-0000-0000-0000FB3D0000}"/>
    <cellStyle name="Normal 130 4 2 2" xfId="16214" xr:uid="{00000000-0005-0000-0000-0000FC3D0000}"/>
    <cellStyle name="Normal 130 4 2 3" xfId="16215" xr:uid="{00000000-0005-0000-0000-0000FD3D0000}"/>
    <cellStyle name="Normal 130 4 3" xfId="16216" xr:uid="{00000000-0005-0000-0000-0000FE3D0000}"/>
    <cellStyle name="Normal 130 4 3 2" xfId="16217" xr:uid="{00000000-0005-0000-0000-0000FF3D0000}"/>
    <cellStyle name="Normal 130 4 3 3" xfId="16218" xr:uid="{00000000-0005-0000-0000-0000003E0000}"/>
    <cellStyle name="Normal 130 4 4" xfId="16219" xr:uid="{00000000-0005-0000-0000-0000013E0000}"/>
    <cellStyle name="Normal 130 4 5" xfId="16220" xr:uid="{00000000-0005-0000-0000-0000023E0000}"/>
    <cellStyle name="Normal 130 4 6" xfId="16221" xr:uid="{00000000-0005-0000-0000-0000033E0000}"/>
    <cellStyle name="Normal 130 5" xfId="16222" xr:uid="{00000000-0005-0000-0000-0000043E0000}"/>
    <cellStyle name="Normal 130 5 2" xfId="16223" xr:uid="{00000000-0005-0000-0000-0000053E0000}"/>
    <cellStyle name="Normal 130 5 3" xfId="16224" xr:uid="{00000000-0005-0000-0000-0000063E0000}"/>
    <cellStyle name="Normal 130 6" xfId="16225" xr:uid="{00000000-0005-0000-0000-0000073E0000}"/>
    <cellStyle name="Normal 130 6 2" xfId="16226" xr:uid="{00000000-0005-0000-0000-0000083E0000}"/>
    <cellStyle name="Normal 130 6 3" xfId="16227" xr:uid="{00000000-0005-0000-0000-0000093E0000}"/>
    <cellStyle name="Normal 130 7" xfId="16228" xr:uid="{00000000-0005-0000-0000-00000A3E0000}"/>
    <cellStyle name="Normal 130 8" xfId="16229" xr:uid="{00000000-0005-0000-0000-00000B3E0000}"/>
    <cellStyle name="Normal 130 9" xfId="16230" xr:uid="{00000000-0005-0000-0000-00000C3E0000}"/>
    <cellStyle name="Normal 131" xfId="2105" xr:uid="{00000000-0005-0000-0000-00000D3E0000}"/>
    <cellStyle name="Normal 131 10" xfId="16231" xr:uid="{00000000-0005-0000-0000-00000E3E0000}"/>
    <cellStyle name="Normal 131 11" xfId="16232" xr:uid="{00000000-0005-0000-0000-00000F3E0000}"/>
    <cellStyle name="Normal 131 12" xfId="16233" xr:uid="{00000000-0005-0000-0000-0000103E0000}"/>
    <cellStyle name="Normal 131 2" xfId="16234" xr:uid="{00000000-0005-0000-0000-0000113E0000}"/>
    <cellStyle name="Normal 131 2 2" xfId="16235" xr:uid="{00000000-0005-0000-0000-0000123E0000}"/>
    <cellStyle name="Normal 131 2 2 2" xfId="16236" xr:uid="{00000000-0005-0000-0000-0000133E0000}"/>
    <cellStyle name="Normal 131 2 2 2 2" xfId="16237" xr:uid="{00000000-0005-0000-0000-0000143E0000}"/>
    <cellStyle name="Normal 131 2 2 2 2 2" xfId="16238" xr:uid="{00000000-0005-0000-0000-0000153E0000}"/>
    <cellStyle name="Normal 131 2 2 2 2 3" xfId="16239" xr:uid="{00000000-0005-0000-0000-0000163E0000}"/>
    <cellStyle name="Normal 131 2 2 2 3" xfId="16240" xr:uid="{00000000-0005-0000-0000-0000173E0000}"/>
    <cellStyle name="Normal 131 2 2 2 3 2" xfId="16241" xr:uid="{00000000-0005-0000-0000-0000183E0000}"/>
    <cellStyle name="Normal 131 2 2 2 3 3" xfId="16242" xr:uid="{00000000-0005-0000-0000-0000193E0000}"/>
    <cellStyle name="Normal 131 2 2 2 4" xfId="16243" xr:uid="{00000000-0005-0000-0000-00001A3E0000}"/>
    <cellStyle name="Normal 131 2 2 2 5" xfId="16244" xr:uid="{00000000-0005-0000-0000-00001B3E0000}"/>
    <cellStyle name="Normal 131 2 2 2 6" xfId="16245" xr:uid="{00000000-0005-0000-0000-00001C3E0000}"/>
    <cellStyle name="Normal 131 2 2 3" xfId="16246" xr:uid="{00000000-0005-0000-0000-00001D3E0000}"/>
    <cellStyle name="Normal 131 2 2 3 2" xfId="16247" xr:uid="{00000000-0005-0000-0000-00001E3E0000}"/>
    <cellStyle name="Normal 131 2 2 3 3" xfId="16248" xr:uid="{00000000-0005-0000-0000-00001F3E0000}"/>
    <cellStyle name="Normal 131 2 2 4" xfId="16249" xr:uid="{00000000-0005-0000-0000-0000203E0000}"/>
    <cellStyle name="Normal 131 2 2 4 2" xfId="16250" xr:uid="{00000000-0005-0000-0000-0000213E0000}"/>
    <cellStyle name="Normal 131 2 2 4 3" xfId="16251" xr:uid="{00000000-0005-0000-0000-0000223E0000}"/>
    <cellStyle name="Normal 131 2 2 5" xfId="16252" xr:uid="{00000000-0005-0000-0000-0000233E0000}"/>
    <cellStyle name="Normal 131 2 2 6" xfId="16253" xr:uid="{00000000-0005-0000-0000-0000243E0000}"/>
    <cellStyle name="Normal 131 2 2 7" xfId="16254" xr:uid="{00000000-0005-0000-0000-0000253E0000}"/>
    <cellStyle name="Normal 131 2 2 8" xfId="16255" xr:uid="{00000000-0005-0000-0000-0000263E0000}"/>
    <cellStyle name="Normal 131 2 3" xfId="16256" xr:uid="{00000000-0005-0000-0000-0000273E0000}"/>
    <cellStyle name="Normal 131 2 3 2" xfId="16257" xr:uid="{00000000-0005-0000-0000-0000283E0000}"/>
    <cellStyle name="Normal 131 2 3 2 2" xfId="16258" xr:uid="{00000000-0005-0000-0000-0000293E0000}"/>
    <cellStyle name="Normal 131 2 3 2 3" xfId="16259" xr:uid="{00000000-0005-0000-0000-00002A3E0000}"/>
    <cellStyle name="Normal 131 2 3 3" xfId="16260" xr:uid="{00000000-0005-0000-0000-00002B3E0000}"/>
    <cellStyle name="Normal 131 2 3 3 2" xfId="16261" xr:uid="{00000000-0005-0000-0000-00002C3E0000}"/>
    <cellStyle name="Normal 131 2 3 3 3" xfId="16262" xr:uid="{00000000-0005-0000-0000-00002D3E0000}"/>
    <cellStyle name="Normal 131 2 3 4" xfId="16263" xr:uid="{00000000-0005-0000-0000-00002E3E0000}"/>
    <cellStyle name="Normal 131 2 3 5" xfId="16264" xr:uid="{00000000-0005-0000-0000-00002F3E0000}"/>
    <cellStyle name="Normal 131 2 3 6" xfId="16265" xr:uid="{00000000-0005-0000-0000-0000303E0000}"/>
    <cellStyle name="Normal 131 2 4" xfId="16266" xr:uid="{00000000-0005-0000-0000-0000313E0000}"/>
    <cellStyle name="Normal 131 2 4 2" xfId="16267" xr:uid="{00000000-0005-0000-0000-0000323E0000}"/>
    <cellStyle name="Normal 131 2 4 3" xfId="16268" xr:uid="{00000000-0005-0000-0000-0000333E0000}"/>
    <cellStyle name="Normal 131 2 5" xfId="16269" xr:uid="{00000000-0005-0000-0000-0000343E0000}"/>
    <cellStyle name="Normal 131 2 5 2" xfId="16270" xr:uid="{00000000-0005-0000-0000-0000353E0000}"/>
    <cellStyle name="Normal 131 2 5 3" xfId="16271" xr:uid="{00000000-0005-0000-0000-0000363E0000}"/>
    <cellStyle name="Normal 131 2 6" xfId="16272" xr:uid="{00000000-0005-0000-0000-0000373E0000}"/>
    <cellStyle name="Normal 131 2 7" xfId="16273" xr:uid="{00000000-0005-0000-0000-0000383E0000}"/>
    <cellStyle name="Normal 131 2 8" xfId="16274" xr:uid="{00000000-0005-0000-0000-0000393E0000}"/>
    <cellStyle name="Normal 131 2 9" xfId="16275" xr:uid="{00000000-0005-0000-0000-00003A3E0000}"/>
    <cellStyle name="Normal 131 3" xfId="16276" xr:uid="{00000000-0005-0000-0000-00003B3E0000}"/>
    <cellStyle name="Normal 131 3 2" xfId="16277" xr:uid="{00000000-0005-0000-0000-00003C3E0000}"/>
    <cellStyle name="Normal 131 3 2 2" xfId="16278" xr:uid="{00000000-0005-0000-0000-00003D3E0000}"/>
    <cellStyle name="Normal 131 3 2 2 2" xfId="16279" xr:uid="{00000000-0005-0000-0000-00003E3E0000}"/>
    <cellStyle name="Normal 131 3 2 2 3" xfId="16280" xr:uid="{00000000-0005-0000-0000-00003F3E0000}"/>
    <cellStyle name="Normal 131 3 2 3" xfId="16281" xr:uid="{00000000-0005-0000-0000-0000403E0000}"/>
    <cellStyle name="Normal 131 3 2 3 2" xfId="16282" xr:uid="{00000000-0005-0000-0000-0000413E0000}"/>
    <cellStyle name="Normal 131 3 2 3 3" xfId="16283" xr:uid="{00000000-0005-0000-0000-0000423E0000}"/>
    <cellStyle name="Normal 131 3 2 4" xfId="16284" xr:uid="{00000000-0005-0000-0000-0000433E0000}"/>
    <cellStyle name="Normal 131 3 2 5" xfId="16285" xr:uid="{00000000-0005-0000-0000-0000443E0000}"/>
    <cellStyle name="Normal 131 3 2 6" xfId="16286" xr:uid="{00000000-0005-0000-0000-0000453E0000}"/>
    <cellStyle name="Normal 131 3 3" xfId="16287" xr:uid="{00000000-0005-0000-0000-0000463E0000}"/>
    <cellStyle name="Normal 131 3 3 2" xfId="16288" xr:uid="{00000000-0005-0000-0000-0000473E0000}"/>
    <cellStyle name="Normal 131 3 3 3" xfId="16289" xr:uid="{00000000-0005-0000-0000-0000483E0000}"/>
    <cellStyle name="Normal 131 3 4" xfId="16290" xr:uid="{00000000-0005-0000-0000-0000493E0000}"/>
    <cellStyle name="Normal 131 3 4 2" xfId="16291" xr:uid="{00000000-0005-0000-0000-00004A3E0000}"/>
    <cellStyle name="Normal 131 3 4 3" xfId="16292" xr:uid="{00000000-0005-0000-0000-00004B3E0000}"/>
    <cellStyle name="Normal 131 3 5" xfId="16293" xr:uid="{00000000-0005-0000-0000-00004C3E0000}"/>
    <cellStyle name="Normal 131 3 6" xfId="16294" xr:uid="{00000000-0005-0000-0000-00004D3E0000}"/>
    <cellStyle name="Normal 131 3 7" xfId="16295" xr:uid="{00000000-0005-0000-0000-00004E3E0000}"/>
    <cellStyle name="Normal 131 3 8" xfId="16296" xr:uid="{00000000-0005-0000-0000-00004F3E0000}"/>
    <cellStyle name="Normal 131 4" xfId="16297" xr:uid="{00000000-0005-0000-0000-0000503E0000}"/>
    <cellStyle name="Normal 131 4 2" xfId="16298" xr:uid="{00000000-0005-0000-0000-0000513E0000}"/>
    <cellStyle name="Normal 131 4 2 2" xfId="16299" xr:uid="{00000000-0005-0000-0000-0000523E0000}"/>
    <cellStyle name="Normal 131 4 2 3" xfId="16300" xr:uid="{00000000-0005-0000-0000-0000533E0000}"/>
    <cellStyle name="Normal 131 4 3" xfId="16301" xr:uid="{00000000-0005-0000-0000-0000543E0000}"/>
    <cellStyle name="Normal 131 4 3 2" xfId="16302" xr:uid="{00000000-0005-0000-0000-0000553E0000}"/>
    <cellStyle name="Normal 131 4 3 3" xfId="16303" xr:uid="{00000000-0005-0000-0000-0000563E0000}"/>
    <cellStyle name="Normal 131 4 4" xfId="16304" xr:uid="{00000000-0005-0000-0000-0000573E0000}"/>
    <cellStyle name="Normal 131 4 5" xfId="16305" xr:uid="{00000000-0005-0000-0000-0000583E0000}"/>
    <cellStyle name="Normal 131 4 6" xfId="16306" xr:uid="{00000000-0005-0000-0000-0000593E0000}"/>
    <cellStyle name="Normal 131 5" xfId="16307" xr:uid="{00000000-0005-0000-0000-00005A3E0000}"/>
    <cellStyle name="Normal 131 5 2" xfId="16308" xr:uid="{00000000-0005-0000-0000-00005B3E0000}"/>
    <cellStyle name="Normal 131 5 3" xfId="16309" xr:uid="{00000000-0005-0000-0000-00005C3E0000}"/>
    <cellStyle name="Normal 131 6" xfId="16310" xr:uid="{00000000-0005-0000-0000-00005D3E0000}"/>
    <cellStyle name="Normal 131 6 2" xfId="16311" xr:uid="{00000000-0005-0000-0000-00005E3E0000}"/>
    <cellStyle name="Normal 131 6 3" xfId="16312" xr:uid="{00000000-0005-0000-0000-00005F3E0000}"/>
    <cellStyle name="Normal 131 7" xfId="16313" xr:uid="{00000000-0005-0000-0000-0000603E0000}"/>
    <cellStyle name="Normal 131 8" xfId="16314" xr:uid="{00000000-0005-0000-0000-0000613E0000}"/>
    <cellStyle name="Normal 131 9" xfId="16315" xr:uid="{00000000-0005-0000-0000-0000623E0000}"/>
    <cellStyle name="Normal 132" xfId="2106" xr:uid="{00000000-0005-0000-0000-0000633E0000}"/>
    <cellStyle name="Normal 132 10" xfId="16316" xr:uid="{00000000-0005-0000-0000-0000643E0000}"/>
    <cellStyle name="Normal 132 11" xfId="16317" xr:uid="{00000000-0005-0000-0000-0000653E0000}"/>
    <cellStyle name="Normal 132 12" xfId="16318" xr:uid="{00000000-0005-0000-0000-0000663E0000}"/>
    <cellStyle name="Normal 132 2" xfId="16319" xr:uid="{00000000-0005-0000-0000-0000673E0000}"/>
    <cellStyle name="Normal 132 2 2" xfId="16320" xr:uid="{00000000-0005-0000-0000-0000683E0000}"/>
    <cellStyle name="Normal 132 2 2 2" xfId="16321" xr:uid="{00000000-0005-0000-0000-0000693E0000}"/>
    <cellStyle name="Normal 132 2 2 2 2" xfId="16322" xr:uid="{00000000-0005-0000-0000-00006A3E0000}"/>
    <cellStyle name="Normal 132 2 2 2 2 2" xfId="16323" xr:uid="{00000000-0005-0000-0000-00006B3E0000}"/>
    <cellStyle name="Normal 132 2 2 2 2 3" xfId="16324" xr:uid="{00000000-0005-0000-0000-00006C3E0000}"/>
    <cellStyle name="Normal 132 2 2 2 3" xfId="16325" xr:uid="{00000000-0005-0000-0000-00006D3E0000}"/>
    <cellStyle name="Normal 132 2 2 2 3 2" xfId="16326" xr:uid="{00000000-0005-0000-0000-00006E3E0000}"/>
    <cellStyle name="Normal 132 2 2 2 3 3" xfId="16327" xr:uid="{00000000-0005-0000-0000-00006F3E0000}"/>
    <cellStyle name="Normal 132 2 2 2 4" xfId="16328" xr:uid="{00000000-0005-0000-0000-0000703E0000}"/>
    <cellStyle name="Normal 132 2 2 2 5" xfId="16329" xr:uid="{00000000-0005-0000-0000-0000713E0000}"/>
    <cellStyle name="Normal 132 2 2 2 6" xfId="16330" xr:uid="{00000000-0005-0000-0000-0000723E0000}"/>
    <cellStyle name="Normal 132 2 2 3" xfId="16331" xr:uid="{00000000-0005-0000-0000-0000733E0000}"/>
    <cellStyle name="Normal 132 2 2 3 2" xfId="16332" xr:uid="{00000000-0005-0000-0000-0000743E0000}"/>
    <cellStyle name="Normal 132 2 2 3 3" xfId="16333" xr:uid="{00000000-0005-0000-0000-0000753E0000}"/>
    <cellStyle name="Normal 132 2 2 4" xfId="16334" xr:uid="{00000000-0005-0000-0000-0000763E0000}"/>
    <cellStyle name="Normal 132 2 2 4 2" xfId="16335" xr:uid="{00000000-0005-0000-0000-0000773E0000}"/>
    <cellStyle name="Normal 132 2 2 4 3" xfId="16336" xr:uid="{00000000-0005-0000-0000-0000783E0000}"/>
    <cellStyle name="Normal 132 2 2 5" xfId="16337" xr:uid="{00000000-0005-0000-0000-0000793E0000}"/>
    <cellStyle name="Normal 132 2 2 6" xfId="16338" xr:uid="{00000000-0005-0000-0000-00007A3E0000}"/>
    <cellStyle name="Normal 132 2 2 7" xfId="16339" xr:uid="{00000000-0005-0000-0000-00007B3E0000}"/>
    <cellStyle name="Normal 132 2 2 8" xfId="16340" xr:uid="{00000000-0005-0000-0000-00007C3E0000}"/>
    <cellStyle name="Normal 132 2 3" xfId="16341" xr:uid="{00000000-0005-0000-0000-00007D3E0000}"/>
    <cellStyle name="Normal 132 2 3 2" xfId="16342" xr:uid="{00000000-0005-0000-0000-00007E3E0000}"/>
    <cellStyle name="Normal 132 2 3 2 2" xfId="16343" xr:uid="{00000000-0005-0000-0000-00007F3E0000}"/>
    <cellStyle name="Normal 132 2 3 2 3" xfId="16344" xr:uid="{00000000-0005-0000-0000-0000803E0000}"/>
    <cellStyle name="Normal 132 2 3 3" xfId="16345" xr:uid="{00000000-0005-0000-0000-0000813E0000}"/>
    <cellStyle name="Normal 132 2 3 3 2" xfId="16346" xr:uid="{00000000-0005-0000-0000-0000823E0000}"/>
    <cellStyle name="Normal 132 2 3 3 3" xfId="16347" xr:uid="{00000000-0005-0000-0000-0000833E0000}"/>
    <cellStyle name="Normal 132 2 3 4" xfId="16348" xr:uid="{00000000-0005-0000-0000-0000843E0000}"/>
    <cellStyle name="Normal 132 2 3 5" xfId="16349" xr:uid="{00000000-0005-0000-0000-0000853E0000}"/>
    <cellStyle name="Normal 132 2 3 6" xfId="16350" xr:uid="{00000000-0005-0000-0000-0000863E0000}"/>
    <cellStyle name="Normal 132 2 4" xfId="16351" xr:uid="{00000000-0005-0000-0000-0000873E0000}"/>
    <cellStyle name="Normal 132 2 4 2" xfId="16352" xr:uid="{00000000-0005-0000-0000-0000883E0000}"/>
    <cellStyle name="Normal 132 2 4 3" xfId="16353" xr:uid="{00000000-0005-0000-0000-0000893E0000}"/>
    <cellStyle name="Normal 132 2 5" xfId="16354" xr:uid="{00000000-0005-0000-0000-00008A3E0000}"/>
    <cellStyle name="Normal 132 2 5 2" xfId="16355" xr:uid="{00000000-0005-0000-0000-00008B3E0000}"/>
    <cellStyle name="Normal 132 2 5 3" xfId="16356" xr:uid="{00000000-0005-0000-0000-00008C3E0000}"/>
    <cellStyle name="Normal 132 2 6" xfId="16357" xr:uid="{00000000-0005-0000-0000-00008D3E0000}"/>
    <cellStyle name="Normal 132 2 7" xfId="16358" xr:uid="{00000000-0005-0000-0000-00008E3E0000}"/>
    <cellStyle name="Normal 132 2 8" xfId="16359" xr:uid="{00000000-0005-0000-0000-00008F3E0000}"/>
    <cellStyle name="Normal 132 2 9" xfId="16360" xr:uid="{00000000-0005-0000-0000-0000903E0000}"/>
    <cellStyle name="Normal 132 3" xfId="16361" xr:uid="{00000000-0005-0000-0000-0000913E0000}"/>
    <cellStyle name="Normal 132 3 2" xfId="16362" xr:uid="{00000000-0005-0000-0000-0000923E0000}"/>
    <cellStyle name="Normal 132 3 2 2" xfId="16363" xr:uid="{00000000-0005-0000-0000-0000933E0000}"/>
    <cellStyle name="Normal 132 3 2 2 2" xfId="16364" xr:uid="{00000000-0005-0000-0000-0000943E0000}"/>
    <cellStyle name="Normal 132 3 2 2 3" xfId="16365" xr:uid="{00000000-0005-0000-0000-0000953E0000}"/>
    <cellStyle name="Normal 132 3 2 3" xfId="16366" xr:uid="{00000000-0005-0000-0000-0000963E0000}"/>
    <cellStyle name="Normal 132 3 2 3 2" xfId="16367" xr:uid="{00000000-0005-0000-0000-0000973E0000}"/>
    <cellStyle name="Normal 132 3 2 3 3" xfId="16368" xr:uid="{00000000-0005-0000-0000-0000983E0000}"/>
    <cellStyle name="Normal 132 3 2 4" xfId="16369" xr:uid="{00000000-0005-0000-0000-0000993E0000}"/>
    <cellStyle name="Normal 132 3 2 5" xfId="16370" xr:uid="{00000000-0005-0000-0000-00009A3E0000}"/>
    <cellStyle name="Normal 132 3 2 6" xfId="16371" xr:uid="{00000000-0005-0000-0000-00009B3E0000}"/>
    <cellStyle name="Normal 132 3 3" xfId="16372" xr:uid="{00000000-0005-0000-0000-00009C3E0000}"/>
    <cellStyle name="Normal 132 3 3 2" xfId="16373" xr:uid="{00000000-0005-0000-0000-00009D3E0000}"/>
    <cellStyle name="Normal 132 3 3 3" xfId="16374" xr:uid="{00000000-0005-0000-0000-00009E3E0000}"/>
    <cellStyle name="Normal 132 3 4" xfId="16375" xr:uid="{00000000-0005-0000-0000-00009F3E0000}"/>
    <cellStyle name="Normal 132 3 4 2" xfId="16376" xr:uid="{00000000-0005-0000-0000-0000A03E0000}"/>
    <cellStyle name="Normal 132 3 4 3" xfId="16377" xr:uid="{00000000-0005-0000-0000-0000A13E0000}"/>
    <cellStyle name="Normal 132 3 5" xfId="16378" xr:uid="{00000000-0005-0000-0000-0000A23E0000}"/>
    <cellStyle name="Normal 132 3 6" xfId="16379" xr:uid="{00000000-0005-0000-0000-0000A33E0000}"/>
    <cellStyle name="Normal 132 3 7" xfId="16380" xr:uid="{00000000-0005-0000-0000-0000A43E0000}"/>
    <cellStyle name="Normal 132 3 8" xfId="16381" xr:uid="{00000000-0005-0000-0000-0000A53E0000}"/>
    <cellStyle name="Normal 132 4" xfId="16382" xr:uid="{00000000-0005-0000-0000-0000A63E0000}"/>
    <cellStyle name="Normal 132 4 2" xfId="16383" xr:uid="{00000000-0005-0000-0000-0000A73E0000}"/>
    <cellStyle name="Normal 132 4 2 2" xfId="16384" xr:uid="{00000000-0005-0000-0000-0000A83E0000}"/>
    <cellStyle name="Normal 132 4 2 3" xfId="16385" xr:uid="{00000000-0005-0000-0000-0000A93E0000}"/>
    <cellStyle name="Normal 132 4 3" xfId="16386" xr:uid="{00000000-0005-0000-0000-0000AA3E0000}"/>
    <cellStyle name="Normal 132 4 3 2" xfId="16387" xr:uid="{00000000-0005-0000-0000-0000AB3E0000}"/>
    <cellStyle name="Normal 132 4 3 3" xfId="16388" xr:uid="{00000000-0005-0000-0000-0000AC3E0000}"/>
    <cellStyle name="Normal 132 4 4" xfId="16389" xr:uid="{00000000-0005-0000-0000-0000AD3E0000}"/>
    <cellStyle name="Normal 132 4 5" xfId="16390" xr:uid="{00000000-0005-0000-0000-0000AE3E0000}"/>
    <cellStyle name="Normal 132 4 6" xfId="16391" xr:uid="{00000000-0005-0000-0000-0000AF3E0000}"/>
    <cellStyle name="Normal 132 5" xfId="16392" xr:uid="{00000000-0005-0000-0000-0000B03E0000}"/>
    <cellStyle name="Normal 132 5 2" xfId="16393" xr:uid="{00000000-0005-0000-0000-0000B13E0000}"/>
    <cellStyle name="Normal 132 5 3" xfId="16394" xr:uid="{00000000-0005-0000-0000-0000B23E0000}"/>
    <cellStyle name="Normal 132 6" xfId="16395" xr:uid="{00000000-0005-0000-0000-0000B33E0000}"/>
    <cellStyle name="Normal 132 6 2" xfId="16396" xr:uid="{00000000-0005-0000-0000-0000B43E0000}"/>
    <cellStyle name="Normal 132 6 3" xfId="16397" xr:uid="{00000000-0005-0000-0000-0000B53E0000}"/>
    <cellStyle name="Normal 132 7" xfId="16398" xr:uid="{00000000-0005-0000-0000-0000B63E0000}"/>
    <cellStyle name="Normal 132 8" xfId="16399" xr:uid="{00000000-0005-0000-0000-0000B73E0000}"/>
    <cellStyle name="Normal 132 9" xfId="16400" xr:uid="{00000000-0005-0000-0000-0000B83E0000}"/>
    <cellStyle name="Normal 133" xfId="2107" xr:uid="{00000000-0005-0000-0000-0000B93E0000}"/>
    <cellStyle name="Normal 133 10" xfId="16401" xr:uid="{00000000-0005-0000-0000-0000BA3E0000}"/>
    <cellStyle name="Normal 133 11" xfId="16402" xr:uid="{00000000-0005-0000-0000-0000BB3E0000}"/>
    <cellStyle name="Normal 133 12" xfId="16403" xr:uid="{00000000-0005-0000-0000-0000BC3E0000}"/>
    <cellStyle name="Normal 133 2" xfId="16404" xr:uid="{00000000-0005-0000-0000-0000BD3E0000}"/>
    <cellStyle name="Normal 133 2 2" xfId="16405" xr:uid="{00000000-0005-0000-0000-0000BE3E0000}"/>
    <cellStyle name="Normal 133 2 2 2" xfId="16406" xr:uid="{00000000-0005-0000-0000-0000BF3E0000}"/>
    <cellStyle name="Normal 133 2 2 2 2" xfId="16407" xr:uid="{00000000-0005-0000-0000-0000C03E0000}"/>
    <cellStyle name="Normal 133 2 2 2 2 2" xfId="16408" xr:uid="{00000000-0005-0000-0000-0000C13E0000}"/>
    <cellStyle name="Normal 133 2 2 2 2 3" xfId="16409" xr:uid="{00000000-0005-0000-0000-0000C23E0000}"/>
    <cellStyle name="Normal 133 2 2 2 3" xfId="16410" xr:uid="{00000000-0005-0000-0000-0000C33E0000}"/>
    <cellStyle name="Normal 133 2 2 2 3 2" xfId="16411" xr:uid="{00000000-0005-0000-0000-0000C43E0000}"/>
    <cellStyle name="Normal 133 2 2 2 3 3" xfId="16412" xr:uid="{00000000-0005-0000-0000-0000C53E0000}"/>
    <cellStyle name="Normal 133 2 2 2 4" xfId="16413" xr:uid="{00000000-0005-0000-0000-0000C63E0000}"/>
    <cellStyle name="Normal 133 2 2 2 5" xfId="16414" xr:uid="{00000000-0005-0000-0000-0000C73E0000}"/>
    <cellStyle name="Normal 133 2 2 2 6" xfId="16415" xr:uid="{00000000-0005-0000-0000-0000C83E0000}"/>
    <cellStyle name="Normal 133 2 2 3" xfId="16416" xr:uid="{00000000-0005-0000-0000-0000C93E0000}"/>
    <cellStyle name="Normal 133 2 2 3 2" xfId="16417" xr:uid="{00000000-0005-0000-0000-0000CA3E0000}"/>
    <cellStyle name="Normal 133 2 2 3 3" xfId="16418" xr:uid="{00000000-0005-0000-0000-0000CB3E0000}"/>
    <cellStyle name="Normal 133 2 2 4" xfId="16419" xr:uid="{00000000-0005-0000-0000-0000CC3E0000}"/>
    <cellStyle name="Normal 133 2 2 4 2" xfId="16420" xr:uid="{00000000-0005-0000-0000-0000CD3E0000}"/>
    <cellStyle name="Normal 133 2 2 4 3" xfId="16421" xr:uid="{00000000-0005-0000-0000-0000CE3E0000}"/>
    <cellStyle name="Normal 133 2 2 5" xfId="16422" xr:uid="{00000000-0005-0000-0000-0000CF3E0000}"/>
    <cellStyle name="Normal 133 2 2 6" xfId="16423" xr:uid="{00000000-0005-0000-0000-0000D03E0000}"/>
    <cellStyle name="Normal 133 2 2 7" xfId="16424" xr:uid="{00000000-0005-0000-0000-0000D13E0000}"/>
    <cellStyle name="Normal 133 2 2 8" xfId="16425" xr:uid="{00000000-0005-0000-0000-0000D23E0000}"/>
    <cellStyle name="Normal 133 2 3" xfId="16426" xr:uid="{00000000-0005-0000-0000-0000D33E0000}"/>
    <cellStyle name="Normal 133 2 3 2" xfId="16427" xr:uid="{00000000-0005-0000-0000-0000D43E0000}"/>
    <cellStyle name="Normal 133 2 3 2 2" xfId="16428" xr:uid="{00000000-0005-0000-0000-0000D53E0000}"/>
    <cellStyle name="Normal 133 2 3 2 3" xfId="16429" xr:uid="{00000000-0005-0000-0000-0000D63E0000}"/>
    <cellStyle name="Normal 133 2 3 3" xfId="16430" xr:uid="{00000000-0005-0000-0000-0000D73E0000}"/>
    <cellStyle name="Normal 133 2 3 3 2" xfId="16431" xr:uid="{00000000-0005-0000-0000-0000D83E0000}"/>
    <cellStyle name="Normal 133 2 3 3 3" xfId="16432" xr:uid="{00000000-0005-0000-0000-0000D93E0000}"/>
    <cellStyle name="Normal 133 2 3 4" xfId="16433" xr:uid="{00000000-0005-0000-0000-0000DA3E0000}"/>
    <cellStyle name="Normal 133 2 3 5" xfId="16434" xr:uid="{00000000-0005-0000-0000-0000DB3E0000}"/>
    <cellStyle name="Normal 133 2 3 6" xfId="16435" xr:uid="{00000000-0005-0000-0000-0000DC3E0000}"/>
    <cellStyle name="Normal 133 2 4" xfId="16436" xr:uid="{00000000-0005-0000-0000-0000DD3E0000}"/>
    <cellStyle name="Normal 133 2 4 2" xfId="16437" xr:uid="{00000000-0005-0000-0000-0000DE3E0000}"/>
    <cellStyle name="Normal 133 2 4 3" xfId="16438" xr:uid="{00000000-0005-0000-0000-0000DF3E0000}"/>
    <cellStyle name="Normal 133 2 5" xfId="16439" xr:uid="{00000000-0005-0000-0000-0000E03E0000}"/>
    <cellStyle name="Normal 133 2 5 2" xfId="16440" xr:uid="{00000000-0005-0000-0000-0000E13E0000}"/>
    <cellStyle name="Normal 133 2 5 3" xfId="16441" xr:uid="{00000000-0005-0000-0000-0000E23E0000}"/>
    <cellStyle name="Normal 133 2 6" xfId="16442" xr:uid="{00000000-0005-0000-0000-0000E33E0000}"/>
    <cellStyle name="Normal 133 2 7" xfId="16443" xr:uid="{00000000-0005-0000-0000-0000E43E0000}"/>
    <cellStyle name="Normal 133 2 8" xfId="16444" xr:uid="{00000000-0005-0000-0000-0000E53E0000}"/>
    <cellStyle name="Normal 133 2 9" xfId="16445" xr:uid="{00000000-0005-0000-0000-0000E63E0000}"/>
    <cellStyle name="Normal 133 3" xfId="16446" xr:uid="{00000000-0005-0000-0000-0000E73E0000}"/>
    <cellStyle name="Normal 133 3 2" xfId="16447" xr:uid="{00000000-0005-0000-0000-0000E83E0000}"/>
    <cellStyle name="Normal 133 3 2 2" xfId="16448" xr:uid="{00000000-0005-0000-0000-0000E93E0000}"/>
    <cellStyle name="Normal 133 3 2 2 2" xfId="16449" xr:uid="{00000000-0005-0000-0000-0000EA3E0000}"/>
    <cellStyle name="Normal 133 3 2 2 3" xfId="16450" xr:uid="{00000000-0005-0000-0000-0000EB3E0000}"/>
    <cellStyle name="Normal 133 3 2 3" xfId="16451" xr:uid="{00000000-0005-0000-0000-0000EC3E0000}"/>
    <cellStyle name="Normal 133 3 2 3 2" xfId="16452" xr:uid="{00000000-0005-0000-0000-0000ED3E0000}"/>
    <cellStyle name="Normal 133 3 2 3 3" xfId="16453" xr:uid="{00000000-0005-0000-0000-0000EE3E0000}"/>
    <cellStyle name="Normal 133 3 2 4" xfId="16454" xr:uid="{00000000-0005-0000-0000-0000EF3E0000}"/>
    <cellStyle name="Normal 133 3 2 5" xfId="16455" xr:uid="{00000000-0005-0000-0000-0000F03E0000}"/>
    <cellStyle name="Normal 133 3 2 6" xfId="16456" xr:uid="{00000000-0005-0000-0000-0000F13E0000}"/>
    <cellStyle name="Normal 133 3 3" xfId="16457" xr:uid="{00000000-0005-0000-0000-0000F23E0000}"/>
    <cellStyle name="Normal 133 3 3 2" xfId="16458" xr:uid="{00000000-0005-0000-0000-0000F33E0000}"/>
    <cellStyle name="Normal 133 3 3 3" xfId="16459" xr:uid="{00000000-0005-0000-0000-0000F43E0000}"/>
    <cellStyle name="Normal 133 3 4" xfId="16460" xr:uid="{00000000-0005-0000-0000-0000F53E0000}"/>
    <cellStyle name="Normal 133 3 4 2" xfId="16461" xr:uid="{00000000-0005-0000-0000-0000F63E0000}"/>
    <cellStyle name="Normal 133 3 4 3" xfId="16462" xr:uid="{00000000-0005-0000-0000-0000F73E0000}"/>
    <cellStyle name="Normal 133 3 5" xfId="16463" xr:uid="{00000000-0005-0000-0000-0000F83E0000}"/>
    <cellStyle name="Normal 133 3 6" xfId="16464" xr:uid="{00000000-0005-0000-0000-0000F93E0000}"/>
    <cellStyle name="Normal 133 3 7" xfId="16465" xr:uid="{00000000-0005-0000-0000-0000FA3E0000}"/>
    <cellStyle name="Normal 133 3 8" xfId="16466" xr:uid="{00000000-0005-0000-0000-0000FB3E0000}"/>
    <cellStyle name="Normal 133 4" xfId="16467" xr:uid="{00000000-0005-0000-0000-0000FC3E0000}"/>
    <cellStyle name="Normal 133 4 2" xfId="16468" xr:uid="{00000000-0005-0000-0000-0000FD3E0000}"/>
    <cellStyle name="Normal 133 4 2 2" xfId="16469" xr:uid="{00000000-0005-0000-0000-0000FE3E0000}"/>
    <cellStyle name="Normal 133 4 2 3" xfId="16470" xr:uid="{00000000-0005-0000-0000-0000FF3E0000}"/>
    <cellStyle name="Normal 133 4 3" xfId="16471" xr:uid="{00000000-0005-0000-0000-0000003F0000}"/>
    <cellStyle name="Normal 133 4 3 2" xfId="16472" xr:uid="{00000000-0005-0000-0000-0000013F0000}"/>
    <cellStyle name="Normal 133 4 3 3" xfId="16473" xr:uid="{00000000-0005-0000-0000-0000023F0000}"/>
    <cellStyle name="Normal 133 4 4" xfId="16474" xr:uid="{00000000-0005-0000-0000-0000033F0000}"/>
    <cellStyle name="Normal 133 4 5" xfId="16475" xr:uid="{00000000-0005-0000-0000-0000043F0000}"/>
    <cellStyle name="Normal 133 4 6" xfId="16476" xr:uid="{00000000-0005-0000-0000-0000053F0000}"/>
    <cellStyle name="Normal 133 5" xfId="16477" xr:uid="{00000000-0005-0000-0000-0000063F0000}"/>
    <cellStyle name="Normal 133 5 2" xfId="16478" xr:uid="{00000000-0005-0000-0000-0000073F0000}"/>
    <cellStyle name="Normal 133 5 3" xfId="16479" xr:uid="{00000000-0005-0000-0000-0000083F0000}"/>
    <cellStyle name="Normal 133 6" xfId="16480" xr:uid="{00000000-0005-0000-0000-0000093F0000}"/>
    <cellStyle name="Normal 133 6 2" xfId="16481" xr:uid="{00000000-0005-0000-0000-00000A3F0000}"/>
    <cellStyle name="Normal 133 6 3" xfId="16482" xr:uid="{00000000-0005-0000-0000-00000B3F0000}"/>
    <cellStyle name="Normal 133 7" xfId="16483" xr:uid="{00000000-0005-0000-0000-00000C3F0000}"/>
    <cellStyle name="Normal 133 8" xfId="16484" xr:uid="{00000000-0005-0000-0000-00000D3F0000}"/>
    <cellStyle name="Normal 133 9" xfId="16485" xr:uid="{00000000-0005-0000-0000-00000E3F0000}"/>
    <cellStyle name="Normal 134" xfId="2108" xr:uid="{00000000-0005-0000-0000-00000F3F0000}"/>
    <cellStyle name="Normal 134 10" xfId="16486" xr:uid="{00000000-0005-0000-0000-0000103F0000}"/>
    <cellStyle name="Normal 134 11" xfId="16487" xr:uid="{00000000-0005-0000-0000-0000113F0000}"/>
    <cellStyle name="Normal 134 12" xfId="16488" xr:uid="{00000000-0005-0000-0000-0000123F0000}"/>
    <cellStyle name="Normal 134 2" xfId="16489" xr:uid="{00000000-0005-0000-0000-0000133F0000}"/>
    <cellStyle name="Normal 134 2 2" xfId="16490" xr:uid="{00000000-0005-0000-0000-0000143F0000}"/>
    <cellStyle name="Normal 134 2 2 2" xfId="16491" xr:uid="{00000000-0005-0000-0000-0000153F0000}"/>
    <cellStyle name="Normal 134 2 2 2 2" xfId="16492" xr:uid="{00000000-0005-0000-0000-0000163F0000}"/>
    <cellStyle name="Normal 134 2 2 2 2 2" xfId="16493" xr:uid="{00000000-0005-0000-0000-0000173F0000}"/>
    <cellStyle name="Normal 134 2 2 2 2 3" xfId="16494" xr:uid="{00000000-0005-0000-0000-0000183F0000}"/>
    <cellStyle name="Normal 134 2 2 2 3" xfId="16495" xr:uid="{00000000-0005-0000-0000-0000193F0000}"/>
    <cellStyle name="Normal 134 2 2 2 3 2" xfId="16496" xr:uid="{00000000-0005-0000-0000-00001A3F0000}"/>
    <cellStyle name="Normal 134 2 2 2 3 3" xfId="16497" xr:uid="{00000000-0005-0000-0000-00001B3F0000}"/>
    <cellStyle name="Normal 134 2 2 2 4" xfId="16498" xr:uid="{00000000-0005-0000-0000-00001C3F0000}"/>
    <cellStyle name="Normal 134 2 2 2 5" xfId="16499" xr:uid="{00000000-0005-0000-0000-00001D3F0000}"/>
    <cellStyle name="Normal 134 2 2 2 6" xfId="16500" xr:uid="{00000000-0005-0000-0000-00001E3F0000}"/>
    <cellStyle name="Normal 134 2 2 3" xfId="16501" xr:uid="{00000000-0005-0000-0000-00001F3F0000}"/>
    <cellStyle name="Normal 134 2 2 3 2" xfId="16502" xr:uid="{00000000-0005-0000-0000-0000203F0000}"/>
    <cellStyle name="Normal 134 2 2 3 3" xfId="16503" xr:uid="{00000000-0005-0000-0000-0000213F0000}"/>
    <cellStyle name="Normal 134 2 2 4" xfId="16504" xr:uid="{00000000-0005-0000-0000-0000223F0000}"/>
    <cellStyle name="Normal 134 2 2 4 2" xfId="16505" xr:uid="{00000000-0005-0000-0000-0000233F0000}"/>
    <cellStyle name="Normal 134 2 2 4 3" xfId="16506" xr:uid="{00000000-0005-0000-0000-0000243F0000}"/>
    <cellStyle name="Normal 134 2 2 5" xfId="16507" xr:uid="{00000000-0005-0000-0000-0000253F0000}"/>
    <cellStyle name="Normal 134 2 2 6" xfId="16508" xr:uid="{00000000-0005-0000-0000-0000263F0000}"/>
    <cellStyle name="Normal 134 2 2 7" xfId="16509" xr:uid="{00000000-0005-0000-0000-0000273F0000}"/>
    <cellStyle name="Normal 134 2 2 8" xfId="16510" xr:uid="{00000000-0005-0000-0000-0000283F0000}"/>
    <cellStyle name="Normal 134 2 3" xfId="16511" xr:uid="{00000000-0005-0000-0000-0000293F0000}"/>
    <cellStyle name="Normal 134 2 3 2" xfId="16512" xr:uid="{00000000-0005-0000-0000-00002A3F0000}"/>
    <cellStyle name="Normal 134 2 3 2 2" xfId="16513" xr:uid="{00000000-0005-0000-0000-00002B3F0000}"/>
    <cellStyle name="Normal 134 2 3 2 3" xfId="16514" xr:uid="{00000000-0005-0000-0000-00002C3F0000}"/>
    <cellStyle name="Normal 134 2 3 3" xfId="16515" xr:uid="{00000000-0005-0000-0000-00002D3F0000}"/>
    <cellStyle name="Normal 134 2 3 3 2" xfId="16516" xr:uid="{00000000-0005-0000-0000-00002E3F0000}"/>
    <cellStyle name="Normal 134 2 3 3 3" xfId="16517" xr:uid="{00000000-0005-0000-0000-00002F3F0000}"/>
    <cellStyle name="Normal 134 2 3 4" xfId="16518" xr:uid="{00000000-0005-0000-0000-0000303F0000}"/>
    <cellStyle name="Normal 134 2 3 5" xfId="16519" xr:uid="{00000000-0005-0000-0000-0000313F0000}"/>
    <cellStyle name="Normal 134 2 3 6" xfId="16520" xr:uid="{00000000-0005-0000-0000-0000323F0000}"/>
    <cellStyle name="Normal 134 2 4" xfId="16521" xr:uid="{00000000-0005-0000-0000-0000333F0000}"/>
    <cellStyle name="Normal 134 2 4 2" xfId="16522" xr:uid="{00000000-0005-0000-0000-0000343F0000}"/>
    <cellStyle name="Normal 134 2 4 3" xfId="16523" xr:uid="{00000000-0005-0000-0000-0000353F0000}"/>
    <cellStyle name="Normal 134 2 5" xfId="16524" xr:uid="{00000000-0005-0000-0000-0000363F0000}"/>
    <cellStyle name="Normal 134 2 5 2" xfId="16525" xr:uid="{00000000-0005-0000-0000-0000373F0000}"/>
    <cellStyle name="Normal 134 2 5 3" xfId="16526" xr:uid="{00000000-0005-0000-0000-0000383F0000}"/>
    <cellStyle name="Normal 134 2 6" xfId="16527" xr:uid="{00000000-0005-0000-0000-0000393F0000}"/>
    <cellStyle name="Normal 134 2 7" xfId="16528" xr:uid="{00000000-0005-0000-0000-00003A3F0000}"/>
    <cellStyle name="Normal 134 2 8" xfId="16529" xr:uid="{00000000-0005-0000-0000-00003B3F0000}"/>
    <cellStyle name="Normal 134 2 9" xfId="16530" xr:uid="{00000000-0005-0000-0000-00003C3F0000}"/>
    <cellStyle name="Normal 134 3" xfId="16531" xr:uid="{00000000-0005-0000-0000-00003D3F0000}"/>
    <cellStyle name="Normal 134 3 2" xfId="16532" xr:uid="{00000000-0005-0000-0000-00003E3F0000}"/>
    <cellStyle name="Normal 134 3 2 2" xfId="16533" xr:uid="{00000000-0005-0000-0000-00003F3F0000}"/>
    <cellStyle name="Normal 134 3 2 2 2" xfId="16534" xr:uid="{00000000-0005-0000-0000-0000403F0000}"/>
    <cellStyle name="Normal 134 3 2 2 3" xfId="16535" xr:uid="{00000000-0005-0000-0000-0000413F0000}"/>
    <cellStyle name="Normal 134 3 2 3" xfId="16536" xr:uid="{00000000-0005-0000-0000-0000423F0000}"/>
    <cellStyle name="Normal 134 3 2 3 2" xfId="16537" xr:uid="{00000000-0005-0000-0000-0000433F0000}"/>
    <cellStyle name="Normal 134 3 2 3 3" xfId="16538" xr:uid="{00000000-0005-0000-0000-0000443F0000}"/>
    <cellStyle name="Normal 134 3 2 4" xfId="16539" xr:uid="{00000000-0005-0000-0000-0000453F0000}"/>
    <cellStyle name="Normal 134 3 2 5" xfId="16540" xr:uid="{00000000-0005-0000-0000-0000463F0000}"/>
    <cellStyle name="Normal 134 3 2 6" xfId="16541" xr:uid="{00000000-0005-0000-0000-0000473F0000}"/>
    <cellStyle name="Normal 134 3 3" xfId="16542" xr:uid="{00000000-0005-0000-0000-0000483F0000}"/>
    <cellStyle name="Normal 134 3 3 2" xfId="16543" xr:uid="{00000000-0005-0000-0000-0000493F0000}"/>
    <cellStyle name="Normal 134 3 3 3" xfId="16544" xr:uid="{00000000-0005-0000-0000-00004A3F0000}"/>
    <cellStyle name="Normal 134 3 4" xfId="16545" xr:uid="{00000000-0005-0000-0000-00004B3F0000}"/>
    <cellStyle name="Normal 134 3 4 2" xfId="16546" xr:uid="{00000000-0005-0000-0000-00004C3F0000}"/>
    <cellStyle name="Normal 134 3 4 3" xfId="16547" xr:uid="{00000000-0005-0000-0000-00004D3F0000}"/>
    <cellStyle name="Normal 134 3 5" xfId="16548" xr:uid="{00000000-0005-0000-0000-00004E3F0000}"/>
    <cellStyle name="Normal 134 3 6" xfId="16549" xr:uid="{00000000-0005-0000-0000-00004F3F0000}"/>
    <cellStyle name="Normal 134 3 7" xfId="16550" xr:uid="{00000000-0005-0000-0000-0000503F0000}"/>
    <cellStyle name="Normal 134 3 8" xfId="16551" xr:uid="{00000000-0005-0000-0000-0000513F0000}"/>
    <cellStyle name="Normal 134 4" xfId="16552" xr:uid="{00000000-0005-0000-0000-0000523F0000}"/>
    <cellStyle name="Normal 134 4 2" xfId="16553" xr:uid="{00000000-0005-0000-0000-0000533F0000}"/>
    <cellStyle name="Normal 134 4 2 2" xfId="16554" xr:uid="{00000000-0005-0000-0000-0000543F0000}"/>
    <cellStyle name="Normal 134 4 2 3" xfId="16555" xr:uid="{00000000-0005-0000-0000-0000553F0000}"/>
    <cellStyle name="Normal 134 4 3" xfId="16556" xr:uid="{00000000-0005-0000-0000-0000563F0000}"/>
    <cellStyle name="Normal 134 4 3 2" xfId="16557" xr:uid="{00000000-0005-0000-0000-0000573F0000}"/>
    <cellStyle name="Normal 134 4 3 3" xfId="16558" xr:uid="{00000000-0005-0000-0000-0000583F0000}"/>
    <cellStyle name="Normal 134 4 4" xfId="16559" xr:uid="{00000000-0005-0000-0000-0000593F0000}"/>
    <cellStyle name="Normal 134 4 5" xfId="16560" xr:uid="{00000000-0005-0000-0000-00005A3F0000}"/>
    <cellStyle name="Normal 134 4 6" xfId="16561" xr:uid="{00000000-0005-0000-0000-00005B3F0000}"/>
    <cellStyle name="Normal 134 5" xfId="16562" xr:uid="{00000000-0005-0000-0000-00005C3F0000}"/>
    <cellStyle name="Normal 134 5 2" xfId="16563" xr:uid="{00000000-0005-0000-0000-00005D3F0000}"/>
    <cellStyle name="Normal 134 5 3" xfId="16564" xr:uid="{00000000-0005-0000-0000-00005E3F0000}"/>
    <cellStyle name="Normal 134 6" xfId="16565" xr:uid="{00000000-0005-0000-0000-00005F3F0000}"/>
    <cellStyle name="Normal 134 6 2" xfId="16566" xr:uid="{00000000-0005-0000-0000-0000603F0000}"/>
    <cellStyle name="Normal 134 6 3" xfId="16567" xr:uid="{00000000-0005-0000-0000-0000613F0000}"/>
    <cellStyle name="Normal 134 7" xfId="16568" xr:uid="{00000000-0005-0000-0000-0000623F0000}"/>
    <cellStyle name="Normal 134 8" xfId="16569" xr:uid="{00000000-0005-0000-0000-0000633F0000}"/>
    <cellStyle name="Normal 134 9" xfId="16570" xr:uid="{00000000-0005-0000-0000-0000643F0000}"/>
    <cellStyle name="Normal 135" xfId="2109" xr:uid="{00000000-0005-0000-0000-0000653F0000}"/>
    <cellStyle name="Normal 135 10" xfId="16571" xr:uid="{00000000-0005-0000-0000-0000663F0000}"/>
    <cellStyle name="Normal 135 11" xfId="16572" xr:uid="{00000000-0005-0000-0000-0000673F0000}"/>
    <cellStyle name="Normal 135 12" xfId="16573" xr:uid="{00000000-0005-0000-0000-0000683F0000}"/>
    <cellStyle name="Normal 135 2" xfId="16574" xr:uid="{00000000-0005-0000-0000-0000693F0000}"/>
    <cellStyle name="Normal 135 2 2" xfId="16575" xr:uid="{00000000-0005-0000-0000-00006A3F0000}"/>
    <cellStyle name="Normal 135 2 2 2" xfId="16576" xr:uid="{00000000-0005-0000-0000-00006B3F0000}"/>
    <cellStyle name="Normal 135 2 2 2 2" xfId="16577" xr:uid="{00000000-0005-0000-0000-00006C3F0000}"/>
    <cellStyle name="Normal 135 2 2 2 2 2" xfId="16578" xr:uid="{00000000-0005-0000-0000-00006D3F0000}"/>
    <cellStyle name="Normal 135 2 2 2 2 3" xfId="16579" xr:uid="{00000000-0005-0000-0000-00006E3F0000}"/>
    <cellStyle name="Normal 135 2 2 2 3" xfId="16580" xr:uid="{00000000-0005-0000-0000-00006F3F0000}"/>
    <cellStyle name="Normal 135 2 2 2 3 2" xfId="16581" xr:uid="{00000000-0005-0000-0000-0000703F0000}"/>
    <cellStyle name="Normal 135 2 2 2 3 3" xfId="16582" xr:uid="{00000000-0005-0000-0000-0000713F0000}"/>
    <cellStyle name="Normal 135 2 2 2 4" xfId="16583" xr:uid="{00000000-0005-0000-0000-0000723F0000}"/>
    <cellStyle name="Normal 135 2 2 2 5" xfId="16584" xr:uid="{00000000-0005-0000-0000-0000733F0000}"/>
    <cellStyle name="Normal 135 2 2 2 6" xfId="16585" xr:uid="{00000000-0005-0000-0000-0000743F0000}"/>
    <cellStyle name="Normal 135 2 2 3" xfId="16586" xr:uid="{00000000-0005-0000-0000-0000753F0000}"/>
    <cellStyle name="Normal 135 2 2 3 2" xfId="16587" xr:uid="{00000000-0005-0000-0000-0000763F0000}"/>
    <cellStyle name="Normal 135 2 2 3 3" xfId="16588" xr:uid="{00000000-0005-0000-0000-0000773F0000}"/>
    <cellStyle name="Normal 135 2 2 4" xfId="16589" xr:uid="{00000000-0005-0000-0000-0000783F0000}"/>
    <cellStyle name="Normal 135 2 2 4 2" xfId="16590" xr:uid="{00000000-0005-0000-0000-0000793F0000}"/>
    <cellStyle name="Normal 135 2 2 4 3" xfId="16591" xr:uid="{00000000-0005-0000-0000-00007A3F0000}"/>
    <cellStyle name="Normal 135 2 2 5" xfId="16592" xr:uid="{00000000-0005-0000-0000-00007B3F0000}"/>
    <cellStyle name="Normal 135 2 2 6" xfId="16593" xr:uid="{00000000-0005-0000-0000-00007C3F0000}"/>
    <cellStyle name="Normal 135 2 2 7" xfId="16594" xr:uid="{00000000-0005-0000-0000-00007D3F0000}"/>
    <cellStyle name="Normal 135 2 2 8" xfId="16595" xr:uid="{00000000-0005-0000-0000-00007E3F0000}"/>
    <cellStyle name="Normal 135 2 3" xfId="16596" xr:uid="{00000000-0005-0000-0000-00007F3F0000}"/>
    <cellStyle name="Normal 135 2 3 2" xfId="16597" xr:uid="{00000000-0005-0000-0000-0000803F0000}"/>
    <cellStyle name="Normal 135 2 3 2 2" xfId="16598" xr:uid="{00000000-0005-0000-0000-0000813F0000}"/>
    <cellStyle name="Normal 135 2 3 2 3" xfId="16599" xr:uid="{00000000-0005-0000-0000-0000823F0000}"/>
    <cellStyle name="Normal 135 2 3 3" xfId="16600" xr:uid="{00000000-0005-0000-0000-0000833F0000}"/>
    <cellStyle name="Normal 135 2 3 3 2" xfId="16601" xr:uid="{00000000-0005-0000-0000-0000843F0000}"/>
    <cellStyle name="Normal 135 2 3 3 3" xfId="16602" xr:uid="{00000000-0005-0000-0000-0000853F0000}"/>
    <cellStyle name="Normal 135 2 3 4" xfId="16603" xr:uid="{00000000-0005-0000-0000-0000863F0000}"/>
    <cellStyle name="Normal 135 2 3 5" xfId="16604" xr:uid="{00000000-0005-0000-0000-0000873F0000}"/>
    <cellStyle name="Normal 135 2 3 6" xfId="16605" xr:uid="{00000000-0005-0000-0000-0000883F0000}"/>
    <cellStyle name="Normal 135 2 4" xfId="16606" xr:uid="{00000000-0005-0000-0000-0000893F0000}"/>
    <cellStyle name="Normal 135 2 4 2" xfId="16607" xr:uid="{00000000-0005-0000-0000-00008A3F0000}"/>
    <cellStyle name="Normal 135 2 4 3" xfId="16608" xr:uid="{00000000-0005-0000-0000-00008B3F0000}"/>
    <cellStyle name="Normal 135 2 5" xfId="16609" xr:uid="{00000000-0005-0000-0000-00008C3F0000}"/>
    <cellStyle name="Normal 135 2 5 2" xfId="16610" xr:uid="{00000000-0005-0000-0000-00008D3F0000}"/>
    <cellStyle name="Normal 135 2 5 3" xfId="16611" xr:uid="{00000000-0005-0000-0000-00008E3F0000}"/>
    <cellStyle name="Normal 135 2 6" xfId="16612" xr:uid="{00000000-0005-0000-0000-00008F3F0000}"/>
    <cellStyle name="Normal 135 2 7" xfId="16613" xr:uid="{00000000-0005-0000-0000-0000903F0000}"/>
    <cellStyle name="Normal 135 2 8" xfId="16614" xr:uid="{00000000-0005-0000-0000-0000913F0000}"/>
    <cellStyle name="Normal 135 2 9" xfId="16615" xr:uid="{00000000-0005-0000-0000-0000923F0000}"/>
    <cellStyle name="Normal 135 3" xfId="16616" xr:uid="{00000000-0005-0000-0000-0000933F0000}"/>
    <cellStyle name="Normal 135 3 2" xfId="16617" xr:uid="{00000000-0005-0000-0000-0000943F0000}"/>
    <cellStyle name="Normal 135 3 2 2" xfId="16618" xr:uid="{00000000-0005-0000-0000-0000953F0000}"/>
    <cellStyle name="Normal 135 3 2 2 2" xfId="16619" xr:uid="{00000000-0005-0000-0000-0000963F0000}"/>
    <cellStyle name="Normal 135 3 2 2 3" xfId="16620" xr:uid="{00000000-0005-0000-0000-0000973F0000}"/>
    <cellStyle name="Normal 135 3 2 3" xfId="16621" xr:uid="{00000000-0005-0000-0000-0000983F0000}"/>
    <cellStyle name="Normal 135 3 2 3 2" xfId="16622" xr:uid="{00000000-0005-0000-0000-0000993F0000}"/>
    <cellStyle name="Normal 135 3 2 3 3" xfId="16623" xr:uid="{00000000-0005-0000-0000-00009A3F0000}"/>
    <cellStyle name="Normal 135 3 2 4" xfId="16624" xr:uid="{00000000-0005-0000-0000-00009B3F0000}"/>
    <cellStyle name="Normal 135 3 2 5" xfId="16625" xr:uid="{00000000-0005-0000-0000-00009C3F0000}"/>
    <cellStyle name="Normal 135 3 2 6" xfId="16626" xr:uid="{00000000-0005-0000-0000-00009D3F0000}"/>
    <cellStyle name="Normal 135 3 3" xfId="16627" xr:uid="{00000000-0005-0000-0000-00009E3F0000}"/>
    <cellStyle name="Normal 135 3 3 2" xfId="16628" xr:uid="{00000000-0005-0000-0000-00009F3F0000}"/>
    <cellStyle name="Normal 135 3 3 3" xfId="16629" xr:uid="{00000000-0005-0000-0000-0000A03F0000}"/>
    <cellStyle name="Normal 135 3 4" xfId="16630" xr:uid="{00000000-0005-0000-0000-0000A13F0000}"/>
    <cellStyle name="Normal 135 3 4 2" xfId="16631" xr:uid="{00000000-0005-0000-0000-0000A23F0000}"/>
    <cellStyle name="Normal 135 3 4 3" xfId="16632" xr:uid="{00000000-0005-0000-0000-0000A33F0000}"/>
    <cellStyle name="Normal 135 3 5" xfId="16633" xr:uid="{00000000-0005-0000-0000-0000A43F0000}"/>
    <cellStyle name="Normal 135 3 6" xfId="16634" xr:uid="{00000000-0005-0000-0000-0000A53F0000}"/>
    <cellStyle name="Normal 135 3 7" xfId="16635" xr:uid="{00000000-0005-0000-0000-0000A63F0000}"/>
    <cellStyle name="Normal 135 3 8" xfId="16636" xr:uid="{00000000-0005-0000-0000-0000A73F0000}"/>
    <cellStyle name="Normal 135 4" xfId="16637" xr:uid="{00000000-0005-0000-0000-0000A83F0000}"/>
    <cellStyle name="Normal 135 4 2" xfId="16638" xr:uid="{00000000-0005-0000-0000-0000A93F0000}"/>
    <cellStyle name="Normal 135 4 2 2" xfId="16639" xr:uid="{00000000-0005-0000-0000-0000AA3F0000}"/>
    <cellStyle name="Normal 135 4 2 3" xfId="16640" xr:uid="{00000000-0005-0000-0000-0000AB3F0000}"/>
    <cellStyle name="Normal 135 4 3" xfId="16641" xr:uid="{00000000-0005-0000-0000-0000AC3F0000}"/>
    <cellStyle name="Normal 135 4 3 2" xfId="16642" xr:uid="{00000000-0005-0000-0000-0000AD3F0000}"/>
    <cellStyle name="Normal 135 4 3 3" xfId="16643" xr:uid="{00000000-0005-0000-0000-0000AE3F0000}"/>
    <cellStyle name="Normal 135 4 4" xfId="16644" xr:uid="{00000000-0005-0000-0000-0000AF3F0000}"/>
    <cellStyle name="Normal 135 4 5" xfId="16645" xr:uid="{00000000-0005-0000-0000-0000B03F0000}"/>
    <cellStyle name="Normal 135 4 6" xfId="16646" xr:uid="{00000000-0005-0000-0000-0000B13F0000}"/>
    <cellStyle name="Normal 135 5" xfId="16647" xr:uid="{00000000-0005-0000-0000-0000B23F0000}"/>
    <cellStyle name="Normal 135 5 2" xfId="16648" xr:uid="{00000000-0005-0000-0000-0000B33F0000}"/>
    <cellStyle name="Normal 135 5 3" xfId="16649" xr:uid="{00000000-0005-0000-0000-0000B43F0000}"/>
    <cellStyle name="Normal 135 6" xfId="16650" xr:uid="{00000000-0005-0000-0000-0000B53F0000}"/>
    <cellStyle name="Normal 135 6 2" xfId="16651" xr:uid="{00000000-0005-0000-0000-0000B63F0000}"/>
    <cellStyle name="Normal 135 6 3" xfId="16652" xr:uid="{00000000-0005-0000-0000-0000B73F0000}"/>
    <cellStyle name="Normal 135 7" xfId="16653" xr:uid="{00000000-0005-0000-0000-0000B83F0000}"/>
    <cellStyle name="Normal 135 8" xfId="16654" xr:uid="{00000000-0005-0000-0000-0000B93F0000}"/>
    <cellStyle name="Normal 135 9" xfId="16655" xr:uid="{00000000-0005-0000-0000-0000BA3F0000}"/>
    <cellStyle name="Normal 136" xfId="2110" xr:uid="{00000000-0005-0000-0000-0000BB3F0000}"/>
    <cellStyle name="Normal 136 10" xfId="16656" xr:uid="{00000000-0005-0000-0000-0000BC3F0000}"/>
    <cellStyle name="Normal 136 11" xfId="16657" xr:uid="{00000000-0005-0000-0000-0000BD3F0000}"/>
    <cellStyle name="Normal 136 12" xfId="16658" xr:uid="{00000000-0005-0000-0000-0000BE3F0000}"/>
    <cellStyle name="Normal 136 2" xfId="16659" xr:uid="{00000000-0005-0000-0000-0000BF3F0000}"/>
    <cellStyle name="Normal 136 2 2" xfId="16660" xr:uid="{00000000-0005-0000-0000-0000C03F0000}"/>
    <cellStyle name="Normal 136 2 2 2" xfId="16661" xr:uid="{00000000-0005-0000-0000-0000C13F0000}"/>
    <cellStyle name="Normal 136 2 2 2 2" xfId="16662" xr:uid="{00000000-0005-0000-0000-0000C23F0000}"/>
    <cellStyle name="Normal 136 2 2 2 2 2" xfId="16663" xr:uid="{00000000-0005-0000-0000-0000C33F0000}"/>
    <cellStyle name="Normal 136 2 2 2 2 3" xfId="16664" xr:uid="{00000000-0005-0000-0000-0000C43F0000}"/>
    <cellStyle name="Normal 136 2 2 2 3" xfId="16665" xr:uid="{00000000-0005-0000-0000-0000C53F0000}"/>
    <cellStyle name="Normal 136 2 2 2 3 2" xfId="16666" xr:uid="{00000000-0005-0000-0000-0000C63F0000}"/>
    <cellStyle name="Normal 136 2 2 2 3 3" xfId="16667" xr:uid="{00000000-0005-0000-0000-0000C73F0000}"/>
    <cellStyle name="Normal 136 2 2 2 4" xfId="16668" xr:uid="{00000000-0005-0000-0000-0000C83F0000}"/>
    <cellStyle name="Normal 136 2 2 2 5" xfId="16669" xr:uid="{00000000-0005-0000-0000-0000C93F0000}"/>
    <cellStyle name="Normal 136 2 2 2 6" xfId="16670" xr:uid="{00000000-0005-0000-0000-0000CA3F0000}"/>
    <cellStyle name="Normal 136 2 2 3" xfId="16671" xr:uid="{00000000-0005-0000-0000-0000CB3F0000}"/>
    <cellStyle name="Normal 136 2 2 3 2" xfId="16672" xr:uid="{00000000-0005-0000-0000-0000CC3F0000}"/>
    <cellStyle name="Normal 136 2 2 3 3" xfId="16673" xr:uid="{00000000-0005-0000-0000-0000CD3F0000}"/>
    <cellStyle name="Normal 136 2 2 4" xfId="16674" xr:uid="{00000000-0005-0000-0000-0000CE3F0000}"/>
    <cellStyle name="Normal 136 2 2 4 2" xfId="16675" xr:uid="{00000000-0005-0000-0000-0000CF3F0000}"/>
    <cellStyle name="Normal 136 2 2 4 3" xfId="16676" xr:uid="{00000000-0005-0000-0000-0000D03F0000}"/>
    <cellStyle name="Normal 136 2 2 5" xfId="16677" xr:uid="{00000000-0005-0000-0000-0000D13F0000}"/>
    <cellStyle name="Normal 136 2 2 6" xfId="16678" xr:uid="{00000000-0005-0000-0000-0000D23F0000}"/>
    <cellStyle name="Normal 136 2 2 7" xfId="16679" xr:uid="{00000000-0005-0000-0000-0000D33F0000}"/>
    <cellStyle name="Normal 136 2 2 8" xfId="16680" xr:uid="{00000000-0005-0000-0000-0000D43F0000}"/>
    <cellStyle name="Normal 136 2 3" xfId="16681" xr:uid="{00000000-0005-0000-0000-0000D53F0000}"/>
    <cellStyle name="Normal 136 2 3 2" xfId="16682" xr:uid="{00000000-0005-0000-0000-0000D63F0000}"/>
    <cellStyle name="Normal 136 2 3 2 2" xfId="16683" xr:uid="{00000000-0005-0000-0000-0000D73F0000}"/>
    <cellStyle name="Normal 136 2 3 2 3" xfId="16684" xr:uid="{00000000-0005-0000-0000-0000D83F0000}"/>
    <cellStyle name="Normal 136 2 3 3" xfId="16685" xr:uid="{00000000-0005-0000-0000-0000D93F0000}"/>
    <cellStyle name="Normal 136 2 3 3 2" xfId="16686" xr:uid="{00000000-0005-0000-0000-0000DA3F0000}"/>
    <cellStyle name="Normal 136 2 3 3 3" xfId="16687" xr:uid="{00000000-0005-0000-0000-0000DB3F0000}"/>
    <cellStyle name="Normal 136 2 3 4" xfId="16688" xr:uid="{00000000-0005-0000-0000-0000DC3F0000}"/>
    <cellStyle name="Normal 136 2 3 5" xfId="16689" xr:uid="{00000000-0005-0000-0000-0000DD3F0000}"/>
    <cellStyle name="Normal 136 2 3 6" xfId="16690" xr:uid="{00000000-0005-0000-0000-0000DE3F0000}"/>
    <cellStyle name="Normal 136 2 4" xfId="16691" xr:uid="{00000000-0005-0000-0000-0000DF3F0000}"/>
    <cellStyle name="Normal 136 2 4 2" xfId="16692" xr:uid="{00000000-0005-0000-0000-0000E03F0000}"/>
    <cellStyle name="Normal 136 2 4 3" xfId="16693" xr:uid="{00000000-0005-0000-0000-0000E13F0000}"/>
    <cellStyle name="Normal 136 2 5" xfId="16694" xr:uid="{00000000-0005-0000-0000-0000E23F0000}"/>
    <cellStyle name="Normal 136 2 5 2" xfId="16695" xr:uid="{00000000-0005-0000-0000-0000E33F0000}"/>
    <cellStyle name="Normal 136 2 5 3" xfId="16696" xr:uid="{00000000-0005-0000-0000-0000E43F0000}"/>
    <cellStyle name="Normal 136 2 6" xfId="16697" xr:uid="{00000000-0005-0000-0000-0000E53F0000}"/>
    <cellStyle name="Normal 136 2 7" xfId="16698" xr:uid="{00000000-0005-0000-0000-0000E63F0000}"/>
    <cellStyle name="Normal 136 2 8" xfId="16699" xr:uid="{00000000-0005-0000-0000-0000E73F0000}"/>
    <cellStyle name="Normal 136 2 9" xfId="16700" xr:uid="{00000000-0005-0000-0000-0000E83F0000}"/>
    <cellStyle name="Normal 136 3" xfId="16701" xr:uid="{00000000-0005-0000-0000-0000E93F0000}"/>
    <cellStyle name="Normal 136 3 2" xfId="16702" xr:uid="{00000000-0005-0000-0000-0000EA3F0000}"/>
    <cellStyle name="Normal 136 3 2 2" xfId="16703" xr:uid="{00000000-0005-0000-0000-0000EB3F0000}"/>
    <cellStyle name="Normal 136 3 2 2 2" xfId="16704" xr:uid="{00000000-0005-0000-0000-0000EC3F0000}"/>
    <cellStyle name="Normal 136 3 2 2 3" xfId="16705" xr:uid="{00000000-0005-0000-0000-0000ED3F0000}"/>
    <cellStyle name="Normal 136 3 2 3" xfId="16706" xr:uid="{00000000-0005-0000-0000-0000EE3F0000}"/>
    <cellStyle name="Normal 136 3 2 3 2" xfId="16707" xr:uid="{00000000-0005-0000-0000-0000EF3F0000}"/>
    <cellStyle name="Normal 136 3 2 3 3" xfId="16708" xr:uid="{00000000-0005-0000-0000-0000F03F0000}"/>
    <cellStyle name="Normal 136 3 2 4" xfId="16709" xr:uid="{00000000-0005-0000-0000-0000F13F0000}"/>
    <cellStyle name="Normal 136 3 2 5" xfId="16710" xr:uid="{00000000-0005-0000-0000-0000F23F0000}"/>
    <cellStyle name="Normal 136 3 2 6" xfId="16711" xr:uid="{00000000-0005-0000-0000-0000F33F0000}"/>
    <cellStyle name="Normal 136 3 3" xfId="16712" xr:uid="{00000000-0005-0000-0000-0000F43F0000}"/>
    <cellStyle name="Normal 136 3 3 2" xfId="16713" xr:uid="{00000000-0005-0000-0000-0000F53F0000}"/>
    <cellStyle name="Normal 136 3 3 3" xfId="16714" xr:uid="{00000000-0005-0000-0000-0000F63F0000}"/>
    <cellStyle name="Normal 136 3 4" xfId="16715" xr:uid="{00000000-0005-0000-0000-0000F73F0000}"/>
    <cellStyle name="Normal 136 3 4 2" xfId="16716" xr:uid="{00000000-0005-0000-0000-0000F83F0000}"/>
    <cellStyle name="Normal 136 3 4 3" xfId="16717" xr:uid="{00000000-0005-0000-0000-0000F93F0000}"/>
    <cellStyle name="Normal 136 3 5" xfId="16718" xr:uid="{00000000-0005-0000-0000-0000FA3F0000}"/>
    <cellStyle name="Normal 136 3 6" xfId="16719" xr:uid="{00000000-0005-0000-0000-0000FB3F0000}"/>
    <cellStyle name="Normal 136 3 7" xfId="16720" xr:uid="{00000000-0005-0000-0000-0000FC3F0000}"/>
    <cellStyle name="Normal 136 3 8" xfId="16721" xr:uid="{00000000-0005-0000-0000-0000FD3F0000}"/>
    <cellStyle name="Normal 136 4" xfId="16722" xr:uid="{00000000-0005-0000-0000-0000FE3F0000}"/>
    <cellStyle name="Normal 136 4 2" xfId="16723" xr:uid="{00000000-0005-0000-0000-0000FF3F0000}"/>
    <cellStyle name="Normal 136 4 2 2" xfId="16724" xr:uid="{00000000-0005-0000-0000-000000400000}"/>
    <cellStyle name="Normal 136 4 2 3" xfId="16725" xr:uid="{00000000-0005-0000-0000-000001400000}"/>
    <cellStyle name="Normal 136 4 3" xfId="16726" xr:uid="{00000000-0005-0000-0000-000002400000}"/>
    <cellStyle name="Normal 136 4 3 2" xfId="16727" xr:uid="{00000000-0005-0000-0000-000003400000}"/>
    <cellStyle name="Normal 136 4 3 3" xfId="16728" xr:uid="{00000000-0005-0000-0000-000004400000}"/>
    <cellStyle name="Normal 136 4 4" xfId="16729" xr:uid="{00000000-0005-0000-0000-000005400000}"/>
    <cellStyle name="Normal 136 4 5" xfId="16730" xr:uid="{00000000-0005-0000-0000-000006400000}"/>
    <cellStyle name="Normal 136 4 6" xfId="16731" xr:uid="{00000000-0005-0000-0000-000007400000}"/>
    <cellStyle name="Normal 136 5" xfId="16732" xr:uid="{00000000-0005-0000-0000-000008400000}"/>
    <cellStyle name="Normal 136 5 2" xfId="16733" xr:uid="{00000000-0005-0000-0000-000009400000}"/>
    <cellStyle name="Normal 136 5 3" xfId="16734" xr:uid="{00000000-0005-0000-0000-00000A400000}"/>
    <cellStyle name="Normal 136 6" xfId="16735" xr:uid="{00000000-0005-0000-0000-00000B400000}"/>
    <cellStyle name="Normal 136 6 2" xfId="16736" xr:uid="{00000000-0005-0000-0000-00000C400000}"/>
    <cellStyle name="Normal 136 6 3" xfId="16737" xr:uid="{00000000-0005-0000-0000-00000D400000}"/>
    <cellStyle name="Normal 136 7" xfId="16738" xr:uid="{00000000-0005-0000-0000-00000E400000}"/>
    <cellStyle name="Normal 136 8" xfId="16739" xr:uid="{00000000-0005-0000-0000-00000F400000}"/>
    <cellStyle name="Normal 136 9" xfId="16740" xr:uid="{00000000-0005-0000-0000-000010400000}"/>
    <cellStyle name="Normal 137" xfId="2111" xr:uid="{00000000-0005-0000-0000-000011400000}"/>
    <cellStyle name="Normal 137 10" xfId="16741" xr:uid="{00000000-0005-0000-0000-000012400000}"/>
    <cellStyle name="Normal 137 11" xfId="16742" xr:uid="{00000000-0005-0000-0000-000013400000}"/>
    <cellStyle name="Normal 137 12" xfId="16743" xr:uid="{00000000-0005-0000-0000-000014400000}"/>
    <cellStyle name="Normal 137 2" xfId="16744" xr:uid="{00000000-0005-0000-0000-000015400000}"/>
    <cellStyle name="Normal 137 2 2" xfId="16745" xr:uid="{00000000-0005-0000-0000-000016400000}"/>
    <cellStyle name="Normal 137 2 2 2" xfId="16746" xr:uid="{00000000-0005-0000-0000-000017400000}"/>
    <cellStyle name="Normal 137 2 2 2 2" xfId="16747" xr:uid="{00000000-0005-0000-0000-000018400000}"/>
    <cellStyle name="Normal 137 2 2 2 2 2" xfId="16748" xr:uid="{00000000-0005-0000-0000-000019400000}"/>
    <cellStyle name="Normal 137 2 2 2 2 3" xfId="16749" xr:uid="{00000000-0005-0000-0000-00001A400000}"/>
    <cellStyle name="Normal 137 2 2 2 3" xfId="16750" xr:uid="{00000000-0005-0000-0000-00001B400000}"/>
    <cellStyle name="Normal 137 2 2 2 3 2" xfId="16751" xr:uid="{00000000-0005-0000-0000-00001C400000}"/>
    <cellStyle name="Normal 137 2 2 2 3 3" xfId="16752" xr:uid="{00000000-0005-0000-0000-00001D400000}"/>
    <cellStyle name="Normal 137 2 2 2 4" xfId="16753" xr:uid="{00000000-0005-0000-0000-00001E400000}"/>
    <cellStyle name="Normal 137 2 2 2 5" xfId="16754" xr:uid="{00000000-0005-0000-0000-00001F400000}"/>
    <cellStyle name="Normal 137 2 2 2 6" xfId="16755" xr:uid="{00000000-0005-0000-0000-000020400000}"/>
    <cellStyle name="Normal 137 2 2 3" xfId="16756" xr:uid="{00000000-0005-0000-0000-000021400000}"/>
    <cellStyle name="Normal 137 2 2 3 2" xfId="16757" xr:uid="{00000000-0005-0000-0000-000022400000}"/>
    <cellStyle name="Normal 137 2 2 3 3" xfId="16758" xr:uid="{00000000-0005-0000-0000-000023400000}"/>
    <cellStyle name="Normal 137 2 2 4" xfId="16759" xr:uid="{00000000-0005-0000-0000-000024400000}"/>
    <cellStyle name="Normal 137 2 2 4 2" xfId="16760" xr:uid="{00000000-0005-0000-0000-000025400000}"/>
    <cellStyle name="Normal 137 2 2 4 3" xfId="16761" xr:uid="{00000000-0005-0000-0000-000026400000}"/>
    <cellStyle name="Normal 137 2 2 5" xfId="16762" xr:uid="{00000000-0005-0000-0000-000027400000}"/>
    <cellStyle name="Normal 137 2 2 6" xfId="16763" xr:uid="{00000000-0005-0000-0000-000028400000}"/>
    <cellStyle name="Normal 137 2 2 7" xfId="16764" xr:uid="{00000000-0005-0000-0000-000029400000}"/>
    <cellStyle name="Normal 137 2 2 8" xfId="16765" xr:uid="{00000000-0005-0000-0000-00002A400000}"/>
    <cellStyle name="Normal 137 2 3" xfId="16766" xr:uid="{00000000-0005-0000-0000-00002B400000}"/>
    <cellStyle name="Normal 137 2 3 2" xfId="16767" xr:uid="{00000000-0005-0000-0000-00002C400000}"/>
    <cellStyle name="Normal 137 2 3 2 2" xfId="16768" xr:uid="{00000000-0005-0000-0000-00002D400000}"/>
    <cellStyle name="Normal 137 2 3 2 3" xfId="16769" xr:uid="{00000000-0005-0000-0000-00002E400000}"/>
    <cellStyle name="Normal 137 2 3 3" xfId="16770" xr:uid="{00000000-0005-0000-0000-00002F400000}"/>
    <cellStyle name="Normal 137 2 3 3 2" xfId="16771" xr:uid="{00000000-0005-0000-0000-000030400000}"/>
    <cellStyle name="Normal 137 2 3 3 3" xfId="16772" xr:uid="{00000000-0005-0000-0000-000031400000}"/>
    <cellStyle name="Normal 137 2 3 4" xfId="16773" xr:uid="{00000000-0005-0000-0000-000032400000}"/>
    <cellStyle name="Normal 137 2 3 5" xfId="16774" xr:uid="{00000000-0005-0000-0000-000033400000}"/>
    <cellStyle name="Normal 137 2 3 6" xfId="16775" xr:uid="{00000000-0005-0000-0000-000034400000}"/>
    <cellStyle name="Normal 137 2 4" xfId="16776" xr:uid="{00000000-0005-0000-0000-000035400000}"/>
    <cellStyle name="Normal 137 2 4 2" xfId="16777" xr:uid="{00000000-0005-0000-0000-000036400000}"/>
    <cellStyle name="Normal 137 2 4 3" xfId="16778" xr:uid="{00000000-0005-0000-0000-000037400000}"/>
    <cellStyle name="Normal 137 2 5" xfId="16779" xr:uid="{00000000-0005-0000-0000-000038400000}"/>
    <cellStyle name="Normal 137 2 5 2" xfId="16780" xr:uid="{00000000-0005-0000-0000-000039400000}"/>
    <cellStyle name="Normal 137 2 5 3" xfId="16781" xr:uid="{00000000-0005-0000-0000-00003A400000}"/>
    <cellStyle name="Normal 137 2 6" xfId="16782" xr:uid="{00000000-0005-0000-0000-00003B400000}"/>
    <cellStyle name="Normal 137 2 7" xfId="16783" xr:uid="{00000000-0005-0000-0000-00003C400000}"/>
    <cellStyle name="Normal 137 2 8" xfId="16784" xr:uid="{00000000-0005-0000-0000-00003D400000}"/>
    <cellStyle name="Normal 137 2 9" xfId="16785" xr:uid="{00000000-0005-0000-0000-00003E400000}"/>
    <cellStyle name="Normal 137 3" xfId="16786" xr:uid="{00000000-0005-0000-0000-00003F400000}"/>
    <cellStyle name="Normal 137 3 2" xfId="16787" xr:uid="{00000000-0005-0000-0000-000040400000}"/>
    <cellStyle name="Normal 137 3 2 2" xfId="16788" xr:uid="{00000000-0005-0000-0000-000041400000}"/>
    <cellStyle name="Normal 137 3 2 2 2" xfId="16789" xr:uid="{00000000-0005-0000-0000-000042400000}"/>
    <cellStyle name="Normal 137 3 2 2 3" xfId="16790" xr:uid="{00000000-0005-0000-0000-000043400000}"/>
    <cellStyle name="Normal 137 3 2 3" xfId="16791" xr:uid="{00000000-0005-0000-0000-000044400000}"/>
    <cellStyle name="Normal 137 3 2 3 2" xfId="16792" xr:uid="{00000000-0005-0000-0000-000045400000}"/>
    <cellStyle name="Normal 137 3 2 3 3" xfId="16793" xr:uid="{00000000-0005-0000-0000-000046400000}"/>
    <cellStyle name="Normal 137 3 2 4" xfId="16794" xr:uid="{00000000-0005-0000-0000-000047400000}"/>
    <cellStyle name="Normal 137 3 2 5" xfId="16795" xr:uid="{00000000-0005-0000-0000-000048400000}"/>
    <cellStyle name="Normal 137 3 2 6" xfId="16796" xr:uid="{00000000-0005-0000-0000-000049400000}"/>
    <cellStyle name="Normal 137 3 3" xfId="16797" xr:uid="{00000000-0005-0000-0000-00004A400000}"/>
    <cellStyle name="Normal 137 3 3 2" xfId="16798" xr:uid="{00000000-0005-0000-0000-00004B400000}"/>
    <cellStyle name="Normal 137 3 3 3" xfId="16799" xr:uid="{00000000-0005-0000-0000-00004C400000}"/>
    <cellStyle name="Normal 137 3 4" xfId="16800" xr:uid="{00000000-0005-0000-0000-00004D400000}"/>
    <cellStyle name="Normal 137 3 4 2" xfId="16801" xr:uid="{00000000-0005-0000-0000-00004E400000}"/>
    <cellStyle name="Normal 137 3 4 3" xfId="16802" xr:uid="{00000000-0005-0000-0000-00004F400000}"/>
    <cellStyle name="Normal 137 3 5" xfId="16803" xr:uid="{00000000-0005-0000-0000-000050400000}"/>
    <cellStyle name="Normal 137 3 6" xfId="16804" xr:uid="{00000000-0005-0000-0000-000051400000}"/>
    <cellStyle name="Normal 137 3 7" xfId="16805" xr:uid="{00000000-0005-0000-0000-000052400000}"/>
    <cellStyle name="Normal 137 3 8" xfId="16806" xr:uid="{00000000-0005-0000-0000-000053400000}"/>
    <cellStyle name="Normal 137 4" xfId="16807" xr:uid="{00000000-0005-0000-0000-000054400000}"/>
    <cellStyle name="Normal 137 4 2" xfId="16808" xr:uid="{00000000-0005-0000-0000-000055400000}"/>
    <cellStyle name="Normal 137 4 2 2" xfId="16809" xr:uid="{00000000-0005-0000-0000-000056400000}"/>
    <cellStyle name="Normal 137 4 2 3" xfId="16810" xr:uid="{00000000-0005-0000-0000-000057400000}"/>
    <cellStyle name="Normal 137 4 3" xfId="16811" xr:uid="{00000000-0005-0000-0000-000058400000}"/>
    <cellStyle name="Normal 137 4 3 2" xfId="16812" xr:uid="{00000000-0005-0000-0000-000059400000}"/>
    <cellStyle name="Normal 137 4 3 3" xfId="16813" xr:uid="{00000000-0005-0000-0000-00005A400000}"/>
    <cellStyle name="Normal 137 4 4" xfId="16814" xr:uid="{00000000-0005-0000-0000-00005B400000}"/>
    <cellStyle name="Normal 137 4 5" xfId="16815" xr:uid="{00000000-0005-0000-0000-00005C400000}"/>
    <cellStyle name="Normal 137 4 6" xfId="16816" xr:uid="{00000000-0005-0000-0000-00005D400000}"/>
    <cellStyle name="Normal 137 5" xfId="16817" xr:uid="{00000000-0005-0000-0000-00005E400000}"/>
    <cellStyle name="Normal 137 5 2" xfId="16818" xr:uid="{00000000-0005-0000-0000-00005F400000}"/>
    <cellStyle name="Normal 137 5 3" xfId="16819" xr:uid="{00000000-0005-0000-0000-000060400000}"/>
    <cellStyle name="Normal 137 6" xfId="16820" xr:uid="{00000000-0005-0000-0000-000061400000}"/>
    <cellStyle name="Normal 137 6 2" xfId="16821" xr:uid="{00000000-0005-0000-0000-000062400000}"/>
    <cellStyle name="Normal 137 6 3" xfId="16822" xr:uid="{00000000-0005-0000-0000-000063400000}"/>
    <cellStyle name="Normal 137 7" xfId="16823" xr:uid="{00000000-0005-0000-0000-000064400000}"/>
    <cellStyle name="Normal 137 8" xfId="16824" xr:uid="{00000000-0005-0000-0000-000065400000}"/>
    <cellStyle name="Normal 137 9" xfId="16825" xr:uid="{00000000-0005-0000-0000-000066400000}"/>
    <cellStyle name="Normal 138" xfId="2112" xr:uid="{00000000-0005-0000-0000-000067400000}"/>
    <cellStyle name="Normal 138 10" xfId="16826" xr:uid="{00000000-0005-0000-0000-000068400000}"/>
    <cellStyle name="Normal 138 11" xfId="16827" xr:uid="{00000000-0005-0000-0000-000069400000}"/>
    <cellStyle name="Normal 138 12" xfId="16828" xr:uid="{00000000-0005-0000-0000-00006A400000}"/>
    <cellStyle name="Normal 138 2" xfId="2113" xr:uid="{00000000-0005-0000-0000-00006B400000}"/>
    <cellStyle name="Normal 138 2 10" xfId="16829" xr:uid="{00000000-0005-0000-0000-00006C400000}"/>
    <cellStyle name="Normal 138 2 2" xfId="16830" xr:uid="{00000000-0005-0000-0000-00006D400000}"/>
    <cellStyle name="Normal 138 2 2 2" xfId="16831" xr:uid="{00000000-0005-0000-0000-00006E400000}"/>
    <cellStyle name="Normal 138 2 2 2 2" xfId="16832" xr:uid="{00000000-0005-0000-0000-00006F400000}"/>
    <cellStyle name="Normal 138 2 2 2 2 2" xfId="16833" xr:uid="{00000000-0005-0000-0000-000070400000}"/>
    <cellStyle name="Normal 138 2 2 2 2 3" xfId="16834" xr:uid="{00000000-0005-0000-0000-000071400000}"/>
    <cellStyle name="Normal 138 2 2 2 3" xfId="16835" xr:uid="{00000000-0005-0000-0000-000072400000}"/>
    <cellStyle name="Normal 138 2 2 2 3 2" xfId="16836" xr:uid="{00000000-0005-0000-0000-000073400000}"/>
    <cellStyle name="Normal 138 2 2 2 3 3" xfId="16837" xr:uid="{00000000-0005-0000-0000-000074400000}"/>
    <cellStyle name="Normal 138 2 2 2 4" xfId="16838" xr:uid="{00000000-0005-0000-0000-000075400000}"/>
    <cellStyle name="Normal 138 2 2 2 5" xfId="16839" xr:uid="{00000000-0005-0000-0000-000076400000}"/>
    <cellStyle name="Normal 138 2 2 2 6" xfId="16840" xr:uid="{00000000-0005-0000-0000-000077400000}"/>
    <cellStyle name="Normal 138 2 2 3" xfId="16841" xr:uid="{00000000-0005-0000-0000-000078400000}"/>
    <cellStyle name="Normal 138 2 2 3 2" xfId="16842" xr:uid="{00000000-0005-0000-0000-000079400000}"/>
    <cellStyle name="Normal 138 2 2 3 3" xfId="16843" xr:uid="{00000000-0005-0000-0000-00007A400000}"/>
    <cellStyle name="Normal 138 2 2 4" xfId="16844" xr:uid="{00000000-0005-0000-0000-00007B400000}"/>
    <cellStyle name="Normal 138 2 2 4 2" xfId="16845" xr:uid="{00000000-0005-0000-0000-00007C400000}"/>
    <cellStyle name="Normal 138 2 2 4 3" xfId="16846" xr:uid="{00000000-0005-0000-0000-00007D400000}"/>
    <cellStyle name="Normal 138 2 2 5" xfId="16847" xr:uid="{00000000-0005-0000-0000-00007E400000}"/>
    <cellStyle name="Normal 138 2 2 6" xfId="16848" xr:uid="{00000000-0005-0000-0000-00007F400000}"/>
    <cellStyle name="Normal 138 2 2 7" xfId="16849" xr:uid="{00000000-0005-0000-0000-000080400000}"/>
    <cellStyle name="Normal 138 2 2 8" xfId="16850" xr:uid="{00000000-0005-0000-0000-000081400000}"/>
    <cellStyle name="Normal 138 2 3" xfId="16851" xr:uid="{00000000-0005-0000-0000-000082400000}"/>
    <cellStyle name="Normal 138 2 3 2" xfId="16852" xr:uid="{00000000-0005-0000-0000-000083400000}"/>
    <cellStyle name="Normal 138 2 3 2 2" xfId="16853" xr:uid="{00000000-0005-0000-0000-000084400000}"/>
    <cellStyle name="Normal 138 2 3 2 3" xfId="16854" xr:uid="{00000000-0005-0000-0000-000085400000}"/>
    <cellStyle name="Normal 138 2 3 3" xfId="16855" xr:uid="{00000000-0005-0000-0000-000086400000}"/>
    <cellStyle name="Normal 138 2 3 3 2" xfId="16856" xr:uid="{00000000-0005-0000-0000-000087400000}"/>
    <cellStyle name="Normal 138 2 3 3 3" xfId="16857" xr:uid="{00000000-0005-0000-0000-000088400000}"/>
    <cellStyle name="Normal 138 2 3 4" xfId="16858" xr:uid="{00000000-0005-0000-0000-000089400000}"/>
    <cellStyle name="Normal 138 2 3 5" xfId="16859" xr:uid="{00000000-0005-0000-0000-00008A400000}"/>
    <cellStyle name="Normal 138 2 3 6" xfId="16860" xr:uid="{00000000-0005-0000-0000-00008B400000}"/>
    <cellStyle name="Normal 138 2 4" xfId="16861" xr:uid="{00000000-0005-0000-0000-00008C400000}"/>
    <cellStyle name="Normal 138 2 4 2" xfId="16862" xr:uid="{00000000-0005-0000-0000-00008D400000}"/>
    <cellStyle name="Normal 138 2 4 3" xfId="16863" xr:uid="{00000000-0005-0000-0000-00008E400000}"/>
    <cellStyle name="Normal 138 2 5" xfId="16864" xr:uid="{00000000-0005-0000-0000-00008F400000}"/>
    <cellStyle name="Normal 138 2 5 2" xfId="16865" xr:uid="{00000000-0005-0000-0000-000090400000}"/>
    <cellStyle name="Normal 138 2 5 3" xfId="16866" xr:uid="{00000000-0005-0000-0000-000091400000}"/>
    <cellStyle name="Normal 138 2 6" xfId="16867" xr:uid="{00000000-0005-0000-0000-000092400000}"/>
    <cellStyle name="Normal 138 2 7" xfId="16868" xr:uid="{00000000-0005-0000-0000-000093400000}"/>
    <cellStyle name="Normal 138 2 8" xfId="16869" xr:uid="{00000000-0005-0000-0000-000094400000}"/>
    <cellStyle name="Normal 138 2 9" xfId="16870" xr:uid="{00000000-0005-0000-0000-000095400000}"/>
    <cellStyle name="Normal 138 3" xfId="16871" xr:uid="{00000000-0005-0000-0000-000096400000}"/>
    <cellStyle name="Normal 138 3 2" xfId="16872" xr:uid="{00000000-0005-0000-0000-000097400000}"/>
    <cellStyle name="Normal 138 3 2 2" xfId="16873" xr:uid="{00000000-0005-0000-0000-000098400000}"/>
    <cellStyle name="Normal 138 3 2 2 2" xfId="16874" xr:uid="{00000000-0005-0000-0000-000099400000}"/>
    <cellStyle name="Normal 138 3 2 2 3" xfId="16875" xr:uid="{00000000-0005-0000-0000-00009A400000}"/>
    <cellStyle name="Normal 138 3 2 3" xfId="16876" xr:uid="{00000000-0005-0000-0000-00009B400000}"/>
    <cellStyle name="Normal 138 3 2 3 2" xfId="16877" xr:uid="{00000000-0005-0000-0000-00009C400000}"/>
    <cellStyle name="Normal 138 3 2 3 3" xfId="16878" xr:uid="{00000000-0005-0000-0000-00009D400000}"/>
    <cellStyle name="Normal 138 3 2 4" xfId="16879" xr:uid="{00000000-0005-0000-0000-00009E400000}"/>
    <cellStyle name="Normal 138 3 2 5" xfId="16880" xr:uid="{00000000-0005-0000-0000-00009F400000}"/>
    <cellStyle name="Normal 138 3 2 6" xfId="16881" xr:uid="{00000000-0005-0000-0000-0000A0400000}"/>
    <cellStyle name="Normal 138 3 3" xfId="16882" xr:uid="{00000000-0005-0000-0000-0000A1400000}"/>
    <cellStyle name="Normal 138 3 3 2" xfId="16883" xr:uid="{00000000-0005-0000-0000-0000A2400000}"/>
    <cellStyle name="Normal 138 3 3 3" xfId="16884" xr:uid="{00000000-0005-0000-0000-0000A3400000}"/>
    <cellStyle name="Normal 138 3 4" xfId="16885" xr:uid="{00000000-0005-0000-0000-0000A4400000}"/>
    <cellStyle name="Normal 138 3 4 2" xfId="16886" xr:uid="{00000000-0005-0000-0000-0000A5400000}"/>
    <cellStyle name="Normal 138 3 4 3" xfId="16887" xr:uid="{00000000-0005-0000-0000-0000A6400000}"/>
    <cellStyle name="Normal 138 3 5" xfId="16888" xr:uid="{00000000-0005-0000-0000-0000A7400000}"/>
    <cellStyle name="Normal 138 3 6" xfId="16889" xr:uid="{00000000-0005-0000-0000-0000A8400000}"/>
    <cellStyle name="Normal 138 3 7" xfId="16890" xr:uid="{00000000-0005-0000-0000-0000A9400000}"/>
    <cellStyle name="Normal 138 3 8" xfId="16891" xr:uid="{00000000-0005-0000-0000-0000AA400000}"/>
    <cellStyle name="Normal 138 4" xfId="16892" xr:uid="{00000000-0005-0000-0000-0000AB400000}"/>
    <cellStyle name="Normal 138 4 2" xfId="16893" xr:uid="{00000000-0005-0000-0000-0000AC400000}"/>
    <cellStyle name="Normal 138 4 2 2" xfId="16894" xr:uid="{00000000-0005-0000-0000-0000AD400000}"/>
    <cellStyle name="Normal 138 4 2 3" xfId="16895" xr:uid="{00000000-0005-0000-0000-0000AE400000}"/>
    <cellStyle name="Normal 138 4 3" xfId="16896" xr:uid="{00000000-0005-0000-0000-0000AF400000}"/>
    <cellStyle name="Normal 138 4 3 2" xfId="16897" xr:uid="{00000000-0005-0000-0000-0000B0400000}"/>
    <cellStyle name="Normal 138 4 3 3" xfId="16898" xr:uid="{00000000-0005-0000-0000-0000B1400000}"/>
    <cellStyle name="Normal 138 4 4" xfId="16899" xr:uid="{00000000-0005-0000-0000-0000B2400000}"/>
    <cellStyle name="Normal 138 4 5" xfId="16900" xr:uid="{00000000-0005-0000-0000-0000B3400000}"/>
    <cellStyle name="Normal 138 4 6" xfId="16901" xr:uid="{00000000-0005-0000-0000-0000B4400000}"/>
    <cellStyle name="Normal 138 5" xfId="16902" xr:uid="{00000000-0005-0000-0000-0000B5400000}"/>
    <cellStyle name="Normal 138 5 2" xfId="16903" xr:uid="{00000000-0005-0000-0000-0000B6400000}"/>
    <cellStyle name="Normal 138 5 3" xfId="16904" xr:uid="{00000000-0005-0000-0000-0000B7400000}"/>
    <cellStyle name="Normal 138 6" xfId="16905" xr:uid="{00000000-0005-0000-0000-0000B8400000}"/>
    <cellStyle name="Normal 138 6 2" xfId="16906" xr:uid="{00000000-0005-0000-0000-0000B9400000}"/>
    <cellStyle name="Normal 138 6 3" xfId="16907" xr:uid="{00000000-0005-0000-0000-0000BA400000}"/>
    <cellStyle name="Normal 138 7" xfId="16908" xr:uid="{00000000-0005-0000-0000-0000BB400000}"/>
    <cellStyle name="Normal 138 8" xfId="16909" xr:uid="{00000000-0005-0000-0000-0000BC400000}"/>
    <cellStyle name="Normal 138 9" xfId="16910" xr:uid="{00000000-0005-0000-0000-0000BD400000}"/>
    <cellStyle name="Normal 139" xfId="2114" xr:uid="{00000000-0005-0000-0000-0000BE400000}"/>
    <cellStyle name="Normal 139 10" xfId="16911" xr:uid="{00000000-0005-0000-0000-0000BF400000}"/>
    <cellStyle name="Normal 139 11" xfId="16912" xr:uid="{00000000-0005-0000-0000-0000C0400000}"/>
    <cellStyle name="Normal 139 12" xfId="16913" xr:uid="{00000000-0005-0000-0000-0000C1400000}"/>
    <cellStyle name="Normal 139 2" xfId="16914" xr:uid="{00000000-0005-0000-0000-0000C2400000}"/>
    <cellStyle name="Normal 139 2 2" xfId="16915" xr:uid="{00000000-0005-0000-0000-0000C3400000}"/>
    <cellStyle name="Normal 139 2 2 2" xfId="16916" xr:uid="{00000000-0005-0000-0000-0000C4400000}"/>
    <cellStyle name="Normal 139 2 2 2 2" xfId="16917" xr:uid="{00000000-0005-0000-0000-0000C5400000}"/>
    <cellStyle name="Normal 139 2 2 2 2 2" xfId="16918" xr:uid="{00000000-0005-0000-0000-0000C6400000}"/>
    <cellStyle name="Normal 139 2 2 2 2 3" xfId="16919" xr:uid="{00000000-0005-0000-0000-0000C7400000}"/>
    <cellStyle name="Normal 139 2 2 2 3" xfId="16920" xr:uid="{00000000-0005-0000-0000-0000C8400000}"/>
    <cellStyle name="Normal 139 2 2 2 3 2" xfId="16921" xr:uid="{00000000-0005-0000-0000-0000C9400000}"/>
    <cellStyle name="Normal 139 2 2 2 3 3" xfId="16922" xr:uid="{00000000-0005-0000-0000-0000CA400000}"/>
    <cellStyle name="Normal 139 2 2 2 4" xfId="16923" xr:uid="{00000000-0005-0000-0000-0000CB400000}"/>
    <cellStyle name="Normal 139 2 2 2 5" xfId="16924" xr:uid="{00000000-0005-0000-0000-0000CC400000}"/>
    <cellStyle name="Normal 139 2 2 2 6" xfId="16925" xr:uid="{00000000-0005-0000-0000-0000CD400000}"/>
    <cellStyle name="Normal 139 2 2 3" xfId="16926" xr:uid="{00000000-0005-0000-0000-0000CE400000}"/>
    <cellStyle name="Normal 139 2 2 3 2" xfId="16927" xr:uid="{00000000-0005-0000-0000-0000CF400000}"/>
    <cellStyle name="Normal 139 2 2 3 3" xfId="16928" xr:uid="{00000000-0005-0000-0000-0000D0400000}"/>
    <cellStyle name="Normal 139 2 2 4" xfId="16929" xr:uid="{00000000-0005-0000-0000-0000D1400000}"/>
    <cellStyle name="Normal 139 2 2 4 2" xfId="16930" xr:uid="{00000000-0005-0000-0000-0000D2400000}"/>
    <cellStyle name="Normal 139 2 2 4 3" xfId="16931" xr:uid="{00000000-0005-0000-0000-0000D3400000}"/>
    <cellStyle name="Normal 139 2 2 5" xfId="16932" xr:uid="{00000000-0005-0000-0000-0000D4400000}"/>
    <cellStyle name="Normal 139 2 2 6" xfId="16933" xr:uid="{00000000-0005-0000-0000-0000D5400000}"/>
    <cellStyle name="Normal 139 2 2 7" xfId="16934" xr:uid="{00000000-0005-0000-0000-0000D6400000}"/>
    <cellStyle name="Normal 139 2 2 8" xfId="16935" xr:uid="{00000000-0005-0000-0000-0000D7400000}"/>
    <cellStyle name="Normal 139 2 3" xfId="16936" xr:uid="{00000000-0005-0000-0000-0000D8400000}"/>
    <cellStyle name="Normal 139 2 3 2" xfId="16937" xr:uid="{00000000-0005-0000-0000-0000D9400000}"/>
    <cellStyle name="Normal 139 2 3 2 2" xfId="16938" xr:uid="{00000000-0005-0000-0000-0000DA400000}"/>
    <cellStyle name="Normal 139 2 3 2 3" xfId="16939" xr:uid="{00000000-0005-0000-0000-0000DB400000}"/>
    <cellStyle name="Normal 139 2 3 3" xfId="16940" xr:uid="{00000000-0005-0000-0000-0000DC400000}"/>
    <cellStyle name="Normal 139 2 3 3 2" xfId="16941" xr:uid="{00000000-0005-0000-0000-0000DD400000}"/>
    <cellStyle name="Normal 139 2 3 3 3" xfId="16942" xr:uid="{00000000-0005-0000-0000-0000DE400000}"/>
    <cellStyle name="Normal 139 2 3 4" xfId="16943" xr:uid="{00000000-0005-0000-0000-0000DF400000}"/>
    <cellStyle name="Normal 139 2 3 5" xfId="16944" xr:uid="{00000000-0005-0000-0000-0000E0400000}"/>
    <cellStyle name="Normal 139 2 3 6" xfId="16945" xr:uid="{00000000-0005-0000-0000-0000E1400000}"/>
    <cellStyle name="Normal 139 2 4" xfId="16946" xr:uid="{00000000-0005-0000-0000-0000E2400000}"/>
    <cellStyle name="Normal 139 2 4 2" xfId="16947" xr:uid="{00000000-0005-0000-0000-0000E3400000}"/>
    <cellStyle name="Normal 139 2 4 3" xfId="16948" xr:uid="{00000000-0005-0000-0000-0000E4400000}"/>
    <cellStyle name="Normal 139 2 5" xfId="16949" xr:uid="{00000000-0005-0000-0000-0000E5400000}"/>
    <cellStyle name="Normal 139 2 5 2" xfId="16950" xr:uid="{00000000-0005-0000-0000-0000E6400000}"/>
    <cellStyle name="Normal 139 2 5 3" xfId="16951" xr:uid="{00000000-0005-0000-0000-0000E7400000}"/>
    <cellStyle name="Normal 139 2 6" xfId="16952" xr:uid="{00000000-0005-0000-0000-0000E8400000}"/>
    <cellStyle name="Normal 139 2 7" xfId="16953" xr:uid="{00000000-0005-0000-0000-0000E9400000}"/>
    <cellStyle name="Normal 139 2 8" xfId="16954" xr:uid="{00000000-0005-0000-0000-0000EA400000}"/>
    <cellStyle name="Normal 139 2 9" xfId="16955" xr:uid="{00000000-0005-0000-0000-0000EB400000}"/>
    <cellStyle name="Normal 139 3" xfId="16956" xr:uid="{00000000-0005-0000-0000-0000EC400000}"/>
    <cellStyle name="Normal 139 3 2" xfId="16957" xr:uid="{00000000-0005-0000-0000-0000ED400000}"/>
    <cellStyle name="Normal 139 3 2 2" xfId="16958" xr:uid="{00000000-0005-0000-0000-0000EE400000}"/>
    <cellStyle name="Normal 139 3 2 2 2" xfId="16959" xr:uid="{00000000-0005-0000-0000-0000EF400000}"/>
    <cellStyle name="Normal 139 3 2 2 3" xfId="16960" xr:uid="{00000000-0005-0000-0000-0000F0400000}"/>
    <cellStyle name="Normal 139 3 2 3" xfId="16961" xr:uid="{00000000-0005-0000-0000-0000F1400000}"/>
    <cellStyle name="Normal 139 3 2 3 2" xfId="16962" xr:uid="{00000000-0005-0000-0000-0000F2400000}"/>
    <cellStyle name="Normal 139 3 2 3 3" xfId="16963" xr:uid="{00000000-0005-0000-0000-0000F3400000}"/>
    <cellStyle name="Normal 139 3 2 4" xfId="16964" xr:uid="{00000000-0005-0000-0000-0000F4400000}"/>
    <cellStyle name="Normal 139 3 2 5" xfId="16965" xr:uid="{00000000-0005-0000-0000-0000F5400000}"/>
    <cellStyle name="Normal 139 3 2 6" xfId="16966" xr:uid="{00000000-0005-0000-0000-0000F6400000}"/>
    <cellStyle name="Normal 139 3 3" xfId="16967" xr:uid="{00000000-0005-0000-0000-0000F7400000}"/>
    <cellStyle name="Normal 139 3 3 2" xfId="16968" xr:uid="{00000000-0005-0000-0000-0000F8400000}"/>
    <cellStyle name="Normal 139 3 3 3" xfId="16969" xr:uid="{00000000-0005-0000-0000-0000F9400000}"/>
    <cellStyle name="Normal 139 3 4" xfId="16970" xr:uid="{00000000-0005-0000-0000-0000FA400000}"/>
    <cellStyle name="Normal 139 3 4 2" xfId="16971" xr:uid="{00000000-0005-0000-0000-0000FB400000}"/>
    <cellStyle name="Normal 139 3 4 3" xfId="16972" xr:uid="{00000000-0005-0000-0000-0000FC400000}"/>
    <cellStyle name="Normal 139 3 5" xfId="16973" xr:uid="{00000000-0005-0000-0000-0000FD400000}"/>
    <cellStyle name="Normal 139 3 6" xfId="16974" xr:uid="{00000000-0005-0000-0000-0000FE400000}"/>
    <cellStyle name="Normal 139 3 7" xfId="16975" xr:uid="{00000000-0005-0000-0000-0000FF400000}"/>
    <cellStyle name="Normal 139 3 8" xfId="16976" xr:uid="{00000000-0005-0000-0000-000000410000}"/>
    <cellStyle name="Normal 139 4" xfId="16977" xr:uid="{00000000-0005-0000-0000-000001410000}"/>
    <cellStyle name="Normal 139 4 2" xfId="16978" xr:uid="{00000000-0005-0000-0000-000002410000}"/>
    <cellStyle name="Normal 139 4 2 2" xfId="16979" xr:uid="{00000000-0005-0000-0000-000003410000}"/>
    <cellStyle name="Normal 139 4 2 3" xfId="16980" xr:uid="{00000000-0005-0000-0000-000004410000}"/>
    <cellStyle name="Normal 139 4 3" xfId="16981" xr:uid="{00000000-0005-0000-0000-000005410000}"/>
    <cellStyle name="Normal 139 4 3 2" xfId="16982" xr:uid="{00000000-0005-0000-0000-000006410000}"/>
    <cellStyle name="Normal 139 4 3 3" xfId="16983" xr:uid="{00000000-0005-0000-0000-000007410000}"/>
    <cellStyle name="Normal 139 4 4" xfId="16984" xr:uid="{00000000-0005-0000-0000-000008410000}"/>
    <cellStyle name="Normal 139 4 5" xfId="16985" xr:uid="{00000000-0005-0000-0000-000009410000}"/>
    <cellStyle name="Normal 139 4 6" xfId="16986" xr:uid="{00000000-0005-0000-0000-00000A410000}"/>
    <cellStyle name="Normal 139 5" xfId="16987" xr:uid="{00000000-0005-0000-0000-00000B410000}"/>
    <cellStyle name="Normal 139 5 2" xfId="16988" xr:uid="{00000000-0005-0000-0000-00000C410000}"/>
    <cellStyle name="Normal 139 5 3" xfId="16989" xr:uid="{00000000-0005-0000-0000-00000D410000}"/>
    <cellStyle name="Normal 139 6" xfId="16990" xr:uid="{00000000-0005-0000-0000-00000E410000}"/>
    <cellStyle name="Normal 139 6 2" xfId="16991" xr:uid="{00000000-0005-0000-0000-00000F410000}"/>
    <cellStyle name="Normal 139 6 3" xfId="16992" xr:uid="{00000000-0005-0000-0000-000010410000}"/>
    <cellStyle name="Normal 139 7" xfId="16993" xr:uid="{00000000-0005-0000-0000-000011410000}"/>
    <cellStyle name="Normal 139 8" xfId="16994" xr:uid="{00000000-0005-0000-0000-000012410000}"/>
    <cellStyle name="Normal 139 9" xfId="16995" xr:uid="{00000000-0005-0000-0000-000013410000}"/>
    <cellStyle name="Normal 14" xfId="2115" xr:uid="{00000000-0005-0000-0000-000014410000}"/>
    <cellStyle name="Normal 14 10" xfId="16996" xr:uid="{00000000-0005-0000-0000-000015410000}"/>
    <cellStyle name="Normal 14 11" xfId="16997" xr:uid="{00000000-0005-0000-0000-000016410000}"/>
    <cellStyle name="Normal 14 12" xfId="16998" xr:uid="{00000000-0005-0000-0000-000017410000}"/>
    <cellStyle name="Normal 14 2" xfId="2116" xr:uid="{00000000-0005-0000-0000-000018410000}"/>
    <cellStyle name="Normal 14 2 2" xfId="16999" xr:uid="{00000000-0005-0000-0000-000019410000}"/>
    <cellStyle name="Normal 14 2 2 2" xfId="17000" xr:uid="{00000000-0005-0000-0000-00001A410000}"/>
    <cellStyle name="Normal 14 2 3" xfId="17001" xr:uid="{00000000-0005-0000-0000-00001B410000}"/>
    <cellStyle name="Normal 14 2 4" xfId="17002" xr:uid="{00000000-0005-0000-0000-00001C410000}"/>
    <cellStyle name="Normal 14 2 5" xfId="17003" xr:uid="{00000000-0005-0000-0000-00001D410000}"/>
    <cellStyle name="Normal 14 3" xfId="17004" xr:uid="{00000000-0005-0000-0000-00001E410000}"/>
    <cellStyle name="Normal 14 4" xfId="17005" xr:uid="{00000000-0005-0000-0000-00001F410000}"/>
    <cellStyle name="Normal 14 5" xfId="17006" xr:uid="{00000000-0005-0000-0000-000020410000}"/>
    <cellStyle name="Normal 14 5 2" xfId="17007" xr:uid="{00000000-0005-0000-0000-000021410000}"/>
    <cellStyle name="Normal 14 6" xfId="17008" xr:uid="{00000000-0005-0000-0000-000022410000}"/>
    <cellStyle name="Normal 14 7" xfId="17009" xr:uid="{00000000-0005-0000-0000-000023410000}"/>
    <cellStyle name="Normal 14 7 2" xfId="17010" xr:uid="{00000000-0005-0000-0000-000024410000}"/>
    <cellStyle name="Normal 14 8" xfId="17011" xr:uid="{00000000-0005-0000-0000-000025410000}"/>
    <cellStyle name="Normal 14 8 2" xfId="17012" xr:uid="{00000000-0005-0000-0000-000026410000}"/>
    <cellStyle name="Normal 14 9" xfId="17013" xr:uid="{00000000-0005-0000-0000-000027410000}"/>
    <cellStyle name="Normal 14 9 2" xfId="17014" xr:uid="{00000000-0005-0000-0000-000028410000}"/>
    <cellStyle name="Normal 140" xfId="2117" xr:uid="{00000000-0005-0000-0000-000029410000}"/>
    <cellStyle name="Normal 140 10" xfId="17015" xr:uid="{00000000-0005-0000-0000-00002A410000}"/>
    <cellStyle name="Normal 140 11" xfId="17016" xr:uid="{00000000-0005-0000-0000-00002B410000}"/>
    <cellStyle name="Normal 140 12" xfId="17017" xr:uid="{00000000-0005-0000-0000-00002C410000}"/>
    <cellStyle name="Normal 140 2" xfId="17018" xr:uid="{00000000-0005-0000-0000-00002D410000}"/>
    <cellStyle name="Normal 140 2 2" xfId="17019" xr:uid="{00000000-0005-0000-0000-00002E410000}"/>
    <cellStyle name="Normal 140 2 2 2" xfId="17020" xr:uid="{00000000-0005-0000-0000-00002F410000}"/>
    <cellStyle name="Normal 140 2 2 2 2" xfId="17021" xr:uid="{00000000-0005-0000-0000-000030410000}"/>
    <cellStyle name="Normal 140 2 2 2 2 2" xfId="17022" xr:uid="{00000000-0005-0000-0000-000031410000}"/>
    <cellStyle name="Normal 140 2 2 2 2 3" xfId="17023" xr:uid="{00000000-0005-0000-0000-000032410000}"/>
    <cellStyle name="Normal 140 2 2 2 3" xfId="17024" xr:uid="{00000000-0005-0000-0000-000033410000}"/>
    <cellStyle name="Normal 140 2 2 2 3 2" xfId="17025" xr:uid="{00000000-0005-0000-0000-000034410000}"/>
    <cellStyle name="Normal 140 2 2 2 3 3" xfId="17026" xr:uid="{00000000-0005-0000-0000-000035410000}"/>
    <cellStyle name="Normal 140 2 2 2 4" xfId="17027" xr:uid="{00000000-0005-0000-0000-000036410000}"/>
    <cellStyle name="Normal 140 2 2 2 5" xfId="17028" xr:uid="{00000000-0005-0000-0000-000037410000}"/>
    <cellStyle name="Normal 140 2 2 2 6" xfId="17029" xr:uid="{00000000-0005-0000-0000-000038410000}"/>
    <cellStyle name="Normal 140 2 2 3" xfId="17030" xr:uid="{00000000-0005-0000-0000-000039410000}"/>
    <cellStyle name="Normal 140 2 2 3 2" xfId="17031" xr:uid="{00000000-0005-0000-0000-00003A410000}"/>
    <cellStyle name="Normal 140 2 2 3 3" xfId="17032" xr:uid="{00000000-0005-0000-0000-00003B410000}"/>
    <cellStyle name="Normal 140 2 2 4" xfId="17033" xr:uid="{00000000-0005-0000-0000-00003C410000}"/>
    <cellStyle name="Normal 140 2 2 4 2" xfId="17034" xr:uid="{00000000-0005-0000-0000-00003D410000}"/>
    <cellStyle name="Normal 140 2 2 4 3" xfId="17035" xr:uid="{00000000-0005-0000-0000-00003E410000}"/>
    <cellStyle name="Normal 140 2 2 5" xfId="17036" xr:uid="{00000000-0005-0000-0000-00003F410000}"/>
    <cellStyle name="Normal 140 2 2 6" xfId="17037" xr:uid="{00000000-0005-0000-0000-000040410000}"/>
    <cellStyle name="Normal 140 2 2 7" xfId="17038" xr:uid="{00000000-0005-0000-0000-000041410000}"/>
    <cellStyle name="Normal 140 2 2 8" xfId="17039" xr:uid="{00000000-0005-0000-0000-000042410000}"/>
    <cellStyle name="Normal 140 2 3" xfId="17040" xr:uid="{00000000-0005-0000-0000-000043410000}"/>
    <cellStyle name="Normal 140 2 3 2" xfId="17041" xr:uid="{00000000-0005-0000-0000-000044410000}"/>
    <cellStyle name="Normal 140 2 3 2 2" xfId="17042" xr:uid="{00000000-0005-0000-0000-000045410000}"/>
    <cellStyle name="Normal 140 2 3 2 3" xfId="17043" xr:uid="{00000000-0005-0000-0000-000046410000}"/>
    <cellStyle name="Normal 140 2 3 3" xfId="17044" xr:uid="{00000000-0005-0000-0000-000047410000}"/>
    <cellStyle name="Normal 140 2 3 3 2" xfId="17045" xr:uid="{00000000-0005-0000-0000-000048410000}"/>
    <cellStyle name="Normal 140 2 3 3 3" xfId="17046" xr:uid="{00000000-0005-0000-0000-000049410000}"/>
    <cellStyle name="Normal 140 2 3 4" xfId="17047" xr:uid="{00000000-0005-0000-0000-00004A410000}"/>
    <cellStyle name="Normal 140 2 3 5" xfId="17048" xr:uid="{00000000-0005-0000-0000-00004B410000}"/>
    <cellStyle name="Normal 140 2 3 6" xfId="17049" xr:uid="{00000000-0005-0000-0000-00004C410000}"/>
    <cellStyle name="Normal 140 2 4" xfId="17050" xr:uid="{00000000-0005-0000-0000-00004D410000}"/>
    <cellStyle name="Normal 140 2 4 2" xfId="17051" xr:uid="{00000000-0005-0000-0000-00004E410000}"/>
    <cellStyle name="Normal 140 2 4 3" xfId="17052" xr:uid="{00000000-0005-0000-0000-00004F410000}"/>
    <cellStyle name="Normal 140 2 5" xfId="17053" xr:uid="{00000000-0005-0000-0000-000050410000}"/>
    <cellStyle name="Normal 140 2 5 2" xfId="17054" xr:uid="{00000000-0005-0000-0000-000051410000}"/>
    <cellStyle name="Normal 140 2 5 3" xfId="17055" xr:uid="{00000000-0005-0000-0000-000052410000}"/>
    <cellStyle name="Normal 140 2 6" xfId="17056" xr:uid="{00000000-0005-0000-0000-000053410000}"/>
    <cellStyle name="Normal 140 2 7" xfId="17057" xr:uid="{00000000-0005-0000-0000-000054410000}"/>
    <cellStyle name="Normal 140 2 8" xfId="17058" xr:uid="{00000000-0005-0000-0000-000055410000}"/>
    <cellStyle name="Normal 140 2 9" xfId="17059" xr:uid="{00000000-0005-0000-0000-000056410000}"/>
    <cellStyle name="Normal 140 3" xfId="17060" xr:uid="{00000000-0005-0000-0000-000057410000}"/>
    <cellStyle name="Normal 140 3 2" xfId="17061" xr:uid="{00000000-0005-0000-0000-000058410000}"/>
    <cellStyle name="Normal 140 3 2 2" xfId="17062" xr:uid="{00000000-0005-0000-0000-000059410000}"/>
    <cellStyle name="Normal 140 3 2 2 2" xfId="17063" xr:uid="{00000000-0005-0000-0000-00005A410000}"/>
    <cellStyle name="Normal 140 3 2 2 3" xfId="17064" xr:uid="{00000000-0005-0000-0000-00005B410000}"/>
    <cellStyle name="Normal 140 3 2 3" xfId="17065" xr:uid="{00000000-0005-0000-0000-00005C410000}"/>
    <cellStyle name="Normal 140 3 2 3 2" xfId="17066" xr:uid="{00000000-0005-0000-0000-00005D410000}"/>
    <cellStyle name="Normal 140 3 2 3 3" xfId="17067" xr:uid="{00000000-0005-0000-0000-00005E410000}"/>
    <cellStyle name="Normal 140 3 2 4" xfId="17068" xr:uid="{00000000-0005-0000-0000-00005F410000}"/>
    <cellStyle name="Normal 140 3 2 5" xfId="17069" xr:uid="{00000000-0005-0000-0000-000060410000}"/>
    <cellStyle name="Normal 140 3 2 6" xfId="17070" xr:uid="{00000000-0005-0000-0000-000061410000}"/>
    <cellStyle name="Normal 140 3 3" xfId="17071" xr:uid="{00000000-0005-0000-0000-000062410000}"/>
    <cellStyle name="Normal 140 3 3 2" xfId="17072" xr:uid="{00000000-0005-0000-0000-000063410000}"/>
    <cellStyle name="Normal 140 3 3 3" xfId="17073" xr:uid="{00000000-0005-0000-0000-000064410000}"/>
    <cellStyle name="Normal 140 3 4" xfId="17074" xr:uid="{00000000-0005-0000-0000-000065410000}"/>
    <cellStyle name="Normal 140 3 4 2" xfId="17075" xr:uid="{00000000-0005-0000-0000-000066410000}"/>
    <cellStyle name="Normal 140 3 4 3" xfId="17076" xr:uid="{00000000-0005-0000-0000-000067410000}"/>
    <cellStyle name="Normal 140 3 5" xfId="17077" xr:uid="{00000000-0005-0000-0000-000068410000}"/>
    <cellStyle name="Normal 140 3 6" xfId="17078" xr:uid="{00000000-0005-0000-0000-000069410000}"/>
    <cellStyle name="Normal 140 3 7" xfId="17079" xr:uid="{00000000-0005-0000-0000-00006A410000}"/>
    <cellStyle name="Normal 140 3 8" xfId="17080" xr:uid="{00000000-0005-0000-0000-00006B410000}"/>
    <cellStyle name="Normal 140 4" xfId="17081" xr:uid="{00000000-0005-0000-0000-00006C410000}"/>
    <cellStyle name="Normal 140 4 2" xfId="17082" xr:uid="{00000000-0005-0000-0000-00006D410000}"/>
    <cellStyle name="Normal 140 4 2 2" xfId="17083" xr:uid="{00000000-0005-0000-0000-00006E410000}"/>
    <cellStyle name="Normal 140 4 2 3" xfId="17084" xr:uid="{00000000-0005-0000-0000-00006F410000}"/>
    <cellStyle name="Normal 140 4 3" xfId="17085" xr:uid="{00000000-0005-0000-0000-000070410000}"/>
    <cellStyle name="Normal 140 4 3 2" xfId="17086" xr:uid="{00000000-0005-0000-0000-000071410000}"/>
    <cellStyle name="Normal 140 4 3 3" xfId="17087" xr:uid="{00000000-0005-0000-0000-000072410000}"/>
    <cellStyle name="Normal 140 4 4" xfId="17088" xr:uid="{00000000-0005-0000-0000-000073410000}"/>
    <cellStyle name="Normal 140 4 5" xfId="17089" xr:uid="{00000000-0005-0000-0000-000074410000}"/>
    <cellStyle name="Normal 140 4 6" xfId="17090" xr:uid="{00000000-0005-0000-0000-000075410000}"/>
    <cellStyle name="Normal 140 5" xfId="17091" xr:uid="{00000000-0005-0000-0000-000076410000}"/>
    <cellStyle name="Normal 140 5 2" xfId="17092" xr:uid="{00000000-0005-0000-0000-000077410000}"/>
    <cellStyle name="Normal 140 5 3" xfId="17093" xr:uid="{00000000-0005-0000-0000-000078410000}"/>
    <cellStyle name="Normal 140 6" xfId="17094" xr:uid="{00000000-0005-0000-0000-000079410000}"/>
    <cellStyle name="Normal 140 6 2" xfId="17095" xr:uid="{00000000-0005-0000-0000-00007A410000}"/>
    <cellStyle name="Normal 140 6 3" xfId="17096" xr:uid="{00000000-0005-0000-0000-00007B410000}"/>
    <cellStyle name="Normal 140 7" xfId="17097" xr:uid="{00000000-0005-0000-0000-00007C410000}"/>
    <cellStyle name="Normal 140 8" xfId="17098" xr:uid="{00000000-0005-0000-0000-00007D410000}"/>
    <cellStyle name="Normal 140 9" xfId="17099" xr:uid="{00000000-0005-0000-0000-00007E410000}"/>
    <cellStyle name="Normal 141" xfId="2118" xr:uid="{00000000-0005-0000-0000-00007F410000}"/>
    <cellStyle name="Normal 141 10" xfId="17100" xr:uid="{00000000-0005-0000-0000-000080410000}"/>
    <cellStyle name="Normal 141 11" xfId="17101" xr:uid="{00000000-0005-0000-0000-000081410000}"/>
    <cellStyle name="Normal 141 12" xfId="17102" xr:uid="{00000000-0005-0000-0000-000082410000}"/>
    <cellStyle name="Normal 141 2" xfId="17103" xr:uid="{00000000-0005-0000-0000-000083410000}"/>
    <cellStyle name="Normal 141 2 2" xfId="17104" xr:uid="{00000000-0005-0000-0000-000084410000}"/>
    <cellStyle name="Normal 141 2 2 2" xfId="17105" xr:uid="{00000000-0005-0000-0000-000085410000}"/>
    <cellStyle name="Normal 141 2 2 2 2" xfId="17106" xr:uid="{00000000-0005-0000-0000-000086410000}"/>
    <cellStyle name="Normal 141 2 2 2 2 2" xfId="17107" xr:uid="{00000000-0005-0000-0000-000087410000}"/>
    <cellStyle name="Normal 141 2 2 2 2 3" xfId="17108" xr:uid="{00000000-0005-0000-0000-000088410000}"/>
    <cellStyle name="Normal 141 2 2 2 3" xfId="17109" xr:uid="{00000000-0005-0000-0000-000089410000}"/>
    <cellStyle name="Normal 141 2 2 2 3 2" xfId="17110" xr:uid="{00000000-0005-0000-0000-00008A410000}"/>
    <cellStyle name="Normal 141 2 2 2 3 3" xfId="17111" xr:uid="{00000000-0005-0000-0000-00008B410000}"/>
    <cellStyle name="Normal 141 2 2 2 4" xfId="17112" xr:uid="{00000000-0005-0000-0000-00008C410000}"/>
    <cellStyle name="Normal 141 2 2 2 5" xfId="17113" xr:uid="{00000000-0005-0000-0000-00008D410000}"/>
    <cellStyle name="Normal 141 2 2 2 6" xfId="17114" xr:uid="{00000000-0005-0000-0000-00008E410000}"/>
    <cellStyle name="Normal 141 2 2 3" xfId="17115" xr:uid="{00000000-0005-0000-0000-00008F410000}"/>
    <cellStyle name="Normal 141 2 2 3 2" xfId="17116" xr:uid="{00000000-0005-0000-0000-000090410000}"/>
    <cellStyle name="Normal 141 2 2 3 3" xfId="17117" xr:uid="{00000000-0005-0000-0000-000091410000}"/>
    <cellStyle name="Normal 141 2 2 4" xfId="17118" xr:uid="{00000000-0005-0000-0000-000092410000}"/>
    <cellStyle name="Normal 141 2 2 4 2" xfId="17119" xr:uid="{00000000-0005-0000-0000-000093410000}"/>
    <cellStyle name="Normal 141 2 2 4 3" xfId="17120" xr:uid="{00000000-0005-0000-0000-000094410000}"/>
    <cellStyle name="Normal 141 2 2 5" xfId="17121" xr:uid="{00000000-0005-0000-0000-000095410000}"/>
    <cellStyle name="Normal 141 2 2 6" xfId="17122" xr:uid="{00000000-0005-0000-0000-000096410000}"/>
    <cellStyle name="Normal 141 2 2 7" xfId="17123" xr:uid="{00000000-0005-0000-0000-000097410000}"/>
    <cellStyle name="Normal 141 2 2 8" xfId="17124" xr:uid="{00000000-0005-0000-0000-000098410000}"/>
    <cellStyle name="Normal 141 2 3" xfId="17125" xr:uid="{00000000-0005-0000-0000-000099410000}"/>
    <cellStyle name="Normal 141 2 3 2" xfId="17126" xr:uid="{00000000-0005-0000-0000-00009A410000}"/>
    <cellStyle name="Normal 141 2 3 2 2" xfId="17127" xr:uid="{00000000-0005-0000-0000-00009B410000}"/>
    <cellStyle name="Normal 141 2 3 2 3" xfId="17128" xr:uid="{00000000-0005-0000-0000-00009C410000}"/>
    <cellStyle name="Normal 141 2 3 3" xfId="17129" xr:uid="{00000000-0005-0000-0000-00009D410000}"/>
    <cellStyle name="Normal 141 2 3 3 2" xfId="17130" xr:uid="{00000000-0005-0000-0000-00009E410000}"/>
    <cellStyle name="Normal 141 2 3 3 3" xfId="17131" xr:uid="{00000000-0005-0000-0000-00009F410000}"/>
    <cellStyle name="Normal 141 2 3 4" xfId="17132" xr:uid="{00000000-0005-0000-0000-0000A0410000}"/>
    <cellStyle name="Normal 141 2 3 5" xfId="17133" xr:uid="{00000000-0005-0000-0000-0000A1410000}"/>
    <cellStyle name="Normal 141 2 3 6" xfId="17134" xr:uid="{00000000-0005-0000-0000-0000A2410000}"/>
    <cellStyle name="Normal 141 2 4" xfId="17135" xr:uid="{00000000-0005-0000-0000-0000A3410000}"/>
    <cellStyle name="Normal 141 2 4 2" xfId="17136" xr:uid="{00000000-0005-0000-0000-0000A4410000}"/>
    <cellStyle name="Normal 141 2 4 3" xfId="17137" xr:uid="{00000000-0005-0000-0000-0000A5410000}"/>
    <cellStyle name="Normal 141 2 5" xfId="17138" xr:uid="{00000000-0005-0000-0000-0000A6410000}"/>
    <cellStyle name="Normal 141 2 5 2" xfId="17139" xr:uid="{00000000-0005-0000-0000-0000A7410000}"/>
    <cellStyle name="Normal 141 2 5 3" xfId="17140" xr:uid="{00000000-0005-0000-0000-0000A8410000}"/>
    <cellStyle name="Normal 141 2 6" xfId="17141" xr:uid="{00000000-0005-0000-0000-0000A9410000}"/>
    <cellStyle name="Normal 141 2 7" xfId="17142" xr:uid="{00000000-0005-0000-0000-0000AA410000}"/>
    <cellStyle name="Normal 141 2 8" xfId="17143" xr:uid="{00000000-0005-0000-0000-0000AB410000}"/>
    <cellStyle name="Normal 141 2 9" xfId="17144" xr:uid="{00000000-0005-0000-0000-0000AC410000}"/>
    <cellStyle name="Normal 141 3" xfId="17145" xr:uid="{00000000-0005-0000-0000-0000AD410000}"/>
    <cellStyle name="Normal 141 3 2" xfId="17146" xr:uid="{00000000-0005-0000-0000-0000AE410000}"/>
    <cellStyle name="Normal 141 3 2 2" xfId="17147" xr:uid="{00000000-0005-0000-0000-0000AF410000}"/>
    <cellStyle name="Normal 141 3 2 2 2" xfId="17148" xr:uid="{00000000-0005-0000-0000-0000B0410000}"/>
    <cellStyle name="Normal 141 3 2 2 3" xfId="17149" xr:uid="{00000000-0005-0000-0000-0000B1410000}"/>
    <cellStyle name="Normal 141 3 2 3" xfId="17150" xr:uid="{00000000-0005-0000-0000-0000B2410000}"/>
    <cellStyle name="Normal 141 3 2 3 2" xfId="17151" xr:uid="{00000000-0005-0000-0000-0000B3410000}"/>
    <cellStyle name="Normal 141 3 2 3 3" xfId="17152" xr:uid="{00000000-0005-0000-0000-0000B4410000}"/>
    <cellStyle name="Normal 141 3 2 4" xfId="17153" xr:uid="{00000000-0005-0000-0000-0000B5410000}"/>
    <cellStyle name="Normal 141 3 2 5" xfId="17154" xr:uid="{00000000-0005-0000-0000-0000B6410000}"/>
    <cellStyle name="Normal 141 3 2 6" xfId="17155" xr:uid="{00000000-0005-0000-0000-0000B7410000}"/>
    <cellStyle name="Normal 141 3 3" xfId="17156" xr:uid="{00000000-0005-0000-0000-0000B8410000}"/>
    <cellStyle name="Normal 141 3 3 2" xfId="17157" xr:uid="{00000000-0005-0000-0000-0000B9410000}"/>
    <cellStyle name="Normal 141 3 3 3" xfId="17158" xr:uid="{00000000-0005-0000-0000-0000BA410000}"/>
    <cellStyle name="Normal 141 3 4" xfId="17159" xr:uid="{00000000-0005-0000-0000-0000BB410000}"/>
    <cellStyle name="Normal 141 3 4 2" xfId="17160" xr:uid="{00000000-0005-0000-0000-0000BC410000}"/>
    <cellStyle name="Normal 141 3 4 3" xfId="17161" xr:uid="{00000000-0005-0000-0000-0000BD410000}"/>
    <cellStyle name="Normal 141 3 5" xfId="17162" xr:uid="{00000000-0005-0000-0000-0000BE410000}"/>
    <cellStyle name="Normal 141 3 6" xfId="17163" xr:uid="{00000000-0005-0000-0000-0000BF410000}"/>
    <cellStyle name="Normal 141 3 7" xfId="17164" xr:uid="{00000000-0005-0000-0000-0000C0410000}"/>
    <cellStyle name="Normal 141 3 8" xfId="17165" xr:uid="{00000000-0005-0000-0000-0000C1410000}"/>
    <cellStyle name="Normal 141 4" xfId="17166" xr:uid="{00000000-0005-0000-0000-0000C2410000}"/>
    <cellStyle name="Normal 141 4 2" xfId="17167" xr:uid="{00000000-0005-0000-0000-0000C3410000}"/>
    <cellStyle name="Normal 141 4 2 2" xfId="17168" xr:uid="{00000000-0005-0000-0000-0000C4410000}"/>
    <cellStyle name="Normal 141 4 2 3" xfId="17169" xr:uid="{00000000-0005-0000-0000-0000C5410000}"/>
    <cellStyle name="Normal 141 4 3" xfId="17170" xr:uid="{00000000-0005-0000-0000-0000C6410000}"/>
    <cellStyle name="Normal 141 4 3 2" xfId="17171" xr:uid="{00000000-0005-0000-0000-0000C7410000}"/>
    <cellStyle name="Normal 141 4 3 3" xfId="17172" xr:uid="{00000000-0005-0000-0000-0000C8410000}"/>
    <cellStyle name="Normal 141 4 4" xfId="17173" xr:uid="{00000000-0005-0000-0000-0000C9410000}"/>
    <cellStyle name="Normal 141 4 5" xfId="17174" xr:uid="{00000000-0005-0000-0000-0000CA410000}"/>
    <cellStyle name="Normal 141 4 6" xfId="17175" xr:uid="{00000000-0005-0000-0000-0000CB410000}"/>
    <cellStyle name="Normal 141 5" xfId="17176" xr:uid="{00000000-0005-0000-0000-0000CC410000}"/>
    <cellStyle name="Normal 141 5 2" xfId="17177" xr:uid="{00000000-0005-0000-0000-0000CD410000}"/>
    <cellStyle name="Normal 141 5 3" xfId="17178" xr:uid="{00000000-0005-0000-0000-0000CE410000}"/>
    <cellStyle name="Normal 141 6" xfId="17179" xr:uid="{00000000-0005-0000-0000-0000CF410000}"/>
    <cellStyle name="Normal 141 6 2" xfId="17180" xr:uid="{00000000-0005-0000-0000-0000D0410000}"/>
    <cellStyle name="Normal 141 6 3" xfId="17181" xr:uid="{00000000-0005-0000-0000-0000D1410000}"/>
    <cellStyle name="Normal 141 7" xfId="17182" xr:uid="{00000000-0005-0000-0000-0000D2410000}"/>
    <cellStyle name="Normal 141 8" xfId="17183" xr:uid="{00000000-0005-0000-0000-0000D3410000}"/>
    <cellStyle name="Normal 141 9" xfId="17184" xr:uid="{00000000-0005-0000-0000-0000D4410000}"/>
    <cellStyle name="Normal 142" xfId="2119" xr:uid="{00000000-0005-0000-0000-0000D5410000}"/>
    <cellStyle name="Normal 142 10" xfId="17185" xr:uid="{00000000-0005-0000-0000-0000D6410000}"/>
    <cellStyle name="Normal 142 11" xfId="17186" xr:uid="{00000000-0005-0000-0000-0000D7410000}"/>
    <cellStyle name="Normal 142 12" xfId="17187" xr:uid="{00000000-0005-0000-0000-0000D8410000}"/>
    <cellStyle name="Normal 142 2" xfId="17188" xr:uid="{00000000-0005-0000-0000-0000D9410000}"/>
    <cellStyle name="Normal 142 2 2" xfId="17189" xr:uid="{00000000-0005-0000-0000-0000DA410000}"/>
    <cellStyle name="Normal 142 2 2 2" xfId="17190" xr:uid="{00000000-0005-0000-0000-0000DB410000}"/>
    <cellStyle name="Normal 142 2 2 2 2" xfId="17191" xr:uid="{00000000-0005-0000-0000-0000DC410000}"/>
    <cellStyle name="Normal 142 2 2 2 2 2" xfId="17192" xr:uid="{00000000-0005-0000-0000-0000DD410000}"/>
    <cellStyle name="Normal 142 2 2 2 2 3" xfId="17193" xr:uid="{00000000-0005-0000-0000-0000DE410000}"/>
    <cellStyle name="Normal 142 2 2 2 3" xfId="17194" xr:uid="{00000000-0005-0000-0000-0000DF410000}"/>
    <cellStyle name="Normal 142 2 2 2 3 2" xfId="17195" xr:uid="{00000000-0005-0000-0000-0000E0410000}"/>
    <cellStyle name="Normal 142 2 2 2 3 3" xfId="17196" xr:uid="{00000000-0005-0000-0000-0000E1410000}"/>
    <cellStyle name="Normal 142 2 2 2 4" xfId="17197" xr:uid="{00000000-0005-0000-0000-0000E2410000}"/>
    <cellStyle name="Normal 142 2 2 2 5" xfId="17198" xr:uid="{00000000-0005-0000-0000-0000E3410000}"/>
    <cellStyle name="Normal 142 2 2 2 6" xfId="17199" xr:uid="{00000000-0005-0000-0000-0000E4410000}"/>
    <cellStyle name="Normal 142 2 2 3" xfId="17200" xr:uid="{00000000-0005-0000-0000-0000E5410000}"/>
    <cellStyle name="Normal 142 2 2 3 2" xfId="17201" xr:uid="{00000000-0005-0000-0000-0000E6410000}"/>
    <cellStyle name="Normal 142 2 2 3 3" xfId="17202" xr:uid="{00000000-0005-0000-0000-0000E7410000}"/>
    <cellStyle name="Normal 142 2 2 4" xfId="17203" xr:uid="{00000000-0005-0000-0000-0000E8410000}"/>
    <cellStyle name="Normal 142 2 2 4 2" xfId="17204" xr:uid="{00000000-0005-0000-0000-0000E9410000}"/>
    <cellStyle name="Normal 142 2 2 4 3" xfId="17205" xr:uid="{00000000-0005-0000-0000-0000EA410000}"/>
    <cellStyle name="Normal 142 2 2 5" xfId="17206" xr:uid="{00000000-0005-0000-0000-0000EB410000}"/>
    <cellStyle name="Normal 142 2 2 6" xfId="17207" xr:uid="{00000000-0005-0000-0000-0000EC410000}"/>
    <cellStyle name="Normal 142 2 2 7" xfId="17208" xr:uid="{00000000-0005-0000-0000-0000ED410000}"/>
    <cellStyle name="Normal 142 2 2 8" xfId="17209" xr:uid="{00000000-0005-0000-0000-0000EE410000}"/>
    <cellStyle name="Normal 142 2 3" xfId="17210" xr:uid="{00000000-0005-0000-0000-0000EF410000}"/>
    <cellStyle name="Normal 142 2 3 2" xfId="17211" xr:uid="{00000000-0005-0000-0000-0000F0410000}"/>
    <cellStyle name="Normal 142 2 3 2 2" xfId="17212" xr:uid="{00000000-0005-0000-0000-0000F1410000}"/>
    <cellStyle name="Normal 142 2 3 2 3" xfId="17213" xr:uid="{00000000-0005-0000-0000-0000F2410000}"/>
    <cellStyle name="Normal 142 2 3 3" xfId="17214" xr:uid="{00000000-0005-0000-0000-0000F3410000}"/>
    <cellStyle name="Normal 142 2 3 3 2" xfId="17215" xr:uid="{00000000-0005-0000-0000-0000F4410000}"/>
    <cellStyle name="Normal 142 2 3 3 3" xfId="17216" xr:uid="{00000000-0005-0000-0000-0000F5410000}"/>
    <cellStyle name="Normal 142 2 3 4" xfId="17217" xr:uid="{00000000-0005-0000-0000-0000F6410000}"/>
    <cellStyle name="Normal 142 2 3 5" xfId="17218" xr:uid="{00000000-0005-0000-0000-0000F7410000}"/>
    <cellStyle name="Normal 142 2 3 6" xfId="17219" xr:uid="{00000000-0005-0000-0000-0000F8410000}"/>
    <cellStyle name="Normal 142 2 4" xfId="17220" xr:uid="{00000000-0005-0000-0000-0000F9410000}"/>
    <cellStyle name="Normal 142 2 4 2" xfId="17221" xr:uid="{00000000-0005-0000-0000-0000FA410000}"/>
    <cellStyle name="Normal 142 2 4 3" xfId="17222" xr:uid="{00000000-0005-0000-0000-0000FB410000}"/>
    <cellStyle name="Normal 142 2 5" xfId="17223" xr:uid="{00000000-0005-0000-0000-0000FC410000}"/>
    <cellStyle name="Normal 142 2 5 2" xfId="17224" xr:uid="{00000000-0005-0000-0000-0000FD410000}"/>
    <cellStyle name="Normal 142 2 5 3" xfId="17225" xr:uid="{00000000-0005-0000-0000-0000FE410000}"/>
    <cellStyle name="Normal 142 2 6" xfId="17226" xr:uid="{00000000-0005-0000-0000-0000FF410000}"/>
    <cellStyle name="Normal 142 2 7" xfId="17227" xr:uid="{00000000-0005-0000-0000-000000420000}"/>
    <cellStyle name="Normal 142 2 8" xfId="17228" xr:uid="{00000000-0005-0000-0000-000001420000}"/>
    <cellStyle name="Normal 142 2 9" xfId="17229" xr:uid="{00000000-0005-0000-0000-000002420000}"/>
    <cellStyle name="Normal 142 3" xfId="17230" xr:uid="{00000000-0005-0000-0000-000003420000}"/>
    <cellStyle name="Normal 142 3 2" xfId="17231" xr:uid="{00000000-0005-0000-0000-000004420000}"/>
    <cellStyle name="Normal 142 3 2 2" xfId="17232" xr:uid="{00000000-0005-0000-0000-000005420000}"/>
    <cellStyle name="Normal 142 3 2 2 2" xfId="17233" xr:uid="{00000000-0005-0000-0000-000006420000}"/>
    <cellStyle name="Normal 142 3 2 2 3" xfId="17234" xr:uid="{00000000-0005-0000-0000-000007420000}"/>
    <cellStyle name="Normal 142 3 2 3" xfId="17235" xr:uid="{00000000-0005-0000-0000-000008420000}"/>
    <cellStyle name="Normal 142 3 2 3 2" xfId="17236" xr:uid="{00000000-0005-0000-0000-000009420000}"/>
    <cellStyle name="Normal 142 3 2 3 3" xfId="17237" xr:uid="{00000000-0005-0000-0000-00000A420000}"/>
    <cellStyle name="Normal 142 3 2 4" xfId="17238" xr:uid="{00000000-0005-0000-0000-00000B420000}"/>
    <cellStyle name="Normal 142 3 2 5" xfId="17239" xr:uid="{00000000-0005-0000-0000-00000C420000}"/>
    <cellStyle name="Normal 142 3 2 6" xfId="17240" xr:uid="{00000000-0005-0000-0000-00000D420000}"/>
    <cellStyle name="Normal 142 3 3" xfId="17241" xr:uid="{00000000-0005-0000-0000-00000E420000}"/>
    <cellStyle name="Normal 142 3 3 2" xfId="17242" xr:uid="{00000000-0005-0000-0000-00000F420000}"/>
    <cellStyle name="Normal 142 3 3 3" xfId="17243" xr:uid="{00000000-0005-0000-0000-000010420000}"/>
    <cellStyle name="Normal 142 3 4" xfId="17244" xr:uid="{00000000-0005-0000-0000-000011420000}"/>
    <cellStyle name="Normal 142 3 4 2" xfId="17245" xr:uid="{00000000-0005-0000-0000-000012420000}"/>
    <cellStyle name="Normal 142 3 4 3" xfId="17246" xr:uid="{00000000-0005-0000-0000-000013420000}"/>
    <cellStyle name="Normal 142 3 5" xfId="17247" xr:uid="{00000000-0005-0000-0000-000014420000}"/>
    <cellStyle name="Normal 142 3 6" xfId="17248" xr:uid="{00000000-0005-0000-0000-000015420000}"/>
    <cellStyle name="Normal 142 3 7" xfId="17249" xr:uid="{00000000-0005-0000-0000-000016420000}"/>
    <cellStyle name="Normal 142 3 8" xfId="17250" xr:uid="{00000000-0005-0000-0000-000017420000}"/>
    <cellStyle name="Normal 142 4" xfId="17251" xr:uid="{00000000-0005-0000-0000-000018420000}"/>
    <cellStyle name="Normal 142 4 2" xfId="17252" xr:uid="{00000000-0005-0000-0000-000019420000}"/>
    <cellStyle name="Normal 142 4 2 2" xfId="17253" xr:uid="{00000000-0005-0000-0000-00001A420000}"/>
    <cellStyle name="Normal 142 4 2 3" xfId="17254" xr:uid="{00000000-0005-0000-0000-00001B420000}"/>
    <cellStyle name="Normal 142 4 3" xfId="17255" xr:uid="{00000000-0005-0000-0000-00001C420000}"/>
    <cellStyle name="Normal 142 4 3 2" xfId="17256" xr:uid="{00000000-0005-0000-0000-00001D420000}"/>
    <cellStyle name="Normal 142 4 3 3" xfId="17257" xr:uid="{00000000-0005-0000-0000-00001E420000}"/>
    <cellStyle name="Normal 142 4 4" xfId="17258" xr:uid="{00000000-0005-0000-0000-00001F420000}"/>
    <cellStyle name="Normal 142 4 5" xfId="17259" xr:uid="{00000000-0005-0000-0000-000020420000}"/>
    <cellStyle name="Normal 142 4 6" xfId="17260" xr:uid="{00000000-0005-0000-0000-000021420000}"/>
    <cellStyle name="Normal 142 5" xfId="17261" xr:uid="{00000000-0005-0000-0000-000022420000}"/>
    <cellStyle name="Normal 142 5 2" xfId="17262" xr:uid="{00000000-0005-0000-0000-000023420000}"/>
    <cellStyle name="Normal 142 5 3" xfId="17263" xr:uid="{00000000-0005-0000-0000-000024420000}"/>
    <cellStyle name="Normal 142 6" xfId="17264" xr:uid="{00000000-0005-0000-0000-000025420000}"/>
    <cellStyle name="Normal 142 6 2" xfId="17265" xr:uid="{00000000-0005-0000-0000-000026420000}"/>
    <cellStyle name="Normal 142 6 3" xfId="17266" xr:uid="{00000000-0005-0000-0000-000027420000}"/>
    <cellStyle name="Normal 142 7" xfId="17267" xr:uid="{00000000-0005-0000-0000-000028420000}"/>
    <cellStyle name="Normal 142 8" xfId="17268" xr:uid="{00000000-0005-0000-0000-000029420000}"/>
    <cellStyle name="Normal 142 9" xfId="17269" xr:uid="{00000000-0005-0000-0000-00002A420000}"/>
    <cellStyle name="Normal 143" xfId="2120" xr:uid="{00000000-0005-0000-0000-00002B420000}"/>
    <cellStyle name="Normal 143 10" xfId="17270" xr:uid="{00000000-0005-0000-0000-00002C420000}"/>
    <cellStyle name="Normal 143 11" xfId="17271" xr:uid="{00000000-0005-0000-0000-00002D420000}"/>
    <cellStyle name="Normal 143 12" xfId="17272" xr:uid="{00000000-0005-0000-0000-00002E420000}"/>
    <cellStyle name="Normal 143 2" xfId="17273" xr:uid="{00000000-0005-0000-0000-00002F420000}"/>
    <cellStyle name="Normal 143 2 10" xfId="17274" xr:uid="{00000000-0005-0000-0000-000030420000}"/>
    <cellStyle name="Normal 143 2 2" xfId="17275" xr:uid="{00000000-0005-0000-0000-000031420000}"/>
    <cellStyle name="Normal 143 2 2 2" xfId="17276" xr:uid="{00000000-0005-0000-0000-000032420000}"/>
    <cellStyle name="Normal 143 2 2 2 2" xfId="17277" xr:uid="{00000000-0005-0000-0000-000033420000}"/>
    <cellStyle name="Normal 143 2 2 2 2 2" xfId="17278" xr:uid="{00000000-0005-0000-0000-000034420000}"/>
    <cellStyle name="Normal 143 2 2 2 2 3" xfId="17279" xr:uid="{00000000-0005-0000-0000-000035420000}"/>
    <cellStyle name="Normal 143 2 2 2 3" xfId="17280" xr:uid="{00000000-0005-0000-0000-000036420000}"/>
    <cellStyle name="Normal 143 2 2 2 3 2" xfId="17281" xr:uid="{00000000-0005-0000-0000-000037420000}"/>
    <cellStyle name="Normal 143 2 2 2 3 3" xfId="17282" xr:uid="{00000000-0005-0000-0000-000038420000}"/>
    <cellStyle name="Normal 143 2 2 2 4" xfId="17283" xr:uid="{00000000-0005-0000-0000-000039420000}"/>
    <cellStyle name="Normal 143 2 2 2 5" xfId="17284" xr:uid="{00000000-0005-0000-0000-00003A420000}"/>
    <cellStyle name="Normal 143 2 2 2 6" xfId="17285" xr:uid="{00000000-0005-0000-0000-00003B420000}"/>
    <cellStyle name="Normal 143 2 2 3" xfId="17286" xr:uid="{00000000-0005-0000-0000-00003C420000}"/>
    <cellStyle name="Normal 143 2 2 3 2" xfId="17287" xr:uid="{00000000-0005-0000-0000-00003D420000}"/>
    <cellStyle name="Normal 143 2 2 3 3" xfId="17288" xr:uid="{00000000-0005-0000-0000-00003E420000}"/>
    <cellStyle name="Normal 143 2 2 4" xfId="17289" xr:uid="{00000000-0005-0000-0000-00003F420000}"/>
    <cellStyle name="Normal 143 2 2 4 2" xfId="17290" xr:uid="{00000000-0005-0000-0000-000040420000}"/>
    <cellStyle name="Normal 143 2 2 4 3" xfId="17291" xr:uid="{00000000-0005-0000-0000-000041420000}"/>
    <cellStyle name="Normal 143 2 2 5" xfId="17292" xr:uid="{00000000-0005-0000-0000-000042420000}"/>
    <cellStyle name="Normal 143 2 2 6" xfId="17293" xr:uid="{00000000-0005-0000-0000-000043420000}"/>
    <cellStyle name="Normal 143 2 2 7" xfId="17294" xr:uid="{00000000-0005-0000-0000-000044420000}"/>
    <cellStyle name="Normal 143 2 2 8" xfId="17295" xr:uid="{00000000-0005-0000-0000-000045420000}"/>
    <cellStyle name="Normal 143 2 3" xfId="17296" xr:uid="{00000000-0005-0000-0000-000046420000}"/>
    <cellStyle name="Normal 143 2 3 2" xfId="17297" xr:uid="{00000000-0005-0000-0000-000047420000}"/>
    <cellStyle name="Normal 143 2 3 2 2" xfId="17298" xr:uid="{00000000-0005-0000-0000-000048420000}"/>
    <cellStyle name="Normal 143 2 3 2 3" xfId="17299" xr:uid="{00000000-0005-0000-0000-000049420000}"/>
    <cellStyle name="Normal 143 2 3 3" xfId="17300" xr:uid="{00000000-0005-0000-0000-00004A420000}"/>
    <cellStyle name="Normal 143 2 3 3 2" xfId="17301" xr:uid="{00000000-0005-0000-0000-00004B420000}"/>
    <cellStyle name="Normal 143 2 3 3 3" xfId="17302" xr:uid="{00000000-0005-0000-0000-00004C420000}"/>
    <cellStyle name="Normal 143 2 3 4" xfId="17303" xr:uid="{00000000-0005-0000-0000-00004D420000}"/>
    <cellStyle name="Normal 143 2 3 5" xfId="17304" xr:uid="{00000000-0005-0000-0000-00004E420000}"/>
    <cellStyle name="Normal 143 2 3 6" xfId="17305" xr:uid="{00000000-0005-0000-0000-00004F420000}"/>
    <cellStyle name="Normal 143 2 4" xfId="17306" xr:uid="{00000000-0005-0000-0000-000050420000}"/>
    <cellStyle name="Normal 143 2 4 2" xfId="17307" xr:uid="{00000000-0005-0000-0000-000051420000}"/>
    <cellStyle name="Normal 143 2 4 3" xfId="17308" xr:uid="{00000000-0005-0000-0000-000052420000}"/>
    <cellStyle name="Normal 143 2 5" xfId="17309" xr:uid="{00000000-0005-0000-0000-000053420000}"/>
    <cellStyle name="Normal 143 2 5 2" xfId="17310" xr:uid="{00000000-0005-0000-0000-000054420000}"/>
    <cellStyle name="Normal 143 2 5 3" xfId="17311" xr:uid="{00000000-0005-0000-0000-000055420000}"/>
    <cellStyle name="Normal 143 2 6" xfId="17312" xr:uid="{00000000-0005-0000-0000-000056420000}"/>
    <cellStyle name="Normal 143 2 7" xfId="17313" xr:uid="{00000000-0005-0000-0000-000057420000}"/>
    <cellStyle name="Normal 143 2 8" xfId="17314" xr:uid="{00000000-0005-0000-0000-000058420000}"/>
    <cellStyle name="Normal 143 2 9" xfId="17315" xr:uid="{00000000-0005-0000-0000-000059420000}"/>
    <cellStyle name="Normal 143 3" xfId="17316" xr:uid="{00000000-0005-0000-0000-00005A420000}"/>
    <cellStyle name="Normal 143 3 2" xfId="17317" xr:uid="{00000000-0005-0000-0000-00005B420000}"/>
    <cellStyle name="Normal 143 3 2 2" xfId="17318" xr:uid="{00000000-0005-0000-0000-00005C420000}"/>
    <cellStyle name="Normal 143 3 2 2 2" xfId="17319" xr:uid="{00000000-0005-0000-0000-00005D420000}"/>
    <cellStyle name="Normal 143 3 2 2 3" xfId="17320" xr:uid="{00000000-0005-0000-0000-00005E420000}"/>
    <cellStyle name="Normal 143 3 2 3" xfId="17321" xr:uid="{00000000-0005-0000-0000-00005F420000}"/>
    <cellStyle name="Normal 143 3 2 3 2" xfId="17322" xr:uid="{00000000-0005-0000-0000-000060420000}"/>
    <cellStyle name="Normal 143 3 2 3 3" xfId="17323" xr:uid="{00000000-0005-0000-0000-000061420000}"/>
    <cellStyle name="Normal 143 3 2 4" xfId="17324" xr:uid="{00000000-0005-0000-0000-000062420000}"/>
    <cellStyle name="Normal 143 3 2 5" xfId="17325" xr:uid="{00000000-0005-0000-0000-000063420000}"/>
    <cellStyle name="Normal 143 3 2 6" xfId="17326" xr:uid="{00000000-0005-0000-0000-000064420000}"/>
    <cellStyle name="Normal 143 3 3" xfId="17327" xr:uid="{00000000-0005-0000-0000-000065420000}"/>
    <cellStyle name="Normal 143 3 3 2" xfId="17328" xr:uid="{00000000-0005-0000-0000-000066420000}"/>
    <cellStyle name="Normal 143 3 3 3" xfId="17329" xr:uid="{00000000-0005-0000-0000-000067420000}"/>
    <cellStyle name="Normal 143 3 4" xfId="17330" xr:uid="{00000000-0005-0000-0000-000068420000}"/>
    <cellStyle name="Normal 143 3 4 2" xfId="17331" xr:uid="{00000000-0005-0000-0000-000069420000}"/>
    <cellStyle name="Normal 143 3 4 3" xfId="17332" xr:uid="{00000000-0005-0000-0000-00006A420000}"/>
    <cellStyle name="Normal 143 3 5" xfId="17333" xr:uid="{00000000-0005-0000-0000-00006B420000}"/>
    <cellStyle name="Normal 143 3 6" xfId="17334" xr:uid="{00000000-0005-0000-0000-00006C420000}"/>
    <cellStyle name="Normal 143 3 7" xfId="17335" xr:uid="{00000000-0005-0000-0000-00006D420000}"/>
    <cellStyle name="Normal 143 3 8" xfId="17336" xr:uid="{00000000-0005-0000-0000-00006E420000}"/>
    <cellStyle name="Normal 143 4" xfId="17337" xr:uid="{00000000-0005-0000-0000-00006F420000}"/>
    <cellStyle name="Normal 143 4 2" xfId="17338" xr:uid="{00000000-0005-0000-0000-000070420000}"/>
    <cellStyle name="Normal 143 4 2 2" xfId="17339" xr:uid="{00000000-0005-0000-0000-000071420000}"/>
    <cellStyle name="Normal 143 4 2 3" xfId="17340" xr:uid="{00000000-0005-0000-0000-000072420000}"/>
    <cellStyle name="Normal 143 4 3" xfId="17341" xr:uid="{00000000-0005-0000-0000-000073420000}"/>
    <cellStyle name="Normal 143 4 3 2" xfId="17342" xr:uid="{00000000-0005-0000-0000-000074420000}"/>
    <cellStyle name="Normal 143 4 3 3" xfId="17343" xr:uid="{00000000-0005-0000-0000-000075420000}"/>
    <cellStyle name="Normal 143 4 4" xfId="17344" xr:uid="{00000000-0005-0000-0000-000076420000}"/>
    <cellStyle name="Normal 143 4 5" xfId="17345" xr:uid="{00000000-0005-0000-0000-000077420000}"/>
    <cellStyle name="Normal 143 4 6" xfId="17346" xr:uid="{00000000-0005-0000-0000-000078420000}"/>
    <cellStyle name="Normal 143 5" xfId="17347" xr:uid="{00000000-0005-0000-0000-000079420000}"/>
    <cellStyle name="Normal 143 5 2" xfId="17348" xr:uid="{00000000-0005-0000-0000-00007A420000}"/>
    <cellStyle name="Normal 143 5 3" xfId="17349" xr:uid="{00000000-0005-0000-0000-00007B420000}"/>
    <cellStyle name="Normal 143 6" xfId="17350" xr:uid="{00000000-0005-0000-0000-00007C420000}"/>
    <cellStyle name="Normal 143 6 2" xfId="17351" xr:uid="{00000000-0005-0000-0000-00007D420000}"/>
    <cellStyle name="Normal 143 6 3" xfId="17352" xr:uid="{00000000-0005-0000-0000-00007E420000}"/>
    <cellStyle name="Normal 143 7" xfId="17353" xr:uid="{00000000-0005-0000-0000-00007F420000}"/>
    <cellStyle name="Normal 143 8" xfId="17354" xr:uid="{00000000-0005-0000-0000-000080420000}"/>
    <cellStyle name="Normal 143 9" xfId="17355" xr:uid="{00000000-0005-0000-0000-000081420000}"/>
    <cellStyle name="Normal 144" xfId="2121" xr:uid="{00000000-0005-0000-0000-000082420000}"/>
    <cellStyle name="Normal 144 10" xfId="17356" xr:uid="{00000000-0005-0000-0000-000083420000}"/>
    <cellStyle name="Normal 144 11" xfId="17357" xr:uid="{00000000-0005-0000-0000-000084420000}"/>
    <cellStyle name="Normal 144 12" xfId="17358" xr:uid="{00000000-0005-0000-0000-000085420000}"/>
    <cellStyle name="Normal 144 2" xfId="17359" xr:uid="{00000000-0005-0000-0000-000086420000}"/>
    <cellStyle name="Normal 144 2 10" xfId="17360" xr:uid="{00000000-0005-0000-0000-000087420000}"/>
    <cellStyle name="Normal 144 2 2" xfId="17361" xr:uid="{00000000-0005-0000-0000-000088420000}"/>
    <cellStyle name="Normal 144 2 2 2" xfId="17362" xr:uid="{00000000-0005-0000-0000-000089420000}"/>
    <cellStyle name="Normal 144 2 2 2 2" xfId="17363" xr:uid="{00000000-0005-0000-0000-00008A420000}"/>
    <cellStyle name="Normal 144 2 2 2 2 2" xfId="17364" xr:uid="{00000000-0005-0000-0000-00008B420000}"/>
    <cellStyle name="Normal 144 2 2 2 2 3" xfId="17365" xr:uid="{00000000-0005-0000-0000-00008C420000}"/>
    <cellStyle name="Normal 144 2 2 2 3" xfId="17366" xr:uid="{00000000-0005-0000-0000-00008D420000}"/>
    <cellStyle name="Normal 144 2 2 2 3 2" xfId="17367" xr:uid="{00000000-0005-0000-0000-00008E420000}"/>
    <cellStyle name="Normal 144 2 2 2 3 3" xfId="17368" xr:uid="{00000000-0005-0000-0000-00008F420000}"/>
    <cellStyle name="Normal 144 2 2 2 4" xfId="17369" xr:uid="{00000000-0005-0000-0000-000090420000}"/>
    <cellStyle name="Normal 144 2 2 2 5" xfId="17370" xr:uid="{00000000-0005-0000-0000-000091420000}"/>
    <cellStyle name="Normal 144 2 2 2 6" xfId="17371" xr:uid="{00000000-0005-0000-0000-000092420000}"/>
    <cellStyle name="Normal 144 2 2 2 7" xfId="17372" xr:uid="{00000000-0005-0000-0000-000093420000}"/>
    <cellStyle name="Normal 144 2 2 3" xfId="17373" xr:uid="{00000000-0005-0000-0000-000094420000}"/>
    <cellStyle name="Normal 144 2 2 3 2" xfId="17374" xr:uid="{00000000-0005-0000-0000-000095420000}"/>
    <cellStyle name="Normal 144 2 2 3 3" xfId="17375" xr:uid="{00000000-0005-0000-0000-000096420000}"/>
    <cellStyle name="Normal 144 2 2 3 4" xfId="17376" xr:uid="{00000000-0005-0000-0000-000097420000}"/>
    <cellStyle name="Normal 144 2 2 4" xfId="17377" xr:uid="{00000000-0005-0000-0000-000098420000}"/>
    <cellStyle name="Normal 144 2 2 4 2" xfId="17378" xr:uid="{00000000-0005-0000-0000-000099420000}"/>
    <cellStyle name="Normal 144 2 2 4 3" xfId="17379" xr:uid="{00000000-0005-0000-0000-00009A420000}"/>
    <cellStyle name="Normal 144 2 2 5" xfId="17380" xr:uid="{00000000-0005-0000-0000-00009B420000}"/>
    <cellStyle name="Normal 144 2 2 6" xfId="17381" xr:uid="{00000000-0005-0000-0000-00009C420000}"/>
    <cellStyle name="Normal 144 2 2 7" xfId="17382" xr:uid="{00000000-0005-0000-0000-00009D420000}"/>
    <cellStyle name="Normal 144 2 2 8" xfId="17383" xr:uid="{00000000-0005-0000-0000-00009E420000}"/>
    <cellStyle name="Normal 144 2 2 9" xfId="17384" xr:uid="{00000000-0005-0000-0000-00009F420000}"/>
    <cellStyle name="Normal 144 2 3" xfId="17385" xr:uid="{00000000-0005-0000-0000-0000A0420000}"/>
    <cellStyle name="Normal 144 2 3 2" xfId="17386" xr:uid="{00000000-0005-0000-0000-0000A1420000}"/>
    <cellStyle name="Normal 144 2 3 2 2" xfId="17387" xr:uid="{00000000-0005-0000-0000-0000A2420000}"/>
    <cellStyle name="Normal 144 2 3 2 3" xfId="17388" xr:uid="{00000000-0005-0000-0000-0000A3420000}"/>
    <cellStyle name="Normal 144 2 3 3" xfId="17389" xr:uid="{00000000-0005-0000-0000-0000A4420000}"/>
    <cellStyle name="Normal 144 2 3 3 2" xfId="17390" xr:uid="{00000000-0005-0000-0000-0000A5420000}"/>
    <cellStyle name="Normal 144 2 3 3 3" xfId="17391" xr:uid="{00000000-0005-0000-0000-0000A6420000}"/>
    <cellStyle name="Normal 144 2 3 4" xfId="17392" xr:uid="{00000000-0005-0000-0000-0000A7420000}"/>
    <cellStyle name="Normal 144 2 3 5" xfId="17393" xr:uid="{00000000-0005-0000-0000-0000A8420000}"/>
    <cellStyle name="Normal 144 2 3 6" xfId="17394" xr:uid="{00000000-0005-0000-0000-0000A9420000}"/>
    <cellStyle name="Normal 144 2 3 7" xfId="17395" xr:uid="{00000000-0005-0000-0000-0000AA420000}"/>
    <cellStyle name="Normal 144 2 4" xfId="17396" xr:uid="{00000000-0005-0000-0000-0000AB420000}"/>
    <cellStyle name="Normal 144 2 4 2" xfId="17397" xr:uid="{00000000-0005-0000-0000-0000AC420000}"/>
    <cellStyle name="Normal 144 2 4 3" xfId="17398" xr:uid="{00000000-0005-0000-0000-0000AD420000}"/>
    <cellStyle name="Normal 144 2 4 4" xfId="17399" xr:uid="{00000000-0005-0000-0000-0000AE420000}"/>
    <cellStyle name="Normal 144 2 5" xfId="17400" xr:uid="{00000000-0005-0000-0000-0000AF420000}"/>
    <cellStyle name="Normal 144 2 5 2" xfId="17401" xr:uid="{00000000-0005-0000-0000-0000B0420000}"/>
    <cellStyle name="Normal 144 2 5 3" xfId="17402" xr:uid="{00000000-0005-0000-0000-0000B1420000}"/>
    <cellStyle name="Normal 144 2 6" xfId="17403" xr:uid="{00000000-0005-0000-0000-0000B2420000}"/>
    <cellStyle name="Normal 144 2 7" xfId="17404" xr:uid="{00000000-0005-0000-0000-0000B3420000}"/>
    <cellStyle name="Normal 144 2 8" xfId="17405" xr:uid="{00000000-0005-0000-0000-0000B4420000}"/>
    <cellStyle name="Normal 144 2 9" xfId="17406" xr:uid="{00000000-0005-0000-0000-0000B5420000}"/>
    <cellStyle name="Normal 144 2_Order Book" xfId="17407" xr:uid="{00000000-0005-0000-0000-0000B6420000}"/>
    <cellStyle name="Normal 144 3" xfId="17408" xr:uid="{00000000-0005-0000-0000-0000B7420000}"/>
    <cellStyle name="Normal 144 3 2" xfId="17409" xr:uid="{00000000-0005-0000-0000-0000B8420000}"/>
    <cellStyle name="Normal 144 3 2 2" xfId="17410" xr:uid="{00000000-0005-0000-0000-0000B9420000}"/>
    <cellStyle name="Normal 144 3 2 2 2" xfId="17411" xr:uid="{00000000-0005-0000-0000-0000BA420000}"/>
    <cellStyle name="Normal 144 3 2 2 3" xfId="17412" xr:uid="{00000000-0005-0000-0000-0000BB420000}"/>
    <cellStyle name="Normal 144 3 2 3" xfId="17413" xr:uid="{00000000-0005-0000-0000-0000BC420000}"/>
    <cellStyle name="Normal 144 3 2 3 2" xfId="17414" xr:uid="{00000000-0005-0000-0000-0000BD420000}"/>
    <cellStyle name="Normal 144 3 2 3 3" xfId="17415" xr:uid="{00000000-0005-0000-0000-0000BE420000}"/>
    <cellStyle name="Normal 144 3 2 4" xfId="17416" xr:uid="{00000000-0005-0000-0000-0000BF420000}"/>
    <cellStyle name="Normal 144 3 2 5" xfId="17417" xr:uid="{00000000-0005-0000-0000-0000C0420000}"/>
    <cellStyle name="Normal 144 3 2 6" xfId="17418" xr:uid="{00000000-0005-0000-0000-0000C1420000}"/>
    <cellStyle name="Normal 144 3 2 7" xfId="17419" xr:uid="{00000000-0005-0000-0000-0000C2420000}"/>
    <cellStyle name="Normal 144 3 3" xfId="17420" xr:uid="{00000000-0005-0000-0000-0000C3420000}"/>
    <cellStyle name="Normal 144 3 3 2" xfId="17421" xr:uid="{00000000-0005-0000-0000-0000C4420000}"/>
    <cellStyle name="Normal 144 3 3 3" xfId="17422" xr:uid="{00000000-0005-0000-0000-0000C5420000}"/>
    <cellStyle name="Normal 144 3 3 4" xfId="17423" xr:uid="{00000000-0005-0000-0000-0000C6420000}"/>
    <cellStyle name="Normal 144 3 4" xfId="17424" xr:uid="{00000000-0005-0000-0000-0000C7420000}"/>
    <cellStyle name="Normal 144 3 4 2" xfId="17425" xr:uid="{00000000-0005-0000-0000-0000C8420000}"/>
    <cellStyle name="Normal 144 3 4 3" xfId="17426" xr:uid="{00000000-0005-0000-0000-0000C9420000}"/>
    <cellStyle name="Normal 144 3 5" xfId="17427" xr:uid="{00000000-0005-0000-0000-0000CA420000}"/>
    <cellStyle name="Normal 144 3 6" xfId="17428" xr:uid="{00000000-0005-0000-0000-0000CB420000}"/>
    <cellStyle name="Normal 144 3 7" xfId="17429" xr:uid="{00000000-0005-0000-0000-0000CC420000}"/>
    <cellStyle name="Normal 144 3 8" xfId="17430" xr:uid="{00000000-0005-0000-0000-0000CD420000}"/>
    <cellStyle name="Normal 144 3 9" xfId="17431" xr:uid="{00000000-0005-0000-0000-0000CE420000}"/>
    <cellStyle name="Normal 144 4" xfId="17432" xr:uid="{00000000-0005-0000-0000-0000CF420000}"/>
    <cellStyle name="Normal 144 4 2" xfId="17433" xr:uid="{00000000-0005-0000-0000-0000D0420000}"/>
    <cellStyle name="Normal 144 4 2 2" xfId="17434" xr:uid="{00000000-0005-0000-0000-0000D1420000}"/>
    <cellStyle name="Normal 144 4 2 3" xfId="17435" xr:uid="{00000000-0005-0000-0000-0000D2420000}"/>
    <cellStyle name="Normal 144 4 3" xfId="17436" xr:uid="{00000000-0005-0000-0000-0000D3420000}"/>
    <cellStyle name="Normal 144 4 3 2" xfId="17437" xr:uid="{00000000-0005-0000-0000-0000D4420000}"/>
    <cellStyle name="Normal 144 4 3 3" xfId="17438" xr:uid="{00000000-0005-0000-0000-0000D5420000}"/>
    <cellStyle name="Normal 144 4 4" xfId="17439" xr:uid="{00000000-0005-0000-0000-0000D6420000}"/>
    <cellStyle name="Normal 144 4 5" xfId="17440" xr:uid="{00000000-0005-0000-0000-0000D7420000}"/>
    <cellStyle name="Normal 144 4 6" xfId="17441" xr:uid="{00000000-0005-0000-0000-0000D8420000}"/>
    <cellStyle name="Normal 144 4 7" xfId="17442" xr:uid="{00000000-0005-0000-0000-0000D9420000}"/>
    <cellStyle name="Normal 144 5" xfId="17443" xr:uid="{00000000-0005-0000-0000-0000DA420000}"/>
    <cellStyle name="Normal 144 5 2" xfId="17444" xr:uid="{00000000-0005-0000-0000-0000DB420000}"/>
    <cellStyle name="Normal 144 5 3" xfId="17445" xr:uid="{00000000-0005-0000-0000-0000DC420000}"/>
    <cellStyle name="Normal 144 5 4" xfId="17446" xr:uid="{00000000-0005-0000-0000-0000DD420000}"/>
    <cellStyle name="Normal 144 6" xfId="17447" xr:uid="{00000000-0005-0000-0000-0000DE420000}"/>
    <cellStyle name="Normal 144 6 2" xfId="17448" xr:uid="{00000000-0005-0000-0000-0000DF420000}"/>
    <cellStyle name="Normal 144 6 3" xfId="17449" xr:uid="{00000000-0005-0000-0000-0000E0420000}"/>
    <cellStyle name="Normal 144 7" xfId="17450" xr:uid="{00000000-0005-0000-0000-0000E1420000}"/>
    <cellStyle name="Normal 144 8" xfId="17451" xr:uid="{00000000-0005-0000-0000-0000E2420000}"/>
    <cellStyle name="Normal 144 9" xfId="17452" xr:uid="{00000000-0005-0000-0000-0000E3420000}"/>
    <cellStyle name="Normal 144_Order Book" xfId="17453" xr:uid="{00000000-0005-0000-0000-0000E4420000}"/>
    <cellStyle name="Normal 145" xfId="2122" xr:uid="{00000000-0005-0000-0000-0000E5420000}"/>
    <cellStyle name="Normal 145 10" xfId="17454" xr:uid="{00000000-0005-0000-0000-0000E6420000}"/>
    <cellStyle name="Normal 145 11" xfId="17455" xr:uid="{00000000-0005-0000-0000-0000E7420000}"/>
    <cellStyle name="Normal 145 12" xfId="17456" xr:uid="{00000000-0005-0000-0000-0000E8420000}"/>
    <cellStyle name="Normal 145 2" xfId="17457" xr:uid="{00000000-0005-0000-0000-0000E9420000}"/>
    <cellStyle name="Normal 145 2 10" xfId="17458" xr:uid="{00000000-0005-0000-0000-0000EA420000}"/>
    <cellStyle name="Normal 145 2 2" xfId="17459" xr:uid="{00000000-0005-0000-0000-0000EB420000}"/>
    <cellStyle name="Normal 145 2 2 2" xfId="17460" xr:uid="{00000000-0005-0000-0000-0000EC420000}"/>
    <cellStyle name="Normal 145 2 2 2 2" xfId="17461" xr:uid="{00000000-0005-0000-0000-0000ED420000}"/>
    <cellStyle name="Normal 145 2 2 2 2 2" xfId="17462" xr:uid="{00000000-0005-0000-0000-0000EE420000}"/>
    <cellStyle name="Normal 145 2 2 2 2 3" xfId="17463" xr:uid="{00000000-0005-0000-0000-0000EF420000}"/>
    <cellStyle name="Normal 145 2 2 2 3" xfId="17464" xr:uid="{00000000-0005-0000-0000-0000F0420000}"/>
    <cellStyle name="Normal 145 2 2 2 3 2" xfId="17465" xr:uid="{00000000-0005-0000-0000-0000F1420000}"/>
    <cellStyle name="Normal 145 2 2 2 3 3" xfId="17466" xr:uid="{00000000-0005-0000-0000-0000F2420000}"/>
    <cellStyle name="Normal 145 2 2 2 4" xfId="17467" xr:uid="{00000000-0005-0000-0000-0000F3420000}"/>
    <cellStyle name="Normal 145 2 2 2 5" xfId="17468" xr:uid="{00000000-0005-0000-0000-0000F4420000}"/>
    <cellStyle name="Normal 145 2 2 2 6" xfId="17469" xr:uid="{00000000-0005-0000-0000-0000F5420000}"/>
    <cellStyle name="Normal 145 2 2 2 7" xfId="17470" xr:uid="{00000000-0005-0000-0000-0000F6420000}"/>
    <cellStyle name="Normal 145 2 2 3" xfId="17471" xr:uid="{00000000-0005-0000-0000-0000F7420000}"/>
    <cellStyle name="Normal 145 2 2 3 2" xfId="17472" xr:uid="{00000000-0005-0000-0000-0000F8420000}"/>
    <cellStyle name="Normal 145 2 2 3 3" xfId="17473" xr:uid="{00000000-0005-0000-0000-0000F9420000}"/>
    <cellStyle name="Normal 145 2 2 3 4" xfId="17474" xr:uid="{00000000-0005-0000-0000-0000FA420000}"/>
    <cellStyle name="Normal 145 2 2 4" xfId="17475" xr:uid="{00000000-0005-0000-0000-0000FB420000}"/>
    <cellStyle name="Normal 145 2 2 4 2" xfId="17476" xr:uid="{00000000-0005-0000-0000-0000FC420000}"/>
    <cellStyle name="Normal 145 2 2 4 3" xfId="17477" xr:uid="{00000000-0005-0000-0000-0000FD420000}"/>
    <cellStyle name="Normal 145 2 2 5" xfId="17478" xr:uid="{00000000-0005-0000-0000-0000FE420000}"/>
    <cellStyle name="Normal 145 2 2 6" xfId="17479" xr:uid="{00000000-0005-0000-0000-0000FF420000}"/>
    <cellStyle name="Normal 145 2 2 7" xfId="17480" xr:uid="{00000000-0005-0000-0000-000000430000}"/>
    <cellStyle name="Normal 145 2 2 8" xfId="17481" xr:uid="{00000000-0005-0000-0000-000001430000}"/>
    <cellStyle name="Normal 145 2 2 9" xfId="17482" xr:uid="{00000000-0005-0000-0000-000002430000}"/>
    <cellStyle name="Normal 145 2 3" xfId="17483" xr:uid="{00000000-0005-0000-0000-000003430000}"/>
    <cellStyle name="Normal 145 2 3 2" xfId="17484" xr:uid="{00000000-0005-0000-0000-000004430000}"/>
    <cellStyle name="Normal 145 2 3 2 2" xfId="17485" xr:uid="{00000000-0005-0000-0000-000005430000}"/>
    <cellStyle name="Normal 145 2 3 2 3" xfId="17486" xr:uid="{00000000-0005-0000-0000-000006430000}"/>
    <cellStyle name="Normal 145 2 3 3" xfId="17487" xr:uid="{00000000-0005-0000-0000-000007430000}"/>
    <cellStyle name="Normal 145 2 3 3 2" xfId="17488" xr:uid="{00000000-0005-0000-0000-000008430000}"/>
    <cellStyle name="Normal 145 2 3 3 3" xfId="17489" xr:uid="{00000000-0005-0000-0000-000009430000}"/>
    <cellStyle name="Normal 145 2 3 4" xfId="17490" xr:uid="{00000000-0005-0000-0000-00000A430000}"/>
    <cellStyle name="Normal 145 2 3 5" xfId="17491" xr:uid="{00000000-0005-0000-0000-00000B430000}"/>
    <cellStyle name="Normal 145 2 3 6" xfId="17492" xr:uid="{00000000-0005-0000-0000-00000C430000}"/>
    <cellStyle name="Normal 145 2 3 7" xfId="17493" xr:uid="{00000000-0005-0000-0000-00000D430000}"/>
    <cellStyle name="Normal 145 2 4" xfId="17494" xr:uid="{00000000-0005-0000-0000-00000E430000}"/>
    <cellStyle name="Normal 145 2 4 2" xfId="17495" xr:uid="{00000000-0005-0000-0000-00000F430000}"/>
    <cellStyle name="Normal 145 2 4 3" xfId="17496" xr:uid="{00000000-0005-0000-0000-000010430000}"/>
    <cellStyle name="Normal 145 2 4 4" xfId="17497" xr:uid="{00000000-0005-0000-0000-000011430000}"/>
    <cellStyle name="Normal 145 2 5" xfId="17498" xr:uid="{00000000-0005-0000-0000-000012430000}"/>
    <cellStyle name="Normal 145 2 5 2" xfId="17499" xr:uid="{00000000-0005-0000-0000-000013430000}"/>
    <cellStyle name="Normal 145 2 5 3" xfId="17500" xr:uid="{00000000-0005-0000-0000-000014430000}"/>
    <cellStyle name="Normal 145 2 6" xfId="17501" xr:uid="{00000000-0005-0000-0000-000015430000}"/>
    <cellStyle name="Normal 145 2 7" xfId="17502" xr:uid="{00000000-0005-0000-0000-000016430000}"/>
    <cellStyle name="Normal 145 2 8" xfId="17503" xr:uid="{00000000-0005-0000-0000-000017430000}"/>
    <cellStyle name="Normal 145 2 9" xfId="17504" xr:uid="{00000000-0005-0000-0000-000018430000}"/>
    <cellStyle name="Normal 145 2_Order Book" xfId="17505" xr:uid="{00000000-0005-0000-0000-000019430000}"/>
    <cellStyle name="Normal 145 3" xfId="17506" xr:uid="{00000000-0005-0000-0000-00001A430000}"/>
    <cellStyle name="Normal 145 3 2" xfId="17507" xr:uid="{00000000-0005-0000-0000-00001B430000}"/>
    <cellStyle name="Normal 145 3 2 2" xfId="17508" xr:uid="{00000000-0005-0000-0000-00001C430000}"/>
    <cellStyle name="Normal 145 3 2 2 2" xfId="17509" xr:uid="{00000000-0005-0000-0000-00001D430000}"/>
    <cellStyle name="Normal 145 3 2 2 3" xfId="17510" xr:uid="{00000000-0005-0000-0000-00001E430000}"/>
    <cellStyle name="Normal 145 3 2 3" xfId="17511" xr:uid="{00000000-0005-0000-0000-00001F430000}"/>
    <cellStyle name="Normal 145 3 2 3 2" xfId="17512" xr:uid="{00000000-0005-0000-0000-000020430000}"/>
    <cellStyle name="Normal 145 3 2 3 3" xfId="17513" xr:uid="{00000000-0005-0000-0000-000021430000}"/>
    <cellStyle name="Normal 145 3 2 4" xfId="17514" xr:uid="{00000000-0005-0000-0000-000022430000}"/>
    <cellStyle name="Normal 145 3 2 5" xfId="17515" xr:uid="{00000000-0005-0000-0000-000023430000}"/>
    <cellStyle name="Normal 145 3 2 6" xfId="17516" xr:uid="{00000000-0005-0000-0000-000024430000}"/>
    <cellStyle name="Normal 145 3 2 7" xfId="17517" xr:uid="{00000000-0005-0000-0000-000025430000}"/>
    <cellStyle name="Normal 145 3 3" xfId="17518" xr:uid="{00000000-0005-0000-0000-000026430000}"/>
    <cellStyle name="Normal 145 3 3 2" xfId="17519" xr:uid="{00000000-0005-0000-0000-000027430000}"/>
    <cellStyle name="Normal 145 3 3 3" xfId="17520" xr:uid="{00000000-0005-0000-0000-000028430000}"/>
    <cellStyle name="Normal 145 3 3 4" xfId="17521" xr:uid="{00000000-0005-0000-0000-000029430000}"/>
    <cellStyle name="Normal 145 3 4" xfId="17522" xr:uid="{00000000-0005-0000-0000-00002A430000}"/>
    <cellStyle name="Normal 145 3 4 2" xfId="17523" xr:uid="{00000000-0005-0000-0000-00002B430000}"/>
    <cellStyle name="Normal 145 3 4 3" xfId="17524" xr:uid="{00000000-0005-0000-0000-00002C430000}"/>
    <cellStyle name="Normal 145 3 5" xfId="17525" xr:uid="{00000000-0005-0000-0000-00002D430000}"/>
    <cellStyle name="Normal 145 3 6" xfId="17526" xr:uid="{00000000-0005-0000-0000-00002E430000}"/>
    <cellStyle name="Normal 145 3 7" xfId="17527" xr:uid="{00000000-0005-0000-0000-00002F430000}"/>
    <cellStyle name="Normal 145 3 8" xfId="17528" xr:uid="{00000000-0005-0000-0000-000030430000}"/>
    <cellStyle name="Normal 145 3 9" xfId="17529" xr:uid="{00000000-0005-0000-0000-000031430000}"/>
    <cellStyle name="Normal 145 4" xfId="17530" xr:uid="{00000000-0005-0000-0000-000032430000}"/>
    <cellStyle name="Normal 145 4 2" xfId="17531" xr:uid="{00000000-0005-0000-0000-000033430000}"/>
    <cellStyle name="Normal 145 4 2 2" xfId="17532" xr:uid="{00000000-0005-0000-0000-000034430000}"/>
    <cellStyle name="Normal 145 4 2 3" xfId="17533" xr:uid="{00000000-0005-0000-0000-000035430000}"/>
    <cellStyle name="Normal 145 4 3" xfId="17534" xr:uid="{00000000-0005-0000-0000-000036430000}"/>
    <cellStyle name="Normal 145 4 3 2" xfId="17535" xr:uid="{00000000-0005-0000-0000-000037430000}"/>
    <cellStyle name="Normal 145 4 3 3" xfId="17536" xr:uid="{00000000-0005-0000-0000-000038430000}"/>
    <cellStyle name="Normal 145 4 4" xfId="17537" xr:uid="{00000000-0005-0000-0000-000039430000}"/>
    <cellStyle name="Normal 145 4 5" xfId="17538" xr:uid="{00000000-0005-0000-0000-00003A430000}"/>
    <cellStyle name="Normal 145 4 6" xfId="17539" xr:uid="{00000000-0005-0000-0000-00003B430000}"/>
    <cellStyle name="Normal 145 4 7" xfId="17540" xr:uid="{00000000-0005-0000-0000-00003C430000}"/>
    <cellStyle name="Normal 145 5" xfId="17541" xr:uid="{00000000-0005-0000-0000-00003D430000}"/>
    <cellStyle name="Normal 145 5 2" xfId="17542" xr:uid="{00000000-0005-0000-0000-00003E430000}"/>
    <cellStyle name="Normal 145 5 3" xfId="17543" xr:uid="{00000000-0005-0000-0000-00003F430000}"/>
    <cellStyle name="Normal 145 5 4" xfId="17544" xr:uid="{00000000-0005-0000-0000-000040430000}"/>
    <cellStyle name="Normal 145 6" xfId="17545" xr:uid="{00000000-0005-0000-0000-000041430000}"/>
    <cellStyle name="Normal 145 6 2" xfId="17546" xr:uid="{00000000-0005-0000-0000-000042430000}"/>
    <cellStyle name="Normal 145 6 3" xfId="17547" xr:uid="{00000000-0005-0000-0000-000043430000}"/>
    <cellStyle name="Normal 145 7" xfId="17548" xr:uid="{00000000-0005-0000-0000-000044430000}"/>
    <cellStyle name="Normal 145 8" xfId="17549" xr:uid="{00000000-0005-0000-0000-000045430000}"/>
    <cellStyle name="Normal 145 9" xfId="17550" xr:uid="{00000000-0005-0000-0000-000046430000}"/>
    <cellStyle name="Normal 145_Order Book" xfId="17551" xr:uid="{00000000-0005-0000-0000-000047430000}"/>
    <cellStyle name="Normal 146" xfId="2123" xr:uid="{00000000-0005-0000-0000-000048430000}"/>
    <cellStyle name="Normal 146 10" xfId="17552" xr:uid="{00000000-0005-0000-0000-000049430000}"/>
    <cellStyle name="Normal 146 11" xfId="17553" xr:uid="{00000000-0005-0000-0000-00004A430000}"/>
    <cellStyle name="Normal 146 12" xfId="17554" xr:uid="{00000000-0005-0000-0000-00004B430000}"/>
    <cellStyle name="Normal 146 2" xfId="17555" xr:uid="{00000000-0005-0000-0000-00004C430000}"/>
    <cellStyle name="Normal 146 2 10" xfId="17556" xr:uid="{00000000-0005-0000-0000-00004D430000}"/>
    <cellStyle name="Normal 146 2 2" xfId="17557" xr:uid="{00000000-0005-0000-0000-00004E430000}"/>
    <cellStyle name="Normal 146 2 2 2" xfId="17558" xr:uid="{00000000-0005-0000-0000-00004F430000}"/>
    <cellStyle name="Normal 146 2 2 2 2" xfId="17559" xr:uid="{00000000-0005-0000-0000-000050430000}"/>
    <cellStyle name="Normal 146 2 2 2 2 2" xfId="17560" xr:uid="{00000000-0005-0000-0000-000051430000}"/>
    <cellStyle name="Normal 146 2 2 2 2 3" xfId="17561" xr:uid="{00000000-0005-0000-0000-000052430000}"/>
    <cellStyle name="Normal 146 2 2 2 3" xfId="17562" xr:uid="{00000000-0005-0000-0000-000053430000}"/>
    <cellStyle name="Normal 146 2 2 2 3 2" xfId="17563" xr:uid="{00000000-0005-0000-0000-000054430000}"/>
    <cellStyle name="Normal 146 2 2 2 3 3" xfId="17564" xr:uid="{00000000-0005-0000-0000-000055430000}"/>
    <cellStyle name="Normal 146 2 2 2 4" xfId="17565" xr:uid="{00000000-0005-0000-0000-000056430000}"/>
    <cellStyle name="Normal 146 2 2 2 5" xfId="17566" xr:uid="{00000000-0005-0000-0000-000057430000}"/>
    <cellStyle name="Normal 146 2 2 2 6" xfId="17567" xr:uid="{00000000-0005-0000-0000-000058430000}"/>
    <cellStyle name="Normal 146 2 2 2 7" xfId="17568" xr:uid="{00000000-0005-0000-0000-000059430000}"/>
    <cellStyle name="Normal 146 2 2 3" xfId="17569" xr:uid="{00000000-0005-0000-0000-00005A430000}"/>
    <cellStyle name="Normal 146 2 2 3 2" xfId="17570" xr:uid="{00000000-0005-0000-0000-00005B430000}"/>
    <cellStyle name="Normal 146 2 2 3 3" xfId="17571" xr:uid="{00000000-0005-0000-0000-00005C430000}"/>
    <cellStyle name="Normal 146 2 2 3 4" xfId="17572" xr:uid="{00000000-0005-0000-0000-00005D430000}"/>
    <cellStyle name="Normal 146 2 2 4" xfId="17573" xr:uid="{00000000-0005-0000-0000-00005E430000}"/>
    <cellStyle name="Normal 146 2 2 4 2" xfId="17574" xr:uid="{00000000-0005-0000-0000-00005F430000}"/>
    <cellStyle name="Normal 146 2 2 4 3" xfId="17575" xr:uid="{00000000-0005-0000-0000-000060430000}"/>
    <cellStyle name="Normal 146 2 2 5" xfId="17576" xr:uid="{00000000-0005-0000-0000-000061430000}"/>
    <cellStyle name="Normal 146 2 2 6" xfId="17577" xr:uid="{00000000-0005-0000-0000-000062430000}"/>
    <cellStyle name="Normal 146 2 2 7" xfId="17578" xr:uid="{00000000-0005-0000-0000-000063430000}"/>
    <cellStyle name="Normal 146 2 2 8" xfId="17579" xr:uid="{00000000-0005-0000-0000-000064430000}"/>
    <cellStyle name="Normal 146 2 2 9" xfId="17580" xr:uid="{00000000-0005-0000-0000-000065430000}"/>
    <cellStyle name="Normal 146 2 3" xfId="17581" xr:uid="{00000000-0005-0000-0000-000066430000}"/>
    <cellStyle name="Normal 146 2 3 2" xfId="17582" xr:uid="{00000000-0005-0000-0000-000067430000}"/>
    <cellStyle name="Normal 146 2 3 2 2" xfId="17583" xr:uid="{00000000-0005-0000-0000-000068430000}"/>
    <cellStyle name="Normal 146 2 3 2 3" xfId="17584" xr:uid="{00000000-0005-0000-0000-000069430000}"/>
    <cellStyle name="Normal 146 2 3 3" xfId="17585" xr:uid="{00000000-0005-0000-0000-00006A430000}"/>
    <cellStyle name="Normal 146 2 3 3 2" xfId="17586" xr:uid="{00000000-0005-0000-0000-00006B430000}"/>
    <cellStyle name="Normal 146 2 3 3 3" xfId="17587" xr:uid="{00000000-0005-0000-0000-00006C430000}"/>
    <cellStyle name="Normal 146 2 3 4" xfId="17588" xr:uid="{00000000-0005-0000-0000-00006D430000}"/>
    <cellStyle name="Normal 146 2 3 5" xfId="17589" xr:uid="{00000000-0005-0000-0000-00006E430000}"/>
    <cellStyle name="Normal 146 2 3 6" xfId="17590" xr:uid="{00000000-0005-0000-0000-00006F430000}"/>
    <cellStyle name="Normal 146 2 3 7" xfId="17591" xr:uid="{00000000-0005-0000-0000-000070430000}"/>
    <cellStyle name="Normal 146 2 4" xfId="17592" xr:uid="{00000000-0005-0000-0000-000071430000}"/>
    <cellStyle name="Normal 146 2 4 2" xfId="17593" xr:uid="{00000000-0005-0000-0000-000072430000}"/>
    <cellStyle name="Normal 146 2 4 3" xfId="17594" xr:uid="{00000000-0005-0000-0000-000073430000}"/>
    <cellStyle name="Normal 146 2 4 4" xfId="17595" xr:uid="{00000000-0005-0000-0000-000074430000}"/>
    <cellStyle name="Normal 146 2 5" xfId="17596" xr:uid="{00000000-0005-0000-0000-000075430000}"/>
    <cellStyle name="Normal 146 2 5 2" xfId="17597" xr:uid="{00000000-0005-0000-0000-000076430000}"/>
    <cellStyle name="Normal 146 2 5 3" xfId="17598" xr:uid="{00000000-0005-0000-0000-000077430000}"/>
    <cellStyle name="Normal 146 2 6" xfId="17599" xr:uid="{00000000-0005-0000-0000-000078430000}"/>
    <cellStyle name="Normal 146 2 7" xfId="17600" xr:uid="{00000000-0005-0000-0000-000079430000}"/>
    <cellStyle name="Normal 146 2 8" xfId="17601" xr:uid="{00000000-0005-0000-0000-00007A430000}"/>
    <cellStyle name="Normal 146 2 9" xfId="17602" xr:uid="{00000000-0005-0000-0000-00007B430000}"/>
    <cellStyle name="Normal 146 2_Order Book" xfId="17603" xr:uid="{00000000-0005-0000-0000-00007C430000}"/>
    <cellStyle name="Normal 146 3" xfId="17604" xr:uid="{00000000-0005-0000-0000-00007D430000}"/>
    <cellStyle name="Normal 146 3 2" xfId="17605" xr:uid="{00000000-0005-0000-0000-00007E430000}"/>
    <cellStyle name="Normal 146 3 2 2" xfId="17606" xr:uid="{00000000-0005-0000-0000-00007F430000}"/>
    <cellStyle name="Normal 146 3 2 2 2" xfId="17607" xr:uid="{00000000-0005-0000-0000-000080430000}"/>
    <cellStyle name="Normal 146 3 2 2 3" xfId="17608" xr:uid="{00000000-0005-0000-0000-000081430000}"/>
    <cellStyle name="Normal 146 3 2 3" xfId="17609" xr:uid="{00000000-0005-0000-0000-000082430000}"/>
    <cellStyle name="Normal 146 3 2 3 2" xfId="17610" xr:uid="{00000000-0005-0000-0000-000083430000}"/>
    <cellStyle name="Normal 146 3 2 3 3" xfId="17611" xr:uid="{00000000-0005-0000-0000-000084430000}"/>
    <cellStyle name="Normal 146 3 2 4" xfId="17612" xr:uid="{00000000-0005-0000-0000-000085430000}"/>
    <cellStyle name="Normal 146 3 2 5" xfId="17613" xr:uid="{00000000-0005-0000-0000-000086430000}"/>
    <cellStyle name="Normal 146 3 2 6" xfId="17614" xr:uid="{00000000-0005-0000-0000-000087430000}"/>
    <cellStyle name="Normal 146 3 2 7" xfId="17615" xr:uid="{00000000-0005-0000-0000-000088430000}"/>
    <cellStyle name="Normal 146 3 3" xfId="17616" xr:uid="{00000000-0005-0000-0000-000089430000}"/>
    <cellStyle name="Normal 146 3 3 2" xfId="17617" xr:uid="{00000000-0005-0000-0000-00008A430000}"/>
    <cellStyle name="Normal 146 3 3 3" xfId="17618" xr:uid="{00000000-0005-0000-0000-00008B430000}"/>
    <cellStyle name="Normal 146 3 3 4" xfId="17619" xr:uid="{00000000-0005-0000-0000-00008C430000}"/>
    <cellStyle name="Normal 146 3 4" xfId="17620" xr:uid="{00000000-0005-0000-0000-00008D430000}"/>
    <cellStyle name="Normal 146 3 4 2" xfId="17621" xr:uid="{00000000-0005-0000-0000-00008E430000}"/>
    <cellStyle name="Normal 146 3 4 3" xfId="17622" xr:uid="{00000000-0005-0000-0000-00008F430000}"/>
    <cellStyle name="Normal 146 3 5" xfId="17623" xr:uid="{00000000-0005-0000-0000-000090430000}"/>
    <cellStyle name="Normal 146 3 6" xfId="17624" xr:uid="{00000000-0005-0000-0000-000091430000}"/>
    <cellStyle name="Normal 146 3 7" xfId="17625" xr:uid="{00000000-0005-0000-0000-000092430000}"/>
    <cellStyle name="Normal 146 3 8" xfId="17626" xr:uid="{00000000-0005-0000-0000-000093430000}"/>
    <cellStyle name="Normal 146 3 9" xfId="17627" xr:uid="{00000000-0005-0000-0000-000094430000}"/>
    <cellStyle name="Normal 146 4" xfId="17628" xr:uid="{00000000-0005-0000-0000-000095430000}"/>
    <cellStyle name="Normal 146 4 2" xfId="17629" xr:uid="{00000000-0005-0000-0000-000096430000}"/>
    <cellStyle name="Normal 146 4 2 2" xfId="17630" xr:uid="{00000000-0005-0000-0000-000097430000}"/>
    <cellStyle name="Normal 146 4 2 3" xfId="17631" xr:uid="{00000000-0005-0000-0000-000098430000}"/>
    <cellStyle name="Normal 146 4 3" xfId="17632" xr:uid="{00000000-0005-0000-0000-000099430000}"/>
    <cellStyle name="Normal 146 4 3 2" xfId="17633" xr:uid="{00000000-0005-0000-0000-00009A430000}"/>
    <cellStyle name="Normal 146 4 3 3" xfId="17634" xr:uid="{00000000-0005-0000-0000-00009B430000}"/>
    <cellStyle name="Normal 146 4 4" xfId="17635" xr:uid="{00000000-0005-0000-0000-00009C430000}"/>
    <cellStyle name="Normal 146 4 5" xfId="17636" xr:uid="{00000000-0005-0000-0000-00009D430000}"/>
    <cellStyle name="Normal 146 4 6" xfId="17637" xr:uid="{00000000-0005-0000-0000-00009E430000}"/>
    <cellStyle name="Normal 146 4 7" xfId="17638" xr:uid="{00000000-0005-0000-0000-00009F430000}"/>
    <cellStyle name="Normal 146 5" xfId="17639" xr:uid="{00000000-0005-0000-0000-0000A0430000}"/>
    <cellStyle name="Normal 146 5 2" xfId="17640" xr:uid="{00000000-0005-0000-0000-0000A1430000}"/>
    <cellStyle name="Normal 146 5 3" xfId="17641" xr:uid="{00000000-0005-0000-0000-0000A2430000}"/>
    <cellStyle name="Normal 146 5 4" xfId="17642" xr:uid="{00000000-0005-0000-0000-0000A3430000}"/>
    <cellStyle name="Normal 146 6" xfId="17643" xr:uid="{00000000-0005-0000-0000-0000A4430000}"/>
    <cellStyle name="Normal 146 6 2" xfId="17644" xr:uid="{00000000-0005-0000-0000-0000A5430000}"/>
    <cellStyle name="Normal 146 6 3" xfId="17645" xr:uid="{00000000-0005-0000-0000-0000A6430000}"/>
    <cellStyle name="Normal 146 7" xfId="17646" xr:uid="{00000000-0005-0000-0000-0000A7430000}"/>
    <cellStyle name="Normal 146 8" xfId="17647" xr:uid="{00000000-0005-0000-0000-0000A8430000}"/>
    <cellStyle name="Normal 146 9" xfId="17648" xr:uid="{00000000-0005-0000-0000-0000A9430000}"/>
    <cellStyle name="Normal 146_Order Book" xfId="17649" xr:uid="{00000000-0005-0000-0000-0000AA430000}"/>
    <cellStyle name="Normal 147" xfId="2124" xr:uid="{00000000-0005-0000-0000-0000AB430000}"/>
    <cellStyle name="Normal 147 10" xfId="17650" xr:uid="{00000000-0005-0000-0000-0000AC430000}"/>
    <cellStyle name="Normal 147 11" xfId="17651" xr:uid="{00000000-0005-0000-0000-0000AD430000}"/>
    <cellStyle name="Normal 147 12" xfId="17652" xr:uid="{00000000-0005-0000-0000-0000AE430000}"/>
    <cellStyle name="Normal 147 2" xfId="17653" xr:uid="{00000000-0005-0000-0000-0000AF430000}"/>
    <cellStyle name="Normal 147 2 10" xfId="17654" xr:uid="{00000000-0005-0000-0000-0000B0430000}"/>
    <cellStyle name="Normal 147 2 2" xfId="17655" xr:uid="{00000000-0005-0000-0000-0000B1430000}"/>
    <cellStyle name="Normal 147 2 2 2" xfId="17656" xr:uid="{00000000-0005-0000-0000-0000B2430000}"/>
    <cellStyle name="Normal 147 2 2 2 2" xfId="17657" xr:uid="{00000000-0005-0000-0000-0000B3430000}"/>
    <cellStyle name="Normal 147 2 2 2 2 2" xfId="17658" xr:uid="{00000000-0005-0000-0000-0000B4430000}"/>
    <cellStyle name="Normal 147 2 2 2 2 3" xfId="17659" xr:uid="{00000000-0005-0000-0000-0000B5430000}"/>
    <cellStyle name="Normal 147 2 2 2 3" xfId="17660" xr:uid="{00000000-0005-0000-0000-0000B6430000}"/>
    <cellStyle name="Normal 147 2 2 2 3 2" xfId="17661" xr:uid="{00000000-0005-0000-0000-0000B7430000}"/>
    <cellStyle name="Normal 147 2 2 2 3 3" xfId="17662" xr:uid="{00000000-0005-0000-0000-0000B8430000}"/>
    <cellStyle name="Normal 147 2 2 2 4" xfId="17663" xr:uid="{00000000-0005-0000-0000-0000B9430000}"/>
    <cellStyle name="Normal 147 2 2 2 5" xfId="17664" xr:uid="{00000000-0005-0000-0000-0000BA430000}"/>
    <cellStyle name="Normal 147 2 2 2 6" xfId="17665" xr:uid="{00000000-0005-0000-0000-0000BB430000}"/>
    <cellStyle name="Normal 147 2 2 2 7" xfId="17666" xr:uid="{00000000-0005-0000-0000-0000BC430000}"/>
    <cellStyle name="Normal 147 2 2 3" xfId="17667" xr:uid="{00000000-0005-0000-0000-0000BD430000}"/>
    <cellStyle name="Normal 147 2 2 3 2" xfId="17668" xr:uid="{00000000-0005-0000-0000-0000BE430000}"/>
    <cellStyle name="Normal 147 2 2 3 3" xfId="17669" xr:uid="{00000000-0005-0000-0000-0000BF430000}"/>
    <cellStyle name="Normal 147 2 2 3 4" xfId="17670" xr:uid="{00000000-0005-0000-0000-0000C0430000}"/>
    <cellStyle name="Normal 147 2 2 4" xfId="17671" xr:uid="{00000000-0005-0000-0000-0000C1430000}"/>
    <cellStyle name="Normal 147 2 2 4 2" xfId="17672" xr:uid="{00000000-0005-0000-0000-0000C2430000}"/>
    <cellStyle name="Normal 147 2 2 4 3" xfId="17673" xr:uid="{00000000-0005-0000-0000-0000C3430000}"/>
    <cellStyle name="Normal 147 2 2 5" xfId="17674" xr:uid="{00000000-0005-0000-0000-0000C4430000}"/>
    <cellStyle name="Normal 147 2 2 6" xfId="17675" xr:uid="{00000000-0005-0000-0000-0000C5430000}"/>
    <cellStyle name="Normal 147 2 2 7" xfId="17676" xr:uid="{00000000-0005-0000-0000-0000C6430000}"/>
    <cellStyle name="Normal 147 2 2 8" xfId="17677" xr:uid="{00000000-0005-0000-0000-0000C7430000}"/>
    <cellStyle name="Normal 147 2 2 9" xfId="17678" xr:uid="{00000000-0005-0000-0000-0000C8430000}"/>
    <cellStyle name="Normal 147 2 3" xfId="17679" xr:uid="{00000000-0005-0000-0000-0000C9430000}"/>
    <cellStyle name="Normal 147 2 3 2" xfId="17680" xr:uid="{00000000-0005-0000-0000-0000CA430000}"/>
    <cellStyle name="Normal 147 2 3 2 2" xfId="17681" xr:uid="{00000000-0005-0000-0000-0000CB430000}"/>
    <cellStyle name="Normal 147 2 3 2 3" xfId="17682" xr:uid="{00000000-0005-0000-0000-0000CC430000}"/>
    <cellStyle name="Normal 147 2 3 3" xfId="17683" xr:uid="{00000000-0005-0000-0000-0000CD430000}"/>
    <cellStyle name="Normal 147 2 3 3 2" xfId="17684" xr:uid="{00000000-0005-0000-0000-0000CE430000}"/>
    <cellStyle name="Normal 147 2 3 3 3" xfId="17685" xr:uid="{00000000-0005-0000-0000-0000CF430000}"/>
    <cellStyle name="Normal 147 2 3 4" xfId="17686" xr:uid="{00000000-0005-0000-0000-0000D0430000}"/>
    <cellStyle name="Normal 147 2 3 5" xfId="17687" xr:uid="{00000000-0005-0000-0000-0000D1430000}"/>
    <cellStyle name="Normal 147 2 3 6" xfId="17688" xr:uid="{00000000-0005-0000-0000-0000D2430000}"/>
    <cellStyle name="Normal 147 2 3 7" xfId="17689" xr:uid="{00000000-0005-0000-0000-0000D3430000}"/>
    <cellStyle name="Normal 147 2 4" xfId="17690" xr:uid="{00000000-0005-0000-0000-0000D4430000}"/>
    <cellStyle name="Normal 147 2 4 2" xfId="17691" xr:uid="{00000000-0005-0000-0000-0000D5430000}"/>
    <cellStyle name="Normal 147 2 4 3" xfId="17692" xr:uid="{00000000-0005-0000-0000-0000D6430000}"/>
    <cellStyle name="Normal 147 2 4 4" xfId="17693" xr:uid="{00000000-0005-0000-0000-0000D7430000}"/>
    <cellStyle name="Normal 147 2 5" xfId="17694" xr:uid="{00000000-0005-0000-0000-0000D8430000}"/>
    <cellStyle name="Normal 147 2 5 2" xfId="17695" xr:uid="{00000000-0005-0000-0000-0000D9430000}"/>
    <cellStyle name="Normal 147 2 5 3" xfId="17696" xr:uid="{00000000-0005-0000-0000-0000DA430000}"/>
    <cellStyle name="Normal 147 2 6" xfId="17697" xr:uid="{00000000-0005-0000-0000-0000DB430000}"/>
    <cellStyle name="Normal 147 2 7" xfId="17698" xr:uid="{00000000-0005-0000-0000-0000DC430000}"/>
    <cellStyle name="Normal 147 2 8" xfId="17699" xr:uid="{00000000-0005-0000-0000-0000DD430000}"/>
    <cellStyle name="Normal 147 2 9" xfId="17700" xr:uid="{00000000-0005-0000-0000-0000DE430000}"/>
    <cellStyle name="Normal 147 2_Order Book" xfId="17701" xr:uid="{00000000-0005-0000-0000-0000DF430000}"/>
    <cellStyle name="Normal 147 3" xfId="17702" xr:uid="{00000000-0005-0000-0000-0000E0430000}"/>
    <cellStyle name="Normal 147 3 2" xfId="17703" xr:uid="{00000000-0005-0000-0000-0000E1430000}"/>
    <cellStyle name="Normal 147 3 2 2" xfId="17704" xr:uid="{00000000-0005-0000-0000-0000E2430000}"/>
    <cellStyle name="Normal 147 3 2 2 2" xfId="17705" xr:uid="{00000000-0005-0000-0000-0000E3430000}"/>
    <cellStyle name="Normal 147 3 2 2 3" xfId="17706" xr:uid="{00000000-0005-0000-0000-0000E4430000}"/>
    <cellStyle name="Normal 147 3 2 3" xfId="17707" xr:uid="{00000000-0005-0000-0000-0000E5430000}"/>
    <cellStyle name="Normal 147 3 2 3 2" xfId="17708" xr:uid="{00000000-0005-0000-0000-0000E6430000}"/>
    <cellStyle name="Normal 147 3 2 3 3" xfId="17709" xr:uid="{00000000-0005-0000-0000-0000E7430000}"/>
    <cellStyle name="Normal 147 3 2 4" xfId="17710" xr:uid="{00000000-0005-0000-0000-0000E8430000}"/>
    <cellStyle name="Normal 147 3 2 5" xfId="17711" xr:uid="{00000000-0005-0000-0000-0000E9430000}"/>
    <cellStyle name="Normal 147 3 2 6" xfId="17712" xr:uid="{00000000-0005-0000-0000-0000EA430000}"/>
    <cellStyle name="Normal 147 3 2 7" xfId="17713" xr:uid="{00000000-0005-0000-0000-0000EB430000}"/>
    <cellStyle name="Normal 147 3 3" xfId="17714" xr:uid="{00000000-0005-0000-0000-0000EC430000}"/>
    <cellStyle name="Normal 147 3 3 2" xfId="17715" xr:uid="{00000000-0005-0000-0000-0000ED430000}"/>
    <cellStyle name="Normal 147 3 3 3" xfId="17716" xr:uid="{00000000-0005-0000-0000-0000EE430000}"/>
    <cellStyle name="Normal 147 3 3 4" xfId="17717" xr:uid="{00000000-0005-0000-0000-0000EF430000}"/>
    <cellStyle name="Normal 147 3 4" xfId="17718" xr:uid="{00000000-0005-0000-0000-0000F0430000}"/>
    <cellStyle name="Normal 147 3 4 2" xfId="17719" xr:uid="{00000000-0005-0000-0000-0000F1430000}"/>
    <cellStyle name="Normal 147 3 4 3" xfId="17720" xr:uid="{00000000-0005-0000-0000-0000F2430000}"/>
    <cellStyle name="Normal 147 3 5" xfId="17721" xr:uid="{00000000-0005-0000-0000-0000F3430000}"/>
    <cellStyle name="Normal 147 3 6" xfId="17722" xr:uid="{00000000-0005-0000-0000-0000F4430000}"/>
    <cellStyle name="Normal 147 3 7" xfId="17723" xr:uid="{00000000-0005-0000-0000-0000F5430000}"/>
    <cellStyle name="Normal 147 3 8" xfId="17724" xr:uid="{00000000-0005-0000-0000-0000F6430000}"/>
    <cellStyle name="Normal 147 3 9" xfId="17725" xr:uid="{00000000-0005-0000-0000-0000F7430000}"/>
    <cellStyle name="Normal 147 4" xfId="17726" xr:uid="{00000000-0005-0000-0000-0000F8430000}"/>
    <cellStyle name="Normal 147 4 2" xfId="17727" xr:uid="{00000000-0005-0000-0000-0000F9430000}"/>
    <cellStyle name="Normal 147 4 2 2" xfId="17728" xr:uid="{00000000-0005-0000-0000-0000FA430000}"/>
    <cellStyle name="Normal 147 4 2 3" xfId="17729" xr:uid="{00000000-0005-0000-0000-0000FB430000}"/>
    <cellStyle name="Normal 147 4 3" xfId="17730" xr:uid="{00000000-0005-0000-0000-0000FC430000}"/>
    <cellStyle name="Normal 147 4 3 2" xfId="17731" xr:uid="{00000000-0005-0000-0000-0000FD430000}"/>
    <cellStyle name="Normal 147 4 3 3" xfId="17732" xr:uid="{00000000-0005-0000-0000-0000FE430000}"/>
    <cellStyle name="Normal 147 4 4" xfId="17733" xr:uid="{00000000-0005-0000-0000-0000FF430000}"/>
    <cellStyle name="Normal 147 4 5" xfId="17734" xr:uid="{00000000-0005-0000-0000-000000440000}"/>
    <cellStyle name="Normal 147 4 6" xfId="17735" xr:uid="{00000000-0005-0000-0000-000001440000}"/>
    <cellStyle name="Normal 147 4 7" xfId="17736" xr:uid="{00000000-0005-0000-0000-000002440000}"/>
    <cellStyle name="Normal 147 5" xfId="17737" xr:uid="{00000000-0005-0000-0000-000003440000}"/>
    <cellStyle name="Normal 147 5 2" xfId="17738" xr:uid="{00000000-0005-0000-0000-000004440000}"/>
    <cellStyle name="Normal 147 5 3" xfId="17739" xr:uid="{00000000-0005-0000-0000-000005440000}"/>
    <cellStyle name="Normal 147 5 4" xfId="17740" xr:uid="{00000000-0005-0000-0000-000006440000}"/>
    <cellStyle name="Normal 147 6" xfId="17741" xr:uid="{00000000-0005-0000-0000-000007440000}"/>
    <cellStyle name="Normal 147 6 2" xfId="17742" xr:uid="{00000000-0005-0000-0000-000008440000}"/>
    <cellStyle name="Normal 147 6 3" xfId="17743" xr:uid="{00000000-0005-0000-0000-000009440000}"/>
    <cellStyle name="Normal 147 7" xfId="17744" xr:uid="{00000000-0005-0000-0000-00000A440000}"/>
    <cellStyle name="Normal 147 8" xfId="17745" xr:uid="{00000000-0005-0000-0000-00000B440000}"/>
    <cellStyle name="Normal 147 9" xfId="17746" xr:uid="{00000000-0005-0000-0000-00000C440000}"/>
    <cellStyle name="Normal 147_Order Book" xfId="17747" xr:uid="{00000000-0005-0000-0000-00000D440000}"/>
    <cellStyle name="Normal 148" xfId="2125" xr:uid="{00000000-0005-0000-0000-00000E440000}"/>
    <cellStyle name="Normal 148 10" xfId="17748" xr:uid="{00000000-0005-0000-0000-00000F440000}"/>
    <cellStyle name="Normal 148 11" xfId="17749" xr:uid="{00000000-0005-0000-0000-000010440000}"/>
    <cellStyle name="Normal 148 12" xfId="17750" xr:uid="{00000000-0005-0000-0000-000011440000}"/>
    <cellStyle name="Normal 148 2" xfId="17751" xr:uid="{00000000-0005-0000-0000-000012440000}"/>
    <cellStyle name="Normal 148 2 10" xfId="17752" xr:uid="{00000000-0005-0000-0000-000013440000}"/>
    <cellStyle name="Normal 148 2 2" xfId="17753" xr:uid="{00000000-0005-0000-0000-000014440000}"/>
    <cellStyle name="Normal 148 2 2 2" xfId="17754" xr:uid="{00000000-0005-0000-0000-000015440000}"/>
    <cellStyle name="Normal 148 2 2 2 2" xfId="17755" xr:uid="{00000000-0005-0000-0000-000016440000}"/>
    <cellStyle name="Normal 148 2 2 2 2 2" xfId="17756" xr:uid="{00000000-0005-0000-0000-000017440000}"/>
    <cellStyle name="Normal 148 2 2 2 2 3" xfId="17757" xr:uid="{00000000-0005-0000-0000-000018440000}"/>
    <cellStyle name="Normal 148 2 2 2 3" xfId="17758" xr:uid="{00000000-0005-0000-0000-000019440000}"/>
    <cellStyle name="Normal 148 2 2 2 3 2" xfId="17759" xr:uid="{00000000-0005-0000-0000-00001A440000}"/>
    <cellStyle name="Normal 148 2 2 2 3 3" xfId="17760" xr:uid="{00000000-0005-0000-0000-00001B440000}"/>
    <cellStyle name="Normal 148 2 2 2 4" xfId="17761" xr:uid="{00000000-0005-0000-0000-00001C440000}"/>
    <cellStyle name="Normal 148 2 2 2 5" xfId="17762" xr:uid="{00000000-0005-0000-0000-00001D440000}"/>
    <cellStyle name="Normal 148 2 2 2 6" xfId="17763" xr:uid="{00000000-0005-0000-0000-00001E440000}"/>
    <cellStyle name="Normal 148 2 2 2 7" xfId="17764" xr:uid="{00000000-0005-0000-0000-00001F440000}"/>
    <cellStyle name="Normal 148 2 2 3" xfId="17765" xr:uid="{00000000-0005-0000-0000-000020440000}"/>
    <cellStyle name="Normal 148 2 2 3 2" xfId="17766" xr:uid="{00000000-0005-0000-0000-000021440000}"/>
    <cellStyle name="Normal 148 2 2 3 3" xfId="17767" xr:uid="{00000000-0005-0000-0000-000022440000}"/>
    <cellStyle name="Normal 148 2 2 3 4" xfId="17768" xr:uid="{00000000-0005-0000-0000-000023440000}"/>
    <cellStyle name="Normal 148 2 2 4" xfId="17769" xr:uid="{00000000-0005-0000-0000-000024440000}"/>
    <cellStyle name="Normal 148 2 2 4 2" xfId="17770" xr:uid="{00000000-0005-0000-0000-000025440000}"/>
    <cellStyle name="Normal 148 2 2 4 3" xfId="17771" xr:uid="{00000000-0005-0000-0000-000026440000}"/>
    <cellStyle name="Normal 148 2 2 5" xfId="17772" xr:uid="{00000000-0005-0000-0000-000027440000}"/>
    <cellStyle name="Normal 148 2 2 6" xfId="17773" xr:uid="{00000000-0005-0000-0000-000028440000}"/>
    <cellStyle name="Normal 148 2 2 7" xfId="17774" xr:uid="{00000000-0005-0000-0000-000029440000}"/>
    <cellStyle name="Normal 148 2 2 8" xfId="17775" xr:uid="{00000000-0005-0000-0000-00002A440000}"/>
    <cellStyle name="Normal 148 2 2 9" xfId="17776" xr:uid="{00000000-0005-0000-0000-00002B440000}"/>
    <cellStyle name="Normal 148 2 3" xfId="17777" xr:uid="{00000000-0005-0000-0000-00002C440000}"/>
    <cellStyle name="Normal 148 2 3 2" xfId="17778" xr:uid="{00000000-0005-0000-0000-00002D440000}"/>
    <cellStyle name="Normal 148 2 3 2 2" xfId="17779" xr:uid="{00000000-0005-0000-0000-00002E440000}"/>
    <cellStyle name="Normal 148 2 3 2 3" xfId="17780" xr:uid="{00000000-0005-0000-0000-00002F440000}"/>
    <cellStyle name="Normal 148 2 3 3" xfId="17781" xr:uid="{00000000-0005-0000-0000-000030440000}"/>
    <cellStyle name="Normal 148 2 3 3 2" xfId="17782" xr:uid="{00000000-0005-0000-0000-000031440000}"/>
    <cellStyle name="Normal 148 2 3 3 3" xfId="17783" xr:uid="{00000000-0005-0000-0000-000032440000}"/>
    <cellStyle name="Normal 148 2 3 4" xfId="17784" xr:uid="{00000000-0005-0000-0000-000033440000}"/>
    <cellStyle name="Normal 148 2 3 5" xfId="17785" xr:uid="{00000000-0005-0000-0000-000034440000}"/>
    <cellStyle name="Normal 148 2 3 6" xfId="17786" xr:uid="{00000000-0005-0000-0000-000035440000}"/>
    <cellStyle name="Normal 148 2 3 7" xfId="17787" xr:uid="{00000000-0005-0000-0000-000036440000}"/>
    <cellStyle name="Normal 148 2 4" xfId="17788" xr:uid="{00000000-0005-0000-0000-000037440000}"/>
    <cellStyle name="Normal 148 2 4 2" xfId="17789" xr:uid="{00000000-0005-0000-0000-000038440000}"/>
    <cellStyle name="Normal 148 2 4 3" xfId="17790" xr:uid="{00000000-0005-0000-0000-000039440000}"/>
    <cellStyle name="Normal 148 2 4 4" xfId="17791" xr:uid="{00000000-0005-0000-0000-00003A440000}"/>
    <cellStyle name="Normal 148 2 5" xfId="17792" xr:uid="{00000000-0005-0000-0000-00003B440000}"/>
    <cellStyle name="Normal 148 2 5 2" xfId="17793" xr:uid="{00000000-0005-0000-0000-00003C440000}"/>
    <cellStyle name="Normal 148 2 5 3" xfId="17794" xr:uid="{00000000-0005-0000-0000-00003D440000}"/>
    <cellStyle name="Normal 148 2 6" xfId="17795" xr:uid="{00000000-0005-0000-0000-00003E440000}"/>
    <cellStyle name="Normal 148 2 7" xfId="17796" xr:uid="{00000000-0005-0000-0000-00003F440000}"/>
    <cellStyle name="Normal 148 2 8" xfId="17797" xr:uid="{00000000-0005-0000-0000-000040440000}"/>
    <cellStyle name="Normal 148 2 9" xfId="17798" xr:uid="{00000000-0005-0000-0000-000041440000}"/>
    <cellStyle name="Normal 148 2_Order Book" xfId="17799" xr:uid="{00000000-0005-0000-0000-000042440000}"/>
    <cellStyle name="Normal 148 3" xfId="17800" xr:uid="{00000000-0005-0000-0000-000043440000}"/>
    <cellStyle name="Normal 148 3 2" xfId="17801" xr:uid="{00000000-0005-0000-0000-000044440000}"/>
    <cellStyle name="Normal 148 3 2 2" xfId="17802" xr:uid="{00000000-0005-0000-0000-000045440000}"/>
    <cellStyle name="Normal 148 3 2 2 2" xfId="17803" xr:uid="{00000000-0005-0000-0000-000046440000}"/>
    <cellStyle name="Normal 148 3 2 2 3" xfId="17804" xr:uid="{00000000-0005-0000-0000-000047440000}"/>
    <cellStyle name="Normal 148 3 2 3" xfId="17805" xr:uid="{00000000-0005-0000-0000-000048440000}"/>
    <cellStyle name="Normal 148 3 2 3 2" xfId="17806" xr:uid="{00000000-0005-0000-0000-000049440000}"/>
    <cellStyle name="Normal 148 3 2 3 3" xfId="17807" xr:uid="{00000000-0005-0000-0000-00004A440000}"/>
    <cellStyle name="Normal 148 3 2 4" xfId="17808" xr:uid="{00000000-0005-0000-0000-00004B440000}"/>
    <cellStyle name="Normal 148 3 2 5" xfId="17809" xr:uid="{00000000-0005-0000-0000-00004C440000}"/>
    <cellStyle name="Normal 148 3 2 6" xfId="17810" xr:uid="{00000000-0005-0000-0000-00004D440000}"/>
    <cellStyle name="Normal 148 3 2 7" xfId="17811" xr:uid="{00000000-0005-0000-0000-00004E440000}"/>
    <cellStyle name="Normal 148 3 3" xfId="17812" xr:uid="{00000000-0005-0000-0000-00004F440000}"/>
    <cellStyle name="Normal 148 3 3 2" xfId="17813" xr:uid="{00000000-0005-0000-0000-000050440000}"/>
    <cellStyle name="Normal 148 3 3 3" xfId="17814" xr:uid="{00000000-0005-0000-0000-000051440000}"/>
    <cellStyle name="Normal 148 3 3 4" xfId="17815" xr:uid="{00000000-0005-0000-0000-000052440000}"/>
    <cellStyle name="Normal 148 3 4" xfId="17816" xr:uid="{00000000-0005-0000-0000-000053440000}"/>
    <cellStyle name="Normal 148 3 4 2" xfId="17817" xr:uid="{00000000-0005-0000-0000-000054440000}"/>
    <cellStyle name="Normal 148 3 4 3" xfId="17818" xr:uid="{00000000-0005-0000-0000-000055440000}"/>
    <cellStyle name="Normal 148 3 5" xfId="17819" xr:uid="{00000000-0005-0000-0000-000056440000}"/>
    <cellStyle name="Normal 148 3 6" xfId="17820" xr:uid="{00000000-0005-0000-0000-000057440000}"/>
    <cellStyle name="Normal 148 3 7" xfId="17821" xr:uid="{00000000-0005-0000-0000-000058440000}"/>
    <cellStyle name="Normal 148 3 8" xfId="17822" xr:uid="{00000000-0005-0000-0000-000059440000}"/>
    <cellStyle name="Normal 148 3 9" xfId="17823" xr:uid="{00000000-0005-0000-0000-00005A440000}"/>
    <cellStyle name="Normal 148 4" xfId="17824" xr:uid="{00000000-0005-0000-0000-00005B440000}"/>
    <cellStyle name="Normal 148 4 2" xfId="17825" xr:uid="{00000000-0005-0000-0000-00005C440000}"/>
    <cellStyle name="Normal 148 4 2 2" xfId="17826" xr:uid="{00000000-0005-0000-0000-00005D440000}"/>
    <cellStyle name="Normal 148 4 2 3" xfId="17827" xr:uid="{00000000-0005-0000-0000-00005E440000}"/>
    <cellStyle name="Normal 148 4 3" xfId="17828" xr:uid="{00000000-0005-0000-0000-00005F440000}"/>
    <cellStyle name="Normal 148 4 3 2" xfId="17829" xr:uid="{00000000-0005-0000-0000-000060440000}"/>
    <cellStyle name="Normal 148 4 3 3" xfId="17830" xr:uid="{00000000-0005-0000-0000-000061440000}"/>
    <cellStyle name="Normal 148 4 4" xfId="17831" xr:uid="{00000000-0005-0000-0000-000062440000}"/>
    <cellStyle name="Normal 148 4 5" xfId="17832" xr:uid="{00000000-0005-0000-0000-000063440000}"/>
    <cellStyle name="Normal 148 4 6" xfId="17833" xr:uid="{00000000-0005-0000-0000-000064440000}"/>
    <cellStyle name="Normal 148 4 7" xfId="17834" xr:uid="{00000000-0005-0000-0000-000065440000}"/>
    <cellStyle name="Normal 148 5" xfId="17835" xr:uid="{00000000-0005-0000-0000-000066440000}"/>
    <cellStyle name="Normal 148 5 2" xfId="17836" xr:uid="{00000000-0005-0000-0000-000067440000}"/>
    <cellStyle name="Normal 148 5 3" xfId="17837" xr:uid="{00000000-0005-0000-0000-000068440000}"/>
    <cellStyle name="Normal 148 5 4" xfId="17838" xr:uid="{00000000-0005-0000-0000-000069440000}"/>
    <cellStyle name="Normal 148 6" xfId="17839" xr:uid="{00000000-0005-0000-0000-00006A440000}"/>
    <cellStyle name="Normal 148 6 2" xfId="17840" xr:uid="{00000000-0005-0000-0000-00006B440000}"/>
    <cellStyle name="Normal 148 6 3" xfId="17841" xr:uid="{00000000-0005-0000-0000-00006C440000}"/>
    <cellStyle name="Normal 148 7" xfId="17842" xr:uid="{00000000-0005-0000-0000-00006D440000}"/>
    <cellStyle name="Normal 148 8" xfId="17843" xr:uid="{00000000-0005-0000-0000-00006E440000}"/>
    <cellStyle name="Normal 148 9" xfId="17844" xr:uid="{00000000-0005-0000-0000-00006F440000}"/>
    <cellStyle name="Normal 148_Order Book" xfId="17845" xr:uid="{00000000-0005-0000-0000-000070440000}"/>
    <cellStyle name="Normal 149" xfId="2126" xr:uid="{00000000-0005-0000-0000-000071440000}"/>
    <cellStyle name="Normal 149 10" xfId="17846" xr:uid="{00000000-0005-0000-0000-000072440000}"/>
    <cellStyle name="Normal 149 11" xfId="17847" xr:uid="{00000000-0005-0000-0000-000073440000}"/>
    <cellStyle name="Normal 149 12" xfId="17848" xr:uid="{00000000-0005-0000-0000-000074440000}"/>
    <cellStyle name="Normal 149 2" xfId="17849" xr:uid="{00000000-0005-0000-0000-000075440000}"/>
    <cellStyle name="Normal 149 2 10" xfId="17850" xr:uid="{00000000-0005-0000-0000-000076440000}"/>
    <cellStyle name="Normal 149 2 2" xfId="17851" xr:uid="{00000000-0005-0000-0000-000077440000}"/>
    <cellStyle name="Normal 149 2 2 2" xfId="17852" xr:uid="{00000000-0005-0000-0000-000078440000}"/>
    <cellStyle name="Normal 149 2 2 2 2" xfId="17853" xr:uid="{00000000-0005-0000-0000-000079440000}"/>
    <cellStyle name="Normal 149 2 2 2 2 2" xfId="17854" xr:uid="{00000000-0005-0000-0000-00007A440000}"/>
    <cellStyle name="Normal 149 2 2 2 2 3" xfId="17855" xr:uid="{00000000-0005-0000-0000-00007B440000}"/>
    <cellStyle name="Normal 149 2 2 2 3" xfId="17856" xr:uid="{00000000-0005-0000-0000-00007C440000}"/>
    <cellStyle name="Normal 149 2 2 2 3 2" xfId="17857" xr:uid="{00000000-0005-0000-0000-00007D440000}"/>
    <cellStyle name="Normal 149 2 2 2 3 3" xfId="17858" xr:uid="{00000000-0005-0000-0000-00007E440000}"/>
    <cellStyle name="Normal 149 2 2 2 4" xfId="17859" xr:uid="{00000000-0005-0000-0000-00007F440000}"/>
    <cellStyle name="Normal 149 2 2 2 5" xfId="17860" xr:uid="{00000000-0005-0000-0000-000080440000}"/>
    <cellStyle name="Normal 149 2 2 2 6" xfId="17861" xr:uid="{00000000-0005-0000-0000-000081440000}"/>
    <cellStyle name="Normal 149 2 2 2 7" xfId="17862" xr:uid="{00000000-0005-0000-0000-000082440000}"/>
    <cellStyle name="Normal 149 2 2 3" xfId="17863" xr:uid="{00000000-0005-0000-0000-000083440000}"/>
    <cellStyle name="Normal 149 2 2 3 2" xfId="17864" xr:uid="{00000000-0005-0000-0000-000084440000}"/>
    <cellStyle name="Normal 149 2 2 3 3" xfId="17865" xr:uid="{00000000-0005-0000-0000-000085440000}"/>
    <cellStyle name="Normal 149 2 2 3 4" xfId="17866" xr:uid="{00000000-0005-0000-0000-000086440000}"/>
    <cellStyle name="Normal 149 2 2 4" xfId="17867" xr:uid="{00000000-0005-0000-0000-000087440000}"/>
    <cellStyle name="Normal 149 2 2 4 2" xfId="17868" xr:uid="{00000000-0005-0000-0000-000088440000}"/>
    <cellStyle name="Normal 149 2 2 4 3" xfId="17869" xr:uid="{00000000-0005-0000-0000-000089440000}"/>
    <cellStyle name="Normal 149 2 2 5" xfId="17870" xr:uid="{00000000-0005-0000-0000-00008A440000}"/>
    <cellStyle name="Normal 149 2 2 6" xfId="17871" xr:uid="{00000000-0005-0000-0000-00008B440000}"/>
    <cellStyle name="Normal 149 2 2 7" xfId="17872" xr:uid="{00000000-0005-0000-0000-00008C440000}"/>
    <cellStyle name="Normal 149 2 2 8" xfId="17873" xr:uid="{00000000-0005-0000-0000-00008D440000}"/>
    <cellStyle name="Normal 149 2 2 9" xfId="17874" xr:uid="{00000000-0005-0000-0000-00008E440000}"/>
    <cellStyle name="Normal 149 2 3" xfId="17875" xr:uid="{00000000-0005-0000-0000-00008F440000}"/>
    <cellStyle name="Normal 149 2 3 2" xfId="17876" xr:uid="{00000000-0005-0000-0000-000090440000}"/>
    <cellStyle name="Normal 149 2 3 2 2" xfId="17877" xr:uid="{00000000-0005-0000-0000-000091440000}"/>
    <cellStyle name="Normal 149 2 3 2 3" xfId="17878" xr:uid="{00000000-0005-0000-0000-000092440000}"/>
    <cellStyle name="Normal 149 2 3 3" xfId="17879" xr:uid="{00000000-0005-0000-0000-000093440000}"/>
    <cellStyle name="Normal 149 2 3 3 2" xfId="17880" xr:uid="{00000000-0005-0000-0000-000094440000}"/>
    <cellStyle name="Normal 149 2 3 3 3" xfId="17881" xr:uid="{00000000-0005-0000-0000-000095440000}"/>
    <cellStyle name="Normal 149 2 3 4" xfId="17882" xr:uid="{00000000-0005-0000-0000-000096440000}"/>
    <cellStyle name="Normal 149 2 3 5" xfId="17883" xr:uid="{00000000-0005-0000-0000-000097440000}"/>
    <cellStyle name="Normal 149 2 3 6" xfId="17884" xr:uid="{00000000-0005-0000-0000-000098440000}"/>
    <cellStyle name="Normal 149 2 3 7" xfId="17885" xr:uid="{00000000-0005-0000-0000-000099440000}"/>
    <cellStyle name="Normal 149 2 4" xfId="17886" xr:uid="{00000000-0005-0000-0000-00009A440000}"/>
    <cellStyle name="Normal 149 2 4 2" xfId="17887" xr:uid="{00000000-0005-0000-0000-00009B440000}"/>
    <cellStyle name="Normal 149 2 4 3" xfId="17888" xr:uid="{00000000-0005-0000-0000-00009C440000}"/>
    <cellStyle name="Normal 149 2 4 4" xfId="17889" xr:uid="{00000000-0005-0000-0000-00009D440000}"/>
    <cellStyle name="Normal 149 2 5" xfId="17890" xr:uid="{00000000-0005-0000-0000-00009E440000}"/>
    <cellStyle name="Normal 149 2 5 2" xfId="17891" xr:uid="{00000000-0005-0000-0000-00009F440000}"/>
    <cellStyle name="Normal 149 2 5 3" xfId="17892" xr:uid="{00000000-0005-0000-0000-0000A0440000}"/>
    <cellStyle name="Normal 149 2 6" xfId="17893" xr:uid="{00000000-0005-0000-0000-0000A1440000}"/>
    <cellStyle name="Normal 149 2 7" xfId="17894" xr:uid="{00000000-0005-0000-0000-0000A2440000}"/>
    <cellStyle name="Normal 149 2 8" xfId="17895" xr:uid="{00000000-0005-0000-0000-0000A3440000}"/>
    <cellStyle name="Normal 149 2 9" xfId="17896" xr:uid="{00000000-0005-0000-0000-0000A4440000}"/>
    <cellStyle name="Normal 149 2_Order Book" xfId="17897" xr:uid="{00000000-0005-0000-0000-0000A5440000}"/>
    <cellStyle name="Normal 149 3" xfId="17898" xr:uid="{00000000-0005-0000-0000-0000A6440000}"/>
    <cellStyle name="Normal 149 3 2" xfId="17899" xr:uid="{00000000-0005-0000-0000-0000A7440000}"/>
    <cellStyle name="Normal 149 3 2 2" xfId="17900" xr:uid="{00000000-0005-0000-0000-0000A8440000}"/>
    <cellStyle name="Normal 149 3 2 2 2" xfId="17901" xr:uid="{00000000-0005-0000-0000-0000A9440000}"/>
    <cellStyle name="Normal 149 3 2 2 3" xfId="17902" xr:uid="{00000000-0005-0000-0000-0000AA440000}"/>
    <cellStyle name="Normal 149 3 2 3" xfId="17903" xr:uid="{00000000-0005-0000-0000-0000AB440000}"/>
    <cellStyle name="Normal 149 3 2 3 2" xfId="17904" xr:uid="{00000000-0005-0000-0000-0000AC440000}"/>
    <cellStyle name="Normal 149 3 2 3 3" xfId="17905" xr:uid="{00000000-0005-0000-0000-0000AD440000}"/>
    <cellStyle name="Normal 149 3 2 4" xfId="17906" xr:uid="{00000000-0005-0000-0000-0000AE440000}"/>
    <cellStyle name="Normal 149 3 2 5" xfId="17907" xr:uid="{00000000-0005-0000-0000-0000AF440000}"/>
    <cellStyle name="Normal 149 3 2 6" xfId="17908" xr:uid="{00000000-0005-0000-0000-0000B0440000}"/>
    <cellStyle name="Normal 149 3 2 7" xfId="17909" xr:uid="{00000000-0005-0000-0000-0000B1440000}"/>
    <cellStyle name="Normal 149 3 3" xfId="17910" xr:uid="{00000000-0005-0000-0000-0000B2440000}"/>
    <cellStyle name="Normal 149 3 3 2" xfId="17911" xr:uid="{00000000-0005-0000-0000-0000B3440000}"/>
    <cellStyle name="Normal 149 3 3 3" xfId="17912" xr:uid="{00000000-0005-0000-0000-0000B4440000}"/>
    <cellStyle name="Normal 149 3 3 4" xfId="17913" xr:uid="{00000000-0005-0000-0000-0000B5440000}"/>
    <cellStyle name="Normal 149 3 4" xfId="17914" xr:uid="{00000000-0005-0000-0000-0000B6440000}"/>
    <cellStyle name="Normal 149 3 4 2" xfId="17915" xr:uid="{00000000-0005-0000-0000-0000B7440000}"/>
    <cellStyle name="Normal 149 3 4 3" xfId="17916" xr:uid="{00000000-0005-0000-0000-0000B8440000}"/>
    <cellStyle name="Normal 149 3 5" xfId="17917" xr:uid="{00000000-0005-0000-0000-0000B9440000}"/>
    <cellStyle name="Normal 149 3 6" xfId="17918" xr:uid="{00000000-0005-0000-0000-0000BA440000}"/>
    <cellStyle name="Normal 149 3 7" xfId="17919" xr:uid="{00000000-0005-0000-0000-0000BB440000}"/>
    <cellStyle name="Normal 149 3 8" xfId="17920" xr:uid="{00000000-0005-0000-0000-0000BC440000}"/>
    <cellStyle name="Normal 149 3 9" xfId="17921" xr:uid="{00000000-0005-0000-0000-0000BD440000}"/>
    <cellStyle name="Normal 149 4" xfId="17922" xr:uid="{00000000-0005-0000-0000-0000BE440000}"/>
    <cellStyle name="Normal 149 4 2" xfId="17923" xr:uid="{00000000-0005-0000-0000-0000BF440000}"/>
    <cellStyle name="Normal 149 4 2 2" xfId="17924" xr:uid="{00000000-0005-0000-0000-0000C0440000}"/>
    <cellStyle name="Normal 149 4 2 3" xfId="17925" xr:uid="{00000000-0005-0000-0000-0000C1440000}"/>
    <cellStyle name="Normal 149 4 3" xfId="17926" xr:uid="{00000000-0005-0000-0000-0000C2440000}"/>
    <cellStyle name="Normal 149 4 3 2" xfId="17927" xr:uid="{00000000-0005-0000-0000-0000C3440000}"/>
    <cellStyle name="Normal 149 4 3 3" xfId="17928" xr:uid="{00000000-0005-0000-0000-0000C4440000}"/>
    <cellStyle name="Normal 149 4 4" xfId="17929" xr:uid="{00000000-0005-0000-0000-0000C5440000}"/>
    <cellStyle name="Normal 149 4 5" xfId="17930" xr:uid="{00000000-0005-0000-0000-0000C6440000}"/>
    <cellStyle name="Normal 149 4 6" xfId="17931" xr:uid="{00000000-0005-0000-0000-0000C7440000}"/>
    <cellStyle name="Normal 149 4 7" xfId="17932" xr:uid="{00000000-0005-0000-0000-0000C8440000}"/>
    <cellStyle name="Normal 149 5" xfId="17933" xr:uid="{00000000-0005-0000-0000-0000C9440000}"/>
    <cellStyle name="Normal 149 5 2" xfId="17934" xr:uid="{00000000-0005-0000-0000-0000CA440000}"/>
    <cellStyle name="Normal 149 5 3" xfId="17935" xr:uid="{00000000-0005-0000-0000-0000CB440000}"/>
    <cellStyle name="Normal 149 5 4" xfId="17936" xr:uid="{00000000-0005-0000-0000-0000CC440000}"/>
    <cellStyle name="Normal 149 6" xfId="17937" xr:uid="{00000000-0005-0000-0000-0000CD440000}"/>
    <cellStyle name="Normal 149 6 2" xfId="17938" xr:uid="{00000000-0005-0000-0000-0000CE440000}"/>
    <cellStyle name="Normal 149 6 3" xfId="17939" xr:uid="{00000000-0005-0000-0000-0000CF440000}"/>
    <cellStyle name="Normal 149 7" xfId="17940" xr:uid="{00000000-0005-0000-0000-0000D0440000}"/>
    <cellStyle name="Normal 149 8" xfId="17941" xr:uid="{00000000-0005-0000-0000-0000D1440000}"/>
    <cellStyle name="Normal 149 9" xfId="17942" xr:uid="{00000000-0005-0000-0000-0000D2440000}"/>
    <cellStyle name="Normal 149_Order Book" xfId="17943" xr:uid="{00000000-0005-0000-0000-0000D3440000}"/>
    <cellStyle name="Normal 15" xfId="2127" xr:uid="{00000000-0005-0000-0000-0000D4440000}"/>
    <cellStyle name="Normal 15 10" xfId="17944" xr:uid="{00000000-0005-0000-0000-0000D5440000}"/>
    <cellStyle name="Normal 15 11" xfId="17945" xr:uid="{00000000-0005-0000-0000-0000D6440000}"/>
    <cellStyle name="Normal 15 2" xfId="2128" xr:uid="{00000000-0005-0000-0000-0000D7440000}"/>
    <cellStyle name="Normal 15 2 2" xfId="17946" xr:uid="{00000000-0005-0000-0000-0000D8440000}"/>
    <cellStyle name="Normal 15 2 2 2" xfId="17947" xr:uid="{00000000-0005-0000-0000-0000D9440000}"/>
    <cellStyle name="Normal 15 2 3" xfId="17948" xr:uid="{00000000-0005-0000-0000-0000DA440000}"/>
    <cellStyle name="Normal 15 2 4" xfId="17949" xr:uid="{00000000-0005-0000-0000-0000DB440000}"/>
    <cellStyle name="Normal 15 3" xfId="2129" xr:uid="{00000000-0005-0000-0000-0000DC440000}"/>
    <cellStyle name="Normal 15 4" xfId="17950" xr:uid="{00000000-0005-0000-0000-0000DD440000}"/>
    <cellStyle name="Normal 15 4 2" xfId="17951" xr:uid="{00000000-0005-0000-0000-0000DE440000}"/>
    <cellStyle name="Normal 15 5" xfId="17952" xr:uid="{00000000-0005-0000-0000-0000DF440000}"/>
    <cellStyle name="Normal 15 6" xfId="17953" xr:uid="{00000000-0005-0000-0000-0000E0440000}"/>
    <cellStyle name="Normal 15 6 2" xfId="17954" xr:uid="{00000000-0005-0000-0000-0000E1440000}"/>
    <cellStyle name="Normal 15 7" xfId="17955" xr:uid="{00000000-0005-0000-0000-0000E2440000}"/>
    <cellStyle name="Normal 15 7 2" xfId="17956" xr:uid="{00000000-0005-0000-0000-0000E3440000}"/>
    <cellStyle name="Normal 15 8" xfId="17957" xr:uid="{00000000-0005-0000-0000-0000E4440000}"/>
    <cellStyle name="Normal 15 8 2" xfId="17958" xr:uid="{00000000-0005-0000-0000-0000E5440000}"/>
    <cellStyle name="Normal 15 9" xfId="17959" xr:uid="{00000000-0005-0000-0000-0000E6440000}"/>
    <cellStyle name="Normal 150" xfId="2130" xr:uid="{00000000-0005-0000-0000-0000E7440000}"/>
    <cellStyle name="Normal 150 10" xfId="17960" xr:uid="{00000000-0005-0000-0000-0000E8440000}"/>
    <cellStyle name="Normal 150 11" xfId="17961" xr:uid="{00000000-0005-0000-0000-0000E9440000}"/>
    <cellStyle name="Normal 150 12" xfId="17962" xr:uid="{00000000-0005-0000-0000-0000EA440000}"/>
    <cellStyle name="Normal 150 2" xfId="17963" xr:uid="{00000000-0005-0000-0000-0000EB440000}"/>
    <cellStyle name="Normal 150 2 10" xfId="17964" xr:uid="{00000000-0005-0000-0000-0000EC440000}"/>
    <cellStyle name="Normal 150 2 2" xfId="17965" xr:uid="{00000000-0005-0000-0000-0000ED440000}"/>
    <cellStyle name="Normal 150 2 2 2" xfId="17966" xr:uid="{00000000-0005-0000-0000-0000EE440000}"/>
    <cellStyle name="Normal 150 2 2 2 2" xfId="17967" xr:uid="{00000000-0005-0000-0000-0000EF440000}"/>
    <cellStyle name="Normal 150 2 2 2 2 2" xfId="17968" xr:uid="{00000000-0005-0000-0000-0000F0440000}"/>
    <cellStyle name="Normal 150 2 2 2 2 3" xfId="17969" xr:uid="{00000000-0005-0000-0000-0000F1440000}"/>
    <cellStyle name="Normal 150 2 2 2 3" xfId="17970" xr:uid="{00000000-0005-0000-0000-0000F2440000}"/>
    <cellStyle name="Normal 150 2 2 2 3 2" xfId="17971" xr:uid="{00000000-0005-0000-0000-0000F3440000}"/>
    <cellStyle name="Normal 150 2 2 2 3 3" xfId="17972" xr:uid="{00000000-0005-0000-0000-0000F4440000}"/>
    <cellStyle name="Normal 150 2 2 2 4" xfId="17973" xr:uid="{00000000-0005-0000-0000-0000F5440000}"/>
    <cellStyle name="Normal 150 2 2 2 5" xfId="17974" xr:uid="{00000000-0005-0000-0000-0000F6440000}"/>
    <cellStyle name="Normal 150 2 2 2 6" xfId="17975" xr:uid="{00000000-0005-0000-0000-0000F7440000}"/>
    <cellStyle name="Normal 150 2 2 3" xfId="17976" xr:uid="{00000000-0005-0000-0000-0000F8440000}"/>
    <cellStyle name="Normal 150 2 2 3 2" xfId="17977" xr:uid="{00000000-0005-0000-0000-0000F9440000}"/>
    <cellStyle name="Normal 150 2 2 3 3" xfId="17978" xr:uid="{00000000-0005-0000-0000-0000FA440000}"/>
    <cellStyle name="Normal 150 2 2 4" xfId="17979" xr:uid="{00000000-0005-0000-0000-0000FB440000}"/>
    <cellStyle name="Normal 150 2 2 4 2" xfId="17980" xr:uid="{00000000-0005-0000-0000-0000FC440000}"/>
    <cellStyle name="Normal 150 2 2 4 3" xfId="17981" xr:uid="{00000000-0005-0000-0000-0000FD440000}"/>
    <cellStyle name="Normal 150 2 2 5" xfId="17982" xr:uid="{00000000-0005-0000-0000-0000FE440000}"/>
    <cellStyle name="Normal 150 2 2 6" xfId="17983" xr:uid="{00000000-0005-0000-0000-0000FF440000}"/>
    <cellStyle name="Normal 150 2 2 7" xfId="17984" xr:uid="{00000000-0005-0000-0000-000000450000}"/>
    <cellStyle name="Normal 150 2 2 8" xfId="17985" xr:uid="{00000000-0005-0000-0000-000001450000}"/>
    <cellStyle name="Normal 150 2 2 9" xfId="17986" xr:uid="{00000000-0005-0000-0000-000002450000}"/>
    <cellStyle name="Normal 150 2 3" xfId="17987" xr:uid="{00000000-0005-0000-0000-000003450000}"/>
    <cellStyle name="Normal 150 2 3 2" xfId="17988" xr:uid="{00000000-0005-0000-0000-000004450000}"/>
    <cellStyle name="Normal 150 2 3 2 2" xfId="17989" xr:uid="{00000000-0005-0000-0000-000005450000}"/>
    <cellStyle name="Normal 150 2 3 2 3" xfId="17990" xr:uid="{00000000-0005-0000-0000-000006450000}"/>
    <cellStyle name="Normal 150 2 3 3" xfId="17991" xr:uid="{00000000-0005-0000-0000-000007450000}"/>
    <cellStyle name="Normal 150 2 3 3 2" xfId="17992" xr:uid="{00000000-0005-0000-0000-000008450000}"/>
    <cellStyle name="Normal 150 2 3 3 3" xfId="17993" xr:uid="{00000000-0005-0000-0000-000009450000}"/>
    <cellStyle name="Normal 150 2 3 4" xfId="17994" xr:uid="{00000000-0005-0000-0000-00000A450000}"/>
    <cellStyle name="Normal 150 2 3 5" xfId="17995" xr:uid="{00000000-0005-0000-0000-00000B450000}"/>
    <cellStyle name="Normal 150 2 3 6" xfId="17996" xr:uid="{00000000-0005-0000-0000-00000C450000}"/>
    <cellStyle name="Normal 150 2 4" xfId="17997" xr:uid="{00000000-0005-0000-0000-00000D450000}"/>
    <cellStyle name="Normal 150 2 4 2" xfId="17998" xr:uid="{00000000-0005-0000-0000-00000E450000}"/>
    <cellStyle name="Normal 150 2 4 3" xfId="17999" xr:uid="{00000000-0005-0000-0000-00000F450000}"/>
    <cellStyle name="Normal 150 2 5" xfId="18000" xr:uid="{00000000-0005-0000-0000-000010450000}"/>
    <cellStyle name="Normal 150 2 5 2" xfId="18001" xr:uid="{00000000-0005-0000-0000-000011450000}"/>
    <cellStyle name="Normal 150 2 5 3" xfId="18002" xr:uid="{00000000-0005-0000-0000-000012450000}"/>
    <cellStyle name="Normal 150 2 6" xfId="18003" xr:uid="{00000000-0005-0000-0000-000013450000}"/>
    <cellStyle name="Normal 150 2 7" xfId="18004" xr:uid="{00000000-0005-0000-0000-000014450000}"/>
    <cellStyle name="Normal 150 2 8" xfId="18005" xr:uid="{00000000-0005-0000-0000-000015450000}"/>
    <cellStyle name="Normal 150 2 9" xfId="18006" xr:uid="{00000000-0005-0000-0000-000016450000}"/>
    <cellStyle name="Normal 150 3" xfId="18007" xr:uid="{00000000-0005-0000-0000-000017450000}"/>
    <cellStyle name="Normal 150 3 2" xfId="18008" xr:uid="{00000000-0005-0000-0000-000018450000}"/>
    <cellStyle name="Normal 150 3 2 2" xfId="18009" xr:uid="{00000000-0005-0000-0000-000019450000}"/>
    <cellStyle name="Normal 150 3 2 2 2" xfId="18010" xr:uid="{00000000-0005-0000-0000-00001A450000}"/>
    <cellStyle name="Normal 150 3 2 2 3" xfId="18011" xr:uid="{00000000-0005-0000-0000-00001B450000}"/>
    <cellStyle name="Normal 150 3 2 3" xfId="18012" xr:uid="{00000000-0005-0000-0000-00001C450000}"/>
    <cellStyle name="Normal 150 3 2 3 2" xfId="18013" xr:uid="{00000000-0005-0000-0000-00001D450000}"/>
    <cellStyle name="Normal 150 3 2 3 3" xfId="18014" xr:uid="{00000000-0005-0000-0000-00001E450000}"/>
    <cellStyle name="Normal 150 3 2 4" xfId="18015" xr:uid="{00000000-0005-0000-0000-00001F450000}"/>
    <cellStyle name="Normal 150 3 2 5" xfId="18016" xr:uid="{00000000-0005-0000-0000-000020450000}"/>
    <cellStyle name="Normal 150 3 2 6" xfId="18017" xr:uid="{00000000-0005-0000-0000-000021450000}"/>
    <cellStyle name="Normal 150 3 3" xfId="18018" xr:uid="{00000000-0005-0000-0000-000022450000}"/>
    <cellStyle name="Normal 150 3 3 2" xfId="18019" xr:uid="{00000000-0005-0000-0000-000023450000}"/>
    <cellStyle name="Normal 150 3 3 3" xfId="18020" xr:uid="{00000000-0005-0000-0000-000024450000}"/>
    <cellStyle name="Normal 150 3 4" xfId="18021" xr:uid="{00000000-0005-0000-0000-000025450000}"/>
    <cellStyle name="Normal 150 3 4 2" xfId="18022" xr:uid="{00000000-0005-0000-0000-000026450000}"/>
    <cellStyle name="Normal 150 3 4 3" xfId="18023" xr:uid="{00000000-0005-0000-0000-000027450000}"/>
    <cellStyle name="Normal 150 3 5" xfId="18024" xr:uid="{00000000-0005-0000-0000-000028450000}"/>
    <cellStyle name="Normal 150 3 6" xfId="18025" xr:uid="{00000000-0005-0000-0000-000029450000}"/>
    <cellStyle name="Normal 150 3 7" xfId="18026" xr:uid="{00000000-0005-0000-0000-00002A450000}"/>
    <cellStyle name="Normal 150 3 8" xfId="18027" xr:uid="{00000000-0005-0000-0000-00002B450000}"/>
    <cellStyle name="Normal 150 3 9" xfId="18028" xr:uid="{00000000-0005-0000-0000-00002C450000}"/>
    <cellStyle name="Normal 150 4" xfId="18029" xr:uid="{00000000-0005-0000-0000-00002D450000}"/>
    <cellStyle name="Normal 150 4 2" xfId="18030" xr:uid="{00000000-0005-0000-0000-00002E450000}"/>
    <cellStyle name="Normal 150 4 2 2" xfId="18031" xr:uid="{00000000-0005-0000-0000-00002F450000}"/>
    <cellStyle name="Normal 150 4 2 3" xfId="18032" xr:uid="{00000000-0005-0000-0000-000030450000}"/>
    <cellStyle name="Normal 150 4 3" xfId="18033" xr:uid="{00000000-0005-0000-0000-000031450000}"/>
    <cellStyle name="Normal 150 4 3 2" xfId="18034" xr:uid="{00000000-0005-0000-0000-000032450000}"/>
    <cellStyle name="Normal 150 4 3 3" xfId="18035" xr:uid="{00000000-0005-0000-0000-000033450000}"/>
    <cellStyle name="Normal 150 4 4" xfId="18036" xr:uid="{00000000-0005-0000-0000-000034450000}"/>
    <cellStyle name="Normal 150 4 5" xfId="18037" xr:uid="{00000000-0005-0000-0000-000035450000}"/>
    <cellStyle name="Normal 150 4 6" xfId="18038" xr:uid="{00000000-0005-0000-0000-000036450000}"/>
    <cellStyle name="Normal 150 5" xfId="18039" xr:uid="{00000000-0005-0000-0000-000037450000}"/>
    <cellStyle name="Normal 150 5 2" xfId="18040" xr:uid="{00000000-0005-0000-0000-000038450000}"/>
    <cellStyle name="Normal 150 5 3" xfId="18041" xr:uid="{00000000-0005-0000-0000-000039450000}"/>
    <cellStyle name="Normal 150 6" xfId="18042" xr:uid="{00000000-0005-0000-0000-00003A450000}"/>
    <cellStyle name="Normal 150 6 2" xfId="18043" xr:uid="{00000000-0005-0000-0000-00003B450000}"/>
    <cellStyle name="Normal 150 6 3" xfId="18044" xr:uid="{00000000-0005-0000-0000-00003C450000}"/>
    <cellStyle name="Normal 150 7" xfId="18045" xr:uid="{00000000-0005-0000-0000-00003D450000}"/>
    <cellStyle name="Normal 150 8" xfId="18046" xr:uid="{00000000-0005-0000-0000-00003E450000}"/>
    <cellStyle name="Normal 150 9" xfId="18047" xr:uid="{00000000-0005-0000-0000-00003F450000}"/>
    <cellStyle name="Normal 150_Order Book" xfId="18048" xr:uid="{00000000-0005-0000-0000-000040450000}"/>
    <cellStyle name="Normal 151" xfId="2131" xr:uid="{00000000-0005-0000-0000-000041450000}"/>
    <cellStyle name="Normal 151 10" xfId="18049" xr:uid="{00000000-0005-0000-0000-000042450000}"/>
    <cellStyle name="Normal 151 11" xfId="18050" xr:uid="{00000000-0005-0000-0000-000043450000}"/>
    <cellStyle name="Normal 151 12" xfId="18051" xr:uid="{00000000-0005-0000-0000-000044450000}"/>
    <cellStyle name="Normal 151 2" xfId="18052" xr:uid="{00000000-0005-0000-0000-000045450000}"/>
    <cellStyle name="Normal 151 2 10" xfId="18053" xr:uid="{00000000-0005-0000-0000-000046450000}"/>
    <cellStyle name="Normal 151 2 2" xfId="18054" xr:uid="{00000000-0005-0000-0000-000047450000}"/>
    <cellStyle name="Normal 151 2 2 2" xfId="18055" xr:uid="{00000000-0005-0000-0000-000048450000}"/>
    <cellStyle name="Normal 151 2 2 2 2" xfId="18056" xr:uid="{00000000-0005-0000-0000-000049450000}"/>
    <cellStyle name="Normal 151 2 2 2 2 2" xfId="18057" xr:uid="{00000000-0005-0000-0000-00004A450000}"/>
    <cellStyle name="Normal 151 2 2 2 2 3" xfId="18058" xr:uid="{00000000-0005-0000-0000-00004B450000}"/>
    <cellStyle name="Normal 151 2 2 2 3" xfId="18059" xr:uid="{00000000-0005-0000-0000-00004C450000}"/>
    <cellStyle name="Normal 151 2 2 2 3 2" xfId="18060" xr:uid="{00000000-0005-0000-0000-00004D450000}"/>
    <cellStyle name="Normal 151 2 2 2 3 3" xfId="18061" xr:uid="{00000000-0005-0000-0000-00004E450000}"/>
    <cellStyle name="Normal 151 2 2 2 4" xfId="18062" xr:uid="{00000000-0005-0000-0000-00004F450000}"/>
    <cellStyle name="Normal 151 2 2 2 5" xfId="18063" xr:uid="{00000000-0005-0000-0000-000050450000}"/>
    <cellStyle name="Normal 151 2 2 2 6" xfId="18064" xr:uid="{00000000-0005-0000-0000-000051450000}"/>
    <cellStyle name="Normal 151 2 2 3" xfId="18065" xr:uid="{00000000-0005-0000-0000-000052450000}"/>
    <cellStyle name="Normal 151 2 2 3 2" xfId="18066" xr:uid="{00000000-0005-0000-0000-000053450000}"/>
    <cellStyle name="Normal 151 2 2 3 3" xfId="18067" xr:uid="{00000000-0005-0000-0000-000054450000}"/>
    <cellStyle name="Normal 151 2 2 4" xfId="18068" xr:uid="{00000000-0005-0000-0000-000055450000}"/>
    <cellStyle name="Normal 151 2 2 4 2" xfId="18069" xr:uid="{00000000-0005-0000-0000-000056450000}"/>
    <cellStyle name="Normal 151 2 2 4 3" xfId="18070" xr:uid="{00000000-0005-0000-0000-000057450000}"/>
    <cellStyle name="Normal 151 2 2 5" xfId="18071" xr:uid="{00000000-0005-0000-0000-000058450000}"/>
    <cellStyle name="Normal 151 2 2 6" xfId="18072" xr:uid="{00000000-0005-0000-0000-000059450000}"/>
    <cellStyle name="Normal 151 2 2 7" xfId="18073" xr:uid="{00000000-0005-0000-0000-00005A450000}"/>
    <cellStyle name="Normal 151 2 2 8" xfId="18074" xr:uid="{00000000-0005-0000-0000-00005B450000}"/>
    <cellStyle name="Normal 151 2 2 9" xfId="18075" xr:uid="{00000000-0005-0000-0000-00005C450000}"/>
    <cellStyle name="Normal 151 2 3" xfId="18076" xr:uid="{00000000-0005-0000-0000-00005D450000}"/>
    <cellStyle name="Normal 151 2 3 2" xfId="18077" xr:uid="{00000000-0005-0000-0000-00005E450000}"/>
    <cellStyle name="Normal 151 2 3 2 2" xfId="18078" xr:uid="{00000000-0005-0000-0000-00005F450000}"/>
    <cellStyle name="Normal 151 2 3 2 3" xfId="18079" xr:uid="{00000000-0005-0000-0000-000060450000}"/>
    <cellStyle name="Normal 151 2 3 3" xfId="18080" xr:uid="{00000000-0005-0000-0000-000061450000}"/>
    <cellStyle name="Normal 151 2 3 3 2" xfId="18081" xr:uid="{00000000-0005-0000-0000-000062450000}"/>
    <cellStyle name="Normal 151 2 3 3 3" xfId="18082" xr:uid="{00000000-0005-0000-0000-000063450000}"/>
    <cellStyle name="Normal 151 2 3 4" xfId="18083" xr:uid="{00000000-0005-0000-0000-000064450000}"/>
    <cellStyle name="Normal 151 2 3 5" xfId="18084" xr:uid="{00000000-0005-0000-0000-000065450000}"/>
    <cellStyle name="Normal 151 2 3 6" xfId="18085" xr:uid="{00000000-0005-0000-0000-000066450000}"/>
    <cellStyle name="Normal 151 2 3 7" xfId="18086" xr:uid="{00000000-0005-0000-0000-000067450000}"/>
    <cellStyle name="Normal 151 2 4" xfId="18087" xr:uid="{00000000-0005-0000-0000-000068450000}"/>
    <cellStyle name="Normal 151 2 4 2" xfId="18088" xr:uid="{00000000-0005-0000-0000-000069450000}"/>
    <cellStyle name="Normal 151 2 4 3" xfId="18089" xr:uid="{00000000-0005-0000-0000-00006A450000}"/>
    <cellStyle name="Normal 151 2 5" xfId="18090" xr:uid="{00000000-0005-0000-0000-00006B450000}"/>
    <cellStyle name="Normal 151 2 5 2" xfId="18091" xr:uid="{00000000-0005-0000-0000-00006C450000}"/>
    <cellStyle name="Normal 151 2 5 3" xfId="18092" xr:uid="{00000000-0005-0000-0000-00006D450000}"/>
    <cellStyle name="Normal 151 2 6" xfId="18093" xr:uid="{00000000-0005-0000-0000-00006E450000}"/>
    <cellStyle name="Normal 151 2 7" xfId="18094" xr:uid="{00000000-0005-0000-0000-00006F450000}"/>
    <cellStyle name="Normal 151 2 8" xfId="18095" xr:uid="{00000000-0005-0000-0000-000070450000}"/>
    <cellStyle name="Normal 151 2 9" xfId="18096" xr:uid="{00000000-0005-0000-0000-000071450000}"/>
    <cellStyle name="Normal 151 3" xfId="18097" xr:uid="{00000000-0005-0000-0000-000072450000}"/>
    <cellStyle name="Normal 151 3 2" xfId="18098" xr:uid="{00000000-0005-0000-0000-000073450000}"/>
    <cellStyle name="Normal 151 3 2 2" xfId="18099" xr:uid="{00000000-0005-0000-0000-000074450000}"/>
    <cellStyle name="Normal 151 3 2 2 2" xfId="18100" xr:uid="{00000000-0005-0000-0000-000075450000}"/>
    <cellStyle name="Normal 151 3 2 2 3" xfId="18101" xr:uid="{00000000-0005-0000-0000-000076450000}"/>
    <cellStyle name="Normal 151 3 2 3" xfId="18102" xr:uid="{00000000-0005-0000-0000-000077450000}"/>
    <cellStyle name="Normal 151 3 2 3 2" xfId="18103" xr:uid="{00000000-0005-0000-0000-000078450000}"/>
    <cellStyle name="Normal 151 3 2 3 3" xfId="18104" xr:uid="{00000000-0005-0000-0000-000079450000}"/>
    <cellStyle name="Normal 151 3 2 4" xfId="18105" xr:uid="{00000000-0005-0000-0000-00007A450000}"/>
    <cellStyle name="Normal 151 3 2 5" xfId="18106" xr:uid="{00000000-0005-0000-0000-00007B450000}"/>
    <cellStyle name="Normal 151 3 2 6" xfId="18107" xr:uid="{00000000-0005-0000-0000-00007C450000}"/>
    <cellStyle name="Normal 151 3 3" xfId="18108" xr:uid="{00000000-0005-0000-0000-00007D450000}"/>
    <cellStyle name="Normal 151 3 3 2" xfId="18109" xr:uid="{00000000-0005-0000-0000-00007E450000}"/>
    <cellStyle name="Normal 151 3 3 3" xfId="18110" xr:uid="{00000000-0005-0000-0000-00007F450000}"/>
    <cellStyle name="Normal 151 3 4" xfId="18111" xr:uid="{00000000-0005-0000-0000-000080450000}"/>
    <cellStyle name="Normal 151 3 4 2" xfId="18112" xr:uid="{00000000-0005-0000-0000-000081450000}"/>
    <cellStyle name="Normal 151 3 4 3" xfId="18113" xr:uid="{00000000-0005-0000-0000-000082450000}"/>
    <cellStyle name="Normal 151 3 5" xfId="18114" xr:uid="{00000000-0005-0000-0000-000083450000}"/>
    <cellStyle name="Normal 151 3 6" xfId="18115" xr:uid="{00000000-0005-0000-0000-000084450000}"/>
    <cellStyle name="Normal 151 3 7" xfId="18116" xr:uid="{00000000-0005-0000-0000-000085450000}"/>
    <cellStyle name="Normal 151 3 8" xfId="18117" xr:uid="{00000000-0005-0000-0000-000086450000}"/>
    <cellStyle name="Normal 151 3 9" xfId="18118" xr:uid="{00000000-0005-0000-0000-000087450000}"/>
    <cellStyle name="Normal 151 4" xfId="18119" xr:uid="{00000000-0005-0000-0000-000088450000}"/>
    <cellStyle name="Normal 151 4 2" xfId="18120" xr:uid="{00000000-0005-0000-0000-000089450000}"/>
    <cellStyle name="Normal 151 4 2 2" xfId="18121" xr:uid="{00000000-0005-0000-0000-00008A450000}"/>
    <cellStyle name="Normal 151 4 2 3" xfId="18122" xr:uid="{00000000-0005-0000-0000-00008B450000}"/>
    <cellStyle name="Normal 151 4 3" xfId="18123" xr:uid="{00000000-0005-0000-0000-00008C450000}"/>
    <cellStyle name="Normal 151 4 3 2" xfId="18124" xr:uid="{00000000-0005-0000-0000-00008D450000}"/>
    <cellStyle name="Normal 151 4 3 3" xfId="18125" xr:uid="{00000000-0005-0000-0000-00008E450000}"/>
    <cellStyle name="Normal 151 4 4" xfId="18126" xr:uid="{00000000-0005-0000-0000-00008F450000}"/>
    <cellStyle name="Normal 151 4 5" xfId="18127" xr:uid="{00000000-0005-0000-0000-000090450000}"/>
    <cellStyle name="Normal 151 4 6" xfId="18128" xr:uid="{00000000-0005-0000-0000-000091450000}"/>
    <cellStyle name="Normal 151 4 7" xfId="18129" xr:uid="{00000000-0005-0000-0000-000092450000}"/>
    <cellStyle name="Normal 151 5" xfId="18130" xr:uid="{00000000-0005-0000-0000-000093450000}"/>
    <cellStyle name="Normal 151 5 2" xfId="18131" xr:uid="{00000000-0005-0000-0000-000094450000}"/>
    <cellStyle name="Normal 151 5 3" xfId="18132" xr:uid="{00000000-0005-0000-0000-000095450000}"/>
    <cellStyle name="Normal 151 6" xfId="18133" xr:uid="{00000000-0005-0000-0000-000096450000}"/>
    <cellStyle name="Normal 151 6 2" xfId="18134" xr:uid="{00000000-0005-0000-0000-000097450000}"/>
    <cellStyle name="Normal 151 6 3" xfId="18135" xr:uid="{00000000-0005-0000-0000-000098450000}"/>
    <cellStyle name="Normal 151 7" xfId="18136" xr:uid="{00000000-0005-0000-0000-000099450000}"/>
    <cellStyle name="Normal 151 8" xfId="18137" xr:uid="{00000000-0005-0000-0000-00009A450000}"/>
    <cellStyle name="Normal 151 9" xfId="18138" xr:uid="{00000000-0005-0000-0000-00009B450000}"/>
    <cellStyle name="Normal 151_Order Book" xfId="18139" xr:uid="{00000000-0005-0000-0000-00009C450000}"/>
    <cellStyle name="Normal 152" xfId="2132" xr:uid="{00000000-0005-0000-0000-00009D450000}"/>
    <cellStyle name="Normal 152 10" xfId="18140" xr:uid="{00000000-0005-0000-0000-00009E450000}"/>
    <cellStyle name="Normal 152 11" xfId="18141" xr:uid="{00000000-0005-0000-0000-00009F450000}"/>
    <cellStyle name="Normal 152 12" xfId="18142" xr:uid="{00000000-0005-0000-0000-0000A0450000}"/>
    <cellStyle name="Normal 152 2" xfId="18143" xr:uid="{00000000-0005-0000-0000-0000A1450000}"/>
    <cellStyle name="Normal 152 2 2" xfId="18144" xr:uid="{00000000-0005-0000-0000-0000A2450000}"/>
    <cellStyle name="Normal 152 2 2 2" xfId="18145" xr:uid="{00000000-0005-0000-0000-0000A3450000}"/>
    <cellStyle name="Normal 152 2 2 2 2" xfId="18146" xr:uid="{00000000-0005-0000-0000-0000A4450000}"/>
    <cellStyle name="Normal 152 2 2 2 2 2" xfId="18147" xr:uid="{00000000-0005-0000-0000-0000A5450000}"/>
    <cellStyle name="Normal 152 2 2 2 2 3" xfId="18148" xr:uid="{00000000-0005-0000-0000-0000A6450000}"/>
    <cellStyle name="Normal 152 2 2 2 3" xfId="18149" xr:uid="{00000000-0005-0000-0000-0000A7450000}"/>
    <cellStyle name="Normal 152 2 2 2 3 2" xfId="18150" xr:uid="{00000000-0005-0000-0000-0000A8450000}"/>
    <cellStyle name="Normal 152 2 2 2 3 3" xfId="18151" xr:uid="{00000000-0005-0000-0000-0000A9450000}"/>
    <cellStyle name="Normal 152 2 2 2 4" xfId="18152" xr:uid="{00000000-0005-0000-0000-0000AA450000}"/>
    <cellStyle name="Normal 152 2 2 2 5" xfId="18153" xr:uid="{00000000-0005-0000-0000-0000AB450000}"/>
    <cellStyle name="Normal 152 2 2 2 6" xfId="18154" xr:uid="{00000000-0005-0000-0000-0000AC450000}"/>
    <cellStyle name="Normal 152 2 2 3" xfId="18155" xr:uid="{00000000-0005-0000-0000-0000AD450000}"/>
    <cellStyle name="Normal 152 2 2 3 2" xfId="18156" xr:uid="{00000000-0005-0000-0000-0000AE450000}"/>
    <cellStyle name="Normal 152 2 2 3 3" xfId="18157" xr:uid="{00000000-0005-0000-0000-0000AF450000}"/>
    <cellStyle name="Normal 152 2 2 4" xfId="18158" xr:uid="{00000000-0005-0000-0000-0000B0450000}"/>
    <cellStyle name="Normal 152 2 2 4 2" xfId="18159" xr:uid="{00000000-0005-0000-0000-0000B1450000}"/>
    <cellStyle name="Normal 152 2 2 4 3" xfId="18160" xr:uid="{00000000-0005-0000-0000-0000B2450000}"/>
    <cellStyle name="Normal 152 2 2 5" xfId="18161" xr:uid="{00000000-0005-0000-0000-0000B3450000}"/>
    <cellStyle name="Normal 152 2 2 6" xfId="18162" xr:uid="{00000000-0005-0000-0000-0000B4450000}"/>
    <cellStyle name="Normal 152 2 2 7" xfId="18163" xr:uid="{00000000-0005-0000-0000-0000B5450000}"/>
    <cellStyle name="Normal 152 2 2 8" xfId="18164" xr:uid="{00000000-0005-0000-0000-0000B6450000}"/>
    <cellStyle name="Normal 152 2 3" xfId="18165" xr:uid="{00000000-0005-0000-0000-0000B7450000}"/>
    <cellStyle name="Normal 152 2 3 2" xfId="18166" xr:uid="{00000000-0005-0000-0000-0000B8450000}"/>
    <cellStyle name="Normal 152 2 3 2 2" xfId="18167" xr:uid="{00000000-0005-0000-0000-0000B9450000}"/>
    <cellStyle name="Normal 152 2 3 2 3" xfId="18168" xr:uid="{00000000-0005-0000-0000-0000BA450000}"/>
    <cellStyle name="Normal 152 2 3 3" xfId="18169" xr:uid="{00000000-0005-0000-0000-0000BB450000}"/>
    <cellStyle name="Normal 152 2 3 3 2" xfId="18170" xr:uid="{00000000-0005-0000-0000-0000BC450000}"/>
    <cellStyle name="Normal 152 2 3 3 3" xfId="18171" xr:uid="{00000000-0005-0000-0000-0000BD450000}"/>
    <cellStyle name="Normal 152 2 3 4" xfId="18172" xr:uid="{00000000-0005-0000-0000-0000BE450000}"/>
    <cellStyle name="Normal 152 2 3 5" xfId="18173" xr:uid="{00000000-0005-0000-0000-0000BF450000}"/>
    <cellStyle name="Normal 152 2 3 6" xfId="18174" xr:uid="{00000000-0005-0000-0000-0000C0450000}"/>
    <cellStyle name="Normal 152 2 4" xfId="18175" xr:uid="{00000000-0005-0000-0000-0000C1450000}"/>
    <cellStyle name="Normal 152 2 4 2" xfId="18176" xr:uid="{00000000-0005-0000-0000-0000C2450000}"/>
    <cellStyle name="Normal 152 2 4 3" xfId="18177" xr:uid="{00000000-0005-0000-0000-0000C3450000}"/>
    <cellStyle name="Normal 152 2 5" xfId="18178" xr:uid="{00000000-0005-0000-0000-0000C4450000}"/>
    <cellStyle name="Normal 152 2 5 2" xfId="18179" xr:uid="{00000000-0005-0000-0000-0000C5450000}"/>
    <cellStyle name="Normal 152 2 5 3" xfId="18180" xr:uid="{00000000-0005-0000-0000-0000C6450000}"/>
    <cellStyle name="Normal 152 2 6" xfId="18181" xr:uid="{00000000-0005-0000-0000-0000C7450000}"/>
    <cellStyle name="Normal 152 2 7" xfId="18182" xr:uid="{00000000-0005-0000-0000-0000C8450000}"/>
    <cellStyle name="Normal 152 2 8" xfId="18183" xr:uid="{00000000-0005-0000-0000-0000C9450000}"/>
    <cellStyle name="Normal 152 2 9" xfId="18184" xr:uid="{00000000-0005-0000-0000-0000CA450000}"/>
    <cellStyle name="Normal 152 3" xfId="18185" xr:uid="{00000000-0005-0000-0000-0000CB450000}"/>
    <cellStyle name="Normal 152 3 2" xfId="18186" xr:uid="{00000000-0005-0000-0000-0000CC450000}"/>
    <cellStyle name="Normal 152 3 2 2" xfId="18187" xr:uid="{00000000-0005-0000-0000-0000CD450000}"/>
    <cellStyle name="Normal 152 3 2 2 2" xfId="18188" xr:uid="{00000000-0005-0000-0000-0000CE450000}"/>
    <cellStyle name="Normal 152 3 2 2 3" xfId="18189" xr:uid="{00000000-0005-0000-0000-0000CF450000}"/>
    <cellStyle name="Normal 152 3 2 3" xfId="18190" xr:uid="{00000000-0005-0000-0000-0000D0450000}"/>
    <cellStyle name="Normal 152 3 2 3 2" xfId="18191" xr:uid="{00000000-0005-0000-0000-0000D1450000}"/>
    <cellStyle name="Normal 152 3 2 3 3" xfId="18192" xr:uid="{00000000-0005-0000-0000-0000D2450000}"/>
    <cellStyle name="Normal 152 3 2 4" xfId="18193" xr:uid="{00000000-0005-0000-0000-0000D3450000}"/>
    <cellStyle name="Normal 152 3 2 5" xfId="18194" xr:uid="{00000000-0005-0000-0000-0000D4450000}"/>
    <cellStyle name="Normal 152 3 2 6" xfId="18195" xr:uid="{00000000-0005-0000-0000-0000D5450000}"/>
    <cellStyle name="Normal 152 3 3" xfId="18196" xr:uid="{00000000-0005-0000-0000-0000D6450000}"/>
    <cellStyle name="Normal 152 3 3 2" xfId="18197" xr:uid="{00000000-0005-0000-0000-0000D7450000}"/>
    <cellStyle name="Normal 152 3 3 3" xfId="18198" xr:uid="{00000000-0005-0000-0000-0000D8450000}"/>
    <cellStyle name="Normal 152 3 4" xfId="18199" xr:uid="{00000000-0005-0000-0000-0000D9450000}"/>
    <cellStyle name="Normal 152 3 4 2" xfId="18200" xr:uid="{00000000-0005-0000-0000-0000DA450000}"/>
    <cellStyle name="Normal 152 3 4 3" xfId="18201" xr:uid="{00000000-0005-0000-0000-0000DB450000}"/>
    <cellStyle name="Normal 152 3 5" xfId="18202" xr:uid="{00000000-0005-0000-0000-0000DC450000}"/>
    <cellStyle name="Normal 152 3 6" xfId="18203" xr:uid="{00000000-0005-0000-0000-0000DD450000}"/>
    <cellStyle name="Normal 152 3 7" xfId="18204" xr:uid="{00000000-0005-0000-0000-0000DE450000}"/>
    <cellStyle name="Normal 152 3 8" xfId="18205" xr:uid="{00000000-0005-0000-0000-0000DF450000}"/>
    <cellStyle name="Normal 152 4" xfId="18206" xr:uid="{00000000-0005-0000-0000-0000E0450000}"/>
    <cellStyle name="Normal 152 4 2" xfId="18207" xr:uid="{00000000-0005-0000-0000-0000E1450000}"/>
    <cellStyle name="Normal 152 4 2 2" xfId="18208" xr:uid="{00000000-0005-0000-0000-0000E2450000}"/>
    <cellStyle name="Normal 152 4 2 3" xfId="18209" xr:uid="{00000000-0005-0000-0000-0000E3450000}"/>
    <cellStyle name="Normal 152 4 3" xfId="18210" xr:uid="{00000000-0005-0000-0000-0000E4450000}"/>
    <cellStyle name="Normal 152 4 3 2" xfId="18211" xr:uid="{00000000-0005-0000-0000-0000E5450000}"/>
    <cellStyle name="Normal 152 4 3 3" xfId="18212" xr:uid="{00000000-0005-0000-0000-0000E6450000}"/>
    <cellStyle name="Normal 152 4 4" xfId="18213" xr:uid="{00000000-0005-0000-0000-0000E7450000}"/>
    <cellStyle name="Normal 152 4 5" xfId="18214" xr:uid="{00000000-0005-0000-0000-0000E8450000}"/>
    <cellStyle name="Normal 152 4 6" xfId="18215" xr:uid="{00000000-0005-0000-0000-0000E9450000}"/>
    <cellStyle name="Normal 152 5" xfId="18216" xr:uid="{00000000-0005-0000-0000-0000EA450000}"/>
    <cellStyle name="Normal 152 5 2" xfId="18217" xr:uid="{00000000-0005-0000-0000-0000EB450000}"/>
    <cellStyle name="Normal 152 5 3" xfId="18218" xr:uid="{00000000-0005-0000-0000-0000EC450000}"/>
    <cellStyle name="Normal 152 6" xfId="18219" xr:uid="{00000000-0005-0000-0000-0000ED450000}"/>
    <cellStyle name="Normal 152 6 2" xfId="18220" xr:uid="{00000000-0005-0000-0000-0000EE450000}"/>
    <cellStyle name="Normal 152 6 3" xfId="18221" xr:uid="{00000000-0005-0000-0000-0000EF450000}"/>
    <cellStyle name="Normal 152 7" xfId="18222" xr:uid="{00000000-0005-0000-0000-0000F0450000}"/>
    <cellStyle name="Normal 152 8" xfId="18223" xr:uid="{00000000-0005-0000-0000-0000F1450000}"/>
    <cellStyle name="Normal 152 9" xfId="18224" xr:uid="{00000000-0005-0000-0000-0000F2450000}"/>
    <cellStyle name="Normal 153" xfId="2133" xr:uid="{00000000-0005-0000-0000-0000F3450000}"/>
    <cellStyle name="Normal 153 10" xfId="18225" xr:uid="{00000000-0005-0000-0000-0000F4450000}"/>
    <cellStyle name="Normal 153 11" xfId="18226" xr:uid="{00000000-0005-0000-0000-0000F5450000}"/>
    <cellStyle name="Normal 153 12" xfId="18227" xr:uid="{00000000-0005-0000-0000-0000F6450000}"/>
    <cellStyle name="Normal 153 2" xfId="18228" xr:uid="{00000000-0005-0000-0000-0000F7450000}"/>
    <cellStyle name="Normal 153 2 2" xfId="18229" xr:uid="{00000000-0005-0000-0000-0000F8450000}"/>
    <cellStyle name="Normal 153 2 2 2" xfId="18230" xr:uid="{00000000-0005-0000-0000-0000F9450000}"/>
    <cellStyle name="Normal 153 2 2 2 2" xfId="18231" xr:uid="{00000000-0005-0000-0000-0000FA450000}"/>
    <cellStyle name="Normal 153 2 2 2 2 2" xfId="18232" xr:uid="{00000000-0005-0000-0000-0000FB450000}"/>
    <cellStyle name="Normal 153 2 2 2 2 3" xfId="18233" xr:uid="{00000000-0005-0000-0000-0000FC450000}"/>
    <cellStyle name="Normal 153 2 2 2 3" xfId="18234" xr:uid="{00000000-0005-0000-0000-0000FD450000}"/>
    <cellStyle name="Normal 153 2 2 2 3 2" xfId="18235" xr:uid="{00000000-0005-0000-0000-0000FE450000}"/>
    <cellStyle name="Normal 153 2 2 2 3 3" xfId="18236" xr:uid="{00000000-0005-0000-0000-0000FF450000}"/>
    <cellStyle name="Normal 153 2 2 2 4" xfId="18237" xr:uid="{00000000-0005-0000-0000-000000460000}"/>
    <cellStyle name="Normal 153 2 2 2 5" xfId="18238" xr:uid="{00000000-0005-0000-0000-000001460000}"/>
    <cellStyle name="Normal 153 2 2 2 6" xfId="18239" xr:uid="{00000000-0005-0000-0000-000002460000}"/>
    <cellStyle name="Normal 153 2 2 3" xfId="18240" xr:uid="{00000000-0005-0000-0000-000003460000}"/>
    <cellStyle name="Normal 153 2 2 3 2" xfId="18241" xr:uid="{00000000-0005-0000-0000-000004460000}"/>
    <cellStyle name="Normal 153 2 2 3 3" xfId="18242" xr:uid="{00000000-0005-0000-0000-000005460000}"/>
    <cellStyle name="Normal 153 2 2 4" xfId="18243" xr:uid="{00000000-0005-0000-0000-000006460000}"/>
    <cellStyle name="Normal 153 2 2 4 2" xfId="18244" xr:uid="{00000000-0005-0000-0000-000007460000}"/>
    <cellStyle name="Normal 153 2 2 4 3" xfId="18245" xr:uid="{00000000-0005-0000-0000-000008460000}"/>
    <cellStyle name="Normal 153 2 2 5" xfId="18246" xr:uid="{00000000-0005-0000-0000-000009460000}"/>
    <cellStyle name="Normal 153 2 2 6" xfId="18247" xr:uid="{00000000-0005-0000-0000-00000A460000}"/>
    <cellStyle name="Normal 153 2 2 7" xfId="18248" xr:uid="{00000000-0005-0000-0000-00000B460000}"/>
    <cellStyle name="Normal 153 2 2 8" xfId="18249" xr:uid="{00000000-0005-0000-0000-00000C460000}"/>
    <cellStyle name="Normal 153 2 3" xfId="18250" xr:uid="{00000000-0005-0000-0000-00000D460000}"/>
    <cellStyle name="Normal 153 2 3 2" xfId="18251" xr:uid="{00000000-0005-0000-0000-00000E460000}"/>
    <cellStyle name="Normal 153 2 3 2 2" xfId="18252" xr:uid="{00000000-0005-0000-0000-00000F460000}"/>
    <cellStyle name="Normal 153 2 3 2 3" xfId="18253" xr:uid="{00000000-0005-0000-0000-000010460000}"/>
    <cellStyle name="Normal 153 2 3 3" xfId="18254" xr:uid="{00000000-0005-0000-0000-000011460000}"/>
    <cellStyle name="Normal 153 2 3 3 2" xfId="18255" xr:uid="{00000000-0005-0000-0000-000012460000}"/>
    <cellStyle name="Normal 153 2 3 3 3" xfId="18256" xr:uid="{00000000-0005-0000-0000-000013460000}"/>
    <cellStyle name="Normal 153 2 3 4" xfId="18257" xr:uid="{00000000-0005-0000-0000-000014460000}"/>
    <cellStyle name="Normal 153 2 3 5" xfId="18258" xr:uid="{00000000-0005-0000-0000-000015460000}"/>
    <cellStyle name="Normal 153 2 3 6" xfId="18259" xr:uid="{00000000-0005-0000-0000-000016460000}"/>
    <cellStyle name="Normal 153 2 4" xfId="18260" xr:uid="{00000000-0005-0000-0000-000017460000}"/>
    <cellStyle name="Normal 153 2 4 2" xfId="18261" xr:uid="{00000000-0005-0000-0000-000018460000}"/>
    <cellStyle name="Normal 153 2 4 3" xfId="18262" xr:uid="{00000000-0005-0000-0000-000019460000}"/>
    <cellStyle name="Normal 153 2 5" xfId="18263" xr:uid="{00000000-0005-0000-0000-00001A460000}"/>
    <cellStyle name="Normal 153 2 5 2" xfId="18264" xr:uid="{00000000-0005-0000-0000-00001B460000}"/>
    <cellStyle name="Normal 153 2 5 3" xfId="18265" xr:uid="{00000000-0005-0000-0000-00001C460000}"/>
    <cellStyle name="Normal 153 2 6" xfId="18266" xr:uid="{00000000-0005-0000-0000-00001D460000}"/>
    <cellStyle name="Normal 153 2 7" xfId="18267" xr:uid="{00000000-0005-0000-0000-00001E460000}"/>
    <cellStyle name="Normal 153 2 8" xfId="18268" xr:uid="{00000000-0005-0000-0000-00001F460000}"/>
    <cellStyle name="Normal 153 2 9" xfId="18269" xr:uid="{00000000-0005-0000-0000-000020460000}"/>
    <cellStyle name="Normal 153 3" xfId="18270" xr:uid="{00000000-0005-0000-0000-000021460000}"/>
    <cellStyle name="Normal 153 3 2" xfId="18271" xr:uid="{00000000-0005-0000-0000-000022460000}"/>
    <cellStyle name="Normal 153 3 2 2" xfId="18272" xr:uid="{00000000-0005-0000-0000-000023460000}"/>
    <cellStyle name="Normal 153 3 2 2 2" xfId="18273" xr:uid="{00000000-0005-0000-0000-000024460000}"/>
    <cellStyle name="Normal 153 3 2 2 3" xfId="18274" xr:uid="{00000000-0005-0000-0000-000025460000}"/>
    <cellStyle name="Normal 153 3 2 3" xfId="18275" xr:uid="{00000000-0005-0000-0000-000026460000}"/>
    <cellStyle name="Normal 153 3 2 3 2" xfId="18276" xr:uid="{00000000-0005-0000-0000-000027460000}"/>
    <cellStyle name="Normal 153 3 2 3 3" xfId="18277" xr:uid="{00000000-0005-0000-0000-000028460000}"/>
    <cellStyle name="Normal 153 3 2 4" xfId="18278" xr:uid="{00000000-0005-0000-0000-000029460000}"/>
    <cellStyle name="Normal 153 3 2 5" xfId="18279" xr:uid="{00000000-0005-0000-0000-00002A460000}"/>
    <cellStyle name="Normal 153 3 2 6" xfId="18280" xr:uid="{00000000-0005-0000-0000-00002B460000}"/>
    <cellStyle name="Normal 153 3 3" xfId="18281" xr:uid="{00000000-0005-0000-0000-00002C460000}"/>
    <cellStyle name="Normal 153 3 3 2" xfId="18282" xr:uid="{00000000-0005-0000-0000-00002D460000}"/>
    <cellStyle name="Normal 153 3 3 3" xfId="18283" xr:uid="{00000000-0005-0000-0000-00002E460000}"/>
    <cellStyle name="Normal 153 3 4" xfId="18284" xr:uid="{00000000-0005-0000-0000-00002F460000}"/>
    <cellStyle name="Normal 153 3 4 2" xfId="18285" xr:uid="{00000000-0005-0000-0000-000030460000}"/>
    <cellStyle name="Normal 153 3 4 3" xfId="18286" xr:uid="{00000000-0005-0000-0000-000031460000}"/>
    <cellStyle name="Normal 153 3 5" xfId="18287" xr:uid="{00000000-0005-0000-0000-000032460000}"/>
    <cellStyle name="Normal 153 3 6" xfId="18288" xr:uid="{00000000-0005-0000-0000-000033460000}"/>
    <cellStyle name="Normal 153 3 7" xfId="18289" xr:uid="{00000000-0005-0000-0000-000034460000}"/>
    <cellStyle name="Normal 153 3 8" xfId="18290" xr:uid="{00000000-0005-0000-0000-000035460000}"/>
    <cellStyle name="Normal 153 4" xfId="18291" xr:uid="{00000000-0005-0000-0000-000036460000}"/>
    <cellStyle name="Normal 153 4 2" xfId="18292" xr:uid="{00000000-0005-0000-0000-000037460000}"/>
    <cellStyle name="Normal 153 4 2 2" xfId="18293" xr:uid="{00000000-0005-0000-0000-000038460000}"/>
    <cellStyle name="Normal 153 4 2 3" xfId="18294" xr:uid="{00000000-0005-0000-0000-000039460000}"/>
    <cellStyle name="Normal 153 4 3" xfId="18295" xr:uid="{00000000-0005-0000-0000-00003A460000}"/>
    <cellStyle name="Normal 153 4 3 2" xfId="18296" xr:uid="{00000000-0005-0000-0000-00003B460000}"/>
    <cellStyle name="Normal 153 4 3 3" xfId="18297" xr:uid="{00000000-0005-0000-0000-00003C460000}"/>
    <cellStyle name="Normal 153 4 4" xfId="18298" xr:uid="{00000000-0005-0000-0000-00003D460000}"/>
    <cellStyle name="Normal 153 4 5" xfId="18299" xr:uid="{00000000-0005-0000-0000-00003E460000}"/>
    <cellStyle name="Normal 153 4 6" xfId="18300" xr:uid="{00000000-0005-0000-0000-00003F460000}"/>
    <cellStyle name="Normal 153 5" xfId="18301" xr:uid="{00000000-0005-0000-0000-000040460000}"/>
    <cellStyle name="Normal 153 5 2" xfId="18302" xr:uid="{00000000-0005-0000-0000-000041460000}"/>
    <cellStyle name="Normal 153 5 3" xfId="18303" xr:uid="{00000000-0005-0000-0000-000042460000}"/>
    <cellStyle name="Normal 153 6" xfId="18304" xr:uid="{00000000-0005-0000-0000-000043460000}"/>
    <cellStyle name="Normal 153 6 2" xfId="18305" xr:uid="{00000000-0005-0000-0000-000044460000}"/>
    <cellStyle name="Normal 153 6 3" xfId="18306" xr:uid="{00000000-0005-0000-0000-000045460000}"/>
    <cellStyle name="Normal 153 7" xfId="18307" xr:uid="{00000000-0005-0000-0000-000046460000}"/>
    <cellStyle name="Normal 153 8" xfId="18308" xr:uid="{00000000-0005-0000-0000-000047460000}"/>
    <cellStyle name="Normal 153 9" xfId="18309" xr:uid="{00000000-0005-0000-0000-000048460000}"/>
    <cellStyle name="Normal 154" xfId="2134" xr:uid="{00000000-0005-0000-0000-000049460000}"/>
    <cellStyle name="Normal 154 10" xfId="18310" xr:uid="{00000000-0005-0000-0000-00004A460000}"/>
    <cellStyle name="Normal 154 11" xfId="18311" xr:uid="{00000000-0005-0000-0000-00004B460000}"/>
    <cellStyle name="Normal 154 12" xfId="18312" xr:uid="{00000000-0005-0000-0000-00004C460000}"/>
    <cellStyle name="Normal 154 2" xfId="18313" xr:uid="{00000000-0005-0000-0000-00004D460000}"/>
    <cellStyle name="Normal 154 2 2" xfId="18314" xr:uid="{00000000-0005-0000-0000-00004E460000}"/>
    <cellStyle name="Normal 154 2 2 2" xfId="18315" xr:uid="{00000000-0005-0000-0000-00004F460000}"/>
    <cellStyle name="Normal 154 2 2 2 2" xfId="18316" xr:uid="{00000000-0005-0000-0000-000050460000}"/>
    <cellStyle name="Normal 154 2 2 2 2 2" xfId="18317" xr:uid="{00000000-0005-0000-0000-000051460000}"/>
    <cellStyle name="Normal 154 2 2 2 2 3" xfId="18318" xr:uid="{00000000-0005-0000-0000-000052460000}"/>
    <cellStyle name="Normal 154 2 2 2 3" xfId="18319" xr:uid="{00000000-0005-0000-0000-000053460000}"/>
    <cellStyle name="Normal 154 2 2 2 3 2" xfId="18320" xr:uid="{00000000-0005-0000-0000-000054460000}"/>
    <cellStyle name="Normal 154 2 2 2 3 3" xfId="18321" xr:uid="{00000000-0005-0000-0000-000055460000}"/>
    <cellStyle name="Normal 154 2 2 2 4" xfId="18322" xr:uid="{00000000-0005-0000-0000-000056460000}"/>
    <cellStyle name="Normal 154 2 2 2 5" xfId="18323" xr:uid="{00000000-0005-0000-0000-000057460000}"/>
    <cellStyle name="Normal 154 2 2 2 6" xfId="18324" xr:uid="{00000000-0005-0000-0000-000058460000}"/>
    <cellStyle name="Normal 154 2 2 3" xfId="18325" xr:uid="{00000000-0005-0000-0000-000059460000}"/>
    <cellStyle name="Normal 154 2 2 3 2" xfId="18326" xr:uid="{00000000-0005-0000-0000-00005A460000}"/>
    <cellStyle name="Normal 154 2 2 3 3" xfId="18327" xr:uid="{00000000-0005-0000-0000-00005B460000}"/>
    <cellStyle name="Normal 154 2 2 4" xfId="18328" xr:uid="{00000000-0005-0000-0000-00005C460000}"/>
    <cellStyle name="Normal 154 2 2 4 2" xfId="18329" xr:uid="{00000000-0005-0000-0000-00005D460000}"/>
    <cellStyle name="Normal 154 2 2 4 3" xfId="18330" xr:uid="{00000000-0005-0000-0000-00005E460000}"/>
    <cellStyle name="Normal 154 2 2 5" xfId="18331" xr:uid="{00000000-0005-0000-0000-00005F460000}"/>
    <cellStyle name="Normal 154 2 2 6" xfId="18332" xr:uid="{00000000-0005-0000-0000-000060460000}"/>
    <cellStyle name="Normal 154 2 2 7" xfId="18333" xr:uid="{00000000-0005-0000-0000-000061460000}"/>
    <cellStyle name="Normal 154 2 2 8" xfId="18334" xr:uid="{00000000-0005-0000-0000-000062460000}"/>
    <cellStyle name="Normal 154 2 3" xfId="18335" xr:uid="{00000000-0005-0000-0000-000063460000}"/>
    <cellStyle name="Normal 154 2 3 2" xfId="18336" xr:uid="{00000000-0005-0000-0000-000064460000}"/>
    <cellStyle name="Normal 154 2 3 2 2" xfId="18337" xr:uid="{00000000-0005-0000-0000-000065460000}"/>
    <cellStyle name="Normal 154 2 3 2 3" xfId="18338" xr:uid="{00000000-0005-0000-0000-000066460000}"/>
    <cellStyle name="Normal 154 2 3 3" xfId="18339" xr:uid="{00000000-0005-0000-0000-000067460000}"/>
    <cellStyle name="Normal 154 2 3 3 2" xfId="18340" xr:uid="{00000000-0005-0000-0000-000068460000}"/>
    <cellStyle name="Normal 154 2 3 3 3" xfId="18341" xr:uid="{00000000-0005-0000-0000-000069460000}"/>
    <cellStyle name="Normal 154 2 3 4" xfId="18342" xr:uid="{00000000-0005-0000-0000-00006A460000}"/>
    <cellStyle name="Normal 154 2 3 5" xfId="18343" xr:uid="{00000000-0005-0000-0000-00006B460000}"/>
    <cellStyle name="Normal 154 2 3 6" xfId="18344" xr:uid="{00000000-0005-0000-0000-00006C460000}"/>
    <cellStyle name="Normal 154 2 4" xfId="18345" xr:uid="{00000000-0005-0000-0000-00006D460000}"/>
    <cellStyle name="Normal 154 2 4 2" xfId="18346" xr:uid="{00000000-0005-0000-0000-00006E460000}"/>
    <cellStyle name="Normal 154 2 4 3" xfId="18347" xr:uid="{00000000-0005-0000-0000-00006F460000}"/>
    <cellStyle name="Normal 154 2 5" xfId="18348" xr:uid="{00000000-0005-0000-0000-000070460000}"/>
    <cellStyle name="Normal 154 2 5 2" xfId="18349" xr:uid="{00000000-0005-0000-0000-000071460000}"/>
    <cellStyle name="Normal 154 2 5 3" xfId="18350" xr:uid="{00000000-0005-0000-0000-000072460000}"/>
    <cellStyle name="Normal 154 2 6" xfId="18351" xr:uid="{00000000-0005-0000-0000-000073460000}"/>
    <cellStyle name="Normal 154 2 7" xfId="18352" xr:uid="{00000000-0005-0000-0000-000074460000}"/>
    <cellStyle name="Normal 154 2 8" xfId="18353" xr:uid="{00000000-0005-0000-0000-000075460000}"/>
    <cellStyle name="Normal 154 2 9" xfId="18354" xr:uid="{00000000-0005-0000-0000-000076460000}"/>
    <cellStyle name="Normal 154 3" xfId="18355" xr:uid="{00000000-0005-0000-0000-000077460000}"/>
    <cellStyle name="Normal 154 3 2" xfId="18356" xr:uid="{00000000-0005-0000-0000-000078460000}"/>
    <cellStyle name="Normal 154 3 2 2" xfId="18357" xr:uid="{00000000-0005-0000-0000-000079460000}"/>
    <cellStyle name="Normal 154 3 2 2 2" xfId="18358" xr:uid="{00000000-0005-0000-0000-00007A460000}"/>
    <cellStyle name="Normal 154 3 2 2 3" xfId="18359" xr:uid="{00000000-0005-0000-0000-00007B460000}"/>
    <cellStyle name="Normal 154 3 2 3" xfId="18360" xr:uid="{00000000-0005-0000-0000-00007C460000}"/>
    <cellStyle name="Normal 154 3 2 3 2" xfId="18361" xr:uid="{00000000-0005-0000-0000-00007D460000}"/>
    <cellStyle name="Normal 154 3 2 3 3" xfId="18362" xr:uid="{00000000-0005-0000-0000-00007E460000}"/>
    <cellStyle name="Normal 154 3 2 4" xfId="18363" xr:uid="{00000000-0005-0000-0000-00007F460000}"/>
    <cellStyle name="Normal 154 3 2 5" xfId="18364" xr:uid="{00000000-0005-0000-0000-000080460000}"/>
    <cellStyle name="Normal 154 3 2 6" xfId="18365" xr:uid="{00000000-0005-0000-0000-000081460000}"/>
    <cellStyle name="Normal 154 3 3" xfId="18366" xr:uid="{00000000-0005-0000-0000-000082460000}"/>
    <cellStyle name="Normal 154 3 3 2" xfId="18367" xr:uid="{00000000-0005-0000-0000-000083460000}"/>
    <cellStyle name="Normal 154 3 3 3" xfId="18368" xr:uid="{00000000-0005-0000-0000-000084460000}"/>
    <cellStyle name="Normal 154 3 4" xfId="18369" xr:uid="{00000000-0005-0000-0000-000085460000}"/>
    <cellStyle name="Normal 154 3 4 2" xfId="18370" xr:uid="{00000000-0005-0000-0000-000086460000}"/>
    <cellStyle name="Normal 154 3 4 3" xfId="18371" xr:uid="{00000000-0005-0000-0000-000087460000}"/>
    <cellStyle name="Normal 154 3 5" xfId="18372" xr:uid="{00000000-0005-0000-0000-000088460000}"/>
    <cellStyle name="Normal 154 3 6" xfId="18373" xr:uid="{00000000-0005-0000-0000-000089460000}"/>
    <cellStyle name="Normal 154 3 7" xfId="18374" xr:uid="{00000000-0005-0000-0000-00008A460000}"/>
    <cellStyle name="Normal 154 3 8" xfId="18375" xr:uid="{00000000-0005-0000-0000-00008B460000}"/>
    <cellStyle name="Normal 154 4" xfId="18376" xr:uid="{00000000-0005-0000-0000-00008C460000}"/>
    <cellStyle name="Normal 154 4 2" xfId="18377" xr:uid="{00000000-0005-0000-0000-00008D460000}"/>
    <cellStyle name="Normal 154 4 2 2" xfId="18378" xr:uid="{00000000-0005-0000-0000-00008E460000}"/>
    <cellStyle name="Normal 154 4 2 3" xfId="18379" xr:uid="{00000000-0005-0000-0000-00008F460000}"/>
    <cellStyle name="Normal 154 4 3" xfId="18380" xr:uid="{00000000-0005-0000-0000-000090460000}"/>
    <cellStyle name="Normal 154 4 3 2" xfId="18381" xr:uid="{00000000-0005-0000-0000-000091460000}"/>
    <cellStyle name="Normal 154 4 3 3" xfId="18382" xr:uid="{00000000-0005-0000-0000-000092460000}"/>
    <cellStyle name="Normal 154 4 4" xfId="18383" xr:uid="{00000000-0005-0000-0000-000093460000}"/>
    <cellStyle name="Normal 154 4 5" xfId="18384" xr:uid="{00000000-0005-0000-0000-000094460000}"/>
    <cellStyle name="Normal 154 4 6" xfId="18385" xr:uid="{00000000-0005-0000-0000-000095460000}"/>
    <cellStyle name="Normal 154 5" xfId="18386" xr:uid="{00000000-0005-0000-0000-000096460000}"/>
    <cellStyle name="Normal 154 5 2" xfId="18387" xr:uid="{00000000-0005-0000-0000-000097460000}"/>
    <cellStyle name="Normal 154 5 3" xfId="18388" xr:uid="{00000000-0005-0000-0000-000098460000}"/>
    <cellStyle name="Normal 154 6" xfId="18389" xr:uid="{00000000-0005-0000-0000-000099460000}"/>
    <cellStyle name="Normal 154 6 2" xfId="18390" xr:uid="{00000000-0005-0000-0000-00009A460000}"/>
    <cellStyle name="Normal 154 6 3" xfId="18391" xr:uid="{00000000-0005-0000-0000-00009B460000}"/>
    <cellStyle name="Normal 154 7" xfId="18392" xr:uid="{00000000-0005-0000-0000-00009C460000}"/>
    <cellStyle name="Normal 154 8" xfId="18393" xr:uid="{00000000-0005-0000-0000-00009D460000}"/>
    <cellStyle name="Normal 154 9" xfId="18394" xr:uid="{00000000-0005-0000-0000-00009E460000}"/>
    <cellStyle name="Normal 155" xfId="2135" xr:uid="{00000000-0005-0000-0000-00009F460000}"/>
    <cellStyle name="Normal 155 10" xfId="18395" xr:uid="{00000000-0005-0000-0000-0000A0460000}"/>
    <cellStyle name="Normal 155 11" xfId="18396" xr:uid="{00000000-0005-0000-0000-0000A1460000}"/>
    <cellStyle name="Normal 155 12" xfId="18397" xr:uid="{00000000-0005-0000-0000-0000A2460000}"/>
    <cellStyle name="Normal 155 2" xfId="18398" xr:uid="{00000000-0005-0000-0000-0000A3460000}"/>
    <cellStyle name="Normal 155 2 2" xfId="18399" xr:uid="{00000000-0005-0000-0000-0000A4460000}"/>
    <cellStyle name="Normal 155 2 2 2" xfId="18400" xr:uid="{00000000-0005-0000-0000-0000A5460000}"/>
    <cellStyle name="Normal 155 2 2 2 2" xfId="18401" xr:uid="{00000000-0005-0000-0000-0000A6460000}"/>
    <cellStyle name="Normal 155 2 2 2 2 2" xfId="18402" xr:uid="{00000000-0005-0000-0000-0000A7460000}"/>
    <cellStyle name="Normal 155 2 2 2 2 3" xfId="18403" xr:uid="{00000000-0005-0000-0000-0000A8460000}"/>
    <cellStyle name="Normal 155 2 2 2 3" xfId="18404" xr:uid="{00000000-0005-0000-0000-0000A9460000}"/>
    <cellStyle name="Normal 155 2 2 2 3 2" xfId="18405" xr:uid="{00000000-0005-0000-0000-0000AA460000}"/>
    <cellStyle name="Normal 155 2 2 2 3 3" xfId="18406" xr:uid="{00000000-0005-0000-0000-0000AB460000}"/>
    <cellStyle name="Normal 155 2 2 2 4" xfId="18407" xr:uid="{00000000-0005-0000-0000-0000AC460000}"/>
    <cellStyle name="Normal 155 2 2 2 5" xfId="18408" xr:uid="{00000000-0005-0000-0000-0000AD460000}"/>
    <cellStyle name="Normal 155 2 2 2 6" xfId="18409" xr:uid="{00000000-0005-0000-0000-0000AE460000}"/>
    <cellStyle name="Normal 155 2 2 3" xfId="18410" xr:uid="{00000000-0005-0000-0000-0000AF460000}"/>
    <cellStyle name="Normal 155 2 2 3 2" xfId="18411" xr:uid="{00000000-0005-0000-0000-0000B0460000}"/>
    <cellStyle name="Normal 155 2 2 3 3" xfId="18412" xr:uid="{00000000-0005-0000-0000-0000B1460000}"/>
    <cellStyle name="Normal 155 2 2 4" xfId="18413" xr:uid="{00000000-0005-0000-0000-0000B2460000}"/>
    <cellStyle name="Normal 155 2 2 4 2" xfId="18414" xr:uid="{00000000-0005-0000-0000-0000B3460000}"/>
    <cellStyle name="Normal 155 2 2 4 3" xfId="18415" xr:uid="{00000000-0005-0000-0000-0000B4460000}"/>
    <cellStyle name="Normal 155 2 2 5" xfId="18416" xr:uid="{00000000-0005-0000-0000-0000B5460000}"/>
    <cellStyle name="Normal 155 2 2 6" xfId="18417" xr:uid="{00000000-0005-0000-0000-0000B6460000}"/>
    <cellStyle name="Normal 155 2 2 7" xfId="18418" xr:uid="{00000000-0005-0000-0000-0000B7460000}"/>
    <cellStyle name="Normal 155 2 2 8" xfId="18419" xr:uid="{00000000-0005-0000-0000-0000B8460000}"/>
    <cellStyle name="Normal 155 2 3" xfId="18420" xr:uid="{00000000-0005-0000-0000-0000B9460000}"/>
    <cellStyle name="Normal 155 2 3 2" xfId="18421" xr:uid="{00000000-0005-0000-0000-0000BA460000}"/>
    <cellStyle name="Normal 155 2 3 2 2" xfId="18422" xr:uid="{00000000-0005-0000-0000-0000BB460000}"/>
    <cellStyle name="Normal 155 2 3 2 3" xfId="18423" xr:uid="{00000000-0005-0000-0000-0000BC460000}"/>
    <cellStyle name="Normal 155 2 3 3" xfId="18424" xr:uid="{00000000-0005-0000-0000-0000BD460000}"/>
    <cellStyle name="Normal 155 2 3 3 2" xfId="18425" xr:uid="{00000000-0005-0000-0000-0000BE460000}"/>
    <cellStyle name="Normal 155 2 3 3 3" xfId="18426" xr:uid="{00000000-0005-0000-0000-0000BF460000}"/>
    <cellStyle name="Normal 155 2 3 4" xfId="18427" xr:uid="{00000000-0005-0000-0000-0000C0460000}"/>
    <cellStyle name="Normal 155 2 3 5" xfId="18428" xr:uid="{00000000-0005-0000-0000-0000C1460000}"/>
    <cellStyle name="Normal 155 2 3 6" xfId="18429" xr:uid="{00000000-0005-0000-0000-0000C2460000}"/>
    <cellStyle name="Normal 155 2 4" xfId="18430" xr:uid="{00000000-0005-0000-0000-0000C3460000}"/>
    <cellStyle name="Normal 155 2 4 2" xfId="18431" xr:uid="{00000000-0005-0000-0000-0000C4460000}"/>
    <cellStyle name="Normal 155 2 4 3" xfId="18432" xr:uid="{00000000-0005-0000-0000-0000C5460000}"/>
    <cellStyle name="Normal 155 2 5" xfId="18433" xr:uid="{00000000-0005-0000-0000-0000C6460000}"/>
    <cellStyle name="Normal 155 2 5 2" xfId="18434" xr:uid="{00000000-0005-0000-0000-0000C7460000}"/>
    <cellStyle name="Normal 155 2 5 3" xfId="18435" xr:uid="{00000000-0005-0000-0000-0000C8460000}"/>
    <cellStyle name="Normal 155 2 6" xfId="18436" xr:uid="{00000000-0005-0000-0000-0000C9460000}"/>
    <cellStyle name="Normal 155 2 7" xfId="18437" xr:uid="{00000000-0005-0000-0000-0000CA460000}"/>
    <cellStyle name="Normal 155 2 8" xfId="18438" xr:uid="{00000000-0005-0000-0000-0000CB460000}"/>
    <cellStyle name="Normal 155 2 9" xfId="18439" xr:uid="{00000000-0005-0000-0000-0000CC460000}"/>
    <cellStyle name="Normal 155 3" xfId="18440" xr:uid="{00000000-0005-0000-0000-0000CD460000}"/>
    <cellStyle name="Normal 155 3 2" xfId="18441" xr:uid="{00000000-0005-0000-0000-0000CE460000}"/>
    <cellStyle name="Normal 155 3 2 2" xfId="18442" xr:uid="{00000000-0005-0000-0000-0000CF460000}"/>
    <cellStyle name="Normal 155 3 2 2 2" xfId="18443" xr:uid="{00000000-0005-0000-0000-0000D0460000}"/>
    <cellStyle name="Normal 155 3 2 2 3" xfId="18444" xr:uid="{00000000-0005-0000-0000-0000D1460000}"/>
    <cellStyle name="Normal 155 3 2 3" xfId="18445" xr:uid="{00000000-0005-0000-0000-0000D2460000}"/>
    <cellStyle name="Normal 155 3 2 3 2" xfId="18446" xr:uid="{00000000-0005-0000-0000-0000D3460000}"/>
    <cellStyle name="Normal 155 3 2 3 3" xfId="18447" xr:uid="{00000000-0005-0000-0000-0000D4460000}"/>
    <cellStyle name="Normal 155 3 2 4" xfId="18448" xr:uid="{00000000-0005-0000-0000-0000D5460000}"/>
    <cellStyle name="Normal 155 3 2 5" xfId="18449" xr:uid="{00000000-0005-0000-0000-0000D6460000}"/>
    <cellStyle name="Normal 155 3 2 6" xfId="18450" xr:uid="{00000000-0005-0000-0000-0000D7460000}"/>
    <cellStyle name="Normal 155 3 3" xfId="18451" xr:uid="{00000000-0005-0000-0000-0000D8460000}"/>
    <cellStyle name="Normal 155 3 3 2" xfId="18452" xr:uid="{00000000-0005-0000-0000-0000D9460000}"/>
    <cellStyle name="Normal 155 3 3 3" xfId="18453" xr:uid="{00000000-0005-0000-0000-0000DA460000}"/>
    <cellStyle name="Normal 155 3 4" xfId="18454" xr:uid="{00000000-0005-0000-0000-0000DB460000}"/>
    <cellStyle name="Normal 155 3 4 2" xfId="18455" xr:uid="{00000000-0005-0000-0000-0000DC460000}"/>
    <cellStyle name="Normal 155 3 4 3" xfId="18456" xr:uid="{00000000-0005-0000-0000-0000DD460000}"/>
    <cellStyle name="Normal 155 3 5" xfId="18457" xr:uid="{00000000-0005-0000-0000-0000DE460000}"/>
    <cellStyle name="Normal 155 3 6" xfId="18458" xr:uid="{00000000-0005-0000-0000-0000DF460000}"/>
    <cellStyle name="Normal 155 3 7" xfId="18459" xr:uid="{00000000-0005-0000-0000-0000E0460000}"/>
    <cellStyle name="Normal 155 3 8" xfId="18460" xr:uid="{00000000-0005-0000-0000-0000E1460000}"/>
    <cellStyle name="Normal 155 4" xfId="18461" xr:uid="{00000000-0005-0000-0000-0000E2460000}"/>
    <cellStyle name="Normal 155 4 2" xfId="18462" xr:uid="{00000000-0005-0000-0000-0000E3460000}"/>
    <cellStyle name="Normal 155 4 2 2" xfId="18463" xr:uid="{00000000-0005-0000-0000-0000E4460000}"/>
    <cellStyle name="Normal 155 4 2 3" xfId="18464" xr:uid="{00000000-0005-0000-0000-0000E5460000}"/>
    <cellStyle name="Normal 155 4 3" xfId="18465" xr:uid="{00000000-0005-0000-0000-0000E6460000}"/>
    <cellStyle name="Normal 155 4 3 2" xfId="18466" xr:uid="{00000000-0005-0000-0000-0000E7460000}"/>
    <cellStyle name="Normal 155 4 3 3" xfId="18467" xr:uid="{00000000-0005-0000-0000-0000E8460000}"/>
    <cellStyle name="Normal 155 4 4" xfId="18468" xr:uid="{00000000-0005-0000-0000-0000E9460000}"/>
    <cellStyle name="Normal 155 4 5" xfId="18469" xr:uid="{00000000-0005-0000-0000-0000EA460000}"/>
    <cellStyle name="Normal 155 4 6" xfId="18470" xr:uid="{00000000-0005-0000-0000-0000EB460000}"/>
    <cellStyle name="Normal 155 5" xfId="18471" xr:uid="{00000000-0005-0000-0000-0000EC460000}"/>
    <cellStyle name="Normal 155 5 2" xfId="18472" xr:uid="{00000000-0005-0000-0000-0000ED460000}"/>
    <cellStyle name="Normal 155 5 3" xfId="18473" xr:uid="{00000000-0005-0000-0000-0000EE460000}"/>
    <cellStyle name="Normal 155 6" xfId="18474" xr:uid="{00000000-0005-0000-0000-0000EF460000}"/>
    <cellStyle name="Normal 155 6 2" xfId="18475" xr:uid="{00000000-0005-0000-0000-0000F0460000}"/>
    <cellStyle name="Normal 155 6 3" xfId="18476" xr:uid="{00000000-0005-0000-0000-0000F1460000}"/>
    <cellStyle name="Normal 155 7" xfId="18477" xr:uid="{00000000-0005-0000-0000-0000F2460000}"/>
    <cellStyle name="Normal 155 8" xfId="18478" xr:uid="{00000000-0005-0000-0000-0000F3460000}"/>
    <cellStyle name="Normal 155 9" xfId="18479" xr:uid="{00000000-0005-0000-0000-0000F4460000}"/>
    <cellStyle name="Normal 156" xfId="2136" xr:uid="{00000000-0005-0000-0000-0000F5460000}"/>
    <cellStyle name="Normal 156 10" xfId="18480" xr:uid="{00000000-0005-0000-0000-0000F6460000}"/>
    <cellStyle name="Normal 156 11" xfId="18481" xr:uid="{00000000-0005-0000-0000-0000F7460000}"/>
    <cellStyle name="Normal 156 12" xfId="18482" xr:uid="{00000000-0005-0000-0000-0000F8460000}"/>
    <cellStyle name="Normal 156 2" xfId="18483" xr:uid="{00000000-0005-0000-0000-0000F9460000}"/>
    <cellStyle name="Normal 156 2 2" xfId="18484" xr:uid="{00000000-0005-0000-0000-0000FA460000}"/>
    <cellStyle name="Normal 156 2 2 2" xfId="18485" xr:uid="{00000000-0005-0000-0000-0000FB460000}"/>
    <cellStyle name="Normal 156 2 2 2 2" xfId="18486" xr:uid="{00000000-0005-0000-0000-0000FC460000}"/>
    <cellStyle name="Normal 156 2 2 2 2 2" xfId="18487" xr:uid="{00000000-0005-0000-0000-0000FD460000}"/>
    <cellStyle name="Normal 156 2 2 2 2 3" xfId="18488" xr:uid="{00000000-0005-0000-0000-0000FE460000}"/>
    <cellStyle name="Normal 156 2 2 2 3" xfId="18489" xr:uid="{00000000-0005-0000-0000-0000FF460000}"/>
    <cellStyle name="Normal 156 2 2 2 3 2" xfId="18490" xr:uid="{00000000-0005-0000-0000-000000470000}"/>
    <cellStyle name="Normal 156 2 2 2 3 3" xfId="18491" xr:uid="{00000000-0005-0000-0000-000001470000}"/>
    <cellStyle name="Normal 156 2 2 2 4" xfId="18492" xr:uid="{00000000-0005-0000-0000-000002470000}"/>
    <cellStyle name="Normal 156 2 2 2 5" xfId="18493" xr:uid="{00000000-0005-0000-0000-000003470000}"/>
    <cellStyle name="Normal 156 2 2 2 6" xfId="18494" xr:uid="{00000000-0005-0000-0000-000004470000}"/>
    <cellStyle name="Normal 156 2 2 3" xfId="18495" xr:uid="{00000000-0005-0000-0000-000005470000}"/>
    <cellStyle name="Normal 156 2 2 3 2" xfId="18496" xr:uid="{00000000-0005-0000-0000-000006470000}"/>
    <cellStyle name="Normal 156 2 2 3 3" xfId="18497" xr:uid="{00000000-0005-0000-0000-000007470000}"/>
    <cellStyle name="Normal 156 2 2 4" xfId="18498" xr:uid="{00000000-0005-0000-0000-000008470000}"/>
    <cellStyle name="Normal 156 2 2 4 2" xfId="18499" xr:uid="{00000000-0005-0000-0000-000009470000}"/>
    <cellStyle name="Normal 156 2 2 4 3" xfId="18500" xr:uid="{00000000-0005-0000-0000-00000A470000}"/>
    <cellStyle name="Normal 156 2 2 5" xfId="18501" xr:uid="{00000000-0005-0000-0000-00000B470000}"/>
    <cellStyle name="Normal 156 2 2 6" xfId="18502" xr:uid="{00000000-0005-0000-0000-00000C470000}"/>
    <cellStyle name="Normal 156 2 2 7" xfId="18503" xr:uid="{00000000-0005-0000-0000-00000D470000}"/>
    <cellStyle name="Normal 156 2 2 8" xfId="18504" xr:uid="{00000000-0005-0000-0000-00000E470000}"/>
    <cellStyle name="Normal 156 2 3" xfId="18505" xr:uid="{00000000-0005-0000-0000-00000F470000}"/>
    <cellStyle name="Normal 156 2 3 2" xfId="18506" xr:uid="{00000000-0005-0000-0000-000010470000}"/>
    <cellStyle name="Normal 156 2 3 2 2" xfId="18507" xr:uid="{00000000-0005-0000-0000-000011470000}"/>
    <cellStyle name="Normal 156 2 3 2 3" xfId="18508" xr:uid="{00000000-0005-0000-0000-000012470000}"/>
    <cellStyle name="Normal 156 2 3 3" xfId="18509" xr:uid="{00000000-0005-0000-0000-000013470000}"/>
    <cellStyle name="Normal 156 2 3 3 2" xfId="18510" xr:uid="{00000000-0005-0000-0000-000014470000}"/>
    <cellStyle name="Normal 156 2 3 3 3" xfId="18511" xr:uid="{00000000-0005-0000-0000-000015470000}"/>
    <cellStyle name="Normal 156 2 3 4" xfId="18512" xr:uid="{00000000-0005-0000-0000-000016470000}"/>
    <cellStyle name="Normal 156 2 3 5" xfId="18513" xr:uid="{00000000-0005-0000-0000-000017470000}"/>
    <cellStyle name="Normal 156 2 3 6" xfId="18514" xr:uid="{00000000-0005-0000-0000-000018470000}"/>
    <cellStyle name="Normal 156 2 4" xfId="18515" xr:uid="{00000000-0005-0000-0000-000019470000}"/>
    <cellStyle name="Normal 156 2 4 2" xfId="18516" xr:uid="{00000000-0005-0000-0000-00001A470000}"/>
    <cellStyle name="Normal 156 2 4 3" xfId="18517" xr:uid="{00000000-0005-0000-0000-00001B470000}"/>
    <cellStyle name="Normal 156 2 5" xfId="18518" xr:uid="{00000000-0005-0000-0000-00001C470000}"/>
    <cellStyle name="Normal 156 2 5 2" xfId="18519" xr:uid="{00000000-0005-0000-0000-00001D470000}"/>
    <cellStyle name="Normal 156 2 5 3" xfId="18520" xr:uid="{00000000-0005-0000-0000-00001E470000}"/>
    <cellStyle name="Normal 156 2 6" xfId="18521" xr:uid="{00000000-0005-0000-0000-00001F470000}"/>
    <cellStyle name="Normal 156 2 7" xfId="18522" xr:uid="{00000000-0005-0000-0000-000020470000}"/>
    <cellStyle name="Normal 156 2 8" xfId="18523" xr:uid="{00000000-0005-0000-0000-000021470000}"/>
    <cellStyle name="Normal 156 2 9" xfId="18524" xr:uid="{00000000-0005-0000-0000-000022470000}"/>
    <cellStyle name="Normal 156 3" xfId="18525" xr:uid="{00000000-0005-0000-0000-000023470000}"/>
    <cellStyle name="Normal 156 3 2" xfId="18526" xr:uid="{00000000-0005-0000-0000-000024470000}"/>
    <cellStyle name="Normal 156 3 2 2" xfId="18527" xr:uid="{00000000-0005-0000-0000-000025470000}"/>
    <cellStyle name="Normal 156 3 2 2 2" xfId="18528" xr:uid="{00000000-0005-0000-0000-000026470000}"/>
    <cellStyle name="Normal 156 3 2 2 3" xfId="18529" xr:uid="{00000000-0005-0000-0000-000027470000}"/>
    <cellStyle name="Normal 156 3 2 3" xfId="18530" xr:uid="{00000000-0005-0000-0000-000028470000}"/>
    <cellStyle name="Normal 156 3 2 3 2" xfId="18531" xr:uid="{00000000-0005-0000-0000-000029470000}"/>
    <cellStyle name="Normal 156 3 2 3 3" xfId="18532" xr:uid="{00000000-0005-0000-0000-00002A470000}"/>
    <cellStyle name="Normal 156 3 2 4" xfId="18533" xr:uid="{00000000-0005-0000-0000-00002B470000}"/>
    <cellStyle name="Normal 156 3 2 5" xfId="18534" xr:uid="{00000000-0005-0000-0000-00002C470000}"/>
    <cellStyle name="Normal 156 3 2 6" xfId="18535" xr:uid="{00000000-0005-0000-0000-00002D470000}"/>
    <cellStyle name="Normal 156 3 3" xfId="18536" xr:uid="{00000000-0005-0000-0000-00002E470000}"/>
    <cellStyle name="Normal 156 3 3 2" xfId="18537" xr:uid="{00000000-0005-0000-0000-00002F470000}"/>
    <cellStyle name="Normal 156 3 3 3" xfId="18538" xr:uid="{00000000-0005-0000-0000-000030470000}"/>
    <cellStyle name="Normal 156 3 4" xfId="18539" xr:uid="{00000000-0005-0000-0000-000031470000}"/>
    <cellStyle name="Normal 156 3 4 2" xfId="18540" xr:uid="{00000000-0005-0000-0000-000032470000}"/>
    <cellStyle name="Normal 156 3 4 3" xfId="18541" xr:uid="{00000000-0005-0000-0000-000033470000}"/>
    <cellStyle name="Normal 156 3 5" xfId="18542" xr:uid="{00000000-0005-0000-0000-000034470000}"/>
    <cellStyle name="Normal 156 3 6" xfId="18543" xr:uid="{00000000-0005-0000-0000-000035470000}"/>
    <cellStyle name="Normal 156 3 7" xfId="18544" xr:uid="{00000000-0005-0000-0000-000036470000}"/>
    <cellStyle name="Normal 156 3 8" xfId="18545" xr:uid="{00000000-0005-0000-0000-000037470000}"/>
    <cellStyle name="Normal 156 4" xfId="18546" xr:uid="{00000000-0005-0000-0000-000038470000}"/>
    <cellStyle name="Normal 156 4 2" xfId="18547" xr:uid="{00000000-0005-0000-0000-000039470000}"/>
    <cellStyle name="Normal 156 4 2 2" xfId="18548" xr:uid="{00000000-0005-0000-0000-00003A470000}"/>
    <cellStyle name="Normal 156 4 2 3" xfId="18549" xr:uid="{00000000-0005-0000-0000-00003B470000}"/>
    <cellStyle name="Normal 156 4 3" xfId="18550" xr:uid="{00000000-0005-0000-0000-00003C470000}"/>
    <cellStyle name="Normal 156 4 3 2" xfId="18551" xr:uid="{00000000-0005-0000-0000-00003D470000}"/>
    <cellStyle name="Normal 156 4 3 3" xfId="18552" xr:uid="{00000000-0005-0000-0000-00003E470000}"/>
    <cellStyle name="Normal 156 4 4" xfId="18553" xr:uid="{00000000-0005-0000-0000-00003F470000}"/>
    <cellStyle name="Normal 156 4 5" xfId="18554" xr:uid="{00000000-0005-0000-0000-000040470000}"/>
    <cellStyle name="Normal 156 4 6" xfId="18555" xr:uid="{00000000-0005-0000-0000-000041470000}"/>
    <cellStyle name="Normal 156 5" xfId="18556" xr:uid="{00000000-0005-0000-0000-000042470000}"/>
    <cellStyle name="Normal 156 5 2" xfId="18557" xr:uid="{00000000-0005-0000-0000-000043470000}"/>
    <cellStyle name="Normal 156 5 3" xfId="18558" xr:uid="{00000000-0005-0000-0000-000044470000}"/>
    <cellStyle name="Normal 156 6" xfId="18559" xr:uid="{00000000-0005-0000-0000-000045470000}"/>
    <cellStyle name="Normal 156 6 2" xfId="18560" xr:uid="{00000000-0005-0000-0000-000046470000}"/>
    <cellStyle name="Normal 156 6 3" xfId="18561" xr:uid="{00000000-0005-0000-0000-000047470000}"/>
    <cellStyle name="Normal 156 7" xfId="18562" xr:uid="{00000000-0005-0000-0000-000048470000}"/>
    <cellStyle name="Normal 156 8" xfId="18563" xr:uid="{00000000-0005-0000-0000-000049470000}"/>
    <cellStyle name="Normal 156 9" xfId="18564" xr:uid="{00000000-0005-0000-0000-00004A470000}"/>
    <cellStyle name="Normal 157" xfId="2137" xr:uid="{00000000-0005-0000-0000-00004B470000}"/>
    <cellStyle name="Normal 157 10" xfId="18565" xr:uid="{00000000-0005-0000-0000-00004C470000}"/>
    <cellStyle name="Normal 157 11" xfId="18566" xr:uid="{00000000-0005-0000-0000-00004D470000}"/>
    <cellStyle name="Normal 157 12" xfId="18567" xr:uid="{00000000-0005-0000-0000-00004E470000}"/>
    <cellStyle name="Normal 157 2" xfId="18568" xr:uid="{00000000-0005-0000-0000-00004F470000}"/>
    <cellStyle name="Normal 157 2 10" xfId="18569" xr:uid="{00000000-0005-0000-0000-000050470000}"/>
    <cellStyle name="Normal 157 2 2" xfId="18570" xr:uid="{00000000-0005-0000-0000-000051470000}"/>
    <cellStyle name="Normal 157 2 2 2" xfId="18571" xr:uid="{00000000-0005-0000-0000-000052470000}"/>
    <cellStyle name="Normal 157 2 2 2 2" xfId="18572" xr:uid="{00000000-0005-0000-0000-000053470000}"/>
    <cellStyle name="Normal 157 2 2 2 2 2" xfId="18573" xr:uid="{00000000-0005-0000-0000-000054470000}"/>
    <cellStyle name="Normal 157 2 2 2 2 3" xfId="18574" xr:uid="{00000000-0005-0000-0000-000055470000}"/>
    <cellStyle name="Normal 157 2 2 2 3" xfId="18575" xr:uid="{00000000-0005-0000-0000-000056470000}"/>
    <cellStyle name="Normal 157 2 2 2 3 2" xfId="18576" xr:uid="{00000000-0005-0000-0000-000057470000}"/>
    <cellStyle name="Normal 157 2 2 2 3 3" xfId="18577" xr:uid="{00000000-0005-0000-0000-000058470000}"/>
    <cellStyle name="Normal 157 2 2 2 4" xfId="18578" xr:uid="{00000000-0005-0000-0000-000059470000}"/>
    <cellStyle name="Normal 157 2 2 2 5" xfId="18579" xr:uid="{00000000-0005-0000-0000-00005A470000}"/>
    <cellStyle name="Normal 157 2 2 2 6" xfId="18580" xr:uid="{00000000-0005-0000-0000-00005B470000}"/>
    <cellStyle name="Normal 157 2 2 3" xfId="18581" xr:uid="{00000000-0005-0000-0000-00005C470000}"/>
    <cellStyle name="Normal 157 2 2 3 2" xfId="18582" xr:uid="{00000000-0005-0000-0000-00005D470000}"/>
    <cellStyle name="Normal 157 2 2 3 3" xfId="18583" xr:uid="{00000000-0005-0000-0000-00005E470000}"/>
    <cellStyle name="Normal 157 2 2 4" xfId="18584" xr:uid="{00000000-0005-0000-0000-00005F470000}"/>
    <cellStyle name="Normal 157 2 2 4 2" xfId="18585" xr:uid="{00000000-0005-0000-0000-000060470000}"/>
    <cellStyle name="Normal 157 2 2 4 3" xfId="18586" xr:uid="{00000000-0005-0000-0000-000061470000}"/>
    <cellStyle name="Normal 157 2 2 5" xfId="18587" xr:uid="{00000000-0005-0000-0000-000062470000}"/>
    <cellStyle name="Normal 157 2 2 6" xfId="18588" xr:uid="{00000000-0005-0000-0000-000063470000}"/>
    <cellStyle name="Normal 157 2 2 7" xfId="18589" xr:uid="{00000000-0005-0000-0000-000064470000}"/>
    <cellStyle name="Normal 157 2 2 8" xfId="18590" xr:uid="{00000000-0005-0000-0000-000065470000}"/>
    <cellStyle name="Normal 157 2 3" xfId="18591" xr:uid="{00000000-0005-0000-0000-000066470000}"/>
    <cellStyle name="Normal 157 2 3 2" xfId="18592" xr:uid="{00000000-0005-0000-0000-000067470000}"/>
    <cellStyle name="Normal 157 2 3 2 2" xfId="18593" xr:uid="{00000000-0005-0000-0000-000068470000}"/>
    <cellStyle name="Normal 157 2 3 2 3" xfId="18594" xr:uid="{00000000-0005-0000-0000-000069470000}"/>
    <cellStyle name="Normal 157 2 3 3" xfId="18595" xr:uid="{00000000-0005-0000-0000-00006A470000}"/>
    <cellStyle name="Normal 157 2 3 3 2" xfId="18596" xr:uid="{00000000-0005-0000-0000-00006B470000}"/>
    <cellStyle name="Normal 157 2 3 3 3" xfId="18597" xr:uid="{00000000-0005-0000-0000-00006C470000}"/>
    <cellStyle name="Normal 157 2 3 4" xfId="18598" xr:uid="{00000000-0005-0000-0000-00006D470000}"/>
    <cellStyle name="Normal 157 2 3 5" xfId="18599" xr:uid="{00000000-0005-0000-0000-00006E470000}"/>
    <cellStyle name="Normal 157 2 3 6" xfId="18600" xr:uid="{00000000-0005-0000-0000-00006F470000}"/>
    <cellStyle name="Normal 157 2 4" xfId="18601" xr:uid="{00000000-0005-0000-0000-000070470000}"/>
    <cellStyle name="Normal 157 2 4 2" xfId="18602" xr:uid="{00000000-0005-0000-0000-000071470000}"/>
    <cellStyle name="Normal 157 2 4 3" xfId="18603" xr:uid="{00000000-0005-0000-0000-000072470000}"/>
    <cellStyle name="Normal 157 2 5" xfId="18604" xr:uid="{00000000-0005-0000-0000-000073470000}"/>
    <cellStyle name="Normal 157 2 5 2" xfId="18605" xr:uid="{00000000-0005-0000-0000-000074470000}"/>
    <cellStyle name="Normal 157 2 5 3" xfId="18606" xr:uid="{00000000-0005-0000-0000-000075470000}"/>
    <cellStyle name="Normal 157 2 6" xfId="18607" xr:uid="{00000000-0005-0000-0000-000076470000}"/>
    <cellStyle name="Normal 157 2 7" xfId="18608" xr:uid="{00000000-0005-0000-0000-000077470000}"/>
    <cellStyle name="Normal 157 2 8" xfId="18609" xr:uid="{00000000-0005-0000-0000-000078470000}"/>
    <cellStyle name="Normal 157 2 9" xfId="18610" xr:uid="{00000000-0005-0000-0000-000079470000}"/>
    <cellStyle name="Normal 157 3" xfId="18611" xr:uid="{00000000-0005-0000-0000-00007A470000}"/>
    <cellStyle name="Normal 157 3 2" xfId="18612" xr:uid="{00000000-0005-0000-0000-00007B470000}"/>
    <cellStyle name="Normal 157 3 2 2" xfId="18613" xr:uid="{00000000-0005-0000-0000-00007C470000}"/>
    <cellStyle name="Normal 157 3 2 2 2" xfId="18614" xr:uid="{00000000-0005-0000-0000-00007D470000}"/>
    <cellStyle name="Normal 157 3 2 2 3" xfId="18615" xr:uid="{00000000-0005-0000-0000-00007E470000}"/>
    <cellStyle name="Normal 157 3 2 3" xfId="18616" xr:uid="{00000000-0005-0000-0000-00007F470000}"/>
    <cellStyle name="Normal 157 3 2 3 2" xfId="18617" xr:uid="{00000000-0005-0000-0000-000080470000}"/>
    <cellStyle name="Normal 157 3 2 3 3" xfId="18618" xr:uid="{00000000-0005-0000-0000-000081470000}"/>
    <cellStyle name="Normal 157 3 2 4" xfId="18619" xr:uid="{00000000-0005-0000-0000-000082470000}"/>
    <cellStyle name="Normal 157 3 2 5" xfId="18620" xr:uid="{00000000-0005-0000-0000-000083470000}"/>
    <cellStyle name="Normal 157 3 2 6" xfId="18621" xr:uid="{00000000-0005-0000-0000-000084470000}"/>
    <cellStyle name="Normal 157 3 3" xfId="18622" xr:uid="{00000000-0005-0000-0000-000085470000}"/>
    <cellStyle name="Normal 157 3 3 2" xfId="18623" xr:uid="{00000000-0005-0000-0000-000086470000}"/>
    <cellStyle name="Normal 157 3 3 3" xfId="18624" xr:uid="{00000000-0005-0000-0000-000087470000}"/>
    <cellStyle name="Normal 157 3 4" xfId="18625" xr:uid="{00000000-0005-0000-0000-000088470000}"/>
    <cellStyle name="Normal 157 3 4 2" xfId="18626" xr:uid="{00000000-0005-0000-0000-000089470000}"/>
    <cellStyle name="Normal 157 3 4 3" xfId="18627" xr:uid="{00000000-0005-0000-0000-00008A470000}"/>
    <cellStyle name="Normal 157 3 5" xfId="18628" xr:uid="{00000000-0005-0000-0000-00008B470000}"/>
    <cellStyle name="Normal 157 3 6" xfId="18629" xr:uid="{00000000-0005-0000-0000-00008C470000}"/>
    <cellStyle name="Normal 157 3 7" xfId="18630" xr:uid="{00000000-0005-0000-0000-00008D470000}"/>
    <cellStyle name="Normal 157 3 8" xfId="18631" xr:uid="{00000000-0005-0000-0000-00008E470000}"/>
    <cellStyle name="Normal 157 4" xfId="18632" xr:uid="{00000000-0005-0000-0000-00008F470000}"/>
    <cellStyle name="Normal 157 4 2" xfId="18633" xr:uid="{00000000-0005-0000-0000-000090470000}"/>
    <cellStyle name="Normal 157 4 2 2" xfId="18634" xr:uid="{00000000-0005-0000-0000-000091470000}"/>
    <cellStyle name="Normal 157 4 2 3" xfId="18635" xr:uid="{00000000-0005-0000-0000-000092470000}"/>
    <cellStyle name="Normal 157 4 3" xfId="18636" xr:uid="{00000000-0005-0000-0000-000093470000}"/>
    <cellStyle name="Normal 157 4 3 2" xfId="18637" xr:uid="{00000000-0005-0000-0000-000094470000}"/>
    <cellStyle name="Normal 157 4 3 3" xfId="18638" xr:uid="{00000000-0005-0000-0000-000095470000}"/>
    <cellStyle name="Normal 157 4 4" xfId="18639" xr:uid="{00000000-0005-0000-0000-000096470000}"/>
    <cellStyle name="Normal 157 4 5" xfId="18640" xr:uid="{00000000-0005-0000-0000-000097470000}"/>
    <cellStyle name="Normal 157 4 6" xfId="18641" xr:uid="{00000000-0005-0000-0000-000098470000}"/>
    <cellStyle name="Normal 157 5" xfId="18642" xr:uid="{00000000-0005-0000-0000-000099470000}"/>
    <cellStyle name="Normal 157 5 2" xfId="18643" xr:uid="{00000000-0005-0000-0000-00009A470000}"/>
    <cellStyle name="Normal 157 5 3" xfId="18644" xr:uid="{00000000-0005-0000-0000-00009B470000}"/>
    <cellStyle name="Normal 157 6" xfId="18645" xr:uid="{00000000-0005-0000-0000-00009C470000}"/>
    <cellStyle name="Normal 157 6 2" xfId="18646" xr:uid="{00000000-0005-0000-0000-00009D470000}"/>
    <cellStyle name="Normal 157 6 3" xfId="18647" xr:uid="{00000000-0005-0000-0000-00009E470000}"/>
    <cellStyle name="Normal 157 7" xfId="18648" xr:uid="{00000000-0005-0000-0000-00009F470000}"/>
    <cellStyle name="Normal 157 8" xfId="18649" xr:uid="{00000000-0005-0000-0000-0000A0470000}"/>
    <cellStyle name="Normal 157 9" xfId="18650" xr:uid="{00000000-0005-0000-0000-0000A1470000}"/>
    <cellStyle name="Normal 158" xfId="2138" xr:uid="{00000000-0005-0000-0000-0000A2470000}"/>
    <cellStyle name="Normal 158 10" xfId="18651" xr:uid="{00000000-0005-0000-0000-0000A3470000}"/>
    <cellStyle name="Normal 158 11" xfId="18652" xr:uid="{00000000-0005-0000-0000-0000A4470000}"/>
    <cellStyle name="Normal 158 12" xfId="18653" xr:uid="{00000000-0005-0000-0000-0000A5470000}"/>
    <cellStyle name="Normal 158 2" xfId="18654" xr:uid="{00000000-0005-0000-0000-0000A6470000}"/>
    <cellStyle name="Normal 158 2 10" xfId="18655" xr:uid="{00000000-0005-0000-0000-0000A7470000}"/>
    <cellStyle name="Normal 158 2 2" xfId="18656" xr:uid="{00000000-0005-0000-0000-0000A8470000}"/>
    <cellStyle name="Normal 158 2 2 2" xfId="18657" xr:uid="{00000000-0005-0000-0000-0000A9470000}"/>
    <cellStyle name="Normal 158 2 2 2 2" xfId="18658" xr:uid="{00000000-0005-0000-0000-0000AA470000}"/>
    <cellStyle name="Normal 158 2 2 2 2 2" xfId="18659" xr:uid="{00000000-0005-0000-0000-0000AB470000}"/>
    <cellStyle name="Normal 158 2 2 2 2 3" xfId="18660" xr:uid="{00000000-0005-0000-0000-0000AC470000}"/>
    <cellStyle name="Normal 158 2 2 2 3" xfId="18661" xr:uid="{00000000-0005-0000-0000-0000AD470000}"/>
    <cellStyle name="Normal 158 2 2 2 3 2" xfId="18662" xr:uid="{00000000-0005-0000-0000-0000AE470000}"/>
    <cellStyle name="Normal 158 2 2 2 3 3" xfId="18663" xr:uid="{00000000-0005-0000-0000-0000AF470000}"/>
    <cellStyle name="Normal 158 2 2 2 4" xfId="18664" xr:uid="{00000000-0005-0000-0000-0000B0470000}"/>
    <cellStyle name="Normal 158 2 2 2 5" xfId="18665" xr:uid="{00000000-0005-0000-0000-0000B1470000}"/>
    <cellStyle name="Normal 158 2 2 2 6" xfId="18666" xr:uid="{00000000-0005-0000-0000-0000B2470000}"/>
    <cellStyle name="Normal 158 2 2 3" xfId="18667" xr:uid="{00000000-0005-0000-0000-0000B3470000}"/>
    <cellStyle name="Normal 158 2 2 3 2" xfId="18668" xr:uid="{00000000-0005-0000-0000-0000B4470000}"/>
    <cellStyle name="Normal 158 2 2 3 3" xfId="18669" xr:uid="{00000000-0005-0000-0000-0000B5470000}"/>
    <cellStyle name="Normal 158 2 2 4" xfId="18670" xr:uid="{00000000-0005-0000-0000-0000B6470000}"/>
    <cellStyle name="Normal 158 2 2 4 2" xfId="18671" xr:uid="{00000000-0005-0000-0000-0000B7470000}"/>
    <cellStyle name="Normal 158 2 2 4 3" xfId="18672" xr:uid="{00000000-0005-0000-0000-0000B8470000}"/>
    <cellStyle name="Normal 158 2 2 5" xfId="18673" xr:uid="{00000000-0005-0000-0000-0000B9470000}"/>
    <cellStyle name="Normal 158 2 2 6" xfId="18674" xr:uid="{00000000-0005-0000-0000-0000BA470000}"/>
    <cellStyle name="Normal 158 2 2 7" xfId="18675" xr:uid="{00000000-0005-0000-0000-0000BB470000}"/>
    <cellStyle name="Normal 158 2 2 8" xfId="18676" xr:uid="{00000000-0005-0000-0000-0000BC470000}"/>
    <cellStyle name="Normal 158 2 3" xfId="18677" xr:uid="{00000000-0005-0000-0000-0000BD470000}"/>
    <cellStyle name="Normal 158 2 3 2" xfId="18678" xr:uid="{00000000-0005-0000-0000-0000BE470000}"/>
    <cellStyle name="Normal 158 2 3 2 2" xfId="18679" xr:uid="{00000000-0005-0000-0000-0000BF470000}"/>
    <cellStyle name="Normal 158 2 3 2 3" xfId="18680" xr:uid="{00000000-0005-0000-0000-0000C0470000}"/>
    <cellStyle name="Normal 158 2 3 3" xfId="18681" xr:uid="{00000000-0005-0000-0000-0000C1470000}"/>
    <cellStyle name="Normal 158 2 3 3 2" xfId="18682" xr:uid="{00000000-0005-0000-0000-0000C2470000}"/>
    <cellStyle name="Normal 158 2 3 3 3" xfId="18683" xr:uid="{00000000-0005-0000-0000-0000C3470000}"/>
    <cellStyle name="Normal 158 2 3 4" xfId="18684" xr:uid="{00000000-0005-0000-0000-0000C4470000}"/>
    <cellStyle name="Normal 158 2 3 5" xfId="18685" xr:uid="{00000000-0005-0000-0000-0000C5470000}"/>
    <cellStyle name="Normal 158 2 3 6" xfId="18686" xr:uid="{00000000-0005-0000-0000-0000C6470000}"/>
    <cellStyle name="Normal 158 2 4" xfId="18687" xr:uid="{00000000-0005-0000-0000-0000C7470000}"/>
    <cellStyle name="Normal 158 2 4 2" xfId="18688" xr:uid="{00000000-0005-0000-0000-0000C8470000}"/>
    <cellStyle name="Normal 158 2 4 3" xfId="18689" xr:uid="{00000000-0005-0000-0000-0000C9470000}"/>
    <cellStyle name="Normal 158 2 5" xfId="18690" xr:uid="{00000000-0005-0000-0000-0000CA470000}"/>
    <cellStyle name="Normal 158 2 5 2" xfId="18691" xr:uid="{00000000-0005-0000-0000-0000CB470000}"/>
    <cellStyle name="Normal 158 2 5 3" xfId="18692" xr:uid="{00000000-0005-0000-0000-0000CC470000}"/>
    <cellStyle name="Normal 158 2 6" xfId="18693" xr:uid="{00000000-0005-0000-0000-0000CD470000}"/>
    <cellStyle name="Normal 158 2 7" xfId="18694" xr:uid="{00000000-0005-0000-0000-0000CE470000}"/>
    <cellStyle name="Normal 158 2 8" xfId="18695" xr:uid="{00000000-0005-0000-0000-0000CF470000}"/>
    <cellStyle name="Normal 158 2 9" xfId="18696" xr:uid="{00000000-0005-0000-0000-0000D0470000}"/>
    <cellStyle name="Normal 158 3" xfId="18697" xr:uid="{00000000-0005-0000-0000-0000D1470000}"/>
    <cellStyle name="Normal 158 3 2" xfId="18698" xr:uid="{00000000-0005-0000-0000-0000D2470000}"/>
    <cellStyle name="Normal 158 3 2 2" xfId="18699" xr:uid="{00000000-0005-0000-0000-0000D3470000}"/>
    <cellStyle name="Normal 158 3 2 2 2" xfId="18700" xr:uid="{00000000-0005-0000-0000-0000D4470000}"/>
    <cellStyle name="Normal 158 3 2 2 3" xfId="18701" xr:uid="{00000000-0005-0000-0000-0000D5470000}"/>
    <cellStyle name="Normal 158 3 2 3" xfId="18702" xr:uid="{00000000-0005-0000-0000-0000D6470000}"/>
    <cellStyle name="Normal 158 3 2 3 2" xfId="18703" xr:uid="{00000000-0005-0000-0000-0000D7470000}"/>
    <cellStyle name="Normal 158 3 2 3 3" xfId="18704" xr:uid="{00000000-0005-0000-0000-0000D8470000}"/>
    <cellStyle name="Normal 158 3 2 4" xfId="18705" xr:uid="{00000000-0005-0000-0000-0000D9470000}"/>
    <cellStyle name="Normal 158 3 2 5" xfId="18706" xr:uid="{00000000-0005-0000-0000-0000DA470000}"/>
    <cellStyle name="Normal 158 3 2 6" xfId="18707" xr:uid="{00000000-0005-0000-0000-0000DB470000}"/>
    <cellStyle name="Normal 158 3 3" xfId="18708" xr:uid="{00000000-0005-0000-0000-0000DC470000}"/>
    <cellStyle name="Normal 158 3 3 2" xfId="18709" xr:uid="{00000000-0005-0000-0000-0000DD470000}"/>
    <cellStyle name="Normal 158 3 3 3" xfId="18710" xr:uid="{00000000-0005-0000-0000-0000DE470000}"/>
    <cellStyle name="Normal 158 3 4" xfId="18711" xr:uid="{00000000-0005-0000-0000-0000DF470000}"/>
    <cellStyle name="Normal 158 3 4 2" xfId="18712" xr:uid="{00000000-0005-0000-0000-0000E0470000}"/>
    <cellStyle name="Normal 158 3 4 3" xfId="18713" xr:uid="{00000000-0005-0000-0000-0000E1470000}"/>
    <cellStyle name="Normal 158 3 5" xfId="18714" xr:uid="{00000000-0005-0000-0000-0000E2470000}"/>
    <cellStyle name="Normal 158 3 6" xfId="18715" xr:uid="{00000000-0005-0000-0000-0000E3470000}"/>
    <cellStyle name="Normal 158 3 7" xfId="18716" xr:uid="{00000000-0005-0000-0000-0000E4470000}"/>
    <cellStyle name="Normal 158 3 8" xfId="18717" xr:uid="{00000000-0005-0000-0000-0000E5470000}"/>
    <cellStyle name="Normal 158 4" xfId="18718" xr:uid="{00000000-0005-0000-0000-0000E6470000}"/>
    <cellStyle name="Normal 158 4 2" xfId="18719" xr:uid="{00000000-0005-0000-0000-0000E7470000}"/>
    <cellStyle name="Normal 158 4 2 2" xfId="18720" xr:uid="{00000000-0005-0000-0000-0000E8470000}"/>
    <cellStyle name="Normal 158 4 2 3" xfId="18721" xr:uid="{00000000-0005-0000-0000-0000E9470000}"/>
    <cellStyle name="Normal 158 4 3" xfId="18722" xr:uid="{00000000-0005-0000-0000-0000EA470000}"/>
    <cellStyle name="Normal 158 4 3 2" xfId="18723" xr:uid="{00000000-0005-0000-0000-0000EB470000}"/>
    <cellStyle name="Normal 158 4 3 3" xfId="18724" xr:uid="{00000000-0005-0000-0000-0000EC470000}"/>
    <cellStyle name="Normal 158 4 4" xfId="18725" xr:uid="{00000000-0005-0000-0000-0000ED470000}"/>
    <cellStyle name="Normal 158 4 5" xfId="18726" xr:uid="{00000000-0005-0000-0000-0000EE470000}"/>
    <cellStyle name="Normal 158 4 6" xfId="18727" xr:uid="{00000000-0005-0000-0000-0000EF470000}"/>
    <cellStyle name="Normal 158 5" xfId="18728" xr:uid="{00000000-0005-0000-0000-0000F0470000}"/>
    <cellStyle name="Normal 158 5 2" xfId="18729" xr:uid="{00000000-0005-0000-0000-0000F1470000}"/>
    <cellStyle name="Normal 158 5 3" xfId="18730" xr:uid="{00000000-0005-0000-0000-0000F2470000}"/>
    <cellStyle name="Normal 158 6" xfId="18731" xr:uid="{00000000-0005-0000-0000-0000F3470000}"/>
    <cellStyle name="Normal 158 6 2" xfId="18732" xr:uid="{00000000-0005-0000-0000-0000F4470000}"/>
    <cellStyle name="Normal 158 6 3" xfId="18733" xr:uid="{00000000-0005-0000-0000-0000F5470000}"/>
    <cellStyle name="Normal 158 7" xfId="18734" xr:uid="{00000000-0005-0000-0000-0000F6470000}"/>
    <cellStyle name="Normal 158 8" xfId="18735" xr:uid="{00000000-0005-0000-0000-0000F7470000}"/>
    <cellStyle name="Normal 158 9" xfId="18736" xr:uid="{00000000-0005-0000-0000-0000F8470000}"/>
    <cellStyle name="Normal 159" xfId="2139" xr:uid="{00000000-0005-0000-0000-0000F9470000}"/>
    <cellStyle name="Normal 159 10" xfId="18737" xr:uid="{00000000-0005-0000-0000-0000FA470000}"/>
    <cellStyle name="Normal 159 11" xfId="18738" xr:uid="{00000000-0005-0000-0000-0000FB470000}"/>
    <cellStyle name="Normal 159 12" xfId="18739" xr:uid="{00000000-0005-0000-0000-0000FC470000}"/>
    <cellStyle name="Normal 159 2" xfId="18740" xr:uid="{00000000-0005-0000-0000-0000FD470000}"/>
    <cellStyle name="Normal 159 2 10" xfId="18741" xr:uid="{00000000-0005-0000-0000-0000FE470000}"/>
    <cellStyle name="Normal 159 2 2" xfId="18742" xr:uid="{00000000-0005-0000-0000-0000FF470000}"/>
    <cellStyle name="Normal 159 2 2 2" xfId="18743" xr:uid="{00000000-0005-0000-0000-000000480000}"/>
    <cellStyle name="Normal 159 2 2 2 2" xfId="18744" xr:uid="{00000000-0005-0000-0000-000001480000}"/>
    <cellStyle name="Normal 159 2 2 2 2 2" xfId="18745" xr:uid="{00000000-0005-0000-0000-000002480000}"/>
    <cellStyle name="Normal 159 2 2 2 2 3" xfId="18746" xr:uid="{00000000-0005-0000-0000-000003480000}"/>
    <cellStyle name="Normal 159 2 2 2 3" xfId="18747" xr:uid="{00000000-0005-0000-0000-000004480000}"/>
    <cellStyle name="Normal 159 2 2 2 3 2" xfId="18748" xr:uid="{00000000-0005-0000-0000-000005480000}"/>
    <cellStyle name="Normal 159 2 2 2 3 3" xfId="18749" xr:uid="{00000000-0005-0000-0000-000006480000}"/>
    <cellStyle name="Normal 159 2 2 2 4" xfId="18750" xr:uid="{00000000-0005-0000-0000-000007480000}"/>
    <cellStyle name="Normal 159 2 2 2 5" xfId="18751" xr:uid="{00000000-0005-0000-0000-000008480000}"/>
    <cellStyle name="Normal 159 2 2 2 6" xfId="18752" xr:uid="{00000000-0005-0000-0000-000009480000}"/>
    <cellStyle name="Normal 159 2 2 3" xfId="18753" xr:uid="{00000000-0005-0000-0000-00000A480000}"/>
    <cellStyle name="Normal 159 2 2 3 2" xfId="18754" xr:uid="{00000000-0005-0000-0000-00000B480000}"/>
    <cellStyle name="Normal 159 2 2 3 3" xfId="18755" xr:uid="{00000000-0005-0000-0000-00000C480000}"/>
    <cellStyle name="Normal 159 2 2 4" xfId="18756" xr:uid="{00000000-0005-0000-0000-00000D480000}"/>
    <cellStyle name="Normal 159 2 2 4 2" xfId="18757" xr:uid="{00000000-0005-0000-0000-00000E480000}"/>
    <cellStyle name="Normal 159 2 2 4 3" xfId="18758" xr:uid="{00000000-0005-0000-0000-00000F480000}"/>
    <cellStyle name="Normal 159 2 2 5" xfId="18759" xr:uid="{00000000-0005-0000-0000-000010480000}"/>
    <cellStyle name="Normal 159 2 2 6" xfId="18760" xr:uid="{00000000-0005-0000-0000-000011480000}"/>
    <cellStyle name="Normal 159 2 2 7" xfId="18761" xr:uid="{00000000-0005-0000-0000-000012480000}"/>
    <cellStyle name="Normal 159 2 2 8" xfId="18762" xr:uid="{00000000-0005-0000-0000-000013480000}"/>
    <cellStyle name="Normal 159 2 2 9" xfId="18763" xr:uid="{00000000-0005-0000-0000-000014480000}"/>
    <cellStyle name="Normal 159 2 3" xfId="18764" xr:uid="{00000000-0005-0000-0000-000015480000}"/>
    <cellStyle name="Normal 159 2 3 2" xfId="18765" xr:uid="{00000000-0005-0000-0000-000016480000}"/>
    <cellStyle name="Normal 159 2 3 2 2" xfId="18766" xr:uid="{00000000-0005-0000-0000-000017480000}"/>
    <cellStyle name="Normal 159 2 3 2 3" xfId="18767" xr:uid="{00000000-0005-0000-0000-000018480000}"/>
    <cellStyle name="Normal 159 2 3 3" xfId="18768" xr:uid="{00000000-0005-0000-0000-000019480000}"/>
    <cellStyle name="Normal 159 2 3 3 2" xfId="18769" xr:uid="{00000000-0005-0000-0000-00001A480000}"/>
    <cellStyle name="Normal 159 2 3 3 3" xfId="18770" xr:uid="{00000000-0005-0000-0000-00001B480000}"/>
    <cellStyle name="Normal 159 2 3 4" xfId="18771" xr:uid="{00000000-0005-0000-0000-00001C480000}"/>
    <cellStyle name="Normal 159 2 3 5" xfId="18772" xr:uid="{00000000-0005-0000-0000-00001D480000}"/>
    <cellStyle name="Normal 159 2 3 6" xfId="18773" xr:uid="{00000000-0005-0000-0000-00001E480000}"/>
    <cellStyle name="Normal 159 2 3 7" xfId="18774" xr:uid="{00000000-0005-0000-0000-00001F480000}"/>
    <cellStyle name="Normal 159 2 4" xfId="18775" xr:uid="{00000000-0005-0000-0000-000020480000}"/>
    <cellStyle name="Normal 159 2 4 2" xfId="18776" xr:uid="{00000000-0005-0000-0000-000021480000}"/>
    <cellStyle name="Normal 159 2 4 3" xfId="18777" xr:uid="{00000000-0005-0000-0000-000022480000}"/>
    <cellStyle name="Normal 159 2 5" xfId="18778" xr:uid="{00000000-0005-0000-0000-000023480000}"/>
    <cellStyle name="Normal 159 2 5 2" xfId="18779" xr:uid="{00000000-0005-0000-0000-000024480000}"/>
    <cellStyle name="Normal 159 2 5 3" xfId="18780" xr:uid="{00000000-0005-0000-0000-000025480000}"/>
    <cellStyle name="Normal 159 2 6" xfId="18781" xr:uid="{00000000-0005-0000-0000-000026480000}"/>
    <cellStyle name="Normal 159 2 7" xfId="18782" xr:uid="{00000000-0005-0000-0000-000027480000}"/>
    <cellStyle name="Normal 159 2 8" xfId="18783" xr:uid="{00000000-0005-0000-0000-000028480000}"/>
    <cellStyle name="Normal 159 2 9" xfId="18784" xr:uid="{00000000-0005-0000-0000-000029480000}"/>
    <cellStyle name="Normal 159 3" xfId="18785" xr:uid="{00000000-0005-0000-0000-00002A480000}"/>
    <cellStyle name="Normal 159 3 2" xfId="18786" xr:uid="{00000000-0005-0000-0000-00002B480000}"/>
    <cellStyle name="Normal 159 3 2 2" xfId="18787" xr:uid="{00000000-0005-0000-0000-00002C480000}"/>
    <cellStyle name="Normal 159 3 2 2 2" xfId="18788" xr:uid="{00000000-0005-0000-0000-00002D480000}"/>
    <cellStyle name="Normal 159 3 2 2 3" xfId="18789" xr:uid="{00000000-0005-0000-0000-00002E480000}"/>
    <cellStyle name="Normal 159 3 2 3" xfId="18790" xr:uid="{00000000-0005-0000-0000-00002F480000}"/>
    <cellStyle name="Normal 159 3 2 3 2" xfId="18791" xr:uid="{00000000-0005-0000-0000-000030480000}"/>
    <cellStyle name="Normal 159 3 2 3 3" xfId="18792" xr:uid="{00000000-0005-0000-0000-000031480000}"/>
    <cellStyle name="Normal 159 3 2 4" xfId="18793" xr:uid="{00000000-0005-0000-0000-000032480000}"/>
    <cellStyle name="Normal 159 3 2 5" xfId="18794" xr:uid="{00000000-0005-0000-0000-000033480000}"/>
    <cellStyle name="Normal 159 3 2 6" xfId="18795" xr:uid="{00000000-0005-0000-0000-000034480000}"/>
    <cellStyle name="Normal 159 3 3" xfId="18796" xr:uid="{00000000-0005-0000-0000-000035480000}"/>
    <cellStyle name="Normal 159 3 3 2" xfId="18797" xr:uid="{00000000-0005-0000-0000-000036480000}"/>
    <cellStyle name="Normal 159 3 3 3" xfId="18798" xr:uid="{00000000-0005-0000-0000-000037480000}"/>
    <cellStyle name="Normal 159 3 4" xfId="18799" xr:uid="{00000000-0005-0000-0000-000038480000}"/>
    <cellStyle name="Normal 159 3 4 2" xfId="18800" xr:uid="{00000000-0005-0000-0000-000039480000}"/>
    <cellStyle name="Normal 159 3 4 3" xfId="18801" xr:uid="{00000000-0005-0000-0000-00003A480000}"/>
    <cellStyle name="Normal 159 3 5" xfId="18802" xr:uid="{00000000-0005-0000-0000-00003B480000}"/>
    <cellStyle name="Normal 159 3 6" xfId="18803" xr:uid="{00000000-0005-0000-0000-00003C480000}"/>
    <cellStyle name="Normal 159 3 7" xfId="18804" xr:uid="{00000000-0005-0000-0000-00003D480000}"/>
    <cellStyle name="Normal 159 3 8" xfId="18805" xr:uid="{00000000-0005-0000-0000-00003E480000}"/>
    <cellStyle name="Normal 159 3 9" xfId="18806" xr:uid="{00000000-0005-0000-0000-00003F480000}"/>
    <cellStyle name="Normal 159 4" xfId="18807" xr:uid="{00000000-0005-0000-0000-000040480000}"/>
    <cellStyle name="Normal 159 4 2" xfId="18808" xr:uid="{00000000-0005-0000-0000-000041480000}"/>
    <cellStyle name="Normal 159 4 2 2" xfId="18809" xr:uid="{00000000-0005-0000-0000-000042480000}"/>
    <cellStyle name="Normal 159 4 2 3" xfId="18810" xr:uid="{00000000-0005-0000-0000-000043480000}"/>
    <cellStyle name="Normal 159 4 3" xfId="18811" xr:uid="{00000000-0005-0000-0000-000044480000}"/>
    <cellStyle name="Normal 159 4 3 2" xfId="18812" xr:uid="{00000000-0005-0000-0000-000045480000}"/>
    <cellStyle name="Normal 159 4 3 3" xfId="18813" xr:uid="{00000000-0005-0000-0000-000046480000}"/>
    <cellStyle name="Normal 159 4 4" xfId="18814" xr:uid="{00000000-0005-0000-0000-000047480000}"/>
    <cellStyle name="Normal 159 4 5" xfId="18815" xr:uid="{00000000-0005-0000-0000-000048480000}"/>
    <cellStyle name="Normal 159 4 6" xfId="18816" xr:uid="{00000000-0005-0000-0000-000049480000}"/>
    <cellStyle name="Normal 159 4 7" xfId="18817" xr:uid="{00000000-0005-0000-0000-00004A480000}"/>
    <cellStyle name="Normal 159 5" xfId="18818" xr:uid="{00000000-0005-0000-0000-00004B480000}"/>
    <cellStyle name="Normal 159 5 2" xfId="18819" xr:uid="{00000000-0005-0000-0000-00004C480000}"/>
    <cellStyle name="Normal 159 5 3" xfId="18820" xr:uid="{00000000-0005-0000-0000-00004D480000}"/>
    <cellStyle name="Normal 159 6" xfId="18821" xr:uid="{00000000-0005-0000-0000-00004E480000}"/>
    <cellStyle name="Normal 159 6 2" xfId="18822" xr:uid="{00000000-0005-0000-0000-00004F480000}"/>
    <cellStyle name="Normal 159 6 3" xfId="18823" xr:uid="{00000000-0005-0000-0000-000050480000}"/>
    <cellStyle name="Normal 159 7" xfId="18824" xr:uid="{00000000-0005-0000-0000-000051480000}"/>
    <cellStyle name="Normal 159 8" xfId="18825" xr:uid="{00000000-0005-0000-0000-000052480000}"/>
    <cellStyle name="Normal 159 9" xfId="18826" xr:uid="{00000000-0005-0000-0000-000053480000}"/>
    <cellStyle name="Normal 159_Order Book" xfId="18827" xr:uid="{00000000-0005-0000-0000-000054480000}"/>
    <cellStyle name="Normal 16" xfId="2140" xr:uid="{00000000-0005-0000-0000-000055480000}"/>
    <cellStyle name="Normal 16 10" xfId="18828" xr:uid="{00000000-0005-0000-0000-000056480000}"/>
    <cellStyle name="Normal 16 11" xfId="18829" xr:uid="{00000000-0005-0000-0000-000057480000}"/>
    <cellStyle name="Normal 16 2" xfId="2141" xr:uid="{00000000-0005-0000-0000-000058480000}"/>
    <cellStyle name="Normal 16 2 2" xfId="18830" xr:uid="{00000000-0005-0000-0000-000059480000}"/>
    <cellStyle name="Normal 16 2 3" xfId="18831" xr:uid="{00000000-0005-0000-0000-00005A480000}"/>
    <cellStyle name="Normal 16 2 4" xfId="18832" xr:uid="{00000000-0005-0000-0000-00005B480000}"/>
    <cellStyle name="Normal 16 3" xfId="18833" xr:uid="{00000000-0005-0000-0000-00005C480000}"/>
    <cellStyle name="Normal 16 4" xfId="18834" xr:uid="{00000000-0005-0000-0000-00005D480000}"/>
    <cellStyle name="Normal 16 4 2" xfId="18835" xr:uid="{00000000-0005-0000-0000-00005E480000}"/>
    <cellStyle name="Normal 16 5" xfId="18836" xr:uid="{00000000-0005-0000-0000-00005F480000}"/>
    <cellStyle name="Normal 16 6" xfId="18837" xr:uid="{00000000-0005-0000-0000-000060480000}"/>
    <cellStyle name="Normal 16 6 2" xfId="18838" xr:uid="{00000000-0005-0000-0000-000061480000}"/>
    <cellStyle name="Normal 16 7" xfId="18839" xr:uid="{00000000-0005-0000-0000-000062480000}"/>
    <cellStyle name="Normal 16 7 2" xfId="18840" xr:uid="{00000000-0005-0000-0000-000063480000}"/>
    <cellStyle name="Normal 16 8" xfId="18841" xr:uid="{00000000-0005-0000-0000-000064480000}"/>
    <cellStyle name="Normal 16 8 2" xfId="18842" xr:uid="{00000000-0005-0000-0000-000065480000}"/>
    <cellStyle name="Normal 16 9" xfId="18843" xr:uid="{00000000-0005-0000-0000-000066480000}"/>
    <cellStyle name="Normal 160" xfId="2142" xr:uid="{00000000-0005-0000-0000-000067480000}"/>
    <cellStyle name="Normal 160 10" xfId="18844" xr:uid="{00000000-0005-0000-0000-000068480000}"/>
    <cellStyle name="Normal 160 11" xfId="18845" xr:uid="{00000000-0005-0000-0000-000069480000}"/>
    <cellStyle name="Normal 160 12" xfId="18846" xr:uid="{00000000-0005-0000-0000-00006A480000}"/>
    <cellStyle name="Normal 160 2" xfId="18847" xr:uid="{00000000-0005-0000-0000-00006B480000}"/>
    <cellStyle name="Normal 160 2 10" xfId="18848" xr:uid="{00000000-0005-0000-0000-00006C480000}"/>
    <cellStyle name="Normal 160 2 2" xfId="18849" xr:uid="{00000000-0005-0000-0000-00006D480000}"/>
    <cellStyle name="Normal 160 2 2 2" xfId="18850" xr:uid="{00000000-0005-0000-0000-00006E480000}"/>
    <cellStyle name="Normal 160 2 2 2 2" xfId="18851" xr:uid="{00000000-0005-0000-0000-00006F480000}"/>
    <cellStyle name="Normal 160 2 2 2 2 2" xfId="18852" xr:uid="{00000000-0005-0000-0000-000070480000}"/>
    <cellStyle name="Normal 160 2 2 2 2 3" xfId="18853" xr:uid="{00000000-0005-0000-0000-000071480000}"/>
    <cellStyle name="Normal 160 2 2 2 3" xfId="18854" xr:uid="{00000000-0005-0000-0000-000072480000}"/>
    <cellStyle name="Normal 160 2 2 2 3 2" xfId="18855" xr:uid="{00000000-0005-0000-0000-000073480000}"/>
    <cellStyle name="Normal 160 2 2 2 3 3" xfId="18856" xr:uid="{00000000-0005-0000-0000-000074480000}"/>
    <cellStyle name="Normal 160 2 2 2 4" xfId="18857" xr:uid="{00000000-0005-0000-0000-000075480000}"/>
    <cellStyle name="Normal 160 2 2 2 5" xfId="18858" xr:uid="{00000000-0005-0000-0000-000076480000}"/>
    <cellStyle name="Normal 160 2 2 2 6" xfId="18859" xr:uid="{00000000-0005-0000-0000-000077480000}"/>
    <cellStyle name="Normal 160 2 2 3" xfId="18860" xr:uid="{00000000-0005-0000-0000-000078480000}"/>
    <cellStyle name="Normal 160 2 2 3 2" xfId="18861" xr:uid="{00000000-0005-0000-0000-000079480000}"/>
    <cellStyle name="Normal 160 2 2 3 3" xfId="18862" xr:uid="{00000000-0005-0000-0000-00007A480000}"/>
    <cellStyle name="Normal 160 2 2 4" xfId="18863" xr:uid="{00000000-0005-0000-0000-00007B480000}"/>
    <cellStyle name="Normal 160 2 2 4 2" xfId="18864" xr:uid="{00000000-0005-0000-0000-00007C480000}"/>
    <cellStyle name="Normal 160 2 2 4 3" xfId="18865" xr:uid="{00000000-0005-0000-0000-00007D480000}"/>
    <cellStyle name="Normal 160 2 2 5" xfId="18866" xr:uid="{00000000-0005-0000-0000-00007E480000}"/>
    <cellStyle name="Normal 160 2 2 6" xfId="18867" xr:uid="{00000000-0005-0000-0000-00007F480000}"/>
    <cellStyle name="Normal 160 2 2 7" xfId="18868" xr:uid="{00000000-0005-0000-0000-000080480000}"/>
    <cellStyle name="Normal 160 2 2 8" xfId="18869" xr:uid="{00000000-0005-0000-0000-000081480000}"/>
    <cellStyle name="Normal 160 2 2 9" xfId="18870" xr:uid="{00000000-0005-0000-0000-000082480000}"/>
    <cellStyle name="Normal 160 2 3" xfId="18871" xr:uid="{00000000-0005-0000-0000-000083480000}"/>
    <cellStyle name="Normal 160 2 3 2" xfId="18872" xr:uid="{00000000-0005-0000-0000-000084480000}"/>
    <cellStyle name="Normal 160 2 3 2 2" xfId="18873" xr:uid="{00000000-0005-0000-0000-000085480000}"/>
    <cellStyle name="Normal 160 2 3 2 3" xfId="18874" xr:uid="{00000000-0005-0000-0000-000086480000}"/>
    <cellStyle name="Normal 160 2 3 3" xfId="18875" xr:uid="{00000000-0005-0000-0000-000087480000}"/>
    <cellStyle name="Normal 160 2 3 3 2" xfId="18876" xr:uid="{00000000-0005-0000-0000-000088480000}"/>
    <cellStyle name="Normal 160 2 3 3 3" xfId="18877" xr:uid="{00000000-0005-0000-0000-000089480000}"/>
    <cellStyle name="Normal 160 2 3 4" xfId="18878" xr:uid="{00000000-0005-0000-0000-00008A480000}"/>
    <cellStyle name="Normal 160 2 3 5" xfId="18879" xr:uid="{00000000-0005-0000-0000-00008B480000}"/>
    <cellStyle name="Normal 160 2 3 6" xfId="18880" xr:uid="{00000000-0005-0000-0000-00008C480000}"/>
    <cellStyle name="Normal 160 2 3 7" xfId="18881" xr:uid="{00000000-0005-0000-0000-00008D480000}"/>
    <cellStyle name="Normal 160 2 4" xfId="18882" xr:uid="{00000000-0005-0000-0000-00008E480000}"/>
    <cellStyle name="Normal 160 2 4 2" xfId="18883" xr:uid="{00000000-0005-0000-0000-00008F480000}"/>
    <cellStyle name="Normal 160 2 4 3" xfId="18884" xr:uid="{00000000-0005-0000-0000-000090480000}"/>
    <cellStyle name="Normal 160 2 5" xfId="18885" xr:uid="{00000000-0005-0000-0000-000091480000}"/>
    <cellStyle name="Normal 160 2 5 2" xfId="18886" xr:uid="{00000000-0005-0000-0000-000092480000}"/>
    <cellStyle name="Normal 160 2 5 3" xfId="18887" xr:uid="{00000000-0005-0000-0000-000093480000}"/>
    <cellStyle name="Normal 160 2 6" xfId="18888" xr:uid="{00000000-0005-0000-0000-000094480000}"/>
    <cellStyle name="Normal 160 2 7" xfId="18889" xr:uid="{00000000-0005-0000-0000-000095480000}"/>
    <cellStyle name="Normal 160 2 8" xfId="18890" xr:uid="{00000000-0005-0000-0000-000096480000}"/>
    <cellStyle name="Normal 160 2 9" xfId="18891" xr:uid="{00000000-0005-0000-0000-000097480000}"/>
    <cellStyle name="Normal 160 3" xfId="18892" xr:uid="{00000000-0005-0000-0000-000098480000}"/>
    <cellStyle name="Normal 160 3 2" xfId="18893" xr:uid="{00000000-0005-0000-0000-000099480000}"/>
    <cellStyle name="Normal 160 3 2 2" xfId="18894" xr:uid="{00000000-0005-0000-0000-00009A480000}"/>
    <cellStyle name="Normal 160 3 2 2 2" xfId="18895" xr:uid="{00000000-0005-0000-0000-00009B480000}"/>
    <cellStyle name="Normal 160 3 2 2 3" xfId="18896" xr:uid="{00000000-0005-0000-0000-00009C480000}"/>
    <cellStyle name="Normal 160 3 2 3" xfId="18897" xr:uid="{00000000-0005-0000-0000-00009D480000}"/>
    <cellStyle name="Normal 160 3 2 3 2" xfId="18898" xr:uid="{00000000-0005-0000-0000-00009E480000}"/>
    <cellStyle name="Normal 160 3 2 3 3" xfId="18899" xr:uid="{00000000-0005-0000-0000-00009F480000}"/>
    <cellStyle name="Normal 160 3 2 4" xfId="18900" xr:uid="{00000000-0005-0000-0000-0000A0480000}"/>
    <cellStyle name="Normal 160 3 2 5" xfId="18901" xr:uid="{00000000-0005-0000-0000-0000A1480000}"/>
    <cellStyle name="Normal 160 3 2 6" xfId="18902" xr:uid="{00000000-0005-0000-0000-0000A2480000}"/>
    <cellStyle name="Normal 160 3 3" xfId="18903" xr:uid="{00000000-0005-0000-0000-0000A3480000}"/>
    <cellStyle name="Normal 160 3 3 2" xfId="18904" xr:uid="{00000000-0005-0000-0000-0000A4480000}"/>
    <cellStyle name="Normal 160 3 3 3" xfId="18905" xr:uid="{00000000-0005-0000-0000-0000A5480000}"/>
    <cellStyle name="Normal 160 3 4" xfId="18906" xr:uid="{00000000-0005-0000-0000-0000A6480000}"/>
    <cellStyle name="Normal 160 3 4 2" xfId="18907" xr:uid="{00000000-0005-0000-0000-0000A7480000}"/>
    <cellStyle name="Normal 160 3 4 3" xfId="18908" xr:uid="{00000000-0005-0000-0000-0000A8480000}"/>
    <cellStyle name="Normal 160 3 5" xfId="18909" xr:uid="{00000000-0005-0000-0000-0000A9480000}"/>
    <cellStyle name="Normal 160 3 6" xfId="18910" xr:uid="{00000000-0005-0000-0000-0000AA480000}"/>
    <cellStyle name="Normal 160 3 7" xfId="18911" xr:uid="{00000000-0005-0000-0000-0000AB480000}"/>
    <cellStyle name="Normal 160 3 8" xfId="18912" xr:uid="{00000000-0005-0000-0000-0000AC480000}"/>
    <cellStyle name="Normal 160 3 9" xfId="18913" xr:uid="{00000000-0005-0000-0000-0000AD480000}"/>
    <cellStyle name="Normal 160 4" xfId="18914" xr:uid="{00000000-0005-0000-0000-0000AE480000}"/>
    <cellStyle name="Normal 160 4 2" xfId="18915" xr:uid="{00000000-0005-0000-0000-0000AF480000}"/>
    <cellStyle name="Normal 160 4 2 2" xfId="18916" xr:uid="{00000000-0005-0000-0000-0000B0480000}"/>
    <cellStyle name="Normal 160 4 2 3" xfId="18917" xr:uid="{00000000-0005-0000-0000-0000B1480000}"/>
    <cellStyle name="Normal 160 4 3" xfId="18918" xr:uid="{00000000-0005-0000-0000-0000B2480000}"/>
    <cellStyle name="Normal 160 4 3 2" xfId="18919" xr:uid="{00000000-0005-0000-0000-0000B3480000}"/>
    <cellStyle name="Normal 160 4 3 3" xfId="18920" xr:uid="{00000000-0005-0000-0000-0000B4480000}"/>
    <cellStyle name="Normal 160 4 4" xfId="18921" xr:uid="{00000000-0005-0000-0000-0000B5480000}"/>
    <cellStyle name="Normal 160 4 5" xfId="18922" xr:uid="{00000000-0005-0000-0000-0000B6480000}"/>
    <cellStyle name="Normal 160 4 6" xfId="18923" xr:uid="{00000000-0005-0000-0000-0000B7480000}"/>
    <cellStyle name="Normal 160 4 7" xfId="18924" xr:uid="{00000000-0005-0000-0000-0000B8480000}"/>
    <cellStyle name="Normal 160 5" xfId="18925" xr:uid="{00000000-0005-0000-0000-0000B9480000}"/>
    <cellStyle name="Normal 160 5 2" xfId="18926" xr:uid="{00000000-0005-0000-0000-0000BA480000}"/>
    <cellStyle name="Normal 160 5 3" xfId="18927" xr:uid="{00000000-0005-0000-0000-0000BB480000}"/>
    <cellStyle name="Normal 160 6" xfId="18928" xr:uid="{00000000-0005-0000-0000-0000BC480000}"/>
    <cellStyle name="Normal 160 6 2" xfId="18929" xr:uid="{00000000-0005-0000-0000-0000BD480000}"/>
    <cellStyle name="Normal 160 6 3" xfId="18930" xr:uid="{00000000-0005-0000-0000-0000BE480000}"/>
    <cellStyle name="Normal 160 7" xfId="18931" xr:uid="{00000000-0005-0000-0000-0000BF480000}"/>
    <cellStyle name="Normal 160 8" xfId="18932" xr:uid="{00000000-0005-0000-0000-0000C0480000}"/>
    <cellStyle name="Normal 160 9" xfId="18933" xr:uid="{00000000-0005-0000-0000-0000C1480000}"/>
    <cellStyle name="Normal 160_Order Book" xfId="18934" xr:uid="{00000000-0005-0000-0000-0000C2480000}"/>
    <cellStyle name="Normal 161" xfId="2143" xr:uid="{00000000-0005-0000-0000-0000C3480000}"/>
    <cellStyle name="Normal 161 10" xfId="18935" xr:uid="{00000000-0005-0000-0000-0000C4480000}"/>
    <cellStyle name="Normal 161 11" xfId="18936" xr:uid="{00000000-0005-0000-0000-0000C5480000}"/>
    <cellStyle name="Normal 161 12" xfId="18937" xr:uid="{00000000-0005-0000-0000-0000C6480000}"/>
    <cellStyle name="Normal 161 2" xfId="18938" xr:uid="{00000000-0005-0000-0000-0000C7480000}"/>
    <cellStyle name="Normal 161 2 10" xfId="18939" xr:uid="{00000000-0005-0000-0000-0000C8480000}"/>
    <cellStyle name="Normal 161 2 2" xfId="18940" xr:uid="{00000000-0005-0000-0000-0000C9480000}"/>
    <cellStyle name="Normal 161 2 2 2" xfId="18941" xr:uid="{00000000-0005-0000-0000-0000CA480000}"/>
    <cellStyle name="Normal 161 2 2 2 2" xfId="18942" xr:uid="{00000000-0005-0000-0000-0000CB480000}"/>
    <cellStyle name="Normal 161 2 2 2 2 2" xfId="18943" xr:uid="{00000000-0005-0000-0000-0000CC480000}"/>
    <cellStyle name="Normal 161 2 2 2 2 3" xfId="18944" xr:uid="{00000000-0005-0000-0000-0000CD480000}"/>
    <cellStyle name="Normal 161 2 2 2 3" xfId="18945" xr:uid="{00000000-0005-0000-0000-0000CE480000}"/>
    <cellStyle name="Normal 161 2 2 2 3 2" xfId="18946" xr:uid="{00000000-0005-0000-0000-0000CF480000}"/>
    <cellStyle name="Normal 161 2 2 2 3 3" xfId="18947" xr:uid="{00000000-0005-0000-0000-0000D0480000}"/>
    <cellStyle name="Normal 161 2 2 2 4" xfId="18948" xr:uid="{00000000-0005-0000-0000-0000D1480000}"/>
    <cellStyle name="Normal 161 2 2 2 5" xfId="18949" xr:uid="{00000000-0005-0000-0000-0000D2480000}"/>
    <cellStyle name="Normal 161 2 2 2 6" xfId="18950" xr:uid="{00000000-0005-0000-0000-0000D3480000}"/>
    <cellStyle name="Normal 161 2 2 3" xfId="18951" xr:uid="{00000000-0005-0000-0000-0000D4480000}"/>
    <cellStyle name="Normal 161 2 2 3 2" xfId="18952" xr:uid="{00000000-0005-0000-0000-0000D5480000}"/>
    <cellStyle name="Normal 161 2 2 3 3" xfId="18953" xr:uid="{00000000-0005-0000-0000-0000D6480000}"/>
    <cellStyle name="Normal 161 2 2 4" xfId="18954" xr:uid="{00000000-0005-0000-0000-0000D7480000}"/>
    <cellStyle name="Normal 161 2 2 4 2" xfId="18955" xr:uid="{00000000-0005-0000-0000-0000D8480000}"/>
    <cellStyle name="Normal 161 2 2 4 3" xfId="18956" xr:uid="{00000000-0005-0000-0000-0000D9480000}"/>
    <cellStyle name="Normal 161 2 2 5" xfId="18957" xr:uid="{00000000-0005-0000-0000-0000DA480000}"/>
    <cellStyle name="Normal 161 2 2 6" xfId="18958" xr:uid="{00000000-0005-0000-0000-0000DB480000}"/>
    <cellStyle name="Normal 161 2 2 7" xfId="18959" xr:uid="{00000000-0005-0000-0000-0000DC480000}"/>
    <cellStyle name="Normal 161 2 2 8" xfId="18960" xr:uid="{00000000-0005-0000-0000-0000DD480000}"/>
    <cellStyle name="Normal 161 2 2 9" xfId="18961" xr:uid="{00000000-0005-0000-0000-0000DE480000}"/>
    <cellStyle name="Normal 161 2 3" xfId="18962" xr:uid="{00000000-0005-0000-0000-0000DF480000}"/>
    <cellStyle name="Normal 161 2 3 2" xfId="18963" xr:uid="{00000000-0005-0000-0000-0000E0480000}"/>
    <cellStyle name="Normal 161 2 3 2 2" xfId="18964" xr:uid="{00000000-0005-0000-0000-0000E1480000}"/>
    <cellStyle name="Normal 161 2 3 2 3" xfId="18965" xr:uid="{00000000-0005-0000-0000-0000E2480000}"/>
    <cellStyle name="Normal 161 2 3 3" xfId="18966" xr:uid="{00000000-0005-0000-0000-0000E3480000}"/>
    <cellStyle name="Normal 161 2 3 3 2" xfId="18967" xr:uid="{00000000-0005-0000-0000-0000E4480000}"/>
    <cellStyle name="Normal 161 2 3 3 3" xfId="18968" xr:uid="{00000000-0005-0000-0000-0000E5480000}"/>
    <cellStyle name="Normal 161 2 3 4" xfId="18969" xr:uid="{00000000-0005-0000-0000-0000E6480000}"/>
    <cellStyle name="Normal 161 2 3 5" xfId="18970" xr:uid="{00000000-0005-0000-0000-0000E7480000}"/>
    <cellStyle name="Normal 161 2 3 6" xfId="18971" xr:uid="{00000000-0005-0000-0000-0000E8480000}"/>
    <cellStyle name="Normal 161 2 3 7" xfId="18972" xr:uid="{00000000-0005-0000-0000-0000E9480000}"/>
    <cellStyle name="Normal 161 2 4" xfId="18973" xr:uid="{00000000-0005-0000-0000-0000EA480000}"/>
    <cellStyle name="Normal 161 2 4 2" xfId="18974" xr:uid="{00000000-0005-0000-0000-0000EB480000}"/>
    <cellStyle name="Normal 161 2 4 3" xfId="18975" xr:uid="{00000000-0005-0000-0000-0000EC480000}"/>
    <cellStyle name="Normal 161 2 5" xfId="18976" xr:uid="{00000000-0005-0000-0000-0000ED480000}"/>
    <cellStyle name="Normal 161 2 5 2" xfId="18977" xr:uid="{00000000-0005-0000-0000-0000EE480000}"/>
    <cellStyle name="Normal 161 2 5 3" xfId="18978" xr:uid="{00000000-0005-0000-0000-0000EF480000}"/>
    <cellStyle name="Normal 161 2 6" xfId="18979" xr:uid="{00000000-0005-0000-0000-0000F0480000}"/>
    <cellStyle name="Normal 161 2 7" xfId="18980" xr:uid="{00000000-0005-0000-0000-0000F1480000}"/>
    <cellStyle name="Normal 161 2 8" xfId="18981" xr:uid="{00000000-0005-0000-0000-0000F2480000}"/>
    <cellStyle name="Normal 161 2 9" xfId="18982" xr:uid="{00000000-0005-0000-0000-0000F3480000}"/>
    <cellStyle name="Normal 161 3" xfId="18983" xr:uid="{00000000-0005-0000-0000-0000F4480000}"/>
    <cellStyle name="Normal 161 3 2" xfId="18984" xr:uid="{00000000-0005-0000-0000-0000F5480000}"/>
    <cellStyle name="Normal 161 3 2 2" xfId="18985" xr:uid="{00000000-0005-0000-0000-0000F6480000}"/>
    <cellStyle name="Normal 161 3 2 2 2" xfId="18986" xr:uid="{00000000-0005-0000-0000-0000F7480000}"/>
    <cellStyle name="Normal 161 3 2 2 3" xfId="18987" xr:uid="{00000000-0005-0000-0000-0000F8480000}"/>
    <cellStyle name="Normal 161 3 2 3" xfId="18988" xr:uid="{00000000-0005-0000-0000-0000F9480000}"/>
    <cellStyle name="Normal 161 3 2 3 2" xfId="18989" xr:uid="{00000000-0005-0000-0000-0000FA480000}"/>
    <cellStyle name="Normal 161 3 2 3 3" xfId="18990" xr:uid="{00000000-0005-0000-0000-0000FB480000}"/>
    <cellStyle name="Normal 161 3 2 4" xfId="18991" xr:uid="{00000000-0005-0000-0000-0000FC480000}"/>
    <cellStyle name="Normal 161 3 2 5" xfId="18992" xr:uid="{00000000-0005-0000-0000-0000FD480000}"/>
    <cellStyle name="Normal 161 3 2 6" xfId="18993" xr:uid="{00000000-0005-0000-0000-0000FE480000}"/>
    <cellStyle name="Normal 161 3 3" xfId="18994" xr:uid="{00000000-0005-0000-0000-0000FF480000}"/>
    <cellStyle name="Normal 161 3 3 2" xfId="18995" xr:uid="{00000000-0005-0000-0000-000000490000}"/>
    <cellStyle name="Normal 161 3 3 3" xfId="18996" xr:uid="{00000000-0005-0000-0000-000001490000}"/>
    <cellStyle name="Normal 161 3 4" xfId="18997" xr:uid="{00000000-0005-0000-0000-000002490000}"/>
    <cellStyle name="Normal 161 3 4 2" xfId="18998" xr:uid="{00000000-0005-0000-0000-000003490000}"/>
    <cellStyle name="Normal 161 3 4 3" xfId="18999" xr:uid="{00000000-0005-0000-0000-000004490000}"/>
    <cellStyle name="Normal 161 3 5" xfId="19000" xr:uid="{00000000-0005-0000-0000-000005490000}"/>
    <cellStyle name="Normal 161 3 6" xfId="19001" xr:uid="{00000000-0005-0000-0000-000006490000}"/>
    <cellStyle name="Normal 161 3 7" xfId="19002" xr:uid="{00000000-0005-0000-0000-000007490000}"/>
    <cellStyle name="Normal 161 3 8" xfId="19003" xr:uid="{00000000-0005-0000-0000-000008490000}"/>
    <cellStyle name="Normal 161 3 9" xfId="19004" xr:uid="{00000000-0005-0000-0000-000009490000}"/>
    <cellStyle name="Normal 161 4" xfId="19005" xr:uid="{00000000-0005-0000-0000-00000A490000}"/>
    <cellStyle name="Normal 161 4 2" xfId="19006" xr:uid="{00000000-0005-0000-0000-00000B490000}"/>
    <cellStyle name="Normal 161 4 2 2" xfId="19007" xr:uid="{00000000-0005-0000-0000-00000C490000}"/>
    <cellStyle name="Normal 161 4 2 3" xfId="19008" xr:uid="{00000000-0005-0000-0000-00000D490000}"/>
    <cellStyle name="Normal 161 4 3" xfId="19009" xr:uid="{00000000-0005-0000-0000-00000E490000}"/>
    <cellStyle name="Normal 161 4 3 2" xfId="19010" xr:uid="{00000000-0005-0000-0000-00000F490000}"/>
    <cellStyle name="Normal 161 4 3 3" xfId="19011" xr:uid="{00000000-0005-0000-0000-000010490000}"/>
    <cellStyle name="Normal 161 4 4" xfId="19012" xr:uid="{00000000-0005-0000-0000-000011490000}"/>
    <cellStyle name="Normal 161 4 5" xfId="19013" xr:uid="{00000000-0005-0000-0000-000012490000}"/>
    <cellStyle name="Normal 161 4 6" xfId="19014" xr:uid="{00000000-0005-0000-0000-000013490000}"/>
    <cellStyle name="Normal 161 4 7" xfId="19015" xr:uid="{00000000-0005-0000-0000-000014490000}"/>
    <cellStyle name="Normal 161 5" xfId="19016" xr:uid="{00000000-0005-0000-0000-000015490000}"/>
    <cellStyle name="Normal 161 5 2" xfId="19017" xr:uid="{00000000-0005-0000-0000-000016490000}"/>
    <cellStyle name="Normal 161 5 3" xfId="19018" xr:uid="{00000000-0005-0000-0000-000017490000}"/>
    <cellStyle name="Normal 161 6" xfId="19019" xr:uid="{00000000-0005-0000-0000-000018490000}"/>
    <cellStyle name="Normal 161 6 2" xfId="19020" xr:uid="{00000000-0005-0000-0000-000019490000}"/>
    <cellStyle name="Normal 161 6 3" xfId="19021" xr:uid="{00000000-0005-0000-0000-00001A490000}"/>
    <cellStyle name="Normal 161 7" xfId="19022" xr:uid="{00000000-0005-0000-0000-00001B490000}"/>
    <cellStyle name="Normal 161 8" xfId="19023" xr:uid="{00000000-0005-0000-0000-00001C490000}"/>
    <cellStyle name="Normal 161 9" xfId="19024" xr:uid="{00000000-0005-0000-0000-00001D490000}"/>
    <cellStyle name="Normal 161_Order Book" xfId="19025" xr:uid="{00000000-0005-0000-0000-00001E490000}"/>
    <cellStyle name="Normal 162" xfId="2144" xr:uid="{00000000-0005-0000-0000-00001F490000}"/>
    <cellStyle name="Normal 162 10" xfId="19026" xr:uid="{00000000-0005-0000-0000-000020490000}"/>
    <cellStyle name="Normal 162 11" xfId="19027" xr:uid="{00000000-0005-0000-0000-000021490000}"/>
    <cellStyle name="Normal 162 12" xfId="19028" xr:uid="{00000000-0005-0000-0000-000022490000}"/>
    <cellStyle name="Normal 162 2" xfId="2145" xr:uid="{00000000-0005-0000-0000-000023490000}"/>
    <cellStyle name="Normal 162 2 10" xfId="19029" xr:uid="{00000000-0005-0000-0000-000024490000}"/>
    <cellStyle name="Normal 162 2 11" xfId="19030" xr:uid="{00000000-0005-0000-0000-000025490000}"/>
    <cellStyle name="Normal 162 2 2" xfId="19031" xr:uid="{00000000-0005-0000-0000-000026490000}"/>
    <cellStyle name="Normal 162 2 2 2" xfId="19032" xr:uid="{00000000-0005-0000-0000-000027490000}"/>
    <cellStyle name="Normal 162 2 2 2 2" xfId="19033" xr:uid="{00000000-0005-0000-0000-000028490000}"/>
    <cellStyle name="Normal 162 2 2 2 2 2" xfId="19034" xr:uid="{00000000-0005-0000-0000-000029490000}"/>
    <cellStyle name="Normal 162 2 2 2 2 3" xfId="19035" xr:uid="{00000000-0005-0000-0000-00002A490000}"/>
    <cellStyle name="Normal 162 2 2 2 3" xfId="19036" xr:uid="{00000000-0005-0000-0000-00002B490000}"/>
    <cellStyle name="Normal 162 2 2 2 3 2" xfId="19037" xr:uid="{00000000-0005-0000-0000-00002C490000}"/>
    <cellStyle name="Normal 162 2 2 2 3 3" xfId="19038" xr:uid="{00000000-0005-0000-0000-00002D490000}"/>
    <cellStyle name="Normal 162 2 2 2 4" xfId="19039" xr:uid="{00000000-0005-0000-0000-00002E490000}"/>
    <cellStyle name="Normal 162 2 2 2 5" xfId="19040" xr:uid="{00000000-0005-0000-0000-00002F490000}"/>
    <cellStyle name="Normal 162 2 2 2 6" xfId="19041" xr:uid="{00000000-0005-0000-0000-000030490000}"/>
    <cellStyle name="Normal 162 2 2 3" xfId="19042" xr:uid="{00000000-0005-0000-0000-000031490000}"/>
    <cellStyle name="Normal 162 2 2 3 2" xfId="19043" xr:uid="{00000000-0005-0000-0000-000032490000}"/>
    <cellStyle name="Normal 162 2 2 3 3" xfId="19044" xr:uid="{00000000-0005-0000-0000-000033490000}"/>
    <cellStyle name="Normal 162 2 2 4" xfId="19045" xr:uid="{00000000-0005-0000-0000-000034490000}"/>
    <cellStyle name="Normal 162 2 2 4 2" xfId="19046" xr:uid="{00000000-0005-0000-0000-000035490000}"/>
    <cellStyle name="Normal 162 2 2 4 3" xfId="19047" xr:uid="{00000000-0005-0000-0000-000036490000}"/>
    <cellStyle name="Normal 162 2 2 5" xfId="19048" xr:uid="{00000000-0005-0000-0000-000037490000}"/>
    <cellStyle name="Normal 162 2 2 6" xfId="19049" xr:uid="{00000000-0005-0000-0000-000038490000}"/>
    <cellStyle name="Normal 162 2 2 7" xfId="19050" xr:uid="{00000000-0005-0000-0000-000039490000}"/>
    <cellStyle name="Normal 162 2 2 8" xfId="19051" xr:uid="{00000000-0005-0000-0000-00003A490000}"/>
    <cellStyle name="Normal 162 2 2 9" xfId="19052" xr:uid="{00000000-0005-0000-0000-00003B490000}"/>
    <cellStyle name="Normal 162 2 3" xfId="19053" xr:uid="{00000000-0005-0000-0000-00003C490000}"/>
    <cellStyle name="Normal 162 2 3 2" xfId="19054" xr:uid="{00000000-0005-0000-0000-00003D490000}"/>
    <cellStyle name="Normal 162 2 3 2 2" xfId="19055" xr:uid="{00000000-0005-0000-0000-00003E490000}"/>
    <cellStyle name="Normal 162 2 3 2 3" xfId="19056" xr:uid="{00000000-0005-0000-0000-00003F490000}"/>
    <cellStyle name="Normal 162 2 3 3" xfId="19057" xr:uid="{00000000-0005-0000-0000-000040490000}"/>
    <cellStyle name="Normal 162 2 3 3 2" xfId="19058" xr:uid="{00000000-0005-0000-0000-000041490000}"/>
    <cellStyle name="Normal 162 2 3 3 3" xfId="19059" xr:uid="{00000000-0005-0000-0000-000042490000}"/>
    <cellStyle name="Normal 162 2 3 4" xfId="19060" xr:uid="{00000000-0005-0000-0000-000043490000}"/>
    <cellStyle name="Normal 162 2 3 5" xfId="19061" xr:uid="{00000000-0005-0000-0000-000044490000}"/>
    <cellStyle name="Normal 162 2 3 6" xfId="19062" xr:uid="{00000000-0005-0000-0000-000045490000}"/>
    <cellStyle name="Normal 162 2 3 7" xfId="19063" xr:uid="{00000000-0005-0000-0000-000046490000}"/>
    <cellStyle name="Normal 162 2 4" xfId="19064" xr:uid="{00000000-0005-0000-0000-000047490000}"/>
    <cellStyle name="Normal 162 2 4 2" xfId="19065" xr:uid="{00000000-0005-0000-0000-000048490000}"/>
    <cellStyle name="Normal 162 2 4 3" xfId="19066" xr:uid="{00000000-0005-0000-0000-000049490000}"/>
    <cellStyle name="Normal 162 2 5" xfId="19067" xr:uid="{00000000-0005-0000-0000-00004A490000}"/>
    <cellStyle name="Normal 162 2 5 2" xfId="19068" xr:uid="{00000000-0005-0000-0000-00004B490000}"/>
    <cellStyle name="Normal 162 2 5 3" xfId="19069" xr:uid="{00000000-0005-0000-0000-00004C490000}"/>
    <cellStyle name="Normal 162 2 6" xfId="19070" xr:uid="{00000000-0005-0000-0000-00004D490000}"/>
    <cellStyle name="Normal 162 2 7" xfId="19071" xr:uid="{00000000-0005-0000-0000-00004E490000}"/>
    <cellStyle name="Normal 162 2 8" xfId="19072" xr:uid="{00000000-0005-0000-0000-00004F490000}"/>
    <cellStyle name="Normal 162 2 9" xfId="19073" xr:uid="{00000000-0005-0000-0000-000050490000}"/>
    <cellStyle name="Normal 162 3" xfId="19074" xr:uid="{00000000-0005-0000-0000-000051490000}"/>
    <cellStyle name="Normal 162 3 2" xfId="19075" xr:uid="{00000000-0005-0000-0000-000052490000}"/>
    <cellStyle name="Normal 162 3 2 2" xfId="19076" xr:uid="{00000000-0005-0000-0000-000053490000}"/>
    <cellStyle name="Normal 162 3 2 2 2" xfId="19077" xr:uid="{00000000-0005-0000-0000-000054490000}"/>
    <cellStyle name="Normal 162 3 2 2 3" xfId="19078" xr:uid="{00000000-0005-0000-0000-000055490000}"/>
    <cellStyle name="Normal 162 3 2 3" xfId="19079" xr:uid="{00000000-0005-0000-0000-000056490000}"/>
    <cellStyle name="Normal 162 3 2 3 2" xfId="19080" xr:uid="{00000000-0005-0000-0000-000057490000}"/>
    <cellStyle name="Normal 162 3 2 3 3" xfId="19081" xr:uid="{00000000-0005-0000-0000-000058490000}"/>
    <cellStyle name="Normal 162 3 2 4" xfId="19082" xr:uid="{00000000-0005-0000-0000-000059490000}"/>
    <cellStyle name="Normal 162 3 2 5" xfId="19083" xr:uid="{00000000-0005-0000-0000-00005A490000}"/>
    <cellStyle name="Normal 162 3 2 6" xfId="19084" xr:uid="{00000000-0005-0000-0000-00005B490000}"/>
    <cellStyle name="Normal 162 3 3" xfId="19085" xr:uid="{00000000-0005-0000-0000-00005C490000}"/>
    <cellStyle name="Normal 162 3 3 2" xfId="19086" xr:uid="{00000000-0005-0000-0000-00005D490000}"/>
    <cellStyle name="Normal 162 3 3 3" xfId="19087" xr:uid="{00000000-0005-0000-0000-00005E490000}"/>
    <cellStyle name="Normal 162 3 4" xfId="19088" xr:uid="{00000000-0005-0000-0000-00005F490000}"/>
    <cellStyle name="Normal 162 3 4 2" xfId="19089" xr:uid="{00000000-0005-0000-0000-000060490000}"/>
    <cellStyle name="Normal 162 3 4 3" xfId="19090" xr:uid="{00000000-0005-0000-0000-000061490000}"/>
    <cellStyle name="Normal 162 3 5" xfId="19091" xr:uid="{00000000-0005-0000-0000-000062490000}"/>
    <cellStyle name="Normal 162 3 6" xfId="19092" xr:uid="{00000000-0005-0000-0000-000063490000}"/>
    <cellStyle name="Normal 162 3 7" xfId="19093" xr:uid="{00000000-0005-0000-0000-000064490000}"/>
    <cellStyle name="Normal 162 3 8" xfId="19094" xr:uid="{00000000-0005-0000-0000-000065490000}"/>
    <cellStyle name="Normal 162 3 9" xfId="19095" xr:uid="{00000000-0005-0000-0000-000066490000}"/>
    <cellStyle name="Normal 162 4" xfId="19096" xr:uid="{00000000-0005-0000-0000-000067490000}"/>
    <cellStyle name="Normal 162 4 2" xfId="19097" xr:uid="{00000000-0005-0000-0000-000068490000}"/>
    <cellStyle name="Normal 162 4 2 2" xfId="19098" xr:uid="{00000000-0005-0000-0000-000069490000}"/>
    <cellStyle name="Normal 162 4 2 3" xfId="19099" xr:uid="{00000000-0005-0000-0000-00006A490000}"/>
    <cellStyle name="Normal 162 4 3" xfId="19100" xr:uid="{00000000-0005-0000-0000-00006B490000}"/>
    <cellStyle name="Normal 162 4 3 2" xfId="19101" xr:uid="{00000000-0005-0000-0000-00006C490000}"/>
    <cellStyle name="Normal 162 4 3 3" xfId="19102" xr:uid="{00000000-0005-0000-0000-00006D490000}"/>
    <cellStyle name="Normal 162 4 4" xfId="19103" xr:uid="{00000000-0005-0000-0000-00006E490000}"/>
    <cellStyle name="Normal 162 4 5" xfId="19104" xr:uid="{00000000-0005-0000-0000-00006F490000}"/>
    <cellStyle name="Normal 162 4 6" xfId="19105" xr:uid="{00000000-0005-0000-0000-000070490000}"/>
    <cellStyle name="Normal 162 4 7" xfId="19106" xr:uid="{00000000-0005-0000-0000-000071490000}"/>
    <cellStyle name="Normal 162 5" xfId="19107" xr:uid="{00000000-0005-0000-0000-000072490000}"/>
    <cellStyle name="Normal 162 5 2" xfId="19108" xr:uid="{00000000-0005-0000-0000-000073490000}"/>
    <cellStyle name="Normal 162 5 3" xfId="19109" xr:uid="{00000000-0005-0000-0000-000074490000}"/>
    <cellStyle name="Normal 162 6" xfId="19110" xr:uid="{00000000-0005-0000-0000-000075490000}"/>
    <cellStyle name="Normal 162 6 2" xfId="19111" xr:uid="{00000000-0005-0000-0000-000076490000}"/>
    <cellStyle name="Normal 162 6 3" xfId="19112" xr:uid="{00000000-0005-0000-0000-000077490000}"/>
    <cellStyle name="Normal 162 7" xfId="19113" xr:uid="{00000000-0005-0000-0000-000078490000}"/>
    <cellStyle name="Normal 162 8" xfId="19114" xr:uid="{00000000-0005-0000-0000-000079490000}"/>
    <cellStyle name="Normal 162 9" xfId="19115" xr:uid="{00000000-0005-0000-0000-00007A490000}"/>
    <cellStyle name="Normal 162_Order Book" xfId="19116" xr:uid="{00000000-0005-0000-0000-00007B490000}"/>
    <cellStyle name="Normal 163" xfId="2146" xr:uid="{00000000-0005-0000-0000-00007C490000}"/>
    <cellStyle name="Normal 163 10" xfId="19117" xr:uid="{00000000-0005-0000-0000-00007D490000}"/>
    <cellStyle name="Normal 163 11" xfId="19118" xr:uid="{00000000-0005-0000-0000-00007E490000}"/>
    <cellStyle name="Normal 163 12" xfId="19119" xr:uid="{00000000-0005-0000-0000-00007F490000}"/>
    <cellStyle name="Normal 163 2" xfId="2147" xr:uid="{00000000-0005-0000-0000-000080490000}"/>
    <cellStyle name="Normal 163 2 10" xfId="19120" xr:uid="{00000000-0005-0000-0000-000081490000}"/>
    <cellStyle name="Normal 163 2 11" xfId="19121" xr:uid="{00000000-0005-0000-0000-000082490000}"/>
    <cellStyle name="Normal 163 2 2" xfId="19122" xr:uid="{00000000-0005-0000-0000-000083490000}"/>
    <cellStyle name="Normal 163 2 2 2" xfId="19123" xr:uid="{00000000-0005-0000-0000-000084490000}"/>
    <cellStyle name="Normal 163 2 2 2 2" xfId="19124" xr:uid="{00000000-0005-0000-0000-000085490000}"/>
    <cellStyle name="Normal 163 2 2 2 2 2" xfId="19125" xr:uid="{00000000-0005-0000-0000-000086490000}"/>
    <cellStyle name="Normal 163 2 2 2 2 3" xfId="19126" xr:uid="{00000000-0005-0000-0000-000087490000}"/>
    <cellStyle name="Normal 163 2 2 2 3" xfId="19127" xr:uid="{00000000-0005-0000-0000-000088490000}"/>
    <cellStyle name="Normal 163 2 2 2 3 2" xfId="19128" xr:uid="{00000000-0005-0000-0000-000089490000}"/>
    <cellStyle name="Normal 163 2 2 2 3 3" xfId="19129" xr:uid="{00000000-0005-0000-0000-00008A490000}"/>
    <cellStyle name="Normal 163 2 2 2 4" xfId="19130" xr:uid="{00000000-0005-0000-0000-00008B490000}"/>
    <cellStyle name="Normal 163 2 2 2 5" xfId="19131" xr:uid="{00000000-0005-0000-0000-00008C490000}"/>
    <cellStyle name="Normal 163 2 2 2 6" xfId="19132" xr:uid="{00000000-0005-0000-0000-00008D490000}"/>
    <cellStyle name="Normal 163 2 2 3" xfId="19133" xr:uid="{00000000-0005-0000-0000-00008E490000}"/>
    <cellStyle name="Normal 163 2 2 3 2" xfId="19134" xr:uid="{00000000-0005-0000-0000-00008F490000}"/>
    <cellStyle name="Normal 163 2 2 3 3" xfId="19135" xr:uid="{00000000-0005-0000-0000-000090490000}"/>
    <cellStyle name="Normal 163 2 2 4" xfId="19136" xr:uid="{00000000-0005-0000-0000-000091490000}"/>
    <cellStyle name="Normal 163 2 2 4 2" xfId="19137" xr:uid="{00000000-0005-0000-0000-000092490000}"/>
    <cellStyle name="Normal 163 2 2 4 3" xfId="19138" xr:uid="{00000000-0005-0000-0000-000093490000}"/>
    <cellStyle name="Normal 163 2 2 5" xfId="19139" xr:uid="{00000000-0005-0000-0000-000094490000}"/>
    <cellStyle name="Normal 163 2 2 6" xfId="19140" xr:uid="{00000000-0005-0000-0000-000095490000}"/>
    <cellStyle name="Normal 163 2 2 7" xfId="19141" xr:uid="{00000000-0005-0000-0000-000096490000}"/>
    <cellStyle name="Normal 163 2 2 8" xfId="19142" xr:uid="{00000000-0005-0000-0000-000097490000}"/>
    <cellStyle name="Normal 163 2 2 9" xfId="19143" xr:uid="{00000000-0005-0000-0000-000098490000}"/>
    <cellStyle name="Normal 163 2 3" xfId="19144" xr:uid="{00000000-0005-0000-0000-000099490000}"/>
    <cellStyle name="Normal 163 2 3 2" xfId="19145" xr:uid="{00000000-0005-0000-0000-00009A490000}"/>
    <cellStyle name="Normal 163 2 3 2 2" xfId="19146" xr:uid="{00000000-0005-0000-0000-00009B490000}"/>
    <cellStyle name="Normal 163 2 3 2 3" xfId="19147" xr:uid="{00000000-0005-0000-0000-00009C490000}"/>
    <cellStyle name="Normal 163 2 3 3" xfId="19148" xr:uid="{00000000-0005-0000-0000-00009D490000}"/>
    <cellStyle name="Normal 163 2 3 3 2" xfId="19149" xr:uid="{00000000-0005-0000-0000-00009E490000}"/>
    <cellStyle name="Normal 163 2 3 3 3" xfId="19150" xr:uid="{00000000-0005-0000-0000-00009F490000}"/>
    <cellStyle name="Normal 163 2 3 4" xfId="19151" xr:uid="{00000000-0005-0000-0000-0000A0490000}"/>
    <cellStyle name="Normal 163 2 3 5" xfId="19152" xr:uid="{00000000-0005-0000-0000-0000A1490000}"/>
    <cellStyle name="Normal 163 2 3 6" xfId="19153" xr:uid="{00000000-0005-0000-0000-0000A2490000}"/>
    <cellStyle name="Normal 163 2 3 7" xfId="19154" xr:uid="{00000000-0005-0000-0000-0000A3490000}"/>
    <cellStyle name="Normal 163 2 4" xfId="19155" xr:uid="{00000000-0005-0000-0000-0000A4490000}"/>
    <cellStyle name="Normal 163 2 4 2" xfId="19156" xr:uid="{00000000-0005-0000-0000-0000A5490000}"/>
    <cellStyle name="Normal 163 2 4 3" xfId="19157" xr:uid="{00000000-0005-0000-0000-0000A6490000}"/>
    <cellStyle name="Normal 163 2 5" xfId="19158" xr:uid="{00000000-0005-0000-0000-0000A7490000}"/>
    <cellStyle name="Normal 163 2 5 2" xfId="19159" xr:uid="{00000000-0005-0000-0000-0000A8490000}"/>
    <cellStyle name="Normal 163 2 5 3" xfId="19160" xr:uid="{00000000-0005-0000-0000-0000A9490000}"/>
    <cellStyle name="Normal 163 2 6" xfId="19161" xr:uid="{00000000-0005-0000-0000-0000AA490000}"/>
    <cellStyle name="Normal 163 2 7" xfId="19162" xr:uid="{00000000-0005-0000-0000-0000AB490000}"/>
    <cellStyle name="Normal 163 2 8" xfId="19163" xr:uid="{00000000-0005-0000-0000-0000AC490000}"/>
    <cellStyle name="Normal 163 2 9" xfId="19164" xr:uid="{00000000-0005-0000-0000-0000AD490000}"/>
    <cellStyle name="Normal 163 3" xfId="19165" xr:uid="{00000000-0005-0000-0000-0000AE490000}"/>
    <cellStyle name="Normal 163 3 2" xfId="19166" xr:uid="{00000000-0005-0000-0000-0000AF490000}"/>
    <cellStyle name="Normal 163 3 2 2" xfId="19167" xr:uid="{00000000-0005-0000-0000-0000B0490000}"/>
    <cellStyle name="Normal 163 3 2 2 2" xfId="19168" xr:uid="{00000000-0005-0000-0000-0000B1490000}"/>
    <cellStyle name="Normal 163 3 2 2 3" xfId="19169" xr:uid="{00000000-0005-0000-0000-0000B2490000}"/>
    <cellStyle name="Normal 163 3 2 3" xfId="19170" xr:uid="{00000000-0005-0000-0000-0000B3490000}"/>
    <cellStyle name="Normal 163 3 2 3 2" xfId="19171" xr:uid="{00000000-0005-0000-0000-0000B4490000}"/>
    <cellStyle name="Normal 163 3 2 3 3" xfId="19172" xr:uid="{00000000-0005-0000-0000-0000B5490000}"/>
    <cellStyle name="Normal 163 3 2 4" xfId="19173" xr:uid="{00000000-0005-0000-0000-0000B6490000}"/>
    <cellStyle name="Normal 163 3 2 5" xfId="19174" xr:uid="{00000000-0005-0000-0000-0000B7490000}"/>
    <cellStyle name="Normal 163 3 2 6" xfId="19175" xr:uid="{00000000-0005-0000-0000-0000B8490000}"/>
    <cellStyle name="Normal 163 3 3" xfId="19176" xr:uid="{00000000-0005-0000-0000-0000B9490000}"/>
    <cellStyle name="Normal 163 3 3 2" xfId="19177" xr:uid="{00000000-0005-0000-0000-0000BA490000}"/>
    <cellStyle name="Normal 163 3 3 3" xfId="19178" xr:uid="{00000000-0005-0000-0000-0000BB490000}"/>
    <cellStyle name="Normal 163 3 4" xfId="19179" xr:uid="{00000000-0005-0000-0000-0000BC490000}"/>
    <cellStyle name="Normal 163 3 4 2" xfId="19180" xr:uid="{00000000-0005-0000-0000-0000BD490000}"/>
    <cellStyle name="Normal 163 3 4 3" xfId="19181" xr:uid="{00000000-0005-0000-0000-0000BE490000}"/>
    <cellStyle name="Normal 163 3 5" xfId="19182" xr:uid="{00000000-0005-0000-0000-0000BF490000}"/>
    <cellStyle name="Normal 163 3 6" xfId="19183" xr:uid="{00000000-0005-0000-0000-0000C0490000}"/>
    <cellStyle name="Normal 163 3 7" xfId="19184" xr:uid="{00000000-0005-0000-0000-0000C1490000}"/>
    <cellStyle name="Normal 163 3 8" xfId="19185" xr:uid="{00000000-0005-0000-0000-0000C2490000}"/>
    <cellStyle name="Normal 163 3 9" xfId="19186" xr:uid="{00000000-0005-0000-0000-0000C3490000}"/>
    <cellStyle name="Normal 163 4" xfId="19187" xr:uid="{00000000-0005-0000-0000-0000C4490000}"/>
    <cellStyle name="Normal 163 4 2" xfId="19188" xr:uid="{00000000-0005-0000-0000-0000C5490000}"/>
    <cellStyle name="Normal 163 4 2 2" xfId="19189" xr:uid="{00000000-0005-0000-0000-0000C6490000}"/>
    <cellStyle name="Normal 163 4 2 3" xfId="19190" xr:uid="{00000000-0005-0000-0000-0000C7490000}"/>
    <cellStyle name="Normal 163 4 3" xfId="19191" xr:uid="{00000000-0005-0000-0000-0000C8490000}"/>
    <cellStyle name="Normal 163 4 3 2" xfId="19192" xr:uid="{00000000-0005-0000-0000-0000C9490000}"/>
    <cellStyle name="Normal 163 4 3 3" xfId="19193" xr:uid="{00000000-0005-0000-0000-0000CA490000}"/>
    <cellStyle name="Normal 163 4 4" xfId="19194" xr:uid="{00000000-0005-0000-0000-0000CB490000}"/>
    <cellStyle name="Normal 163 4 5" xfId="19195" xr:uid="{00000000-0005-0000-0000-0000CC490000}"/>
    <cellStyle name="Normal 163 4 6" xfId="19196" xr:uid="{00000000-0005-0000-0000-0000CD490000}"/>
    <cellStyle name="Normal 163 4 7" xfId="19197" xr:uid="{00000000-0005-0000-0000-0000CE490000}"/>
    <cellStyle name="Normal 163 5" xfId="19198" xr:uid="{00000000-0005-0000-0000-0000CF490000}"/>
    <cellStyle name="Normal 163 5 2" xfId="19199" xr:uid="{00000000-0005-0000-0000-0000D0490000}"/>
    <cellStyle name="Normal 163 5 3" xfId="19200" xr:uid="{00000000-0005-0000-0000-0000D1490000}"/>
    <cellStyle name="Normal 163 6" xfId="19201" xr:uid="{00000000-0005-0000-0000-0000D2490000}"/>
    <cellStyle name="Normal 163 6 2" xfId="19202" xr:uid="{00000000-0005-0000-0000-0000D3490000}"/>
    <cellStyle name="Normal 163 6 3" xfId="19203" xr:uid="{00000000-0005-0000-0000-0000D4490000}"/>
    <cellStyle name="Normal 163 7" xfId="19204" xr:uid="{00000000-0005-0000-0000-0000D5490000}"/>
    <cellStyle name="Normal 163 8" xfId="19205" xr:uid="{00000000-0005-0000-0000-0000D6490000}"/>
    <cellStyle name="Normal 163 9" xfId="19206" xr:uid="{00000000-0005-0000-0000-0000D7490000}"/>
    <cellStyle name="Normal 163_Order Book" xfId="19207" xr:uid="{00000000-0005-0000-0000-0000D8490000}"/>
    <cellStyle name="Normal 164" xfId="2148" xr:uid="{00000000-0005-0000-0000-0000D9490000}"/>
    <cellStyle name="Normal 164 10" xfId="19208" xr:uid="{00000000-0005-0000-0000-0000DA490000}"/>
    <cellStyle name="Normal 164 11" xfId="19209" xr:uid="{00000000-0005-0000-0000-0000DB490000}"/>
    <cellStyle name="Normal 164 12" xfId="19210" xr:uid="{00000000-0005-0000-0000-0000DC490000}"/>
    <cellStyle name="Normal 164 2" xfId="2149" xr:uid="{00000000-0005-0000-0000-0000DD490000}"/>
    <cellStyle name="Normal 164 2 10" xfId="19211" xr:uid="{00000000-0005-0000-0000-0000DE490000}"/>
    <cellStyle name="Normal 164 2 11" xfId="19212" xr:uid="{00000000-0005-0000-0000-0000DF490000}"/>
    <cellStyle name="Normal 164 2 2" xfId="19213" xr:uid="{00000000-0005-0000-0000-0000E0490000}"/>
    <cellStyle name="Normal 164 2 2 2" xfId="19214" xr:uid="{00000000-0005-0000-0000-0000E1490000}"/>
    <cellStyle name="Normal 164 2 2 2 2" xfId="19215" xr:uid="{00000000-0005-0000-0000-0000E2490000}"/>
    <cellStyle name="Normal 164 2 2 2 2 2" xfId="19216" xr:uid="{00000000-0005-0000-0000-0000E3490000}"/>
    <cellStyle name="Normal 164 2 2 2 2 3" xfId="19217" xr:uid="{00000000-0005-0000-0000-0000E4490000}"/>
    <cellStyle name="Normal 164 2 2 2 3" xfId="19218" xr:uid="{00000000-0005-0000-0000-0000E5490000}"/>
    <cellStyle name="Normal 164 2 2 2 3 2" xfId="19219" xr:uid="{00000000-0005-0000-0000-0000E6490000}"/>
    <cellStyle name="Normal 164 2 2 2 3 3" xfId="19220" xr:uid="{00000000-0005-0000-0000-0000E7490000}"/>
    <cellStyle name="Normal 164 2 2 2 4" xfId="19221" xr:uid="{00000000-0005-0000-0000-0000E8490000}"/>
    <cellStyle name="Normal 164 2 2 2 5" xfId="19222" xr:uid="{00000000-0005-0000-0000-0000E9490000}"/>
    <cellStyle name="Normal 164 2 2 2 6" xfId="19223" xr:uid="{00000000-0005-0000-0000-0000EA490000}"/>
    <cellStyle name="Normal 164 2 2 3" xfId="19224" xr:uid="{00000000-0005-0000-0000-0000EB490000}"/>
    <cellStyle name="Normal 164 2 2 3 2" xfId="19225" xr:uid="{00000000-0005-0000-0000-0000EC490000}"/>
    <cellStyle name="Normal 164 2 2 3 3" xfId="19226" xr:uid="{00000000-0005-0000-0000-0000ED490000}"/>
    <cellStyle name="Normal 164 2 2 4" xfId="19227" xr:uid="{00000000-0005-0000-0000-0000EE490000}"/>
    <cellStyle name="Normal 164 2 2 4 2" xfId="19228" xr:uid="{00000000-0005-0000-0000-0000EF490000}"/>
    <cellStyle name="Normal 164 2 2 4 3" xfId="19229" xr:uid="{00000000-0005-0000-0000-0000F0490000}"/>
    <cellStyle name="Normal 164 2 2 5" xfId="19230" xr:uid="{00000000-0005-0000-0000-0000F1490000}"/>
    <cellStyle name="Normal 164 2 2 6" xfId="19231" xr:uid="{00000000-0005-0000-0000-0000F2490000}"/>
    <cellStyle name="Normal 164 2 2 7" xfId="19232" xr:uid="{00000000-0005-0000-0000-0000F3490000}"/>
    <cellStyle name="Normal 164 2 2 8" xfId="19233" xr:uid="{00000000-0005-0000-0000-0000F4490000}"/>
    <cellStyle name="Normal 164 2 2 9" xfId="19234" xr:uid="{00000000-0005-0000-0000-0000F5490000}"/>
    <cellStyle name="Normal 164 2 3" xfId="19235" xr:uid="{00000000-0005-0000-0000-0000F6490000}"/>
    <cellStyle name="Normal 164 2 3 2" xfId="19236" xr:uid="{00000000-0005-0000-0000-0000F7490000}"/>
    <cellStyle name="Normal 164 2 3 2 2" xfId="19237" xr:uid="{00000000-0005-0000-0000-0000F8490000}"/>
    <cellStyle name="Normal 164 2 3 2 3" xfId="19238" xr:uid="{00000000-0005-0000-0000-0000F9490000}"/>
    <cellStyle name="Normal 164 2 3 3" xfId="19239" xr:uid="{00000000-0005-0000-0000-0000FA490000}"/>
    <cellStyle name="Normal 164 2 3 3 2" xfId="19240" xr:uid="{00000000-0005-0000-0000-0000FB490000}"/>
    <cellStyle name="Normal 164 2 3 3 3" xfId="19241" xr:uid="{00000000-0005-0000-0000-0000FC490000}"/>
    <cellStyle name="Normal 164 2 3 4" xfId="19242" xr:uid="{00000000-0005-0000-0000-0000FD490000}"/>
    <cellStyle name="Normal 164 2 3 5" xfId="19243" xr:uid="{00000000-0005-0000-0000-0000FE490000}"/>
    <cellStyle name="Normal 164 2 3 6" xfId="19244" xr:uid="{00000000-0005-0000-0000-0000FF490000}"/>
    <cellStyle name="Normal 164 2 3 7" xfId="19245" xr:uid="{00000000-0005-0000-0000-0000004A0000}"/>
    <cellStyle name="Normal 164 2 4" xfId="19246" xr:uid="{00000000-0005-0000-0000-0000014A0000}"/>
    <cellStyle name="Normal 164 2 4 2" xfId="19247" xr:uid="{00000000-0005-0000-0000-0000024A0000}"/>
    <cellStyle name="Normal 164 2 4 3" xfId="19248" xr:uid="{00000000-0005-0000-0000-0000034A0000}"/>
    <cellStyle name="Normal 164 2 5" xfId="19249" xr:uid="{00000000-0005-0000-0000-0000044A0000}"/>
    <cellStyle name="Normal 164 2 5 2" xfId="19250" xr:uid="{00000000-0005-0000-0000-0000054A0000}"/>
    <cellStyle name="Normal 164 2 5 3" xfId="19251" xr:uid="{00000000-0005-0000-0000-0000064A0000}"/>
    <cellStyle name="Normal 164 2 6" xfId="19252" xr:uid="{00000000-0005-0000-0000-0000074A0000}"/>
    <cellStyle name="Normal 164 2 7" xfId="19253" xr:uid="{00000000-0005-0000-0000-0000084A0000}"/>
    <cellStyle name="Normal 164 2 8" xfId="19254" xr:uid="{00000000-0005-0000-0000-0000094A0000}"/>
    <cellStyle name="Normal 164 2 9" xfId="19255" xr:uid="{00000000-0005-0000-0000-00000A4A0000}"/>
    <cellStyle name="Normal 164 3" xfId="19256" xr:uid="{00000000-0005-0000-0000-00000B4A0000}"/>
    <cellStyle name="Normal 164 3 2" xfId="19257" xr:uid="{00000000-0005-0000-0000-00000C4A0000}"/>
    <cellStyle name="Normal 164 3 2 2" xfId="19258" xr:uid="{00000000-0005-0000-0000-00000D4A0000}"/>
    <cellStyle name="Normal 164 3 2 2 2" xfId="19259" xr:uid="{00000000-0005-0000-0000-00000E4A0000}"/>
    <cellStyle name="Normal 164 3 2 2 3" xfId="19260" xr:uid="{00000000-0005-0000-0000-00000F4A0000}"/>
    <cellStyle name="Normal 164 3 2 3" xfId="19261" xr:uid="{00000000-0005-0000-0000-0000104A0000}"/>
    <cellStyle name="Normal 164 3 2 3 2" xfId="19262" xr:uid="{00000000-0005-0000-0000-0000114A0000}"/>
    <cellStyle name="Normal 164 3 2 3 3" xfId="19263" xr:uid="{00000000-0005-0000-0000-0000124A0000}"/>
    <cellStyle name="Normal 164 3 2 4" xfId="19264" xr:uid="{00000000-0005-0000-0000-0000134A0000}"/>
    <cellStyle name="Normal 164 3 2 5" xfId="19265" xr:uid="{00000000-0005-0000-0000-0000144A0000}"/>
    <cellStyle name="Normal 164 3 2 6" xfId="19266" xr:uid="{00000000-0005-0000-0000-0000154A0000}"/>
    <cellStyle name="Normal 164 3 3" xfId="19267" xr:uid="{00000000-0005-0000-0000-0000164A0000}"/>
    <cellStyle name="Normal 164 3 3 2" xfId="19268" xr:uid="{00000000-0005-0000-0000-0000174A0000}"/>
    <cellStyle name="Normal 164 3 3 3" xfId="19269" xr:uid="{00000000-0005-0000-0000-0000184A0000}"/>
    <cellStyle name="Normal 164 3 4" xfId="19270" xr:uid="{00000000-0005-0000-0000-0000194A0000}"/>
    <cellStyle name="Normal 164 3 4 2" xfId="19271" xr:uid="{00000000-0005-0000-0000-00001A4A0000}"/>
    <cellStyle name="Normal 164 3 4 3" xfId="19272" xr:uid="{00000000-0005-0000-0000-00001B4A0000}"/>
    <cellStyle name="Normal 164 3 5" xfId="19273" xr:uid="{00000000-0005-0000-0000-00001C4A0000}"/>
    <cellStyle name="Normal 164 3 6" xfId="19274" xr:uid="{00000000-0005-0000-0000-00001D4A0000}"/>
    <cellStyle name="Normal 164 3 7" xfId="19275" xr:uid="{00000000-0005-0000-0000-00001E4A0000}"/>
    <cellStyle name="Normal 164 3 8" xfId="19276" xr:uid="{00000000-0005-0000-0000-00001F4A0000}"/>
    <cellStyle name="Normal 164 3 9" xfId="19277" xr:uid="{00000000-0005-0000-0000-0000204A0000}"/>
    <cellStyle name="Normal 164 4" xfId="19278" xr:uid="{00000000-0005-0000-0000-0000214A0000}"/>
    <cellStyle name="Normal 164 4 2" xfId="19279" xr:uid="{00000000-0005-0000-0000-0000224A0000}"/>
    <cellStyle name="Normal 164 4 2 2" xfId="19280" xr:uid="{00000000-0005-0000-0000-0000234A0000}"/>
    <cellStyle name="Normal 164 4 2 3" xfId="19281" xr:uid="{00000000-0005-0000-0000-0000244A0000}"/>
    <cellStyle name="Normal 164 4 3" xfId="19282" xr:uid="{00000000-0005-0000-0000-0000254A0000}"/>
    <cellStyle name="Normal 164 4 3 2" xfId="19283" xr:uid="{00000000-0005-0000-0000-0000264A0000}"/>
    <cellStyle name="Normal 164 4 3 3" xfId="19284" xr:uid="{00000000-0005-0000-0000-0000274A0000}"/>
    <cellStyle name="Normal 164 4 4" xfId="19285" xr:uid="{00000000-0005-0000-0000-0000284A0000}"/>
    <cellStyle name="Normal 164 4 5" xfId="19286" xr:uid="{00000000-0005-0000-0000-0000294A0000}"/>
    <cellStyle name="Normal 164 4 6" xfId="19287" xr:uid="{00000000-0005-0000-0000-00002A4A0000}"/>
    <cellStyle name="Normal 164 4 7" xfId="19288" xr:uid="{00000000-0005-0000-0000-00002B4A0000}"/>
    <cellStyle name="Normal 164 5" xfId="19289" xr:uid="{00000000-0005-0000-0000-00002C4A0000}"/>
    <cellStyle name="Normal 164 5 2" xfId="19290" xr:uid="{00000000-0005-0000-0000-00002D4A0000}"/>
    <cellStyle name="Normal 164 5 3" xfId="19291" xr:uid="{00000000-0005-0000-0000-00002E4A0000}"/>
    <cellStyle name="Normal 164 6" xfId="19292" xr:uid="{00000000-0005-0000-0000-00002F4A0000}"/>
    <cellStyle name="Normal 164 6 2" xfId="19293" xr:uid="{00000000-0005-0000-0000-0000304A0000}"/>
    <cellStyle name="Normal 164 6 3" xfId="19294" xr:uid="{00000000-0005-0000-0000-0000314A0000}"/>
    <cellStyle name="Normal 164 7" xfId="19295" xr:uid="{00000000-0005-0000-0000-0000324A0000}"/>
    <cellStyle name="Normal 164 8" xfId="19296" xr:uid="{00000000-0005-0000-0000-0000334A0000}"/>
    <cellStyle name="Normal 164 9" xfId="19297" xr:uid="{00000000-0005-0000-0000-0000344A0000}"/>
    <cellStyle name="Normal 164_Order Book" xfId="19298" xr:uid="{00000000-0005-0000-0000-0000354A0000}"/>
    <cellStyle name="Normal 165" xfId="2150" xr:uid="{00000000-0005-0000-0000-0000364A0000}"/>
    <cellStyle name="Normal 165 10" xfId="19299" xr:uid="{00000000-0005-0000-0000-0000374A0000}"/>
    <cellStyle name="Normal 165 11" xfId="19300" xr:uid="{00000000-0005-0000-0000-0000384A0000}"/>
    <cellStyle name="Normal 165 12" xfId="19301" xr:uid="{00000000-0005-0000-0000-0000394A0000}"/>
    <cellStyle name="Normal 165 2" xfId="2151" xr:uid="{00000000-0005-0000-0000-00003A4A0000}"/>
    <cellStyle name="Normal 165 2 10" xfId="19302" xr:uid="{00000000-0005-0000-0000-00003B4A0000}"/>
    <cellStyle name="Normal 165 2 11" xfId="19303" xr:uid="{00000000-0005-0000-0000-00003C4A0000}"/>
    <cellStyle name="Normal 165 2 2" xfId="19304" xr:uid="{00000000-0005-0000-0000-00003D4A0000}"/>
    <cellStyle name="Normal 165 2 2 2" xfId="19305" xr:uid="{00000000-0005-0000-0000-00003E4A0000}"/>
    <cellStyle name="Normal 165 2 2 2 2" xfId="19306" xr:uid="{00000000-0005-0000-0000-00003F4A0000}"/>
    <cellStyle name="Normal 165 2 2 2 2 2" xfId="19307" xr:uid="{00000000-0005-0000-0000-0000404A0000}"/>
    <cellStyle name="Normal 165 2 2 2 2 3" xfId="19308" xr:uid="{00000000-0005-0000-0000-0000414A0000}"/>
    <cellStyle name="Normal 165 2 2 2 3" xfId="19309" xr:uid="{00000000-0005-0000-0000-0000424A0000}"/>
    <cellStyle name="Normal 165 2 2 2 3 2" xfId="19310" xr:uid="{00000000-0005-0000-0000-0000434A0000}"/>
    <cellStyle name="Normal 165 2 2 2 3 3" xfId="19311" xr:uid="{00000000-0005-0000-0000-0000444A0000}"/>
    <cellStyle name="Normal 165 2 2 2 4" xfId="19312" xr:uid="{00000000-0005-0000-0000-0000454A0000}"/>
    <cellStyle name="Normal 165 2 2 2 5" xfId="19313" xr:uid="{00000000-0005-0000-0000-0000464A0000}"/>
    <cellStyle name="Normal 165 2 2 2 6" xfId="19314" xr:uid="{00000000-0005-0000-0000-0000474A0000}"/>
    <cellStyle name="Normal 165 2 2 3" xfId="19315" xr:uid="{00000000-0005-0000-0000-0000484A0000}"/>
    <cellStyle name="Normal 165 2 2 3 2" xfId="19316" xr:uid="{00000000-0005-0000-0000-0000494A0000}"/>
    <cellStyle name="Normal 165 2 2 3 3" xfId="19317" xr:uid="{00000000-0005-0000-0000-00004A4A0000}"/>
    <cellStyle name="Normal 165 2 2 4" xfId="19318" xr:uid="{00000000-0005-0000-0000-00004B4A0000}"/>
    <cellStyle name="Normal 165 2 2 4 2" xfId="19319" xr:uid="{00000000-0005-0000-0000-00004C4A0000}"/>
    <cellStyle name="Normal 165 2 2 4 3" xfId="19320" xr:uid="{00000000-0005-0000-0000-00004D4A0000}"/>
    <cellStyle name="Normal 165 2 2 5" xfId="19321" xr:uid="{00000000-0005-0000-0000-00004E4A0000}"/>
    <cellStyle name="Normal 165 2 2 6" xfId="19322" xr:uid="{00000000-0005-0000-0000-00004F4A0000}"/>
    <cellStyle name="Normal 165 2 2 7" xfId="19323" xr:uid="{00000000-0005-0000-0000-0000504A0000}"/>
    <cellStyle name="Normal 165 2 2 8" xfId="19324" xr:uid="{00000000-0005-0000-0000-0000514A0000}"/>
    <cellStyle name="Normal 165 2 2 9" xfId="19325" xr:uid="{00000000-0005-0000-0000-0000524A0000}"/>
    <cellStyle name="Normal 165 2 3" xfId="19326" xr:uid="{00000000-0005-0000-0000-0000534A0000}"/>
    <cellStyle name="Normal 165 2 3 2" xfId="19327" xr:uid="{00000000-0005-0000-0000-0000544A0000}"/>
    <cellStyle name="Normal 165 2 3 2 2" xfId="19328" xr:uid="{00000000-0005-0000-0000-0000554A0000}"/>
    <cellStyle name="Normal 165 2 3 2 3" xfId="19329" xr:uid="{00000000-0005-0000-0000-0000564A0000}"/>
    <cellStyle name="Normal 165 2 3 3" xfId="19330" xr:uid="{00000000-0005-0000-0000-0000574A0000}"/>
    <cellStyle name="Normal 165 2 3 3 2" xfId="19331" xr:uid="{00000000-0005-0000-0000-0000584A0000}"/>
    <cellStyle name="Normal 165 2 3 3 3" xfId="19332" xr:uid="{00000000-0005-0000-0000-0000594A0000}"/>
    <cellStyle name="Normal 165 2 3 4" xfId="19333" xr:uid="{00000000-0005-0000-0000-00005A4A0000}"/>
    <cellStyle name="Normal 165 2 3 5" xfId="19334" xr:uid="{00000000-0005-0000-0000-00005B4A0000}"/>
    <cellStyle name="Normal 165 2 3 6" xfId="19335" xr:uid="{00000000-0005-0000-0000-00005C4A0000}"/>
    <cellStyle name="Normal 165 2 3 7" xfId="19336" xr:uid="{00000000-0005-0000-0000-00005D4A0000}"/>
    <cellStyle name="Normal 165 2 4" xfId="19337" xr:uid="{00000000-0005-0000-0000-00005E4A0000}"/>
    <cellStyle name="Normal 165 2 4 2" xfId="19338" xr:uid="{00000000-0005-0000-0000-00005F4A0000}"/>
    <cellStyle name="Normal 165 2 4 3" xfId="19339" xr:uid="{00000000-0005-0000-0000-0000604A0000}"/>
    <cellStyle name="Normal 165 2 5" xfId="19340" xr:uid="{00000000-0005-0000-0000-0000614A0000}"/>
    <cellStyle name="Normal 165 2 5 2" xfId="19341" xr:uid="{00000000-0005-0000-0000-0000624A0000}"/>
    <cellStyle name="Normal 165 2 5 3" xfId="19342" xr:uid="{00000000-0005-0000-0000-0000634A0000}"/>
    <cellStyle name="Normal 165 2 6" xfId="19343" xr:uid="{00000000-0005-0000-0000-0000644A0000}"/>
    <cellStyle name="Normal 165 2 7" xfId="19344" xr:uid="{00000000-0005-0000-0000-0000654A0000}"/>
    <cellStyle name="Normal 165 2 8" xfId="19345" xr:uid="{00000000-0005-0000-0000-0000664A0000}"/>
    <cellStyle name="Normal 165 2 9" xfId="19346" xr:uid="{00000000-0005-0000-0000-0000674A0000}"/>
    <cellStyle name="Normal 165 3" xfId="19347" xr:uid="{00000000-0005-0000-0000-0000684A0000}"/>
    <cellStyle name="Normal 165 3 2" xfId="19348" xr:uid="{00000000-0005-0000-0000-0000694A0000}"/>
    <cellStyle name="Normal 165 3 2 2" xfId="19349" xr:uid="{00000000-0005-0000-0000-00006A4A0000}"/>
    <cellStyle name="Normal 165 3 2 2 2" xfId="19350" xr:uid="{00000000-0005-0000-0000-00006B4A0000}"/>
    <cellStyle name="Normal 165 3 2 2 3" xfId="19351" xr:uid="{00000000-0005-0000-0000-00006C4A0000}"/>
    <cellStyle name="Normal 165 3 2 3" xfId="19352" xr:uid="{00000000-0005-0000-0000-00006D4A0000}"/>
    <cellStyle name="Normal 165 3 2 3 2" xfId="19353" xr:uid="{00000000-0005-0000-0000-00006E4A0000}"/>
    <cellStyle name="Normal 165 3 2 3 3" xfId="19354" xr:uid="{00000000-0005-0000-0000-00006F4A0000}"/>
    <cellStyle name="Normal 165 3 2 4" xfId="19355" xr:uid="{00000000-0005-0000-0000-0000704A0000}"/>
    <cellStyle name="Normal 165 3 2 5" xfId="19356" xr:uid="{00000000-0005-0000-0000-0000714A0000}"/>
    <cellStyle name="Normal 165 3 2 6" xfId="19357" xr:uid="{00000000-0005-0000-0000-0000724A0000}"/>
    <cellStyle name="Normal 165 3 3" xfId="19358" xr:uid="{00000000-0005-0000-0000-0000734A0000}"/>
    <cellStyle name="Normal 165 3 3 2" xfId="19359" xr:uid="{00000000-0005-0000-0000-0000744A0000}"/>
    <cellStyle name="Normal 165 3 3 3" xfId="19360" xr:uid="{00000000-0005-0000-0000-0000754A0000}"/>
    <cellStyle name="Normal 165 3 4" xfId="19361" xr:uid="{00000000-0005-0000-0000-0000764A0000}"/>
    <cellStyle name="Normal 165 3 4 2" xfId="19362" xr:uid="{00000000-0005-0000-0000-0000774A0000}"/>
    <cellStyle name="Normal 165 3 4 3" xfId="19363" xr:uid="{00000000-0005-0000-0000-0000784A0000}"/>
    <cellStyle name="Normal 165 3 5" xfId="19364" xr:uid="{00000000-0005-0000-0000-0000794A0000}"/>
    <cellStyle name="Normal 165 3 6" xfId="19365" xr:uid="{00000000-0005-0000-0000-00007A4A0000}"/>
    <cellStyle name="Normal 165 3 7" xfId="19366" xr:uid="{00000000-0005-0000-0000-00007B4A0000}"/>
    <cellStyle name="Normal 165 3 8" xfId="19367" xr:uid="{00000000-0005-0000-0000-00007C4A0000}"/>
    <cellStyle name="Normal 165 3 9" xfId="19368" xr:uid="{00000000-0005-0000-0000-00007D4A0000}"/>
    <cellStyle name="Normal 165 4" xfId="19369" xr:uid="{00000000-0005-0000-0000-00007E4A0000}"/>
    <cellStyle name="Normal 165 4 2" xfId="19370" xr:uid="{00000000-0005-0000-0000-00007F4A0000}"/>
    <cellStyle name="Normal 165 4 2 2" xfId="19371" xr:uid="{00000000-0005-0000-0000-0000804A0000}"/>
    <cellStyle name="Normal 165 4 2 3" xfId="19372" xr:uid="{00000000-0005-0000-0000-0000814A0000}"/>
    <cellStyle name="Normal 165 4 3" xfId="19373" xr:uid="{00000000-0005-0000-0000-0000824A0000}"/>
    <cellStyle name="Normal 165 4 3 2" xfId="19374" xr:uid="{00000000-0005-0000-0000-0000834A0000}"/>
    <cellStyle name="Normal 165 4 3 3" xfId="19375" xr:uid="{00000000-0005-0000-0000-0000844A0000}"/>
    <cellStyle name="Normal 165 4 4" xfId="19376" xr:uid="{00000000-0005-0000-0000-0000854A0000}"/>
    <cellStyle name="Normal 165 4 5" xfId="19377" xr:uid="{00000000-0005-0000-0000-0000864A0000}"/>
    <cellStyle name="Normal 165 4 6" xfId="19378" xr:uid="{00000000-0005-0000-0000-0000874A0000}"/>
    <cellStyle name="Normal 165 4 7" xfId="19379" xr:uid="{00000000-0005-0000-0000-0000884A0000}"/>
    <cellStyle name="Normal 165 5" xfId="19380" xr:uid="{00000000-0005-0000-0000-0000894A0000}"/>
    <cellStyle name="Normal 165 5 2" xfId="19381" xr:uid="{00000000-0005-0000-0000-00008A4A0000}"/>
    <cellStyle name="Normal 165 5 3" xfId="19382" xr:uid="{00000000-0005-0000-0000-00008B4A0000}"/>
    <cellStyle name="Normal 165 6" xfId="19383" xr:uid="{00000000-0005-0000-0000-00008C4A0000}"/>
    <cellStyle name="Normal 165 6 2" xfId="19384" xr:uid="{00000000-0005-0000-0000-00008D4A0000}"/>
    <cellStyle name="Normal 165 6 3" xfId="19385" xr:uid="{00000000-0005-0000-0000-00008E4A0000}"/>
    <cellStyle name="Normal 165 7" xfId="19386" xr:uid="{00000000-0005-0000-0000-00008F4A0000}"/>
    <cellStyle name="Normal 165 8" xfId="19387" xr:uid="{00000000-0005-0000-0000-0000904A0000}"/>
    <cellStyle name="Normal 165 9" xfId="19388" xr:uid="{00000000-0005-0000-0000-0000914A0000}"/>
    <cellStyle name="Normal 165_Order Book" xfId="19389" xr:uid="{00000000-0005-0000-0000-0000924A0000}"/>
    <cellStyle name="Normal 166" xfId="2152" xr:uid="{00000000-0005-0000-0000-0000934A0000}"/>
    <cellStyle name="Normal 166 10" xfId="19390" xr:uid="{00000000-0005-0000-0000-0000944A0000}"/>
    <cellStyle name="Normal 166 11" xfId="19391" xr:uid="{00000000-0005-0000-0000-0000954A0000}"/>
    <cellStyle name="Normal 166 12" xfId="19392" xr:uid="{00000000-0005-0000-0000-0000964A0000}"/>
    <cellStyle name="Normal 166 2" xfId="2153" xr:uid="{00000000-0005-0000-0000-0000974A0000}"/>
    <cellStyle name="Normal 166 2 10" xfId="19393" xr:uid="{00000000-0005-0000-0000-0000984A0000}"/>
    <cellStyle name="Normal 166 2 11" xfId="19394" xr:uid="{00000000-0005-0000-0000-0000994A0000}"/>
    <cellStyle name="Normal 166 2 2" xfId="19395" xr:uid="{00000000-0005-0000-0000-00009A4A0000}"/>
    <cellStyle name="Normal 166 2 2 2" xfId="19396" xr:uid="{00000000-0005-0000-0000-00009B4A0000}"/>
    <cellStyle name="Normal 166 2 2 2 2" xfId="19397" xr:uid="{00000000-0005-0000-0000-00009C4A0000}"/>
    <cellStyle name="Normal 166 2 2 2 2 2" xfId="19398" xr:uid="{00000000-0005-0000-0000-00009D4A0000}"/>
    <cellStyle name="Normal 166 2 2 2 2 3" xfId="19399" xr:uid="{00000000-0005-0000-0000-00009E4A0000}"/>
    <cellStyle name="Normal 166 2 2 2 3" xfId="19400" xr:uid="{00000000-0005-0000-0000-00009F4A0000}"/>
    <cellStyle name="Normal 166 2 2 2 3 2" xfId="19401" xr:uid="{00000000-0005-0000-0000-0000A04A0000}"/>
    <cellStyle name="Normal 166 2 2 2 3 3" xfId="19402" xr:uid="{00000000-0005-0000-0000-0000A14A0000}"/>
    <cellStyle name="Normal 166 2 2 2 4" xfId="19403" xr:uid="{00000000-0005-0000-0000-0000A24A0000}"/>
    <cellStyle name="Normal 166 2 2 2 5" xfId="19404" xr:uid="{00000000-0005-0000-0000-0000A34A0000}"/>
    <cellStyle name="Normal 166 2 2 2 6" xfId="19405" xr:uid="{00000000-0005-0000-0000-0000A44A0000}"/>
    <cellStyle name="Normal 166 2 2 3" xfId="19406" xr:uid="{00000000-0005-0000-0000-0000A54A0000}"/>
    <cellStyle name="Normal 166 2 2 3 2" xfId="19407" xr:uid="{00000000-0005-0000-0000-0000A64A0000}"/>
    <cellStyle name="Normal 166 2 2 3 3" xfId="19408" xr:uid="{00000000-0005-0000-0000-0000A74A0000}"/>
    <cellStyle name="Normal 166 2 2 4" xfId="19409" xr:uid="{00000000-0005-0000-0000-0000A84A0000}"/>
    <cellStyle name="Normal 166 2 2 4 2" xfId="19410" xr:uid="{00000000-0005-0000-0000-0000A94A0000}"/>
    <cellStyle name="Normal 166 2 2 4 3" xfId="19411" xr:uid="{00000000-0005-0000-0000-0000AA4A0000}"/>
    <cellStyle name="Normal 166 2 2 5" xfId="19412" xr:uid="{00000000-0005-0000-0000-0000AB4A0000}"/>
    <cellStyle name="Normal 166 2 2 6" xfId="19413" xr:uid="{00000000-0005-0000-0000-0000AC4A0000}"/>
    <cellStyle name="Normal 166 2 2 7" xfId="19414" xr:uid="{00000000-0005-0000-0000-0000AD4A0000}"/>
    <cellStyle name="Normal 166 2 2 8" xfId="19415" xr:uid="{00000000-0005-0000-0000-0000AE4A0000}"/>
    <cellStyle name="Normal 166 2 2 9" xfId="19416" xr:uid="{00000000-0005-0000-0000-0000AF4A0000}"/>
    <cellStyle name="Normal 166 2 3" xfId="19417" xr:uid="{00000000-0005-0000-0000-0000B04A0000}"/>
    <cellStyle name="Normal 166 2 3 2" xfId="19418" xr:uid="{00000000-0005-0000-0000-0000B14A0000}"/>
    <cellStyle name="Normal 166 2 3 2 2" xfId="19419" xr:uid="{00000000-0005-0000-0000-0000B24A0000}"/>
    <cellStyle name="Normal 166 2 3 2 3" xfId="19420" xr:uid="{00000000-0005-0000-0000-0000B34A0000}"/>
    <cellStyle name="Normal 166 2 3 3" xfId="19421" xr:uid="{00000000-0005-0000-0000-0000B44A0000}"/>
    <cellStyle name="Normal 166 2 3 3 2" xfId="19422" xr:uid="{00000000-0005-0000-0000-0000B54A0000}"/>
    <cellStyle name="Normal 166 2 3 3 3" xfId="19423" xr:uid="{00000000-0005-0000-0000-0000B64A0000}"/>
    <cellStyle name="Normal 166 2 3 4" xfId="19424" xr:uid="{00000000-0005-0000-0000-0000B74A0000}"/>
    <cellStyle name="Normal 166 2 3 5" xfId="19425" xr:uid="{00000000-0005-0000-0000-0000B84A0000}"/>
    <cellStyle name="Normal 166 2 3 6" xfId="19426" xr:uid="{00000000-0005-0000-0000-0000B94A0000}"/>
    <cellStyle name="Normal 166 2 3 7" xfId="19427" xr:uid="{00000000-0005-0000-0000-0000BA4A0000}"/>
    <cellStyle name="Normal 166 2 4" xfId="19428" xr:uid="{00000000-0005-0000-0000-0000BB4A0000}"/>
    <cellStyle name="Normal 166 2 4 2" xfId="19429" xr:uid="{00000000-0005-0000-0000-0000BC4A0000}"/>
    <cellStyle name="Normal 166 2 4 3" xfId="19430" xr:uid="{00000000-0005-0000-0000-0000BD4A0000}"/>
    <cellStyle name="Normal 166 2 5" xfId="19431" xr:uid="{00000000-0005-0000-0000-0000BE4A0000}"/>
    <cellStyle name="Normal 166 2 5 2" xfId="19432" xr:uid="{00000000-0005-0000-0000-0000BF4A0000}"/>
    <cellStyle name="Normal 166 2 5 3" xfId="19433" xr:uid="{00000000-0005-0000-0000-0000C04A0000}"/>
    <cellStyle name="Normal 166 2 6" xfId="19434" xr:uid="{00000000-0005-0000-0000-0000C14A0000}"/>
    <cellStyle name="Normal 166 2 7" xfId="19435" xr:uid="{00000000-0005-0000-0000-0000C24A0000}"/>
    <cellStyle name="Normal 166 2 8" xfId="19436" xr:uid="{00000000-0005-0000-0000-0000C34A0000}"/>
    <cellStyle name="Normal 166 2 9" xfId="19437" xr:uid="{00000000-0005-0000-0000-0000C44A0000}"/>
    <cellStyle name="Normal 166 3" xfId="19438" xr:uid="{00000000-0005-0000-0000-0000C54A0000}"/>
    <cellStyle name="Normal 166 3 2" xfId="19439" xr:uid="{00000000-0005-0000-0000-0000C64A0000}"/>
    <cellStyle name="Normal 166 3 2 2" xfId="19440" xr:uid="{00000000-0005-0000-0000-0000C74A0000}"/>
    <cellStyle name="Normal 166 3 2 2 2" xfId="19441" xr:uid="{00000000-0005-0000-0000-0000C84A0000}"/>
    <cellStyle name="Normal 166 3 2 2 3" xfId="19442" xr:uid="{00000000-0005-0000-0000-0000C94A0000}"/>
    <cellStyle name="Normal 166 3 2 3" xfId="19443" xr:uid="{00000000-0005-0000-0000-0000CA4A0000}"/>
    <cellStyle name="Normal 166 3 2 3 2" xfId="19444" xr:uid="{00000000-0005-0000-0000-0000CB4A0000}"/>
    <cellStyle name="Normal 166 3 2 3 3" xfId="19445" xr:uid="{00000000-0005-0000-0000-0000CC4A0000}"/>
    <cellStyle name="Normal 166 3 2 4" xfId="19446" xr:uid="{00000000-0005-0000-0000-0000CD4A0000}"/>
    <cellStyle name="Normal 166 3 2 5" xfId="19447" xr:uid="{00000000-0005-0000-0000-0000CE4A0000}"/>
    <cellStyle name="Normal 166 3 2 6" xfId="19448" xr:uid="{00000000-0005-0000-0000-0000CF4A0000}"/>
    <cellStyle name="Normal 166 3 3" xfId="19449" xr:uid="{00000000-0005-0000-0000-0000D04A0000}"/>
    <cellStyle name="Normal 166 3 3 2" xfId="19450" xr:uid="{00000000-0005-0000-0000-0000D14A0000}"/>
    <cellStyle name="Normal 166 3 3 3" xfId="19451" xr:uid="{00000000-0005-0000-0000-0000D24A0000}"/>
    <cellStyle name="Normal 166 3 4" xfId="19452" xr:uid="{00000000-0005-0000-0000-0000D34A0000}"/>
    <cellStyle name="Normal 166 3 4 2" xfId="19453" xr:uid="{00000000-0005-0000-0000-0000D44A0000}"/>
    <cellStyle name="Normal 166 3 4 3" xfId="19454" xr:uid="{00000000-0005-0000-0000-0000D54A0000}"/>
    <cellStyle name="Normal 166 3 5" xfId="19455" xr:uid="{00000000-0005-0000-0000-0000D64A0000}"/>
    <cellStyle name="Normal 166 3 6" xfId="19456" xr:uid="{00000000-0005-0000-0000-0000D74A0000}"/>
    <cellStyle name="Normal 166 3 7" xfId="19457" xr:uid="{00000000-0005-0000-0000-0000D84A0000}"/>
    <cellStyle name="Normal 166 3 8" xfId="19458" xr:uid="{00000000-0005-0000-0000-0000D94A0000}"/>
    <cellStyle name="Normal 166 3 9" xfId="19459" xr:uid="{00000000-0005-0000-0000-0000DA4A0000}"/>
    <cellStyle name="Normal 166 4" xfId="19460" xr:uid="{00000000-0005-0000-0000-0000DB4A0000}"/>
    <cellStyle name="Normal 166 4 2" xfId="19461" xr:uid="{00000000-0005-0000-0000-0000DC4A0000}"/>
    <cellStyle name="Normal 166 4 2 2" xfId="19462" xr:uid="{00000000-0005-0000-0000-0000DD4A0000}"/>
    <cellStyle name="Normal 166 4 2 3" xfId="19463" xr:uid="{00000000-0005-0000-0000-0000DE4A0000}"/>
    <cellStyle name="Normal 166 4 3" xfId="19464" xr:uid="{00000000-0005-0000-0000-0000DF4A0000}"/>
    <cellStyle name="Normal 166 4 3 2" xfId="19465" xr:uid="{00000000-0005-0000-0000-0000E04A0000}"/>
    <cellStyle name="Normal 166 4 3 3" xfId="19466" xr:uid="{00000000-0005-0000-0000-0000E14A0000}"/>
    <cellStyle name="Normal 166 4 4" xfId="19467" xr:uid="{00000000-0005-0000-0000-0000E24A0000}"/>
    <cellStyle name="Normal 166 4 5" xfId="19468" xr:uid="{00000000-0005-0000-0000-0000E34A0000}"/>
    <cellStyle name="Normal 166 4 6" xfId="19469" xr:uid="{00000000-0005-0000-0000-0000E44A0000}"/>
    <cellStyle name="Normal 166 4 7" xfId="19470" xr:uid="{00000000-0005-0000-0000-0000E54A0000}"/>
    <cellStyle name="Normal 166 5" xfId="19471" xr:uid="{00000000-0005-0000-0000-0000E64A0000}"/>
    <cellStyle name="Normal 166 5 2" xfId="19472" xr:uid="{00000000-0005-0000-0000-0000E74A0000}"/>
    <cellStyle name="Normal 166 5 3" xfId="19473" xr:uid="{00000000-0005-0000-0000-0000E84A0000}"/>
    <cellStyle name="Normal 166 6" xfId="19474" xr:uid="{00000000-0005-0000-0000-0000E94A0000}"/>
    <cellStyle name="Normal 166 6 2" xfId="19475" xr:uid="{00000000-0005-0000-0000-0000EA4A0000}"/>
    <cellStyle name="Normal 166 6 3" xfId="19476" xr:uid="{00000000-0005-0000-0000-0000EB4A0000}"/>
    <cellStyle name="Normal 166 7" xfId="19477" xr:uid="{00000000-0005-0000-0000-0000EC4A0000}"/>
    <cellStyle name="Normal 166 8" xfId="19478" xr:uid="{00000000-0005-0000-0000-0000ED4A0000}"/>
    <cellStyle name="Normal 166 9" xfId="19479" xr:uid="{00000000-0005-0000-0000-0000EE4A0000}"/>
    <cellStyle name="Normal 166_Order Book" xfId="19480" xr:uid="{00000000-0005-0000-0000-0000EF4A0000}"/>
    <cellStyle name="Normal 167" xfId="2154" xr:uid="{00000000-0005-0000-0000-0000F04A0000}"/>
    <cellStyle name="Normal 167 10" xfId="19481" xr:uid="{00000000-0005-0000-0000-0000F14A0000}"/>
    <cellStyle name="Normal 167 11" xfId="19482" xr:uid="{00000000-0005-0000-0000-0000F24A0000}"/>
    <cellStyle name="Normal 167 12" xfId="19483" xr:uid="{00000000-0005-0000-0000-0000F34A0000}"/>
    <cellStyle name="Normal 167 2" xfId="2155" xr:uid="{00000000-0005-0000-0000-0000F44A0000}"/>
    <cellStyle name="Normal 167 2 10" xfId="19484" xr:uid="{00000000-0005-0000-0000-0000F54A0000}"/>
    <cellStyle name="Normal 167 2 11" xfId="19485" xr:uid="{00000000-0005-0000-0000-0000F64A0000}"/>
    <cellStyle name="Normal 167 2 2" xfId="19486" xr:uid="{00000000-0005-0000-0000-0000F74A0000}"/>
    <cellStyle name="Normal 167 2 2 2" xfId="19487" xr:uid="{00000000-0005-0000-0000-0000F84A0000}"/>
    <cellStyle name="Normal 167 2 2 2 2" xfId="19488" xr:uid="{00000000-0005-0000-0000-0000F94A0000}"/>
    <cellStyle name="Normal 167 2 2 2 2 2" xfId="19489" xr:uid="{00000000-0005-0000-0000-0000FA4A0000}"/>
    <cellStyle name="Normal 167 2 2 2 2 3" xfId="19490" xr:uid="{00000000-0005-0000-0000-0000FB4A0000}"/>
    <cellStyle name="Normal 167 2 2 2 3" xfId="19491" xr:uid="{00000000-0005-0000-0000-0000FC4A0000}"/>
    <cellStyle name="Normal 167 2 2 2 3 2" xfId="19492" xr:uid="{00000000-0005-0000-0000-0000FD4A0000}"/>
    <cellStyle name="Normal 167 2 2 2 3 3" xfId="19493" xr:uid="{00000000-0005-0000-0000-0000FE4A0000}"/>
    <cellStyle name="Normal 167 2 2 2 4" xfId="19494" xr:uid="{00000000-0005-0000-0000-0000FF4A0000}"/>
    <cellStyle name="Normal 167 2 2 2 5" xfId="19495" xr:uid="{00000000-0005-0000-0000-0000004B0000}"/>
    <cellStyle name="Normal 167 2 2 2 6" xfId="19496" xr:uid="{00000000-0005-0000-0000-0000014B0000}"/>
    <cellStyle name="Normal 167 2 2 3" xfId="19497" xr:uid="{00000000-0005-0000-0000-0000024B0000}"/>
    <cellStyle name="Normal 167 2 2 3 2" xfId="19498" xr:uid="{00000000-0005-0000-0000-0000034B0000}"/>
    <cellStyle name="Normal 167 2 2 3 3" xfId="19499" xr:uid="{00000000-0005-0000-0000-0000044B0000}"/>
    <cellStyle name="Normal 167 2 2 4" xfId="19500" xr:uid="{00000000-0005-0000-0000-0000054B0000}"/>
    <cellStyle name="Normal 167 2 2 4 2" xfId="19501" xr:uid="{00000000-0005-0000-0000-0000064B0000}"/>
    <cellStyle name="Normal 167 2 2 4 3" xfId="19502" xr:uid="{00000000-0005-0000-0000-0000074B0000}"/>
    <cellStyle name="Normal 167 2 2 5" xfId="19503" xr:uid="{00000000-0005-0000-0000-0000084B0000}"/>
    <cellStyle name="Normal 167 2 2 6" xfId="19504" xr:uid="{00000000-0005-0000-0000-0000094B0000}"/>
    <cellStyle name="Normal 167 2 2 7" xfId="19505" xr:uid="{00000000-0005-0000-0000-00000A4B0000}"/>
    <cellStyle name="Normal 167 2 2 8" xfId="19506" xr:uid="{00000000-0005-0000-0000-00000B4B0000}"/>
    <cellStyle name="Normal 167 2 2 9" xfId="19507" xr:uid="{00000000-0005-0000-0000-00000C4B0000}"/>
    <cellStyle name="Normal 167 2 3" xfId="19508" xr:uid="{00000000-0005-0000-0000-00000D4B0000}"/>
    <cellStyle name="Normal 167 2 3 2" xfId="19509" xr:uid="{00000000-0005-0000-0000-00000E4B0000}"/>
    <cellStyle name="Normal 167 2 3 2 2" xfId="19510" xr:uid="{00000000-0005-0000-0000-00000F4B0000}"/>
    <cellStyle name="Normal 167 2 3 2 3" xfId="19511" xr:uid="{00000000-0005-0000-0000-0000104B0000}"/>
    <cellStyle name="Normal 167 2 3 3" xfId="19512" xr:uid="{00000000-0005-0000-0000-0000114B0000}"/>
    <cellStyle name="Normal 167 2 3 3 2" xfId="19513" xr:uid="{00000000-0005-0000-0000-0000124B0000}"/>
    <cellStyle name="Normal 167 2 3 3 3" xfId="19514" xr:uid="{00000000-0005-0000-0000-0000134B0000}"/>
    <cellStyle name="Normal 167 2 3 4" xfId="19515" xr:uid="{00000000-0005-0000-0000-0000144B0000}"/>
    <cellStyle name="Normal 167 2 3 5" xfId="19516" xr:uid="{00000000-0005-0000-0000-0000154B0000}"/>
    <cellStyle name="Normal 167 2 3 6" xfId="19517" xr:uid="{00000000-0005-0000-0000-0000164B0000}"/>
    <cellStyle name="Normal 167 2 3 7" xfId="19518" xr:uid="{00000000-0005-0000-0000-0000174B0000}"/>
    <cellStyle name="Normal 167 2 4" xfId="19519" xr:uid="{00000000-0005-0000-0000-0000184B0000}"/>
    <cellStyle name="Normal 167 2 4 2" xfId="19520" xr:uid="{00000000-0005-0000-0000-0000194B0000}"/>
    <cellStyle name="Normal 167 2 4 3" xfId="19521" xr:uid="{00000000-0005-0000-0000-00001A4B0000}"/>
    <cellStyle name="Normal 167 2 5" xfId="19522" xr:uid="{00000000-0005-0000-0000-00001B4B0000}"/>
    <cellStyle name="Normal 167 2 5 2" xfId="19523" xr:uid="{00000000-0005-0000-0000-00001C4B0000}"/>
    <cellStyle name="Normal 167 2 5 3" xfId="19524" xr:uid="{00000000-0005-0000-0000-00001D4B0000}"/>
    <cellStyle name="Normal 167 2 6" xfId="19525" xr:uid="{00000000-0005-0000-0000-00001E4B0000}"/>
    <cellStyle name="Normal 167 2 7" xfId="19526" xr:uid="{00000000-0005-0000-0000-00001F4B0000}"/>
    <cellStyle name="Normal 167 2 8" xfId="19527" xr:uid="{00000000-0005-0000-0000-0000204B0000}"/>
    <cellStyle name="Normal 167 2 9" xfId="19528" xr:uid="{00000000-0005-0000-0000-0000214B0000}"/>
    <cellStyle name="Normal 167 3" xfId="19529" xr:uid="{00000000-0005-0000-0000-0000224B0000}"/>
    <cellStyle name="Normal 167 3 2" xfId="19530" xr:uid="{00000000-0005-0000-0000-0000234B0000}"/>
    <cellStyle name="Normal 167 3 2 2" xfId="19531" xr:uid="{00000000-0005-0000-0000-0000244B0000}"/>
    <cellStyle name="Normal 167 3 2 2 2" xfId="19532" xr:uid="{00000000-0005-0000-0000-0000254B0000}"/>
    <cellStyle name="Normal 167 3 2 2 3" xfId="19533" xr:uid="{00000000-0005-0000-0000-0000264B0000}"/>
    <cellStyle name="Normal 167 3 2 3" xfId="19534" xr:uid="{00000000-0005-0000-0000-0000274B0000}"/>
    <cellStyle name="Normal 167 3 2 3 2" xfId="19535" xr:uid="{00000000-0005-0000-0000-0000284B0000}"/>
    <cellStyle name="Normal 167 3 2 3 3" xfId="19536" xr:uid="{00000000-0005-0000-0000-0000294B0000}"/>
    <cellStyle name="Normal 167 3 2 4" xfId="19537" xr:uid="{00000000-0005-0000-0000-00002A4B0000}"/>
    <cellStyle name="Normal 167 3 2 5" xfId="19538" xr:uid="{00000000-0005-0000-0000-00002B4B0000}"/>
    <cellStyle name="Normal 167 3 2 6" xfId="19539" xr:uid="{00000000-0005-0000-0000-00002C4B0000}"/>
    <cellStyle name="Normal 167 3 3" xfId="19540" xr:uid="{00000000-0005-0000-0000-00002D4B0000}"/>
    <cellStyle name="Normal 167 3 3 2" xfId="19541" xr:uid="{00000000-0005-0000-0000-00002E4B0000}"/>
    <cellStyle name="Normal 167 3 3 3" xfId="19542" xr:uid="{00000000-0005-0000-0000-00002F4B0000}"/>
    <cellStyle name="Normal 167 3 4" xfId="19543" xr:uid="{00000000-0005-0000-0000-0000304B0000}"/>
    <cellStyle name="Normal 167 3 4 2" xfId="19544" xr:uid="{00000000-0005-0000-0000-0000314B0000}"/>
    <cellStyle name="Normal 167 3 4 3" xfId="19545" xr:uid="{00000000-0005-0000-0000-0000324B0000}"/>
    <cellStyle name="Normal 167 3 5" xfId="19546" xr:uid="{00000000-0005-0000-0000-0000334B0000}"/>
    <cellStyle name="Normal 167 3 6" xfId="19547" xr:uid="{00000000-0005-0000-0000-0000344B0000}"/>
    <cellStyle name="Normal 167 3 7" xfId="19548" xr:uid="{00000000-0005-0000-0000-0000354B0000}"/>
    <cellStyle name="Normal 167 3 8" xfId="19549" xr:uid="{00000000-0005-0000-0000-0000364B0000}"/>
    <cellStyle name="Normal 167 3 9" xfId="19550" xr:uid="{00000000-0005-0000-0000-0000374B0000}"/>
    <cellStyle name="Normal 167 4" xfId="19551" xr:uid="{00000000-0005-0000-0000-0000384B0000}"/>
    <cellStyle name="Normal 167 4 2" xfId="19552" xr:uid="{00000000-0005-0000-0000-0000394B0000}"/>
    <cellStyle name="Normal 167 4 2 2" xfId="19553" xr:uid="{00000000-0005-0000-0000-00003A4B0000}"/>
    <cellStyle name="Normal 167 4 2 3" xfId="19554" xr:uid="{00000000-0005-0000-0000-00003B4B0000}"/>
    <cellStyle name="Normal 167 4 3" xfId="19555" xr:uid="{00000000-0005-0000-0000-00003C4B0000}"/>
    <cellStyle name="Normal 167 4 3 2" xfId="19556" xr:uid="{00000000-0005-0000-0000-00003D4B0000}"/>
    <cellStyle name="Normal 167 4 3 3" xfId="19557" xr:uid="{00000000-0005-0000-0000-00003E4B0000}"/>
    <cellStyle name="Normal 167 4 4" xfId="19558" xr:uid="{00000000-0005-0000-0000-00003F4B0000}"/>
    <cellStyle name="Normal 167 4 5" xfId="19559" xr:uid="{00000000-0005-0000-0000-0000404B0000}"/>
    <cellStyle name="Normal 167 4 6" xfId="19560" xr:uid="{00000000-0005-0000-0000-0000414B0000}"/>
    <cellStyle name="Normal 167 4 7" xfId="19561" xr:uid="{00000000-0005-0000-0000-0000424B0000}"/>
    <cellStyle name="Normal 167 5" xfId="19562" xr:uid="{00000000-0005-0000-0000-0000434B0000}"/>
    <cellStyle name="Normal 167 5 2" xfId="19563" xr:uid="{00000000-0005-0000-0000-0000444B0000}"/>
    <cellStyle name="Normal 167 5 3" xfId="19564" xr:uid="{00000000-0005-0000-0000-0000454B0000}"/>
    <cellStyle name="Normal 167 6" xfId="19565" xr:uid="{00000000-0005-0000-0000-0000464B0000}"/>
    <cellStyle name="Normal 167 6 2" xfId="19566" xr:uid="{00000000-0005-0000-0000-0000474B0000}"/>
    <cellStyle name="Normal 167 6 3" xfId="19567" xr:uid="{00000000-0005-0000-0000-0000484B0000}"/>
    <cellStyle name="Normal 167 7" xfId="19568" xr:uid="{00000000-0005-0000-0000-0000494B0000}"/>
    <cellStyle name="Normal 167 8" xfId="19569" xr:uid="{00000000-0005-0000-0000-00004A4B0000}"/>
    <cellStyle name="Normal 167 9" xfId="19570" xr:uid="{00000000-0005-0000-0000-00004B4B0000}"/>
    <cellStyle name="Normal 167_Order Book" xfId="19571" xr:uid="{00000000-0005-0000-0000-00004C4B0000}"/>
    <cellStyle name="Normal 168" xfId="2156" xr:uid="{00000000-0005-0000-0000-00004D4B0000}"/>
    <cellStyle name="Normal 168 10" xfId="19572" xr:uid="{00000000-0005-0000-0000-00004E4B0000}"/>
    <cellStyle name="Normal 168 11" xfId="19573" xr:uid="{00000000-0005-0000-0000-00004F4B0000}"/>
    <cellStyle name="Normal 168 12" xfId="19574" xr:uid="{00000000-0005-0000-0000-0000504B0000}"/>
    <cellStyle name="Normal 168 2" xfId="2157" xr:uid="{00000000-0005-0000-0000-0000514B0000}"/>
    <cellStyle name="Normal 168 2 10" xfId="19575" xr:uid="{00000000-0005-0000-0000-0000524B0000}"/>
    <cellStyle name="Normal 168 2 11" xfId="19576" xr:uid="{00000000-0005-0000-0000-0000534B0000}"/>
    <cellStyle name="Normal 168 2 2" xfId="19577" xr:uid="{00000000-0005-0000-0000-0000544B0000}"/>
    <cellStyle name="Normal 168 2 2 2" xfId="19578" xr:uid="{00000000-0005-0000-0000-0000554B0000}"/>
    <cellStyle name="Normal 168 2 2 2 2" xfId="19579" xr:uid="{00000000-0005-0000-0000-0000564B0000}"/>
    <cellStyle name="Normal 168 2 2 2 2 2" xfId="19580" xr:uid="{00000000-0005-0000-0000-0000574B0000}"/>
    <cellStyle name="Normal 168 2 2 2 2 3" xfId="19581" xr:uid="{00000000-0005-0000-0000-0000584B0000}"/>
    <cellStyle name="Normal 168 2 2 2 3" xfId="19582" xr:uid="{00000000-0005-0000-0000-0000594B0000}"/>
    <cellStyle name="Normal 168 2 2 2 3 2" xfId="19583" xr:uid="{00000000-0005-0000-0000-00005A4B0000}"/>
    <cellStyle name="Normal 168 2 2 2 3 3" xfId="19584" xr:uid="{00000000-0005-0000-0000-00005B4B0000}"/>
    <cellStyle name="Normal 168 2 2 2 4" xfId="19585" xr:uid="{00000000-0005-0000-0000-00005C4B0000}"/>
    <cellStyle name="Normal 168 2 2 2 5" xfId="19586" xr:uid="{00000000-0005-0000-0000-00005D4B0000}"/>
    <cellStyle name="Normal 168 2 2 2 6" xfId="19587" xr:uid="{00000000-0005-0000-0000-00005E4B0000}"/>
    <cellStyle name="Normal 168 2 2 3" xfId="19588" xr:uid="{00000000-0005-0000-0000-00005F4B0000}"/>
    <cellStyle name="Normal 168 2 2 3 2" xfId="19589" xr:uid="{00000000-0005-0000-0000-0000604B0000}"/>
    <cellStyle name="Normal 168 2 2 3 3" xfId="19590" xr:uid="{00000000-0005-0000-0000-0000614B0000}"/>
    <cellStyle name="Normal 168 2 2 4" xfId="19591" xr:uid="{00000000-0005-0000-0000-0000624B0000}"/>
    <cellStyle name="Normal 168 2 2 4 2" xfId="19592" xr:uid="{00000000-0005-0000-0000-0000634B0000}"/>
    <cellStyle name="Normal 168 2 2 4 3" xfId="19593" xr:uid="{00000000-0005-0000-0000-0000644B0000}"/>
    <cellStyle name="Normal 168 2 2 5" xfId="19594" xr:uid="{00000000-0005-0000-0000-0000654B0000}"/>
    <cellStyle name="Normal 168 2 2 6" xfId="19595" xr:uid="{00000000-0005-0000-0000-0000664B0000}"/>
    <cellStyle name="Normal 168 2 2 7" xfId="19596" xr:uid="{00000000-0005-0000-0000-0000674B0000}"/>
    <cellStyle name="Normal 168 2 2 8" xfId="19597" xr:uid="{00000000-0005-0000-0000-0000684B0000}"/>
    <cellStyle name="Normal 168 2 3" xfId="19598" xr:uid="{00000000-0005-0000-0000-0000694B0000}"/>
    <cellStyle name="Normal 168 2 3 2" xfId="19599" xr:uid="{00000000-0005-0000-0000-00006A4B0000}"/>
    <cellStyle name="Normal 168 2 3 2 2" xfId="19600" xr:uid="{00000000-0005-0000-0000-00006B4B0000}"/>
    <cellStyle name="Normal 168 2 3 2 3" xfId="19601" xr:uid="{00000000-0005-0000-0000-00006C4B0000}"/>
    <cellStyle name="Normal 168 2 3 3" xfId="19602" xr:uid="{00000000-0005-0000-0000-00006D4B0000}"/>
    <cellStyle name="Normal 168 2 3 3 2" xfId="19603" xr:uid="{00000000-0005-0000-0000-00006E4B0000}"/>
    <cellStyle name="Normal 168 2 3 3 3" xfId="19604" xr:uid="{00000000-0005-0000-0000-00006F4B0000}"/>
    <cellStyle name="Normal 168 2 3 4" xfId="19605" xr:uid="{00000000-0005-0000-0000-0000704B0000}"/>
    <cellStyle name="Normal 168 2 3 5" xfId="19606" xr:uid="{00000000-0005-0000-0000-0000714B0000}"/>
    <cellStyle name="Normal 168 2 3 6" xfId="19607" xr:uid="{00000000-0005-0000-0000-0000724B0000}"/>
    <cellStyle name="Normal 168 2 4" xfId="19608" xr:uid="{00000000-0005-0000-0000-0000734B0000}"/>
    <cellStyle name="Normal 168 2 4 2" xfId="19609" xr:uid="{00000000-0005-0000-0000-0000744B0000}"/>
    <cellStyle name="Normal 168 2 4 3" xfId="19610" xr:uid="{00000000-0005-0000-0000-0000754B0000}"/>
    <cellStyle name="Normal 168 2 5" xfId="19611" xr:uid="{00000000-0005-0000-0000-0000764B0000}"/>
    <cellStyle name="Normal 168 2 5 2" xfId="19612" xr:uid="{00000000-0005-0000-0000-0000774B0000}"/>
    <cellStyle name="Normal 168 2 5 3" xfId="19613" xr:uid="{00000000-0005-0000-0000-0000784B0000}"/>
    <cellStyle name="Normal 168 2 6" xfId="19614" xr:uid="{00000000-0005-0000-0000-0000794B0000}"/>
    <cellStyle name="Normal 168 2 7" xfId="19615" xr:uid="{00000000-0005-0000-0000-00007A4B0000}"/>
    <cellStyle name="Normal 168 2 8" xfId="19616" xr:uid="{00000000-0005-0000-0000-00007B4B0000}"/>
    <cellStyle name="Normal 168 2 9" xfId="19617" xr:uid="{00000000-0005-0000-0000-00007C4B0000}"/>
    <cellStyle name="Normal 168 3" xfId="19618" xr:uid="{00000000-0005-0000-0000-00007D4B0000}"/>
    <cellStyle name="Normal 168 3 2" xfId="19619" xr:uid="{00000000-0005-0000-0000-00007E4B0000}"/>
    <cellStyle name="Normal 168 3 2 2" xfId="19620" xr:uid="{00000000-0005-0000-0000-00007F4B0000}"/>
    <cellStyle name="Normal 168 3 2 2 2" xfId="19621" xr:uid="{00000000-0005-0000-0000-0000804B0000}"/>
    <cellStyle name="Normal 168 3 2 2 3" xfId="19622" xr:uid="{00000000-0005-0000-0000-0000814B0000}"/>
    <cellStyle name="Normal 168 3 2 3" xfId="19623" xr:uid="{00000000-0005-0000-0000-0000824B0000}"/>
    <cellStyle name="Normal 168 3 2 3 2" xfId="19624" xr:uid="{00000000-0005-0000-0000-0000834B0000}"/>
    <cellStyle name="Normal 168 3 2 3 3" xfId="19625" xr:uid="{00000000-0005-0000-0000-0000844B0000}"/>
    <cellStyle name="Normal 168 3 2 4" xfId="19626" xr:uid="{00000000-0005-0000-0000-0000854B0000}"/>
    <cellStyle name="Normal 168 3 2 5" xfId="19627" xr:uid="{00000000-0005-0000-0000-0000864B0000}"/>
    <cellStyle name="Normal 168 3 2 6" xfId="19628" xr:uid="{00000000-0005-0000-0000-0000874B0000}"/>
    <cellStyle name="Normal 168 3 3" xfId="19629" xr:uid="{00000000-0005-0000-0000-0000884B0000}"/>
    <cellStyle name="Normal 168 3 3 2" xfId="19630" xr:uid="{00000000-0005-0000-0000-0000894B0000}"/>
    <cellStyle name="Normal 168 3 3 3" xfId="19631" xr:uid="{00000000-0005-0000-0000-00008A4B0000}"/>
    <cellStyle name="Normal 168 3 4" xfId="19632" xr:uid="{00000000-0005-0000-0000-00008B4B0000}"/>
    <cellStyle name="Normal 168 3 4 2" xfId="19633" xr:uid="{00000000-0005-0000-0000-00008C4B0000}"/>
    <cellStyle name="Normal 168 3 4 3" xfId="19634" xr:uid="{00000000-0005-0000-0000-00008D4B0000}"/>
    <cellStyle name="Normal 168 3 5" xfId="19635" xr:uid="{00000000-0005-0000-0000-00008E4B0000}"/>
    <cellStyle name="Normal 168 3 6" xfId="19636" xr:uid="{00000000-0005-0000-0000-00008F4B0000}"/>
    <cellStyle name="Normal 168 3 7" xfId="19637" xr:uid="{00000000-0005-0000-0000-0000904B0000}"/>
    <cellStyle name="Normal 168 3 8" xfId="19638" xr:uid="{00000000-0005-0000-0000-0000914B0000}"/>
    <cellStyle name="Normal 168 3 9" xfId="19639" xr:uid="{00000000-0005-0000-0000-0000924B0000}"/>
    <cellStyle name="Normal 168 4" xfId="19640" xr:uid="{00000000-0005-0000-0000-0000934B0000}"/>
    <cellStyle name="Normal 168 4 2" xfId="19641" xr:uid="{00000000-0005-0000-0000-0000944B0000}"/>
    <cellStyle name="Normal 168 4 2 2" xfId="19642" xr:uid="{00000000-0005-0000-0000-0000954B0000}"/>
    <cellStyle name="Normal 168 4 2 3" xfId="19643" xr:uid="{00000000-0005-0000-0000-0000964B0000}"/>
    <cellStyle name="Normal 168 4 3" xfId="19644" xr:uid="{00000000-0005-0000-0000-0000974B0000}"/>
    <cellStyle name="Normal 168 4 3 2" xfId="19645" xr:uid="{00000000-0005-0000-0000-0000984B0000}"/>
    <cellStyle name="Normal 168 4 3 3" xfId="19646" xr:uid="{00000000-0005-0000-0000-0000994B0000}"/>
    <cellStyle name="Normal 168 4 4" xfId="19647" xr:uid="{00000000-0005-0000-0000-00009A4B0000}"/>
    <cellStyle name="Normal 168 4 5" xfId="19648" xr:uid="{00000000-0005-0000-0000-00009B4B0000}"/>
    <cellStyle name="Normal 168 4 6" xfId="19649" xr:uid="{00000000-0005-0000-0000-00009C4B0000}"/>
    <cellStyle name="Normal 168 5" xfId="19650" xr:uid="{00000000-0005-0000-0000-00009D4B0000}"/>
    <cellStyle name="Normal 168 5 2" xfId="19651" xr:uid="{00000000-0005-0000-0000-00009E4B0000}"/>
    <cellStyle name="Normal 168 5 3" xfId="19652" xr:uid="{00000000-0005-0000-0000-00009F4B0000}"/>
    <cellStyle name="Normal 168 6" xfId="19653" xr:uid="{00000000-0005-0000-0000-0000A04B0000}"/>
    <cellStyle name="Normal 168 6 2" xfId="19654" xr:uid="{00000000-0005-0000-0000-0000A14B0000}"/>
    <cellStyle name="Normal 168 6 3" xfId="19655" xr:uid="{00000000-0005-0000-0000-0000A24B0000}"/>
    <cellStyle name="Normal 168 7" xfId="19656" xr:uid="{00000000-0005-0000-0000-0000A34B0000}"/>
    <cellStyle name="Normal 168 8" xfId="19657" xr:uid="{00000000-0005-0000-0000-0000A44B0000}"/>
    <cellStyle name="Normal 168 9" xfId="19658" xr:uid="{00000000-0005-0000-0000-0000A54B0000}"/>
    <cellStyle name="Normal 169" xfId="2158" xr:uid="{00000000-0005-0000-0000-0000A64B0000}"/>
    <cellStyle name="Normal 169 10" xfId="19659" xr:uid="{00000000-0005-0000-0000-0000A74B0000}"/>
    <cellStyle name="Normal 169 11" xfId="19660" xr:uid="{00000000-0005-0000-0000-0000A84B0000}"/>
    <cellStyle name="Normal 169 12" xfId="19661" xr:uid="{00000000-0005-0000-0000-0000A94B0000}"/>
    <cellStyle name="Normal 169 2" xfId="2159" xr:uid="{00000000-0005-0000-0000-0000AA4B0000}"/>
    <cellStyle name="Normal 169 2 10" xfId="19662" xr:uid="{00000000-0005-0000-0000-0000AB4B0000}"/>
    <cellStyle name="Normal 169 2 11" xfId="19663" xr:uid="{00000000-0005-0000-0000-0000AC4B0000}"/>
    <cellStyle name="Normal 169 2 2" xfId="19664" xr:uid="{00000000-0005-0000-0000-0000AD4B0000}"/>
    <cellStyle name="Normal 169 2 2 2" xfId="19665" xr:uid="{00000000-0005-0000-0000-0000AE4B0000}"/>
    <cellStyle name="Normal 169 2 2 2 2" xfId="19666" xr:uid="{00000000-0005-0000-0000-0000AF4B0000}"/>
    <cellStyle name="Normal 169 2 2 2 2 2" xfId="19667" xr:uid="{00000000-0005-0000-0000-0000B04B0000}"/>
    <cellStyle name="Normal 169 2 2 2 2 3" xfId="19668" xr:uid="{00000000-0005-0000-0000-0000B14B0000}"/>
    <cellStyle name="Normal 169 2 2 2 3" xfId="19669" xr:uid="{00000000-0005-0000-0000-0000B24B0000}"/>
    <cellStyle name="Normal 169 2 2 2 3 2" xfId="19670" xr:uid="{00000000-0005-0000-0000-0000B34B0000}"/>
    <cellStyle name="Normal 169 2 2 2 3 3" xfId="19671" xr:uid="{00000000-0005-0000-0000-0000B44B0000}"/>
    <cellStyle name="Normal 169 2 2 2 4" xfId="19672" xr:uid="{00000000-0005-0000-0000-0000B54B0000}"/>
    <cellStyle name="Normal 169 2 2 2 5" xfId="19673" xr:uid="{00000000-0005-0000-0000-0000B64B0000}"/>
    <cellStyle name="Normal 169 2 2 2 6" xfId="19674" xr:uid="{00000000-0005-0000-0000-0000B74B0000}"/>
    <cellStyle name="Normal 169 2 2 3" xfId="19675" xr:uid="{00000000-0005-0000-0000-0000B84B0000}"/>
    <cellStyle name="Normal 169 2 2 3 2" xfId="19676" xr:uid="{00000000-0005-0000-0000-0000B94B0000}"/>
    <cellStyle name="Normal 169 2 2 3 3" xfId="19677" xr:uid="{00000000-0005-0000-0000-0000BA4B0000}"/>
    <cellStyle name="Normal 169 2 2 4" xfId="19678" xr:uid="{00000000-0005-0000-0000-0000BB4B0000}"/>
    <cellStyle name="Normal 169 2 2 4 2" xfId="19679" xr:uid="{00000000-0005-0000-0000-0000BC4B0000}"/>
    <cellStyle name="Normal 169 2 2 4 3" xfId="19680" xr:uid="{00000000-0005-0000-0000-0000BD4B0000}"/>
    <cellStyle name="Normal 169 2 2 5" xfId="19681" xr:uid="{00000000-0005-0000-0000-0000BE4B0000}"/>
    <cellStyle name="Normal 169 2 2 6" xfId="19682" xr:uid="{00000000-0005-0000-0000-0000BF4B0000}"/>
    <cellStyle name="Normal 169 2 2 7" xfId="19683" xr:uid="{00000000-0005-0000-0000-0000C04B0000}"/>
    <cellStyle name="Normal 169 2 2 8" xfId="19684" xr:uid="{00000000-0005-0000-0000-0000C14B0000}"/>
    <cellStyle name="Normal 169 2 3" xfId="19685" xr:uid="{00000000-0005-0000-0000-0000C24B0000}"/>
    <cellStyle name="Normal 169 2 3 2" xfId="19686" xr:uid="{00000000-0005-0000-0000-0000C34B0000}"/>
    <cellStyle name="Normal 169 2 3 2 2" xfId="19687" xr:uid="{00000000-0005-0000-0000-0000C44B0000}"/>
    <cellStyle name="Normal 169 2 3 2 3" xfId="19688" xr:uid="{00000000-0005-0000-0000-0000C54B0000}"/>
    <cellStyle name="Normal 169 2 3 3" xfId="19689" xr:uid="{00000000-0005-0000-0000-0000C64B0000}"/>
    <cellStyle name="Normal 169 2 3 3 2" xfId="19690" xr:uid="{00000000-0005-0000-0000-0000C74B0000}"/>
    <cellStyle name="Normal 169 2 3 3 3" xfId="19691" xr:uid="{00000000-0005-0000-0000-0000C84B0000}"/>
    <cellStyle name="Normal 169 2 3 4" xfId="19692" xr:uid="{00000000-0005-0000-0000-0000C94B0000}"/>
    <cellStyle name="Normal 169 2 3 5" xfId="19693" xr:uid="{00000000-0005-0000-0000-0000CA4B0000}"/>
    <cellStyle name="Normal 169 2 3 6" xfId="19694" xr:uid="{00000000-0005-0000-0000-0000CB4B0000}"/>
    <cellStyle name="Normal 169 2 4" xfId="19695" xr:uid="{00000000-0005-0000-0000-0000CC4B0000}"/>
    <cellStyle name="Normal 169 2 4 2" xfId="19696" xr:uid="{00000000-0005-0000-0000-0000CD4B0000}"/>
    <cellStyle name="Normal 169 2 4 3" xfId="19697" xr:uid="{00000000-0005-0000-0000-0000CE4B0000}"/>
    <cellStyle name="Normal 169 2 5" xfId="19698" xr:uid="{00000000-0005-0000-0000-0000CF4B0000}"/>
    <cellStyle name="Normal 169 2 5 2" xfId="19699" xr:uid="{00000000-0005-0000-0000-0000D04B0000}"/>
    <cellStyle name="Normal 169 2 5 3" xfId="19700" xr:uid="{00000000-0005-0000-0000-0000D14B0000}"/>
    <cellStyle name="Normal 169 2 6" xfId="19701" xr:uid="{00000000-0005-0000-0000-0000D24B0000}"/>
    <cellStyle name="Normal 169 2 7" xfId="19702" xr:uid="{00000000-0005-0000-0000-0000D34B0000}"/>
    <cellStyle name="Normal 169 2 8" xfId="19703" xr:uid="{00000000-0005-0000-0000-0000D44B0000}"/>
    <cellStyle name="Normal 169 2 9" xfId="19704" xr:uid="{00000000-0005-0000-0000-0000D54B0000}"/>
    <cellStyle name="Normal 169 3" xfId="19705" xr:uid="{00000000-0005-0000-0000-0000D64B0000}"/>
    <cellStyle name="Normal 169 3 2" xfId="19706" xr:uid="{00000000-0005-0000-0000-0000D74B0000}"/>
    <cellStyle name="Normal 169 3 2 2" xfId="19707" xr:uid="{00000000-0005-0000-0000-0000D84B0000}"/>
    <cellStyle name="Normal 169 3 2 2 2" xfId="19708" xr:uid="{00000000-0005-0000-0000-0000D94B0000}"/>
    <cellStyle name="Normal 169 3 2 2 3" xfId="19709" xr:uid="{00000000-0005-0000-0000-0000DA4B0000}"/>
    <cellStyle name="Normal 169 3 2 3" xfId="19710" xr:uid="{00000000-0005-0000-0000-0000DB4B0000}"/>
    <cellStyle name="Normal 169 3 2 3 2" xfId="19711" xr:uid="{00000000-0005-0000-0000-0000DC4B0000}"/>
    <cellStyle name="Normal 169 3 2 3 3" xfId="19712" xr:uid="{00000000-0005-0000-0000-0000DD4B0000}"/>
    <cellStyle name="Normal 169 3 2 4" xfId="19713" xr:uid="{00000000-0005-0000-0000-0000DE4B0000}"/>
    <cellStyle name="Normal 169 3 2 5" xfId="19714" xr:uid="{00000000-0005-0000-0000-0000DF4B0000}"/>
    <cellStyle name="Normal 169 3 2 6" xfId="19715" xr:uid="{00000000-0005-0000-0000-0000E04B0000}"/>
    <cellStyle name="Normal 169 3 3" xfId="19716" xr:uid="{00000000-0005-0000-0000-0000E14B0000}"/>
    <cellStyle name="Normal 169 3 3 2" xfId="19717" xr:uid="{00000000-0005-0000-0000-0000E24B0000}"/>
    <cellStyle name="Normal 169 3 3 3" xfId="19718" xr:uid="{00000000-0005-0000-0000-0000E34B0000}"/>
    <cellStyle name="Normal 169 3 4" xfId="19719" xr:uid="{00000000-0005-0000-0000-0000E44B0000}"/>
    <cellStyle name="Normal 169 3 4 2" xfId="19720" xr:uid="{00000000-0005-0000-0000-0000E54B0000}"/>
    <cellStyle name="Normal 169 3 4 3" xfId="19721" xr:uid="{00000000-0005-0000-0000-0000E64B0000}"/>
    <cellStyle name="Normal 169 3 5" xfId="19722" xr:uid="{00000000-0005-0000-0000-0000E74B0000}"/>
    <cellStyle name="Normal 169 3 6" xfId="19723" xr:uid="{00000000-0005-0000-0000-0000E84B0000}"/>
    <cellStyle name="Normal 169 3 7" xfId="19724" xr:uid="{00000000-0005-0000-0000-0000E94B0000}"/>
    <cellStyle name="Normal 169 3 8" xfId="19725" xr:uid="{00000000-0005-0000-0000-0000EA4B0000}"/>
    <cellStyle name="Normal 169 3 9" xfId="19726" xr:uid="{00000000-0005-0000-0000-0000EB4B0000}"/>
    <cellStyle name="Normal 169 4" xfId="19727" xr:uid="{00000000-0005-0000-0000-0000EC4B0000}"/>
    <cellStyle name="Normal 169 4 2" xfId="19728" xr:uid="{00000000-0005-0000-0000-0000ED4B0000}"/>
    <cellStyle name="Normal 169 4 2 2" xfId="19729" xr:uid="{00000000-0005-0000-0000-0000EE4B0000}"/>
    <cellStyle name="Normal 169 4 2 3" xfId="19730" xr:uid="{00000000-0005-0000-0000-0000EF4B0000}"/>
    <cellStyle name="Normal 169 4 3" xfId="19731" xr:uid="{00000000-0005-0000-0000-0000F04B0000}"/>
    <cellStyle name="Normal 169 4 3 2" xfId="19732" xr:uid="{00000000-0005-0000-0000-0000F14B0000}"/>
    <cellStyle name="Normal 169 4 3 3" xfId="19733" xr:uid="{00000000-0005-0000-0000-0000F24B0000}"/>
    <cellStyle name="Normal 169 4 4" xfId="19734" xr:uid="{00000000-0005-0000-0000-0000F34B0000}"/>
    <cellStyle name="Normal 169 4 5" xfId="19735" xr:uid="{00000000-0005-0000-0000-0000F44B0000}"/>
    <cellStyle name="Normal 169 4 6" xfId="19736" xr:uid="{00000000-0005-0000-0000-0000F54B0000}"/>
    <cellStyle name="Normal 169 5" xfId="19737" xr:uid="{00000000-0005-0000-0000-0000F64B0000}"/>
    <cellStyle name="Normal 169 5 2" xfId="19738" xr:uid="{00000000-0005-0000-0000-0000F74B0000}"/>
    <cellStyle name="Normal 169 5 3" xfId="19739" xr:uid="{00000000-0005-0000-0000-0000F84B0000}"/>
    <cellStyle name="Normal 169 6" xfId="19740" xr:uid="{00000000-0005-0000-0000-0000F94B0000}"/>
    <cellStyle name="Normal 169 6 2" xfId="19741" xr:uid="{00000000-0005-0000-0000-0000FA4B0000}"/>
    <cellStyle name="Normal 169 6 3" xfId="19742" xr:uid="{00000000-0005-0000-0000-0000FB4B0000}"/>
    <cellStyle name="Normal 169 7" xfId="19743" xr:uid="{00000000-0005-0000-0000-0000FC4B0000}"/>
    <cellStyle name="Normal 169 8" xfId="19744" xr:uid="{00000000-0005-0000-0000-0000FD4B0000}"/>
    <cellStyle name="Normal 169 9" xfId="19745" xr:uid="{00000000-0005-0000-0000-0000FE4B0000}"/>
    <cellStyle name="Normal 17" xfId="2160" xr:uid="{00000000-0005-0000-0000-0000FF4B0000}"/>
    <cellStyle name="Normal 17 2" xfId="2161" xr:uid="{00000000-0005-0000-0000-0000004C0000}"/>
    <cellStyle name="Normal 17 3" xfId="19746" xr:uid="{00000000-0005-0000-0000-0000014C0000}"/>
    <cellStyle name="Normal 17 4" xfId="19747" xr:uid="{00000000-0005-0000-0000-0000024C0000}"/>
    <cellStyle name="Normal 17 4 2" xfId="19748" xr:uid="{00000000-0005-0000-0000-0000034C0000}"/>
    <cellStyle name="Normal 17 5" xfId="19749" xr:uid="{00000000-0005-0000-0000-0000044C0000}"/>
    <cellStyle name="Normal 17 6" xfId="19750" xr:uid="{00000000-0005-0000-0000-0000054C0000}"/>
    <cellStyle name="Normal 17 7" xfId="19751" xr:uid="{00000000-0005-0000-0000-0000064C0000}"/>
    <cellStyle name="Normal 17 8" xfId="19752" xr:uid="{00000000-0005-0000-0000-0000074C0000}"/>
    <cellStyle name="Normal 17 9" xfId="19753" xr:uid="{00000000-0005-0000-0000-0000084C0000}"/>
    <cellStyle name="Normal 170" xfId="2162" xr:uid="{00000000-0005-0000-0000-0000094C0000}"/>
    <cellStyle name="Normal 170 10" xfId="19754" xr:uid="{00000000-0005-0000-0000-00000A4C0000}"/>
    <cellStyle name="Normal 170 11" xfId="19755" xr:uid="{00000000-0005-0000-0000-00000B4C0000}"/>
    <cellStyle name="Normal 170 12" xfId="19756" xr:uid="{00000000-0005-0000-0000-00000C4C0000}"/>
    <cellStyle name="Normal 170 2" xfId="19757" xr:uid="{00000000-0005-0000-0000-00000D4C0000}"/>
    <cellStyle name="Normal 170 2 10" xfId="19758" xr:uid="{00000000-0005-0000-0000-00000E4C0000}"/>
    <cellStyle name="Normal 170 2 2" xfId="19759" xr:uid="{00000000-0005-0000-0000-00000F4C0000}"/>
    <cellStyle name="Normal 170 2 2 2" xfId="19760" xr:uid="{00000000-0005-0000-0000-0000104C0000}"/>
    <cellStyle name="Normal 170 2 2 2 2" xfId="19761" xr:uid="{00000000-0005-0000-0000-0000114C0000}"/>
    <cellStyle name="Normal 170 2 2 2 2 2" xfId="19762" xr:uid="{00000000-0005-0000-0000-0000124C0000}"/>
    <cellStyle name="Normal 170 2 2 2 2 3" xfId="19763" xr:uid="{00000000-0005-0000-0000-0000134C0000}"/>
    <cellStyle name="Normal 170 2 2 2 3" xfId="19764" xr:uid="{00000000-0005-0000-0000-0000144C0000}"/>
    <cellStyle name="Normal 170 2 2 2 3 2" xfId="19765" xr:uid="{00000000-0005-0000-0000-0000154C0000}"/>
    <cellStyle name="Normal 170 2 2 2 3 3" xfId="19766" xr:uid="{00000000-0005-0000-0000-0000164C0000}"/>
    <cellStyle name="Normal 170 2 2 2 4" xfId="19767" xr:uid="{00000000-0005-0000-0000-0000174C0000}"/>
    <cellStyle name="Normal 170 2 2 2 5" xfId="19768" xr:uid="{00000000-0005-0000-0000-0000184C0000}"/>
    <cellStyle name="Normal 170 2 2 2 6" xfId="19769" xr:uid="{00000000-0005-0000-0000-0000194C0000}"/>
    <cellStyle name="Normal 170 2 2 3" xfId="19770" xr:uid="{00000000-0005-0000-0000-00001A4C0000}"/>
    <cellStyle name="Normal 170 2 2 3 2" xfId="19771" xr:uid="{00000000-0005-0000-0000-00001B4C0000}"/>
    <cellStyle name="Normal 170 2 2 3 3" xfId="19772" xr:uid="{00000000-0005-0000-0000-00001C4C0000}"/>
    <cellStyle name="Normal 170 2 2 4" xfId="19773" xr:uid="{00000000-0005-0000-0000-00001D4C0000}"/>
    <cellStyle name="Normal 170 2 2 4 2" xfId="19774" xr:uid="{00000000-0005-0000-0000-00001E4C0000}"/>
    <cellStyle name="Normal 170 2 2 4 3" xfId="19775" xr:uid="{00000000-0005-0000-0000-00001F4C0000}"/>
    <cellStyle name="Normal 170 2 2 5" xfId="19776" xr:uid="{00000000-0005-0000-0000-0000204C0000}"/>
    <cellStyle name="Normal 170 2 2 6" xfId="19777" xr:uid="{00000000-0005-0000-0000-0000214C0000}"/>
    <cellStyle name="Normal 170 2 2 7" xfId="19778" xr:uid="{00000000-0005-0000-0000-0000224C0000}"/>
    <cellStyle name="Normal 170 2 2 8" xfId="19779" xr:uid="{00000000-0005-0000-0000-0000234C0000}"/>
    <cellStyle name="Normal 170 2 3" xfId="19780" xr:uid="{00000000-0005-0000-0000-0000244C0000}"/>
    <cellStyle name="Normal 170 2 3 2" xfId="19781" xr:uid="{00000000-0005-0000-0000-0000254C0000}"/>
    <cellStyle name="Normal 170 2 3 2 2" xfId="19782" xr:uid="{00000000-0005-0000-0000-0000264C0000}"/>
    <cellStyle name="Normal 170 2 3 2 3" xfId="19783" xr:uid="{00000000-0005-0000-0000-0000274C0000}"/>
    <cellStyle name="Normal 170 2 3 3" xfId="19784" xr:uid="{00000000-0005-0000-0000-0000284C0000}"/>
    <cellStyle name="Normal 170 2 3 3 2" xfId="19785" xr:uid="{00000000-0005-0000-0000-0000294C0000}"/>
    <cellStyle name="Normal 170 2 3 3 3" xfId="19786" xr:uid="{00000000-0005-0000-0000-00002A4C0000}"/>
    <cellStyle name="Normal 170 2 3 4" xfId="19787" xr:uid="{00000000-0005-0000-0000-00002B4C0000}"/>
    <cellStyle name="Normal 170 2 3 5" xfId="19788" xr:uid="{00000000-0005-0000-0000-00002C4C0000}"/>
    <cellStyle name="Normal 170 2 3 6" xfId="19789" xr:uid="{00000000-0005-0000-0000-00002D4C0000}"/>
    <cellStyle name="Normal 170 2 4" xfId="19790" xr:uid="{00000000-0005-0000-0000-00002E4C0000}"/>
    <cellStyle name="Normal 170 2 4 2" xfId="19791" xr:uid="{00000000-0005-0000-0000-00002F4C0000}"/>
    <cellStyle name="Normal 170 2 4 3" xfId="19792" xr:uid="{00000000-0005-0000-0000-0000304C0000}"/>
    <cellStyle name="Normal 170 2 5" xfId="19793" xr:uid="{00000000-0005-0000-0000-0000314C0000}"/>
    <cellStyle name="Normal 170 2 5 2" xfId="19794" xr:uid="{00000000-0005-0000-0000-0000324C0000}"/>
    <cellStyle name="Normal 170 2 5 3" xfId="19795" xr:uid="{00000000-0005-0000-0000-0000334C0000}"/>
    <cellStyle name="Normal 170 2 6" xfId="19796" xr:uid="{00000000-0005-0000-0000-0000344C0000}"/>
    <cellStyle name="Normal 170 2 7" xfId="19797" xr:uid="{00000000-0005-0000-0000-0000354C0000}"/>
    <cellStyle name="Normal 170 2 8" xfId="19798" xr:uid="{00000000-0005-0000-0000-0000364C0000}"/>
    <cellStyle name="Normal 170 2 9" xfId="19799" xr:uid="{00000000-0005-0000-0000-0000374C0000}"/>
    <cellStyle name="Normal 170 3" xfId="19800" xr:uid="{00000000-0005-0000-0000-0000384C0000}"/>
    <cellStyle name="Normal 170 3 2" xfId="19801" xr:uid="{00000000-0005-0000-0000-0000394C0000}"/>
    <cellStyle name="Normal 170 3 2 2" xfId="19802" xr:uid="{00000000-0005-0000-0000-00003A4C0000}"/>
    <cellStyle name="Normal 170 3 2 2 2" xfId="19803" xr:uid="{00000000-0005-0000-0000-00003B4C0000}"/>
    <cellStyle name="Normal 170 3 2 2 3" xfId="19804" xr:uid="{00000000-0005-0000-0000-00003C4C0000}"/>
    <cellStyle name="Normal 170 3 2 3" xfId="19805" xr:uid="{00000000-0005-0000-0000-00003D4C0000}"/>
    <cellStyle name="Normal 170 3 2 3 2" xfId="19806" xr:uid="{00000000-0005-0000-0000-00003E4C0000}"/>
    <cellStyle name="Normal 170 3 2 3 3" xfId="19807" xr:uid="{00000000-0005-0000-0000-00003F4C0000}"/>
    <cellStyle name="Normal 170 3 2 4" xfId="19808" xr:uid="{00000000-0005-0000-0000-0000404C0000}"/>
    <cellStyle name="Normal 170 3 2 5" xfId="19809" xr:uid="{00000000-0005-0000-0000-0000414C0000}"/>
    <cellStyle name="Normal 170 3 2 6" xfId="19810" xr:uid="{00000000-0005-0000-0000-0000424C0000}"/>
    <cellStyle name="Normal 170 3 3" xfId="19811" xr:uid="{00000000-0005-0000-0000-0000434C0000}"/>
    <cellStyle name="Normal 170 3 3 2" xfId="19812" xr:uid="{00000000-0005-0000-0000-0000444C0000}"/>
    <cellStyle name="Normal 170 3 3 3" xfId="19813" xr:uid="{00000000-0005-0000-0000-0000454C0000}"/>
    <cellStyle name="Normal 170 3 4" xfId="19814" xr:uid="{00000000-0005-0000-0000-0000464C0000}"/>
    <cellStyle name="Normal 170 3 4 2" xfId="19815" xr:uid="{00000000-0005-0000-0000-0000474C0000}"/>
    <cellStyle name="Normal 170 3 4 3" xfId="19816" xr:uid="{00000000-0005-0000-0000-0000484C0000}"/>
    <cellStyle name="Normal 170 3 5" xfId="19817" xr:uid="{00000000-0005-0000-0000-0000494C0000}"/>
    <cellStyle name="Normal 170 3 6" xfId="19818" xr:uid="{00000000-0005-0000-0000-00004A4C0000}"/>
    <cellStyle name="Normal 170 3 7" xfId="19819" xr:uid="{00000000-0005-0000-0000-00004B4C0000}"/>
    <cellStyle name="Normal 170 3 8" xfId="19820" xr:uid="{00000000-0005-0000-0000-00004C4C0000}"/>
    <cellStyle name="Normal 170 3 9" xfId="19821" xr:uid="{00000000-0005-0000-0000-00004D4C0000}"/>
    <cellStyle name="Normal 170 4" xfId="19822" xr:uid="{00000000-0005-0000-0000-00004E4C0000}"/>
    <cellStyle name="Normal 170 4 2" xfId="19823" xr:uid="{00000000-0005-0000-0000-00004F4C0000}"/>
    <cellStyle name="Normal 170 4 2 2" xfId="19824" xr:uid="{00000000-0005-0000-0000-0000504C0000}"/>
    <cellStyle name="Normal 170 4 2 3" xfId="19825" xr:uid="{00000000-0005-0000-0000-0000514C0000}"/>
    <cellStyle name="Normal 170 4 3" xfId="19826" xr:uid="{00000000-0005-0000-0000-0000524C0000}"/>
    <cellStyle name="Normal 170 4 3 2" xfId="19827" xr:uid="{00000000-0005-0000-0000-0000534C0000}"/>
    <cellStyle name="Normal 170 4 3 3" xfId="19828" xr:uid="{00000000-0005-0000-0000-0000544C0000}"/>
    <cellStyle name="Normal 170 4 4" xfId="19829" xr:uid="{00000000-0005-0000-0000-0000554C0000}"/>
    <cellStyle name="Normal 170 4 5" xfId="19830" xr:uid="{00000000-0005-0000-0000-0000564C0000}"/>
    <cellStyle name="Normal 170 4 6" xfId="19831" xr:uid="{00000000-0005-0000-0000-0000574C0000}"/>
    <cellStyle name="Normal 170 5" xfId="19832" xr:uid="{00000000-0005-0000-0000-0000584C0000}"/>
    <cellStyle name="Normal 170 5 2" xfId="19833" xr:uid="{00000000-0005-0000-0000-0000594C0000}"/>
    <cellStyle name="Normal 170 5 3" xfId="19834" xr:uid="{00000000-0005-0000-0000-00005A4C0000}"/>
    <cellStyle name="Normal 170 6" xfId="19835" xr:uid="{00000000-0005-0000-0000-00005B4C0000}"/>
    <cellStyle name="Normal 170 6 2" xfId="19836" xr:uid="{00000000-0005-0000-0000-00005C4C0000}"/>
    <cellStyle name="Normal 170 6 3" xfId="19837" xr:uid="{00000000-0005-0000-0000-00005D4C0000}"/>
    <cellStyle name="Normal 170 7" xfId="19838" xr:uid="{00000000-0005-0000-0000-00005E4C0000}"/>
    <cellStyle name="Normal 170 8" xfId="19839" xr:uid="{00000000-0005-0000-0000-00005F4C0000}"/>
    <cellStyle name="Normal 170 9" xfId="19840" xr:uid="{00000000-0005-0000-0000-0000604C0000}"/>
    <cellStyle name="Normal 171" xfId="2163" xr:uid="{00000000-0005-0000-0000-0000614C0000}"/>
    <cellStyle name="Normal 171 10" xfId="19841" xr:uid="{00000000-0005-0000-0000-0000624C0000}"/>
    <cellStyle name="Normal 171 11" xfId="19842" xr:uid="{00000000-0005-0000-0000-0000634C0000}"/>
    <cellStyle name="Normal 171 12" xfId="19843" xr:uid="{00000000-0005-0000-0000-0000644C0000}"/>
    <cellStyle name="Normal 171 2" xfId="19844" xr:uid="{00000000-0005-0000-0000-0000654C0000}"/>
    <cellStyle name="Normal 171 2 10" xfId="19845" xr:uid="{00000000-0005-0000-0000-0000664C0000}"/>
    <cellStyle name="Normal 171 2 2" xfId="19846" xr:uid="{00000000-0005-0000-0000-0000674C0000}"/>
    <cellStyle name="Normal 171 2 2 2" xfId="19847" xr:uid="{00000000-0005-0000-0000-0000684C0000}"/>
    <cellStyle name="Normal 171 2 2 2 2" xfId="19848" xr:uid="{00000000-0005-0000-0000-0000694C0000}"/>
    <cellStyle name="Normal 171 2 2 2 2 2" xfId="19849" xr:uid="{00000000-0005-0000-0000-00006A4C0000}"/>
    <cellStyle name="Normal 171 2 2 2 2 3" xfId="19850" xr:uid="{00000000-0005-0000-0000-00006B4C0000}"/>
    <cellStyle name="Normal 171 2 2 2 3" xfId="19851" xr:uid="{00000000-0005-0000-0000-00006C4C0000}"/>
    <cellStyle name="Normal 171 2 2 2 3 2" xfId="19852" xr:uid="{00000000-0005-0000-0000-00006D4C0000}"/>
    <cellStyle name="Normal 171 2 2 2 3 3" xfId="19853" xr:uid="{00000000-0005-0000-0000-00006E4C0000}"/>
    <cellStyle name="Normal 171 2 2 2 4" xfId="19854" xr:uid="{00000000-0005-0000-0000-00006F4C0000}"/>
    <cellStyle name="Normal 171 2 2 2 5" xfId="19855" xr:uid="{00000000-0005-0000-0000-0000704C0000}"/>
    <cellStyle name="Normal 171 2 2 2 6" xfId="19856" xr:uid="{00000000-0005-0000-0000-0000714C0000}"/>
    <cellStyle name="Normal 171 2 2 3" xfId="19857" xr:uid="{00000000-0005-0000-0000-0000724C0000}"/>
    <cellStyle name="Normal 171 2 2 3 2" xfId="19858" xr:uid="{00000000-0005-0000-0000-0000734C0000}"/>
    <cellStyle name="Normal 171 2 2 3 3" xfId="19859" xr:uid="{00000000-0005-0000-0000-0000744C0000}"/>
    <cellStyle name="Normal 171 2 2 4" xfId="19860" xr:uid="{00000000-0005-0000-0000-0000754C0000}"/>
    <cellStyle name="Normal 171 2 2 4 2" xfId="19861" xr:uid="{00000000-0005-0000-0000-0000764C0000}"/>
    <cellStyle name="Normal 171 2 2 4 3" xfId="19862" xr:uid="{00000000-0005-0000-0000-0000774C0000}"/>
    <cellStyle name="Normal 171 2 2 5" xfId="19863" xr:uid="{00000000-0005-0000-0000-0000784C0000}"/>
    <cellStyle name="Normal 171 2 2 6" xfId="19864" xr:uid="{00000000-0005-0000-0000-0000794C0000}"/>
    <cellStyle name="Normal 171 2 2 7" xfId="19865" xr:uid="{00000000-0005-0000-0000-00007A4C0000}"/>
    <cellStyle name="Normal 171 2 2 8" xfId="19866" xr:uid="{00000000-0005-0000-0000-00007B4C0000}"/>
    <cellStyle name="Normal 171 2 3" xfId="19867" xr:uid="{00000000-0005-0000-0000-00007C4C0000}"/>
    <cellStyle name="Normal 171 2 3 2" xfId="19868" xr:uid="{00000000-0005-0000-0000-00007D4C0000}"/>
    <cellStyle name="Normal 171 2 3 2 2" xfId="19869" xr:uid="{00000000-0005-0000-0000-00007E4C0000}"/>
    <cellStyle name="Normal 171 2 3 2 3" xfId="19870" xr:uid="{00000000-0005-0000-0000-00007F4C0000}"/>
    <cellStyle name="Normal 171 2 3 3" xfId="19871" xr:uid="{00000000-0005-0000-0000-0000804C0000}"/>
    <cellStyle name="Normal 171 2 3 3 2" xfId="19872" xr:uid="{00000000-0005-0000-0000-0000814C0000}"/>
    <cellStyle name="Normal 171 2 3 3 3" xfId="19873" xr:uid="{00000000-0005-0000-0000-0000824C0000}"/>
    <cellStyle name="Normal 171 2 3 4" xfId="19874" xr:uid="{00000000-0005-0000-0000-0000834C0000}"/>
    <cellStyle name="Normal 171 2 3 5" xfId="19875" xr:uid="{00000000-0005-0000-0000-0000844C0000}"/>
    <cellStyle name="Normal 171 2 3 6" xfId="19876" xr:uid="{00000000-0005-0000-0000-0000854C0000}"/>
    <cellStyle name="Normal 171 2 4" xfId="19877" xr:uid="{00000000-0005-0000-0000-0000864C0000}"/>
    <cellStyle name="Normal 171 2 4 2" xfId="19878" xr:uid="{00000000-0005-0000-0000-0000874C0000}"/>
    <cellStyle name="Normal 171 2 4 3" xfId="19879" xr:uid="{00000000-0005-0000-0000-0000884C0000}"/>
    <cellStyle name="Normal 171 2 5" xfId="19880" xr:uid="{00000000-0005-0000-0000-0000894C0000}"/>
    <cellStyle name="Normal 171 2 5 2" xfId="19881" xr:uid="{00000000-0005-0000-0000-00008A4C0000}"/>
    <cellStyle name="Normal 171 2 5 3" xfId="19882" xr:uid="{00000000-0005-0000-0000-00008B4C0000}"/>
    <cellStyle name="Normal 171 2 6" xfId="19883" xr:uid="{00000000-0005-0000-0000-00008C4C0000}"/>
    <cellStyle name="Normal 171 2 7" xfId="19884" xr:uid="{00000000-0005-0000-0000-00008D4C0000}"/>
    <cellStyle name="Normal 171 2 8" xfId="19885" xr:uid="{00000000-0005-0000-0000-00008E4C0000}"/>
    <cellStyle name="Normal 171 2 9" xfId="19886" xr:uid="{00000000-0005-0000-0000-00008F4C0000}"/>
    <cellStyle name="Normal 171 3" xfId="19887" xr:uid="{00000000-0005-0000-0000-0000904C0000}"/>
    <cellStyle name="Normal 171 3 2" xfId="19888" xr:uid="{00000000-0005-0000-0000-0000914C0000}"/>
    <cellStyle name="Normal 171 3 2 2" xfId="19889" xr:uid="{00000000-0005-0000-0000-0000924C0000}"/>
    <cellStyle name="Normal 171 3 2 2 2" xfId="19890" xr:uid="{00000000-0005-0000-0000-0000934C0000}"/>
    <cellStyle name="Normal 171 3 2 2 3" xfId="19891" xr:uid="{00000000-0005-0000-0000-0000944C0000}"/>
    <cellStyle name="Normal 171 3 2 3" xfId="19892" xr:uid="{00000000-0005-0000-0000-0000954C0000}"/>
    <cellStyle name="Normal 171 3 2 3 2" xfId="19893" xr:uid="{00000000-0005-0000-0000-0000964C0000}"/>
    <cellStyle name="Normal 171 3 2 3 3" xfId="19894" xr:uid="{00000000-0005-0000-0000-0000974C0000}"/>
    <cellStyle name="Normal 171 3 2 4" xfId="19895" xr:uid="{00000000-0005-0000-0000-0000984C0000}"/>
    <cellStyle name="Normal 171 3 2 5" xfId="19896" xr:uid="{00000000-0005-0000-0000-0000994C0000}"/>
    <cellStyle name="Normal 171 3 2 6" xfId="19897" xr:uid="{00000000-0005-0000-0000-00009A4C0000}"/>
    <cellStyle name="Normal 171 3 3" xfId="19898" xr:uid="{00000000-0005-0000-0000-00009B4C0000}"/>
    <cellStyle name="Normal 171 3 3 2" xfId="19899" xr:uid="{00000000-0005-0000-0000-00009C4C0000}"/>
    <cellStyle name="Normal 171 3 3 3" xfId="19900" xr:uid="{00000000-0005-0000-0000-00009D4C0000}"/>
    <cellStyle name="Normal 171 3 4" xfId="19901" xr:uid="{00000000-0005-0000-0000-00009E4C0000}"/>
    <cellStyle name="Normal 171 3 4 2" xfId="19902" xr:uid="{00000000-0005-0000-0000-00009F4C0000}"/>
    <cellStyle name="Normal 171 3 4 3" xfId="19903" xr:uid="{00000000-0005-0000-0000-0000A04C0000}"/>
    <cellStyle name="Normal 171 3 5" xfId="19904" xr:uid="{00000000-0005-0000-0000-0000A14C0000}"/>
    <cellStyle name="Normal 171 3 6" xfId="19905" xr:uid="{00000000-0005-0000-0000-0000A24C0000}"/>
    <cellStyle name="Normal 171 3 7" xfId="19906" xr:uid="{00000000-0005-0000-0000-0000A34C0000}"/>
    <cellStyle name="Normal 171 3 8" xfId="19907" xr:uid="{00000000-0005-0000-0000-0000A44C0000}"/>
    <cellStyle name="Normal 171 4" xfId="19908" xr:uid="{00000000-0005-0000-0000-0000A54C0000}"/>
    <cellStyle name="Normal 171 4 2" xfId="19909" xr:uid="{00000000-0005-0000-0000-0000A64C0000}"/>
    <cellStyle name="Normal 171 4 2 2" xfId="19910" xr:uid="{00000000-0005-0000-0000-0000A74C0000}"/>
    <cellStyle name="Normal 171 4 2 3" xfId="19911" xr:uid="{00000000-0005-0000-0000-0000A84C0000}"/>
    <cellStyle name="Normal 171 4 3" xfId="19912" xr:uid="{00000000-0005-0000-0000-0000A94C0000}"/>
    <cellStyle name="Normal 171 4 3 2" xfId="19913" xr:uid="{00000000-0005-0000-0000-0000AA4C0000}"/>
    <cellStyle name="Normal 171 4 3 3" xfId="19914" xr:uid="{00000000-0005-0000-0000-0000AB4C0000}"/>
    <cellStyle name="Normal 171 4 4" xfId="19915" xr:uid="{00000000-0005-0000-0000-0000AC4C0000}"/>
    <cellStyle name="Normal 171 4 5" xfId="19916" xr:uid="{00000000-0005-0000-0000-0000AD4C0000}"/>
    <cellStyle name="Normal 171 4 6" xfId="19917" xr:uid="{00000000-0005-0000-0000-0000AE4C0000}"/>
    <cellStyle name="Normal 171 5" xfId="19918" xr:uid="{00000000-0005-0000-0000-0000AF4C0000}"/>
    <cellStyle name="Normal 171 5 2" xfId="19919" xr:uid="{00000000-0005-0000-0000-0000B04C0000}"/>
    <cellStyle name="Normal 171 5 3" xfId="19920" xr:uid="{00000000-0005-0000-0000-0000B14C0000}"/>
    <cellStyle name="Normal 171 6" xfId="19921" xr:uid="{00000000-0005-0000-0000-0000B24C0000}"/>
    <cellStyle name="Normal 171 6 2" xfId="19922" xr:uid="{00000000-0005-0000-0000-0000B34C0000}"/>
    <cellStyle name="Normal 171 6 3" xfId="19923" xr:uid="{00000000-0005-0000-0000-0000B44C0000}"/>
    <cellStyle name="Normal 171 7" xfId="19924" xr:uid="{00000000-0005-0000-0000-0000B54C0000}"/>
    <cellStyle name="Normal 171 8" xfId="19925" xr:uid="{00000000-0005-0000-0000-0000B64C0000}"/>
    <cellStyle name="Normal 171 9" xfId="19926" xr:uid="{00000000-0005-0000-0000-0000B74C0000}"/>
    <cellStyle name="Normal 172" xfId="2164" xr:uid="{00000000-0005-0000-0000-0000B84C0000}"/>
    <cellStyle name="Normal 172 10" xfId="19927" xr:uid="{00000000-0005-0000-0000-0000B94C0000}"/>
    <cellStyle name="Normal 172 11" xfId="19928" xr:uid="{00000000-0005-0000-0000-0000BA4C0000}"/>
    <cellStyle name="Normal 172 12" xfId="19929" xr:uid="{00000000-0005-0000-0000-0000BB4C0000}"/>
    <cellStyle name="Normal 172 2" xfId="19930" xr:uid="{00000000-0005-0000-0000-0000BC4C0000}"/>
    <cellStyle name="Normal 172 2 10" xfId="19931" xr:uid="{00000000-0005-0000-0000-0000BD4C0000}"/>
    <cellStyle name="Normal 172 2 2" xfId="19932" xr:uid="{00000000-0005-0000-0000-0000BE4C0000}"/>
    <cellStyle name="Normal 172 2 2 2" xfId="19933" xr:uid="{00000000-0005-0000-0000-0000BF4C0000}"/>
    <cellStyle name="Normal 172 2 2 2 2" xfId="19934" xr:uid="{00000000-0005-0000-0000-0000C04C0000}"/>
    <cellStyle name="Normal 172 2 2 2 2 2" xfId="19935" xr:uid="{00000000-0005-0000-0000-0000C14C0000}"/>
    <cellStyle name="Normal 172 2 2 2 2 3" xfId="19936" xr:uid="{00000000-0005-0000-0000-0000C24C0000}"/>
    <cellStyle name="Normal 172 2 2 2 3" xfId="19937" xr:uid="{00000000-0005-0000-0000-0000C34C0000}"/>
    <cellStyle name="Normal 172 2 2 2 3 2" xfId="19938" xr:uid="{00000000-0005-0000-0000-0000C44C0000}"/>
    <cellStyle name="Normal 172 2 2 2 3 3" xfId="19939" xr:uid="{00000000-0005-0000-0000-0000C54C0000}"/>
    <cellStyle name="Normal 172 2 2 2 4" xfId="19940" xr:uid="{00000000-0005-0000-0000-0000C64C0000}"/>
    <cellStyle name="Normal 172 2 2 2 5" xfId="19941" xr:uid="{00000000-0005-0000-0000-0000C74C0000}"/>
    <cellStyle name="Normal 172 2 2 2 6" xfId="19942" xr:uid="{00000000-0005-0000-0000-0000C84C0000}"/>
    <cellStyle name="Normal 172 2 2 3" xfId="19943" xr:uid="{00000000-0005-0000-0000-0000C94C0000}"/>
    <cellStyle name="Normal 172 2 2 3 2" xfId="19944" xr:uid="{00000000-0005-0000-0000-0000CA4C0000}"/>
    <cellStyle name="Normal 172 2 2 3 3" xfId="19945" xr:uid="{00000000-0005-0000-0000-0000CB4C0000}"/>
    <cellStyle name="Normal 172 2 2 4" xfId="19946" xr:uid="{00000000-0005-0000-0000-0000CC4C0000}"/>
    <cellStyle name="Normal 172 2 2 4 2" xfId="19947" xr:uid="{00000000-0005-0000-0000-0000CD4C0000}"/>
    <cellStyle name="Normal 172 2 2 4 3" xfId="19948" xr:uid="{00000000-0005-0000-0000-0000CE4C0000}"/>
    <cellStyle name="Normal 172 2 2 5" xfId="19949" xr:uid="{00000000-0005-0000-0000-0000CF4C0000}"/>
    <cellStyle name="Normal 172 2 2 6" xfId="19950" xr:uid="{00000000-0005-0000-0000-0000D04C0000}"/>
    <cellStyle name="Normal 172 2 2 7" xfId="19951" xr:uid="{00000000-0005-0000-0000-0000D14C0000}"/>
    <cellStyle name="Normal 172 2 2 8" xfId="19952" xr:uid="{00000000-0005-0000-0000-0000D24C0000}"/>
    <cellStyle name="Normal 172 2 3" xfId="19953" xr:uid="{00000000-0005-0000-0000-0000D34C0000}"/>
    <cellStyle name="Normal 172 2 3 2" xfId="19954" xr:uid="{00000000-0005-0000-0000-0000D44C0000}"/>
    <cellStyle name="Normal 172 2 3 2 2" xfId="19955" xr:uid="{00000000-0005-0000-0000-0000D54C0000}"/>
    <cellStyle name="Normal 172 2 3 2 3" xfId="19956" xr:uid="{00000000-0005-0000-0000-0000D64C0000}"/>
    <cellStyle name="Normal 172 2 3 3" xfId="19957" xr:uid="{00000000-0005-0000-0000-0000D74C0000}"/>
    <cellStyle name="Normal 172 2 3 3 2" xfId="19958" xr:uid="{00000000-0005-0000-0000-0000D84C0000}"/>
    <cellStyle name="Normal 172 2 3 3 3" xfId="19959" xr:uid="{00000000-0005-0000-0000-0000D94C0000}"/>
    <cellStyle name="Normal 172 2 3 4" xfId="19960" xr:uid="{00000000-0005-0000-0000-0000DA4C0000}"/>
    <cellStyle name="Normal 172 2 3 5" xfId="19961" xr:uid="{00000000-0005-0000-0000-0000DB4C0000}"/>
    <cellStyle name="Normal 172 2 3 6" xfId="19962" xr:uid="{00000000-0005-0000-0000-0000DC4C0000}"/>
    <cellStyle name="Normal 172 2 4" xfId="19963" xr:uid="{00000000-0005-0000-0000-0000DD4C0000}"/>
    <cellStyle name="Normal 172 2 4 2" xfId="19964" xr:uid="{00000000-0005-0000-0000-0000DE4C0000}"/>
    <cellStyle name="Normal 172 2 4 3" xfId="19965" xr:uid="{00000000-0005-0000-0000-0000DF4C0000}"/>
    <cellStyle name="Normal 172 2 5" xfId="19966" xr:uid="{00000000-0005-0000-0000-0000E04C0000}"/>
    <cellStyle name="Normal 172 2 5 2" xfId="19967" xr:uid="{00000000-0005-0000-0000-0000E14C0000}"/>
    <cellStyle name="Normal 172 2 5 3" xfId="19968" xr:uid="{00000000-0005-0000-0000-0000E24C0000}"/>
    <cellStyle name="Normal 172 2 6" xfId="19969" xr:uid="{00000000-0005-0000-0000-0000E34C0000}"/>
    <cellStyle name="Normal 172 2 7" xfId="19970" xr:uid="{00000000-0005-0000-0000-0000E44C0000}"/>
    <cellStyle name="Normal 172 2 8" xfId="19971" xr:uid="{00000000-0005-0000-0000-0000E54C0000}"/>
    <cellStyle name="Normal 172 2 9" xfId="19972" xr:uid="{00000000-0005-0000-0000-0000E64C0000}"/>
    <cellStyle name="Normal 172 3" xfId="19973" xr:uid="{00000000-0005-0000-0000-0000E74C0000}"/>
    <cellStyle name="Normal 172 3 2" xfId="19974" xr:uid="{00000000-0005-0000-0000-0000E84C0000}"/>
    <cellStyle name="Normal 172 3 2 2" xfId="19975" xr:uid="{00000000-0005-0000-0000-0000E94C0000}"/>
    <cellStyle name="Normal 172 3 2 2 2" xfId="19976" xr:uid="{00000000-0005-0000-0000-0000EA4C0000}"/>
    <cellStyle name="Normal 172 3 2 2 3" xfId="19977" xr:uid="{00000000-0005-0000-0000-0000EB4C0000}"/>
    <cellStyle name="Normal 172 3 2 3" xfId="19978" xr:uid="{00000000-0005-0000-0000-0000EC4C0000}"/>
    <cellStyle name="Normal 172 3 2 3 2" xfId="19979" xr:uid="{00000000-0005-0000-0000-0000ED4C0000}"/>
    <cellStyle name="Normal 172 3 2 3 3" xfId="19980" xr:uid="{00000000-0005-0000-0000-0000EE4C0000}"/>
    <cellStyle name="Normal 172 3 2 4" xfId="19981" xr:uid="{00000000-0005-0000-0000-0000EF4C0000}"/>
    <cellStyle name="Normal 172 3 2 5" xfId="19982" xr:uid="{00000000-0005-0000-0000-0000F04C0000}"/>
    <cellStyle name="Normal 172 3 2 6" xfId="19983" xr:uid="{00000000-0005-0000-0000-0000F14C0000}"/>
    <cellStyle name="Normal 172 3 3" xfId="19984" xr:uid="{00000000-0005-0000-0000-0000F24C0000}"/>
    <cellStyle name="Normal 172 3 3 2" xfId="19985" xr:uid="{00000000-0005-0000-0000-0000F34C0000}"/>
    <cellStyle name="Normal 172 3 3 3" xfId="19986" xr:uid="{00000000-0005-0000-0000-0000F44C0000}"/>
    <cellStyle name="Normal 172 3 4" xfId="19987" xr:uid="{00000000-0005-0000-0000-0000F54C0000}"/>
    <cellStyle name="Normal 172 3 4 2" xfId="19988" xr:uid="{00000000-0005-0000-0000-0000F64C0000}"/>
    <cellStyle name="Normal 172 3 4 3" xfId="19989" xr:uid="{00000000-0005-0000-0000-0000F74C0000}"/>
    <cellStyle name="Normal 172 3 5" xfId="19990" xr:uid="{00000000-0005-0000-0000-0000F84C0000}"/>
    <cellStyle name="Normal 172 3 6" xfId="19991" xr:uid="{00000000-0005-0000-0000-0000F94C0000}"/>
    <cellStyle name="Normal 172 3 7" xfId="19992" xr:uid="{00000000-0005-0000-0000-0000FA4C0000}"/>
    <cellStyle name="Normal 172 3 8" xfId="19993" xr:uid="{00000000-0005-0000-0000-0000FB4C0000}"/>
    <cellStyle name="Normal 172 4" xfId="19994" xr:uid="{00000000-0005-0000-0000-0000FC4C0000}"/>
    <cellStyle name="Normal 172 4 2" xfId="19995" xr:uid="{00000000-0005-0000-0000-0000FD4C0000}"/>
    <cellStyle name="Normal 172 4 2 2" xfId="19996" xr:uid="{00000000-0005-0000-0000-0000FE4C0000}"/>
    <cellStyle name="Normal 172 4 2 3" xfId="19997" xr:uid="{00000000-0005-0000-0000-0000FF4C0000}"/>
    <cellStyle name="Normal 172 4 3" xfId="19998" xr:uid="{00000000-0005-0000-0000-0000004D0000}"/>
    <cellStyle name="Normal 172 4 3 2" xfId="19999" xr:uid="{00000000-0005-0000-0000-0000014D0000}"/>
    <cellStyle name="Normal 172 4 3 3" xfId="20000" xr:uid="{00000000-0005-0000-0000-0000024D0000}"/>
    <cellStyle name="Normal 172 4 4" xfId="20001" xr:uid="{00000000-0005-0000-0000-0000034D0000}"/>
    <cellStyle name="Normal 172 4 5" xfId="20002" xr:uid="{00000000-0005-0000-0000-0000044D0000}"/>
    <cellStyle name="Normal 172 4 6" xfId="20003" xr:uid="{00000000-0005-0000-0000-0000054D0000}"/>
    <cellStyle name="Normal 172 5" xfId="20004" xr:uid="{00000000-0005-0000-0000-0000064D0000}"/>
    <cellStyle name="Normal 172 5 2" xfId="20005" xr:uid="{00000000-0005-0000-0000-0000074D0000}"/>
    <cellStyle name="Normal 172 5 3" xfId="20006" xr:uid="{00000000-0005-0000-0000-0000084D0000}"/>
    <cellStyle name="Normal 172 6" xfId="20007" xr:uid="{00000000-0005-0000-0000-0000094D0000}"/>
    <cellStyle name="Normal 172 6 2" xfId="20008" xr:uid="{00000000-0005-0000-0000-00000A4D0000}"/>
    <cellStyle name="Normal 172 6 3" xfId="20009" xr:uid="{00000000-0005-0000-0000-00000B4D0000}"/>
    <cellStyle name="Normal 172 7" xfId="20010" xr:uid="{00000000-0005-0000-0000-00000C4D0000}"/>
    <cellStyle name="Normal 172 8" xfId="20011" xr:uid="{00000000-0005-0000-0000-00000D4D0000}"/>
    <cellStyle name="Normal 172 9" xfId="20012" xr:uid="{00000000-0005-0000-0000-00000E4D0000}"/>
    <cellStyle name="Normal 173" xfId="2165" xr:uid="{00000000-0005-0000-0000-00000F4D0000}"/>
    <cellStyle name="Normal 173 10" xfId="20013" xr:uid="{00000000-0005-0000-0000-0000104D0000}"/>
    <cellStyle name="Normal 173 11" xfId="20014" xr:uid="{00000000-0005-0000-0000-0000114D0000}"/>
    <cellStyle name="Normal 173 12" xfId="20015" xr:uid="{00000000-0005-0000-0000-0000124D0000}"/>
    <cellStyle name="Normal 173 2" xfId="20016" xr:uid="{00000000-0005-0000-0000-0000134D0000}"/>
    <cellStyle name="Normal 173 2 10" xfId="20017" xr:uid="{00000000-0005-0000-0000-0000144D0000}"/>
    <cellStyle name="Normal 173 2 2" xfId="20018" xr:uid="{00000000-0005-0000-0000-0000154D0000}"/>
    <cellStyle name="Normal 173 2 2 2" xfId="20019" xr:uid="{00000000-0005-0000-0000-0000164D0000}"/>
    <cellStyle name="Normal 173 2 2 2 2" xfId="20020" xr:uid="{00000000-0005-0000-0000-0000174D0000}"/>
    <cellStyle name="Normal 173 2 2 2 2 2" xfId="20021" xr:uid="{00000000-0005-0000-0000-0000184D0000}"/>
    <cellStyle name="Normal 173 2 2 2 2 3" xfId="20022" xr:uid="{00000000-0005-0000-0000-0000194D0000}"/>
    <cellStyle name="Normal 173 2 2 2 3" xfId="20023" xr:uid="{00000000-0005-0000-0000-00001A4D0000}"/>
    <cellStyle name="Normal 173 2 2 2 3 2" xfId="20024" xr:uid="{00000000-0005-0000-0000-00001B4D0000}"/>
    <cellStyle name="Normal 173 2 2 2 3 3" xfId="20025" xr:uid="{00000000-0005-0000-0000-00001C4D0000}"/>
    <cellStyle name="Normal 173 2 2 2 4" xfId="20026" xr:uid="{00000000-0005-0000-0000-00001D4D0000}"/>
    <cellStyle name="Normal 173 2 2 2 5" xfId="20027" xr:uid="{00000000-0005-0000-0000-00001E4D0000}"/>
    <cellStyle name="Normal 173 2 2 2 6" xfId="20028" xr:uid="{00000000-0005-0000-0000-00001F4D0000}"/>
    <cellStyle name="Normal 173 2 2 3" xfId="20029" xr:uid="{00000000-0005-0000-0000-0000204D0000}"/>
    <cellStyle name="Normal 173 2 2 3 2" xfId="20030" xr:uid="{00000000-0005-0000-0000-0000214D0000}"/>
    <cellStyle name="Normal 173 2 2 3 3" xfId="20031" xr:uid="{00000000-0005-0000-0000-0000224D0000}"/>
    <cellStyle name="Normal 173 2 2 4" xfId="20032" xr:uid="{00000000-0005-0000-0000-0000234D0000}"/>
    <cellStyle name="Normal 173 2 2 4 2" xfId="20033" xr:uid="{00000000-0005-0000-0000-0000244D0000}"/>
    <cellStyle name="Normal 173 2 2 4 3" xfId="20034" xr:uid="{00000000-0005-0000-0000-0000254D0000}"/>
    <cellStyle name="Normal 173 2 2 5" xfId="20035" xr:uid="{00000000-0005-0000-0000-0000264D0000}"/>
    <cellStyle name="Normal 173 2 2 6" xfId="20036" xr:uid="{00000000-0005-0000-0000-0000274D0000}"/>
    <cellStyle name="Normal 173 2 2 7" xfId="20037" xr:uid="{00000000-0005-0000-0000-0000284D0000}"/>
    <cellStyle name="Normal 173 2 2 8" xfId="20038" xr:uid="{00000000-0005-0000-0000-0000294D0000}"/>
    <cellStyle name="Normal 173 2 3" xfId="20039" xr:uid="{00000000-0005-0000-0000-00002A4D0000}"/>
    <cellStyle name="Normal 173 2 3 2" xfId="20040" xr:uid="{00000000-0005-0000-0000-00002B4D0000}"/>
    <cellStyle name="Normal 173 2 3 2 2" xfId="20041" xr:uid="{00000000-0005-0000-0000-00002C4D0000}"/>
    <cellStyle name="Normal 173 2 3 2 3" xfId="20042" xr:uid="{00000000-0005-0000-0000-00002D4D0000}"/>
    <cellStyle name="Normal 173 2 3 3" xfId="20043" xr:uid="{00000000-0005-0000-0000-00002E4D0000}"/>
    <cellStyle name="Normal 173 2 3 3 2" xfId="20044" xr:uid="{00000000-0005-0000-0000-00002F4D0000}"/>
    <cellStyle name="Normal 173 2 3 3 3" xfId="20045" xr:uid="{00000000-0005-0000-0000-0000304D0000}"/>
    <cellStyle name="Normal 173 2 3 4" xfId="20046" xr:uid="{00000000-0005-0000-0000-0000314D0000}"/>
    <cellStyle name="Normal 173 2 3 5" xfId="20047" xr:uid="{00000000-0005-0000-0000-0000324D0000}"/>
    <cellStyle name="Normal 173 2 3 6" xfId="20048" xr:uid="{00000000-0005-0000-0000-0000334D0000}"/>
    <cellStyle name="Normal 173 2 4" xfId="20049" xr:uid="{00000000-0005-0000-0000-0000344D0000}"/>
    <cellStyle name="Normal 173 2 4 2" xfId="20050" xr:uid="{00000000-0005-0000-0000-0000354D0000}"/>
    <cellStyle name="Normal 173 2 4 3" xfId="20051" xr:uid="{00000000-0005-0000-0000-0000364D0000}"/>
    <cellStyle name="Normal 173 2 5" xfId="20052" xr:uid="{00000000-0005-0000-0000-0000374D0000}"/>
    <cellStyle name="Normal 173 2 5 2" xfId="20053" xr:uid="{00000000-0005-0000-0000-0000384D0000}"/>
    <cellStyle name="Normal 173 2 5 3" xfId="20054" xr:uid="{00000000-0005-0000-0000-0000394D0000}"/>
    <cellStyle name="Normal 173 2 6" xfId="20055" xr:uid="{00000000-0005-0000-0000-00003A4D0000}"/>
    <cellStyle name="Normal 173 2 7" xfId="20056" xr:uid="{00000000-0005-0000-0000-00003B4D0000}"/>
    <cellStyle name="Normal 173 2 8" xfId="20057" xr:uid="{00000000-0005-0000-0000-00003C4D0000}"/>
    <cellStyle name="Normal 173 2 9" xfId="20058" xr:uid="{00000000-0005-0000-0000-00003D4D0000}"/>
    <cellStyle name="Normal 173 3" xfId="20059" xr:uid="{00000000-0005-0000-0000-00003E4D0000}"/>
    <cellStyle name="Normal 173 3 2" xfId="20060" xr:uid="{00000000-0005-0000-0000-00003F4D0000}"/>
    <cellStyle name="Normal 173 3 2 2" xfId="20061" xr:uid="{00000000-0005-0000-0000-0000404D0000}"/>
    <cellStyle name="Normal 173 3 2 2 2" xfId="20062" xr:uid="{00000000-0005-0000-0000-0000414D0000}"/>
    <cellStyle name="Normal 173 3 2 2 3" xfId="20063" xr:uid="{00000000-0005-0000-0000-0000424D0000}"/>
    <cellStyle name="Normal 173 3 2 3" xfId="20064" xr:uid="{00000000-0005-0000-0000-0000434D0000}"/>
    <cellStyle name="Normal 173 3 2 3 2" xfId="20065" xr:uid="{00000000-0005-0000-0000-0000444D0000}"/>
    <cellStyle name="Normal 173 3 2 3 3" xfId="20066" xr:uid="{00000000-0005-0000-0000-0000454D0000}"/>
    <cellStyle name="Normal 173 3 2 4" xfId="20067" xr:uid="{00000000-0005-0000-0000-0000464D0000}"/>
    <cellStyle name="Normal 173 3 2 5" xfId="20068" xr:uid="{00000000-0005-0000-0000-0000474D0000}"/>
    <cellStyle name="Normal 173 3 2 6" xfId="20069" xr:uid="{00000000-0005-0000-0000-0000484D0000}"/>
    <cellStyle name="Normal 173 3 3" xfId="20070" xr:uid="{00000000-0005-0000-0000-0000494D0000}"/>
    <cellStyle name="Normal 173 3 3 2" xfId="20071" xr:uid="{00000000-0005-0000-0000-00004A4D0000}"/>
    <cellStyle name="Normal 173 3 3 3" xfId="20072" xr:uid="{00000000-0005-0000-0000-00004B4D0000}"/>
    <cellStyle name="Normal 173 3 4" xfId="20073" xr:uid="{00000000-0005-0000-0000-00004C4D0000}"/>
    <cellStyle name="Normal 173 3 4 2" xfId="20074" xr:uid="{00000000-0005-0000-0000-00004D4D0000}"/>
    <cellStyle name="Normal 173 3 4 3" xfId="20075" xr:uid="{00000000-0005-0000-0000-00004E4D0000}"/>
    <cellStyle name="Normal 173 3 5" xfId="20076" xr:uid="{00000000-0005-0000-0000-00004F4D0000}"/>
    <cellStyle name="Normal 173 3 6" xfId="20077" xr:uid="{00000000-0005-0000-0000-0000504D0000}"/>
    <cellStyle name="Normal 173 3 7" xfId="20078" xr:uid="{00000000-0005-0000-0000-0000514D0000}"/>
    <cellStyle name="Normal 173 3 8" xfId="20079" xr:uid="{00000000-0005-0000-0000-0000524D0000}"/>
    <cellStyle name="Normal 173 4" xfId="20080" xr:uid="{00000000-0005-0000-0000-0000534D0000}"/>
    <cellStyle name="Normal 173 4 2" xfId="20081" xr:uid="{00000000-0005-0000-0000-0000544D0000}"/>
    <cellStyle name="Normal 173 4 2 2" xfId="20082" xr:uid="{00000000-0005-0000-0000-0000554D0000}"/>
    <cellStyle name="Normal 173 4 2 3" xfId="20083" xr:uid="{00000000-0005-0000-0000-0000564D0000}"/>
    <cellStyle name="Normal 173 4 3" xfId="20084" xr:uid="{00000000-0005-0000-0000-0000574D0000}"/>
    <cellStyle name="Normal 173 4 3 2" xfId="20085" xr:uid="{00000000-0005-0000-0000-0000584D0000}"/>
    <cellStyle name="Normal 173 4 3 3" xfId="20086" xr:uid="{00000000-0005-0000-0000-0000594D0000}"/>
    <cellStyle name="Normal 173 4 4" xfId="20087" xr:uid="{00000000-0005-0000-0000-00005A4D0000}"/>
    <cellStyle name="Normal 173 4 5" xfId="20088" xr:uid="{00000000-0005-0000-0000-00005B4D0000}"/>
    <cellStyle name="Normal 173 4 6" xfId="20089" xr:uid="{00000000-0005-0000-0000-00005C4D0000}"/>
    <cellStyle name="Normal 173 5" xfId="20090" xr:uid="{00000000-0005-0000-0000-00005D4D0000}"/>
    <cellStyle name="Normal 173 5 2" xfId="20091" xr:uid="{00000000-0005-0000-0000-00005E4D0000}"/>
    <cellStyle name="Normal 173 5 3" xfId="20092" xr:uid="{00000000-0005-0000-0000-00005F4D0000}"/>
    <cellStyle name="Normal 173 6" xfId="20093" xr:uid="{00000000-0005-0000-0000-0000604D0000}"/>
    <cellStyle name="Normal 173 6 2" xfId="20094" xr:uid="{00000000-0005-0000-0000-0000614D0000}"/>
    <cellStyle name="Normal 173 6 3" xfId="20095" xr:uid="{00000000-0005-0000-0000-0000624D0000}"/>
    <cellStyle name="Normal 173 7" xfId="20096" xr:uid="{00000000-0005-0000-0000-0000634D0000}"/>
    <cellStyle name="Normal 173 8" xfId="20097" xr:uid="{00000000-0005-0000-0000-0000644D0000}"/>
    <cellStyle name="Normal 173 9" xfId="20098" xr:uid="{00000000-0005-0000-0000-0000654D0000}"/>
    <cellStyle name="Normal 174" xfId="2166" xr:uid="{00000000-0005-0000-0000-0000664D0000}"/>
    <cellStyle name="Normal 174 10" xfId="20099" xr:uid="{00000000-0005-0000-0000-0000674D0000}"/>
    <cellStyle name="Normal 174 11" xfId="20100" xr:uid="{00000000-0005-0000-0000-0000684D0000}"/>
    <cellStyle name="Normal 174 12" xfId="20101" xr:uid="{00000000-0005-0000-0000-0000694D0000}"/>
    <cellStyle name="Normal 174 2" xfId="20102" xr:uid="{00000000-0005-0000-0000-00006A4D0000}"/>
    <cellStyle name="Normal 174 2 10" xfId="20103" xr:uid="{00000000-0005-0000-0000-00006B4D0000}"/>
    <cellStyle name="Normal 174 2 2" xfId="20104" xr:uid="{00000000-0005-0000-0000-00006C4D0000}"/>
    <cellStyle name="Normal 174 2 2 2" xfId="20105" xr:uid="{00000000-0005-0000-0000-00006D4D0000}"/>
    <cellStyle name="Normal 174 2 2 2 2" xfId="20106" xr:uid="{00000000-0005-0000-0000-00006E4D0000}"/>
    <cellStyle name="Normal 174 2 2 2 2 2" xfId="20107" xr:uid="{00000000-0005-0000-0000-00006F4D0000}"/>
    <cellStyle name="Normal 174 2 2 2 2 3" xfId="20108" xr:uid="{00000000-0005-0000-0000-0000704D0000}"/>
    <cellStyle name="Normal 174 2 2 2 3" xfId="20109" xr:uid="{00000000-0005-0000-0000-0000714D0000}"/>
    <cellStyle name="Normal 174 2 2 2 3 2" xfId="20110" xr:uid="{00000000-0005-0000-0000-0000724D0000}"/>
    <cellStyle name="Normal 174 2 2 2 3 3" xfId="20111" xr:uid="{00000000-0005-0000-0000-0000734D0000}"/>
    <cellStyle name="Normal 174 2 2 2 4" xfId="20112" xr:uid="{00000000-0005-0000-0000-0000744D0000}"/>
    <cellStyle name="Normal 174 2 2 2 5" xfId="20113" xr:uid="{00000000-0005-0000-0000-0000754D0000}"/>
    <cellStyle name="Normal 174 2 2 2 6" xfId="20114" xr:uid="{00000000-0005-0000-0000-0000764D0000}"/>
    <cellStyle name="Normal 174 2 2 3" xfId="20115" xr:uid="{00000000-0005-0000-0000-0000774D0000}"/>
    <cellStyle name="Normal 174 2 2 3 2" xfId="20116" xr:uid="{00000000-0005-0000-0000-0000784D0000}"/>
    <cellStyle name="Normal 174 2 2 3 3" xfId="20117" xr:uid="{00000000-0005-0000-0000-0000794D0000}"/>
    <cellStyle name="Normal 174 2 2 4" xfId="20118" xr:uid="{00000000-0005-0000-0000-00007A4D0000}"/>
    <cellStyle name="Normal 174 2 2 4 2" xfId="20119" xr:uid="{00000000-0005-0000-0000-00007B4D0000}"/>
    <cellStyle name="Normal 174 2 2 4 3" xfId="20120" xr:uid="{00000000-0005-0000-0000-00007C4D0000}"/>
    <cellStyle name="Normal 174 2 2 5" xfId="20121" xr:uid="{00000000-0005-0000-0000-00007D4D0000}"/>
    <cellStyle name="Normal 174 2 2 6" xfId="20122" xr:uid="{00000000-0005-0000-0000-00007E4D0000}"/>
    <cellStyle name="Normal 174 2 2 7" xfId="20123" xr:uid="{00000000-0005-0000-0000-00007F4D0000}"/>
    <cellStyle name="Normal 174 2 2 8" xfId="20124" xr:uid="{00000000-0005-0000-0000-0000804D0000}"/>
    <cellStyle name="Normal 174 2 3" xfId="20125" xr:uid="{00000000-0005-0000-0000-0000814D0000}"/>
    <cellStyle name="Normal 174 2 3 2" xfId="20126" xr:uid="{00000000-0005-0000-0000-0000824D0000}"/>
    <cellStyle name="Normal 174 2 3 2 2" xfId="20127" xr:uid="{00000000-0005-0000-0000-0000834D0000}"/>
    <cellStyle name="Normal 174 2 3 2 3" xfId="20128" xr:uid="{00000000-0005-0000-0000-0000844D0000}"/>
    <cellStyle name="Normal 174 2 3 3" xfId="20129" xr:uid="{00000000-0005-0000-0000-0000854D0000}"/>
    <cellStyle name="Normal 174 2 3 3 2" xfId="20130" xr:uid="{00000000-0005-0000-0000-0000864D0000}"/>
    <cellStyle name="Normal 174 2 3 3 3" xfId="20131" xr:uid="{00000000-0005-0000-0000-0000874D0000}"/>
    <cellStyle name="Normal 174 2 3 4" xfId="20132" xr:uid="{00000000-0005-0000-0000-0000884D0000}"/>
    <cellStyle name="Normal 174 2 3 5" xfId="20133" xr:uid="{00000000-0005-0000-0000-0000894D0000}"/>
    <cellStyle name="Normal 174 2 3 6" xfId="20134" xr:uid="{00000000-0005-0000-0000-00008A4D0000}"/>
    <cellStyle name="Normal 174 2 4" xfId="20135" xr:uid="{00000000-0005-0000-0000-00008B4D0000}"/>
    <cellStyle name="Normal 174 2 4 2" xfId="20136" xr:uid="{00000000-0005-0000-0000-00008C4D0000}"/>
    <cellStyle name="Normal 174 2 4 3" xfId="20137" xr:uid="{00000000-0005-0000-0000-00008D4D0000}"/>
    <cellStyle name="Normal 174 2 5" xfId="20138" xr:uid="{00000000-0005-0000-0000-00008E4D0000}"/>
    <cellStyle name="Normal 174 2 5 2" xfId="20139" xr:uid="{00000000-0005-0000-0000-00008F4D0000}"/>
    <cellStyle name="Normal 174 2 5 3" xfId="20140" xr:uid="{00000000-0005-0000-0000-0000904D0000}"/>
    <cellStyle name="Normal 174 2 6" xfId="20141" xr:uid="{00000000-0005-0000-0000-0000914D0000}"/>
    <cellStyle name="Normal 174 2 7" xfId="20142" xr:uid="{00000000-0005-0000-0000-0000924D0000}"/>
    <cellStyle name="Normal 174 2 8" xfId="20143" xr:uid="{00000000-0005-0000-0000-0000934D0000}"/>
    <cellStyle name="Normal 174 2 9" xfId="20144" xr:uid="{00000000-0005-0000-0000-0000944D0000}"/>
    <cellStyle name="Normal 174 3" xfId="20145" xr:uid="{00000000-0005-0000-0000-0000954D0000}"/>
    <cellStyle name="Normal 174 3 2" xfId="20146" xr:uid="{00000000-0005-0000-0000-0000964D0000}"/>
    <cellStyle name="Normal 174 3 2 2" xfId="20147" xr:uid="{00000000-0005-0000-0000-0000974D0000}"/>
    <cellStyle name="Normal 174 3 2 2 2" xfId="20148" xr:uid="{00000000-0005-0000-0000-0000984D0000}"/>
    <cellStyle name="Normal 174 3 2 2 3" xfId="20149" xr:uid="{00000000-0005-0000-0000-0000994D0000}"/>
    <cellStyle name="Normal 174 3 2 3" xfId="20150" xr:uid="{00000000-0005-0000-0000-00009A4D0000}"/>
    <cellStyle name="Normal 174 3 2 3 2" xfId="20151" xr:uid="{00000000-0005-0000-0000-00009B4D0000}"/>
    <cellStyle name="Normal 174 3 2 3 3" xfId="20152" xr:uid="{00000000-0005-0000-0000-00009C4D0000}"/>
    <cellStyle name="Normal 174 3 2 4" xfId="20153" xr:uid="{00000000-0005-0000-0000-00009D4D0000}"/>
    <cellStyle name="Normal 174 3 2 5" xfId="20154" xr:uid="{00000000-0005-0000-0000-00009E4D0000}"/>
    <cellStyle name="Normal 174 3 2 6" xfId="20155" xr:uid="{00000000-0005-0000-0000-00009F4D0000}"/>
    <cellStyle name="Normal 174 3 3" xfId="20156" xr:uid="{00000000-0005-0000-0000-0000A04D0000}"/>
    <cellStyle name="Normal 174 3 3 2" xfId="20157" xr:uid="{00000000-0005-0000-0000-0000A14D0000}"/>
    <cellStyle name="Normal 174 3 3 3" xfId="20158" xr:uid="{00000000-0005-0000-0000-0000A24D0000}"/>
    <cellStyle name="Normal 174 3 4" xfId="20159" xr:uid="{00000000-0005-0000-0000-0000A34D0000}"/>
    <cellStyle name="Normal 174 3 4 2" xfId="20160" xr:uid="{00000000-0005-0000-0000-0000A44D0000}"/>
    <cellStyle name="Normal 174 3 4 3" xfId="20161" xr:uid="{00000000-0005-0000-0000-0000A54D0000}"/>
    <cellStyle name="Normal 174 3 5" xfId="20162" xr:uid="{00000000-0005-0000-0000-0000A64D0000}"/>
    <cellStyle name="Normal 174 3 6" xfId="20163" xr:uid="{00000000-0005-0000-0000-0000A74D0000}"/>
    <cellStyle name="Normal 174 3 7" xfId="20164" xr:uid="{00000000-0005-0000-0000-0000A84D0000}"/>
    <cellStyle name="Normal 174 3 8" xfId="20165" xr:uid="{00000000-0005-0000-0000-0000A94D0000}"/>
    <cellStyle name="Normal 174 4" xfId="20166" xr:uid="{00000000-0005-0000-0000-0000AA4D0000}"/>
    <cellStyle name="Normal 174 4 2" xfId="20167" xr:uid="{00000000-0005-0000-0000-0000AB4D0000}"/>
    <cellStyle name="Normal 174 4 2 2" xfId="20168" xr:uid="{00000000-0005-0000-0000-0000AC4D0000}"/>
    <cellStyle name="Normal 174 4 2 3" xfId="20169" xr:uid="{00000000-0005-0000-0000-0000AD4D0000}"/>
    <cellStyle name="Normal 174 4 3" xfId="20170" xr:uid="{00000000-0005-0000-0000-0000AE4D0000}"/>
    <cellStyle name="Normal 174 4 3 2" xfId="20171" xr:uid="{00000000-0005-0000-0000-0000AF4D0000}"/>
    <cellStyle name="Normal 174 4 3 3" xfId="20172" xr:uid="{00000000-0005-0000-0000-0000B04D0000}"/>
    <cellStyle name="Normal 174 4 4" xfId="20173" xr:uid="{00000000-0005-0000-0000-0000B14D0000}"/>
    <cellStyle name="Normal 174 4 5" xfId="20174" xr:uid="{00000000-0005-0000-0000-0000B24D0000}"/>
    <cellStyle name="Normal 174 4 6" xfId="20175" xr:uid="{00000000-0005-0000-0000-0000B34D0000}"/>
    <cellStyle name="Normal 174 5" xfId="20176" xr:uid="{00000000-0005-0000-0000-0000B44D0000}"/>
    <cellStyle name="Normal 174 5 2" xfId="20177" xr:uid="{00000000-0005-0000-0000-0000B54D0000}"/>
    <cellStyle name="Normal 174 5 3" xfId="20178" xr:uid="{00000000-0005-0000-0000-0000B64D0000}"/>
    <cellStyle name="Normal 174 6" xfId="20179" xr:uid="{00000000-0005-0000-0000-0000B74D0000}"/>
    <cellStyle name="Normal 174 6 2" xfId="20180" xr:uid="{00000000-0005-0000-0000-0000B84D0000}"/>
    <cellStyle name="Normal 174 6 3" xfId="20181" xr:uid="{00000000-0005-0000-0000-0000B94D0000}"/>
    <cellStyle name="Normal 174 7" xfId="20182" xr:uid="{00000000-0005-0000-0000-0000BA4D0000}"/>
    <cellStyle name="Normal 174 8" xfId="20183" xr:uid="{00000000-0005-0000-0000-0000BB4D0000}"/>
    <cellStyle name="Normal 174 9" xfId="20184" xr:uid="{00000000-0005-0000-0000-0000BC4D0000}"/>
    <cellStyle name="Normal 175" xfId="2167" xr:uid="{00000000-0005-0000-0000-0000BD4D0000}"/>
    <cellStyle name="Normal 175 10" xfId="20185" xr:uid="{00000000-0005-0000-0000-0000BE4D0000}"/>
    <cellStyle name="Normal 175 11" xfId="20186" xr:uid="{00000000-0005-0000-0000-0000BF4D0000}"/>
    <cellStyle name="Normal 175 12" xfId="20187" xr:uid="{00000000-0005-0000-0000-0000C04D0000}"/>
    <cellStyle name="Normal 175 2" xfId="20188" xr:uid="{00000000-0005-0000-0000-0000C14D0000}"/>
    <cellStyle name="Normal 175 2 10" xfId="20189" xr:uid="{00000000-0005-0000-0000-0000C24D0000}"/>
    <cellStyle name="Normal 175 2 2" xfId="20190" xr:uid="{00000000-0005-0000-0000-0000C34D0000}"/>
    <cellStyle name="Normal 175 2 2 2" xfId="20191" xr:uid="{00000000-0005-0000-0000-0000C44D0000}"/>
    <cellStyle name="Normal 175 2 2 2 2" xfId="20192" xr:uid="{00000000-0005-0000-0000-0000C54D0000}"/>
    <cellStyle name="Normal 175 2 2 2 2 2" xfId="20193" xr:uid="{00000000-0005-0000-0000-0000C64D0000}"/>
    <cellStyle name="Normal 175 2 2 2 2 3" xfId="20194" xr:uid="{00000000-0005-0000-0000-0000C74D0000}"/>
    <cellStyle name="Normal 175 2 2 2 3" xfId="20195" xr:uid="{00000000-0005-0000-0000-0000C84D0000}"/>
    <cellStyle name="Normal 175 2 2 2 3 2" xfId="20196" xr:uid="{00000000-0005-0000-0000-0000C94D0000}"/>
    <cellStyle name="Normal 175 2 2 2 3 3" xfId="20197" xr:uid="{00000000-0005-0000-0000-0000CA4D0000}"/>
    <cellStyle name="Normal 175 2 2 2 4" xfId="20198" xr:uid="{00000000-0005-0000-0000-0000CB4D0000}"/>
    <cellStyle name="Normal 175 2 2 2 5" xfId="20199" xr:uid="{00000000-0005-0000-0000-0000CC4D0000}"/>
    <cellStyle name="Normal 175 2 2 2 6" xfId="20200" xr:uid="{00000000-0005-0000-0000-0000CD4D0000}"/>
    <cellStyle name="Normal 175 2 2 3" xfId="20201" xr:uid="{00000000-0005-0000-0000-0000CE4D0000}"/>
    <cellStyle name="Normal 175 2 2 3 2" xfId="20202" xr:uid="{00000000-0005-0000-0000-0000CF4D0000}"/>
    <cellStyle name="Normal 175 2 2 3 3" xfId="20203" xr:uid="{00000000-0005-0000-0000-0000D04D0000}"/>
    <cellStyle name="Normal 175 2 2 4" xfId="20204" xr:uid="{00000000-0005-0000-0000-0000D14D0000}"/>
    <cellStyle name="Normal 175 2 2 4 2" xfId="20205" xr:uid="{00000000-0005-0000-0000-0000D24D0000}"/>
    <cellStyle name="Normal 175 2 2 4 3" xfId="20206" xr:uid="{00000000-0005-0000-0000-0000D34D0000}"/>
    <cellStyle name="Normal 175 2 2 5" xfId="20207" xr:uid="{00000000-0005-0000-0000-0000D44D0000}"/>
    <cellStyle name="Normal 175 2 2 6" xfId="20208" xr:uid="{00000000-0005-0000-0000-0000D54D0000}"/>
    <cellStyle name="Normal 175 2 2 7" xfId="20209" xr:uid="{00000000-0005-0000-0000-0000D64D0000}"/>
    <cellStyle name="Normal 175 2 2 8" xfId="20210" xr:uid="{00000000-0005-0000-0000-0000D74D0000}"/>
    <cellStyle name="Normal 175 2 3" xfId="20211" xr:uid="{00000000-0005-0000-0000-0000D84D0000}"/>
    <cellStyle name="Normal 175 2 3 2" xfId="20212" xr:uid="{00000000-0005-0000-0000-0000D94D0000}"/>
    <cellStyle name="Normal 175 2 3 2 2" xfId="20213" xr:uid="{00000000-0005-0000-0000-0000DA4D0000}"/>
    <cellStyle name="Normal 175 2 3 2 3" xfId="20214" xr:uid="{00000000-0005-0000-0000-0000DB4D0000}"/>
    <cellStyle name="Normal 175 2 3 3" xfId="20215" xr:uid="{00000000-0005-0000-0000-0000DC4D0000}"/>
    <cellStyle name="Normal 175 2 3 3 2" xfId="20216" xr:uid="{00000000-0005-0000-0000-0000DD4D0000}"/>
    <cellStyle name="Normal 175 2 3 3 3" xfId="20217" xr:uid="{00000000-0005-0000-0000-0000DE4D0000}"/>
    <cellStyle name="Normal 175 2 3 4" xfId="20218" xr:uid="{00000000-0005-0000-0000-0000DF4D0000}"/>
    <cellStyle name="Normal 175 2 3 5" xfId="20219" xr:uid="{00000000-0005-0000-0000-0000E04D0000}"/>
    <cellStyle name="Normal 175 2 3 6" xfId="20220" xr:uid="{00000000-0005-0000-0000-0000E14D0000}"/>
    <cellStyle name="Normal 175 2 4" xfId="20221" xr:uid="{00000000-0005-0000-0000-0000E24D0000}"/>
    <cellStyle name="Normal 175 2 4 2" xfId="20222" xr:uid="{00000000-0005-0000-0000-0000E34D0000}"/>
    <cellStyle name="Normal 175 2 4 3" xfId="20223" xr:uid="{00000000-0005-0000-0000-0000E44D0000}"/>
    <cellStyle name="Normal 175 2 5" xfId="20224" xr:uid="{00000000-0005-0000-0000-0000E54D0000}"/>
    <cellStyle name="Normal 175 2 5 2" xfId="20225" xr:uid="{00000000-0005-0000-0000-0000E64D0000}"/>
    <cellStyle name="Normal 175 2 5 3" xfId="20226" xr:uid="{00000000-0005-0000-0000-0000E74D0000}"/>
    <cellStyle name="Normal 175 2 6" xfId="20227" xr:uid="{00000000-0005-0000-0000-0000E84D0000}"/>
    <cellStyle name="Normal 175 2 7" xfId="20228" xr:uid="{00000000-0005-0000-0000-0000E94D0000}"/>
    <cellStyle name="Normal 175 2 8" xfId="20229" xr:uid="{00000000-0005-0000-0000-0000EA4D0000}"/>
    <cellStyle name="Normal 175 2 9" xfId="20230" xr:uid="{00000000-0005-0000-0000-0000EB4D0000}"/>
    <cellStyle name="Normal 175 3" xfId="20231" xr:uid="{00000000-0005-0000-0000-0000EC4D0000}"/>
    <cellStyle name="Normal 175 3 2" xfId="20232" xr:uid="{00000000-0005-0000-0000-0000ED4D0000}"/>
    <cellStyle name="Normal 175 3 2 2" xfId="20233" xr:uid="{00000000-0005-0000-0000-0000EE4D0000}"/>
    <cellStyle name="Normal 175 3 2 2 2" xfId="20234" xr:uid="{00000000-0005-0000-0000-0000EF4D0000}"/>
    <cellStyle name="Normal 175 3 2 2 3" xfId="20235" xr:uid="{00000000-0005-0000-0000-0000F04D0000}"/>
    <cellStyle name="Normal 175 3 2 3" xfId="20236" xr:uid="{00000000-0005-0000-0000-0000F14D0000}"/>
    <cellStyle name="Normal 175 3 2 3 2" xfId="20237" xr:uid="{00000000-0005-0000-0000-0000F24D0000}"/>
    <cellStyle name="Normal 175 3 2 3 3" xfId="20238" xr:uid="{00000000-0005-0000-0000-0000F34D0000}"/>
    <cellStyle name="Normal 175 3 2 4" xfId="20239" xr:uid="{00000000-0005-0000-0000-0000F44D0000}"/>
    <cellStyle name="Normal 175 3 2 5" xfId="20240" xr:uid="{00000000-0005-0000-0000-0000F54D0000}"/>
    <cellStyle name="Normal 175 3 2 6" xfId="20241" xr:uid="{00000000-0005-0000-0000-0000F64D0000}"/>
    <cellStyle name="Normal 175 3 3" xfId="20242" xr:uid="{00000000-0005-0000-0000-0000F74D0000}"/>
    <cellStyle name="Normal 175 3 3 2" xfId="20243" xr:uid="{00000000-0005-0000-0000-0000F84D0000}"/>
    <cellStyle name="Normal 175 3 3 3" xfId="20244" xr:uid="{00000000-0005-0000-0000-0000F94D0000}"/>
    <cellStyle name="Normal 175 3 4" xfId="20245" xr:uid="{00000000-0005-0000-0000-0000FA4D0000}"/>
    <cellStyle name="Normal 175 3 4 2" xfId="20246" xr:uid="{00000000-0005-0000-0000-0000FB4D0000}"/>
    <cellStyle name="Normal 175 3 4 3" xfId="20247" xr:uid="{00000000-0005-0000-0000-0000FC4D0000}"/>
    <cellStyle name="Normal 175 3 5" xfId="20248" xr:uid="{00000000-0005-0000-0000-0000FD4D0000}"/>
    <cellStyle name="Normal 175 3 6" xfId="20249" xr:uid="{00000000-0005-0000-0000-0000FE4D0000}"/>
    <cellStyle name="Normal 175 3 7" xfId="20250" xr:uid="{00000000-0005-0000-0000-0000FF4D0000}"/>
    <cellStyle name="Normal 175 3 8" xfId="20251" xr:uid="{00000000-0005-0000-0000-0000004E0000}"/>
    <cellStyle name="Normal 175 4" xfId="20252" xr:uid="{00000000-0005-0000-0000-0000014E0000}"/>
    <cellStyle name="Normal 175 4 2" xfId="20253" xr:uid="{00000000-0005-0000-0000-0000024E0000}"/>
    <cellStyle name="Normal 175 4 2 2" xfId="20254" xr:uid="{00000000-0005-0000-0000-0000034E0000}"/>
    <cellStyle name="Normal 175 4 2 3" xfId="20255" xr:uid="{00000000-0005-0000-0000-0000044E0000}"/>
    <cellStyle name="Normal 175 4 3" xfId="20256" xr:uid="{00000000-0005-0000-0000-0000054E0000}"/>
    <cellStyle name="Normal 175 4 3 2" xfId="20257" xr:uid="{00000000-0005-0000-0000-0000064E0000}"/>
    <cellStyle name="Normal 175 4 3 3" xfId="20258" xr:uid="{00000000-0005-0000-0000-0000074E0000}"/>
    <cellStyle name="Normal 175 4 4" xfId="20259" xr:uid="{00000000-0005-0000-0000-0000084E0000}"/>
    <cellStyle name="Normal 175 4 5" xfId="20260" xr:uid="{00000000-0005-0000-0000-0000094E0000}"/>
    <cellStyle name="Normal 175 4 6" xfId="20261" xr:uid="{00000000-0005-0000-0000-00000A4E0000}"/>
    <cellStyle name="Normal 175 5" xfId="20262" xr:uid="{00000000-0005-0000-0000-00000B4E0000}"/>
    <cellStyle name="Normal 175 5 2" xfId="20263" xr:uid="{00000000-0005-0000-0000-00000C4E0000}"/>
    <cellStyle name="Normal 175 5 3" xfId="20264" xr:uid="{00000000-0005-0000-0000-00000D4E0000}"/>
    <cellStyle name="Normal 175 6" xfId="20265" xr:uid="{00000000-0005-0000-0000-00000E4E0000}"/>
    <cellStyle name="Normal 175 6 2" xfId="20266" xr:uid="{00000000-0005-0000-0000-00000F4E0000}"/>
    <cellStyle name="Normal 175 6 3" xfId="20267" xr:uid="{00000000-0005-0000-0000-0000104E0000}"/>
    <cellStyle name="Normal 175 7" xfId="20268" xr:uid="{00000000-0005-0000-0000-0000114E0000}"/>
    <cellStyle name="Normal 175 8" xfId="20269" xr:uid="{00000000-0005-0000-0000-0000124E0000}"/>
    <cellStyle name="Normal 175 9" xfId="20270" xr:uid="{00000000-0005-0000-0000-0000134E0000}"/>
    <cellStyle name="Normal 176" xfId="2168" xr:uid="{00000000-0005-0000-0000-0000144E0000}"/>
    <cellStyle name="Normal 176 10" xfId="20271" xr:uid="{00000000-0005-0000-0000-0000154E0000}"/>
    <cellStyle name="Normal 176 11" xfId="20272" xr:uid="{00000000-0005-0000-0000-0000164E0000}"/>
    <cellStyle name="Normal 176 12" xfId="20273" xr:uid="{00000000-0005-0000-0000-0000174E0000}"/>
    <cellStyle name="Normal 176 2" xfId="20274" xr:uid="{00000000-0005-0000-0000-0000184E0000}"/>
    <cellStyle name="Normal 176 2 10" xfId="20275" xr:uid="{00000000-0005-0000-0000-0000194E0000}"/>
    <cellStyle name="Normal 176 2 2" xfId="20276" xr:uid="{00000000-0005-0000-0000-00001A4E0000}"/>
    <cellStyle name="Normal 176 2 2 2" xfId="20277" xr:uid="{00000000-0005-0000-0000-00001B4E0000}"/>
    <cellStyle name="Normal 176 2 2 2 2" xfId="20278" xr:uid="{00000000-0005-0000-0000-00001C4E0000}"/>
    <cellStyle name="Normal 176 2 2 2 2 2" xfId="20279" xr:uid="{00000000-0005-0000-0000-00001D4E0000}"/>
    <cellStyle name="Normal 176 2 2 2 2 3" xfId="20280" xr:uid="{00000000-0005-0000-0000-00001E4E0000}"/>
    <cellStyle name="Normal 176 2 2 2 3" xfId="20281" xr:uid="{00000000-0005-0000-0000-00001F4E0000}"/>
    <cellStyle name="Normal 176 2 2 2 3 2" xfId="20282" xr:uid="{00000000-0005-0000-0000-0000204E0000}"/>
    <cellStyle name="Normal 176 2 2 2 3 3" xfId="20283" xr:uid="{00000000-0005-0000-0000-0000214E0000}"/>
    <cellStyle name="Normal 176 2 2 2 4" xfId="20284" xr:uid="{00000000-0005-0000-0000-0000224E0000}"/>
    <cellStyle name="Normal 176 2 2 2 5" xfId="20285" xr:uid="{00000000-0005-0000-0000-0000234E0000}"/>
    <cellStyle name="Normal 176 2 2 2 6" xfId="20286" xr:uid="{00000000-0005-0000-0000-0000244E0000}"/>
    <cellStyle name="Normal 176 2 2 3" xfId="20287" xr:uid="{00000000-0005-0000-0000-0000254E0000}"/>
    <cellStyle name="Normal 176 2 2 3 2" xfId="20288" xr:uid="{00000000-0005-0000-0000-0000264E0000}"/>
    <cellStyle name="Normal 176 2 2 3 3" xfId="20289" xr:uid="{00000000-0005-0000-0000-0000274E0000}"/>
    <cellStyle name="Normal 176 2 2 4" xfId="20290" xr:uid="{00000000-0005-0000-0000-0000284E0000}"/>
    <cellStyle name="Normal 176 2 2 4 2" xfId="20291" xr:uid="{00000000-0005-0000-0000-0000294E0000}"/>
    <cellStyle name="Normal 176 2 2 4 3" xfId="20292" xr:uid="{00000000-0005-0000-0000-00002A4E0000}"/>
    <cellStyle name="Normal 176 2 2 5" xfId="20293" xr:uid="{00000000-0005-0000-0000-00002B4E0000}"/>
    <cellStyle name="Normal 176 2 2 6" xfId="20294" xr:uid="{00000000-0005-0000-0000-00002C4E0000}"/>
    <cellStyle name="Normal 176 2 2 7" xfId="20295" xr:uid="{00000000-0005-0000-0000-00002D4E0000}"/>
    <cellStyle name="Normal 176 2 2 8" xfId="20296" xr:uid="{00000000-0005-0000-0000-00002E4E0000}"/>
    <cellStyle name="Normal 176 2 3" xfId="20297" xr:uid="{00000000-0005-0000-0000-00002F4E0000}"/>
    <cellStyle name="Normal 176 2 3 2" xfId="20298" xr:uid="{00000000-0005-0000-0000-0000304E0000}"/>
    <cellStyle name="Normal 176 2 3 2 2" xfId="20299" xr:uid="{00000000-0005-0000-0000-0000314E0000}"/>
    <cellStyle name="Normal 176 2 3 2 3" xfId="20300" xr:uid="{00000000-0005-0000-0000-0000324E0000}"/>
    <cellStyle name="Normal 176 2 3 3" xfId="20301" xr:uid="{00000000-0005-0000-0000-0000334E0000}"/>
    <cellStyle name="Normal 176 2 3 3 2" xfId="20302" xr:uid="{00000000-0005-0000-0000-0000344E0000}"/>
    <cellStyle name="Normal 176 2 3 3 3" xfId="20303" xr:uid="{00000000-0005-0000-0000-0000354E0000}"/>
    <cellStyle name="Normal 176 2 3 4" xfId="20304" xr:uid="{00000000-0005-0000-0000-0000364E0000}"/>
    <cellStyle name="Normal 176 2 3 5" xfId="20305" xr:uid="{00000000-0005-0000-0000-0000374E0000}"/>
    <cellStyle name="Normal 176 2 3 6" xfId="20306" xr:uid="{00000000-0005-0000-0000-0000384E0000}"/>
    <cellStyle name="Normal 176 2 4" xfId="20307" xr:uid="{00000000-0005-0000-0000-0000394E0000}"/>
    <cellStyle name="Normal 176 2 4 2" xfId="20308" xr:uid="{00000000-0005-0000-0000-00003A4E0000}"/>
    <cellStyle name="Normal 176 2 4 3" xfId="20309" xr:uid="{00000000-0005-0000-0000-00003B4E0000}"/>
    <cellStyle name="Normal 176 2 5" xfId="20310" xr:uid="{00000000-0005-0000-0000-00003C4E0000}"/>
    <cellStyle name="Normal 176 2 5 2" xfId="20311" xr:uid="{00000000-0005-0000-0000-00003D4E0000}"/>
    <cellStyle name="Normal 176 2 5 3" xfId="20312" xr:uid="{00000000-0005-0000-0000-00003E4E0000}"/>
    <cellStyle name="Normal 176 2 6" xfId="20313" xr:uid="{00000000-0005-0000-0000-00003F4E0000}"/>
    <cellStyle name="Normal 176 2 7" xfId="20314" xr:uid="{00000000-0005-0000-0000-0000404E0000}"/>
    <cellStyle name="Normal 176 2 8" xfId="20315" xr:uid="{00000000-0005-0000-0000-0000414E0000}"/>
    <cellStyle name="Normal 176 2 9" xfId="20316" xr:uid="{00000000-0005-0000-0000-0000424E0000}"/>
    <cellStyle name="Normal 176 3" xfId="20317" xr:uid="{00000000-0005-0000-0000-0000434E0000}"/>
    <cellStyle name="Normal 176 3 2" xfId="20318" xr:uid="{00000000-0005-0000-0000-0000444E0000}"/>
    <cellStyle name="Normal 176 3 2 2" xfId="20319" xr:uid="{00000000-0005-0000-0000-0000454E0000}"/>
    <cellStyle name="Normal 176 3 2 2 2" xfId="20320" xr:uid="{00000000-0005-0000-0000-0000464E0000}"/>
    <cellStyle name="Normal 176 3 2 2 3" xfId="20321" xr:uid="{00000000-0005-0000-0000-0000474E0000}"/>
    <cellStyle name="Normal 176 3 2 3" xfId="20322" xr:uid="{00000000-0005-0000-0000-0000484E0000}"/>
    <cellStyle name="Normal 176 3 2 3 2" xfId="20323" xr:uid="{00000000-0005-0000-0000-0000494E0000}"/>
    <cellStyle name="Normal 176 3 2 3 3" xfId="20324" xr:uid="{00000000-0005-0000-0000-00004A4E0000}"/>
    <cellStyle name="Normal 176 3 2 4" xfId="20325" xr:uid="{00000000-0005-0000-0000-00004B4E0000}"/>
    <cellStyle name="Normal 176 3 2 5" xfId="20326" xr:uid="{00000000-0005-0000-0000-00004C4E0000}"/>
    <cellStyle name="Normal 176 3 2 6" xfId="20327" xr:uid="{00000000-0005-0000-0000-00004D4E0000}"/>
    <cellStyle name="Normal 176 3 3" xfId="20328" xr:uid="{00000000-0005-0000-0000-00004E4E0000}"/>
    <cellStyle name="Normal 176 3 3 2" xfId="20329" xr:uid="{00000000-0005-0000-0000-00004F4E0000}"/>
    <cellStyle name="Normal 176 3 3 3" xfId="20330" xr:uid="{00000000-0005-0000-0000-0000504E0000}"/>
    <cellStyle name="Normal 176 3 4" xfId="20331" xr:uid="{00000000-0005-0000-0000-0000514E0000}"/>
    <cellStyle name="Normal 176 3 4 2" xfId="20332" xr:uid="{00000000-0005-0000-0000-0000524E0000}"/>
    <cellStyle name="Normal 176 3 4 3" xfId="20333" xr:uid="{00000000-0005-0000-0000-0000534E0000}"/>
    <cellStyle name="Normal 176 3 5" xfId="20334" xr:uid="{00000000-0005-0000-0000-0000544E0000}"/>
    <cellStyle name="Normal 176 3 6" xfId="20335" xr:uid="{00000000-0005-0000-0000-0000554E0000}"/>
    <cellStyle name="Normal 176 3 7" xfId="20336" xr:uid="{00000000-0005-0000-0000-0000564E0000}"/>
    <cellStyle name="Normal 176 3 8" xfId="20337" xr:uid="{00000000-0005-0000-0000-0000574E0000}"/>
    <cellStyle name="Normal 176 4" xfId="20338" xr:uid="{00000000-0005-0000-0000-0000584E0000}"/>
    <cellStyle name="Normal 176 4 2" xfId="20339" xr:uid="{00000000-0005-0000-0000-0000594E0000}"/>
    <cellStyle name="Normal 176 4 2 2" xfId="20340" xr:uid="{00000000-0005-0000-0000-00005A4E0000}"/>
    <cellStyle name="Normal 176 4 2 3" xfId="20341" xr:uid="{00000000-0005-0000-0000-00005B4E0000}"/>
    <cellStyle name="Normal 176 4 3" xfId="20342" xr:uid="{00000000-0005-0000-0000-00005C4E0000}"/>
    <cellStyle name="Normal 176 4 3 2" xfId="20343" xr:uid="{00000000-0005-0000-0000-00005D4E0000}"/>
    <cellStyle name="Normal 176 4 3 3" xfId="20344" xr:uid="{00000000-0005-0000-0000-00005E4E0000}"/>
    <cellStyle name="Normal 176 4 4" xfId="20345" xr:uid="{00000000-0005-0000-0000-00005F4E0000}"/>
    <cellStyle name="Normal 176 4 5" xfId="20346" xr:uid="{00000000-0005-0000-0000-0000604E0000}"/>
    <cellStyle name="Normal 176 4 6" xfId="20347" xr:uid="{00000000-0005-0000-0000-0000614E0000}"/>
    <cellStyle name="Normal 176 5" xfId="20348" xr:uid="{00000000-0005-0000-0000-0000624E0000}"/>
    <cellStyle name="Normal 176 5 2" xfId="20349" xr:uid="{00000000-0005-0000-0000-0000634E0000}"/>
    <cellStyle name="Normal 176 5 3" xfId="20350" xr:uid="{00000000-0005-0000-0000-0000644E0000}"/>
    <cellStyle name="Normal 176 6" xfId="20351" xr:uid="{00000000-0005-0000-0000-0000654E0000}"/>
    <cellStyle name="Normal 176 6 2" xfId="20352" xr:uid="{00000000-0005-0000-0000-0000664E0000}"/>
    <cellStyle name="Normal 176 6 3" xfId="20353" xr:uid="{00000000-0005-0000-0000-0000674E0000}"/>
    <cellStyle name="Normal 176 7" xfId="20354" xr:uid="{00000000-0005-0000-0000-0000684E0000}"/>
    <cellStyle name="Normal 176 8" xfId="20355" xr:uid="{00000000-0005-0000-0000-0000694E0000}"/>
    <cellStyle name="Normal 176 9" xfId="20356" xr:uid="{00000000-0005-0000-0000-00006A4E0000}"/>
    <cellStyle name="Normal 177" xfId="2169" xr:uid="{00000000-0005-0000-0000-00006B4E0000}"/>
    <cellStyle name="Normal 177 10" xfId="20357" xr:uid="{00000000-0005-0000-0000-00006C4E0000}"/>
    <cellStyle name="Normal 177 11" xfId="20358" xr:uid="{00000000-0005-0000-0000-00006D4E0000}"/>
    <cellStyle name="Normal 177 12" xfId="20359" xr:uid="{00000000-0005-0000-0000-00006E4E0000}"/>
    <cellStyle name="Normal 177 2" xfId="20360" xr:uid="{00000000-0005-0000-0000-00006F4E0000}"/>
    <cellStyle name="Normal 177 2 10" xfId="20361" xr:uid="{00000000-0005-0000-0000-0000704E0000}"/>
    <cellStyle name="Normal 177 2 2" xfId="20362" xr:uid="{00000000-0005-0000-0000-0000714E0000}"/>
    <cellStyle name="Normal 177 2 2 2" xfId="20363" xr:uid="{00000000-0005-0000-0000-0000724E0000}"/>
    <cellStyle name="Normal 177 2 2 2 2" xfId="20364" xr:uid="{00000000-0005-0000-0000-0000734E0000}"/>
    <cellStyle name="Normal 177 2 2 2 2 2" xfId="20365" xr:uid="{00000000-0005-0000-0000-0000744E0000}"/>
    <cellStyle name="Normal 177 2 2 2 2 3" xfId="20366" xr:uid="{00000000-0005-0000-0000-0000754E0000}"/>
    <cellStyle name="Normal 177 2 2 2 3" xfId="20367" xr:uid="{00000000-0005-0000-0000-0000764E0000}"/>
    <cellStyle name="Normal 177 2 2 2 3 2" xfId="20368" xr:uid="{00000000-0005-0000-0000-0000774E0000}"/>
    <cellStyle name="Normal 177 2 2 2 3 3" xfId="20369" xr:uid="{00000000-0005-0000-0000-0000784E0000}"/>
    <cellStyle name="Normal 177 2 2 2 4" xfId="20370" xr:uid="{00000000-0005-0000-0000-0000794E0000}"/>
    <cellStyle name="Normal 177 2 2 2 5" xfId="20371" xr:uid="{00000000-0005-0000-0000-00007A4E0000}"/>
    <cellStyle name="Normal 177 2 2 2 6" xfId="20372" xr:uid="{00000000-0005-0000-0000-00007B4E0000}"/>
    <cellStyle name="Normal 177 2 2 3" xfId="20373" xr:uid="{00000000-0005-0000-0000-00007C4E0000}"/>
    <cellStyle name="Normal 177 2 2 3 2" xfId="20374" xr:uid="{00000000-0005-0000-0000-00007D4E0000}"/>
    <cellStyle name="Normal 177 2 2 3 3" xfId="20375" xr:uid="{00000000-0005-0000-0000-00007E4E0000}"/>
    <cellStyle name="Normal 177 2 2 4" xfId="20376" xr:uid="{00000000-0005-0000-0000-00007F4E0000}"/>
    <cellStyle name="Normal 177 2 2 4 2" xfId="20377" xr:uid="{00000000-0005-0000-0000-0000804E0000}"/>
    <cellStyle name="Normal 177 2 2 4 3" xfId="20378" xr:uid="{00000000-0005-0000-0000-0000814E0000}"/>
    <cellStyle name="Normal 177 2 2 5" xfId="20379" xr:uid="{00000000-0005-0000-0000-0000824E0000}"/>
    <cellStyle name="Normal 177 2 2 6" xfId="20380" xr:uid="{00000000-0005-0000-0000-0000834E0000}"/>
    <cellStyle name="Normal 177 2 2 7" xfId="20381" xr:uid="{00000000-0005-0000-0000-0000844E0000}"/>
    <cellStyle name="Normal 177 2 2 8" xfId="20382" xr:uid="{00000000-0005-0000-0000-0000854E0000}"/>
    <cellStyle name="Normal 177 2 3" xfId="20383" xr:uid="{00000000-0005-0000-0000-0000864E0000}"/>
    <cellStyle name="Normal 177 2 3 2" xfId="20384" xr:uid="{00000000-0005-0000-0000-0000874E0000}"/>
    <cellStyle name="Normal 177 2 3 2 2" xfId="20385" xr:uid="{00000000-0005-0000-0000-0000884E0000}"/>
    <cellStyle name="Normal 177 2 3 2 3" xfId="20386" xr:uid="{00000000-0005-0000-0000-0000894E0000}"/>
    <cellStyle name="Normal 177 2 3 3" xfId="20387" xr:uid="{00000000-0005-0000-0000-00008A4E0000}"/>
    <cellStyle name="Normal 177 2 3 3 2" xfId="20388" xr:uid="{00000000-0005-0000-0000-00008B4E0000}"/>
    <cellStyle name="Normal 177 2 3 3 3" xfId="20389" xr:uid="{00000000-0005-0000-0000-00008C4E0000}"/>
    <cellStyle name="Normal 177 2 3 4" xfId="20390" xr:uid="{00000000-0005-0000-0000-00008D4E0000}"/>
    <cellStyle name="Normal 177 2 3 5" xfId="20391" xr:uid="{00000000-0005-0000-0000-00008E4E0000}"/>
    <cellStyle name="Normal 177 2 3 6" xfId="20392" xr:uid="{00000000-0005-0000-0000-00008F4E0000}"/>
    <cellStyle name="Normal 177 2 4" xfId="20393" xr:uid="{00000000-0005-0000-0000-0000904E0000}"/>
    <cellStyle name="Normal 177 2 4 2" xfId="20394" xr:uid="{00000000-0005-0000-0000-0000914E0000}"/>
    <cellStyle name="Normal 177 2 4 3" xfId="20395" xr:uid="{00000000-0005-0000-0000-0000924E0000}"/>
    <cellStyle name="Normal 177 2 5" xfId="20396" xr:uid="{00000000-0005-0000-0000-0000934E0000}"/>
    <cellStyle name="Normal 177 2 5 2" xfId="20397" xr:uid="{00000000-0005-0000-0000-0000944E0000}"/>
    <cellStyle name="Normal 177 2 5 3" xfId="20398" xr:uid="{00000000-0005-0000-0000-0000954E0000}"/>
    <cellStyle name="Normal 177 2 6" xfId="20399" xr:uid="{00000000-0005-0000-0000-0000964E0000}"/>
    <cellStyle name="Normal 177 2 7" xfId="20400" xr:uid="{00000000-0005-0000-0000-0000974E0000}"/>
    <cellStyle name="Normal 177 2 8" xfId="20401" xr:uid="{00000000-0005-0000-0000-0000984E0000}"/>
    <cellStyle name="Normal 177 2 9" xfId="20402" xr:uid="{00000000-0005-0000-0000-0000994E0000}"/>
    <cellStyle name="Normal 177 3" xfId="20403" xr:uid="{00000000-0005-0000-0000-00009A4E0000}"/>
    <cellStyle name="Normal 177 3 2" xfId="20404" xr:uid="{00000000-0005-0000-0000-00009B4E0000}"/>
    <cellStyle name="Normal 177 3 2 2" xfId="20405" xr:uid="{00000000-0005-0000-0000-00009C4E0000}"/>
    <cellStyle name="Normal 177 3 2 2 2" xfId="20406" xr:uid="{00000000-0005-0000-0000-00009D4E0000}"/>
    <cellStyle name="Normal 177 3 2 2 3" xfId="20407" xr:uid="{00000000-0005-0000-0000-00009E4E0000}"/>
    <cellStyle name="Normal 177 3 2 3" xfId="20408" xr:uid="{00000000-0005-0000-0000-00009F4E0000}"/>
    <cellStyle name="Normal 177 3 2 3 2" xfId="20409" xr:uid="{00000000-0005-0000-0000-0000A04E0000}"/>
    <cellStyle name="Normal 177 3 2 3 3" xfId="20410" xr:uid="{00000000-0005-0000-0000-0000A14E0000}"/>
    <cellStyle name="Normal 177 3 2 4" xfId="20411" xr:uid="{00000000-0005-0000-0000-0000A24E0000}"/>
    <cellStyle name="Normal 177 3 2 5" xfId="20412" xr:uid="{00000000-0005-0000-0000-0000A34E0000}"/>
    <cellStyle name="Normal 177 3 2 6" xfId="20413" xr:uid="{00000000-0005-0000-0000-0000A44E0000}"/>
    <cellStyle name="Normal 177 3 3" xfId="20414" xr:uid="{00000000-0005-0000-0000-0000A54E0000}"/>
    <cellStyle name="Normal 177 3 3 2" xfId="20415" xr:uid="{00000000-0005-0000-0000-0000A64E0000}"/>
    <cellStyle name="Normal 177 3 3 3" xfId="20416" xr:uid="{00000000-0005-0000-0000-0000A74E0000}"/>
    <cellStyle name="Normal 177 3 4" xfId="20417" xr:uid="{00000000-0005-0000-0000-0000A84E0000}"/>
    <cellStyle name="Normal 177 3 4 2" xfId="20418" xr:uid="{00000000-0005-0000-0000-0000A94E0000}"/>
    <cellStyle name="Normal 177 3 4 3" xfId="20419" xr:uid="{00000000-0005-0000-0000-0000AA4E0000}"/>
    <cellStyle name="Normal 177 3 5" xfId="20420" xr:uid="{00000000-0005-0000-0000-0000AB4E0000}"/>
    <cellStyle name="Normal 177 3 6" xfId="20421" xr:uid="{00000000-0005-0000-0000-0000AC4E0000}"/>
    <cellStyle name="Normal 177 3 7" xfId="20422" xr:uid="{00000000-0005-0000-0000-0000AD4E0000}"/>
    <cellStyle name="Normal 177 3 8" xfId="20423" xr:uid="{00000000-0005-0000-0000-0000AE4E0000}"/>
    <cellStyle name="Normal 177 4" xfId="20424" xr:uid="{00000000-0005-0000-0000-0000AF4E0000}"/>
    <cellStyle name="Normal 177 4 2" xfId="20425" xr:uid="{00000000-0005-0000-0000-0000B04E0000}"/>
    <cellStyle name="Normal 177 4 2 2" xfId="20426" xr:uid="{00000000-0005-0000-0000-0000B14E0000}"/>
    <cellStyle name="Normal 177 4 2 3" xfId="20427" xr:uid="{00000000-0005-0000-0000-0000B24E0000}"/>
    <cellStyle name="Normal 177 4 3" xfId="20428" xr:uid="{00000000-0005-0000-0000-0000B34E0000}"/>
    <cellStyle name="Normal 177 4 3 2" xfId="20429" xr:uid="{00000000-0005-0000-0000-0000B44E0000}"/>
    <cellStyle name="Normal 177 4 3 3" xfId="20430" xr:uid="{00000000-0005-0000-0000-0000B54E0000}"/>
    <cellStyle name="Normal 177 4 4" xfId="20431" xr:uid="{00000000-0005-0000-0000-0000B64E0000}"/>
    <cellStyle name="Normal 177 4 5" xfId="20432" xr:uid="{00000000-0005-0000-0000-0000B74E0000}"/>
    <cellStyle name="Normal 177 4 6" xfId="20433" xr:uid="{00000000-0005-0000-0000-0000B84E0000}"/>
    <cellStyle name="Normal 177 5" xfId="20434" xr:uid="{00000000-0005-0000-0000-0000B94E0000}"/>
    <cellStyle name="Normal 177 5 2" xfId="20435" xr:uid="{00000000-0005-0000-0000-0000BA4E0000}"/>
    <cellStyle name="Normal 177 5 3" xfId="20436" xr:uid="{00000000-0005-0000-0000-0000BB4E0000}"/>
    <cellStyle name="Normal 177 6" xfId="20437" xr:uid="{00000000-0005-0000-0000-0000BC4E0000}"/>
    <cellStyle name="Normal 177 6 2" xfId="20438" xr:uid="{00000000-0005-0000-0000-0000BD4E0000}"/>
    <cellStyle name="Normal 177 6 3" xfId="20439" xr:uid="{00000000-0005-0000-0000-0000BE4E0000}"/>
    <cellStyle name="Normal 177 7" xfId="20440" xr:uid="{00000000-0005-0000-0000-0000BF4E0000}"/>
    <cellStyle name="Normal 177 8" xfId="20441" xr:uid="{00000000-0005-0000-0000-0000C04E0000}"/>
    <cellStyle name="Normal 177 9" xfId="20442" xr:uid="{00000000-0005-0000-0000-0000C14E0000}"/>
    <cellStyle name="Normal 178" xfId="2170" xr:uid="{00000000-0005-0000-0000-0000C24E0000}"/>
    <cellStyle name="Normal 178 10" xfId="20443" xr:uid="{00000000-0005-0000-0000-0000C34E0000}"/>
    <cellStyle name="Normal 178 11" xfId="20444" xr:uid="{00000000-0005-0000-0000-0000C44E0000}"/>
    <cellStyle name="Normal 178 12" xfId="20445" xr:uid="{00000000-0005-0000-0000-0000C54E0000}"/>
    <cellStyle name="Normal 178 2" xfId="20446" xr:uid="{00000000-0005-0000-0000-0000C64E0000}"/>
    <cellStyle name="Normal 178 2 10" xfId="20447" xr:uid="{00000000-0005-0000-0000-0000C74E0000}"/>
    <cellStyle name="Normal 178 2 2" xfId="20448" xr:uid="{00000000-0005-0000-0000-0000C84E0000}"/>
    <cellStyle name="Normal 178 2 2 2" xfId="20449" xr:uid="{00000000-0005-0000-0000-0000C94E0000}"/>
    <cellStyle name="Normal 178 2 2 2 2" xfId="20450" xr:uid="{00000000-0005-0000-0000-0000CA4E0000}"/>
    <cellStyle name="Normal 178 2 2 2 2 2" xfId="20451" xr:uid="{00000000-0005-0000-0000-0000CB4E0000}"/>
    <cellStyle name="Normal 178 2 2 2 2 3" xfId="20452" xr:uid="{00000000-0005-0000-0000-0000CC4E0000}"/>
    <cellStyle name="Normal 178 2 2 2 3" xfId="20453" xr:uid="{00000000-0005-0000-0000-0000CD4E0000}"/>
    <cellStyle name="Normal 178 2 2 2 3 2" xfId="20454" xr:uid="{00000000-0005-0000-0000-0000CE4E0000}"/>
    <cellStyle name="Normal 178 2 2 2 3 3" xfId="20455" xr:uid="{00000000-0005-0000-0000-0000CF4E0000}"/>
    <cellStyle name="Normal 178 2 2 2 4" xfId="20456" xr:uid="{00000000-0005-0000-0000-0000D04E0000}"/>
    <cellStyle name="Normal 178 2 2 2 5" xfId="20457" xr:uid="{00000000-0005-0000-0000-0000D14E0000}"/>
    <cellStyle name="Normal 178 2 2 2 6" xfId="20458" xr:uid="{00000000-0005-0000-0000-0000D24E0000}"/>
    <cellStyle name="Normal 178 2 2 3" xfId="20459" xr:uid="{00000000-0005-0000-0000-0000D34E0000}"/>
    <cellStyle name="Normal 178 2 2 3 2" xfId="20460" xr:uid="{00000000-0005-0000-0000-0000D44E0000}"/>
    <cellStyle name="Normal 178 2 2 3 3" xfId="20461" xr:uid="{00000000-0005-0000-0000-0000D54E0000}"/>
    <cellStyle name="Normal 178 2 2 4" xfId="20462" xr:uid="{00000000-0005-0000-0000-0000D64E0000}"/>
    <cellStyle name="Normal 178 2 2 4 2" xfId="20463" xr:uid="{00000000-0005-0000-0000-0000D74E0000}"/>
    <cellStyle name="Normal 178 2 2 4 3" xfId="20464" xr:uid="{00000000-0005-0000-0000-0000D84E0000}"/>
    <cellStyle name="Normal 178 2 2 5" xfId="20465" xr:uid="{00000000-0005-0000-0000-0000D94E0000}"/>
    <cellStyle name="Normal 178 2 2 6" xfId="20466" xr:uid="{00000000-0005-0000-0000-0000DA4E0000}"/>
    <cellStyle name="Normal 178 2 2 7" xfId="20467" xr:uid="{00000000-0005-0000-0000-0000DB4E0000}"/>
    <cellStyle name="Normal 178 2 2 8" xfId="20468" xr:uid="{00000000-0005-0000-0000-0000DC4E0000}"/>
    <cellStyle name="Normal 178 2 3" xfId="20469" xr:uid="{00000000-0005-0000-0000-0000DD4E0000}"/>
    <cellStyle name="Normal 178 2 3 2" xfId="20470" xr:uid="{00000000-0005-0000-0000-0000DE4E0000}"/>
    <cellStyle name="Normal 178 2 3 2 2" xfId="20471" xr:uid="{00000000-0005-0000-0000-0000DF4E0000}"/>
    <cellStyle name="Normal 178 2 3 2 3" xfId="20472" xr:uid="{00000000-0005-0000-0000-0000E04E0000}"/>
    <cellStyle name="Normal 178 2 3 3" xfId="20473" xr:uid="{00000000-0005-0000-0000-0000E14E0000}"/>
    <cellStyle name="Normal 178 2 3 3 2" xfId="20474" xr:uid="{00000000-0005-0000-0000-0000E24E0000}"/>
    <cellStyle name="Normal 178 2 3 3 3" xfId="20475" xr:uid="{00000000-0005-0000-0000-0000E34E0000}"/>
    <cellStyle name="Normal 178 2 3 4" xfId="20476" xr:uid="{00000000-0005-0000-0000-0000E44E0000}"/>
    <cellStyle name="Normal 178 2 3 5" xfId="20477" xr:uid="{00000000-0005-0000-0000-0000E54E0000}"/>
    <cellStyle name="Normal 178 2 3 6" xfId="20478" xr:uid="{00000000-0005-0000-0000-0000E64E0000}"/>
    <cellStyle name="Normal 178 2 4" xfId="20479" xr:uid="{00000000-0005-0000-0000-0000E74E0000}"/>
    <cellStyle name="Normal 178 2 4 2" xfId="20480" xr:uid="{00000000-0005-0000-0000-0000E84E0000}"/>
    <cellStyle name="Normal 178 2 4 3" xfId="20481" xr:uid="{00000000-0005-0000-0000-0000E94E0000}"/>
    <cellStyle name="Normal 178 2 5" xfId="20482" xr:uid="{00000000-0005-0000-0000-0000EA4E0000}"/>
    <cellStyle name="Normal 178 2 5 2" xfId="20483" xr:uid="{00000000-0005-0000-0000-0000EB4E0000}"/>
    <cellStyle name="Normal 178 2 5 3" xfId="20484" xr:uid="{00000000-0005-0000-0000-0000EC4E0000}"/>
    <cellStyle name="Normal 178 2 6" xfId="20485" xr:uid="{00000000-0005-0000-0000-0000ED4E0000}"/>
    <cellStyle name="Normal 178 2 7" xfId="20486" xr:uid="{00000000-0005-0000-0000-0000EE4E0000}"/>
    <cellStyle name="Normal 178 2 8" xfId="20487" xr:uid="{00000000-0005-0000-0000-0000EF4E0000}"/>
    <cellStyle name="Normal 178 2 9" xfId="20488" xr:uid="{00000000-0005-0000-0000-0000F04E0000}"/>
    <cellStyle name="Normal 178 3" xfId="20489" xr:uid="{00000000-0005-0000-0000-0000F14E0000}"/>
    <cellStyle name="Normal 178 3 2" xfId="20490" xr:uid="{00000000-0005-0000-0000-0000F24E0000}"/>
    <cellStyle name="Normal 178 3 2 2" xfId="20491" xr:uid="{00000000-0005-0000-0000-0000F34E0000}"/>
    <cellStyle name="Normal 178 3 2 2 2" xfId="20492" xr:uid="{00000000-0005-0000-0000-0000F44E0000}"/>
    <cellStyle name="Normal 178 3 2 2 3" xfId="20493" xr:uid="{00000000-0005-0000-0000-0000F54E0000}"/>
    <cellStyle name="Normal 178 3 2 3" xfId="20494" xr:uid="{00000000-0005-0000-0000-0000F64E0000}"/>
    <cellStyle name="Normal 178 3 2 3 2" xfId="20495" xr:uid="{00000000-0005-0000-0000-0000F74E0000}"/>
    <cellStyle name="Normal 178 3 2 3 3" xfId="20496" xr:uid="{00000000-0005-0000-0000-0000F84E0000}"/>
    <cellStyle name="Normal 178 3 2 4" xfId="20497" xr:uid="{00000000-0005-0000-0000-0000F94E0000}"/>
    <cellStyle name="Normal 178 3 2 5" xfId="20498" xr:uid="{00000000-0005-0000-0000-0000FA4E0000}"/>
    <cellStyle name="Normal 178 3 2 6" xfId="20499" xr:uid="{00000000-0005-0000-0000-0000FB4E0000}"/>
    <cellStyle name="Normal 178 3 3" xfId="20500" xr:uid="{00000000-0005-0000-0000-0000FC4E0000}"/>
    <cellStyle name="Normal 178 3 3 2" xfId="20501" xr:uid="{00000000-0005-0000-0000-0000FD4E0000}"/>
    <cellStyle name="Normal 178 3 3 3" xfId="20502" xr:uid="{00000000-0005-0000-0000-0000FE4E0000}"/>
    <cellStyle name="Normal 178 3 4" xfId="20503" xr:uid="{00000000-0005-0000-0000-0000FF4E0000}"/>
    <cellStyle name="Normal 178 3 4 2" xfId="20504" xr:uid="{00000000-0005-0000-0000-0000004F0000}"/>
    <cellStyle name="Normal 178 3 4 3" xfId="20505" xr:uid="{00000000-0005-0000-0000-0000014F0000}"/>
    <cellStyle name="Normal 178 3 5" xfId="20506" xr:uid="{00000000-0005-0000-0000-0000024F0000}"/>
    <cellStyle name="Normal 178 3 6" xfId="20507" xr:uid="{00000000-0005-0000-0000-0000034F0000}"/>
    <cellStyle name="Normal 178 3 7" xfId="20508" xr:uid="{00000000-0005-0000-0000-0000044F0000}"/>
    <cellStyle name="Normal 178 3 8" xfId="20509" xr:uid="{00000000-0005-0000-0000-0000054F0000}"/>
    <cellStyle name="Normal 178 4" xfId="20510" xr:uid="{00000000-0005-0000-0000-0000064F0000}"/>
    <cellStyle name="Normal 178 4 2" xfId="20511" xr:uid="{00000000-0005-0000-0000-0000074F0000}"/>
    <cellStyle name="Normal 178 4 2 2" xfId="20512" xr:uid="{00000000-0005-0000-0000-0000084F0000}"/>
    <cellStyle name="Normal 178 4 2 3" xfId="20513" xr:uid="{00000000-0005-0000-0000-0000094F0000}"/>
    <cellStyle name="Normal 178 4 3" xfId="20514" xr:uid="{00000000-0005-0000-0000-00000A4F0000}"/>
    <cellStyle name="Normal 178 4 3 2" xfId="20515" xr:uid="{00000000-0005-0000-0000-00000B4F0000}"/>
    <cellStyle name="Normal 178 4 3 3" xfId="20516" xr:uid="{00000000-0005-0000-0000-00000C4F0000}"/>
    <cellStyle name="Normal 178 4 4" xfId="20517" xr:uid="{00000000-0005-0000-0000-00000D4F0000}"/>
    <cellStyle name="Normal 178 4 5" xfId="20518" xr:uid="{00000000-0005-0000-0000-00000E4F0000}"/>
    <cellStyle name="Normal 178 4 6" xfId="20519" xr:uid="{00000000-0005-0000-0000-00000F4F0000}"/>
    <cellStyle name="Normal 178 5" xfId="20520" xr:uid="{00000000-0005-0000-0000-0000104F0000}"/>
    <cellStyle name="Normal 178 5 2" xfId="20521" xr:uid="{00000000-0005-0000-0000-0000114F0000}"/>
    <cellStyle name="Normal 178 5 3" xfId="20522" xr:uid="{00000000-0005-0000-0000-0000124F0000}"/>
    <cellStyle name="Normal 178 6" xfId="20523" xr:uid="{00000000-0005-0000-0000-0000134F0000}"/>
    <cellStyle name="Normal 178 6 2" xfId="20524" xr:uid="{00000000-0005-0000-0000-0000144F0000}"/>
    <cellStyle name="Normal 178 6 3" xfId="20525" xr:uid="{00000000-0005-0000-0000-0000154F0000}"/>
    <cellStyle name="Normal 178 7" xfId="20526" xr:uid="{00000000-0005-0000-0000-0000164F0000}"/>
    <cellStyle name="Normal 178 8" xfId="20527" xr:uid="{00000000-0005-0000-0000-0000174F0000}"/>
    <cellStyle name="Normal 178 9" xfId="20528" xr:uid="{00000000-0005-0000-0000-0000184F0000}"/>
    <cellStyle name="Normal 179" xfId="2171" xr:uid="{00000000-0005-0000-0000-0000194F0000}"/>
    <cellStyle name="Normal 179 10" xfId="20529" xr:uid="{00000000-0005-0000-0000-00001A4F0000}"/>
    <cellStyle name="Normal 179 11" xfId="20530" xr:uid="{00000000-0005-0000-0000-00001B4F0000}"/>
    <cellStyle name="Normal 179 12" xfId="20531" xr:uid="{00000000-0005-0000-0000-00001C4F0000}"/>
    <cellStyle name="Normal 179 2" xfId="20532" xr:uid="{00000000-0005-0000-0000-00001D4F0000}"/>
    <cellStyle name="Normal 179 2 10" xfId="20533" xr:uid="{00000000-0005-0000-0000-00001E4F0000}"/>
    <cellStyle name="Normal 179 2 2" xfId="20534" xr:uid="{00000000-0005-0000-0000-00001F4F0000}"/>
    <cellStyle name="Normal 179 2 2 2" xfId="20535" xr:uid="{00000000-0005-0000-0000-0000204F0000}"/>
    <cellStyle name="Normal 179 2 2 2 2" xfId="20536" xr:uid="{00000000-0005-0000-0000-0000214F0000}"/>
    <cellStyle name="Normal 179 2 2 2 2 2" xfId="20537" xr:uid="{00000000-0005-0000-0000-0000224F0000}"/>
    <cellStyle name="Normal 179 2 2 2 2 3" xfId="20538" xr:uid="{00000000-0005-0000-0000-0000234F0000}"/>
    <cellStyle name="Normal 179 2 2 2 3" xfId="20539" xr:uid="{00000000-0005-0000-0000-0000244F0000}"/>
    <cellStyle name="Normal 179 2 2 2 3 2" xfId="20540" xr:uid="{00000000-0005-0000-0000-0000254F0000}"/>
    <cellStyle name="Normal 179 2 2 2 3 3" xfId="20541" xr:uid="{00000000-0005-0000-0000-0000264F0000}"/>
    <cellStyle name="Normal 179 2 2 2 4" xfId="20542" xr:uid="{00000000-0005-0000-0000-0000274F0000}"/>
    <cellStyle name="Normal 179 2 2 2 5" xfId="20543" xr:uid="{00000000-0005-0000-0000-0000284F0000}"/>
    <cellStyle name="Normal 179 2 2 2 6" xfId="20544" xr:uid="{00000000-0005-0000-0000-0000294F0000}"/>
    <cellStyle name="Normal 179 2 2 3" xfId="20545" xr:uid="{00000000-0005-0000-0000-00002A4F0000}"/>
    <cellStyle name="Normal 179 2 2 3 2" xfId="20546" xr:uid="{00000000-0005-0000-0000-00002B4F0000}"/>
    <cellStyle name="Normal 179 2 2 3 3" xfId="20547" xr:uid="{00000000-0005-0000-0000-00002C4F0000}"/>
    <cellStyle name="Normal 179 2 2 4" xfId="20548" xr:uid="{00000000-0005-0000-0000-00002D4F0000}"/>
    <cellStyle name="Normal 179 2 2 4 2" xfId="20549" xr:uid="{00000000-0005-0000-0000-00002E4F0000}"/>
    <cellStyle name="Normal 179 2 2 4 3" xfId="20550" xr:uid="{00000000-0005-0000-0000-00002F4F0000}"/>
    <cellStyle name="Normal 179 2 2 5" xfId="20551" xr:uid="{00000000-0005-0000-0000-0000304F0000}"/>
    <cellStyle name="Normal 179 2 2 6" xfId="20552" xr:uid="{00000000-0005-0000-0000-0000314F0000}"/>
    <cellStyle name="Normal 179 2 2 7" xfId="20553" xr:uid="{00000000-0005-0000-0000-0000324F0000}"/>
    <cellStyle name="Normal 179 2 2 8" xfId="20554" xr:uid="{00000000-0005-0000-0000-0000334F0000}"/>
    <cellStyle name="Normal 179 2 3" xfId="20555" xr:uid="{00000000-0005-0000-0000-0000344F0000}"/>
    <cellStyle name="Normal 179 2 3 2" xfId="20556" xr:uid="{00000000-0005-0000-0000-0000354F0000}"/>
    <cellStyle name="Normal 179 2 3 2 2" xfId="20557" xr:uid="{00000000-0005-0000-0000-0000364F0000}"/>
    <cellStyle name="Normal 179 2 3 2 3" xfId="20558" xr:uid="{00000000-0005-0000-0000-0000374F0000}"/>
    <cellStyle name="Normal 179 2 3 3" xfId="20559" xr:uid="{00000000-0005-0000-0000-0000384F0000}"/>
    <cellStyle name="Normal 179 2 3 3 2" xfId="20560" xr:uid="{00000000-0005-0000-0000-0000394F0000}"/>
    <cellStyle name="Normal 179 2 3 3 3" xfId="20561" xr:uid="{00000000-0005-0000-0000-00003A4F0000}"/>
    <cellStyle name="Normal 179 2 3 4" xfId="20562" xr:uid="{00000000-0005-0000-0000-00003B4F0000}"/>
    <cellStyle name="Normal 179 2 3 5" xfId="20563" xr:uid="{00000000-0005-0000-0000-00003C4F0000}"/>
    <cellStyle name="Normal 179 2 3 6" xfId="20564" xr:uid="{00000000-0005-0000-0000-00003D4F0000}"/>
    <cellStyle name="Normal 179 2 4" xfId="20565" xr:uid="{00000000-0005-0000-0000-00003E4F0000}"/>
    <cellStyle name="Normal 179 2 4 2" xfId="20566" xr:uid="{00000000-0005-0000-0000-00003F4F0000}"/>
    <cellStyle name="Normal 179 2 4 3" xfId="20567" xr:uid="{00000000-0005-0000-0000-0000404F0000}"/>
    <cellStyle name="Normal 179 2 5" xfId="20568" xr:uid="{00000000-0005-0000-0000-0000414F0000}"/>
    <cellStyle name="Normal 179 2 5 2" xfId="20569" xr:uid="{00000000-0005-0000-0000-0000424F0000}"/>
    <cellStyle name="Normal 179 2 5 3" xfId="20570" xr:uid="{00000000-0005-0000-0000-0000434F0000}"/>
    <cellStyle name="Normal 179 2 6" xfId="20571" xr:uid="{00000000-0005-0000-0000-0000444F0000}"/>
    <cellStyle name="Normal 179 2 7" xfId="20572" xr:uid="{00000000-0005-0000-0000-0000454F0000}"/>
    <cellStyle name="Normal 179 2 8" xfId="20573" xr:uid="{00000000-0005-0000-0000-0000464F0000}"/>
    <cellStyle name="Normal 179 2 9" xfId="20574" xr:uid="{00000000-0005-0000-0000-0000474F0000}"/>
    <cellStyle name="Normal 179 3" xfId="20575" xr:uid="{00000000-0005-0000-0000-0000484F0000}"/>
    <cellStyle name="Normal 179 3 2" xfId="20576" xr:uid="{00000000-0005-0000-0000-0000494F0000}"/>
    <cellStyle name="Normal 179 3 2 2" xfId="20577" xr:uid="{00000000-0005-0000-0000-00004A4F0000}"/>
    <cellStyle name="Normal 179 3 2 2 2" xfId="20578" xr:uid="{00000000-0005-0000-0000-00004B4F0000}"/>
    <cellStyle name="Normal 179 3 2 2 3" xfId="20579" xr:uid="{00000000-0005-0000-0000-00004C4F0000}"/>
    <cellStyle name="Normal 179 3 2 3" xfId="20580" xr:uid="{00000000-0005-0000-0000-00004D4F0000}"/>
    <cellStyle name="Normal 179 3 2 3 2" xfId="20581" xr:uid="{00000000-0005-0000-0000-00004E4F0000}"/>
    <cellStyle name="Normal 179 3 2 3 3" xfId="20582" xr:uid="{00000000-0005-0000-0000-00004F4F0000}"/>
    <cellStyle name="Normal 179 3 2 4" xfId="20583" xr:uid="{00000000-0005-0000-0000-0000504F0000}"/>
    <cellStyle name="Normal 179 3 2 5" xfId="20584" xr:uid="{00000000-0005-0000-0000-0000514F0000}"/>
    <cellStyle name="Normal 179 3 2 6" xfId="20585" xr:uid="{00000000-0005-0000-0000-0000524F0000}"/>
    <cellStyle name="Normal 179 3 3" xfId="20586" xr:uid="{00000000-0005-0000-0000-0000534F0000}"/>
    <cellStyle name="Normal 179 3 3 2" xfId="20587" xr:uid="{00000000-0005-0000-0000-0000544F0000}"/>
    <cellStyle name="Normal 179 3 3 3" xfId="20588" xr:uid="{00000000-0005-0000-0000-0000554F0000}"/>
    <cellStyle name="Normal 179 3 4" xfId="20589" xr:uid="{00000000-0005-0000-0000-0000564F0000}"/>
    <cellStyle name="Normal 179 3 4 2" xfId="20590" xr:uid="{00000000-0005-0000-0000-0000574F0000}"/>
    <cellStyle name="Normal 179 3 4 3" xfId="20591" xr:uid="{00000000-0005-0000-0000-0000584F0000}"/>
    <cellStyle name="Normal 179 3 5" xfId="20592" xr:uid="{00000000-0005-0000-0000-0000594F0000}"/>
    <cellStyle name="Normal 179 3 6" xfId="20593" xr:uid="{00000000-0005-0000-0000-00005A4F0000}"/>
    <cellStyle name="Normal 179 3 7" xfId="20594" xr:uid="{00000000-0005-0000-0000-00005B4F0000}"/>
    <cellStyle name="Normal 179 3 8" xfId="20595" xr:uid="{00000000-0005-0000-0000-00005C4F0000}"/>
    <cellStyle name="Normal 179 4" xfId="20596" xr:uid="{00000000-0005-0000-0000-00005D4F0000}"/>
    <cellStyle name="Normal 179 4 2" xfId="20597" xr:uid="{00000000-0005-0000-0000-00005E4F0000}"/>
    <cellStyle name="Normal 179 4 2 2" xfId="20598" xr:uid="{00000000-0005-0000-0000-00005F4F0000}"/>
    <cellStyle name="Normal 179 4 2 3" xfId="20599" xr:uid="{00000000-0005-0000-0000-0000604F0000}"/>
    <cellStyle name="Normal 179 4 3" xfId="20600" xr:uid="{00000000-0005-0000-0000-0000614F0000}"/>
    <cellStyle name="Normal 179 4 3 2" xfId="20601" xr:uid="{00000000-0005-0000-0000-0000624F0000}"/>
    <cellStyle name="Normal 179 4 3 3" xfId="20602" xr:uid="{00000000-0005-0000-0000-0000634F0000}"/>
    <cellStyle name="Normal 179 4 4" xfId="20603" xr:uid="{00000000-0005-0000-0000-0000644F0000}"/>
    <cellStyle name="Normal 179 4 5" xfId="20604" xr:uid="{00000000-0005-0000-0000-0000654F0000}"/>
    <cellStyle name="Normal 179 4 6" xfId="20605" xr:uid="{00000000-0005-0000-0000-0000664F0000}"/>
    <cellStyle name="Normal 179 5" xfId="20606" xr:uid="{00000000-0005-0000-0000-0000674F0000}"/>
    <cellStyle name="Normal 179 5 2" xfId="20607" xr:uid="{00000000-0005-0000-0000-0000684F0000}"/>
    <cellStyle name="Normal 179 5 3" xfId="20608" xr:uid="{00000000-0005-0000-0000-0000694F0000}"/>
    <cellStyle name="Normal 179 6" xfId="20609" xr:uid="{00000000-0005-0000-0000-00006A4F0000}"/>
    <cellStyle name="Normal 179 6 2" xfId="20610" xr:uid="{00000000-0005-0000-0000-00006B4F0000}"/>
    <cellStyle name="Normal 179 6 3" xfId="20611" xr:uid="{00000000-0005-0000-0000-00006C4F0000}"/>
    <cellStyle name="Normal 179 7" xfId="20612" xr:uid="{00000000-0005-0000-0000-00006D4F0000}"/>
    <cellStyle name="Normal 179 8" xfId="20613" xr:uid="{00000000-0005-0000-0000-00006E4F0000}"/>
    <cellStyle name="Normal 179 9" xfId="20614" xr:uid="{00000000-0005-0000-0000-00006F4F0000}"/>
    <cellStyle name="Normal 18" xfId="2172" xr:uid="{00000000-0005-0000-0000-0000704F0000}"/>
    <cellStyle name="Normal 18 2" xfId="2173" xr:uid="{00000000-0005-0000-0000-0000714F0000}"/>
    <cellStyle name="Normal 18 2 2" xfId="54205" xr:uid="{00000000-0005-0000-0000-0000724F0000}"/>
    <cellStyle name="Normal 18 3" xfId="20615" xr:uid="{00000000-0005-0000-0000-0000734F0000}"/>
    <cellStyle name="Normal 18 4" xfId="20616" xr:uid="{00000000-0005-0000-0000-0000744F0000}"/>
    <cellStyle name="Normal 18 4 2" xfId="20617" xr:uid="{00000000-0005-0000-0000-0000754F0000}"/>
    <cellStyle name="Normal 18 5" xfId="20618" xr:uid="{00000000-0005-0000-0000-0000764F0000}"/>
    <cellStyle name="Normal 18 6" xfId="20619" xr:uid="{00000000-0005-0000-0000-0000774F0000}"/>
    <cellStyle name="Normal 18 7" xfId="20620" xr:uid="{00000000-0005-0000-0000-0000784F0000}"/>
    <cellStyle name="Normal 18 8" xfId="20621" xr:uid="{00000000-0005-0000-0000-0000794F0000}"/>
    <cellStyle name="Normal 180" xfId="2174" xr:uid="{00000000-0005-0000-0000-00007A4F0000}"/>
    <cellStyle name="Normal 180 10" xfId="20622" xr:uid="{00000000-0005-0000-0000-00007B4F0000}"/>
    <cellStyle name="Normal 180 11" xfId="20623" xr:uid="{00000000-0005-0000-0000-00007C4F0000}"/>
    <cellStyle name="Normal 180 12" xfId="20624" xr:uid="{00000000-0005-0000-0000-00007D4F0000}"/>
    <cellStyle name="Normal 180 2" xfId="20625" xr:uid="{00000000-0005-0000-0000-00007E4F0000}"/>
    <cellStyle name="Normal 180 2 2" xfId="20626" xr:uid="{00000000-0005-0000-0000-00007F4F0000}"/>
    <cellStyle name="Normal 180 2 2 2" xfId="20627" xr:uid="{00000000-0005-0000-0000-0000804F0000}"/>
    <cellStyle name="Normal 180 2 2 2 2" xfId="20628" xr:uid="{00000000-0005-0000-0000-0000814F0000}"/>
    <cellStyle name="Normal 180 2 2 2 2 2" xfId="20629" xr:uid="{00000000-0005-0000-0000-0000824F0000}"/>
    <cellStyle name="Normal 180 2 2 2 2 3" xfId="20630" xr:uid="{00000000-0005-0000-0000-0000834F0000}"/>
    <cellStyle name="Normal 180 2 2 2 3" xfId="20631" xr:uid="{00000000-0005-0000-0000-0000844F0000}"/>
    <cellStyle name="Normal 180 2 2 2 3 2" xfId="20632" xr:uid="{00000000-0005-0000-0000-0000854F0000}"/>
    <cellStyle name="Normal 180 2 2 2 3 3" xfId="20633" xr:uid="{00000000-0005-0000-0000-0000864F0000}"/>
    <cellStyle name="Normal 180 2 2 2 4" xfId="20634" xr:uid="{00000000-0005-0000-0000-0000874F0000}"/>
    <cellStyle name="Normal 180 2 2 2 5" xfId="20635" xr:uid="{00000000-0005-0000-0000-0000884F0000}"/>
    <cellStyle name="Normal 180 2 2 2 6" xfId="20636" xr:uid="{00000000-0005-0000-0000-0000894F0000}"/>
    <cellStyle name="Normal 180 2 2 3" xfId="20637" xr:uid="{00000000-0005-0000-0000-00008A4F0000}"/>
    <cellStyle name="Normal 180 2 2 3 2" xfId="20638" xr:uid="{00000000-0005-0000-0000-00008B4F0000}"/>
    <cellStyle name="Normal 180 2 2 3 3" xfId="20639" xr:uid="{00000000-0005-0000-0000-00008C4F0000}"/>
    <cellStyle name="Normal 180 2 2 4" xfId="20640" xr:uid="{00000000-0005-0000-0000-00008D4F0000}"/>
    <cellStyle name="Normal 180 2 2 4 2" xfId="20641" xr:uid="{00000000-0005-0000-0000-00008E4F0000}"/>
    <cellStyle name="Normal 180 2 2 4 3" xfId="20642" xr:uid="{00000000-0005-0000-0000-00008F4F0000}"/>
    <cellStyle name="Normal 180 2 2 5" xfId="20643" xr:uid="{00000000-0005-0000-0000-0000904F0000}"/>
    <cellStyle name="Normal 180 2 2 6" xfId="20644" xr:uid="{00000000-0005-0000-0000-0000914F0000}"/>
    <cellStyle name="Normal 180 2 2 7" xfId="20645" xr:uid="{00000000-0005-0000-0000-0000924F0000}"/>
    <cellStyle name="Normal 180 2 2 8" xfId="20646" xr:uid="{00000000-0005-0000-0000-0000934F0000}"/>
    <cellStyle name="Normal 180 2 3" xfId="20647" xr:uid="{00000000-0005-0000-0000-0000944F0000}"/>
    <cellStyle name="Normal 180 2 3 2" xfId="20648" xr:uid="{00000000-0005-0000-0000-0000954F0000}"/>
    <cellStyle name="Normal 180 2 3 2 2" xfId="20649" xr:uid="{00000000-0005-0000-0000-0000964F0000}"/>
    <cellStyle name="Normal 180 2 3 2 3" xfId="20650" xr:uid="{00000000-0005-0000-0000-0000974F0000}"/>
    <cellStyle name="Normal 180 2 3 3" xfId="20651" xr:uid="{00000000-0005-0000-0000-0000984F0000}"/>
    <cellStyle name="Normal 180 2 3 3 2" xfId="20652" xr:uid="{00000000-0005-0000-0000-0000994F0000}"/>
    <cellStyle name="Normal 180 2 3 3 3" xfId="20653" xr:uid="{00000000-0005-0000-0000-00009A4F0000}"/>
    <cellStyle name="Normal 180 2 3 4" xfId="20654" xr:uid="{00000000-0005-0000-0000-00009B4F0000}"/>
    <cellStyle name="Normal 180 2 3 5" xfId="20655" xr:uid="{00000000-0005-0000-0000-00009C4F0000}"/>
    <cellStyle name="Normal 180 2 3 6" xfId="20656" xr:uid="{00000000-0005-0000-0000-00009D4F0000}"/>
    <cellStyle name="Normal 180 2 4" xfId="20657" xr:uid="{00000000-0005-0000-0000-00009E4F0000}"/>
    <cellStyle name="Normal 180 2 4 2" xfId="20658" xr:uid="{00000000-0005-0000-0000-00009F4F0000}"/>
    <cellStyle name="Normal 180 2 4 3" xfId="20659" xr:uid="{00000000-0005-0000-0000-0000A04F0000}"/>
    <cellStyle name="Normal 180 2 5" xfId="20660" xr:uid="{00000000-0005-0000-0000-0000A14F0000}"/>
    <cellStyle name="Normal 180 2 5 2" xfId="20661" xr:uid="{00000000-0005-0000-0000-0000A24F0000}"/>
    <cellStyle name="Normal 180 2 5 3" xfId="20662" xr:uid="{00000000-0005-0000-0000-0000A34F0000}"/>
    <cellStyle name="Normal 180 2 6" xfId="20663" xr:uid="{00000000-0005-0000-0000-0000A44F0000}"/>
    <cellStyle name="Normal 180 2 7" xfId="20664" xr:uid="{00000000-0005-0000-0000-0000A54F0000}"/>
    <cellStyle name="Normal 180 2 8" xfId="20665" xr:uid="{00000000-0005-0000-0000-0000A64F0000}"/>
    <cellStyle name="Normal 180 2 9" xfId="20666" xr:uid="{00000000-0005-0000-0000-0000A74F0000}"/>
    <cellStyle name="Normal 180 3" xfId="20667" xr:uid="{00000000-0005-0000-0000-0000A84F0000}"/>
    <cellStyle name="Normal 180 3 2" xfId="20668" xr:uid="{00000000-0005-0000-0000-0000A94F0000}"/>
    <cellStyle name="Normal 180 3 2 2" xfId="20669" xr:uid="{00000000-0005-0000-0000-0000AA4F0000}"/>
    <cellStyle name="Normal 180 3 2 2 2" xfId="20670" xr:uid="{00000000-0005-0000-0000-0000AB4F0000}"/>
    <cellStyle name="Normal 180 3 2 2 3" xfId="20671" xr:uid="{00000000-0005-0000-0000-0000AC4F0000}"/>
    <cellStyle name="Normal 180 3 2 3" xfId="20672" xr:uid="{00000000-0005-0000-0000-0000AD4F0000}"/>
    <cellStyle name="Normal 180 3 2 3 2" xfId="20673" xr:uid="{00000000-0005-0000-0000-0000AE4F0000}"/>
    <cellStyle name="Normal 180 3 2 3 3" xfId="20674" xr:uid="{00000000-0005-0000-0000-0000AF4F0000}"/>
    <cellStyle name="Normal 180 3 2 4" xfId="20675" xr:uid="{00000000-0005-0000-0000-0000B04F0000}"/>
    <cellStyle name="Normal 180 3 2 5" xfId="20676" xr:uid="{00000000-0005-0000-0000-0000B14F0000}"/>
    <cellStyle name="Normal 180 3 2 6" xfId="20677" xr:uid="{00000000-0005-0000-0000-0000B24F0000}"/>
    <cellStyle name="Normal 180 3 3" xfId="20678" xr:uid="{00000000-0005-0000-0000-0000B34F0000}"/>
    <cellStyle name="Normal 180 3 3 2" xfId="20679" xr:uid="{00000000-0005-0000-0000-0000B44F0000}"/>
    <cellStyle name="Normal 180 3 3 3" xfId="20680" xr:uid="{00000000-0005-0000-0000-0000B54F0000}"/>
    <cellStyle name="Normal 180 3 4" xfId="20681" xr:uid="{00000000-0005-0000-0000-0000B64F0000}"/>
    <cellStyle name="Normal 180 3 4 2" xfId="20682" xr:uid="{00000000-0005-0000-0000-0000B74F0000}"/>
    <cellStyle name="Normal 180 3 4 3" xfId="20683" xr:uid="{00000000-0005-0000-0000-0000B84F0000}"/>
    <cellStyle name="Normal 180 3 5" xfId="20684" xr:uid="{00000000-0005-0000-0000-0000B94F0000}"/>
    <cellStyle name="Normal 180 3 6" xfId="20685" xr:uid="{00000000-0005-0000-0000-0000BA4F0000}"/>
    <cellStyle name="Normal 180 3 7" xfId="20686" xr:uid="{00000000-0005-0000-0000-0000BB4F0000}"/>
    <cellStyle name="Normal 180 3 8" xfId="20687" xr:uid="{00000000-0005-0000-0000-0000BC4F0000}"/>
    <cellStyle name="Normal 180 4" xfId="20688" xr:uid="{00000000-0005-0000-0000-0000BD4F0000}"/>
    <cellStyle name="Normal 180 4 2" xfId="20689" xr:uid="{00000000-0005-0000-0000-0000BE4F0000}"/>
    <cellStyle name="Normal 180 4 2 2" xfId="20690" xr:uid="{00000000-0005-0000-0000-0000BF4F0000}"/>
    <cellStyle name="Normal 180 4 2 3" xfId="20691" xr:uid="{00000000-0005-0000-0000-0000C04F0000}"/>
    <cellStyle name="Normal 180 4 3" xfId="20692" xr:uid="{00000000-0005-0000-0000-0000C14F0000}"/>
    <cellStyle name="Normal 180 4 3 2" xfId="20693" xr:uid="{00000000-0005-0000-0000-0000C24F0000}"/>
    <cellStyle name="Normal 180 4 3 3" xfId="20694" xr:uid="{00000000-0005-0000-0000-0000C34F0000}"/>
    <cellStyle name="Normal 180 4 4" xfId="20695" xr:uid="{00000000-0005-0000-0000-0000C44F0000}"/>
    <cellStyle name="Normal 180 4 5" xfId="20696" xr:uid="{00000000-0005-0000-0000-0000C54F0000}"/>
    <cellStyle name="Normal 180 4 6" xfId="20697" xr:uid="{00000000-0005-0000-0000-0000C64F0000}"/>
    <cellStyle name="Normal 180 5" xfId="20698" xr:uid="{00000000-0005-0000-0000-0000C74F0000}"/>
    <cellStyle name="Normal 180 5 2" xfId="20699" xr:uid="{00000000-0005-0000-0000-0000C84F0000}"/>
    <cellStyle name="Normal 180 5 3" xfId="20700" xr:uid="{00000000-0005-0000-0000-0000C94F0000}"/>
    <cellStyle name="Normal 180 6" xfId="20701" xr:uid="{00000000-0005-0000-0000-0000CA4F0000}"/>
    <cellStyle name="Normal 180 6 2" xfId="20702" xr:uid="{00000000-0005-0000-0000-0000CB4F0000}"/>
    <cellStyle name="Normal 180 6 3" xfId="20703" xr:uid="{00000000-0005-0000-0000-0000CC4F0000}"/>
    <cellStyle name="Normal 180 7" xfId="20704" xr:uid="{00000000-0005-0000-0000-0000CD4F0000}"/>
    <cellStyle name="Normal 180 8" xfId="20705" xr:uid="{00000000-0005-0000-0000-0000CE4F0000}"/>
    <cellStyle name="Normal 180 9" xfId="20706" xr:uid="{00000000-0005-0000-0000-0000CF4F0000}"/>
    <cellStyle name="Normal 181" xfId="2175" xr:uid="{00000000-0005-0000-0000-0000D04F0000}"/>
    <cellStyle name="Normal 181 10" xfId="20707" xr:uid="{00000000-0005-0000-0000-0000D14F0000}"/>
    <cellStyle name="Normal 181 11" xfId="20708" xr:uid="{00000000-0005-0000-0000-0000D24F0000}"/>
    <cellStyle name="Normal 181 12" xfId="20709" xr:uid="{00000000-0005-0000-0000-0000D34F0000}"/>
    <cellStyle name="Normal 181 2" xfId="20710" xr:uid="{00000000-0005-0000-0000-0000D44F0000}"/>
    <cellStyle name="Normal 181 2 2" xfId="20711" xr:uid="{00000000-0005-0000-0000-0000D54F0000}"/>
    <cellStyle name="Normal 181 2 2 2" xfId="20712" xr:uid="{00000000-0005-0000-0000-0000D64F0000}"/>
    <cellStyle name="Normal 181 2 2 2 2" xfId="20713" xr:uid="{00000000-0005-0000-0000-0000D74F0000}"/>
    <cellStyle name="Normal 181 2 2 2 2 2" xfId="20714" xr:uid="{00000000-0005-0000-0000-0000D84F0000}"/>
    <cellStyle name="Normal 181 2 2 2 2 3" xfId="20715" xr:uid="{00000000-0005-0000-0000-0000D94F0000}"/>
    <cellStyle name="Normal 181 2 2 2 3" xfId="20716" xr:uid="{00000000-0005-0000-0000-0000DA4F0000}"/>
    <cellStyle name="Normal 181 2 2 2 3 2" xfId="20717" xr:uid="{00000000-0005-0000-0000-0000DB4F0000}"/>
    <cellStyle name="Normal 181 2 2 2 3 3" xfId="20718" xr:uid="{00000000-0005-0000-0000-0000DC4F0000}"/>
    <cellStyle name="Normal 181 2 2 2 4" xfId="20719" xr:uid="{00000000-0005-0000-0000-0000DD4F0000}"/>
    <cellStyle name="Normal 181 2 2 2 5" xfId="20720" xr:uid="{00000000-0005-0000-0000-0000DE4F0000}"/>
    <cellStyle name="Normal 181 2 2 2 6" xfId="20721" xr:uid="{00000000-0005-0000-0000-0000DF4F0000}"/>
    <cellStyle name="Normal 181 2 2 3" xfId="20722" xr:uid="{00000000-0005-0000-0000-0000E04F0000}"/>
    <cellStyle name="Normal 181 2 2 3 2" xfId="20723" xr:uid="{00000000-0005-0000-0000-0000E14F0000}"/>
    <cellStyle name="Normal 181 2 2 3 3" xfId="20724" xr:uid="{00000000-0005-0000-0000-0000E24F0000}"/>
    <cellStyle name="Normal 181 2 2 4" xfId="20725" xr:uid="{00000000-0005-0000-0000-0000E34F0000}"/>
    <cellStyle name="Normal 181 2 2 4 2" xfId="20726" xr:uid="{00000000-0005-0000-0000-0000E44F0000}"/>
    <cellStyle name="Normal 181 2 2 4 3" xfId="20727" xr:uid="{00000000-0005-0000-0000-0000E54F0000}"/>
    <cellStyle name="Normal 181 2 2 5" xfId="20728" xr:uid="{00000000-0005-0000-0000-0000E64F0000}"/>
    <cellStyle name="Normal 181 2 2 6" xfId="20729" xr:uid="{00000000-0005-0000-0000-0000E74F0000}"/>
    <cellStyle name="Normal 181 2 2 7" xfId="20730" xr:uid="{00000000-0005-0000-0000-0000E84F0000}"/>
    <cellStyle name="Normal 181 2 2 8" xfId="20731" xr:uid="{00000000-0005-0000-0000-0000E94F0000}"/>
    <cellStyle name="Normal 181 2 3" xfId="20732" xr:uid="{00000000-0005-0000-0000-0000EA4F0000}"/>
    <cellStyle name="Normal 181 2 3 2" xfId="20733" xr:uid="{00000000-0005-0000-0000-0000EB4F0000}"/>
    <cellStyle name="Normal 181 2 3 2 2" xfId="20734" xr:uid="{00000000-0005-0000-0000-0000EC4F0000}"/>
    <cellStyle name="Normal 181 2 3 2 3" xfId="20735" xr:uid="{00000000-0005-0000-0000-0000ED4F0000}"/>
    <cellStyle name="Normal 181 2 3 3" xfId="20736" xr:uid="{00000000-0005-0000-0000-0000EE4F0000}"/>
    <cellStyle name="Normal 181 2 3 3 2" xfId="20737" xr:uid="{00000000-0005-0000-0000-0000EF4F0000}"/>
    <cellStyle name="Normal 181 2 3 3 3" xfId="20738" xr:uid="{00000000-0005-0000-0000-0000F04F0000}"/>
    <cellStyle name="Normal 181 2 3 4" xfId="20739" xr:uid="{00000000-0005-0000-0000-0000F14F0000}"/>
    <cellStyle name="Normal 181 2 3 5" xfId="20740" xr:uid="{00000000-0005-0000-0000-0000F24F0000}"/>
    <cellStyle name="Normal 181 2 3 6" xfId="20741" xr:uid="{00000000-0005-0000-0000-0000F34F0000}"/>
    <cellStyle name="Normal 181 2 4" xfId="20742" xr:uid="{00000000-0005-0000-0000-0000F44F0000}"/>
    <cellStyle name="Normal 181 2 4 2" xfId="20743" xr:uid="{00000000-0005-0000-0000-0000F54F0000}"/>
    <cellStyle name="Normal 181 2 4 3" xfId="20744" xr:uid="{00000000-0005-0000-0000-0000F64F0000}"/>
    <cellStyle name="Normal 181 2 5" xfId="20745" xr:uid="{00000000-0005-0000-0000-0000F74F0000}"/>
    <cellStyle name="Normal 181 2 5 2" xfId="20746" xr:uid="{00000000-0005-0000-0000-0000F84F0000}"/>
    <cellStyle name="Normal 181 2 5 3" xfId="20747" xr:uid="{00000000-0005-0000-0000-0000F94F0000}"/>
    <cellStyle name="Normal 181 2 6" xfId="20748" xr:uid="{00000000-0005-0000-0000-0000FA4F0000}"/>
    <cellStyle name="Normal 181 2 7" xfId="20749" xr:uid="{00000000-0005-0000-0000-0000FB4F0000}"/>
    <cellStyle name="Normal 181 2 8" xfId="20750" xr:uid="{00000000-0005-0000-0000-0000FC4F0000}"/>
    <cellStyle name="Normal 181 2 9" xfId="20751" xr:uid="{00000000-0005-0000-0000-0000FD4F0000}"/>
    <cellStyle name="Normal 181 3" xfId="20752" xr:uid="{00000000-0005-0000-0000-0000FE4F0000}"/>
    <cellStyle name="Normal 181 3 2" xfId="20753" xr:uid="{00000000-0005-0000-0000-0000FF4F0000}"/>
    <cellStyle name="Normal 181 3 2 2" xfId="20754" xr:uid="{00000000-0005-0000-0000-000000500000}"/>
    <cellStyle name="Normal 181 3 2 2 2" xfId="20755" xr:uid="{00000000-0005-0000-0000-000001500000}"/>
    <cellStyle name="Normal 181 3 2 2 3" xfId="20756" xr:uid="{00000000-0005-0000-0000-000002500000}"/>
    <cellStyle name="Normal 181 3 2 3" xfId="20757" xr:uid="{00000000-0005-0000-0000-000003500000}"/>
    <cellStyle name="Normal 181 3 2 3 2" xfId="20758" xr:uid="{00000000-0005-0000-0000-000004500000}"/>
    <cellStyle name="Normal 181 3 2 3 3" xfId="20759" xr:uid="{00000000-0005-0000-0000-000005500000}"/>
    <cellStyle name="Normal 181 3 2 4" xfId="20760" xr:uid="{00000000-0005-0000-0000-000006500000}"/>
    <cellStyle name="Normal 181 3 2 5" xfId="20761" xr:uid="{00000000-0005-0000-0000-000007500000}"/>
    <cellStyle name="Normal 181 3 2 6" xfId="20762" xr:uid="{00000000-0005-0000-0000-000008500000}"/>
    <cellStyle name="Normal 181 3 3" xfId="20763" xr:uid="{00000000-0005-0000-0000-000009500000}"/>
    <cellStyle name="Normal 181 3 3 2" xfId="20764" xr:uid="{00000000-0005-0000-0000-00000A500000}"/>
    <cellStyle name="Normal 181 3 3 3" xfId="20765" xr:uid="{00000000-0005-0000-0000-00000B500000}"/>
    <cellStyle name="Normal 181 3 4" xfId="20766" xr:uid="{00000000-0005-0000-0000-00000C500000}"/>
    <cellStyle name="Normal 181 3 4 2" xfId="20767" xr:uid="{00000000-0005-0000-0000-00000D500000}"/>
    <cellStyle name="Normal 181 3 4 3" xfId="20768" xr:uid="{00000000-0005-0000-0000-00000E500000}"/>
    <cellStyle name="Normal 181 3 5" xfId="20769" xr:uid="{00000000-0005-0000-0000-00000F500000}"/>
    <cellStyle name="Normal 181 3 6" xfId="20770" xr:uid="{00000000-0005-0000-0000-000010500000}"/>
    <cellStyle name="Normal 181 3 7" xfId="20771" xr:uid="{00000000-0005-0000-0000-000011500000}"/>
    <cellStyle name="Normal 181 3 8" xfId="20772" xr:uid="{00000000-0005-0000-0000-000012500000}"/>
    <cellStyle name="Normal 181 4" xfId="20773" xr:uid="{00000000-0005-0000-0000-000013500000}"/>
    <cellStyle name="Normal 181 4 2" xfId="20774" xr:uid="{00000000-0005-0000-0000-000014500000}"/>
    <cellStyle name="Normal 181 4 2 2" xfId="20775" xr:uid="{00000000-0005-0000-0000-000015500000}"/>
    <cellStyle name="Normal 181 4 2 3" xfId="20776" xr:uid="{00000000-0005-0000-0000-000016500000}"/>
    <cellStyle name="Normal 181 4 3" xfId="20777" xr:uid="{00000000-0005-0000-0000-000017500000}"/>
    <cellStyle name="Normal 181 4 3 2" xfId="20778" xr:uid="{00000000-0005-0000-0000-000018500000}"/>
    <cellStyle name="Normal 181 4 3 3" xfId="20779" xr:uid="{00000000-0005-0000-0000-000019500000}"/>
    <cellStyle name="Normal 181 4 4" xfId="20780" xr:uid="{00000000-0005-0000-0000-00001A500000}"/>
    <cellStyle name="Normal 181 4 5" xfId="20781" xr:uid="{00000000-0005-0000-0000-00001B500000}"/>
    <cellStyle name="Normal 181 4 6" xfId="20782" xr:uid="{00000000-0005-0000-0000-00001C500000}"/>
    <cellStyle name="Normal 181 5" xfId="20783" xr:uid="{00000000-0005-0000-0000-00001D500000}"/>
    <cellStyle name="Normal 181 5 2" xfId="20784" xr:uid="{00000000-0005-0000-0000-00001E500000}"/>
    <cellStyle name="Normal 181 5 3" xfId="20785" xr:uid="{00000000-0005-0000-0000-00001F500000}"/>
    <cellStyle name="Normal 181 6" xfId="20786" xr:uid="{00000000-0005-0000-0000-000020500000}"/>
    <cellStyle name="Normal 181 6 2" xfId="20787" xr:uid="{00000000-0005-0000-0000-000021500000}"/>
    <cellStyle name="Normal 181 6 3" xfId="20788" xr:uid="{00000000-0005-0000-0000-000022500000}"/>
    <cellStyle name="Normal 181 7" xfId="20789" xr:uid="{00000000-0005-0000-0000-000023500000}"/>
    <cellStyle name="Normal 181 8" xfId="20790" xr:uid="{00000000-0005-0000-0000-000024500000}"/>
    <cellStyle name="Normal 181 9" xfId="20791" xr:uid="{00000000-0005-0000-0000-000025500000}"/>
    <cellStyle name="Normal 182" xfId="2176" xr:uid="{00000000-0005-0000-0000-000026500000}"/>
    <cellStyle name="Normal 182 10" xfId="20792" xr:uid="{00000000-0005-0000-0000-000027500000}"/>
    <cellStyle name="Normal 182 11" xfId="20793" xr:uid="{00000000-0005-0000-0000-000028500000}"/>
    <cellStyle name="Normal 182 12" xfId="20794" xr:uid="{00000000-0005-0000-0000-000029500000}"/>
    <cellStyle name="Normal 182 2" xfId="20795" xr:uid="{00000000-0005-0000-0000-00002A500000}"/>
    <cellStyle name="Normal 182 2 2" xfId="20796" xr:uid="{00000000-0005-0000-0000-00002B500000}"/>
    <cellStyle name="Normal 182 2 2 2" xfId="20797" xr:uid="{00000000-0005-0000-0000-00002C500000}"/>
    <cellStyle name="Normal 182 2 2 2 2" xfId="20798" xr:uid="{00000000-0005-0000-0000-00002D500000}"/>
    <cellStyle name="Normal 182 2 2 2 2 2" xfId="20799" xr:uid="{00000000-0005-0000-0000-00002E500000}"/>
    <cellStyle name="Normal 182 2 2 2 2 3" xfId="20800" xr:uid="{00000000-0005-0000-0000-00002F500000}"/>
    <cellStyle name="Normal 182 2 2 2 3" xfId="20801" xr:uid="{00000000-0005-0000-0000-000030500000}"/>
    <cellStyle name="Normal 182 2 2 2 3 2" xfId="20802" xr:uid="{00000000-0005-0000-0000-000031500000}"/>
    <cellStyle name="Normal 182 2 2 2 3 3" xfId="20803" xr:uid="{00000000-0005-0000-0000-000032500000}"/>
    <cellStyle name="Normal 182 2 2 2 4" xfId="20804" xr:uid="{00000000-0005-0000-0000-000033500000}"/>
    <cellStyle name="Normal 182 2 2 2 5" xfId="20805" xr:uid="{00000000-0005-0000-0000-000034500000}"/>
    <cellStyle name="Normal 182 2 2 2 6" xfId="20806" xr:uid="{00000000-0005-0000-0000-000035500000}"/>
    <cellStyle name="Normal 182 2 2 3" xfId="20807" xr:uid="{00000000-0005-0000-0000-000036500000}"/>
    <cellStyle name="Normal 182 2 2 3 2" xfId="20808" xr:uid="{00000000-0005-0000-0000-000037500000}"/>
    <cellStyle name="Normal 182 2 2 3 3" xfId="20809" xr:uid="{00000000-0005-0000-0000-000038500000}"/>
    <cellStyle name="Normal 182 2 2 4" xfId="20810" xr:uid="{00000000-0005-0000-0000-000039500000}"/>
    <cellStyle name="Normal 182 2 2 4 2" xfId="20811" xr:uid="{00000000-0005-0000-0000-00003A500000}"/>
    <cellStyle name="Normal 182 2 2 4 3" xfId="20812" xr:uid="{00000000-0005-0000-0000-00003B500000}"/>
    <cellStyle name="Normal 182 2 2 5" xfId="20813" xr:uid="{00000000-0005-0000-0000-00003C500000}"/>
    <cellStyle name="Normal 182 2 2 6" xfId="20814" xr:uid="{00000000-0005-0000-0000-00003D500000}"/>
    <cellStyle name="Normal 182 2 2 7" xfId="20815" xr:uid="{00000000-0005-0000-0000-00003E500000}"/>
    <cellStyle name="Normal 182 2 2 8" xfId="20816" xr:uid="{00000000-0005-0000-0000-00003F500000}"/>
    <cellStyle name="Normal 182 2 3" xfId="20817" xr:uid="{00000000-0005-0000-0000-000040500000}"/>
    <cellStyle name="Normal 182 2 3 2" xfId="20818" xr:uid="{00000000-0005-0000-0000-000041500000}"/>
    <cellStyle name="Normal 182 2 3 2 2" xfId="20819" xr:uid="{00000000-0005-0000-0000-000042500000}"/>
    <cellStyle name="Normal 182 2 3 2 3" xfId="20820" xr:uid="{00000000-0005-0000-0000-000043500000}"/>
    <cellStyle name="Normal 182 2 3 3" xfId="20821" xr:uid="{00000000-0005-0000-0000-000044500000}"/>
    <cellStyle name="Normal 182 2 3 3 2" xfId="20822" xr:uid="{00000000-0005-0000-0000-000045500000}"/>
    <cellStyle name="Normal 182 2 3 3 3" xfId="20823" xr:uid="{00000000-0005-0000-0000-000046500000}"/>
    <cellStyle name="Normal 182 2 3 4" xfId="20824" xr:uid="{00000000-0005-0000-0000-000047500000}"/>
    <cellStyle name="Normal 182 2 3 5" xfId="20825" xr:uid="{00000000-0005-0000-0000-000048500000}"/>
    <cellStyle name="Normal 182 2 3 6" xfId="20826" xr:uid="{00000000-0005-0000-0000-000049500000}"/>
    <cellStyle name="Normal 182 2 4" xfId="20827" xr:uid="{00000000-0005-0000-0000-00004A500000}"/>
    <cellStyle name="Normal 182 2 4 2" xfId="20828" xr:uid="{00000000-0005-0000-0000-00004B500000}"/>
    <cellStyle name="Normal 182 2 4 3" xfId="20829" xr:uid="{00000000-0005-0000-0000-00004C500000}"/>
    <cellStyle name="Normal 182 2 5" xfId="20830" xr:uid="{00000000-0005-0000-0000-00004D500000}"/>
    <cellStyle name="Normal 182 2 5 2" xfId="20831" xr:uid="{00000000-0005-0000-0000-00004E500000}"/>
    <cellStyle name="Normal 182 2 5 3" xfId="20832" xr:uid="{00000000-0005-0000-0000-00004F500000}"/>
    <cellStyle name="Normal 182 2 6" xfId="20833" xr:uid="{00000000-0005-0000-0000-000050500000}"/>
    <cellStyle name="Normal 182 2 7" xfId="20834" xr:uid="{00000000-0005-0000-0000-000051500000}"/>
    <cellStyle name="Normal 182 2 8" xfId="20835" xr:uid="{00000000-0005-0000-0000-000052500000}"/>
    <cellStyle name="Normal 182 2 9" xfId="20836" xr:uid="{00000000-0005-0000-0000-000053500000}"/>
    <cellStyle name="Normal 182 3" xfId="20837" xr:uid="{00000000-0005-0000-0000-000054500000}"/>
    <cellStyle name="Normal 182 3 2" xfId="20838" xr:uid="{00000000-0005-0000-0000-000055500000}"/>
    <cellStyle name="Normal 182 3 2 2" xfId="20839" xr:uid="{00000000-0005-0000-0000-000056500000}"/>
    <cellStyle name="Normal 182 3 2 2 2" xfId="20840" xr:uid="{00000000-0005-0000-0000-000057500000}"/>
    <cellStyle name="Normal 182 3 2 2 3" xfId="20841" xr:uid="{00000000-0005-0000-0000-000058500000}"/>
    <cellStyle name="Normal 182 3 2 3" xfId="20842" xr:uid="{00000000-0005-0000-0000-000059500000}"/>
    <cellStyle name="Normal 182 3 2 3 2" xfId="20843" xr:uid="{00000000-0005-0000-0000-00005A500000}"/>
    <cellStyle name="Normal 182 3 2 3 3" xfId="20844" xr:uid="{00000000-0005-0000-0000-00005B500000}"/>
    <cellStyle name="Normal 182 3 2 4" xfId="20845" xr:uid="{00000000-0005-0000-0000-00005C500000}"/>
    <cellStyle name="Normal 182 3 2 5" xfId="20846" xr:uid="{00000000-0005-0000-0000-00005D500000}"/>
    <cellStyle name="Normal 182 3 2 6" xfId="20847" xr:uid="{00000000-0005-0000-0000-00005E500000}"/>
    <cellStyle name="Normal 182 3 3" xfId="20848" xr:uid="{00000000-0005-0000-0000-00005F500000}"/>
    <cellStyle name="Normal 182 3 3 2" xfId="20849" xr:uid="{00000000-0005-0000-0000-000060500000}"/>
    <cellStyle name="Normal 182 3 3 3" xfId="20850" xr:uid="{00000000-0005-0000-0000-000061500000}"/>
    <cellStyle name="Normal 182 3 4" xfId="20851" xr:uid="{00000000-0005-0000-0000-000062500000}"/>
    <cellStyle name="Normal 182 3 4 2" xfId="20852" xr:uid="{00000000-0005-0000-0000-000063500000}"/>
    <cellStyle name="Normal 182 3 4 3" xfId="20853" xr:uid="{00000000-0005-0000-0000-000064500000}"/>
    <cellStyle name="Normal 182 3 5" xfId="20854" xr:uid="{00000000-0005-0000-0000-000065500000}"/>
    <cellStyle name="Normal 182 3 6" xfId="20855" xr:uid="{00000000-0005-0000-0000-000066500000}"/>
    <cellStyle name="Normal 182 3 7" xfId="20856" xr:uid="{00000000-0005-0000-0000-000067500000}"/>
    <cellStyle name="Normal 182 3 8" xfId="20857" xr:uid="{00000000-0005-0000-0000-000068500000}"/>
    <cellStyle name="Normal 182 4" xfId="20858" xr:uid="{00000000-0005-0000-0000-000069500000}"/>
    <cellStyle name="Normal 182 4 2" xfId="20859" xr:uid="{00000000-0005-0000-0000-00006A500000}"/>
    <cellStyle name="Normal 182 4 2 2" xfId="20860" xr:uid="{00000000-0005-0000-0000-00006B500000}"/>
    <cellStyle name="Normal 182 4 2 3" xfId="20861" xr:uid="{00000000-0005-0000-0000-00006C500000}"/>
    <cellStyle name="Normal 182 4 3" xfId="20862" xr:uid="{00000000-0005-0000-0000-00006D500000}"/>
    <cellStyle name="Normal 182 4 3 2" xfId="20863" xr:uid="{00000000-0005-0000-0000-00006E500000}"/>
    <cellStyle name="Normal 182 4 3 3" xfId="20864" xr:uid="{00000000-0005-0000-0000-00006F500000}"/>
    <cellStyle name="Normal 182 4 4" xfId="20865" xr:uid="{00000000-0005-0000-0000-000070500000}"/>
    <cellStyle name="Normal 182 4 5" xfId="20866" xr:uid="{00000000-0005-0000-0000-000071500000}"/>
    <cellStyle name="Normal 182 4 6" xfId="20867" xr:uid="{00000000-0005-0000-0000-000072500000}"/>
    <cellStyle name="Normal 182 5" xfId="20868" xr:uid="{00000000-0005-0000-0000-000073500000}"/>
    <cellStyle name="Normal 182 5 2" xfId="20869" xr:uid="{00000000-0005-0000-0000-000074500000}"/>
    <cellStyle name="Normal 182 5 3" xfId="20870" xr:uid="{00000000-0005-0000-0000-000075500000}"/>
    <cellStyle name="Normal 182 6" xfId="20871" xr:uid="{00000000-0005-0000-0000-000076500000}"/>
    <cellStyle name="Normal 182 6 2" xfId="20872" xr:uid="{00000000-0005-0000-0000-000077500000}"/>
    <cellStyle name="Normal 182 6 3" xfId="20873" xr:uid="{00000000-0005-0000-0000-000078500000}"/>
    <cellStyle name="Normal 182 7" xfId="20874" xr:uid="{00000000-0005-0000-0000-000079500000}"/>
    <cellStyle name="Normal 182 8" xfId="20875" xr:uid="{00000000-0005-0000-0000-00007A500000}"/>
    <cellStyle name="Normal 182 9" xfId="20876" xr:uid="{00000000-0005-0000-0000-00007B500000}"/>
    <cellStyle name="Normal 183" xfId="2177" xr:uid="{00000000-0005-0000-0000-00007C500000}"/>
    <cellStyle name="Normal 183 10" xfId="20877" xr:uid="{00000000-0005-0000-0000-00007D500000}"/>
    <cellStyle name="Normal 183 11" xfId="20878" xr:uid="{00000000-0005-0000-0000-00007E500000}"/>
    <cellStyle name="Normal 183 12" xfId="20879" xr:uid="{00000000-0005-0000-0000-00007F500000}"/>
    <cellStyle name="Normal 183 2" xfId="20880" xr:uid="{00000000-0005-0000-0000-000080500000}"/>
    <cellStyle name="Normal 183 2 2" xfId="20881" xr:uid="{00000000-0005-0000-0000-000081500000}"/>
    <cellStyle name="Normal 183 2 2 2" xfId="20882" xr:uid="{00000000-0005-0000-0000-000082500000}"/>
    <cellStyle name="Normal 183 2 2 2 2" xfId="20883" xr:uid="{00000000-0005-0000-0000-000083500000}"/>
    <cellStyle name="Normal 183 2 2 2 2 2" xfId="20884" xr:uid="{00000000-0005-0000-0000-000084500000}"/>
    <cellStyle name="Normal 183 2 2 2 2 3" xfId="20885" xr:uid="{00000000-0005-0000-0000-000085500000}"/>
    <cellStyle name="Normal 183 2 2 2 3" xfId="20886" xr:uid="{00000000-0005-0000-0000-000086500000}"/>
    <cellStyle name="Normal 183 2 2 2 3 2" xfId="20887" xr:uid="{00000000-0005-0000-0000-000087500000}"/>
    <cellStyle name="Normal 183 2 2 2 3 3" xfId="20888" xr:uid="{00000000-0005-0000-0000-000088500000}"/>
    <cellStyle name="Normal 183 2 2 2 4" xfId="20889" xr:uid="{00000000-0005-0000-0000-000089500000}"/>
    <cellStyle name="Normal 183 2 2 2 5" xfId="20890" xr:uid="{00000000-0005-0000-0000-00008A500000}"/>
    <cellStyle name="Normal 183 2 2 2 6" xfId="20891" xr:uid="{00000000-0005-0000-0000-00008B500000}"/>
    <cellStyle name="Normal 183 2 2 3" xfId="20892" xr:uid="{00000000-0005-0000-0000-00008C500000}"/>
    <cellStyle name="Normal 183 2 2 3 2" xfId="20893" xr:uid="{00000000-0005-0000-0000-00008D500000}"/>
    <cellStyle name="Normal 183 2 2 3 3" xfId="20894" xr:uid="{00000000-0005-0000-0000-00008E500000}"/>
    <cellStyle name="Normal 183 2 2 4" xfId="20895" xr:uid="{00000000-0005-0000-0000-00008F500000}"/>
    <cellStyle name="Normal 183 2 2 4 2" xfId="20896" xr:uid="{00000000-0005-0000-0000-000090500000}"/>
    <cellStyle name="Normal 183 2 2 4 3" xfId="20897" xr:uid="{00000000-0005-0000-0000-000091500000}"/>
    <cellStyle name="Normal 183 2 2 5" xfId="20898" xr:uid="{00000000-0005-0000-0000-000092500000}"/>
    <cellStyle name="Normal 183 2 2 6" xfId="20899" xr:uid="{00000000-0005-0000-0000-000093500000}"/>
    <cellStyle name="Normal 183 2 2 7" xfId="20900" xr:uid="{00000000-0005-0000-0000-000094500000}"/>
    <cellStyle name="Normal 183 2 2 8" xfId="20901" xr:uid="{00000000-0005-0000-0000-000095500000}"/>
    <cellStyle name="Normal 183 2 3" xfId="20902" xr:uid="{00000000-0005-0000-0000-000096500000}"/>
    <cellStyle name="Normal 183 2 3 2" xfId="20903" xr:uid="{00000000-0005-0000-0000-000097500000}"/>
    <cellStyle name="Normal 183 2 3 2 2" xfId="20904" xr:uid="{00000000-0005-0000-0000-000098500000}"/>
    <cellStyle name="Normal 183 2 3 2 3" xfId="20905" xr:uid="{00000000-0005-0000-0000-000099500000}"/>
    <cellStyle name="Normal 183 2 3 3" xfId="20906" xr:uid="{00000000-0005-0000-0000-00009A500000}"/>
    <cellStyle name="Normal 183 2 3 3 2" xfId="20907" xr:uid="{00000000-0005-0000-0000-00009B500000}"/>
    <cellStyle name="Normal 183 2 3 3 3" xfId="20908" xr:uid="{00000000-0005-0000-0000-00009C500000}"/>
    <cellStyle name="Normal 183 2 3 4" xfId="20909" xr:uid="{00000000-0005-0000-0000-00009D500000}"/>
    <cellStyle name="Normal 183 2 3 5" xfId="20910" xr:uid="{00000000-0005-0000-0000-00009E500000}"/>
    <cellStyle name="Normal 183 2 3 6" xfId="20911" xr:uid="{00000000-0005-0000-0000-00009F500000}"/>
    <cellStyle name="Normal 183 2 4" xfId="20912" xr:uid="{00000000-0005-0000-0000-0000A0500000}"/>
    <cellStyle name="Normal 183 2 4 2" xfId="20913" xr:uid="{00000000-0005-0000-0000-0000A1500000}"/>
    <cellStyle name="Normal 183 2 4 3" xfId="20914" xr:uid="{00000000-0005-0000-0000-0000A2500000}"/>
    <cellStyle name="Normal 183 2 5" xfId="20915" xr:uid="{00000000-0005-0000-0000-0000A3500000}"/>
    <cellStyle name="Normal 183 2 5 2" xfId="20916" xr:uid="{00000000-0005-0000-0000-0000A4500000}"/>
    <cellStyle name="Normal 183 2 5 3" xfId="20917" xr:uid="{00000000-0005-0000-0000-0000A5500000}"/>
    <cellStyle name="Normal 183 2 6" xfId="20918" xr:uid="{00000000-0005-0000-0000-0000A6500000}"/>
    <cellStyle name="Normal 183 2 7" xfId="20919" xr:uid="{00000000-0005-0000-0000-0000A7500000}"/>
    <cellStyle name="Normal 183 2 8" xfId="20920" xr:uid="{00000000-0005-0000-0000-0000A8500000}"/>
    <cellStyle name="Normal 183 2 9" xfId="20921" xr:uid="{00000000-0005-0000-0000-0000A9500000}"/>
    <cellStyle name="Normal 183 3" xfId="20922" xr:uid="{00000000-0005-0000-0000-0000AA500000}"/>
    <cellStyle name="Normal 183 3 2" xfId="20923" xr:uid="{00000000-0005-0000-0000-0000AB500000}"/>
    <cellStyle name="Normal 183 3 2 2" xfId="20924" xr:uid="{00000000-0005-0000-0000-0000AC500000}"/>
    <cellStyle name="Normal 183 3 2 2 2" xfId="20925" xr:uid="{00000000-0005-0000-0000-0000AD500000}"/>
    <cellStyle name="Normal 183 3 2 2 3" xfId="20926" xr:uid="{00000000-0005-0000-0000-0000AE500000}"/>
    <cellStyle name="Normal 183 3 2 3" xfId="20927" xr:uid="{00000000-0005-0000-0000-0000AF500000}"/>
    <cellStyle name="Normal 183 3 2 3 2" xfId="20928" xr:uid="{00000000-0005-0000-0000-0000B0500000}"/>
    <cellStyle name="Normal 183 3 2 3 3" xfId="20929" xr:uid="{00000000-0005-0000-0000-0000B1500000}"/>
    <cellStyle name="Normal 183 3 2 4" xfId="20930" xr:uid="{00000000-0005-0000-0000-0000B2500000}"/>
    <cellStyle name="Normal 183 3 2 5" xfId="20931" xr:uid="{00000000-0005-0000-0000-0000B3500000}"/>
    <cellStyle name="Normal 183 3 2 6" xfId="20932" xr:uid="{00000000-0005-0000-0000-0000B4500000}"/>
    <cellStyle name="Normal 183 3 3" xfId="20933" xr:uid="{00000000-0005-0000-0000-0000B5500000}"/>
    <cellStyle name="Normal 183 3 3 2" xfId="20934" xr:uid="{00000000-0005-0000-0000-0000B6500000}"/>
    <cellStyle name="Normal 183 3 3 3" xfId="20935" xr:uid="{00000000-0005-0000-0000-0000B7500000}"/>
    <cellStyle name="Normal 183 3 4" xfId="20936" xr:uid="{00000000-0005-0000-0000-0000B8500000}"/>
    <cellStyle name="Normal 183 3 4 2" xfId="20937" xr:uid="{00000000-0005-0000-0000-0000B9500000}"/>
    <cellStyle name="Normal 183 3 4 3" xfId="20938" xr:uid="{00000000-0005-0000-0000-0000BA500000}"/>
    <cellStyle name="Normal 183 3 5" xfId="20939" xr:uid="{00000000-0005-0000-0000-0000BB500000}"/>
    <cellStyle name="Normal 183 3 6" xfId="20940" xr:uid="{00000000-0005-0000-0000-0000BC500000}"/>
    <cellStyle name="Normal 183 3 7" xfId="20941" xr:uid="{00000000-0005-0000-0000-0000BD500000}"/>
    <cellStyle name="Normal 183 3 8" xfId="20942" xr:uid="{00000000-0005-0000-0000-0000BE500000}"/>
    <cellStyle name="Normal 183 4" xfId="20943" xr:uid="{00000000-0005-0000-0000-0000BF500000}"/>
    <cellStyle name="Normal 183 4 2" xfId="20944" xr:uid="{00000000-0005-0000-0000-0000C0500000}"/>
    <cellStyle name="Normal 183 4 2 2" xfId="20945" xr:uid="{00000000-0005-0000-0000-0000C1500000}"/>
    <cellStyle name="Normal 183 4 2 3" xfId="20946" xr:uid="{00000000-0005-0000-0000-0000C2500000}"/>
    <cellStyle name="Normal 183 4 3" xfId="20947" xr:uid="{00000000-0005-0000-0000-0000C3500000}"/>
    <cellStyle name="Normal 183 4 3 2" xfId="20948" xr:uid="{00000000-0005-0000-0000-0000C4500000}"/>
    <cellStyle name="Normal 183 4 3 3" xfId="20949" xr:uid="{00000000-0005-0000-0000-0000C5500000}"/>
    <cellStyle name="Normal 183 4 4" xfId="20950" xr:uid="{00000000-0005-0000-0000-0000C6500000}"/>
    <cellStyle name="Normal 183 4 5" xfId="20951" xr:uid="{00000000-0005-0000-0000-0000C7500000}"/>
    <cellStyle name="Normal 183 4 6" xfId="20952" xr:uid="{00000000-0005-0000-0000-0000C8500000}"/>
    <cellStyle name="Normal 183 5" xfId="20953" xr:uid="{00000000-0005-0000-0000-0000C9500000}"/>
    <cellStyle name="Normal 183 5 2" xfId="20954" xr:uid="{00000000-0005-0000-0000-0000CA500000}"/>
    <cellStyle name="Normal 183 5 3" xfId="20955" xr:uid="{00000000-0005-0000-0000-0000CB500000}"/>
    <cellStyle name="Normal 183 6" xfId="20956" xr:uid="{00000000-0005-0000-0000-0000CC500000}"/>
    <cellStyle name="Normal 183 6 2" xfId="20957" xr:uid="{00000000-0005-0000-0000-0000CD500000}"/>
    <cellStyle name="Normal 183 6 3" xfId="20958" xr:uid="{00000000-0005-0000-0000-0000CE500000}"/>
    <cellStyle name="Normal 183 7" xfId="20959" xr:uid="{00000000-0005-0000-0000-0000CF500000}"/>
    <cellStyle name="Normal 183 8" xfId="20960" xr:uid="{00000000-0005-0000-0000-0000D0500000}"/>
    <cellStyle name="Normal 183 9" xfId="20961" xr:uid="{00000000-0005-0000-0000-0000D1500000}"/>
    <cellStyle name="Normal 184" xfId="2178" xr:uid="{00000000-0005-0000-0000-0000D2500000}"/>
    <cellStyle name="Normal 184 10" xfId="20962" xr:uid="{00000000-0005-0000-0000-0000D3500000}"/>
    <cellStyle name="Normal 184 11" xfId="20963" xr:uid="{00000000-0005-0000-0000-0000D4500000}"/>
    <cellStyle name="Normal 184 12" xfId="20964" xr:uid="{00000000-0005-0000-0000-0000D5500000}"/>
    <cellStyle name="Normal 184 2" xfId="20965" xr:uid="{00000000-0005-0000-0000-0000D6500000}"/>
    <cellStyle name="Normal 184 2 2" xfId="20966" xr:uid="{00000000-0005-0000-0000-0000D7500000}"/>
    <cellStyle name="Normal 184 2 2 2" xfId="20967" xr:uid="{00000000-0005-0000-0000-0000D8500000}"/>
    <cellStyle name="Normal 184 2 2 2 2" xfId="20968" xr:uid="{00000000-0005-0000-0000-0000D9500000}"/>
    <cellStyle name="Normal 184 2 2 2 2 2" xfId="20969" xr:uid="{00000000-0005-0000-0000-0000DA500000}"/>
    <cellStyle name="Normal 184 2 2 2 2 3" xfId="20970" xr:uid="{00000000-0005-0000-0000-0000DB500000}"/>
    <cellStyle name="Normal 184 2 2 2 3" xfId="20971" xr:uid="{00000000-0005-0000-0000-0000DC500000}"/>
    <cellStyle name="Normal 184 2 2 2 3 2" xfId="20972" xr:uid="{00000000-0005-0000-0000-0000DD500000}"/>
    <cellStyle name="Normal 184 2 2 2 3 3" xfId="20973" xr:uid="{00000000-0005-0000-0000-0000DE500000}"/>
    <cellStyle name="Normal 184 2 2 2 4" xfId="20974" xr:uid="{00000000-0005-0000-0000-0000DF500000}"/>
    <cellStyle name="Normal 184 2 2 2 5" xfId="20975" xr:uid="{00000000-0005-0000-0000-0000E0500000}"/>
    <cellStyle name="Normal 184 2 2 2 6" xfId="20976" xr:uid="{00000000-0005-0000-0000-0000E1500000}"/>
    <cellStyle name="Normal 184 2 2 3" xfId="20977" xr:uid="{00000000-0005-0000-0000-0000E2500000}"/>
    <cellStyle name="Normal 184 2 2 3 2" xfId="20978" xr:uid="{00000000-0005-0000-0000-0000E3500000}"/>
    <cellStyle name="Normal 184 2 2 3 3" xfId="20979" xr:uid="{00000000-0005-0000-0000-0000E4500000}"/>
    <cellStyle name="Normal 184 2 2 4" xfId="20980" xr:uid="{00000000-0005-0000-0000-0000E5500000}"/>
    <cellStyle name="Normal 184 2 2 4 2" xfId="20981" xr:uid="{00000000-0005-0000-0000-0000E6500000}"/>
    <cellStyle name="Normal 184 2 2 4 3" xfId="20982" xr:uid="{00000000-0005-0000-0000-0000E7500000}"/>
    <cellStyle name="Normal 184 2 2 5" xfId="20983" xr:uid="{00000000-0005-0000-0000-0000E8500000}"/>
    <cellStyle name="Normal 184 2 2 6" xfId="20984" xr:uid="{00000000-0005-0000-0000-0000E9500000}"/>
    <cellStyle name="Normal 184 2 2 7" xfId="20985" xr:uid="{00000000-0005-0000-0000-0000EA500000}"/>
    <cellStyle name="Normal 184 2 2 8" xfId="20986" xr:uid="{00000000-0005-0000-0000-0000EB500000}"/>
    <cellStyle name="Normal 184 2 3" xfId="20987" xr:uid="{00000000-0005-0000-0000-0000EC500000}"/>
    <cellStyle name="Normal 184 2 3 2" xfId="20988" xr:uid="{00000000-0005-0000-0000-0000ED500000}"/>
    <cellStyle name="Normal 184 2 3 2 2" xfId="20989" xr:uid="{00000000-0005-0000-0000-0000EE500000}"/>
    <cellStyle name="Normal 184 2 3 2 3" xfId="20990" xr:uid="{00000000-0005-0000-0000-0000EF500000}"/>
    <cellStyle name="Normal 184 2 3 3" xfId="20991" xr:uid="{00000000-0005-0000-0000-0000F0500000}"/>
    <cellStyle name="Normal 184 2 3 3 2" xfId="20992" xr:uid="{00000000-0005-0000-0000-0000F1500000}"/>
    <cellStyle name="Normal 184 2 3 3 3" xfId="20993" xr:uid="{00000000-0005-0000-0000-0000F2500000}"/>
    <cellStyle name="Normal 184 2 3 4" xfId="20994" xr:uid="{00000000-0005-0000-0000-0000F3500000}"/>
    <cellStyle name="Normal 184 2 3 5" xfId="20995" xr:uid="{00000000-0005-0000-0000-0000F4500000}"/>
    <cellStyle name="Normal 184 2 3 6" xfId="20996" xr:uid="{00000000-0005-0000-0000-0000F5500000}"/>
    <cellStyle name="Normal 184 2 4" xfId="20997" xr:uid="{00000000-0005-0000-0000-0000F6500000}"/>
    <cellStyle name="Normal 184 2 4 2" xfId="20998" xr:uid="{00000000-0005-0000-0000-0000F7500000}"/>
    <cellStyle name="Normal 184 2 4 3" xfId="20999" xr:uid="{00000000-0005-0000-0000-0000F8500000}"/>
    <cellStyle name="Normal 184 2 5" xfId="21000" xr:uid="{00000000-0005-0000-0000-0000F9500000}"/>
    <cellStyle name="Normal 184 2 5 2" xfId="21001" xr:uid="{00000000-0005-0000-0000-0000FA500000}"/>
    <cellStyle name="Normal 184 2 5 3" xfId="21002" xr:uid="{00000000-0005-0000-0000-0000FB500000}"/>
    <cellStyle name="Normal 184 2 6" xfId="21003" xr:uid="{00000000-0005-0000-0000-0000FC500000}"/>
    <cellStyle name="Normal 184 2 7" xfId="21004" xr:uid="{00000000-0005-0000-0000-0000FD500000}"/>
    <cellStyle name="Normal 184 2 8" xfId="21005" xr:uid="{00000000-0005-0000-0000-0000FE500000}"/>
    <cellStyle name="Normal 184 2 9" xfId="21006" xr:uid="{00000000-0005-0000-0000-0000FF500000}"/>
    <cellStyle name="Normal 184 3" xfId="21007" xr:uid="{00000000-0005-0000-0000-000000510000}"/>
    <cellStyle name="Normal 184 3 2" xfId="21008" xr:uid="{00000000-0005-0000-0000-000001510000}"/>
    <cellStyle name="Normal 184 3 2 2" xfId="21009" xr:uid="{00000000-0005-0000-0000-000002510000}"/>
    <cellStyle name="Normal 184 3 2 2 2" xfId="21010" xr:uid="{00000000-0005-0000-0000-000003510000}"/>
    <cellStyle name="Normal 184 3 2 2 3" xfId="21011" xr:uid="{00000000-0005-0000-0000-000004510000}"/>
    <cellStyle name="Normal 184 3 2 3" xfId="21012" xr:uid="{00000000-0005-0000-0000-000005510000}"/>
    <cellStyle name="Normal 184 3 2 3 2" xfId="21013" xr:uid="{00000000-0005-0000-0000-000006510000}"/>
    <cellStyle name="Normal 184 3 2 3 3" xfId="21014" xr:uid="{00000000-0005-0000-0000-000007510000}"/>
    <cellStyle name="Normal 184 3 2 4" xfId="21015" xr:uid="{00000000-0005-0000-0000-000008510000}"/>
    <cellStyle name="Normal 184 3 2 5" xfId="21016" xr:uid="{00000000-0005-0000-0000-000009510000}"/>
    <cellStyle name="Normal 184 3 2 6" xfId="21017" xr:uid="{00000000-0005-0000-0000-00000A510000}"/>
    <cellStyle name="Normal 184 3 3" xfId="21018" xr:uid="{00000000-0005-0000-0000-00000B510000}"/>
    <cellStyle name="Normal 184 3 3 2" xfId="21019" xr:uid="{00000000-0005-0000-0000-00000C510000}"/>
    <cellStyle name="Normal 184 3 3 3" xfId="21020" xr:uid="{00000000-0005-0000-0000-00000D510000}"/>
    <cellStyle name="Normal 184 3 4" xfId="21021" xr:uid="{00000000-0005-0000-0000-00000E510000}"/>
    <cellStyle name="Normal 184 3 4 2" xfId="21022" xr:uid="{00000000-0005-0000-0000-00000F510000}"/>
    <cellStyle name="Normal 184 3 4 3" xfId="21023" xr:uid="{00000000-0005-0000-0000-000010510000}"/>
    <cellStyle name="Normal 184 3 5" xfId="21024" xr:uid="{00000000-0005-0000-0000-000011510000}"/>
    <cellStyle name="Normal 184 3 6" xfId="21025" xr:uid="{00000000-0005-0000-0000-000012510000}"/>
    <cellStyle name="Normal 184 3 7" xfId="21026" xr:uid="{00000000-0005-0000-0000-000013510000}"/>
    <cellStyle name="Normal 184 3 8" xfId="21027" xr:uid="{00000000-0005-0000-0000-000014510000}"/>
    <cellStyle name="Normal 184 4" xfId="21028" xr:uid="{00000000-0005-0000-0000-000015510000}"/>
    <cellStyle name="Normal 184 4 2" xfId="21029" xr:uid="{00000000-0005-0000-0000-000016510000}"/>
    <cellStyle name="Normal 184 4 2 2" xfId="21030" xr:uid="{00000000-0005-0000-0000-000017510000}"/>
    <cellStyle name="Normal 184 4 2 3" xfId="21031" xr:uid="{00000000-0005-0000-0000-000018510000}"/>
    <cellStyle name="Normal 184 4 3" xfId="21032" xr:uid="{00000000-0005-0000-0000-000019510000}"/>
    <cellStyle name="Normal 184 4 3 2" xfId="21033" xr:uid="{00000000-0005-0000-0000-00001A510000}"/>
    <cellStyle name="Normal 184 4 3 3" xfId="21034" xr:uid="{00000000-0005-0000-0000-00001B510000}"/>
    <cellStyle name="Normal 184 4 4" xfId="21035" xr:uid="{00000000-0005-0000-0000-00001C510000}"/>
    <cellStyle name="Normal 184 4 5" xfId="21036" xr:uid="{00000000-0005-0000-0000-00001D510000}"/>
    <cellStyle name="Normal 184 4 6" xfId="21037" xr:uid="{00000000-0005-0000-0000-00001E510000}"/>
    <cellStyle name="Normal 184 5" xfId="21038" xr:uid="{00000000-0005-0000-0000-00001F510000}"/>
    <cellStyle name="Normal 184 5 2" xfId="21039" xr:uid="{00000000-0005-0000-0000-000020510000}"/>
    <cellStyle name="Normal 184 5 3" xfId="21040" xr:uid="{00000000-0005-0000-0000-000021510000}"/>
    <cellStyle name="Normal 184 6" xfId="21041" xr:uid="{00000000-0005-0000-0000-000022510000}"/>
    <cellStyle name="Normal 184 6 2" xfId="21042" xr:uid="{00000000-0005-0000-0000-000023510000}"/>
    <cellStyle name="Normal 184 6 3" xfId="21043" xr:uid="{00000000-0005-0000-0000-000024510000}"/>
    <cellStyle name="Normal 184 7" xfId="21044" xr:uid="{00000000-0005-0000-0000-000025510000}"/>
    <cellStyle name="Normal 184 8" xfId="21045" xr:uid="{00000000-0005-0000-0000-000026510000}"/>
    <cellStyle name="Normal 184 9" xfId="21046" xr:uid="{00000000-0005-0000-0000-000027510000}"/>
    <cellStyle name="Normal 185" xfId="2179" xr:uid="{00000000-0005-0000-0000-000028510000}"/>
    <cellStyle name="Normal 185 10" xfId="21047" xr:uid="{00000000-0005-0000-0000-000029510000}"/>
    <cellStyle name="Normal 185 11" xfId="21048" xr:uid="{00000000-0005-0000-0000-00002A510000}"/>
    <cellStyle name="Normal 185 12" xfId="21049" xr:uid="{00000000-0005-0000-0000-00002B510000}"/>
    <cellStyle name="Normal 185 2" xfId="21050" xr:uid="{00000000-0005-0000-0000-00002C510000}"/>
    <cellStyle name="Normal 185 2 10" xfId="21051" xr:uid="{00000000-0005-0000-0000-00002D510000}"/>
    <cellStyle name="Normal 185 2 2" xfId="21052" xr:uid="{00000000-0005-0000-0000-00002E510000}"/>
    <cellStyle name="Normal 185 2 2 2" xfId="21053" xr:uid="{00000000-0005-0000-0000-00002F510000}"/>
    <cellStyle name="Normal 185 2 2 2 2" xfId="21054" xr:uid="{00000000-0005-0000-0000-000030510000}"/>
    <cellStyle name="Normal 185 2 2 2 2 2" xfId="21055" xr:uid="{00000000-0005-0000-0000-000031510000}"/>
    <cellStyle name="Normal 185 2 2 2 2 3" xfId="21056" xr:uid="{00000000-0005-0000-0000-000032510000}"/>
    <cellStyle name="Normal 185 2 2 2 3" xfId="21057" xr:uid="{00000000-0005-0000-0000-000033510000}"/>
    <cellStyle name="Normal 185 2 2 2 3 2" xfId="21058" xr:uid="{00000000-0005-0000-0000-000034510000}"/>
    <cellStyle name="Normal 185 2 2 2 3 3" xfId="21059" xr:uid="{00000000-0005-0000-0000-000035510000}"/>
    <cellStyle name="Normal 185 2 2 2 4" xfId="21060" xr:uid="{00000000-0005-0000-0000-000036510000}"/>
    <cellStyle name="Normal 185 2 2 2 5" xfId="21061" xr:uid="{00000000-0005-0000-0000-000037510000}"/>
    <cellStyle name="Normal 185 2 2 2 6" xfId="21062" xr:uid="{00000000-0005-0000-0000-000038510000}"/>
    <cellStyle name="Normal 185 2 2 3" xfId="21063" xr:uid="{00000000-0005-0000-0000-000039510000}"/>
    <cellStyle name="Normal 185 2 2 3 2" xfId="21064" xr:uid="{00000000-0005-0000-0000-00003A510000}"/>
    <cellStyle name="Normal 185 2 2 3 3" xfId="21065" xr:uid="{00000000-0005-0000-0000-00003B510000}"/>
    <cellStyle name="Normal 185 2 2 4" xfId="21066" xr:uid="{00000000-0005-0000-0000-00003C510000}"/>
    <cellStyle name="Normal 185 2 2 4 2" xfId="21067" xr:uid="{00000000-0005-0000-0000-00003D510000}"/>
    <cellStyle name="Normal 185 2 2 4 3" xfId="21068" xr:uid="{00000000-0005-0000-0000-00003E510000}"/>
    <cellStyle name="Normal 185 2 2 5" xfId="21069" xr:uid="{00000000-0005-0000-0000-00003F510000}"/>
    <cellStyle name="Normal 185 2 2 6" xfId="21070" xr:uid="{00000000-0005-0000-0000-000040510000}"/>
    <cellStyle name="Normal 185 2 2 7" xfId="21071" xr:uid="{00000000-0005-0000-0000-000041510000}"/>
    <cellStyle name="Normal 185 2 2 8" xfId="21072" xr:uid="{00000000-0005-0000-0000-000042510000}"/>
    <cellStyle name="Normal 185 2 3" xfId="21073" xr:uid="{00000000-0005-0000-0000-000043510000}"/>
    <cellStyle name="Normal 185 2 3 2" xfId="21074" xr:uid="{00000000-0005-0000-0000-000044510000}"/>
    <cellStyle name="Normal 185 2 3 2 2" xfId="21075" xr:uid="{00000000-0005-0000-0000-000045510000}"/>
    <cellStyle name="Normal 185 2 3 2 3" xfId="21076" xr:uid="{00000000-0005-0000-0000-000046510000}"/>
    <cellStyle name="Normal 185 2 3 3" xfId="21077" xr:uid="{00000000-0005-0000-0000-000047510000}"/>
    <cellStyle name="Normal 185 2 3 3 2" xfId="21078" xr:uid="{00000000-0005-0000-0000-000048510000}"/>
    <cellStyle name="Normal 185 2 3 3 3" xfId="21079" xr:uid="{00000000-0005-0000-0000-000049510000}"/>
    <cellStyle name="Normal 185 2 3 4" xfId="21080" xr:uid="{00000000-0005-0000-0000-00004A510000}"/>
    <cellStyle name="Normal 185 2 3 5" xfId="21081" xr:uid="{00000000-0005-0000-0000-00004B510000}"/>
    <cellStyle name="Normal 185 2 3 6" xfId="21082" xr:uid="{00000000-0005-0000-0000-00004C510000}"/>
    <cellStyle name="Normal 185 2 4" xfId="21083" xr:uid="{00000000-0005-0000-0000-00004D510000}"/>
    <cellStyle name="Normal 185 2 4 2" xfId="21084" xr:uid="{00000000-0005-0000-0000-00004E510000}"/>
    <cellStyle name="Normal 185 2 4 3" xfId="21085" xr:uid="{00000000-0005-0000-0000-00004F510000}"/>
    <cellStyle name="Normal 185 2 5" xfId="21086" xr:uid="{00000000-0005-0000-0000-000050510000}"/>
    <cellStyle name="Normal 185 2 5 2" xfId="21087" xr:uid="{00000000-0005-0000-0000-000051510000}"/>
    <cellStyle name="Normal 185 2 5 3" xfId="21088" xr:uid="{00000000-0005-0000-0000-000052510000}"/>
    <cellStyle name="Normal 185 2 6" xfId="21089" xr:uid="{00000000-0005-0000-0000-000053510000}"/>
    <cellStyle name="Normal 185 2 7" xfId="21090" xr:uid="{00000000-0005-0000-0000-000054510000}"/>
    <cellStyle name="Normal 185 2 8" xfId="21091" xr:uid="{00000000-0005-0000-0000-000055510000}"/>
    <cellStyle name="Normal 185 2 9" xfId="21092" xr:uid="{00000000-0005-0000-0000-000056510000}"/>
    <cellStyle name="Normal 185 3" xfId="21093" xr:uid="{00000000-0005-0000-0000-000057510000}"/>
    <cellStyle name="Normal 185 3 2" xfId="21094" xr:uid="{00000000-0005-0000-0000-000058510000}"/>
    <cellStyle name="Normal 185 3 2 2" xfId="21095" xr:uid="{00000000-0005-0000-0000-000059510000}"/>
    <cellStyle name="Normal 185 3 2 2 2" xfId="21096" xr:uid="{00000000-0005-0000-0000-00005A510000}"/>
    <cellStyle name="Normal 185 3 2 2 3" xfId="21097" xr:uid="{00000000-0005-0000-0000-00005B510000}"/>
    <cellStyle name="Normal 185 3 2 3" xfId="21098" xr:uid="{00000000-0005-0000-0000-00005C510000}"/>
    <cellStyle name="Normal 185 3 2 3 2" xfId="21099" xr:uid="{00000000-0005-0000-0000-00005D510000}"/>
    <cellStyle name="Normal 185 3 2 3 3" xfId="21100" xr:uid="{00000000-0005-0000-0000-00005E510000}"/>
    <cellStyle name="Normal 185 3 2 4" xfId="21101" xr:uid="{00000000-0005-0000-0000-00005F510000}"/>
    <cellStyle name="Normal 185 3 2 5" xfId="21102" xr:uid="{00000000-0005-0000-0000-000060510000}"/>
    <cellStyle name="Normal 185 3 2 6" xfId="21103" xr:uid="{00000000-0005-0000-0000-000061510000}"/>
    <cellStyle name="Normal 185 3 3" xfId="21104" xr:uid="{00000000-0005-0000-0000-000062510000}"/>
    <cellStyle name="Normal 185 3 3 2" xfId="21105" xr:uid="{00000000-0005-0000-0000-000063510000}"/>
    <cellStyle name="Normal 185 3 3 3" xfId="21106" xr:uid="{00000000-0005-0000-0000-000064510000}"/>
    <cellStyle name="Normal 185 3 4" xfId="21107" xr:uid="{00000000-0005-0000-0000-000065510000}"/>
    <cellStyle name="Normal 185 3 4 2" xfId="21108" xr:uid="{00000000-0005-0000-0000-000066510000}"/>
    <cellStyle name="Normal 185 3 4 3" xfId="21109" xr:uid="{00000000-0005-0000-0000-000067510000}"/>
    <cellStyle name="Normal 185 3 5" xfId="21110" xr:uid="{00000000-0005-0000-0000-000068510000}"/>
    <cellStyle name="Normal 185 3 6" xfId="21111" xr:uid="{00000000-0005-0000-0000-000069510000}"/>
    <cellStyle name="Normal 185 3 7" xfId="21112" xr:uid="{00000000-0005-0000-0000-00006A510000}"/>
    <cellStyle name="Normal 185 3 8" xfId="21113" xr:uid="{00000000-0005-0000-0000-00006B510000}"/>
    <cellStyle name="Normal 185 4" xfId="21114" xr:uid="{00000000-0005-0000-0000-00006C510000}"/>
    <cellStyle name="Normal 185 4 2" xfId="21115" xr:uid="{00000000-0005-0000-0000-00006D510000}"/>
    <cellStyle name="Normal 185 4 2 2" xfId="21116" xr:uid="{00000000-0005-0000-0000-00006E510000}"/>
    <cellStyle name="Normal 185 4 2 3" xfId="21117" xr:uid="{00000000-0005-0000-0000-00006F510000}"/>
    <cellStyle name="Normal 185 4 3" xfId="21118" xr:uid="{00000000-0005-0000-0000-000070510000}"/>
    <cellStyle name="Normal 185 4 3 2" xfId="21119" xr:uid="{00000000-0005-0000-0000-000071510000}"/>
    <cellStyle name="Normal 185 4 3 3" xfId="21120" xr:uid="{00000000-0005-0000-0000-000072510000}"/>
    <cellStyle name="Normal 185 4 4" xfId="21121" xr:uid="{00000000-0005-0000-0000-000073510000}"/>
    <cellStyle name="Normal 185 4 5" xfId="21122" xr:uid="{00000000-0005-0000-0000-000074510000}"/>
    <cellStyle name="Normal 185 4 6" xfId="21123" xr:uid="{00000000-0005-0000-0000-000075510000}"/>
    <cellStyle name="Normal 185 5" xfId="21124" xr:uid="{00000000-0005-0000-0000-000076510000}"/>
    <cellStyle name="Normal 185 5 2" xfId="21125" xr:uid="{00000000-0005-0000-0000-000077510000}"/>
    <cellStyle name="Normal 185 5 3" xfId="21126" xr:uid="{00000000-0005-0000-0000-000078510000}"/>
    <cellStyle name="Normal 185 6" xfId="21127" xr:uid="{00000000-0005-0000-0000-000079510000}"/>
    <cellStyle name="Normal 185 6 2" xfId="21128" xr:uid="{00000000-0005-0000-0000-00007A510000}"/>
    <cellStyle name="Normal 185 6 3" xfId="21129" xr:uid="{00000000-0005-0000-0000-00007B510000}"/>
    <cellStyle name="Normal 185 7" xfId="21130" xr:uid="{00000000-0005-0000-0000-00007C510000}"/>
    <cellStyle name="Normal 185 8" xfId="21131" xr:uid="{00000000-0005-0000-0000-00007D510000}"/>
    <cellStyle name="Normal 185 9" xfId="21132" xr:uid="{00000000-0005-0000-0000-00007E510000}"/>
    <cellStyle name="Normal 186" xfId="2180" xr:uid="{00000000-0005-0000-0000-00007F510000}"/>
    <cellStyle name="Normal 186 10" xfId="21133" xr:uid="{00000000-0005-0000-0000-000080510000}"/>
    <cellStyle name="Normal 186 11" xfId="21134" xr:uid="{00000000-0005-0000-0000-000081510000}"/>
    <cellStyle name="Normal 186 12" xfId="21135" xr:uid="{00000000-0005-0000-0000-000082510000}"/>
    <cellStyle name="Normal 186 2" xfId="21136" xr:uid="{00000000-0005-0000-0000-000083510000}"/>
    <cellStyle name="Normal 186 2 10" xfId="21137" xr:uid="{00000000-0005-0000-0000-000084510000}"/>
    <cellStyle name="Normal 186 2 2" xfId="21138" xr:uid="{00000000-0005-0000-0000-000085510000}"/>
    <cellStyle name="Normal 186 2 2 2" xfId="21139" xr:uid="{00000000-0005-0000-0000-000086510000}"/>
    <cellStyle name="Normal 186 2 2 2 2" xfId="21140" xr:uid="{00000000-0005-0000-0000-000087510000}"/>
    <cellStyle name="Normal 186 2 2 2 2 2" xfId="21141" xr:uid="{00000000-0005-0000-0000-000088510000}"/>
    <cellStyle name="Normal 186 2 2 2 2 3" xfId="21142" xr:uid="{00000000-0005-0000-0000-000089510000}"/>
    <cellStyle name="Normal 186 2 2 2 3" xfId="21143" xr:uid="{00000000-0005-0000-0000-00008A510000}"/>
    <cellStyle name="Normal 186 2 2 2 3 2" xfId="21144" xr:uid="{00000000-0005-0000-0000-00008B510000}"/>
    <cellStyle name="Normal 186 2 2 2 3 3" xfId="21145" xr:uid="{00000000-0005-0000-0000-00008C510000}"/>
    <cellStyle name="Normal 186 2 2 2 4" xfId="21146" xr:uid="{00000000-0005-0000-0000-00008D510000}"/>
    <cellStyle name="Normal 186 2 2 2 5" xfId="21147" xr:uid="{00000000-0005-0000-0000-00008E510000}"/>
    <cellStyle name="Normal 186 2 2 2 6" xfId="21148" xr:uid="{00000000-0005-0000-0000-00008F510000}"/>
    <cellStyle name="Normal 186 2 2 3" xfId="21149" xr:uid="{00000000-0005-0000-0000-000090510000}"/>
    <cellStyle name="Normal 186 2 2 3 2" xfId="21150" xr:uid="{00000000-0005-0000-0000-000091510000}"/>
    <cellStyle name="Normal 186 2 2 3 3" xfId="21151" xr:uid="{00000000-0005-0000-0000-000092510000}"/>
    <cellStyle name="Normal 186 2 2 4" xfId="21152" xr:uid="{00000000-0005-0000-0000-000093510000}"/>
    <cellStyle name="Normal 186 2 2 4 2" xfId="21153" xr:uid="{00000000-0005-0000-0000-000094510000}"/>
    <cellStyle name="Normal 186 2 2 4 3" xfId="21154" xr:uid="{00000000-0005-0000-0000-000095510000}"/>
    <cellStyle name="Normal 186 2 2 5" xfId="21155" xr:uid="{00000000-0005-0000-0000-000096510000}"/>
    <cellStyle name="Normal 186 2 2 6" xfId="21156" xr:uid="{00000000-0005-0000-0000-000097510000}"/>
    <cellStyle name="Normal 186 2 2 7" xfId="21157" xr:uid="{00000000-0005-0000-0000-000098510000}"/>
    <cellStyle name="Normal 186 2 2 8" xfId="21158" xr:uid="{00000000-0005-0000-0000-000099510000}"/>
    <cellStyle name="Normal 186 2 3" xfId="21159" xr:uid="{00000000-0005-0000-0000-00009A510000}"/>
    <cellStyle name="Normal 186 2 3 2" xfId="21160" xr:uid="{00000000-0005-0000-0000-00009B510000}"/>
    <cellStyle name="Normal 186 2 3 2 2" xfId="21161" xr:uid="{00000000-0005-0000-0000-00009C510000}"/>
    <cellStyle name="Normal 186 2 3 2 3" xfId="21162" xr:uid="{00000000-0005-0000-0000-00009D510000}"/>
    <cellStyle name="Normal 186 2 3 3" xfId="21163" xr:uid="{00000000-0005-0000-0000-00009E510000}"/>
    <cellStyle name="Normal 186 2 3 3 2" xfId="21164" xr:uid="{00000000-0005-0000-0000-00009F510000}"/>
    <cellStyle name="Normal 186 2 3 3 3" xfId="21165" xr:uid="{00000000-0005-0000-0000-0000A0510000}"/>
    <cellStyle name="Normal 186 2 3 4" xfId="21166" xr:uid="{00000000-0005-0000-0000-0000A1510000}"/>
    <cellStyle name="Normal 186 2 3 5" xfId="21167" xr:uid="{00000000-0005-0000-0000-0000A2510000}"/>
    <cellStyle name="Normal 186 2 3 6" xfId="21168" xr:uid="{00000000-0005-0000-0000-0000A3510000}"/>
    <cellStyle name="Normal 186 2 4" xfId="21169" xr:uid="{00000000-0005-0000-0000-0000A4510000}"/>
    <cellStyle name="Normal 186 2 4 2" xfId="21170" xr:uid="{00000000-0005-0000-0000-0000A5510000}"/>
    <cellStyle name="Normal 186 2 4 3" xfId="21171" xr:uid="{00000000-0005-0000-0000-0000A6510000}"/>
    <cellStyle name="Normal 186 2 5" xfId="21172" xr:uid="{00000000-0005-0000-0000-0000A7510000}"/>
    <cellStyle name="Normal 186 2 5 2" xfId="21173" xr:uid="{00000000-0005-0000-0000-0000A8510000}"/>
    <cellStyle name="Normal 186 2 5 3" xfId="21174" xr:uid="{00000000-0005-0000-0000-0000A9510000}"/>
    <cellStyle name="Normal 186 2 6" xfId="21175" xr:uid="{00000000-0005-0000-0000-0000AA510000}"/>
    <cellStyle name="Normal 186 2 7" xfId="21176" xr:uid="{00000000-0005-0000-0000-0000AB510000}"/>
    <cellStyle name="Normal 186 2 8" xfId="21177" xr:uid="{00000000-0005-0000-0000-0000AC510000}"/>
    <cellStyle name="Normal 186 2 9" xfId="21178" xr:uid="{00000000-0005-0000-0000-0000AD510000}"/>
    <cellStyle name="Normal 186 3" xfId="21179" xr:uid="{00000000-0005-0000-0000-0000AE510000}"/>
    <cellStyle name="Normal 186 3 2" xfId="21180" xr:uid="{00000000-0005-0000-0000-0000AF510000}"/>
    <cellStyle name="Normal 186 3 2 2" xfId="21181" xr:uid="{00000000-0005-0000-0000-0000B0510000}"/>
    <cellStyle name="Normal 186 3 2 2 2" xfId="21182" xr:uid="{00000000-0005-0000-0000-0000B1510000}"/>
    <cellStyle name="Normal 186 3 2 2 3" xfId="21183" xr:uid="{00000000-0005-0000-0000-0000B2510000}"/>
    <cellStyle name="Normal 186 3 2 3" xfId="21184" xr:uid="{00000000-0005-0000-0000-0000B3510000}"/>
    <cellStyle name="Normal 186 3 2 3 2" xfId="21185" xr:uid="{00000000-0005-0000-0000-0000B4510000}"/>
    <cellStyle name="Normal 186 3 2 3 3" xfId="21186" xr:uid="{00000000-0005-0000-0000-0000B5510000}"/>
    <cellStyle name="Normal 186 3 2 4" xfId="21187" xr:uid="{00000000-0005-0000-0000-0000B6510000}"/>
    <cellStyle name="Normal 186 3 2 5" xfId="21188" xr:uid="{00000000-0005-0000-0000-0000B7510000}"/>
    <cellStyle name="Normal 186 3 2 6" xfId="21189" xr:uid="{00000000-0005-0000-0000-0000B8510000}"/>
    <cellStyle name="Normal 186 3 3" xfId="21190" xr:uid="{00000000-0005-0000-0000-0000B9510000}"/>
    <cellStyle name="Normal 186 3 3 2" xfId="21191" xr:uid="{00000000-0005-0000-0000-0000BA510000}"/>
    <cellStyle name="Normal 186 3 3 3" xfId="21192" xr:uid="{00000000-0005-0000-0000-0000BB510000}"/>
    <cellStyle name="Normal 186 3 4" xfId="21193" xr:uid="{00000000-0005-0000-0000-0000BC510000}"/>
    <cellStyle name="Normal 186 3 4 2" xfId="21194" xr:uid="{00000000-0005-0000-0000-0000BD510000}"/>
    <cellStyle name="Normal 186 3 4 3" xfId="21195" xr:uid="{00000000-0005-0000-0000-0000BE510000}"/>
    <cellStyle name="Normal 186 3 5" xfId="21196" xr:uid="{00000000-0005-0000-0000-0000BF510000}"/>
    <cellStyle name="Normal 186 3 6" xfId="21197" xr:uid="{00000000-0005-0000-0000-0000C0510000}"/>
    <cellStyle name="Normal 186 3 7" xfId="21198" xr:uid="{00000000-0005-0000-0000-0000C1510000}"/>
    <cellStyle name="Normal 186 3 8" xfId="21199" xr:uid="{00000000-0005-0000-0000-0000C2510000}"/>
    <cellStyle name="Normal 186 4" xfId="21200" xr:uid="{00000000-0005-0000-0000-0000C3510000}"/>
    <cellStyle name="Normal 186 4 2" xfId="21201" xr:uid="{00000000-0005-0000-0000-0000C4510000}"/>
    <cellStyle name="Normal 186 4 2 2" xfId="21202" xr:uid="{00000000-0005-0000-0000-0000C5510000}"/>
    <cellStyle name="Normal 186 4 2 3" xfId="21203" xr:uid="{00000000-0005-0000-0000-0000C6510000}"/>
    <cellStyle name="Normal 186 4 3" xfId="21204" xr:uid="{00000000-0005-0000-0000-0000C7510000}"/>
    <cellStyle name="Normal 186 4 3 2" xfId="21205" xr:uid="{00000000-0005-0000-0000-0000C8510000}"/>
    <cellStyle name="Normal 186 4 3 3" xfId="21206" xr:uid="{00000000-0005-0000-0000-0000C9510000}"/>
    <cellStyle name="Normal 186 4 4" xfId="21207" xr:uid="{00000000-0005-0000-0000-0000CA510000}"/>
    <cellStyle name="Normal 186 4 5" xfId="21208" xr:uid="{00000000-0005-0000-0000-0000CB510000}"/>
    <cellStyle name="Normal 186 4 6" xfId="21209" xr:uid="{00000000-0005-0000-0000-0000CC510000}"/>
    <cellStyle name="Normal 186 5" xfId="21210" xr:uid="{00000000-0005-0000-0000-0000CD510000}"/>
    <cellStyle name="Normal 186 5 2" xfId="21211" xr:uid="{00000000-0005-0000-0000-0000CE510000}"/>
    <cellStyle name="Normal 186 5 3" xfId="21212" xr:uid="{00000000-0005-0000-0000-0000CF510000}"/>
    <cellStyle name="Normal 186 6" xfId="21213" xr:uid="{00000000-0005-0000-0000-0000D0510000}"/>
    <cellStyle name="Normal 186 6 2" xfId="21214" xr:uid="{00000000-0005-0000-0000-0000D1510000}"/>
    <cellStyle name="Normal 186 6 3" xfId="21215" xr:uid="{00000000-0005-0000-0000-0000D2510000}"/>
    <cellStyle name="Normal 186 7" xfId="21216" xr:uid="{00000000-0005-0000-0000-0000D3510000}"/>
    <cellStyle name="Normal 186 8" xfId="21217" xr:uid="{00000000-0005-0000-0000-0000D4510000}"/>
    <cellStyle name="Normal 186 9" xfId="21218" xr:uid="{00000000-0005-0000-0000-0000D5510000}"/>
    <cellStyle name="Normal 187" xfId="2181" xr:uid="{00000000-0005-0000-0000-0000D6510000}"/>
    <cellStyle name="Normal 187 10" xfId="21219" xr:uid="{00000000-0005-0000-0000-0000D7510000}"/>
    <cellStyle name="Normal 187 11" xfId="21220" xr:uid="{00000000-0005-0000-0000-0000D8510000}"/>
    <cellStyle name="Normal 187 12" xfId="21221" xr:uid="{00000000-0005-0000-0000-0000D9510000}"/>
    <cellStyle name="Normal 187 2" xfId="21222" xr:uid="{00000000-0005-0000-0000-0000DA510000}"/>
    <cellStyle name="Normal 187 2 2" xfId="21223" xr:uid="{00000000-0005-0000-0000-0000DB510000}"/>
    <cellStyle name="Normal 187 2 2 2" xfId="21224" xr:uid="{00000000-0005-0000-0000-0000DC510000}"/>
    <cellStyle name="Normal 187 2 2 2 2" xfId="21225" xr:uid="{00000000-0005-0000-0000-0000DD510000}"/>
    <cellStyle name="Normal 187 2 2 2 2 2" xfId="21226" xr:uid="{00000000-0005-0000-0000-0000DE510000}"/>
    <cellStyle name="Normal 187 2 2 2 2 3" xfId="21227" xr:uid="{00000000-0005-0000-0000-0000DF510000}"/>
    <cellStyle name="Normal 187 2 2 2 3" xfId="21228" xr:uid="{00000000-0005-0000-0000-0000E0510000}"/>
    <cellStyle name="Normal 187 2 2 2 3 2" xfId="21229" xr:uid="{00000000-0005-0000-0000-0000E1510000}"/>
    <cellStyle name="Normal 187 2 2 2 3 3" xfId="21230" xr:uid="{00000000-0005-0000-0000-0000E2510000}"/>
    <cellStyle name="Normal 187 2 2 2 4" xfId="21231" xr:uid="{00000000-0005-0000-0000-0000E3510000}"/>
    <cellStyle name="Normal 187 2 2 2 5" xfId="21232" xr:uid="{00000000-0005-0000-0000-0000E4510000}"/>
    <cellStyle name="Normal 187 2 2 2 6" xfId="21233" xr:uid="{00000000-0005-0000-0000-0000E5510000}"/>
    <cellStyle name="Normal 187 2 2 3" xfId="21234" xr:uid="{00000000-0005-0000-0000-0000E6510000}"/>
    <cellStyle name="Normal 187 2 2 3 2" xfId="21235" xr:uid="{00000000-0005-0000-0000-0000E7510000}"/>
    <cellStyle name="Normal 187 2 2 3 3" xfId="21236" xr:uid="{00000000-0005-0000-0000-0000E8510000}"/>
    <cellStyle name="Normal 187 2 2 4" xfId="21237" xr:uid="{00000000-0005-0000-0000-0000E9510000}"/>
    <cellStyle name="Normal 187 2 2 4 2" xfId="21238" xr:uid="{00000000-0005-0000-0000-0000EA510000}"/>
    <cellStyle name="Normal 187 2 2 4 3" xfId="21239" xr:uid="{00000000-0005-0000-0000-0000EB510000}"/>
    <cellStyle name="Normal 187 2 2 5" xfId="21240" xr:uid="{00000000-0005-0000-0000-0000EC510000}"/>
    <cellStyle name="Normal 187 2 2 6" xfId="21241" xr:uid="{00000000-0005-0000-0000-0000ED510000}"/>
    <cellStyle name="Normal 187 2 2 7" xfId="21242" xr:uid="{00000000-0005-0000-0000-0000EE510000}"/>
    <cellStyle name="Normal 187 2 2 8" xfId="21243" xr:uid="{00000000-0005-0000-0000-0000EF510000}"/>
    <cellStyle name="Normal 187 2 3" xfId="21244" xr:uid="{00000000-0005-0000-0000-0000F0510000}"/>
    <cellStyle name="Normal 187 2 3 2" xfId="21245" xr:uid="{00000000-0005-0000-0000-0000F1510000}"/>
    <cellStyle name="Normal 187 2 3 2 2" xfId="21246" xr:uid="{00000000-0005-0000-0000-0000F2510000}"/>
    <cellStyle name="Normal 187 2 3 2 3" xfId="21247" xr:uid="{00000000-0005-0000-0000-0000F3510000}"/>
    <cellStyle name="Normal 187 2 3 3" xfId="21248" xr:uid="{00000000-0005-0000-0000-0000F4510000}"/>
    <cellStyle name="Normal 187 2 3 3 2" xfId="21249" xr:uid="{00000000-0005-0000-0000-0000F5510000}"/>
    <cellStyle name="Normal 187 2 3 3 3" xfId="21250" xr:uid="{00000000-0005-0000-0000-0000F6510000}"/>
    <cellStyle name="Normal 187 2 3 4" xfId="21251" xr:uid="{00000000-0005-0000-0000-0000F7510000}"/>
    <cellStyle name="Normal 187 2 3 5" xfId="21252" xr:uid="{00000000-0005-0000-0000-0000F8510000}"/>
    <cellStyle name="Normal 187 2 3 6" xfId="21253" xr:uid="{00000000-0005-0000-0000-0000F9510000}"/>
    <cellStyle name="Normal 187 2 4" xfId="21254" xr:uid="{00000000-0005-0000-0000-0000FA510000}"/>
    <cellStyle name="Normal 187 2 4 2" xfId="21255" xr:uid="{00000000-0005-0000-0000-0000FB510000}"/>
    <cellStyle name="Normal 187 2 4 3" xfId="21256" xr:uid="{00000000-0005-0000-0000-0000FC510000}"/>
    <cellStyle name="Normal 187 2 5" xfId="21257" xr:uid="{00000000-0005-0000-0000-0000FD510000}"/>
    <cellStyle name="Normal 187 2 5 2" xfId="21258" xr:uid="{00000000-0005-0000-0000-0000FE510000}"/>
    <cellStyle name="Normal 187 2 5 3" xfId="21259" xr:uid="{00000000-0005-0000-0000-0000FF510000}"/>
    <cellStyle name="Normal 187 2 6" xfId="21260" xr:uid="{00000000-0005-0000-0000-000000520000}"/>
    <cellStyle name="Normal 187 2 7" xfId="21261" xr:uid="{00000000-0005-0000-0000-000001520000}"/>
    <cellStyle name="Normal 187 2 8" xfId="21262" xr:uid="{00000000-0005-0000-0000-000002520000}"/>
    <cellStyle name="Normal 187 2 9" xfId="21263" xr:uid="{00000000-0005-0000-0000-000003520000}"/>
    <cellStyle name="Normal 187 3" xfId="21264" xr:uid="{00000000-0005-0000-0000-000004520000}"/>
    <cellStyle name="Normal 187 3 2" xfId="21265" xr:uid="{00000000-0005-0000-0000-000005520000}"/>
    <cellStyle name="Normal 187 3 2 2" xfId="21266" xr:uid="{00000000-0005-0000-0000-000006520000}"/>
    <cellStyle name="Normal 187 3 2 2 2" xfId="21267" xr:uid="{00000000-0005-0000-0000-000007520000}"/>
    <cellStyle name="Normal 187 3 2 2 3" xfId="21268" xr:uid="{00000000-0005-0000-0000-000008520000}"/>
    <cellStyle name="Normal 187 3 2 3" xfId="21269" xr:uid="{00000000-0005-0000-0000-000009520000}"/>
    <cellStyle name="Normal 187 3 2 3 2" xfId="21270" xr:uid="{00000000-0005-0000-0000-00000A520000}"/>
    <cellStyle name="Normal 187 3 2 3 3" xfId="21271" xr:uid="{00000000-0005-0000-0000-00000B520000}"/>
    <cellStyle name="Normal 187 3 2 4" xfId="21272" xr:uid="{00000000-0005-0000-0000-00000C520000}"/>
    <cellStyle name="Normal 187 3 2 5" xfId="21273" xr:uid="{00000000-0005-0000-0000-00000D520000}"/>
    <cellStyle name="Normal 187 3 2 6" xfId="21274" xr:uid="{00000000-0005-0000-0000-00000E520000}"/>
    <cellStyle name="Normal 187 3 3" xfId="21275" xr:uid="{00000000-0005-0000-0000-00000F520000}"/>
    <cellStyle name="Normal 187 3 3 2" xfId="21276" xr:uid="{00000000-0005-0000-0000-000010520000}"/>
    <cellStyle name="Normal 187 3 3 3" xfId="21277" xr:uid="{00000000-0005-0000-0000-000011520000}"/>
    <cellStyle name="Normal 187 3 4" xfId="21278" xr:uid="{00000000-0005-0000-0000-000012520000}"/>
    <cellStyle name="Normal 187 3 4 2" xfId="21279" xr:uid="{00000000-0005-0000-0000-000013520000}"/>
    <cellStyle name="Normal 187 3 4 3" xfId="21280" xr:uid="{00000000-0005-0000-0000-000014520000}"/>
    <cellStyle name="Normal 187 3 5" xfId="21281" xr:uid="{00000000-0005-0000-0000-000015520000}"/>
    <cellStyle name="Normal 187 3 6" xfId="21282" xr:uid="{00000000-0005-0000-0000-000016520000}"/>
    <cellStyle name="Normal 187 3 7" xfId="21283" xr:uid="{00000000-0005-0000-0000-000017520000}"/>
    <cellStyle name="Normal 187 3 8" xfId="21284" xr:uid="{00000000-0005-0000-0000-000018520000}"/>
    <cellStyle name="Normal 187 4" xfId="21285" xr:uid="{00000000-0005-0000-0000-000019520000}"/>
    <cellStyle name="Normal 187 4 2" xfId="21286" xr:uid="{00000000-0005-0000-0000-00001A520000}"/>
    <cellStyle name="Normal 187 4 2 2" xfId="21287" xr:uid="{00000000-0005-0000-0000-00001B520000}"/>
    <cellStyle name="Normal 187 4 2 3" xfId="21288" xr:uid="{00000000-0005-0000-0000-00001C520000}"/>
    <cellStyle name="Normal 187 4 3" xfId="21289" xr:uid="{00000000-0005-0000-0000-00001D520000}"/>
    <cellStyle name="Normal 187 4 3 2" xfId="21290" xr:uid="{00000000-0005-0000-0000-00001E520000}"/>
    <cellStyle name="Normal 187 4 3 3" xfId="21291" xr:uid="{00000000-0005-0000-0000-00001F520000}"/>
    <cellStyle name="Normal 187 4 4" xfId="21292" xr:uid="{00000000-0005-0000-0000-000020520000}"/>
    <cellStyle name="Normal 187 4 5" xfId="21293" xr:uid="{00000000-0005-0000-0000-000021520000}"/>
    <cellStyle name="Normal 187 4 6" xfId="21294" xr:uid="{00000000-0005-0000-0000-000022520000}"/>
    <cellStyle name="Normal 187 5" xfId="21295" xr:uid="{00000000-0005-0000-0000-000023520000}"/>
    <cellStyle name="Normal 187 5 2" xfId="21296" xr:uid="{00000000-0005-0000-0000-000024520000}"/>
    <cellStyle name="Normal 187 5 3" xfId="21297" xr:uid="{00000000-0005-0000-0000-000025520000}"/>
    <cellStyle name="Normal 187 6" xfId="21298" xr:uid="{00000000-0005-0000-0000-000026520000}"/>
    <cellStyle name="Normal 187 6 2" xfId="21299" xr:uid="{00000000-0005-0000-0000-000027520000}"/>
    <cellStyle name="Normal 187 6 3" xfId="21300" xr:uid="{00000000-0005-0000-0000-000028520000}"/>
    <cellStyle name="Normal 187 7" xfId="21301" xr:uid="{00000000-0005-0000-0000-000029520000}"/>
    <cellStyle name="Normal 187 8" xfId="21302" xr:uid="{00000000-0005-0000-0000-00002A520000}"/>
    <cellStyle name="Normal 187 9" xfId="21303" xr:uid="{00000000-0005-0000-0000-00002B520000}"/>
    <cellStyle name="Normal 188" xfId="2182" xr:uid="{00000000-0005-0000-0000-00002C520000}"/>
    <cellStyle name="Normal 188 10" xfId="21304" xr:uid="{00000000-0005-0000-0000-00002D520000}"/>
    <cellStyle name="Normal 188 11" xfId="21305" xr:uid="{00000000-0005-0000-0000-00002E520000}"/>
    <cellStyle name="Normal 188 12" xfId="21306" xr:uid="{00000000-0005-0000-0000-00002F520000}"/>
    <cellStyle name="Normal 188 2" xfId="21307" xr:uid="{00000000-0005-0000-0000-000030520000}"/>
    <cellStyle name="Normal 188 2 2" xfId="21308" xr:uid="{00000000-0005-0000-0000-000031520000}"/>
    <cellStyle name="Normal 188 2 2 2" xfId="21309" xr:uid="{00000000-0005-0000-0000-000032520000}"/>
    <cellStyle name="Normal 188 2 2 2 2" xfId="21310" xr:uid="{00000000-0005-0000-0000-000033520000}"/>
    <cellStyle name="Normal 188 2 2 2 2 2" xfId="21311" xr:uid="{00000000-0005-0000-0000-000034520000}"/>
    <cellStyle name="Normal 188 2 2 2 2 3" xfId="21312" xr:uid="{00000000-0005-0000-0000-000035520000}"/>
    <cellStyle name="Normal 188 2 2 2 3" xfId="21313" xr:uid="{00000000-0005-0000-0000-000036520000}"/>
    <cellStyle name="Normal 188 2 2 2 3 2" xfId="21314" xr:uid="{00000000-0005-0000-0000-000037520000}"/>
    <cellStyle name="Normal 188 2 2 2 3 3" xfId="21315" xr:uid="{00000000-0005-0000-0000-000038520000}"/>
    <cellStyle name="Normal 188 2 2 2 4" xfId="21316" xr:uid="{00000000-0005-0000-0000-000039520000}"/>
    <cellStyle name="Normal 188 2 2 2 5" xfId="21317" xr:uid="{00000000-0005-0000-0000-00003A520000}"/>
    <cellStyle name="Normal 188 2 2 2 6" xfId="21318" xr:uid="{00000000-0005-0000-0000-00003B520000}"/>
    <cellStyle name="Normal 188 2 2 3" xfId="21319" xr:uid="{00000000-0005-0000-0000-00003C520000}"/>
    <cellStyle name="Normal 188 2 2 3 2" xfId="21320" xr:uid="{00000000-0005-0000-0000-00003D520000}"/>
    <cellStyle name="Normal 188 2 2 3 3" xfId="21321" xr:uid="{00000000-0005-0000-0000-00003E520000}"/>
    <cellStyle name="Normal 188 2 2 4" xfId="21322" xr:uid="{00000000-0005-0000-0000-00003F520000}"/>
    <cellStyle name="Normal 188 2 2 4 2" xfId="21323" xr:uid="{00000000-0005-0000-0000-000040520000}"/>
    <cellStyle name="Normal 188 2 2 4 3" xfId="21324" xr:uid="{00000000-0005-0000-0000-000041520000}"/>
    <cellStyle name="Normal 188 2 2 5" xfId="21325" xr:uid="{00000000-0005-0000-0000-000042520000}"/>
    <cellStyle name="Normal 188 2 2 6" xfId="21326" xr:uid="{00000000-0005-0000-0000-000043520000}"/>
    <cellStyle name="Normal 188 2 2 7" xfId="21327" xr:uid="{00000000-0005-0000-0000-000044520000}"/>
    <cellStyle name="Normal 188 2 2 8" xfId="21328" xr:uid="{00000000-0005-0000-0000-000045520000}"/>
    <cellStyle name="Normal 188 2 3" xfId="21329" xr:uid="{00000000-0005-0000-0000-000046520000}"/>
    <cellStyle name="Normal 188 2 3 2" xfId="21330" xr:uid="{00000000-0005-0000-0000-000047520000}"/>
    <cellStyle name="Normal 188 2 3 2 2" xfId="21331" xr:uid="{00000000-0005-0000-0000-000048520000}"/>
    <cellStyle name="Normal 188 2 3 2 3" xfId="21332" xr:uid="{00000000-0005-0000-0000-000049520000}"/>
    <cellStyle name="Normal 188 2 3 3" xfId="21333" xr:uid="{00000000-0005-0000-0000-00004A520000}"/>
    <cellStyle name="Normal 188 2 3 3 2" xfId="21334" xr:uid="{00000000-0005-0000-0000-00004B520000}"/>
    <cellStyle name="Normal 188 2 3 3 3" xfId="21335" xr:uid="{00000000-0005-0000-0000-00004C520000}"/>
    <cellStyle name="Normal 188 2 3 4" xfId="21336" xr:uid="{00000000-0005-0000-0000-00004D520000}"/>
    <cellStyle name="Normal 188 2 3 5" xfId="21337" xr:uid="{00000000-0005-0000-0000-00004E520000}"/>
    <cellStyle name="Normal 188 2 3 6" xfId="21338" xr:uid="{00000000-0005-0000-0000-00004F520000}"/>
    <cellStyle name="Normal 188 2 4" xfId="21339" xr:uid="{00000000-0005-0000-0000-000050520000}"/>
    <cellStyle name="Normal 188 2 4 2" xfId="21340" xr:uid="{00000000-0005-0000-0000-000051520000}"/>
    <cellStyle name="Normal 188 2 4 3" xfId="21341" xr:uid="{00000000-0005-0000-0000-000052520000}"/>
    <cellStyle name="Normal 188 2 5" xfId="21342" xr:uid="{00000000-0005-0000-0000-000053520000}"/>
    <cellStyle name="Normal 188 2 5 2" xfId="21343" xr:uid="{00000000-0005-0000-0000-000054520000}"/>
    <cellStyle name="Normal 188 2 5 3" xfId="21344" xr:uid="{00000000-0005-0000-0000-000055520000}"/>
    <cellStyle name="Normal 188 2 6" xfId="21345" xr:uid="{00000000-0005-0000-0000-000056520000}"/>
    <cellStyle name="Normal 188 2 7" xfId="21346" xr:uid="{00000000-0005-0000-0000-000057520000}"/>
    <cellStyle name="Normal 188 2 8" xfId="21347" xr:uid="{00000000-0005-0000-0000-000058520000}"/>
    <cellStyle name="Normal 188 2 9" xfId="21348" xr:uid="{00000000-0005-0000-0000-000059520000}"/>
    <cellStyle name="Normal 188 3" xfId="21349" xr:uid="{00000000-0005-0000-0000-00005A520000}"/>
    <cellStyle name="Normal 188 3 2" xfId="21350" xr:uid="{00000000-0005-0000-0000-00005B520000}"/>
    <cellStyle name="Normal 188 3 2 2" xfId="21351" xr:uid="{00000000-0005-0000-0000-00005C520000}"/>
    <cellStyle name="Normal 188 3 2 2 2" xfId="21352" xr:uid="{00000000-0005-0000-0000-00005D520000}"/>
    <cellStyle name="Normal 188 3 2 2 3" xfId="21353" xr:uid="{00000000-0005-0000-0000-00005E520000}"/>
    <cellStyle name="Normal 188 3 2 3" xfId="21354" xr:uid="{00000000-0005-0000-0000-00005F520000}"/>
    <cellStyle name="Normal 188 3 2 3 2" xfId="21355" xr:uid="{00000000-0005-0000-0000-000060520000}"/>
    <cellStyle name="Normal 188 3 2 3 3" xfId="21356" xr:uid="{00000000-0005-0000-0000-000061520000}"/>
    <cellStyle name="Normal 188 3 2 4" xfId="21357" xr:uid="{00000000-0005-0000-0000-000062520000}"/>
    <cellStyle name="Normal 188 3 2 5" xfId="21358" xr:uid="{00000000-0005-0000-0000-000063520000}"/>
    <cellStyle name="Normal 188 3 2 6" xfId="21359" xr:uid="{00000000-0005-0000-0000-000064520000}"/>
    <cellStyle name="Normal 188 3 3" xfId="21360" xr:uid="{00000000-0005-0000-0000-000065520000}"/>
    <cellStyle name="Normal 188 3 3 2" xfId="21361" xr:uid="{00000000-0005-0000-0000-000066520000}"/>
    <cellStyle name="Normal 188 3 3 3" xfId="21362" xr:uid="{00000000-0005-0000-0000-000067520000}"/>
    <cellStyle name="Normal 188 3 4" xfId="21363" xr:uid="{00000000-0005-0000-0000-000068520000}"/>
    <cellStyle name="Normal 188 3 4 2" xfId="21364" xr:uid="{00000000-0005-0000-0000-000069520000}"/>
    <cellStyle name="Normal 188 3 4 3" xfId="21365" xr:uid="{00000000-0005-0000-0000-00006A520000}"/>
    <cellStyle name="Normal 188 3 5" xfId="21366" xr:uid="{00000000-0005-0000-0000-00006B520000}"/>
    <cellStyle name="Normal 188 3 6" xfId="21367" xr:uid="{00000000-0005-0000-0000-00006C520000}"/>
    <cellStyle name="Normal 188 3 7" xfId="21368" xr:uid="{00000000-0005-0000-0000-00006D520000}"/>
    <cellStyle name="Normal 188 3 8" xfId="21369" xr:uid="{00000000-0005-0000-0000-00006E520000}"/>
    <cellStyle name="Normal 188 4" xfId="21370" xr:uid="{00000000-0005-0000-0000-00006F520000}"/>
    <cellStyle name="Normal 188 4 2" xfId="21371" xr:uid="{00000000-0005-0000-0000-000070520000}"/>
    <cellStyle name="Normal 188 4 2 2" xfId="21372" xr:uid="{00000000-0005-0000-0000-000071520000}"/>
    <cellStyle name="Normal 188 4 2 3" xfId="21373" xr:uid="{00000000-0005-0000-0000-000072520000}"/>
    <cellStyle name="Normal 188 4 3" xfId="21374" xr:uid="{00000000-0005-0000-0000-000073520000}"/>
    <cellStyle name="Normal 188 4 3 2" xfId="21375" xr:uid="{00000000-0005-0000-0000-000074520000}"/>
    <cellStyle name="Normal 188 4 3 3" xfId="21376" xr:uid="{00000000-0005-0000-0000-000075520000}"/>
    <cellStyle name="Normal 188 4 4" xfId="21377" xr:uid="{00000000-0005-0000-0000-000076520000}"/>
    <cellStyle name="Normal 188 4 5" xfId="21378" xr:uid="{00000000-0005-0000-0000-000077520000}"/>
    <cellStyle name="Normal 188 4 6" xfId="21379" xr:uid="{00000000-0005-0000-0000-000078520000}"/>
    <cellStyle name="Normal 188 5" xfId="21380" xr:uid="{00000000-0005-0000-0000-000079520000}"/>
    <cellStyle name="Normal 188 5 2" xfId="21381" xr:uid="{00000000-0005-0000-0000-00007A520000}"/>
    <cellStyle name="Normal 188 5 3" xfId="21382" xr:uid="{00000000-0005-0000-0000-00007B520000}"/>
    <cellStyle name="Normal 188 6" xfId="21383" xr:uid="{00000000-0005-0000-0000-00007C520000}"/>
    <cellStyle name="Normal 188 6 2" xfId="21384" xr:uid="{00000000-0005-0000-0000-00007D520000}"/>
    <cellStyle name="Normal 188 6 3" xfId="21385" xr:uid="{00000000-0005-0000-0000-00007E520000}"/>
    <cellStyle name="Normal 188 7" xfId="21386" xr:uid="{00000000-0005-0000-0000-00007F520000}"/>
    <cellStyle name="Normal 188 8" xfId="21387" xr:uid="{00000000-0005-0000-0000-000080520000}"/>
    <cellStyle name="Normal 188 9" xfId="21388" xr:uid="{00000000-0005-0000-0000-000081520000}"/>
    <cellStyle name="Normal 189" xfId="2183" xr:uid="{00000000-0005-0000-0000-000082520000}"/>
    <cellStyle name="Normal 189 10" xfId="21389" xr:uid="{00000000-0005-0000-0000-000083520000}"/>
    <cellStyle name="Normal 189 11" xfId="21390" xr:uid="{00000000-0005-0000-0000-000084520000}"/>
    <cellStyle name="Normal 189 12" xfId="21391" xr:uid="{00000000-0005-0000-0000-000085520000}"/>
    <cellStyle name="Normal 189 2" xfId="21392" xr:uid="{00000000-0005-0000-0000-000086520000}"/>
    <cellStyle name="Normal 189 2 2" xfId="21393" xr:uid="{00000000-0005-0000-0000-000087520000}"/>
    <cellStyle name="Normal 189 2 2 2" xfId="21394" xr:uid="{00000000-0005-0000-0000-000088520000}"/>
    <cellStyle name="Normal 189 2 2 2 2" xfId="21395" xr:uid="{00000000-0005-0000-0000-000089520000}"/>
    <cellStyle name="Normal 189 2 2 2 2 2" xfId="21396" xr:uid="{00000000-0005-0000-0000-00008A520000}"/>
    <cellStyle name="Normal 189 2 2 2 2 3" xfId="21397" xr:uid="{00000000-0005-0000-0000-00008B520000}"/>
    <cellStyle name="Normal 189 2 2 2 3" xfId="21398" xr:uid="{00000000-0005-0000-0000-00008C520000}"/>
    <cellStyle name="Normal 189 2 2 2 3 2" xfId="21399" xr:uid="{00000000-0005-0000-0000-00008D520000}"/>
    <cellStyle name="Normal 189 2 2 2 3 3" xfId="21400" xr:uid="{00000000-0005-0000-0000-00008E520000}"/>
    <cellStyle name="Normal 189 2 2 2 4" xfId="21401" xr:uid="{00000000-0005-0000-0000-00008F520000}"/>
    <cellStyle name="Normal 189 2 2 2 5" xfId="21402" xr:uid="{00000000-0005-0000-0000-000090520000}"/>
    <cellStyle name="Normal 189 2 2 2 6" xfId="21403" xr:uid="{00000000-0005-0000-0000-000091520000}"/>
    <cellStyle name="Normal 189 2 2 3" xfId="21404" xr:uid="{00000000-0005-0000-0000-000092520000}"/>
    <cellStyle name="Normal 189 2 2 3 2" xfId="21405" xr:uid="{00000000-0005-0000-0000-000093520000}"/>
    <cellStyle name="Normal 189 2 2 3 3" xfId="21406" xr:uid="{00000000-0005-0000-0000-000094520000}"/>
    <cellStyle name="Normal 189 2 2 4" xfId="21407" xr:uid="{00000000-0005-0000-0000-000095520000}"/>
    <cellStyle name="Normal 189 2 2 4 2" xfId="21408" xr:uid="{00000000-0005-0000-0000-000096520000}"/>
    <cellStyle name="Normal 189 2 2 4 3" xfId="21409" xr:uid="{00000000-0005-0000-0000-000097520000}"/>
    <cellStyle name="Normal 189 2 2 5" xfId="21410" xr:uid="{00000000-0005-0000-0000-000098520000}"/>
    <cellStyle name="Normal 189 2 2 6" xfId="21411" xr:uid="{00000000-0005-0000-0000-000099520000}"/>
    <cellStyle name="Normal 189 2 2 7" xfId="21412" xr:uid="{00000000-0005-0000-0000-00009A520000}"/>
    <cellStyle name="Normal 189 2 2 8" xfId="21413" xr:uid="{00000000-0005-0000-0000-00009B520000}"/>
    <cellStyle name="Normal 189 2 3" xfId="21414" xr:uid="{00000000-0005-0000-0000-00009C520000}"/>
    <cellStyle name="Normal 189 2 3 2" xfId="21415" xr:uid="{00000000-0005-0000-0000-00009D520000}"/>
    <cellStyle name="Normal 189 2 3 2 2" xfId="21416" xr:uid="{00000000-0005-0000-0000-00009E520000}"/>
    <cellStyle name="Normal 189 2 3 2 3" xfId="21417" xr:uid="{00000000-0005-0000-0000-00009F520000}"/>
    <cellStyle name="Normal 189 2 3 3" xfId="21418" xr:uid="{00000000-0005-0000-0000-0000A0520000}"/>
    <cellStyle name="Normal 189 2 3 3 2" xfId="21419" xr:uid="{00000000-0005-0000-0000-0000A1520000}"/>
    <cellStyle name="Normal 189 2 3 3 3" xfId="21420" xr:uid="{00000000-0005-0000-0000-0000A2520000}"/>
    <cellStyle name="Normal 189 2 3 4" xfId="21421" xr:uid="{00000000-0005-0000-0000-0000A3520000}"/>
    <cellStyle name="Normal 189 2 3 5" xfId="21422" xr:uid="{00000000-0005-0000-0000-0000A4520000}"/>
    <cellStyle name="Normal 189 2 3 6" xfId="21423" xr:uid="{00000000-0005-0000-0000-0000A5520000}"/>
    <cellStyle name="Normal 189 2 4" xfId="21424" xr:uid="{00000000-0005-0000-0000-0000A6520000}"/>
    <cellStyle name="Normal 189 2 4 2" xfId="21425" xr:uid="{00000000-0005-0000-0000-0000A7520000}"/>
    <cellStyle name="Normal 189 2 4 3" xfId="21426" xr:uid="{00000000-0005-0000-0000-0000A8520000}"/>
    <cellStyle name="Normal 189 2 5" xfId="21427" xr:uid="{00000000-0005-0000-0000-0000A9520000}"/>
    <cellStyle name="Normal 189 2 5 2" xfId="21428" xr:uid="{00000000-0005-0000-0000-0000AA520000}"/>
    <cellStyle name="Normal 189 2 5 3" xfId="21429" xr:uid="{00000000-0005-0000-0000-0000AB520000}"/>
    <cellStyle name="Normal 189 2 6" xfId="21430" xr:uid="{00000000-0005-0000-0000-0000AC520000}"/>
    <cellStyle name="Normal 189 2 7" xfId="21431" xr:uid="{00000000-0005-0000-0000-0000AD520000}"/>
    <cellStyle name="Normal 189 2 8" xfId="21432" xr:uid="{00000000-0005-0000-0000-0000AE520000}"/>
    <cellStyle name="Normal 189 2 9" xfId="21433" xr:uid="{00000000-0005-0000-0000-0000AF520000}"/>
    <cellStyle name="Normal 189 3" xfId="21434" xr:uid="{00000000-0005-0000-0000-0000B0520000}"/>
    <cellStyle name="Normal 189 3 2" xfId="21435" xr:uid="{00000000-0005-0000-0000-0000B1520000}"/>
    <cellStyle name="Normal 189 3 2 2" xfId="21436" xr:uid="{00000000-0005-0000-0000-0000B2520000}"/>
    <cellStyle name="Normal 189 3 2 2 2" xfId="21437" xr:uid="{00000000-0005-0000-0000-0000B3520000}"/>
    <cellStyle name="Normal 189 3 2 2 3" xfId="21438" xr:uid="{00000000-0005-0000-0000-0000B4520000}"/>
    <cellStyle name="Normal 189 3 2 3" xfId="21439" xr:uid="{00000000-0005-0000-0000-0000B5520000}"/>
    <cellStyle name="Normal 189 3 2 3 2" xfId="21440" xr:uid="{00000000-0005-0000-0000-0000B6520000}"/>
    <cellStyle name="Normal 189 3 2 3 3" xfId="21441" xr:uid="{00000000-0005-0000-0000-0000B7520000}"/>
    <cellStyle name="Normal 189 3 2 4" xfId="21442" xr:uid="{00000000-0005-0000-0000-0000B8520000}"/>
    <cellStyle name="Normal 189 3 2 5" xfId="21443" xr:uid="{00000000-0005-0000-0000-0000B9520000}"/>
    <cellStyle name="Normal 189 3 2 6" xfId="21444" xr:uid="{00000000-0005-0000-0000-0000BA520000}"/>
    <cellStyle name="Normal 189 3 3" xfId="21445" xr:uid="{00000000-0005-0000-0000-0000BB520000}"/>
    <cellStyle name="Normal 189 3 3 2" xfId="21446" xr:uid="{00000000-0005-0000-0000-0000BC520000}"/>
    <cellStyle name="Normal 189 3 3 3" xfId="21447" xr:uid="{00000000-0005-0000-0000-0000BD520000}"/>
    <cellStyle name="Normal 189 3 4" xfId="21448" xr:uid="{00000000-0005-0000-0000-0000BE520000}"/>
    <cellStyle name="Normal 189 3 4 2" xfId="21449" xr:uid="{00000000-0005-0000-0000-0000BF520000}"/>
    <cellStyle name="Normal 189 3 4 3" xfId="21450" xr:uid="{00000000-0005-0000-0000-0000C0520000}"/>
    <cellStyle name="Normal 189 3 5" xfId="21451" xr:uid="{00000000-0005-0000-0000-0000C1520000}"/>
    <cellStyle name="Normal 189 3 6" xfId="21452" xr:uid="{00000000-0005-0000-0000-0000C2520000}"/>
    <cellStyle name="Normal 189 3 7" xfId="21453" xr:uid="{00000000-0005-0000-0000-0000C3520000}"/>
    <cellStyle name="Normal 189 3 8" xfId="21454" xr:uid="{00000000-0005-0000-0000-0000C4520000}"/>
    <cellStyle name="Normal 189 4" xfId="21455" xr:uid="{00000000-0005-0000-0000-0000C5520000}"/>
    <cellStyle name="Normal 189 4 2" xfId="21456" xr:uid="{00000000-0005-0000-0000-0000C6520000}"/>
    <cellStyle name="Normal 189 4 2 2" xfId="21457" xr:uid="{00000000-0005-0000-0000-0000C7520000}"/>
    <cellStyle name="Normal 189 4 2 3" xfId="21458" xr:uid="{00000000-0005-0000-0000-0000C8520000}"/>
    <cellStyle name="Normal 189 4 3" xfId="21459" xr:uid="{00000000-0005-0000-0000-0000C9520000}"/>
    <cellStyle name="Normal 189 4 3 2" xfId="21460" xr:uid="{00000000-0005-0000-0000-0000CA520000}"/>
    <cellStyle name="Normal 189 4 3 3" xfId="21461" xr:uid="{00000000-0005-0000-0000-0000CB520000}"/>
    <cellStyle name="Normal 189 4 4" xfId="21462" xr:uid="{00000000-0005-0000-0000-0000CC520000}"/>
    <cellStyle name="Normal 189 4 5" xfId="21463" xr:uid="{00000000-0005-0000-0000-0000CD520000}"/>
    <cellStyle name="Normal 189 4 6" xfId="21464" xr:uid="{00000000-0005-0000-0000-0000CE520000}"/>
    <cellStyle name="Normal 189 5" xfId="21465" xr:uid="{00000000-0005-0000-0000-0000CF520000}"/>
    <cellStyle name="Normal 189 5 2" xfId="21466" xr:uid="{00000000-0005-0000-0000-0000D0520000}"/>
    <cellStyle name="Normal 189 5 3" xfId="21467" xr:uid="{00000000-0005-0000-0000-0000D1520000}"/>
    <cellStyle name="Normal 189 6" xfId="21468" xr:uid="{00000000-0005-0000-0000-0000D2520000}"/>
    <cellStyle name="Normal 189 6 2" xfId="21469" xr:uid="{00000000-0005-0000-0000-0000D3520000}"/>
    <cellStyle name="Normal 189 6 3" xfId="21470" xr:uid="{00000000-0005-0000-0000-0000D4520000}"/>
    <cellStyle name="Normal 189 7" xfId="21471" xr:uid="{00000000-0005-0000-0000-0000D5520000}"/>
    <cellStyle name="Normal 189 8" xfId="21472" xr:uid="{00000000-0005-0000-0000-0000D6520000}"/>
    <cellStyle name="Normal 189 9" xfId="21473" xr:uid="{00000000-0005-0000-0000-0000D7520000}"/>
    <cellStyle name="Normal 19" xfId="2184" xr:uid="{00000000-0005-0000-0000-0000D8520000}"/>
    <cellStyle name="Normal 19 2" xfId="21474" xr:uid="{00000000-0005-0000-0000-0000D9520000}"/>
    <cellStyle name="Normal 19 3" xfId="21475" xr:uid="{00000000-0005-0000-0000-0000DA520000}"/>
    <cellStyle name="Normal 19 4" xfId="21476" xr:uid="{00000000-0005-0000-0000-0000DB520000}"/>
    <cellStyle name="Normal 19 5" xfId="21477" xr:uid="{00000000-0005-0000-0000-0000DC520000}"/>
    <cellStyle name="Normal 19 5 2" xfId="21478" xr:uid="{00000000-0005-0000-0000-0000DD520000}"/>
    <cellStyle name="Normal 19 6" xfId="21479" xr:uid="{00000000-0005-0000-0000-0000DE520000}"/>
    <cellStyle name="Normal 19 7" xfId="21480" xr:uid="{00000000-0005-0000-0000-0000DF520000}"/>
    <cellStyle name="Normal 190" xfId="2185" xr:uid="{00000000-0005-0000-0000-0000E0520000}"/>
    <cellStyle name="Normal 190 10" xfId="21481" xr:uid="{00000000-0005-0000-0000-0000E1520000}"/>
    <cellStyle name="Normal 190 11" xfId="21482" xr:uid="{00000000-0005-0000-0000-0000E2520000}"/>
    <cellStyle name="Normal 190 12" xfId="21483" xr:uid="{00000000-0005-0000-0000-0000E3520000}"/>
    <cellStyle name="Normal 190 2" xfId="21484" xr:uid="{00000000-0005-0000-0000-0000E4520000}"/>
    <cellStyle name="Normal 190 2 2" xfId="21485" xr:uid="{00000000-0005-0000-0000-0000E5520000}"/>
    <cellStyle name="Normal 190 2 2 2" xfId="21486" xr:uid="{00000000-0005-0000-0000-0000E6520000}"/>
    <cellStyle name="Normal 190 2 2 2 2" xfId="21487" xr:uid="{00000000-0005-0000-0000-0000E7520000}"/>
    <cellStyle name="Normal 190 2 2 2 2 2" xfId="21488" xr:uid="{00000000-0005-0000-0000-0000E8520000}"/>
    <cellStyle name="Normal 190 2 2 2 2 3" xfId="21489" xr:uid="{00000000-0005-0000-0000-0000E9520000}"/>
    <cellStyle name="Normal 190 2 2 2 3" xfId="21490" xr:uid="{00000000-0005-0000-0000-0000EA520000}"/>
    <cellStyle name="Normal 190 2 2 2 3 2" xfId="21491" xr:uid="{00000000-0005-0000-0000-0000EB520000}"/>
    <cellStyle name="Normal 190 2 2 2 3 3" xfId="21492" xr:uid="{00000000-0005-0000-0000-0000EC520000}"/>
    <cellStyle name="Normal 190 2 2 2 4" xfId="21493" xr:uid="{00000000-0005-0000-0000-0000ED520000}"/>
    <cellStyle name="Normal 190 2 2 2 5" xfId="21494" xr:uid="{00000000-0005-0000-0000-0000EE520000}"/>
    <cellStyle name="Normal 190 2 2 2 6" xfId="21495" xr:uid="{00000000-0005-0000-0000-0000EF520000}"/>
    <cellStyle name="Normal 190 2 2 3" xfId="21496" xr:uid="{00000000-0005-0000-0000-0000F0520000}"/>
    <cellStyle name="Normal 190 2 2 3 2" xfId="21497" xr:uid="{00000000-0005-0000-0000-0000F1520000}"/>
    <cellStyle name="Normal 190 2 2 3 3" xfId="21498" xr:uid="{00000000-0005-0000-0000-0000F2520000}"/>
    <cellStyle name="Normal 190 2 2 4" xfId="21499" xr:uid="{00000000-0005-0000-0000-0000F3520000}"/>
    <cellStyle name="Normal 190 2 2 4 2" xfId="21500" xr:uid="{00000000-0005-0000-0000-0000F4520000}"/>
    <cellStyle name="Normal 190 2 2 4 3" xfId="21501" xr:uid="{00000000-0005-0000-0000-0000F5520000}"/>
    <cellStyle name="Normal 190 2 2 5" xfId="21502" xr:uid="{00000000-0005-0000-0000-0000F6520000}"/>
    <cellStyle name="Normal 190 2 2 6" xfId="21503" xr:uid="{00000000-0005-0000-0000-0000F7520000}"/>
    <cellStyle name="Normal 190 2 2 7" xfId="21504" xr:uid="{00000000-0005-0000-0000-0000F8520000}"/>
    <cellStyle name="Normal 190 2 2 8" xfId="21505" xr:uid="{00000000-0005-0000-0000-0000F9520000}"/>
    <cellStyle name="Normal 190 2 3" xfId="21506" xr:uid="{00000000-0005-0000-0000-0000FA520000}"/>
    <cellStyle name="Normal 190 2 3 2" xfId="21507" xr:uid="{00000000-0005-0000-0000-0000FB520000}"/>
    <cellStyle name="Normal 190 2 3 2 2" xfId="21508" xr:uid="{00000000-0005-0000-0000-0000FC520000}"/>
    <cellStyle name="Normal 190 2 3 2 3" xfId="21509" xr:uid="{00000000-0005-0000-0000-0000FD520000}"/>
    <cellStyle name="Normal 190 2 3 3" xfId="21510" xr:uid="{00000000-0005-0000-0000-0000FE520000}"/>
    <cellStyle name="Normal 190 2 3 3 2" xfId="21511" xr:uid="{00000000-0005-0000-0000-0000FF520000}"/>
    <cellStyle name="Normal 190 2 3 3 3" xfId="21512" xr:uid="{00000000-0005-0000-0000-000000530000}"/>
    <cellStyle name="Normal 190 2 3 4" xfId="21513" xr:uid="{00000000-0005-0000-0000-000001530000}"/>
    <cellStyle name="Normal 190 2 3 5" xfId="21514" xr:uid="{00000000-0005-0000-0000-000002530000}"/>
    <cellStyle name="Normal 190 2 3 6" xfId="21515" xr:uid="{00000000-0005-0000-0000-000003530000}"/>
    <cellStyle name="Normal 190 2 4" xfId="21516" xr:uid="{00000000-0005-0000-0000-000004530000}"/>
    <cellStyle name="Normal 190 2 4 2" xfId="21517" xr:uid="{00000000-0005-0000-0000-000005530000}"/>
    <cellStyle name="Normal 190 2 4 3" xfId="21518" xr:uid="{00000000-0005-0000-0000-000006530000}"/>
    <cellStyle name="Normal 190 2 5" xfId="21519" xr:uid="{00000000-0005-0000-0000-000007530000}"/>
    <cellStyle name="Normal 190 2 5 2" xfId="21520" xr:uid="{00000000-0005-0000-0000-000008530000}"/>
    <cellStyle name="Normal 190 2 5 3" xfId="21521" xr:uid="{00000000-0005-0000-0000-000009530000}"/>
    <cellStyle name="Normal 190 2 6" xfId="21522" xr:uid="{00000000-0005-0000-0000-00000A530000}"/>
    <cellStyle name="Normal 190 2 7" xfId="21523" xr:uid="{00000000-0005-0000-0000-00000B530000}"/>
    <cellStyle name="Normal 190 2 8" xfId="21524" xr:uid="{00000000-0005-0000-0000-00000C530000}"/>
    <cellStyle name="Normal 190 2 9" xfId="21525" xr:uid="{00000000-0005-0000-0000-00000D530000}"/>
    <cellStyle name="Normal 190 3" xfId="21526" xr:uid="{00000000-0005-0000-0000-00000E530000}"/>
    <cellStyle name="Normal 190 3 2" xfId="21527" xr:uid="{00000000-0005-0000-0000-00000F530000}"/>
    <cellStyle name="Normal 190 3 2 2" xfId="21528" xr:uid="{00000000-0005-0000-0000-000010530000}"/>
    <cellStyle name="Normal 190 3 2 2 2" xfId="21529" xr:uid="{00000000-0005-0000-0000-000011530000}"/>
    <cellStyle name="Normal 190 3 2 2 3" xfId="21530" xr:uid="{00000000-0005-0000-0000-000012530000}"/>
    <cellStyle name="Normal 190 3 2 3" xfId="21531" xr:uid="{00000000-0005-0000-0000-000013530000}"/>
    <cellStyle name="Normal 190 3 2 3 2" xfId="21532" xr:uid="{00000000-0005-0000-0000-000014530000}"/>
    <cellStyle name="Normal 190 3 2 3 3" xfId="21533" xr:uid="{00000000-0005-0000-0000-000015530000}"/>
    <cellStyle name="Normal 190 3 2 4" xfId="21534" xr:uid="{00000000-0005-0000-0000-000016530000}"/>
    <cellStyle name="Normal 190 3 2 5" xfId="21535" xr:uid="{00000000-0005-0000-0000-000017530000}"/>
    <cellStyle name="Normal 190 3 2 6" xfId="21536" xr:uid="{00000000-0005-0000-0000-000018530000}"/>
    <cellStyle name="Normal 190 3 3" xfId="21537" xr:uid="{00000000-0005-0000-0000-000019530000}"/>
    <cellStyle name="Normal 190 3 3 2" xfId="21538" xr:uid="{00000000-0005-0000-0000-00001A530000}"/>
    <cellStyle name="Normal 190 3 3 3" xfId="21539" xr:uid="{00000000-0005-0000-0000-00001B530000}"/>
    <cellStyle name="Normal 190 3 4" xfId="21540" xr:uid="{00000000-0005-0000-0000-00001C530000}"/>
    <cellStyle name="Normal 190 3 4 2" xfId="21541" xr:uid="{00000000-0005-0000-0000-00001D530000}"/>
    <cellStyle name="Normal 190 3 4 3" xfId="21542" xr:uid="{00000000-0005-0000-0000-00001E530000}"/>
    <cellStyle name="Normal 190 3 5" xfId="21543" xr:uid="{00000000-0005-0000-0000-00001F530000}"/>
    <cellStyle name="Normal 190 3 6" xfId="21544" xr:uid="{00000000-0005-0000-0000-000020530000}"/>
    <cellStyle name="Normal 190 3 7" xfId="21545" xr:uid="{00000000-0005-0000-0000-000021530000}"/>
    <cellStyle name="Normal 190 3 8" xfId="21546" xr:uid="{00000000-0005-0000-0000-000022530000}"/>
    <cellStyle name="Normal 190 4" xfId="21547" xr:uid="{00000000-0005-0000-0000-000023530000}"/>
    <cellStyle name="Normal 190 4 2" xfId="21548" xr:uid="{00000000-0005-0000-0000-000024530000}"/>
    <cellStyle name="Normal 190 4 2 2" xfId="21549" xr:uid="{00000000-0005-0000-0000-000025530000}"/>
    <cellStyle name="Normal 190 4 2 3" xfId="21550" xr:uid="{00000000-0005-0000-0000-000026530000}"/>
    <cellStyle name="Normal 190 4 3" xfId="21551" xr:uid="{00000000-0005-0000-0000-000027530000}"/>
    <cellStyle name="Normal 190 4 3 2" xfId="21552" xr:uid="{00000000-0005-0000-0000-000028530000}"/>
    <cellStyle name="Normal 190 4 3 3" xfId="21553" xr:uid="{00000000-0005-0000-0000-000029530000}"/>
    <cellStyle name="Normal 190 4 4" xfId="21554" xr:uid="{00000000-0005-0000-0000-00002A530000}"/>
    <cellStyle name="Normal 190 4 5" xfId="21555" xr:uid="{00000000-0005-0000-0000-00002B530000}"/>
    <cellStyle name="Normal 190 4 6" xfId="21556" xr:uid="{00000000-0005-0000-0000-00002C530000}"/>
    <cellStyle name="Normal 190 5" xfId="21557" xr:uid="{00000000-0005-0000-0000-00002D530000}"/>
    <cellStyle name="Normal 190 5 2" xfId="21558" xr:uid="{00000000-0005-0000-0000-00002E530000}"/>
    <cellStyle name="Normal 190 5 3" xfId="21559" xr:uid="{00000000-0005-0000-0000-00002F530000}"/>
    <cellStyle name="Normal 190 6" xfId="21560" xr:uid="{00000000-0005-0000-0000-000030530000}"/>
    <cellStyle name="Normal 190 6 2" xfId="21561" xr:uid="{00000000-0005-0000-0000-000031530000}"/>
    <cellStyle name="Normal 190 6 3" xfId="21562" xr:uid="{00000000-0005-0000-0000-000032530000}"/>
    <cellStyle name="Normal 190 7" xfId="21563" xr:uid="{00000000-0005-0000-0000-000033530000}"/>
    <cellStyle name="Normal 190 8" xfId="21564" xr:uid="{00000000-0005-0000-0000-000034530000}"/>
    <cellStyle name="Normal 190 9" xfId="21565" xr:uid="{00000000-0005-0000-0000-000035530000}"/>
    <cellStyle name="Normal 191" xfId="2186" xr:uid="{00000000-0005-0000-0000-000036530000}"/>
    <cellStyle name="Normal 191 10" xfId="21566" xr:uid="{00000000-0005-0000-0000-000037530000}"/>
    <cellStyle name="Normal 191 11" xfId="21567" xr:uid="{00000000-0005-0000-0000-000038530000}"/>
    <cellStyle name="Normal 191 12" xfId="21568" xr:uid="{00000000-0005-0000-0000-000039530000}"/>
    <cellStyle name="Normal 191 2" xfId="21569" xr:uid="{00000000-0005-0000-0000-00003A530000}"/>
    <cellStyle name="Normal 191 2 2" xfId="21570" xr:uid="{00000000-0005-0000-0000-00003B530000}"/>
    <cellStyle name="Normal 191 2 2 2" xfId="21571" xr:uid="{00000000-0005-0000-0000-00003C530000}"/>
    <cellStyle name="Normal 191 2 2 2 2" xfId="21572" xr:uid="{00000000-0005-0000-0000-00003D530000}"/>
    <cellStyle name="Normal 191 2 2 2 2 2" xfId="21573" xr:uid="{00000000-0005-0000-0000-00003E530000}"/>
    <cellStyle name="Normal 191 2 2 2 2 3" xfId="21574" xr:uid="{00000000-0005-0000-0000-00003F530000}"/>
    <cellStyle name="Normal 191 2 2 2 3" xfId="21575" xr:uid="{00000000-0005-0000-0000-000040530000}"/>
    <cellStyle name="Normal 191 2 2 2 3 2" xfId="21576" xr:uid="{00000000-0005-0000-0000-000041530000}"/>
    <cellStyle name="Normal 191 2 2 2 3 3" xfId="21577" xr:uid="{00000000-0005-0000-0000-000042530000}"/>
    <cellStyle name="Normal 191 2 2 2 4" xfId="21578" xr:uid="{00000000-0005-0000-0000-000043530000}"/>
    <cellStyle name="Normal 191 2 2 2 5" xfId="21579" xr:uid="{00000000-0005-0000-0000-000044530000}"/>
    <cellStyle name="Normal 191 2 2 2 6" xfId="21580" xr:uid="{00000000-0005-0000-0000-000045530000}"/>
    <cellStyle name="Normal 191 2 2 3" xfId="21581" xr:uid="{00000000-0005-0000-0000-000046530000}"/>
    <cellStyle name="Normal 191 2 2 3 2" xfId="21582" xr:uid="{00000000-0005-0000-0000-000047530000}"/>
    <cellStyle name="Normal 191 2 2 3 3" xfId="21583" xr:uid="{00000000-0005-0000-0000-000048530000}"/>
    <cellStyle name="Normal 191 2 2 4" xfId="21584" xr:uid="{00000000-0005-0000-0000-000049530000}"/>
    <cellStyle name="Normal 191 2 2 4 2" xfId="21585" xr:uid="{00000000-0005-0000-0000-00004A530000}"/>
    <cellStyle name="Normal 191 2 2 4 3" xfId="21586" xr:uid="{00000000-0005-0000-0000-00004B530000}"/>
    <cellStyle name="Normal 191 2 2 5" xfId="21587" xr:uid="{00000000-0005-0000-0000-00004C530000}"/>
    <cellStyle name="Normal 191 2 2 6" xfId="21588" xr:uid="{00000000-0005-0000-0000-00004D530000}"/>
    <cellStyle name="Normal 191 2 2 7" xfId="21589" xr:uid="{00000000-0005-0000-0000-00004E530000}"/>
    <cellStyle name="Normal 191 2 2 8" xfId="21590" xr:uid="{00000000-0005-0000-0000-00004F530000}"/>
    <cellStyle name="Normal 191 2 3" xfId="21591" xr:uid="{00000000-0005-0000-0000-000050530000}"/>
    <cellStyle name="Normal 191 2 3 2" xfId="21592" xr:uid="{00000000-0005-0000-0000-000051530000}"/>
    <cellStyle name="Normal 191 2 3 2 2" xfId="21593" xr:uid="{00000000-0005-0000-0000-000052530000}"/>
    <cellStyle name="Normal 191 2 3 2 3" xfId="21594" xr:uid="{00000000-0005-0000-0000-000053530000}"/>
    <cellStyle name="Normal 191 2 3 3" xfId="21595" xr:uid="{00000000-0005-0000-0000-000054530000}"/>
    <cellStyle name="Normal 191 2 3 3 2" xfId="21596" xr:uid="{00000000-0005-0000-0000-000055530000}"/>
    <cellStyle name="Normal 191 2 3 3 3" xfId="21597" xr:uid="{00000000-0005-0000-0000-000056530000}"/>
    <cellStyle name="Normal 191 2 3 4" xfId="21598" xr:uid="{00000000-0005-0000-0000-000057530000}"/>
    <cellStyle name="Normal 191 2 3 5" xfId="21599" xr:uid="{00000000-0005-0000-0000-000058530000}"/>
    <cellStyle name="Normal 191 2 3 6" xfId="21600" xr:uid="{00000000-0005-0000-0000-000059530000}"/>
    <cellStyle name="Normal 191 2 4" xfId="21601" xr:uid="{00000000-0005-0000-0000-00005A530000}"/>
    <cellStyle name="Normal 191 2 4 2" xfId="21602" xr:uid="{00000000-0005-0000-0000-00005B530000}"/>
    <cellStyle name="Normal 191 2 4 3" xfId="21603" xr:uid="{00000000-0005-0000-0000-00005C530000}"/>
    <cellStyle name="Normal 191 2 5" xfId="21604" xr:uid="{00000000-0005-0000-0000-00005D530000}"/>
    <cellStyle name="Normal 191 2 5 2" xfId="21605" xr:uid="{00000000-0005-0000-0000-00005E530000}"/>
    <cellStyle name="Normal 191 2 5 3" xfId="21606" xr:uid="{00000000-0005-0000-0000-00005F530000}"/>
    <cellStyle name="Normal 191 2 6" xfId="21607" xr:uid="{00000000-0005-0000-0000-000060530000}"/>
    <cellStyle name="Normal 191 2 7" xfId="21608" xr:uid="{00000000-0005-0000-0000-000061530000}"/>
    <cellStyle name="Normal 191 2 8" xfId="21609" xr:uid="{00000000-0005-0000-0000-000062530000}"/>
    <cellStyle name="Normal 191 2 9" xfId="21610" xr:uid="{00000000-0005-0000-0000-000063530000}"/>
    <cellStyle name="Normal 191 3" xfId="21611" xr:uid="{00000000-0005-0000-0000-000064530000}"/>
    <cellStyle name="Normal 191 3 2" xfId="21612" xr:uid="{00000000-0005-0000-0000-000065530000}"/>
    <cellStyle name="Normal 191 3 2 2" xfId="21613" xr:uid="{00000000-0005-0000-0000-000066530000}"/>
    <cellStyle name="Normal 191 3 2 2 2" xfId="21614" xr:uid="{00000000-0005-0000-0000-000067530000}"/>
    <cellStyle name="Normal 191 3 2 2 3" xfId="21615" xr:uid="{00000000-0005-0000-0000-000068530000}"/>
    <cellStyle name="Normal 191 3 2 3" xfId="21616" xr:uid="{00000000-0005-0000-0000-000069530000}"/>
    <cellStyle name="Normal 191 3 2 3 2" xfId="21617" xr:uid="{00000000-0005-0000-0000-00006A530000}"/>
    <cellStyle name="Normal 191 3 2 3 3" xfId="21618" xr:uid="{00000000-0005-0000-0000-00006B530000}"/>
    <cellStyle name="Normal 191 3 2 4" xfId="21619" xr:uid="{00000000-0005-0000-0000-00006C530000}"/>
    <cellStyle name="Normal 191 3 2 5" xfId="21620" xr:uid="{00000000-0005-0000-0000-00006D530000}"/>
    <cellStyle name="Normal 191 3 2 6" xfId="21621" xr:uid="{00000000-0005-0000-0000-00006E530000}"/>
    <cellStyle name="Normal 191 3 3" xfId="21622" xr:uid="{00000000-0005-0000-0000-00006F530000}"/>
    <cellStyle name="Normal 191 3 3 2" xfId="21623" xr:uid="{00000000-0005-0000-0000-000070530000}"/>
    <cellStyle name="Normal 191 3 3 3" xfId="21624" xr:uid="{00000000-0005-0000-0000-000071530000}"/>
    <cellStyle name="Normal 191 3 4" xfId="21625" xr:uid="{00000000-0005-0000-0000-000072530000}"/>
    <cellStyle name="Normal 191 3 4 2" xfId="21626" xr:uid="{00000000-0005-0000-0000-000073530000}"/>
    <cellStyle name="Normal 191 3 4 3" xfId="21627" xr:uid="{00000000-0005-0000-0000-000074530000}"/>
    <cellStyle name="Normal 191 3 5" xfId="21628" xr:uid="{00000000-0005-0000-0000-000075530000}"/>
    <cellStyle name="Normal 191 3 6" xfId="21629" xr:uid="{00000000-0005-0000-0000-000076530000}"/>
    <cellStyle name="Normal 191 3 7" xfId="21630" xr:uid="{00000000-0005-0000-0000-000077530000}"/>
    <cellStyle name="Normal 191 3 8" xfId="21631" xr:uid="{00000000-0005-0000-0000-000078530000}"/>
    <cellStyle name="Normal 191 4" xfId="21632" xr:uid="{00000000-0005-0000-0000-000079530000}"/>
    <cellStyle name="Normal 191 4 2" xfId="21633" xr:uid="{00000000-0005-0000-0000-00007A530000}"/>
    <cellStyle name="Normal 191 4 2 2" xfId="21634" xr:uid="{00000000-0005-0000-0000-00007B530000}"/>
    <cellStyle name="Normal 191 4 2 3" xfId="21635" xr:uid="{00000000-0005-0000-0000-00007C530000}"/>
    <cellStyle name="Normal 191 4 3" xfId="21636" xr:uid="{00000000-0005-0000-0000-00007D530000}"/>
    <cellStyle name="Normal 191 4 3 2" xfId="21637" xr:uid="{00000000-0005-0000-0000-00007E530000}"/>
    <cellStyle name="Normal 191 4 3 3" xfId="21638" xr:uid="{00000000-0005-0000-0000-00007F530000}"/>
    <cellStyle name="Normal 191 4 4" xfId="21639" xr:uid="{00000000-0005-0000-0000-000080530000}"/>
    <cellStyle name="Normal 191 4 5" xfId="21640" xr:uid="{00000000-0005-0000-0000-000081530000}"/>
    <cellStyle name="Normal 191 4 6" xfId="21641" xr:uid="{00000000-0005-0000-0000-000082530000}"/>
    <cellStyle name="Normal 191 5" xfId="21642" xr:uid="{00000000-0005-0000-0000-000083530000}"/>
    <cellStyle name="Normal 191 5 2" xfId="21643" xr:uid="{00000000-0005-0000-0000-000084530000}"/>
    <cellStyle name="Normal 191 5 3" xfId="21644" xr:uid="{00000000-0005-0000-0000-000085530000}"/>
    <cellStyle name="Normal 191 6" xfId="21645" xr:uid="{00000000-0005-0000-0000-000086530000}"/>
    <cellStyle name="Normal 191 6 2" xfId="21646" xr:uid="{00000000-0005-0000-0000-000087530000}"/>
    <cellStyle name="Normal 191 6 3" xfId="21647" xr:uid="{00000000-0005-0000-0000-000088530000}"/>
    <cellStyle name="Normal 191 7" xfId="21648" xr:uid="{00000000-0005-0000-0000-000089530000}"/>
    <cellStyle name="Normal 191 8" xfId="21649" xr:uid="{00000000-0005-0000-0000-00008A530000}"/>
    <cellStyle name="Normal 191 9" xfId="21650" xr:uid="{00000000-0005-0000-0000-00008B530000}"/>
    <cellStyle name="Normal 192" xfId="2187" xr:uid="{00000000-0005-0000-0000-00008C530000}"/>
    <cellStyle name="Normal 192 10" xfId="21651" xr:uid="{00000000-0005-0000-0000-00008D530000}"/>
    <cellStyle name="Normal 192 11" xfId="21652" xr:uid="{00000000-0005-0000-0000-00008E530000}"/>
    <cellStyle name="Normal 192 12" xfId="21653" xr:uid="{00000000-0005-0000-0000-00008F530000}"/>
    <cellStyle name="Normal 192 2" xfId="21654" xr:uid="{00000000-0005-0000-0000-000090530000}"/>
    <cellStyle name="Normal 192 2 10" xfId="21655" xr:uid="{00000000-0005-0000-0000-000091530000}"/>
    <cellStyle name="Normal 192 2 2" xfId="21656" xr:uid="{00000000-0005-0000-0000-000092530000}"/>
    <cellStyle name="Normal 192 2 2 2" xfId="21657" xr:uid="{00000000-0005-0000-0000-000093530000}"/>
    <cellStyle name="Normal 192 2 2 2 2" xfId="21658" xr:uid="{00000000-0005-0000-0000-000094530000}"/>
    <cellStyle name="Normal 192 2 2 2 2 2" xfId="21659" xr:uid="{00000000-0005-0000-0000-000095530000}"/>
    <cellStyle name="Normal 192 2 2 2 2 3" xfId="21660" xr:uid="{00000000-0005-0000-0000-000096530000}"/>
    <cellStyle name="Normal 192 2 2 2 3" xfId="21661" xr:uid="{00000000-0005-0000-0000-000097530000}"/>
    <cellStyle name="Normal 192 2 2 2 3 2" xfId="21662" xr:uid="{00000000-0005-0000-0000-000098530000}"/>
    <cellStyle name="Normal 192 2 2 2 3 3" xfId="21663" xr:uid="{00000000-0005-0000-0000-000099530000}"/>
    <cellStyle name="Normal 192 2 2 2 4" xfId="21664" xr:uid="{00000000-0005-0000-0000-00009A530000}"/>
    <cellStyle name="Normal 192 2 2 2 5" xfId="21665" xr:uid="{00000000-0005-0000-0000-00009B530000}"/>
    <cellStyle name="Normal 192 2 2 2 6" xfId="21666" xr:uid="{00000000-0005-0000-0000-00009C530000}"/>
    <cellStyle name="Normal 192 2 2 3" xfId="21667" xr:uid="{00000000-0005-0000-0000-00009D530000}"/>
    <cellStyle name="Normal 192 2 2 3 2" xfId="21668" xr:uid="{00000000-0005-0000-0000-00009E530000}"/>
    <cellStyle name="Normal 192 2 2 3 3" xfId="21669" xr:uid="{00000000-0005-0000-0000-00009F530000}"/>
    <cellStyle name="Normal 192 2 2 4" xfId="21670" xr:uid="{00000000-0005-0000-0000-0000A0530000}"/>
    <cellStyle name="Normal 192 2 2 4 2" xfId="21671" xr:uid="{00000000-0005-0000-0000-0000A1530000}"/>
    <cellStyle name="Normal 192 2 2 4 3" xfId="21672" xr:uid="{00000000-0005-0000-0000-0000A2530000}"/>
    <cellStyle name="Normal 192 2 2 5" xfId="21673" xr:uid="{00000000-0005-0000-0000-0000A3530000}"/>
    <cellStyle name="Normal 192 2 2 6" xfId="21674" xr:uid="{00000000-0005-0000-0000-0000A4530000}"/>
    <cellStyle name="Normal 192 2 2 7" xfId="21675" xr:uid="{00000000-0005-0000-0000-0000A5530000}"/>
    <cellStyle name="Normal 192 2 2 8" xfId="21676" xr:uid="{00000000-0005-0000-0000-0000A6530000}"/>
    <cellStyle name="Normal 192 2 3" xfId="21677" xr:uid="{00000000-0005-0000-0000-0000A7530000}"/>
    <cellStyle name="Normal 192 2 3 2" xfId="21678" xr:uid="{00000000-0005-0000-0000-0000A8530000}"/>
    <cellStyle name="Normal 192 2 3 2 2" xfId="21679" xr:uid="{00000000-0005-0000-0000-0000A9530000}"/>
    <cellStyle name="Normal 192 2 3 2 3" xfId="21680" xr:uid="{00000000-0005-0000-0000-0000AA530000}"/>
    <cellStyle name="Normal 192 2 3 3" xfId="21681" xr:uid="{00000000-0005-0000-0000-0000AB530000}"/>
    <cellStyle name="Normal 192 2 3 3 2" xfId="21682" xr:uid="{00000000-0005-0000-0000-0000AC530000}"/>
    <cellStyle name="Normal 192 2 3 3 3" xfId="21683" xr:uid="{00000000-0005-0000-0000-0000AD530000}"/>
    <cellStyle name="Normal 192 2 3 4" xfId="21684" xr:uid="{00000000-0005-0000-0000-0000AE530000}"/>
    <cellStyle name="Normal 192 2 3 5" xfId="21685" xr:uid="{00000000-0005-0000-0000-0000AF530000}"/>
    <cellStyle name="Normal 192 2 3 6" xfId="21686" xr:uid="{00000000-0005-0000-0000-0000B0530000}"/>
    <cellStyle name="Normal 192 2 4" xfId="21687" xr:uid="{00000000-0005-0000-0000-0000B1530000}"/>
    <cellStyle name="Normal 192 2 4 2" xfId="21688" xr:uid="{00000000-0005-0000-0000-0000B2530000}"/>
    <cellStyle name="Normal 192 2 4 3" xfId="21689" xr:uid="{00000000-0005-0000-0000-0000B3530000}"/>
    <cellStyle name="Normal 192 2 5" xfId="21690" xr:uid="{00000000-0005-0000-0000-0000B4530000}"/>
    <cellStyle name="Normal 192 2 5 2" xfId="21691" xr:uid="{00000000-0005-0000-0000-0000B5530000}"/>
    <cellStyle name="Normal 192 2 5 3" xfId="21692" xr:uid="{00000000-0005-0000-0000-0000B6530000}"/>
    <cellStyle name="Normal 192 2 6" xfId="21693" xr:uid="{00000000-0005-0000-0000-0000B7530000}"/>
    <cellStyle name="Normal 192 2 7" xfId="21694" xr:uid="{00000000-0005-0000-0000-0000B8530000}"/>
    <cellStyle name="Normal 192 2 8" xfId="21695" xr:uid="{00000000-0005-0000-0000-0000B9530000}"/>
    <cellStyle name="Normal 192 2 9" xfId="21696" xr:uid="{00000000-0005-0000-0000-0000BA530000}"/>
    <cellStyle name="Normal 192 3" xfId="21697" xr:uid="{00000000-0005-0000-0000-0000BB530000}"/>
    <cellStyle name="Normal 192 3 2" xfId="21698" xr:uid="{00000000-0005-0000-0000-0000BC530000}"/>
    <cellStyle name="Normal 192 3 2 2" xfId="21699" xr:uid="{00000000-0005-0000-0000-0000BD530000}"/>
    <cellStyle name="Normal 192 3 2 2 2" xfId="21700" xr:uid="{00000000-0005-0000-0000-0000BE530000}"/>
    <cellStyle name="Normal 192 3 2 2 3" xfId="21701" xr:uid="{00000000-0005-0000-0000-0000BF530000}"/>
    <cellStyle name="Normal 192 3 2 3" xfId="21702" xr:uid="{00000000-0005-0000-0000-0000C0530000}"/>
    <cellStyle name="Normal 192 3 2 3 2" xfId="21703" xr:uid="{00000000-0005-0000-0000-0000C1530000}"/>
    <cellStyle name="Normal 192 3 2 3 3" xfId="21704" xr:uid="{00000000-0005-0000-0000-0000C2530000}"/>
    <cellStyle name="Normal 192 3 2 4" xfId="21705" xr:uid="{00000000-0005-0000-0000-0000C3530000}"/>
    <cellStyle name="Normal 192 3 2 5" xfId="21706" xr:uid="{00000000-0005-0000-0000-0000C4530000}"/>
    <cellStyle name="Normal 192 3 2 6" xfId="21707" xr:uid="{00000000-0005-0000-0000-0000C5530000}"/>
    <cellStyle name="Normal 192 3 3" xfId="21708" xr:uid="{00000000-0005-0000-0000-0000C6530000}"/>
    <cellStyle name="Normal 192 3 3 2" xfId="21709" xr:uid="{00000000-0005-0000-0000-0000C7530000}"/>
    <cellStyle name="Normal 192 3 3 3" xfId="21710" xr:uid="{00000000-0005-0000-0000-0000C8530000}"/>
    <cellStyle name="Normal 192 3 4" xfId="21711" xr:uid="{00000000-0005-0000-0000-0000C9530000}"/>
    <cellStyle name="Normal 192 3 4 2" xfId="21712" xr:uid="{00000000-0005-0000-0000-0000CA530000}"/>
    <cellStyle name="Normal 192 3 4 3" xfId="21713" xr:uid="{00000000-0005-0000-0000-0000CB530000}"/>
    <cellStyle name="Normal 192 3 5" xfId="21714" xr:uid="{00000000-0005-0000-0000-0000CC530000}"/>
    <cellStyle name="Normal 192 3 6" xfId="21715" xr:uid="{00000000-0005-0000-0000-0000CD530000}"/>
    <cellStyle name="Normal 192 3 7" xfId="21716" xr:uid="{00000000-0005-0000-0000-0000CE530000}"/>
    <cellStyle name="Normal 192 3 8" xfId="21717" xr:uid="{00000000-0005-0000-0000-0000CF530000}"/>
    <cellStyle name="Normal 192 3 9" xfId="21718" xr:uid="{00000000-0005-0000-0000-0000D0530000}"/>
    <cellStyle name="Normal 192 4" xfId="21719" xr:uid="{00000000-0005-0000-0000-0000D1530000}"/>
    <cellStyle name="Normal 192 4 2" xfId="21720" xr:uid="{00000000-0005-0000-0000-0000D2530000}"/>
    <cellStyle name="Normal 192 4 2 2" xfId="21721" xr:uid="{00000000-0005-0000-0000-0000D3530000}"/>
    <cellStyle name="Normal 192 4 2 3" xfId="21722" xr:uid="{00000000-0005-0000-0000-0000D4530000}"/>
    <cellStyle name="Normal 192 4 3" xfId="21723" xr:uid="{00000000-0005-0000-0000-0000D5530000}"/>
    <cellStyle name="Normal 192 4 3 2" xfId="21724" xr:uid="{00000000-0005-0000-0000-0000D6530000}"/>
    <cellStyle name="Normal 192 4 3 3" xfId="21725" xr:uid="{00000000-0005-0000-0000-0000D7530000}"/>
    <cellStyle name="Normal 192 4 4" xfId="21726" xr:uid="{00000000-0005-0000-0000-0000D8530000}"/>
    <cellStyle name="Normal 192 4 5" xfId="21727" xr:uid="{00000000-0005-0000-0000-0000D9530000}"/>
    <cellStyle name="Normal 192 4 6" xfId="21728" xr:uid="{00000000-0005-0000-0000-0000DA530000}"/>
    <cellStyle name="Normal 192 5" xfId="21729" xr:uid="{00000000-0005-0000-0000-0000DB530000}"/>
    <cellStyle name="Normal 192 5 2" xfId="21730" xr:uid="{00000000-0005-0000-0000-0000DC530000}"/>
    <cellStyle name="Normal 192 5 3" xfId="21731" xr:uid="{00000000-0005-0000-0000-0000DD530000}"/>
    <cellStyle name="Normal 192 6" xfId="21732" xr:uid="{00000000-0005-0000-0000-0000DE530000}"/>
    <cellStyle name="Normal 192 6 2" xfId="21733" xr:uid="{00000000-0005-0000-0000-0000DF530000}"/>
    <cellStyle name="Normal 192 6 3" xfId="21734" xr:uid="{00000000-0005-0000-0000-0000E0530000}"/>
    <cellStyle name="Normal 192 7" xfId="21735" xr:uid="{00000000-0005-0000-0000-0000E1530000}"/>
    <cellStyle name="Normal 192 8" xfId="21736" xr:uid="{00000000-0005-0000-0000-0000E2530000}"/>
    <cellStyle name="Normal 192 9" xfId="21737" xr:uid="{00000000-0005-0000-0000-0000E3530000}"/>
    <cellStyle name="Normal 193" xfId="2188" xr:uid="{00000000-0005-0000-0000-0000E4530000}"/>
    <cellStyle name="Normal 193 10" xfId="21738" xr:uid="{00000000-0005-0000-0000-0000E5530000}"/>
    <cellStyle name="Normal 193 11" xfId="21739" xr:uid="{00000000-0005-0000-0000-0000E6530000}"/>
    <cellStyle name="Normal 193 12" xfId="21740" xr:uid="{00000000-0005-0000-0000-0000E7530000}"/>
    <cellStyle name="Normal 193 2" xfId="21741" xr:uid="{00000000-0005-0000-0000-0000E8530000}"/>
    <cellStyle name="Normal 193 2 10" xfId="21742" xr:uid="{00000000-0005-0000-0000-0000E9530000}"/>
    <cellStyle name="Normal 193 2 2" xfId="21743" xr:uid="{00000000-0005-0000-0000-0000EA530000}"/>
    <cellStyle name="Normal 193 2 2 2" xfId="21744" xr:uid="{00000000-0005-0000-0000-0000EB530000}"/>
    <cellStyle name="Normal 193 2 2 2 2" xfId="21745" xr:uid="{00000000-0005-0000-0000-0000EC530000}"/>
    <cellStyle name="Normal 193 2 2 2 2 2" xfId="21746" xr:uid="{00000000-0005-0000-0000-0000ED530000}"/>
    <cellStyle name="Normal 193 2 2 2 2 3" xfId="21747" xr:uid="{00000000-0005-0000-0000-0000EE530000}"/>
    <cellStyle name="Normal 193 2 2 2 3" xfId="21748" xr:uid="{00000000-0005-0000-0000-0000EF530000}"/>
    <cellStyle name="Normal 193 2 2 2 3 2" xfId="21749" xr:uid="{00000000-0005-0000-0000-0000F0530000}"/>
    <cellStyle name="Normal 193 2 2 2 3 3" xfId="21750" xr:uid="{00000000-0005-0000-0000-0000F1530000}"/>
    <cellStyle name="Normal 193 2 2 2 4" xfId="21751" xr:uid="{00000000-0005-0000-0000-0000F2530000}"/>
    <cellStyle name="Normal 193 2 2 2 5" xfId="21752" xr:uid="{00000000-0005-0000-0000-0000F3530000}"/>
    <cellStyle name="Normal 193 2 2 2 6" xfId="21753" xr:uid="{00000000-0005-0000-0000-0000F4530000}"/>
    <cellStyle name="Normal 193 2 2 3" xfId="21754" xr:uid="{00000000-0005-0000-0000-0000F5530000}"/>
    <cellStyle name="Normal 193 2 2 3 2" xfId="21755" xr:uid="{00000000-0005-0000-0000-0000F6530000}"/>
    <cellStyle name="Normal 193 2 2 3 3" xfId="21756" xr:uid="{00000000-0005-0000-0000-0000F7530000}"/>
    <cellStyle name="Normal 193 2 2 4" xfId="21757" xr:uid="{00000000-0005-0000-0000-0000F8530000}"/>
    <cellStyle name="Normal 193 2 2 4 2" xfId="21758" xr:uid="{00000000-0005-0000-0000-0000F9530000}"/>
    <cellStyle name="Normal 193 2 2 4 3" xfId="21759" xr:uid="{00000000-0005-0000-0000-0000FA530000}"/>
    <cellStyle name="Normal 193 2 2 5" xfId="21760" xr:uid="{00000000-0005-0000-0000-0000FB530000}"/>
    <cellStyle name="Normal 193 2 2 6" xfId="21761" xr:uid="{00000000-0005-0000-0000-0000FC530000}"/>
    <cellStyle name="Normal 193 2 2 7" xfId="21762" xr:uid="{00000000-0005-0000-0000-0000FD530000}"/>
    <cellStyle name="Normal 193 2 2 8" xfId="21763" xr:uid="{00000000-0005-0000-0000-0000FE530000}"/>
    <cellStyle name="Normal 193 2 3" xfId="21764" xr:uid="{00000000-0005-0000-0000-0000FF530000}"/>
    <cellStyle name="Normal 193 2 3 2" xfId="21765" xr:uid="{00000000-0005-0000-0000-000000540000}"/>
    <cellStyle name="Normal 193 2 3 2 2" xfId="21766" xr:uid="{00000000-0005-0000-0000-000001540000}"/>
    <cellStyle name="Normal 193 2 3 2 3" xfId="21767" xr:uid="{00000000-0005-0000-0000-000002540000}"/>
    <cellStyle name="Normal 193 2 3 3" xfId="21768" xr:uid="{00000000-0005-0000-0000-000003540000}"/>
    <cellStyle name="Normal 193 2 3 3 2" xfId="21769" xr:uid="{00000000-0005-0000-0000-000004540000}"/>
    <cellStyle name="Normal 193 2 3 3 3" xfId="21770" xr:uid="{00000000-0005-0000-0000-000005540000}"/>
    <cellStyle name="Normal 193 2 3 4" xfId="21771" xr:uid="{00000000-0005-0000-0000-000006540000}"/>
    <cellStyle name="Normal 193 2 3 5" xfId="21772" xr:uid="{00000000-0005-0000-0000-000007540000}"/>
    <cellStyle name="Normal 193 2 3 6" xfId="21773" xr:uid="{00000000-0005-0000-0000-000008540000}"/>
    <cellStyle name="Normal 193 2 4" xfId="21774" xr:uid="{00000000-0005-0000-0000-000009540000}"/>
    <cellStyle name="Normal 193 2 4 2" xfId="21775" xr:uid="{00000000-0005-0000-0000-00000A540000}"/>
    <cellStyle name="Normal 193 2 4 3" xfId="21776" xr:uid="{00000000-0005-0000-0000-00000B540000}"/>
    <cellStyle name="Normal 193 2 5" xfId="21777" xr:uid="{00000000-0005-0000-0000-00000C540000}"/>
    <cellStyle name="Normal 193 2 5 2" xfId="21778" xr:uid="{00000000-0005-0000-0000-00000D540000}"/>
    <cellStyle name="Normal 193 2 5 3" xfId="21779" xr:uid="{00000000-0005-0000-0000-00000E540000}"/>
    <cellStyle name="Normal 193 2 6" xfId="21780" xr:uid="{00000000-0005-0000-0000-00000F540000}"/>
    <cellStyle name="Normal 193 2 7" xfId="21781" xr:uid="{00000000-0005-0000-0000-000010540000}"/>
    <cellStyle name="Normal 193 2 8" xfId="21782" xr:uid="{00000000-0005-0000-0000-000011540000}"/>
    <cellStyle name="Normal 193 2 9" xfId="21783" xr:uid="{00000000-0005-0000-0000-000012540000}"/>
    <cellStyle name="Normal 193 3" xfId="21784" xr:uid="{00000000-0005-0000-0000-000013540000}"/>
    <cellStyle name="Normal 193 3 2" xfId="21785" xr:uid="{00000000-0005-0000-0000-000014540000}"/>
    <cellStyle name="Normal 193 3 2 2" xfId="21786" xr:uid="{00000000-0005-0000-0000-000015540000}"/>
    <cellStyle name="Normal 193 3 2 2 2" xfId="21787" xr:uid="{00000000-0005-0000-0000-000016540000}"/>
    <cellStyle name="Normal 193 3 2 2 3" xfId="21788" xr:uid="{00000000-0005-0000-0000-000017540000}"/>
    <cellStyle name="Normal 193 3 2 3" xfId="21789" xr:uid="{00000000-0005-0000-0000-000018540000}"/>
    <cellStyle name="Normal 193 3 2 3 2" xfId="21790" xr:uid="{00000000-0005-0000-0000-000019540000}"/>
    <cellStyle name="Normal 193 3 2 3 3" xfId="21791" xr:uid="{00000000-0005-0000-0000-00001A540000}"/>
    <cellStyle name="Normal 193 3 2 4" xfId="21792" xr:uid="{00000000-0005-0000-0000-00001B540000}"/>
    <cellStyle name="Normal 193 3 2 5" xfId="21793" xr:uid="{00000000-0005-0000-0000-00001C540000}"/>
    <cellStyle name="Normal 193 3 2 6" xfId="21794" xr:uid="{00000000-0005-0000-0000-00001D540000}"/>
    <cellStyle name="Normal 193 3 3" xfId="21795" xr:uid="{00000000-0005-0000-0000-00001E540000}"/>
    <cellStyle name="Normal 193 3 3 2" xfId="21796" xr:uid="{00000000-0005-0000-0000-00001F540000}"/>
    <cellStyle name="Normal 193 3 3 3" xfId="21797" xr:uid="{00000000-0005-0000-0000-000020540000}"/>
    <cellStyle name="Normal 193 3 4" xfId="21798" xr:uid="{00000000-0005-0000-0000-000021540000}"/>
    <cellStyle name="Normal 193 3 4 2" xfId="21799" xr:uid="{00000000-0005-0000-0000-000022540000}"/>
    <cellStyle name="Normal 193 3 4 3" xfId="21800" xr:uid="{00000000-0005-0000-0000-000023540000}"/>
    <cellStyle name="Normal 193 3 5" xfId="21801" xr:uid="{00000000-0005-0000-0000-000024540000}"/>
    <cellStyle name="Normal 193 3 6" xfId="21802" xr:uid="{00000000-0005-0000-0000-000025540000}"/>
    <cellStyle name="Normal 193 3 7" xfId="21803" xr:uid="{00000000-0005-0000-0000-000026540000}"/>
    <cellStyle name="Normal 193 3 8" xfId="21804" xr:uid="{00000000-0005-0000-0000-000027540000}"/>
    <cellStyle name="Normal 193 4" xfId="21805" xr:uid="{00000000-0005-0000-0000-000028540000}"/>
    <cellStyle name="Normal 193 4 2" xfId="21806" xr:uid="{00000000-0005-0000-0000-000029540000}"/>
    <cellStyle name="Normal 193 4 2 2" xfId="21807" xr:uid="{00000000-0005-0000-0000-00002A540000}"/>
    <cellStyle name="Normal 193 4 2 3" xfId="21808" xr:uid="{00000000-0005-0000-0000-00002B540000}"/>
    <cellStyle name="Normal 193 4 3" xfId="21809" xr:uid="{00000000-0005-0000-0000-00002C540000}"/>
    <cellStyle name="Normal 193 4 3 2" xfId="21810" xr:uid="{00000000-0005-0000-0000-00002D540000}"/>
    <cellStyle name="Normal 193 4 3 3" xfId="21811" xr:uid="{00000000-0005-0000-0000-00002E540000}"/>
    <cellStyle name="Normal 193 4 4" xfId="21812" xr:uid="{00000000-0005-0000-0000-00002F540000}"/>
    <cellStyle name="Normal 193 4 5" xfId="21813" xr:uid="{00000000-0005-0000-0000-000030540000}"/>
    <cellStyle name="Normal 193 4 6" xfId="21814" xr:uid="{00000000-0005-0000-0000-000031540000}"/>
    <cellStyle name="Normal 193 5" xfId="21815" xr:uid="{00000000-0005-0000-0000-000032540000}"/>
    <cellStyle name="Normal 193 5 2" xfId="21816" xr:uid="{00000000-0005-0000-0000-000033540000}"/>
    <cellStyle name="Normal 193 5 3" xfId="21817" xr:uid="{00000000-0005-0000-0000-000034540000}"/>
    <cellStyle name="Normal 193 6" xfId="21818" xr:uid="{00000000-0005-0000-0000-000035540000}"/>
    <cellStyle name="Normal 193 6 2" xfId="21819" xr:uid="{00000000-0005-0000-0000-000036540000}"/>
    <cellStyle name="Normal 193 6 3" xfId="21820" xr:uid="{00000000-0005-0000-0000-000037540000}"/>
    <cellStyle name="Normal 193 7" xfId="21821" xr:uid="{00000000-0005-0000-0000-000038540000}"/>
    <cellStyle name="Normal 193 8" xfId="21822" xr:uid="{00000000-0005-0000-0000-000039540000}"/>
    <cellStyle name="Normal 193 9" xfId="21823" xr:uid="{00000000-0005-0000-0000-00003A540000}"/>
    <cellStyle name="Normal 194" xfId="2189" xr:uid="{00000000-0005-0000-0000-00003B540000}"/>
    <cellStyle name="Normal 194 10" xfId="21824" xr:uid="{00000000-0005-0000-0000-00003C540000}"/>
    <cellStyle name="Normal 194 11" xfId="21825" xr:uid="{00000000-0005-0000-0000-00003D540000}"/>
    <cellStyle name="Normal 194 12" xfId="21826" xr:uid="{00000000-0005-0000-0000-00003E540000}"/>
    <cellStyle name="Normal 194 2" xfId="21827" xr:uid="{00000000-0005-0000-0000-00003F540000}"/>
    <cellStyle name="Normal 194 2 2" xfId="21828" xr:uid="{00000000-0005-0000-0000-000040540000}"/>
    <cellStyle name="Normal 194 2 2 2" xfId="21829" xr:uid="{00000000-0005-0000-0000-000041540000}"/>
    <cellStyle name="Normal 194 2 2 2 2" xfId="21830" xr:uid="{00000000-0005-0000-0000-000042540000}"/>
    <cellStyle name="Normal 194 2 2 2 2 2" xfId="21831" xr:uid="{00000000-0005-0000-0000-000043540000}"/>
    <cellStyle name="Normal 194 2 2 2 2 3" xfId="21832" xr:uid="{00000000-0005-0000-0000-000044540000}"/>
    <cellStyle name="Normal 194 2 2 2 3" xfId="21833" xr:uid="{00000000-0005-0000-0000-000045540000}"/>
    <cellStyle name="Normal 194 2 2 2 3 2" xfId="21834" xr:uid="{00000000-0005-0000-0000-000046540000}"/>
    <cellStyle name="Normal 194 2 2 2 3 3" xfId="21835" xr:uid="{00000000-0005-0000-0000-000047540000}"/>
    <cellStyle name="Normal 194 2 2 2 4" xfId="21836" xr:uid="{00000000-0005-0000-0000-000048540000}"/>
    <cellStyle name="Normal 194 2 2 2 5" xfId="21837" xr:uid="{00000000-0005-0000-0000-000049540000}"/>
    <cellStyle name="Normal 194 2 2 2 6" xfId="21838" xr:uid="{00000000-0005-0000-0000-00004A540000}"/>
    <cellStyle name="Normal 194 2 2 3" xfId="21839" xr:uid="{00000000-0005-0000-0000-00004B540000}"/>
    <cellStyle name="Normal 194 2 2 3 2" xfId="21840" xr:uid="{00000000-0005-0000-0000-00004C540000}"/>
    <cellStyle name="Normal 194 2 2 3 3" xfId="21841" xr:uid="{00000000-0005-0000-0000-00004D540000}"/>
    <cellStyle name="Normal 194 2 2 4" xfId="21842" xr:uid="{00000000-0005-0000-0000-00004E540000}"/>
    <cellStyle name="Normal 194 2 2 4 2" xfId="21843" xr:uid="{00000000-0005-0000-0000-00004F540000}"/>
    <cellStyle name="Normal 194 2 2 4 3" xfId="21844" xr:uid="{00000000-0005-0000-0000-000050540000}"/>
    <cellStyle name="Normal 194 2 2 5" xfId="21845" xr:uid="{00000000-0005-0000-0000-000051540000}"/>
    <cellStyle name="Normal 194 2 2 6" xfId="21846" xr:uid="{00000000-0005-0000-0000-000052540000}"/>
    <cellStyle name="Normal 194 2 2 7" xfId="21847" xr:uid="{00000000-0005-0000-0000-000053540000}"/>
    <cellStyle name="Normal 194 2 2 8" xfId="21848" xr:uid="{00000000-0005-0000-0000-000054540000}"/>
    <cellStyle name="Normal 194 2 3" xfId="21849" xr:uid="{00000000-0005-0000-0000-000055540000}"/>
    <cellStyle name="Normal 194 2 3 2" xfId="21850" xr:uid="{00000000-0005-0000-0000-000056540000}"/>
    <cellStyle name="Normal 194 2 3 2 2" xfId="21851" xr:uid="{00000000-0005-0000-0000-000057540000}"/>
    <cellStyle name="Normal 194 2 3 2 3" xfId="21852" xr:uid="{00000000-0005-0000-0000-000058540000}"/>
    <cellStyle name="Normal 194 2 3 3" xfId="21853" xr:uid="{00000000-0005-0000-0000-000059540000}"/>
    <cellStyle name="Normal 194 2 3 3 2" xfId="21854" xr:uid="{00000000-0005-0000-0000-00005A540000}"/>
    <cellStyle name="Normal 194 2 3 3 3" xfId="21855" xr:uid="{00000000-0005-0000-0000-00005B540000}"/>
    <cellStyle name="Normal 194 2 3 4" xfId="21856" xr:uid="{00000000-0005-0000-0000-00005C540000}"/>
    <cellStyle name="Normal 194 2 3 5" xfId="21857" xr:uid="{00000000-0005-0000-0000-00005D540000}"/>
    <cellStyle name="Normal 194 2 3 6" xfId="21858" xr:uid="{00000000-0005-0000-0000-00005E540000}"/>
    <cellStyle name="Normal 194 2 4" xfId="21859" xr:uid="{00000000-0005-0000-0000-00005F540000}"/>
    <cellStyle name="Normal 194 2 4 2" xfId="21860" xr:uid="{00000000-0005-0000-0000-000060540000}"/>
    <cellStyle name="Normal 194 2 4 3" xfId="21861" xr:uid="{00000000-0005-0000-0000-000061540000}"/>
    <cellStyle name="Normal 194 2 5" xfId="21862" xr:uid="{00000000-0005-0000-0000-000062540000}"/>
    <cellStyle name="Normal 194 2 5 2" xfId="21863" xr:uid="{00000000-0005-0000-0000-000063540000}"/>
    <cellStyle name="Normal 194 2 5 3" xfId="21864" xr:uid="{00000000-0005-0000-0000-000064540000}"/>
    <cellStyle name="Normal 194 2 6" xfId="21865" xr:uid="{00000000-0005-0000-0000-000065540000}"/>
    <cellStyle name="Normal 194 2 7" xfId="21866" xr:uid="{00000000-0005-0000-0000-000066540000}"/>
    <cellStyle name="Normal 194 2 8" xfId="21867" xr:uid="{00000000-0005-0000-0000-000067540000}"/>
    <cellStyle name="Normal 194 2 9" xfId="21868" xr:uid="{00000000-0005-0000-0000-000068540000}"/>
    <cellStyle name="Normal 194 3" xfId="21869" xr:uid="{00000000-0005-0000-0000-000069540000}"/>
    <cellStyle name="Normal 194 3 2" xfId="21870" xr:uid="{00000000-0005-0000-0000-00006A540000}"/>
    <cellStyle name="Normal 194 3 2 2" xfId="21871" xr:uid="{00000000-0005-0000-0000-00006B540000}"/>
    <cellStyle name="Normal 194 3 2 2 2" xfId="21872" xr:uid="{00000000-0005-0000-0000-00006C540000}"/>
    <cellStyle name="Normal 194 3 2 2 3" xfId="21873" xr:uid="{00000000-0005-0000-0000-00006D540000}"/>
    <cellStyle name="Normal 194 3 2 3" xfId="21874" xr:uid="{00000000-0005-0000-0000-00006E540000}"/>
    <cellStyle name="Normal 194 3 2 3 2" xfId="21875" xr:uid="{00000000-0005-0000-0000-00006F540000}"/>
    <cellStyle name="Normal 194 3 2 3 3" xfId="21876" xr:uid="{00000000-0005-0000-0000-000070540000}"/>
    <cellStyle name="Normal 194 3 2 4" xfId="21877" xr:uid="{00000000-0005-0000-0000-000071540000}"/>
    <cellStyle name="Normal 194 3 2 5" xfId="21878" xr:uid="{00000000-0005-0000-0000-000072540000}"/>
    <cellStyle name="Normal 194 3 2 6" xfId="21879" xr:uid="{00000000-0005-0000-0000-000073540000}"/>
    <cellStyle name="Normal 194 3 3" xfId="21880" xr:uid="{00000000-0005-0000-0000-000074540000}"/>
    <cellStyle name="Normal 194 3 3 2" xfId="21881" xr:uid="{00000000-0005-0000-0000-000075540000}"/>
    <cellStyle name="Normal 194 3 3 3" xfId="21882" xr:uid="{00000000-0005-0000-0000-000076540000}"/>
    <cellStyle name="Normal 194 3 4" xfId="21883" xr:uid="{00000000-0005-0000-0000-000077540000}"/>
    <cellStyle name="Normal 194 3 4 2" xfId="21884" xr:uid="{00000000-0005-0000-0000-000078540000}"/>
    <cellStyle name="Normal 194 3 4 3" xfId="21885" xr:uid="{00000000-0005-0000-0000-000079540000}"/>
    <cellStyle name="Normal 194 3 5" xfId="21886" xr:uid="{00000000-0005-0000-0000-00007A540000}"/>
    <cellStyle name="Normal 194 3 6" xfId="21887" xr:uid="{00000000-0005-0000-0000-00007B540000}"/>
    <cellStyle name="Normal 194 3 7" xfId="21888" xr:uid="{00000000-0005-0000-0000-00007C540000}"/>
    <cellStyle name="Normal 194 3 8" xfId="21889" xr:uid="{00000000-0005-0000-0000-00007D540000}"/>
    <cellStyle name="Normal 194 4" xfId="21890" xr:uid="{00000000-0005-0000-0000-00007E540000}"/>
    <cellStyle name="Normal 194 4 2" xfId="21891" xr:uid="{00000000-0005-0000-0000-00007F540000}"/>
    <cellStyle name="Normal 194 4 2 2" xfId="21892" xr:uid="{00000000-0005-0000-0000-000080540000}"/>
    <cellStyle name="Normal 194 4 2 3" xfId="21893" xr:uid="{00000000-0005-0000-0000-000081540000}"/>
    <cellStyle name="Normal 194 4 3" xfId="21894" xr:uid="{00000000-0005-0000-0000-000082540000}"/>
    <cellStyle name="Normal 194 4 3 2" xfId="21895" xr:uid="{00000000-0005-0000-0000-000083540000}"/>
    <cellStyle name="Normal 194 4 3 3" xfId="21896" xr:uid="{00000000-0005-0000-0000-000084540000}"/>
    <cellStyle name="Normal 194 4 4" xfId="21897" xr:uid="{00000000-0005-0000-0000-000085540000}"/>
    <cellStyle name="Normal 194 4 5" xfId="21898" xr:uid="{00000000-0005-0000-0000-000086540000}"/>
    <cellStyle name="Normal 194 4 6" xfId="21899" xr:uid="{00000000-0005-0000-0000-000087540000}"/>
    <cellStyle name="Normal 194 5" xfId="21900" xr:uid="{00000000-0005-0000-0000-000088540000}"/>
    <cellStyle name="Normal 194 5 2" xfId="21901" xr:uid="{00000000-0005-0000-0000-000089540000}"/>
    <cellStyle name="Normal 194 5 3" xfId="21902" xr:uid="{00000000-0005-0000-0000-00008A540000}"/>
    <cellStyle name="Normal 194 6" xfId="21903" xr:uid="{00000000-0005-0000-0000-00008B540000}"/>
    <cellStyle name="Normal 194 6 2" xfId="21904" xr:uid="{00000000-0005-0000-0000-00008C540000}"/>
    <cellStyle name="Normal 194 6 3" xfId="21905" xr:uid="{00000000-0005-0000-0000-00008D540000}"/>
    <cellStyle name="Normal 194 7" xfId="21906" xr:uid="{00000000-0005-0000-0000-00008E540000}"/>
    <cellStyle name="Normal 194 8" xfId="21907" xr:uid="{00000000-0005-0000-0000-00008F540000}"/>
    <cellStyle name="Normal 194 9" xfId="21908" xr:uid="{00000000-0005-0000-0000-000090540000}"/>
    <cellStyle name="Normal 195" xfId="2190" xr:uid="{00000000-0005-0000-0000-000091540000}"/>
    <cellStyle name="Normal 195 10" xfId="21909" xr:uid="{00000000-0005-0000-0000-000092540000}"/>
    <cellStyle name="Normal 195 11" xfId="21910" xr:uid="{00000000-0005-0000-0000-000093540000}"/>
    <cellStyle name="Normal 195 12" xfId="21911" xr:uid="{00000000-0005-0000-0000-000094540000}"/>
    <cellStyle name="Normal 195 2" xfId="21912" xr:uid="{00000000-0005-0000-0000-000095540000}"/>
    <cellStyle name="Normal 195 2 2" xfId="21913" xr:uid="{00000000-0005-0000-0000-000096540000}"/>
    <cellStyle name="Normal 195 2 2 2" xfId="21914" xr:uid="{00000000-0005-0000-0000-000097540000}"/>
    <cellStyle name="Normal 195 2 2 2 2" xfId="21915" xr:uid="{00000000-0005-0000-0000-000098540000}"/>
    <cellStyle name="Normal 195 2 2 2 2 2" xfId="21916" xr:uid="{00000000-0005-0000-0000-000099540000}"/>
    <cellStyle name="Normal 195 2 2 2 2 3" xfId="21917" xr:uid="{00000000-0005-0000-0000-00009A540000}"/>
    <cellStyle name="Normal 195 2 2 2 3" xfId="21918" xr:uid="{00000000-0005-0000-0000-00009B540000}"/>
    <cellStyle name="Normal 195 2 2 2 3 2" xfId="21919" xr:uid="{00000000-0005-0000-0000-00009C540000}"/>
    <cellStyle name="Normal 195 2 2 2 3 3" xfId="21920" xr:uid="{00000000-0005-0000-0000-00009D540000}"/>
    <cellStyle name="Normal 195 2 2 2 4" xfId="21921" xr:uid="{00000000-0005-0000-0000-00009E540000}"/>
    <cellStyle name="Normal 195 2 2 2 5" xfId="21922" xr:uid="{00000000-0005-0000-0000-00009F540000}"/>
    <cellStyle name="Normal 195 2 2 2 6" xfId="21923" xr:uid="{00000000-0005-0000-0000-0000A0540000}"/>
    <cellStyle name="Normal 195 2 2 3" xfId="21924" xr:uid="{00000000-0005-0000-0000-0000A1540000}"/>
    <cellStyle name="Normal 195 2 2 3 2" xfId="21925" xr:uid="{00000000-0005-0000-0000-0000A2540000}"/>
    <cellStyle name="Normal 195 2 2 3 3" xfId="21926" xr:uid="{00000000-0005-0000-0000-0000A3540000}"/>
    <cellStyle name="Normal 195 2 2 4" xfId="21927" xr:uid="{00000000-0005-0000-0000-0000A4540000}"/>
    <cellStyle name="Normal 195 2 2 4 2" xfId="21928" xr:uid="{00000000-0005-0000-0000-0000A5540000}"/>
    <cellStyle name="Normal 195 2 2 4 3" xfId="21929" xr:uid="{00000000-0005-0000-0000-0000A6540000}"/>
    <cellStyle name="Normal 195 2 2 5" xfId="21930" xr:uid="{00000000-0005-0000-0000-0000A7540000}"/>
    <cellStyle name="Normal 195 2 2 6" xfId="21931" xr:uid="{00000000-0005-0000-0000-0000A8540000}"/>
    <cellStyle name="Normal 195 2 2 7" xfId="21932" xr:uid="{00000000-0005-0000-0000-0000A9540000}"/>
    <cellStyle name="Normal 195 2 2 8" xfId="21933" xr:uid="{00000000-0005-0000-0000-0000AA540000}"/>
    <cellStyle name="Normal 195 2 3" xfId="21934" xr:uid="{00000000-0005-0000-0000-0000AB540000}"/>
    <cellStyle name="Normal 195 2 3 2" xfId="21935" xr:uid="{00000000-0005-0000-0000-0000AC540000}"/>
    <cellStyle name="Normal 195 2 3 2 2" xfId="21936" xr:uid="{00000000-0005-0000-0000-0000AD540000}"/>
    <cellStyle name="Normal 195 2 3 2 3" xfId="21937" xr:uid="{00000000-0005-0000-0000-0000AE540000}"/>
    <cellStyle name="Normal 195 2 3 3" xfId="21938" xr:uid="{00000000-0005-0000-0000-0000AF540000}"/>
    <cellStyle name="Normal 195 2 3 3 2" xfId="21939" xr:uid="{00000000-0005-0000-0000-0000B0540000}"/>
    <cellStyle name="Normal 195 2 3 3 3" xfId="21940" xr:uid="{00000000-0005-0000-0000-0000B1540000}"/>
    <cellStyle name="Normal 195 2 3 4" xfId="21941" xr:uid="{00000000-0005-0000-0000-0000B2540000}"/>
    <cellStyle name="Normal 195 2 3 5" xfId="21942" xr:uid="{00000000-0005-0000-0000-0000B3540000}"/>
    <cellStyle name="Normal 195 2 3 6" xfId="21943" xr:uid="{00000000-0005-0000-0000-0000B4540000}"/>
    <cellStyle name="Normal 195 2 4" xfId="21944" xr:uid="{00000000-0005-0000-0000-0000B5540000}"/>
    <cellStyle name="Normal 195 2 4 2" xfId="21945" xr:uid="{00000000-0005-0000-0000-0000B6540000}"/>
    <cellStyle name="Normal 195 2 4 3" xfId="21946" xr:uid="{00000000-0005-0000-0000-0000B7540000}"/>
    <cellStyle name="Normal 195 2 5" xfId="21947" xr:uid="{00000000-0005-0000-0000-0000B8540000}"/>
    <cellStyle name="Normal 195 2 5 2" xfId="21948" xr:uid="{00000000-0005-0000-0000-0000B9540000}"/>
    <cellStyle name="Normal 195 2 5 3" xfId="21949" xr:uid="{00000000-0005-0000-0000-0000BA540000}"/>
    <cellStyle name="Normal 195 2 6" xfId="21950" xr:uid="{00000000-0005-0000-0000-0000BB540000}"/>
    <cellStyle name="Normal 195 2 7" xfId="21951" xr:uid="{00000000-0005-0000-0000-0000BC540000}"/>
    <cellStyle name="Normal 195 2 8" xfId="21952" xr:uid="{00000000-0005-0000-0000-0000BD540000}"/>
    <cellStyle name="Normal 195 2 9" xfId="21953" xr:uid="{00000000-0005-0000-0000-0000BE540000}"/>
    <cellStyle name="Normal 195 3" xfId="21954" xr:uid="{00000000-0005-0000-0000-0000BF540000}"/>
    <cellStyle name="Normal 195 3 2" xfId="21955" xr:uid="{00000000-0005-0000-0000-0000C0540000}"/>
    <cellStyle name="Normal 195 3 2 2" xfId="21956" xr:uid="{00000000-0005-0000-0000-0000C1540000}"/>
    <cellStyle name="Normal 195 3 2 2 2" xfId="21957" xr:uid="{00000000-0005-0000-0000-0000C2540000}"/>
    <cellStyle name="Normal 195 3 2 2 3" xfId="21958" xr:uid="{00000000-0005-0000-0000-0000C3540000}"/>
    <cellStyle name="Normal 195 3 2 3" xfId="21959" xr:uid="{00000000-0005-0000-0000-0000C4540000}"/>
    <cellStyle name="Normal 195 3 2 3 2" xfId="21960" xr:uid="{00000000-0005-0000-0000-0000C5540000}"/>
    <cellStyle name="Normal 195 3 2 3 3" xfId="21961" xr:uid="{00000000-0005-0000-0000-0000C6540000}"/>
    <cellStyle name="Normal 195 3 2 4" xfId="21962" xr:uid="{00000000-0005-0000-0000-0000C7540000}"/>
    <cellStyle name="Normal 195 3 2 5" xfId="21963" xr:uid="{00000000-0005-0000-0000-0000C8540000}"/>
    <cellStyle name="Normal 195 3 2 6" xfId="21964" xr:uid="{00000000-0005-0000-0000-0000C9540000}"/>
    <cellStyle name="Normal 195 3 3" xfId="21965" xr:uid="{00000000-0005-0000-0000-0000CA540000}"/>
    <cellStyle name="Normal 195 3 3 2" xfId="21966" xr:uid="{00000000-0005-0000-0000-0000CB540000}"/>
    <cellStyle name="Normal 195 3 3 3" xfId="21967" xr:uid="{00000000-0005-0000-0000-0000CC540000}"/>
    <cellStyle name="Normal 195 3 4" xfId="21968" xr:uid="{00000000-0005-0000-0000-0000CD540000}"/>
    <cellStyle name="Normal 195 3 4 2" xfId="21969" xr:uid="{00000000-0005-0000-0000-0000CE540000}"/>
    <cellStyle name="Normal 195 3 4 3" xfId="21970" xr:uid="{00000000-0005-0000-0000-0000CF540000}"/>
    <cellStyle name="Normal 195 3 5" xfId="21971" xr:uid="{00000000-0005-0000-0000-0000D0540000}"/>
    <cellStyle name="Normal 195 3 6" xfId="21972" xr:uid="{00000000-0005-0000-0000-0000D1540000}"/>
    <cellStyle name="Normal 195 3 7" xfId="21973" xr:uid="{00000000-0005-0000-0000-0000D2540000}"/>
    <cellStyle name="Normal 195 3 8" xfId="21974" xr:uid="{00000000-0005-0000-0000-0000D3540000}"/>
    <cellStyle name="Normal 195 4" xfId="21975" xr:uid="{00000000-0005-0000-0000-0000D4540000}"/>
    <cellStyle name="Normal 195 4 2" xfId="21976" xr:uid="{00000000-0005-0000-0000-0000D5540000}"/>
    <cellStyle name="Normal 195 4 2 2" xfId="21977" xr:uid="{00000000-0005-0000-0000-0000D6540000}"/>
    <cellStyle name="Normal 195 4 2 3" xfId="21978" xr:uid="{00000000-0005-0000-0000-0000D7540000}"/>
    <cellStyle name="Normal 195 4 3" xfId="21979" xr:uid="{00000000-0005-0000-0000-0000D8540000}"/>
    <cellStyle name="Normal 195 4 3 2" xfId="21980" xr:uid="{00000000-0005-0000-0000-0000D9540000}"/>
    <cellStyle name="Normal 195 4 3 3" xfId="21981" xr:uid="{00000000-0005-0000-0000-0000DA540000}"/>
    <cellStyle name="Normal 195 4 4" xfId="21982" xr:uid="{00000000-0005-0000-0000-0000DB540000}"/>
    <cellStyle name="Normal 195 4 5" xfId="21983" xr:uid="{00000000-0005-0000-0000-0000DC540000}"/>
    <cellStyle name="Normal 195 4 6" xfId="21984" xr:uid="{00000000-0005-0000-0000-0000DD540000}"/>
    <cellStyle name="Normal 195 5" xfId="21985" xr:uid="{00000000-0005-0000-0000-0000DE540000}"/>
    <cellStyle name="Normal 195 5 2" xfId="21986" xr:uid="{00000000-0005-0000-0000-0000DF540000}"/>
    <cellStyle name="Normal 195 5 3" xfId="21987" xr:uid="{00000000-0005-0000-0000-0000E0540000}"/>
    <cellStyle name="Normal 195 6" xfId="21988" xr:uid="{00000000-0005-0000-0000-0000E1540000}"/>
    <cellStyle name="Normal 195 6 2" xfId="21989" xr:uid="{00000000-0005-0000-0000-0000E2540000}"/>
    <cellStyle name="Normal 195 6 3" xfId="21990" xr:uid="{00000000-0005-0000-0000-0000E3540000}"/>
    <cellStyle name="Normal 195 7" xfId="21991" xr:uid="{00000000-0005-0000-0000-0000E4540000}"/>
    <cellStyle name="Normal 195 8" xfId="21992" xr:uid="{00000000-0005-0000-0000-0000E5540000}"/>
    <cellStyle name="Normal 195 9" xfId="21993" xr:uid="{00000000-0005-0000-0000-0000E6540000}"/>
    <cellStyle name="Normal 196" xfId="2191" xr:uid="{00000000-0005-0000-0000-0000E7540000}"/>
    <cellStyle name="Normal 196 10" xfId="21994" xr:uid="{00000000-0005-0000-0000-0000E8540000}"/>
    <cellStyle name="Normal 196 11" xfId="21995" xr:uid="{00000000-0005-0000-0000-0000E9540000}"/>
    <cellStyle name="Normal 196 12" xfId="21996" xr:uid="{00000000-0005-0000-0000-0000EA540000}"/>
    <cellStyle name="Normal 196 2" xfId="21997" xr:uid="{00000000-0005-0000-0000-0000EB540000}"/>
    <cellStyle name="Normal 196 2 2" xfId="21998" xr:uid="{00000000-0005-0000-0000-0000EC540000}"/>
    <cellStyle name="Normal 196 2 2 2" xfId="21999" xr:uid="{00000000-0005-0000-0000-0000ED540000}"/>
    <cellStyle name="Normal 196 2 2 2 2" xfId="22000" xr:uid="{00000000-0005-0000-0000-0000EE540000}"/>
    <cellStyle name="Normal 196 2 2 2 2 2" xfId="22001" xr:uid="{00000000-0005-0000-0000-0000EF540000}"/>
    <cellStyle name="Normal 196 2 2 2 2 3" xfId="22002" xr:uid="{00000000-0005-0000-0000-0000F0540000}"/>
    <cellStyle name="Normal 196 2 2 2 3" xfId="22003" xr:uid="{00000000-0005-0000-0000-0000F1540000}"/>
    <cellStyle name="Normal 196 2 2 2 3 2" xfId="22004" xr:uid="{00000000-0005-0000-0000-0000F2540000}"/>
    <cellStyle name="Normal 196 2 2 2 3 3" xfId="22005" xr:uid="{00000000-0005-0000-0000-0000F3540000}"/>
    <cellStyle name="Normal 196 2 2 2 4" xfId="22006" xr:uid="{00000000-0005-0000-0000-0000F4540000}"/>
    <cellStyle name="Normal 196 2 2 2 5" xfId="22007" xr:uid="{00000000-0005-0000-0000-0000F5540000}"/>
    <cellStyle name="Normal 196 2 2 2 6" xfId="22008" xr:uid="{00000000-0005-0000-0000-0000F6540000}"/>
    <cellStyle name="Normal 196 2 2 3" xfId="22009" xr:uid="{00000000-0005-0000-0000-0000F7540000}"/>
    <cellStyle name="Normal 196 2 2 3 2" xfId="22010" xr:uid="{00000000-0005-0000-0000-0000F8540000}"/>
    <cellStyle name="Normal 196 2 2 3 3" xfId="22011" xr:uid="{00000000-0005-0000-0000-0000F9540000}"/>
    <cellStyle name="Normal 196 2 2 4" xfId="22012" xr:uid="{00000000-0005-0000-0000-0000FA540000}"/>
    <cellStyle name="Normal 196 2 2 4 2" xfId="22013" xr:uid="{00000000-0005-0000-0000-0000FB540000}"/>
    <cellStyle name="Normal 196 2 2 4 3" xfId="22014" xr:uid="{00000000-0005-0000-0000-0000FC540000}"/>
    <cellStyle name="Normal 196 2 2 5" xfId="22015" xr:uid="{00000000-0005-0000-0000-0000FD540000}"/>
    <cellStyle name="Normal 196 2 2 6" xfId="22016" xr:uid="{00000000-0005-0000-0000-0000FE540000}"/>
    <cellStyle name="Normal 196 2 2 7" xfId="22017" xr:uid="{00000000-0005-0000-0000-0000FF540000}"/>
    <cellStyle name="Normal 196 2 2 8" xfId="22018" xr:uid="{00000000-0005-0000-0000-000000550000}"/>
    <cellStyle name="Normal 196 2 3" xfId="22019" xr:uid="{00000000-0005-0000-0000-000001550000}"/>
    <cellStyle name="Normal 196 2 3 2" xfId="22020" xr:uid="{00000000-0005-0000-0000-000002550000}"/>
    <cellStyle name="Normal 196 2 3 2 2" xfId="22021" xr:uid="{00000000-0005-0000-0000-000003550000}"/>
    <cellStyle name="Normal 196 2 3 2 3" xfId="22022" xr:uid="{00000000-0005-0000-0000-000004550000}"/>
    <cellStyle name="Normal 196 2 3 3" xfId="22023" xr:uid="{00000000-0005-0000-0000-000005550000}"/>
    <cellStyle name="Normal 196 2 3 3 2" xfId="22024" xr:uid="{00000000-0005-0000-0000-000006550000}"/>
    <cellStyle name="Normal 196 2 3 3 3" xfId="22025" xr:uid="{00000000-0005-0000-0000-000007550000}"/>
    <cellStyle name="Normal 196 2 3 4" xfId="22026" xr:uid="{00000000-0005-0000-0000-000008550000}"/>
    <cellStyle name="Normal 196 2 3 5" xfId="22027" xr:uid="{00000000-0005-0000-0000-000009550000}"/>
    <cellStyle name="Normal 196 2 3 6" xfId="22028" xr:uid="{00000000-0005-0000-0000-00000A550000}"/>
    <cellStyle name="Normal 196 2 4" xfId="22029" xr:uid="{00000000-0005-0000-0000-00000B550000}"/>
    <cellStyle name="Normal 196 2 4 2" xfId="22030" xr:uid="{00000000-0005-0000-0000-00000C550000}"/>
    <cellStyle name="Normal 196 2 4 3" xfId="22031" xr:uid="{00000000-0005-0000-0000-00000D550000}"/>
    <cellStyle name="Normal 196 2 5" xfId="22032" xr:uid="{00000000-0005-0000-0000-00000E550000}"/>
    <cellStyle name="Normal 196 2 5 2" xfId="22033" xr:uid="{00000000-0005-0000-0000-00000F550000}"/>
    <cellStyle name="Normal 196 2 5 3" xfId="22034" xr:uid="{00000000-0005-0000-0000-000010550000}"/>
    <cellStyle name="Normal 196 2 6" xfId="22035" xr:uid="{00000000-0005-0000-0000-000011550000}"/>
    <cellStyle name="Normal 196 2 7" xfId="22036" xr:uid="{00000000-0005-0000-0000-000012550000}"/>
    <cellStyle name="Normal 196 2 8" xfId="22037" xr:uid="{00000000-0005-0000-0000-000013550000}"/>
    <cellStyle name="Normal 196 2 9" xfId="22038" xr:uid="{00000000-0005-0000-0000-000014550000}"/>
    <cellStyle name="Normal 196 3" xfId="22039" xr:uid="{00000000-0005-0000-0000-000015550000}"/>
    <cellStyle name="Normal 196 3 2" xfId="22040" xr:uid="{00000000-0005-0000-0000-000016550000}"/>
    <cellStyle name="Normal 196 3 2 2" xfId="22041" xr:uid="{00000000-0005-0000-0000-000017550000}"/>
    <cellStyle name="Normal 196 3 2 2 2" xfId="22042" xr:uid="{00000000-0005-0000-0000-000018550000}"/>
    <cellStyle name="Normal 196 3 2 2 3" xfId="22043" xr:uid="{00000000-0005-0000-0000-000019550000}"/>
    <cellStyle name="Normal 196 3 2 3" xfId="22044" xr:uid="{00000000-0005-0000-0000-00001A550000}"/>
    <cellStyle name="Normal 196 3 2 3 2" xfId="22045" xr:uid="{00000000-0005-0000-0000-00001B550000}"/>
    <cellStyle name="Normal 196 3 2 3 3" xfId="22046" xr:uid="{00000000-0005-0000-0000-00001C550000}"/>
    <cellStyle name="Normal 196 3 2 4" xfId="22047" xr:uid="{00000000-0005-0000-0000-00001D550000}"/>
    <cellStyle name="Normal 196 3 2 5" xfId="22048" xr:uid="{00000000-0005-0000-0000-00001E550000}"/>
    <cellStyle name="Normal 196 3 2 6" xfId="22049" xr:uid="{00000000-0005-0000-0000-00001F550000}"/>
    <cellStyle name="Normal 196 3 3" xfId="22050" xr:uid="{00000000-0005-0000-0000-000020550000}"/>
    <cellStyle name="Normal 196 3 3 2" xfId="22051" xr:uid="{00000000-0005-0000-0000-000021550000}"/>
    <cellStyle name="Normal 196 3 3 3" xfId="22052" xr:uid="{00000000-0005-0000-0000-000022550000}"/>
    <cellStyle name="Normal 196 3 4" xfId="22053" xr:uid="{00000000-0005-0000-0000-000023550000}"/>
    <cellStyle name="Normal 196 3 4 2" xfId="22054" xr:uid="{00000000-0005-0000-0000-000024550000}"/>
    <cellStyle name="Normal 196 3 4 3" xfId="22055" xr:uid="{00000000-0005-0000-0000-000025550000}"/>
    <cellStyle name="Normal 196 3 5" xfId="22056" xr:uid="{00000000-0005-0000-0000-000026550000}"/>
    <cellStyle name="Normal 196 3 6" xfId="22057" xr:uid="{00000000-0005-0000-0000-000027550000}"/>
    <cellStyle name="Normal 196 3 7" xfId="22058" xr:uid="{00000000-0005-0000-0000-000028550000}"/>
    <cellStyle name="Normal 196 3 8" xfId="22059" xr:uid="{00000000-0005-0000-0000-000029550000}"/>
    <cellStyle name="Normal 196 4" xfId="22060" xr:uid="{00000000-0005-0000-0000-00002A550000}"/>
    <cellStyle name="Normal 196 4 2" xfId="22061" xr:uid="{00000000-0005-0000-0000-00002B550000}"/>
    <cellStyle name="Normal 196 4 2 2" xfId="22062" xr:uid="{00000000-0005-0000-0000-00002C550000}"/>
    <cellStyle name="Normal 196 4 2 3" xfId="22063" xr:uid="{00000000-0005-0000-0000-00002D550000}"/>
    <cellStyle name="Normal 196 4 3" xfId="22064" xr:uid="{00000000-0005-0000-0000-00002E550000}"/>
    <cellStyle name="Normal 196 4 3 2" xfId="22065" xr:uid="{00000000-0005-0000-0000-00002F550000}"/>
    <cellStyle name="Normal 196 4 3 3" xfId="22066" xr:uid="{00000000-0005-0000-0000-000030550000}"/>
    <cellStyle name="Normal 196 4 4" xfId="22067" xr:uid="{00000000-0005-0000-0000-000031550000}"/>
    <cellStyle name="Normal 196 4 5" xfId="22068" xr:uid="{00000000-0005-0000-0000-000032550000}"/>
    <cellStyle name="Normal 196 4 6" xfId="22069" xr:uid="{00000000-0005-0000-0000-000033550000}"/>
    <cellStyle name="Normal 196 5" xfId="22070" xr:uid="{00000000-0005-0000-0000-000034550000}"/>
    <cellStyle name="Normal 196 5 2" xfId="22071" xr:uid="{00000000-0005-0000-0000-000035550000}"/>
    <cellStyle name="Normal 196 5 3" xfId="22072" xr:uid="{00000000-0005-0000-0000-000036550000}"/>
    <cellStyle name="Normal 196 6" xfId="22073" xr:uid="{00000000-0005-0000-0000-000037550000}"/>
    <cellStyle name="Normal 196 6 2" xfId="22074" xr:uid="{00000000-0005-0000-0000-000038550000}"/>
    <cellStyle name="Normal 196 6 3" xfId="22075" xr:uid="{00000000-0005-0000-0000-000039550000}"/>
    <cellStyle name="Normal 196 7" xfId="22076" xr:uid="{00000000-0005-0000-0000-00003A550000}"/>
    <cellStyle name="Normal 196 8" xfId="22077" xr:uid="{00000000-0005-0000-0000-00003B550000}"/>
    <cellStyle name="Normal 196 9" xfId="22078" xr:uid="{00000000-0005-0000-0000-00003C550000}"/>
    <cellStyle name="Normal 197" xfId="2192" xr:uid="{00000000-0005-0000-0000-00003D550000}"/>
    <cellStyle name="Normal 197 10" xfId="22079" xr:uid="{00000000-0005-0000-0000-00003E550000}"/>
    <cellStyle name="Normal 197 11" xfId="22080" xr:uid="{00000000-0005-0000-0000-00003F550000}"/>
    <cellStyle name="Normal 197 12" xfId="22081" xr:uid="{00000000-0005-0000-0000-000040550000}"/>
    <cellStyle name="Normal 197 2" xfId="22082" xr:uid="{00000000-0005-0000-0000-000041550000}"/>
    <cellStyle name="Normal 197 2 2" xfId="22083" xr:uid="{00000000-0005-0000-0000-000042550000}"/>
    <cellStyle name="Normal 197 2 2 2" xfId="22084" xr:uid="{00000000-0005-0000-0000-000043550000}"/>
    <cellStyle name="Normal 197 2 2 2 2" xfId="22085" xr:uid="{00000000-0005-0000-0000-000044550000}"/>
    <cellStyle name="Normal 197 2 2 2 2 2" xfId="22086" xr:uid="{00000000-0005-0000-0000-000045550000}"/>
    <cellStyle name="Normal 197 2 2 2 2 3" xfId="22087" xr:uid="{00000000-0005-0000-0000-000046550000}"/>
    <cellStyle name="Normal 197 2 2 2 3" xfId="22088" xr:uid="{00000000-0005-0000-0000-000047550000}"/>
    <cellStyle name="Normal 197 2 2 2 3 2" xfId="22089" xr:uid="{00000000-0005-0000-0000-000048550000}"/>
    <cellStyle name="Normal 197 2 2 2 3 3" xfId="22090" xr:uid="{00000000-0005-0000-0000-000049550000}"/>
    <cellStyle name="Normal 197 2 2 2 4" xfId="22091" xr:uid="{00000000-0005-0000-0000-00004A550000}"/>
    <cellStyle name="Normal 197 2 2 2 5" xfId="22092" xr:uid="{00000000-0005-0000-0000-00004B550000}"/>
    <cellStyle name="Normal 197 2 2 2 6" xfId="22093" xr:uid="{00000000-0005-0000-0000-00004C550000}"/>
    <cellStyle name="Normal 197 2 2 3" xfId="22094" xr:uid="{00000000-0005-0000-0000-00004D550000}"/>
    <cellStyle name="Normal 197 2 2 3 2" xfId="22095" xr:uid="{00000000-0005-0000-0000-00004E550000}"/>
    <cellStyle name="Normal 197 2 2 3 3" xfId="22096" xr:uid="{00000000-0005-0000-0000-00004F550000}"/>
    <cellStyle name="Normal 197 2 2 4" xfId="22097" xr:uid="{00000000-0005-0000-0000-000050550000}"/>
    <cellStyle name="Normal 197 2 2 4 2" xfId="22098" xr:uid="{00000000-0005-0000-0000-000051550000}"/>
    <cellStyle name="Normal 197 2 2 4 3" xfId="22099" xr:uid="{00000000-0005-0000-0000-000052550000}"/>
    <cellStyle name="Normal 197 2 2 5" xfId="22100" xr:uid="{00000000-0005-0000-0000-000053550000}"/>
    <cellStyle name="Normal 197 2 2 6" xfId="22101" xr:uid="{00000000-0005-0000-0000-000054550000}"/>
    <cellStyle name="Normal 197 2 2 7" xfId="22102" xr:uid="{00000000-0005-0000-0000-000055550000}"/>
    <cellStyle name="Normal 197 2 2 8" xfId="22103" xr:uid="{00000000-0005-0000-0000-000056550000}"/>
    <cellStyle name="Normal 197 2 3" xfId="22104" xr:uid="{00000000-0005-0000-0000-000057550000}"/>
    <cellStyle name="Normal 197 2 3 2" xfId="22105" xr:uid="{00000000-0005-0000-0000-000058550000}"/>
    <cellStyle name="Normal 197 2 3 2 2" xfId="22106" xr:uid="{00000000-0005-0000-0000-000059550000}"/>
    <cellStyle name="Normal 197 2 3 2 3" xfId="22107" xr:uid="{00000000-0005-0000-0000-00005A550000}"/>
    <cellStyle name="Normal 197 2 3 3" xfId="22108" xr:uid="{00000000-0005-0000-0000-00005B550000}"/>
    <cellStyle name="Normal 197 2 3 3 2" xfId="22109" xr:uid="{00000000-0005-0000-0000-00005C550000}"/>
    <cellStyle name="Normal 197 2 3 3 3" xfId="22110" xr:uid="{00000000-0005-0000-0000-00005D550000}"/>
    <cellStyle name="Normal 197 2 3 4" xfId="22111" xr:uid="{00000000-0005-0000-0000-00005E550000}"/>
    <cellStyle name="Normal 197 2 3 5" xfId="22112" xr:uid="{00000000-0005-0000-0000-00005F550000}"/>
    <cellStyle name="Normal 197 2 3 6" xfId="22113" xr:uid="{00000000-0005-0000-0000-000060550000}"/>
    <cellStyle name="Normal 197 2 4" xfId="22114" xr:uid="{00000000-0005-0000-0000-000061550000}"/>
    <cellStyle name="Normal 197 2 4 2" xfId="22115" xr:uid="{00000000-0005-0000-0000-000062550000}"/>
    <cellStyle name="Normal 197 2 4 3" xfId="22116" xr:uid="{00000000-0005-0000-0000-000063550000}"/>
    <cellStyle name="Normal 197 2 5" xfId="22117" xr:uid="{00000000-0005-0000-0000-000064550000}"/>
    <cellStyle name="Normal 197 2 5 2" xfId="22118" xr:uid="{00000000-0005-0000-0000-000065550000}"/>
    <cellStyle name="Normal 197 2 5 3" xfId="22119" xr:uid="{00000000-0005-0000-0000-000066550000}"/>
    <cellStyle name="Normal 197 2 6" xfId="22120" xr:uid="{00000000-0005-0000-0000-000067550000}"/>
    <cellStyle name="Normal 197 2 7" xfId="22121" xr:uid="{00000000-0005-0000-0000-000068550000}"/>
    <cellStyle name="Normal 197 2 8" xfId="22122" xr:uid="{00000000-0005-0000-0000-000069550000}"/>
    <cellStyle name="Normal 197 2 9" xfId="22123" xr:uid="{00000000-0005-0000-0000-00006A550000}"/>
    <cellStyle name="Normal 197 3" xfId="22124" xr:uid="{00000000-0005-0000-0000-00006B550000}"/>
    <cellStyle name="Normal 197 3 2" xfId="22125" xr:uid="{00000000-0005-0000-0000-00006C550000}"/>
    <cellStyle name="Normal 197 3 2 2" xfId="22126" xr:uid="{00000000-0005-0000-0000-00006D550000}"/>
    <cellStyle name="Normal 197 3 2 2 2" xfId="22127" xr:uid="{00000000-0005-0000-0000-00006E550000}"/>
    <cellStyle name="Normal 197 3 2 2 3" xfId="22128" xr:uid="{00000000-0005-0000-0000-00006F550000}"/>
    <cellStyle name="Normal 197 3 2 3" xfId="22129" xr:uid="{00000000-0005-0000-0000-000070550000}"/>
    <cellStyle name="Normal 197 3 2 3 2" xfId="22130" xr:uid="{00000000-0005-0000-0000-000071550000}"/>
    <cellStyle name="Normal 197 3 2 3 3" xfId="22131" xr:uid="{00000000-0005-0000-0000-000072550000}"/>
    <cellStyle name="Normal 197 3 2 4" xfId="22132" xr:uid="{00000000-0005-0000-0000-000073550000}"/>
    <cellStyle name="Normal 197 3 2 5" xfId="22133" xr:uid="{00000000-0005-0000-0000-000074550000}"/>
    <cellStyle name="Normal 197 3 2 6" xfId="22134" xr:uid="{00000000-0005-0000-0000-000075550000}"/>
    <cellStyle name="Normal 197 3 3" xfId="22135" xr:uid="{00000000-0005-0000-0000-000076550000}"/>
    <cellStyle name="Normal 197 3 3 2" xfId="22136" xr:uid="{00000000-0005-0000-0000-000077550000}"/>
    <cellStyle name="Normal 197 3 3 3" xfId="22137" xr:uid="{00000000-0005-0000-0000-000078550000}"/>
    <cellStyle name="Normal 197 3 4" xfId="22138" xr:uid="{00000000-0005-0000-0000-000079550000}"/>
    <cellStyle name="Normal 197 3 4 2" xfId="22139" xr:uid="{00000000-0005-0000-0000-00007A550000}"/>
    <cellStyle name="Normal 197 3 4 3" xfId="22140" xr:uid="{00000000-0005-0000-0000-00007B550000}"/>
    <cellStyle name="Normal 197 3 5" xfId="22141" xr:uid="{00000000-0005-0000-0000-00007C550000}"/>
    <cellStyle name="Normal 197 3 6" xfId="22142" xr:uid="{00000000-0005-0000-0000-00007D550000}"/>
    <cellStyle name="Normal 197 3 7" xfId="22143" xr:uid="{00000000-0005-0000-0000-00007E550000}"/>
    <cellStyle name="Normal 197 3 8" xfId="22144" xr:uid="{00000000-0005-0000-0000-00007F550000}"/>
    <cellStyle name="Normal 197 4" xfId="22145" xr:uid="{00000000-0005-0000-0000-000080550000}"/>
    <cellStyle name="Normal 197 4 2" xfId="22146" xr:uid="{00000000-0005-0000-0000-000081550000}"/>
    <cellStyle name="Normal 197 4 2 2" xfId="22147" xr:uid="{00000000-0005-0000-0000-000082550000}"/>
    <cellStyle name="Normal 197 4 2 3" xfId="22148" xr:uid="{00000000-0005-0000-0000-000083550000}"/>
    <cellStyle name="Normal 197 4 3" xfId="22149" xr:uid="{00000000-0005-0000-0000-000084550000}"/>
    <cellStyle name="Normal 197 4 3 2" xfId="22150" xr:uid="{00000000-0005-0000-0000-000085550000}"/>
    <cellStyle name="Normal 197 4 3 3" xfId="22151" xr:uid="{00000000-0005-0000-0000-000086550000}"/>
    <cellStyle name="Normal 197 4 4" xfId="22152" xr:uid="{00000000-0005-0000-0000-000087550000}"/>
    <cellStyle name="Normal 197 4 5" xfId="22153" xr:uid="{00000000-0005-0000-0000-000088550000}"/>
    <cellStyle name="Normal 197 4 6" xfId="22154" xr:uid="{00000000-0005-0000-0000-000089550000}"/>
    <cellStyle name="Normal 197 5" xfId="22155" xr:uid="{00000000-0005-0000-0000-00008A550000}"/>
    <cellStyle name="Normal 197 5 2" xfId="22156" xr:uid="{00000000-0005-0000-0000-00008B550000}"/>
    <cellStyle name="Normal 197 5 3" xfId="22157" xr:uid="{00000000-0005-0000-0000-00008C550000}"/>
    <cellStyle name="Normal 197 6" xfId="22158" xr:uid="{00000000-0005-0000-0000-00008D550000}"/>
    <cellStyle name="Normal 197 6 2" xfId="22159" xr:uid="{00000000-0005-0000-0000-00008E550000}"/>
    <cellStyle name="Normal 197 6 3" xfId="22160" xr:uid="{00000000-0005-0000-0000-00008F550000}"/>
    <cellStyle name="Normal 197 7" xfId="22161" xr:uid="{00000000-0005-0000-0000-000090550000}"/>
    <cellStyle name="Normal 197 8" xfId="22162" xr:uid="{00000000-0005-0000-0000-000091550000}"/>
    <cellStyle name="Normal 197 9" xfId="22163" xr:uid="{00000000-0005-0000-0000-000092550000}"/>
    <cellStyle name="Normal 198" xfId="2193" xr:uid="{00000000-0005-0000-0000-000093550000}"/>
    <cellStyle name="Normal 198 10" xfId="22164" xr:uid="{00000000-0005-0000-0000-000094550000}"/>
    <cellStyle name="Normal 198 11" xfId="22165" xr:uid="{00000000-0005-0000-0000-000095550000}"/>
    <cellStyle name="Normal 198 12" xfId="22166" xr:uid="{00000000-0005-0000-0000-000096550000}"/>
    <cellStyle name="Normal 198 2" xfId="22167" xr:uid="{00000000-0005-0000-0000-000097550000}"/>
    <cellStyle name="Normal 198 2 2" xfId="22168" xr:uid="{00000000-0005-0000-0000-000098550000}"/>
    <cellStyle name="Normal 198 2 2 2" xfId="22169" xr:uid="{00000000-0005-0000-0000-000099550000}"/>
    <cellStyle name="Normal 198 2 2 2 2" xfId="22170" xr:uid="{00000000-0005-0000-0000-00009A550000}"/>
    <cellStyle name="Normal 198 2 2 2 2 2" xfId="22171" xr:uid="{00000000-0005-0000-0000-00009B550000}"/>
    <cellStyle name="Normal 198 2 2 2 2 3" xfId="22172" xr:uid="{00000000-0005-0000-0000-00009C550000}"/>
    <cellStyle name="Normal 198 2 2 2 3" xfId="22173" xr:uid="{00000000-0005-0000-0000-00009D550000}"/>
    <cellStyle name="Normal 198 2 2 2 3 2" xfId="22174" xr:uid="{00000000-0005-0000-0000-00009E550000}"/>
    <cellStyle name="Normal 198 2 2 2 3 3" xfId="22175" xr:uid="{00000000-0005-0000-0000-00009F550000}"/>
    <cellStyle name="Normal 198 2 2 2 4" xfId="22176" xr:uid="{00000000-0005-0000-0000-0000A0550000}"/>
    <cellStyle name="Normal 198 2 2 2 5" xfId="22177" xr:uid="{00000000-0005-0000-0000-0000A1550000}"/>
    <cellStyle name="Normal 198 2 2 2 6" xfId="22178" xr:uid="{00000000-0005-0000-0000-0000A2550000}"/>
    <cellStyle name="Normal 198 2 2 3" xfId="22179" xr:uid="{00000000-0005-0000-0000-0000A3550000}"/>
    <cellStyle name="Normal 198 2 2 3 2" xfId="22180" xr:uid="{00000000-0005-0000-0000-0000A4550000}"/>
    <cellStyle name="Normal 198 2 2 3 3" xfId="22181" xr:uid="{00000000-0005-0000-0000-0000A5550000}"/>
    <cellStyle name="Normal 198 2 2 4" xfId="22182" xr:uid="{00000000-0005-0000-0000-0000A6550000}"/>
    <cellStyle name="Normal 198 2 2 4 2" xfId="22183" xr:uid="{00000000-0005-0000-0000-0000A7550000}"/>
    <cellStyle name="Normal 198 2 2 4 3" xfId="22184" xr:uid="{00000000-0005-0000-0000-0000A8550000}"/>
    <cellStyle name="Normal 198 2 2 5" xfId="22185" xr:uid="{00000000-0005-0000-0000-0000A9550000}"/>
    <cellStyle name="Normal 198 2 2 6" xfId="22186" xr:uid="{00000000-0005-0000-0000-0000AA550000}"/>
    <cellStyle name="Normal 198 2 2 7" xfId="22187" xr:uid="{00000000-0005-0000-0000-0000AB550000}"/>
    <cellStyle name="Normal 198 2 2 8" xfId="22188" xr:uid="{00000000-0005-0000-0000-0000AC550000}"/>
    <cellStyle name="Normal 198 2 3" xfId="22189" xr:uid="{00000000-0005-0000-0000-0000AD550000}"/>
    <cellStyle name="Normal 198 2 3 2" xfId="22190" xr:uid="{00000000-0005-0000-0000-0000AE550000}"/>
    <cellStyle name="Normal 198 2 3 2 2" xfId="22191" xr:uid="{00000000-0005-0000-0000-0000AF550000}"/>
    <cellStyle name="Normal 198 2 3 2 3" xfId="22192" xr:uid="{00000000-0005-0000-0000-0000B0550000}"/>
    <cellStyle name="Normal 198 2 3 3" xfId="22193" xr:uid="{00000000-0005-0000-0000-0000B1550000}"/>
    <cellStyle name="Normal 198 2 3 3 2" xfId="22194" xr:uid="{00000000-0005-0000-0000-0000B2550000}"/>
    <cellStyle name="Normal 198 2 3 3 3" xfId="22195" xr:uid="{00000000-0005-0000-0000-0000B3550000}"/>
    <cellStyle name="Normal 198 2 3 4" xfId="22196" xr:uid="{00000000-0005-0000-0000-0000B4550000}"/>
    <cellStyle name="Normal 198 2 3 5" xfId="22197" xr:uid="{00000000-0005-0000-0000-0000B5550000}"/>
    <cellStyle name="Normal 198 2 3 6" xfId="22198" xr:uid="{00000000-0005-0000-0000-0000B6550000}"/>
    <cellStyle name="Normal 198 2 4" xfId="22199" xr:uid="{00000000-0005-0000-0000-0000B7550000}"/>
    <cellStyle name="Normal 198 2 4 2" xfId="22200" xr:uid="{00000000-0005-0000-0000-0000B8550000}"/>
    <cellStyle name="Normal 198 2 4 3" xfId="22201" xr:uid="{00000000-0005-0000-0000-0000B9550000}"/>
    <cellStyle name="Normal 198 2 5" xfId="22202" xr:uid="{00000000-0005-0000-0000-0000BA550000}"/>
    <cellStyle name="Normal 198 2 5 2" xfId="22203" xr:uid="{00000000-0005-0000-0000-0000BB550000}"/>
    <cellStyle name="Normal 198 2 5 3" xfId="22204" xr:uid="{00000000-0005-0000-0000-0000BC550000}"/>
    <cellStyle name="Normal 198 2 6" xfId="22205" xr:uid="{00000000-0005-0000-0000-0000BD550000}"/>
    <cellStyle name="Normal 198 2 7" xfId="22206" xr:uid="{00000000-0005-0000-0000-0000BE550000}"/>
    <cellStyle name="Normal 198 2 8" xfId="22207" xr:uid="{00000000-0005-0000-0000-0000BF550000}"/>
    <cellStyle name="Normal 198 2 9" xfId="22208" xr:uid="{00000000-0005-0000-0000-0000C0550000}"/>
    <cellStyle name="Normal 198 3" xfId="22209" xr:uid="{00000000-0005-0000-0000-0000C1550000}"/>
    <cellStyle name="Normal 198 3 2" xfId="22210" xr:uid="{00000000-0005-0000-0000-0000C2550000}"/>
    <cellStyle name="Normal 198 3 2 2" xfId="22211" xr:uid="{00000000-0005-0000-0000-0000C3550000}"/>
    <cellStyle name="Normal 198 3 2 2 2" xfId="22212" xr:uid="{00000000-0005-0000-0000-0000C4550000}"/>
    <cellStyle name="Normal 198 3 2 2 3" xfId="22213" xr:uid="{00000000-0005-0000-0000-0000C5550000}"/>
    <cellStyle name="Normal 198 3 2 3" xfId="22214" xr:uid="{00000000-0005-0000-0000-0000C6550000}"/>
    <cellStyle name="Normal 198 3 2 3 2" xfId="22215" xr:uid="{00000000-0005-0000-0000-0000C7550000}"/>
    <cellStyle name="Normal 198 3 2 3 3" xfId="22216" xr:uid="{00000000-0005-0000-0000-0000C8550000}"/>
    <cellStyle name="Normal 198 3 2 4" xfId="22217" xr:uid="{00000000-0005-0000-0000-0000C9550000}"/>
    <cellStyle name="Normal 198 3 2 5" xfId="22218" xr:uid="{00000000-0005-0000-0000-0000CA550000}"/>
    <cellStyle name="Normal 198 3 2 6" xfId="22219" xr:uid="{00000000-0005-0000-0000-0000CB550000}"/>
    <cellStyle name="Normal 198 3 3" xfId="22220" xr:uid="{00000000-0005-0000-0000-0000CC550000}"/>
    <cellStyle name="Normal 198 3 3 2" xfId="22221" xr:uid="{00000000-0005-0000-0000-0000CD550000}"/>
    <cellStyle name="Normal 198 3 3 3" xfId="22222" xr:uid="{00000000-0005-0000-0000-0000CE550000}"/>
    <cellStyle name="Normal 198 3 4" xfId="22223" xr:uid="{00000000-0005-0000-0000-0000CF550000}"/>
    <cellStyle name="Normal 198 3 4 2" xfId="22224" xr:uid="{00000000-0005-0000-0000-0000D0550000}"/>
    <cellStyle name="Normal 198 3 4 3" xfId="22225" xr:uid="{00000000-0005-0000-0000-0000D1550000}"/>
    <cellStyle name="Normal 198 3 5" xfId="22226" xr:uid="{00000000-0005-0000-0000-0000D2550000}"/>
    <cellStyle name="Normal 198 3 6" xfId="22227" xr:uid="{00000000-0005-0000-0000-0000D3550000}"/>
    <cellStyle name="Normal 198 3 7" xfId="22228" xr:uid="{00000000-0005-0000-0000-0000D4550000}"/>
    <cellStyle name="Normal 198 3 8" xfId="22229" xr:uid="{00000000-0005-0000-0000-0000D5550000}"/>
    <cellStyle name="Normal 198 4" xfId="22230" xr:uid="{00000000-0005-0000-0000-0000D6550000}"/>
    <cellStyle name="Normal 198 4 2" xfId="22231" xr:uid="{00000000-0005-0000-0000-0000D7550000}"/>
    <cellStyle name="Normal 198 4 2 2" xfId="22232" xr:uid="{00000000-0005-0000-0000-0000D8550000}"/>
    <cellStyle name="Normal 198 4 2 3" xfId="22233" xr:uid="{00000000-0005-0000-0000-0000D9550000}"/>
    <cellStyle name="Normal 198 4 3" xfId="22234" xr:uid="{00000000-0005-0000-0000-0000DA550000}"/>
    <cellStyle name="Normal 198 4 3 2" xfId="22235" xr:uid="{00000000-0005-0000-0000-0000DB550000}"/>
    <cellStyle name="Normal 198 4 3 3" xfId="22236" xr:uid="{00000000-0005-0000-0000-0000DC550000}"/>
    <cellStyle name="Normal 198 4 4" xfId="22237" xr:uid="{00000000-0005-0000-0000-0000DD550000}"/>
    <cellStyle name="Normal 198 4 5" xfId="22238" xr:uid="{00000000-0005-0000-0000-0000DE550000}"/>
    <cellStyle name="Normal 198 4 6" xfId="22239" xr:uid="{00000000-0005-0000-0000-0000DF550000}"/>
    <cellStyle name="Normal 198 5" xfId="22240" xr:uid="{00000000-0005-0000-0000-0000E0550000}"/>
    <cellStyle name="Normal 198 5 2" xfId="22241" xr:uid="{00000000-0005-0000-0000-0000E1550000}"/>
    <cellStyle name="Normal 198 5 3" xfId="22242" xr:uid="{00000000-0005-0000-0000-0000E2550000}"/>
    <cellStyle name="Normal 198 6" xfId="22243" xr:uid="{00000000-0005-0000-0000-0000E3550000}"/>
    <cellStyle name="Normal 198 6 2" xfId="22244" xr:uid="{00000000-0005-0000-0000-0000E4550000}"/>
    <cellStyle name="Normal 198 6 3" xfId="22245" xr:uid="{00000000-0005-0000-0000-0000E5550000}"/>
    <cellStyle name="Normal 198 7" xfId="22246" xr:uid="{00000000-0005-0000-0000-0000E6550000}"/>
    <cellStyle name="Normal 198 8" xfId="22247" xr:uid="{00000000-0005-0000-0000-0000E7550000}"/>
    <cellStyle name="Normal 198 9" xfId="22248" xr:uid="{00000000-0005-0000-0000-0000E8550000}"/>
    <cellStyle name="Normal 199" xfId="2194" xr:uid="{00000000-0005-0000-0000-0000E9550000}"/>
    <cellStyle name="Normal 199 10" xfId="22249" xr:uid="{00000000-0005-0000-0000-0000EA550000}"/>
    <cellStyle name="Normal 199 11" xfId="22250" xr:uid="{00000000-0005-0000-0000-0000EB550000}"/>
    <cellStyle name="Normal 199 12" xfId="22251" xr:uid="{00000000-0005-0000-0000-0000EC550000}"/>
    <cellStyle name="Normal 199 2" xfId="22252" xr:uid="{00000000-0005-0000-0000-0000ED550000}"/>
    <cellStyle name="Normal 199 2 2" xfId="22253" xr:uid="{00000000-0005-0000-0000-0000EE550000}"/>
    <cellStyle name="Normal 199 2 2 2" xfId="22254" xr:uid="{00000000-0005-0000-0000-0000EF550000}"/>
    <cellStyle name="Normal 199 2 2 2 2" xfId="22255" xr:uid="{00000000-0005-0000-0000-0000F0550000}"/>
    <cellStyle name="Normal 199 2 2 2 2 2" xfId="22256" xr:uid="{00000000-0005-0000-0000-0000F1550000}"/>
    <cellStyle name="Normal 199 2 2 2 2 3" xfId="22257" xr:uid="{00000000-0005-0000-0000-0000F2550000}"/>
    <cellStyle name="Normal 199 2 2 2 3" xfId="22258" xr:uid="{00000000-0005-0000-0000-0000F3550000}"/>
    <cellStyle name="Normal 199 2 2 2 3 2" xfId="22259" xr:uid="{00000000-0005-0000-0000-0000F4550000}"/>
    <cellStyle name="Normal 199 2 2 2 3 3" xfId="22260" xr:uid="{00000000-0005-0000-0000-0000F5550000}"/>
    <cellStyle name="Normal 199 2 2 2 4" xfId="22261" xr:uid="{00000000-0005-0000-0000-0000F6550000}"/>
    <cellStyle name="Normal 199 2 2 2 5" xfId="22262" xr:uid="{00000000-0005-0000-0000-0000F7550000}"/>
    <cellStyle name="Normal 199 2 2 2 6" xfId="22263" xr:uid="{00000000-0005-0000-0000-0000F8550000}"/>
    <cellStyle name="Normal 199 2 2 3" xfId="22264" xr:uid="{00000000-0005-0000-0000-0000F9550000}"/>
    <cellStyle name="Normal 199 2 2 3 2" xfId="22265" xr:uid="{00000000-0005-0000-0000-0000FA550000}"/>
    <cellStyle name="Normal 199 2 2 3 3" xfId="22266" xr:uid="{00000000-0005-0000-0000-0000FB550000}"/>
    <cellStyle name="Normal 199 2 2 4" xfId="22267" xr:uid="{00000000-0005-0000-0000-0000FC550000}"/>
    <cellStyle name="Normal 199 2 2 4 2" xfId="22268" xr:uid="{00000000-0005-0000-0000-0000FD550000}"/>
    <cellStyle name="Normal 199 2 2 4 3" xfId="22269" xr:uid="{00000000-0005-0000-0000-0000FE550000}"/>
    <cellStyle name="Normal 199 2 2 5" xfId="22270" xr:uid="{00000000-0005-0000-0000-0000FF550000}"/>
    <cellStyle name="Normal 199 2 2 6" xfId="22271" xr:uid="{00000000-0005-0000-0000-000000560000}"/>
    <cellStyle name="Normal 199 2 2 7" xfId="22272" xr:uid="{00000000-0005-0000-0000-000001560000}"/>
    <cellStyle name="Normal 199 2 2 8" xfId="22273" xr:uid="{00000000-0005-0000-0000-000002560000}"/>
    <cellStyle name="Normal 199 2 3" xfId="22274" xr:uid="{00000000-0005-0000-0000-000003560000}"/>
    <cellStyle name="Normal 199 2 3 2" xfId="22275" xr:uid="{00000000-0005-0000-0000-000004560000}"/>
    <cellStyle name="Normal 199 2 3 2 2" xfId="22276" xr:uid="{00000000-0005-0000-0000-000005560000}"/>
    <cellStyle name="Normal 199 2 3 2 3" xfId="22277" xr:uid="{00000000-0005-0000-0000-000006560000}"/>
    <cellStyle name="Normal 199 2 3 3" xfId="22278" xr:uid="{00000000-0005-0000-0000-000007560000}"/>
    <cellStyle name="Normal 199 2 3 3 2" xfId="22279" xr:uid="{00000000-0005-0000-0000-000008560000}"/>
    <cellStyle name="Normal 199 2 3 3 3" xfId="22280" xr:uid="{00000000-0005-0000-0000-000009560000}"/>
    <cellStyle name="Normal 199 2 3 4" xfId="22281" xr:uid="{00000000-0005-0000-0000-00000A560000}"/>
    <cellStyle name="Normal 199 2 3 5" xfId="22282" xr:uid="{00000000-0005-0000-0000-00000B560000}"/>
    <cellStyle name="Normal 199 2 3 6" xfId="22283" xr:uid="{00000000-0005-0000-0000-00000C560000}"/>
    <cellStyle name="Normal 199 2 4" xfId="22284" xr:uid="{00000000-0005-0000-0000-00000D560000}"/>
    <cellStyle name="Normal 199 2 4 2" xfId="22285" xr:uid="{00000000-0005-0000-0000-00000E560000}"/>
    <cellStyle name="Normal 199 2 4 3" xfId="22286" xr:uid="{00000000-0005-0000-0000-00000F560000}"/>
    <cellStyle name="Normal 199 2 5" xfId="22287" xr:uid="{00000000-0005-0000-0000-000010560000}"/>
    <cellStyle name="Normal 199 2 5 2" xfId="22288" xr:uid="{00000000-0005-0000-0000-000011560000}"/>
    <cellStyle name="Normal 199 2 5 3" xfId="22289" xr:uid="{00000000-0005-0000-0000-000012560000}"/>
    <cellStyle name="Normal 199 2 6" xfId="22290" xr:uid="{00000000-0005-0000-0000-000013560000}"/>
    <cellStyle name="Normal 199 2 7" xfId="22291" xr:uid="{00000000-0005-0000-0000-000014560000}"/>
    <cellStyle name="Normal 199 2 8" xfId="22292" xr:uid="{00000000-0005-0000-0000-000015560000}"/>
    <cellStyle name="Normal 199 2 9" xfId="22293" xr:uid="{00000000-0005-0000-0000-000016560000}"/>
    <cellStyle name="Normal 199 3" xfId="22294" xr:uid="{00000000-0005-0000-0000-000017560000}"/>
    <cellStyle name="Normal 199 3 2" xfId="22295" xr:uid="{00000000-0005-0000-0000-000018560000}"/>
    <cellStyle name="Normal 199 3 2 2" xfId="22296" xr:uid="{00000000-0005-0000-0000-000019560000}"/>
    <cellStyle name="Normal 199 3 2 2 2" xfId="22297" xr:uid="{00000000-0005-0000-0000-00001A560000}"/>
    <cellStyle name="Normal 199 3 2 2 3" xfId="22298" xr:uid="{00000000-0005-0000-0000-00001B560000}"/>
    <cellStyle name="Normal 199 3 2 3" xfId="22299" xr:uid="{00000000-0005-0000-0000-00001C560000}"/>
    <cellStyle name="Normal 199 3 2 3 2" xfId="22300" xr:uid="{00000000-0005-0000-0000-00001D560000}"/>
    <cellStyle name="Normal 199 3 2 3 3" xfId="22301" xr:uid="{00000000-0005-0000-0000-00001E560000}"/>
    <cellStyle name="Normal 199 3 2 4" xfId="22302" xr:uid="{00000000-0005-0000-0000-00001F560000}"/>
    <cellStyle name="Normal 199 3 2 5" xfId="22303" xr:uid="{00000000-0005-0000-0000-000020560000}"/>
    <cellStyle name="Normal 199 3 2 6" xfId="22304" xr:uid="{00000000-0005-0000-0000-000021560000}"/>
    <cellStyle name="Normal 199 3 3" xfId="22305" xr:uid="{00000000-0005-0000-0000-000022560000}"/>
    <cellStyle name="Normal 199 3 3 2" xfId="22306" xr:uid="{00000000-0005-0000-0000-000023560000}"/>
    <cellStyle name="Normal 199 3 3 3" xfId="22307" xr:uid="{00000000-0005-0000-0000-000024560000}"/>
    <cellStyle name="Normal 199 3 4" xfId="22308" xr:uid="{00000000-0005-0000-0000-000025560000}"/>
    <cellStyle name="Normal 199 3 4 2" xfId="22309" xr:uid="{00000000-0005-0000-0000-000026560000}"/>
    <cellStyle name="Normal 199 3 4 3" xfId="22310" xr:uid="{00000000-0005-0000-0000-000027560000}"/>
    <cellStyle name="Normal 199 3 5" xfId="22311" xr:uid="{00000000-0005-0000-0000-000028560000}"/>
    <cellStyle name="Normal 199 3 6" xfId="22312" xr:uid="{00000000-0005-0000-0000-000029560000}"/>
    <cellStyle name="Normal 199 3 7" xfId="22313" xr:uid="{00000000-0005-0000-0000-00002A560000}"/>
    <cellStyle name="Normal 199 3 8" xfId="22314" xr:uid="{00000000-0005-0000-0000-00002B560000}"/>
    <cellStyle name="Normal 199 4" xfId="22315" xr:uid="{00000000-0005-0000-0000-00002C560000}"/>
    <cellStyle name="Normal 199 4 2" xfId="22316" xr:uid="{00000000-0005-0000-0000-00002D560000}"/>
    <cellStyle name="Normal 199 4 2 2" xfId="22317" xr:uid="{00000000-0005-0000-0000-00002E560000}"/>
    <cellStyle name="Normal 199 4 2 3" xfId="22318" xr:uid="{00000000-0005-0000-0000-00002F560000}"/>
    <cellStyle name="Normal 199 4 3" xfId="22319" xr:uid="{00000000-0005-0000-0000-000030560000}"/>
    <cellStyle name="Normal 199 4 3 2" xfId="22320" xr:uid="{00000000-0005-0000-0000-000031560000}"/>
    <cellStyle name="Normal 199 4 3 3" xfId="22321" xr:uid="{00000000-0005-0000-0000-000032560000}"/>
    <cellStyle name="Normal 199 4 4" xfId="22322" xr:uid="{00000000-0005-0000-0000-000033560000}"/>
    <cellStyle name="Normal 199 4 5" xfId="22323" xr:uid="{00000000-0005-0000-0000-000034560000}"/>
    <cellStyle name="Normal 199 4 6" xfId="22324" xr:uid="{00000000-0005-0000-0000-000035560000}"/>
    <cellStyle name="Normal 199 5" xfId="22325" xr:uid="{00000000-0005-0000-0000-000036560000}"/>
    <cellStyle name="Normal 199 5 2" xfId="22326" xr:uid="{00000000-0005-0000-0000-000037560000}"/>
    <cellStyle name="Normal 199 5 3" xfId="22327" xr:uid="{00000000-0005-0000-0000-000038560000}"/>
    <cellStyle name="Normal 199 6" xfId="22328" xr:uid="{00000000-0005-0000-0000-000039560000}"/>
    <cellStyle name="Normal 199 6 2" xfId="22329" xr:uid="{00000000-0005-0000-0000-00003A560000}"/>
    <cellStyle name="Normal 199 6 3" xfId="22330" xr:uid="{00000000-0005-0000-0000-00003B560000}"/>
    <cellStyle name="Normal 199 7" xfId="22331" xr:uid="{00000000-0005-0000-0000-00003C560000}"/>
    <cellStyle name="Normal 199 8" xfId="22332" xr:uid="{00000000-0005-0000-0000-00003D560000}"/>
    <cellStyle name="Normal 199 9" xfId="22333" xr:uid="{00000000-0005-0000-0000-00003E560000}"/>
    <cellStyle name="Normal 2" xfId="1" xr:uid="{00000000-0005-0000-0000-00003F560000}"/>
    <cellStyle name="Normal 2 10" xfId="2196" xr:uid="{00000000-0005-0000-0000-000040560000}"/>
    <cellStyle name="Normal 2 10 2" xfId="2197" xr:uid="{00000000-0005-0000-0000-000041560000}"/>
    <cellStyle name="Normal 2 10 2 2" xfId="54206" xr:uid="{00000000-0005-0000-0000-000042560000}"/>
    <cellStyle name="Normal 2 10 3" xfId="2198" xr:uid="{00000000-0005-0000-0000-000043560000}"/>
    <cellStyle name="Normal 2 11" xfId="2199" xr:uid="{00000000-0005-0000-0000-000044560000}"/>
    <cellStyle name="Normal 2 11 2" xfId="2200" xr:uid="{00000000-0005-0000-0000-000045560000}"/>
    <cellStyle name="Normal 2 11 3" xfId="2201" xr:uid="{00000000-0005-0000-0000-000046560000}"/>
    <cellStyle name="Normal 2 12" xfId="2202" xr:uid="{00000000-0005-0000-0000-000047560000}"/>
    <cellStyle name="Normal 2 12 2" xfId="2203" xr:uid="{00000000-0005-0000-0000-000048560000}"/>
    <cellStyle name="Normal 2 13" xfId="2204" xr:uid="{00000000-0005-0000-0000-000049560000}"/>
    <cellStyle name="Normal 2 13 2" xfId="2205" xr:uid="{00000000-0005-0000-0000-00004A560000}"/>
    <cellStyle name="Normal 2 14" xfId="2206" xr:uid="{00000000-0005-0000-0000-00004B560000}"/>
    <cellStyle name="Normal 2 14 2" xfId="2207" xr:uid="{00000000-0005-0000-0000-00004C560000}"/>
    <cellStyle name="Normal 2 15" xfId="2208" xr:uid="{00000000-0005-0000-0000-00004D560000}"/>
    <cellStyle name="Normal 2 15 2" xfId="2209" xr:uid="{00000000-0005-0000-0000-00004E560000}"/>
    <cellStyle name="Normal 2 16" xfId="2210" xr:uid="{00000000-0005-0000-0000-00004F560000}"/>
    <cellStyle name="Normal 2 16 2" xfId="22334" xr:uid="{00000000-0005-0000-0000-000050560000}"/>
    <cellStyle name="Normal 2 17" xfId="2195" xr:uid="{00000000-0005-0000-0000-000051560000}"/>
    <cellStyle name="Normal 2 18" xfId="22335" xr:uid="{00000000-0005-0000-0000-000052560000}"/>
    <cellStyle name="Normal 2 19" xfId="22336" xr:uid="{00000000-0005-0000-0000-000053560000}"/>
    <cellStyle name="Normal 2 2" xfId="2211" xr:uid="{00000000-0005-0000-0000-000054560000}"/>
    <cellStyle name="Normal 2 2 10" xfId="22337" xr:uid="{00000000-0005-0000-0000-000055560000}"/>
    <cellStyle name="Normal 2 2 11" xfId="22338" xr:uid="{00000000-0005-0000-0000-000056560000}"/>
    <cellStyle name="Normal 2 2 12" xfId="22339" xr:uid="{00000000-0005-0000-0000-000057560000}"/>
    <cellStyle name="Normal 2 2 13" xfId="22340" xr:uid="{00000000-0005-0000-0000-000058560000}"/>
    <cellStyle name="Normal 2 2 2" xfId="2212" xr:uid="{00000000-0005-0000-0000-000059560000}"/>
    <cellStyle name="Normal 2 2 2 10" xfId="22341" xr:uid="{00000000-0005-0000-0000-00005A560000}"/>
    <cellStyle name="Normal 2 2 2 11" xfId="22342" xr:uid="{00000000-0005-0000-0000-00005B560000}"/>
    <cellStyle name="Normal 2 2 2 12" xfId="22343" xr:uid="{00000000-0005-0000-0000-00005C560000}"/>
    <cellStyle name="Normal 2 2 2 2" xfId="2213" xr:uid="{00000000-0005-0000-0000-00005D560000}"/>
    <cellStyle name="Normal 2 2 2 2 2" xfId="2214" xr:uid="{00000000-0005-0000-0000-00005E560000}"/>
    <cellStyle name="Normal 2 2 2 2 2 2" xfId="2215" xr:uid="{00000000-0005-0000-0000-00005F560000}"/>
    <cellStyle name="Normal 2 2 2 2 2 2 2" xfId="2216" xr:uid="{00000000-0005-0000-0000-000060560000}"/>
    <cellStyle name="Normal 2 2 2 2 2 2 2 2" xfId="2217" xr:uid="{00000000-0005-0000-0000-000061560000}"/>
    <cellStyle name="Normal 2 2 2 2 2 2 2 2 2" xfId="2218" xr:uid="{00000000-0005-0000-0000-000062560000}"/>
    <cellStyle name="Normal 2 2 2 2 2 2 2 3" xfId="2219" xr:uid="{00000000-0005-0000-0000-000063560000}"/>
    <cellStyle name="Normal 2 2 2 2 2 2 3" xfId="2220" xr:uid="{00000000-0005-0000-0000-000064560000}"/>
    <cellStyle name="Normal 2 2 2 2 2 2 3 2" xfId="2221" xr:uid="{00000000-0005-0000-0000-000065560000}"/>
    <cellStyle name="Normal 2 2 2 2 2 2 3 2 2" xfId="2222" xr:uid="{00000000-0005-0000-0000-000066560000}"/>
    <cellStyle name="Normal 2 2 2 2 2 2 3 3" xfId="2223" xr:uid="{00000000-0005-0000-0000-000067560000}"/>
    <cellStyle name="Normal 2 2 2 2 2 2 4" xfId="2224" xr:uid="{00000000-0005-0000-0000-000068560000}"/>
    <cellStyle name="Normal 2 2 2 2 2 2 4 2" xfId="2225" xr:uid="{00000000-0005-0000-0000-000069560000}"/>
    <cellStyle name="Normal 2 2 2 2 2 2 5" xfId="2226" xr:uid="{00000000-0005-0000-0000-00006A560000}"/>
    <cellStyle name="Normal 2 2 2 2 2 3" xfId="2227" xr:uid="{00000000-0005-0000-0000-00006B560000}"/>
    <cellStyle name="Normal 2 2 2 2 2 3 2" xfId="2228" xr:uid="{00000000-0005-0000-0000-00006C560000}"/>
    <cellStyle name="Normal 2 2 2 2 2 3 2 2" xfId="2229" xr:uid="{00000000-0005-0000-0000-00006D560000}"/>
    <cellStyle name="Normal 2 2 2 2 2 3 3" xfId="2230" xr:uid="{00000000-0005-0000-0000-00006E560000}"/>
    <cellStyle name="Normal 2 2 2 2 2 4" xfId="2231" xr:uid="{00000000-0005-0000-0000-00006F560000}"/>
    <cellStyle name="Normal 2 2 2 2 2 4 2" xfId="2232" xr:uid="{00000000-0005-0000-0000-000070560000}"/>
    <cellStyle name="Normal 2 2 2 2 2 4 2 2" xfId="2233" xr:uid="{00000000-0005-0000-0000-000071560000}"/>
    <cellStyle name="Normal 2 2 2 2 2 4 3" xfId="2234" xr:uid="{00000000-0005-0000-0000-000072560000}"/>
    <cellStyle name="Normal 2 2 2 2 2 5" xfId="2235" xr:uid="{00000000-0005-0000-0000-000073560000}"/>
    <cellStyle name="Normal 2 2 2 2 2 5 2" xfId="2236" xr:uid="{00000000-0005-0000-0000-000074560000}"/>
    <cellStyle name="Normal 2 2 2 2 2 6" xfId="2237" xr:uid="{00000000-0005-0000-0000-000075560000}"/>
    <cellStyle name="Normal 2 2 2 2 3" xfId="2238" xr:uid="{00000000-0005-0000-0000-000076560000}"/>
    <cellStyle name="Normal 2 2 2 2 3 2" xfId="2239" xr:uid="{00000000-0005-0000-0000-000077560000}"/>
    <cellStyle name="Normal 2 2 2 2 3 2 2" xfId="2240" xr:uid="{00000000-0005-0000-0000-000078560000}"/>
    <cellStyle name="Normal 2 2 2 2 3 2 2 2" xfId="2241" xr:uid="{00000000-0005-0000-0000-000079560000}"/>
    <cellStyle name="Normal 2 2 2 2 3 2 3" xfId="2242" xr:uid="{00000000-0005-0000-0000-00007A560000}"/>
    <cellStyle name="Normal 2 2 2 2 3 3" xfId="2243" xr:uid="{00000000-0005-0000-0000-00007B560000}"/>
    <cellStyle name="Normal 2 2 2 2 3 3 2" xfId="2244" xr:uid="{00000000-0005-0000-0000-00007C560000}"/>
    <cellStyle name="Normal 2 2 2 2 3 3 2 2" xfId="2245" xr:uid="{00000000-0005-0000-0000-00007D560000}"/>
    <cellStyle name="Normal 2 2 2 2 3 3 3" xfId="2246" xr:uid="{00000000-0005-0000-0000-00007E560000}"/>
    <cellStyle name="Normal 2 2 2 2 3 4" xfId="2247" xr:uid="{00000000-0005-0000-0000-00007F560000}"/>
    <cellStyle name="Normal 2 2 2 2 3 4 2" xfId="2248" xr:uid="{00000000-0005-0000-0000-000080560000}"/>
    <cellStyle name="Normal 2 2 2 2 3 5" xfId="2249" xr:uid="{00000000-0005-0000-0000-000081560000}"/>
    <cellStyle name="Normal 2 2 2 2 4" xfId="2250" xr:uid="{00000000-0005-0000-0000-000082560000}"/>
    <cellStyle name="Normal 2 2 2 2 4 2" xfId="2251" xr:uid="{00000000-0005-0000-0000-000083560000}"/>
    <cellStyle name="Normal 2 2 2 2 4 2 2" xfId="2252" xr:uid="{00000000-0005-0000-0000-000084560000}"/>
    <cellStyle name="Normal 2 2 2 2 4 3" xfId="2253" xr:uid="{00000000-0005-0000-0000-000085560000}"/>
    <cellStyle name="Normal 2 2 2 2 5" xfId="2254" xr:uid="{00000000-0005-0000-0000-000086560000}"/>
    <cellStyle name="Normal 2 2 2 2 5 2" xfId="2255" xr:uid="{00000000-0005-0000-0000-000087560000}"/>
    <cellStyle name="Normal 2 2 2 2 5 2 2" xfId="2256" xr:uid="{00000000-0005-0000-0000-000088560000}"/>
    <cellStyle name="Normal 2 2 2 2 5 3" xfId="2257" xr:uid="{00000000-0005-0000-0000-000089560000}"/>
    <cellStyle name="Normal 2 2 2 2 6" xfId="2258" xr:uid="{00000000-0005-0000-0000-00008A560000}"/>
    <cellStyle name="Normal 2 2 2 2 6 2" xfId="2259" xr:uid="{00000000-0005-0000-0000-00008B560000}"/>
    <cellStyle name="Normal 2 2 2 2 7" xfId="2260" xr:uid="{00000000-0005-0000-0000-00008C560000}"/>
    <cellStyle name="Normal 2 2 2 2 7 2" xfId="22344" xr:uid="{00000000-0005-0000-0000-00008D560000}"/>
    <cellStyle name="Normal 2 2 2 2 8" xfId="22345" xr:uid="{00000000-0005-0000-0000-00008E560000}"/>
    <cellStyle name="Normal 2 2 2 2 9" xfId="22346" xr:uid="{00000000-0005-0000-0000-00008F560000}"/>
    <cellStyle name="Normal 2 2 2 3" xfId="2261" xr:uid="{00000000-0005-0000-0000-000090560000}"/>
    <cellStyle name="Normal 2 2 2 3 2" xfId="2262" xr:uid="{00000000-0005-0000-0000-000091560000}"/>
    <cellStyle name="Normal 2 2 2 3 2 2" xfId="2263" xr:uid="{00000000-0005-0000-0000-000092560000}"/>
    <cellStyle name="Normal 2 2 2 3 2 2 2" xfId="2264" xr:uid="{00000000-0005-0000-0000-000093560000}"/>
    <cellStyle name="Normal 2 2 2 3 2 2 2 2" xfId="2265" xr:uid="{00000000-0005-0000-0000-000094560000}"/>
    <cellStyle name="Normal 2 2 2 3 2 2 3" xfId="2266" xr:uid="{00000000-0005-0000-0000-000095560000}"/>
    <cellStyle name="Normal 2 2 2 3 2 3" xfId="2267" xr:uid="{00000000-0005-0000-0000-000096560000}"/>
    <cellStyle name="Normal 2 2 2 3 2 3 2" xfId="2268" xr:uid="{00000000-0005-0000-0000-000097560000}"/>
    <cellStyle name="Normal 2 2 2 3 2 3 2 2" xfId="2269" xr:uid="{00000000-0005-0000-0000-000098560000}"/>
    <cellStyle name="Normal 2 2 2 3 2 3 3" xfId="2270" xr:uid="{00000000-0005-0000-0000-000099560000}"/>
    <cellStyle name="Normal 2 2 2 3 2 4" xfId="2271" xr:uid="{00000000-0005-0000-0000-00009A560000}"/>
    <cellStyle name="Normal 2 2 2 3 2 4 2" xfId="2272" xr:uid="{00000000-0005-0000-0000-00009B560000}"/>
    <cellStyle name="Normal 2 2 2 3 2 5" xfId="2273" xr:uid="{00000000-0005-0000-0000-00009C560000}"/>
    <cellStyle name="Normal 2 2 2 3 3" xfId="2274" xr:uid="{00000000-0005-0000-0000-00009D560000}"/>
    <cellStyle name="Normal 2 2 2 3 3 2" xfId="2275" xr:uid="{00000000-0005-0000-0000-00009E560000}"/>
    <cellStyle name="Normal 2 2 2 3 3 2 2" xfId="2276" xr:uid="{00000000-0005-0000-0000-00009F560000}"/>
    <cellStyle name="Normal 2 2 2 3 3 3" xfId="2277" xr:uid="{00000000-0005-0000-0000-0000A0560000}"/>
    <cellStyle name="Normal 2 2 2 3 4" xfId="2278" xr:uid="{00000000-0005-0000-0000-0000A1560000}"/>
    <cellStyle name="Normal 2 2 2 3 4 2" xfId="2279" xr:uid="{00000000-0005-0000-0000-0000A2560000}"/>
    <cellStyle name="Normal 2 2 2 3 4 2 2" xfId="2280" xr:uid="{00000000-0005-0000-0000-0000A3560000}"/>
    <cellStyle name="Normal 2 2 2 3 4 3" xfId="2281" xr:uid="{00000000-0005-0000-0000-0000A4560000}"/>
    <cellStyle name="Normal 2 2 2 3 5" xfId="2282" xr:uid="{00000000-0005-0000-0000-0000A5560000}"/>
    <cellStyle name="Normal 2 2 2 3 5 2" xfId="2283" xr:uid="{00000000-0005-0000-0000-0000A6560000}"/>
    <cellStyle name="Normal 2 2 2 3 6" xfId="2284" xr:uid="{00000000-0005-0000-0000-0000A7560000}"/>
    <cellStyle name="Normal 2 2 2 4" xfId="2285" xr:uid="{00000000-0005-0000-0000-0000A8560000}"/>
    <cellStyle name="Normal 2 2 2 4 2" xfId="2286" xr:uid="{00000000-0005-0000-0000-0000A9560000}"/>
    <cellStyle name="Normal 2 2 2 4 2 2" xfId="2287" xr:uid="{00000000-0005-0000-0000-0000AA560000}"/>
    <cellStyle name="Normal 2 2 2 4 2 2 2" xfId="2288" xr:uid="{00000000-0005-0000-0000-0000AB560000}"/>
    <cellStyle name="Normal 2 2 2 4 2 3" xfId="2289" xr:uid="{00000000-0005-0000-0000-0000AC560000}"/>
    <cellStyle name="Normal 2 2 2 4 3" xfId="2290" xr:uid="{00000000-0005-0000-0000-0000AD560000}"/>
    <cellStyle name="Normal 2 2 2 4 3 2" xfId="2291" xr:uid="{00000000-0005-0000-0000-0000AE560000}"/>
    <cellStyle name="Normal 2 2 2 4 3 2 2" xfId="2292" xr:uid="{00000000-0005-0000-0000-0000AF560000}"/>
    <cellStyle name="Normal 2 2 2 4 3 3" xfId="2293" xr:uid="{00000000-0005-0000-0000-0000B0560000}"/>
    <cellStyle name="Normal 2 2 2 4 4" xfId="2294" xr:uid="{00000000-0005-0000-0000-0000B1560000}"/>
    <cellStyle name="Normal 2 2 2 4 4 2" xfId="2295" xr:uid="{00000000-0005-0000-0000-0000B2560000}"/>
    <cellStyle name="Normal 2 2 2 4 5" xfId="2296" xr:uid="{00000000-0005-0000-0000-0000B3560000}"/>
    <cellStyle name="Normal 2 2 2 5" xfId="2297" xr:uid="{00000000-0005-0000-0000-0000B4560000}"/>
    <cellStyle name="Normal 2 2 2 5 2" xfId="2298" xr:uid="{00000000-0005-0000-0000-0000B5560000}"/>
    <cellStyle name="Normal 2 2 2 5 2 2" xfId="2299" xr:uid="{00000000-0005-0000-0000-0000B6560000}"/>
    <cellStyle name="Normal 2 2 2 5 3" xfId="2300" xr:uid="{00000000-0005-0000-0000-0000B7560000}"/>
    <cellStyle name="Normal 2 2 2 6" xfId="2301" xr:uid="{00000000-0005-0000-0000-0000B8560000}"/>
    <cellStyle name="Normal 2 2 2 6 2" xfId="2302" xr:uid="{00000000-0005-0000-0000-0000B9560000}"/>
    <cellStyle name="Normal 2 2 2 6 2 2" xfId="2303" xr:uid="{00000000-0005-0000-0000-0000BA560000}"/>
    <cellStyle name="Normal 2 2 2 6 3" xfId="2304" xr:uid="{00000000-0005-0000-0000-0000BB560000}"/>
    <cellStyle name="Normal 2 2 2 7" xfId="2305" xr:uid="{00000000-0005-0000-0000-0000BC560000}"/>
    <cellStyle name="Normal 2 2 2 7 2" xfId="2306" xr:uid="{00000000-0005-0000-0000-0000BD560000}"/>
    <cellStyle name="Normal 2 2 2 8" xfId="2307" xr:uid="{00000000-0005-0000-0000-0000BE560000}"/>
    <cellStyle name="Normal 2 2 2 8 2" xfId="22347" xr:uid="{00000000-0005-0000-0000-0000BF560000}"/>
    <cellStyle name="Normal 2 2 2 9" xfId="22348" xr:uid="{00000000-0005-0000-0000-0000C0560000}"/>
    <cellStyle name="Normal 2 2 3" xfId="2308" xr:uid="{00000000-0005-0000-0000-0000C1560000}"/>
    <cellStyle name="Normal 2 2 3 10" xfId="22349" xr:uid="{00000000-0005-0000-0000-0000C2560000}"/>
    <cellStyle name="Normal 2 2 3 2" xfId="2309" xr:uid="{00000000-0005-0000-0000-0000C3560000}"/>
    <cellStyle name="Normal 2 2 3 2 2" xfId="2310" xr:uid="{00000000-0005-0000-0000-0000C4560000}"/>
    <cellStyle name="Normal 2 2 3 2 2 2" xfId="2311" xr:uid="{00000000-0005-0000-0000-0000C5560000}"/>
    <cellStyle name="Normal 2 2 3 2 2 2 2" xfId="2312" xr:uid="{00000000-0005-0000-0000-0000C6560000}"/>
    <cellStyle name="Normal 2 2 3 2 2 2 2 2" xfId="2313" xr:uid="{00000000-0005-0000-0000-0000C7560000}"/>
    <cellStyle name="Normal 2 2 3 2 2 2 3" xfId="2314" xr:uid="{00000000-0005-0000-0000-0000C8560000}"/>
    <cellStyle name="Normal 2 2 3 2 2 3" xfId="2315" xr:uid="{00000000-0005-0000-0000-0000C9560000}"/>
    <cellStyle name="Normal 2 2 3 2 2 3 2" xfId="2316" xr:uid="{00000000-0005-0000-0000-0000CA560000}"/>
    <cellStyle name="Normal 2 2 3 2 2 3 2 2" xfId="2317" xr:uid="{00000000-0005-0000-0000-0000CB560000}"/>
    <cellStyle name="Normal 2 2 3 2 2 3 3" xfId="2318" xr:uid="{00000000-0005-0000-0000-0000CC560000}"/>
    <cellStyle name="Normal 2 2 3 2 2 4" xfId="2319" xr:uid="{00000000-0005-0000-0000-0000CD560000}"/>
    <cellStyle name="Normal 2 2 3 2 2 4 2" xfId="2320" xr:uid="{00000000-0005-0000-0000-0000CE560000}"/>
    <cellStyle name="Normal 2 2 3 2 2 5" xfId="2321" xr:uid="{00000000-0005-0000-0000-0000CF560000}"/>
    <cellStyle name="Normal 2 2 3 2 3" xfId="2322" xr:uid="{00000000-0005-0000-0000-0000D0560000}"/>
    <cellStyle name="Normal 2 2 3 2 3 2" xfId="2323" xr:uid="{00000000-0005-0000-0000-0000D1560000}"/>
    <cellStyle name="Normal 2 2 3 2 3 2 2" xfId="2324" xr:uid="{00000000-0005-0000-0000-0000D2560000}"/>
    <cellStyle name="Normal 2 2 3 2 3 3" xfId="2325" xr:uid="{00000000-0005-0000-0000-0000D3560000}"/>
    <cellStyle name="Normal 2 2 3 2 4" xfId="2326" xr:uid="{00000000-0005-0000-0000-0000D4560000}"/>
    <cellStyle name="Normal 2 2 3 2 4 2" xfId="2327" xr:uid="{00000000-0005-0000-0000-0000D5560000}"/>
    <cellStyle name="Normal 2 2 3 2 4 2 2" xfId="2328" xr:uid="{00000000-0005-0000-0000-0000D6560000}"/>
    <cellStyle name="Normal 2 2 3 2 4 3" xfId="2329" xr:uid="{00000000-0005-0000-0000-0000D7560000}"/>
    <cellStyle name="Normal 2 2 3 2 5" xfId="2330" xr:uid="{00000000-0005-0000-0000-0000D8560000}"/>
    <cellStyle name="Normal 2 2 3 2 5 2" xfId="2331" xr:uid="{00000000-0005-0000-0000-0000D9560000}"/>
    <cellStyle name="Normal 2 2 3 2 6" xfId="2332" xr:uid="{00000000-0005-0000-0000-0000DA560000}"/>
    <cellStyle name="Normal 2 2 3 3" xfId="2333" xr:uid="{00000000-0005-0000-0000-0000DB560000}"/>
    <cellStyle name="Normal 2 2 3 3 2" xfId="2334" xr:uid="{00000000-0005-0000-0000-0000DC560000}"/>
    <cellStyle name="Normal 2 2 3 3 2 2" xfId="2335" xr:uid="{00000000-0005-0000-0000-0000DD560000}"/>
    <cellStyle name="Normal 2 2 3 3 2 2 2" xfId="2336" xr:uid="{00000000-0005-0000-0000-0000DE560000}"/>
    <cellStyle name="Normal 2 2 3 3 2 3" xfId="2337" xr:uid="{00000000-0005-0000-0000-0000DF560000}"/>
    <cellStyle name="Normal 2 2 3 3 3" xfId="2338" xr:uid="{00000000-0005-0000-0000-0000E0560000}"/>
    <cellStyle name="Normal 2 2 3 3 3 2" xfId="2339" xr:uid="{00000000-0005-0000-0000-0000E1560000}"/>
    <cellStyle name="Normal 2 2 3 3 3 2 2" xfId="2340" xr:uid="{00000000-0005-0000-0000-0000E2560000}"/>
    <cellStyle name="Normal 2 2 3 3 3 3" xfId="2341" xr:uid="{00000000-0005-0000-0000-0000E3560000}"/>
    <cellStyle name="Normal 2 2 3 3 4" xfId="2342" xr:uid="{00000000-0005-0000-0000-0000E4560000}"/>
    <cellStyle name="Normal 2 2 3 3 4 2" xfId="2343" xr:uid="{00000000-0005-0000-0000-0000E5560000}"/>
    <cellStyle name="Normal 2 2 3 3 5" xfId="2344" xr:uid="{00000000-0005-0000-0000-0000E6560000}"/>
    <cellStyle name="Normal 2 2 3 4" xfId="2345" xr:uid="{00000000-0005-0000-0000-0000E7560000}"/>
    <cellStyle name="Normal 2 2 3 4 2" xfId="2346" xr:uid="{00000000-0005-0000-0000-0000E8560000}"/>
    <cellStyle name="Normal 2 2 3 4 2 2" xfId="2347" xr:uid="{00000000-0005-0000-0000-0000E9560000}"/>
    <cellStyle name="Normal 2 2 3 4 3" xfId="2348" xr:uid="{00000000-0005-0000-0000-0000EA560000}"/>
    <cellStyle name="Normal 2 2 3 5" xfId="2349" xr:uid="{00000000-0005-0000-0000-0000EB560000}"/>
    <cellStyle name="Normal 2 2 3 5 2" xfId="2350" xr:uid="{00000000-0005-0000-0000-0000EC560000}"/>
    <cellStyle name="Normal 2 2 3 5 2 2" xfId="2351" xr:uid="{00000000-0005-0000-0000-0000ED560000}"/>
    <cellStyle name="Normal 2 2 3 5 3" xfId="2352" xr:uid="{00000000-0005-0000-0000-0000EE560000}"/>
    <cellStyle name="Normal 2 2 3 6" xfId="2353" xr:uid="{00000000-0005-0000-0000-0000EF560000}"/>
    <cellStyle name="Normal 2 2 3 6 2" xfId="2354" xr:uid="{00000000-0005-0000-0000-0000F0560000}"/>
    <cellStyle name="Normal 2 2 3 7" xfId="2355" xr:uid="{00000000-0005-0000-0000-0000F1560000}"/>
    <cellStyle name="Normal 2 2 3 7 2" xfId="22350" xr:uid="{00000000-0005-0000-0000-0000F2560000}"/>
    <cellStyle name="Normal 2 2 3 8" xfId="22351" xr:uid="{00000000-0005-0000-0000-0000F3560000}"/>
    <cellStyle name="Normal 2 2 3 9" xfId="22352" xr:uid="{00000000-0005-0000-0000-0000F4560000}"/>
    <cellStyle name="Normal 2 2 4" xfId="2356" xr:uid="{00000000-0005-0000-0000-0000F5560000}"/>
    <cellStyle name="Normal 2 2 4 2" xfId="2357" xr:uid="{00000000-0005-0000-0000-0000F6560000}"/>
    <cellStyle name="Normal 2 2 4 2 2" xfId="2358" xr:uid="{00000000-0005-0000-0000-0000F7560000}"/>
    <cellStyle name="Normal 2 2 4 2 2 2" xfId="2359" xr:uid="{00000000-0005-0000-0000-0000F8560000}"/>
    <cellStyle name="Normal 2 2 4 2 2 2 2" xfId="2360" xr:uid="{00000000-0005-0000-0000-0000F9560000}"/>
    <cellStyle name="Normal 2 2 4 2 2 3" xfId="2361" xr:uid="{00000000-0005-0000-0000-0000FA560000}"/>
    <cellStyle name="Normal 2 2 4 2 3" xfId="2362" xr:uid="{00000000-0005-0000-0000-0000FB560000}"/>
    <cellStyle name="Normal 2 2 4 2 3 2" xfId="2363" xr:uid="{00000000-0005-0000-0000-0000FC560000}"/>
    <cellStyle name="Normal 2 2 4 2 3 2 2" xfId="2364" xr:uid="{00000000-0005-0000-0000-0000FD560000}"/>
    <cellStyle name="Normal 2 2 4 2 3 3" xfId="2365" xr:uid="{00000000-0005-0000-0000-0000FE560000}"/>
    <cellStyle name="Normal 2 2 4 2 4" xfId="2366" xr:uid="{00000000-0005-0000-0000-0000FF560000}"/>
    <cellStyle name="Normal 2 2 4 2 4 2" xfId="2367" xr:uid="{00000000-0005-0000-0000-000000570000}"/>
    <cellStyle name="Normal 2 2 4 2 5" xfId="2368" xr:uid="{00000000-0005-0000-0000-000001570000}"/>
    <cellStyle name="Normal 2 2 4 3" xfId="2369" xr:uid="{00000000-0005-0000-0000-000002570000}"/>
    <cellStyle name="Normal 2 2 4 3 2" xfId="2370" xr:uid="{00000000-0005-0000-0000-000003570000}"/>
    <cellStyle name="Normal 2 2 4 3 2 2" xfId="2371" xr:uid="{00000000-0005-0000-0000-000004570000}"/>
    <cellStyle name="Normal 2 2 4 3 3" xfId="2372" xr:uid="{00000000-0005-0000-0000-000005570000}"/>
    <cellStyle name="Normal 2 2 4 4" xfId="2373" xr:uid="{00000000-0005-0000-0000-000006570000}"/>
    <cellStyle name="Normal 2 2 4 4 2" xfId="2374" xr:uid="{00000000-0005-0000-0000-000007570000}"/>
    <cellStyle name="Normal 2 2 4 4 2 2" xfId="2375" xr:uid="{00000000-0005-0000-0000-000008570000}"/>
    <cellStyle name="Normal 2 2 4 4 3" xfId="2376" xr:uid="{00000000-0005-0000-0000-000009570000}"/>
    <cellStyle name="Normal 2 2 4 5" xfId="2377" xr:uid="{00000000-0005-0000-0000-00000A570000}"/>
    <cellStyle name="Normal 2 2 4 5 2" xfId="2378" xr:uid="{00000000-0005-0000-0000-00000B570000}"/>
    <cellStyle name="Normal 2 2 4 6" xfId="2379" xr:uid="{00000000-0005-0000-0000-00000C570000}"/>
    <cellStyle name="Normal 2 2 4 7" xfId="22353" xr:uid="{00000000-0005-0000-0000-00000D570000}"/>
    <cellStyle name="Normal 2 2 5" xfId="2380" xr:uid="{00000000-0005-0000-0000-00000E570000}"/>
    <cellStyle name="Normal 2 2 5 2" xfId="2381" xr:uid="{00000000-0005-0000-0000-00000F570000}"/>
    <cellStyle name="Normal 2 2 5 2 2" xfId="2382" xr:uid="{00000000-0005-0000-0000-000010570000}"/>
    <cellStyle name="Normal 2 2 5 2 2 2" xfId="2383" xr:uid="{00000000-0005-0000-0000-000011570000}"/>
    <cellStyle name="Normal 2 2 5 2 3" xfId="2384" xr:uid="{00000000-0005-0000-0000-000012570000}"/>
    <cellStyle name="Normal 2 2 5 3" xfId="2385" xr:uid="{00000000-0005-0000-0000-000013570000}"/>
    <cellStyle name="Normal 2 2 5 3 2" xfId="2386" xr:uid="{00000000-0005-0000-0000-000014570000}"/>
    <cellStyle name="Normal 2 2 5 3 2 2" xfId="2387" xr:uid="{00000000-0005-0000-0000-000015570000}"/>
    <cellStyle name="Normal 2 2 5 3 3" xfId="2388" xr:uid="{00000000-0005-0000-0000-000016570000}"/>
    <cellStyle name="Normal 2 2 5 4" xfId="2389" xr:uid="{00000000-0005-0000-0000-000017570000}"/>
    <cellStyle name="Normal 2 2 5 4 2" xfId="2390" xr:uid="{00000000-0005-0000-0000-000018570000}"/>
    <cellStyle name="Normal 2 2 5 5" xfId="2391" xr:uid="{00000000-0005-0000-0000-000019570000}"/>
    <cellStyle name="Normal 2 2 5 6" xfId="22354" xr:uid="{00000000-0005-0000-0000-00001A570000}"/>
    <cellStyle name="Normal 2 2 6" xfId="2392" xr:uid="{00000000-0005-0000-0000-00001B570000}"/>
    <cellStyle name="Normal 2 2 6 2" xfId="2393" xr:uid="{00000000-0005-0000-0000-00001C570000}"/>
    <cellStyle name="Normal 2 2 6 2 2" xfId="2394" xr:uid="{00000000-0005-0000-0000-00001D570000}"/>
    <cellStyle name="Normal 2 2 6 3" xfId="2395" xr:uid="{00000000-0005-0000-0000-00001E570000}"/>
    <cellStyle name="Normal 2 2 6 4" xfId="22355" xr:uid="{00000000-0005-0000-0000-00001F570000}"/>
    <cellStyle name="Normal 2 2 7" xfId="2396" xr:uid="{00000000-0005-0000-0000-000020570000}"/>
    <cellStyle name="Normal 2 2 7 2" xfId="2397" xr:uid="{00000000-0005-0000-0000-000021570000}"/>
    <cellStyle name="Normal 2 2 7 2 2" xfId="2398" xr:uid="{00000000-0005-0000-0000-000022570000}"/>
    <cellStyle name="Normal 2 2 7 3" xfId="2399" xr:uid="{00000000-0005-0000-0000-000023570000}"/>
    <cellStyle name="Normal 2 2 8" xfId="2400" xr:uid="{00000000-0005-0000-0000-000024570000}"/>
    <cellStyle name="Normal 2 2 8 2" xfId="2401" xr:uid="{00000000-0005-0000-0000-000025570000}"/>
    <cellStyle name="Normal 2 2 9" xfId="2402" xr:uid="{00000000-0005-0000-0000-000026570000}"/>
    <cellStyle name="Normal 2 2 9 2" xfId="22356" xr:uid="{00000000-0005-0000-0000-000027570000}"/>
    <cellStyle name="Normal 2 20" xfId="22357" xr:uid="{00000000-0005-0000-0000-000028570000}"/>
    <cellStyle name="Normal 2 3" xfId="2403" xr:uid="{00000000-0005-0000-0000-000029570000}"/>
    <cellStyle name="Normal 2 3 10" xfId="22358" xr:uid="{00000000-0005-0000-0000-00002A570000}"/>
    <cellStyle name="Normal 2 3 11" xfId="22359" xr:uid="{00000000-0005-0000-0000-00002B570000}"/>
    <cellStyle name="Normal 2 3 12" xfId="22360" xr:uid="{00000000-0005-0000-0000-00002C570000}"/>
    <cellStyle name="Normal 2 3 2" xfId="2404" xr:uid="{00000000-0005-0000-0000-00002D570000}"/>
    <cellStyle name="Normal 2 3 2 10" xfId="22361" xr:uid="{00000000-0005-0000-0000-00002E570000}"/>
    <cellStyle name="Normal 2 3 2 2" xfId="2405" xr:uid="{00000000-0005-0000-0000-00002F570000}"/>
    <cellStyle name="Normal 2 3 2 2 2" xfId="2406" xr:uid="{00000000-0005-0000-0000-000030570000}"/>
    <cellStyle name="Normal 2 3 2 2 2 2" xfId="2407" xr:uid="{00000000-0005-0000-0000-000031570000}"/>
    <cellStyle name="Normal 2 3 2 2 2 2 2" xfId="2408" xr:uid="{00000000-0005-0000-0000-000032570000}"/>
    <cellStyle name="Normal 2 3 2 2 2 2 2 2" xfId="2409" xr:uid="{00000000-0005-0000-0000-000033570000}"/>
    <cellStyle name="Normal 2 3 2 2 2 2 3" xfId="2410" xr:uid="{00000000-0005-0000-0000-000034570000}"/>
    <cellStyle name="Normal 2 3 2 2 2 3" xfId="2411" xr:uid="{00000000-0005-0000-0000-000035570000}"/>
    <cellStyle name="Normal 2 3 2 2 2 3 2" xfId="2412" xr:uid="{00000000-0005-0000-0000-000036570000}"/>
    <cellStyle name="Normal 2 3 2 2 2 3 2 2" xfId="2413" xr:uid="{00000000-0005-0000-0000-000037570000}"/>
    <cellStyle name="Normal 2 3 2 2 2 3 3" xfId="2414" xr:uid="{00000000-0005-0000-0000-000038570000}"/>
    <cellStyle name="Normal 2 3 2 2 2 4" xfId="2415" xr:uid="{00000000-0005-0000-0000-000039570000}"/>
    <cellStyle name="Normal 2 3 2 2 2 4 2" xfId="2416" xr:uid="{00000000-0005-0000-0000-00003A570000}"/>
    <cellStyle name="Normal 2 3 2 2 2 5" xfId="2417" xr:uid="{00000000-0005-0000-0000-00003B570000}"/>
    <cellStyle name="Normal 2 3 2 2 3" xfId="2418" xr:uid="{00000000-0005-0000-0000-00003C570000}"/>
    <cellStyle name="Normal 2 3 2 2 3 2" xfId="2419" xr:uid="{00000000-0005-0000-0000-00003D570000}"/>
    <cellStyle name="Normal 2 3 2 2 3 2 2" xfId="2420" xr:uid="{00000000-0005-0000-0000-00003E570000}"/>
    <cellStyle name="Normal 2 3 2 2 3 3" xfId="2421" xr:uid="{00000000-0005-0000-0000-00003F570000}"/>
    <cellStyle name="Normal 2 3 2 2 4" xfId="2422" xr:uid="{00000000-0005-0000-0000-000040570000}"/>
    <cellStyle name="Normal 2 3 2 2 4 2" xfId="2423" xr:uid="{00000000-0005-0000-0000-000041570000}"/>
    <cellStyle name="Normal 2 3 2 2 4 2 2" xfId="2424" xr:uid="{00000000-0005-0000-0000-000042570000}"/>
    <cellStyle name="Normal 2 3 2 2 4 3" xfId="2425" xr:uid="{00000000-0005-0000-0000-000043570000}"/>
    <cellStyle name="Normal 2 3 2 2 5" xfId="2426" xr:uid="{00000000-0005-0000-0000-000044570000}"/>
    <cellStyle name="Normal 2 3 2 2 5 2" xfId="2427" xr:uid="{00000000-0005-0000-0000-000045570000}"/>
    <cellStyle name="Normal 2 3 2 2 6" xfId="2428" xr:uid="{00000000-0005-0000-0000-000046570000}"/>
    <cellStyle name="Normal 2 3 2 2 7" xfId="22362" xr:uid="{00000000-0005-0000-0000-000047570000}"/>
    <cellStyle name="Normal 2 3 2 3" xfId="2429" xr:uid="{00000000-0005-0000-0000-000048570000}"/>
    <cellStyle name="Normal 2 3 2 3 2" xfId="2430" xr:uid="{00000000-0005-0000-0000-000049570000}"/>
    <cellStyle name="Normal 2 3 2 3 2 2" xfId="2431" xr:uid="{00000000-0005-0000-0000-00004A570000}"/>
    <cellStyle name="Normal 2 3 2 3 2 2 2" xfId="2432" xr:uid="{00000000-0005-0000-0000-00004B570000}"/>
    <cellStyle name="Normal 2 3 2 3 2 3" xfId="2433" xr:uid="{00000000-0005-0000-0000-00004C570000}"/>
    <cellStyle name="Normal 2 3 2 3 3" xfId="2434" xr:uid="{00000000-0005-0000-0000-00004D570000}"/>
    <cellStyle name="Normal 2 3 2 3 3 2" xfId="2435" xr:uid="{00000000-0005-0000-0000-00004E570000}"/>
    <cellStyle name="Normal 2 3 2 3 3 2 2" xfId="2436" xr:uid="{00000000-0005-0000-0000-00004F570000}"/>
    <cellStyle name="Normal 2 3 2 3 3 3" xfId="2437" xr:uid="{00000000-0005-0000-0000-000050570000}"/>
    <cellStyle name="Normal 2 3 2 3 4" xfId="2438" xr:uid="{00000000-0005-0000-0000-000051570000}"/>
    <cellStyle name="Normal 2 3 2 3 4 2" xfId="2439" xr:uid="{00000000-0005-0000-0000-000052570000}"/>
    <cellStyle name="Normal 2 3 2 3 5" xfId="2440" xr:uid="{00000000-0005-0000-0000-000053570000}"/>
    <cellStyle name="Normal 2 3 2 4" xfId="2441" xr:uid="{00000000-0005-0000-0000-000054570000}"/>
    <cellStyle name="Normal 2 3 2 4 2" xfId="2442" xr:uid="{00000000-0005-0000-0000-000055570000}"/>
    <cellStyle name="Normal 2 3 2 4 2 2" xfId="2443" xr:uid="{00000000-0005-0000-0000-000056570000}"/>
    <cellStyle name="Normal 2 3 2 4 3" xfId="2444" xr:uid="{00000000-0005-0000-0000-000057570000}"/>
    <cellStyle name="Normal 2 3 2 5" xfId="2445" xr:uid="{00000000-0005-0000-0000-000058570000}"/>
    <cellStyle name="Normal 2 3 2 5 2" xfId="2446" xr:uid="{00000000-0005-0000-0000-000059570000}"/>
    <cellStyle name="Normal 2 3 2 5 2 2" xfId="2447" xr:uid="{00000000-0005-0000-0000-00005A570000}"/>
    <cellStyle name="Normal 2 3 2 5 3" xfId="2448" xr:uid="{00000000-0005-0000-0000-00005B570000}"/>
    <cellStyle name="Normal 2 3 2 6" xfId="2449" xr:uid="{00000000-0005-0000-0000-00005C570000}"/>
    <cellStyle name="Normal 2 3 2 6 2" xfId="2450" xr:uid="{00000000-0005-0000-0000-00005D570000}"/>
    <cellStyle name="Normal 2 3 2 7" xfId="2451" xr:uid="{00000000-0005-0000-0000-00005E570000}"/>
    <cellStyle name="Normal 2 3 2 7 2" xfId="22363" xr:uid="{00000000-0005-0000-0000-00005F570000}"/>
    <cellStyle name="Normal 2 3 2 8" xfId="22364" xr:uid="{00000000-0005-0000-0000-000060570000}"/>
    <cellStyle name="Normal 2 3 2 9" xfId="22365" xr:uid="{00000000-0005-0000-0000-000061570000}"/>
    <cellStyle name="Normal 2 3 3" xfId="2452" xr:uid="{00000000-0005-0000-0000-000062570000}"/>
    <cellStyle name="Normal 2 3 3 2" xfId="2453" xr:uid="{00000000-0005-0000-0000-000063570000}"/>
    <cellStyle name="Normal 2 3 3 2 2" xfId="2454" xr:uid="{00000000-0005-0000-0000-000064570000}"/>
    <cellStyle name="Normal 2 3 3 2 2 2" xfId="2455" xr:uid="{00000000-0005-0000-0000-000065570000}"/>
    <cellStyle name="Normal 2 3 3 2 2 2 2" xfId="2456" xr:uid="{00000000-0005-0000-0000-000066570000}"/>
    <cellStyle name="Normal 2 3 3 2 2 3" xfId="2457" xr:uid="{00000000-0005-0000-0000-000067570000}"/>
    <cellStyle name="Normal 2 3 3 2 3" xfId="2458" xr:uid="{00000000-0005-0000-0000-000068570000}"/>
    <cellStyle name="Normal 2 3 3 2 3 2" xfId="2459" xr:uid="{00000000-0005-0000-0000-000069570000}"/>
    <cellStyle name="Normal 2 3 3 2 3 2 2" xfId="2460" xr:uid="{00000000-0005-0000-0000-00006A570000}"/>
    <cellStyle name="Normal 2 3 3 2 3 3" xfId="2461" xr:uid="{00000000-0005-0000-0000-00006B570000}"/>
    <cellStyle name="Normal 2 3 3 2 4" xfId="2462" xr:uid="{00000000-0005-0000-0000-00006C570000}"/>
    <cellStyle name="Normal 2 3 3 2 4 2" xfId="2463" xr:uid="{00000000-0005-0000-0000-00006D570000}"/>
    <cellStyle name="Normal 2 3 3 2 5" xfId="2464" xr:uid="{00000000-0005-0000-0000-00006E570000}"/>
    <cellStyle name="Normal 2 3 3 3" xfId="2465" xr:uid="{00000000-0005-0000-0000-00006F570000}"/>
    <cellStyle name="Normal 2 3 3 3 2" xfId="2466" xr:uid="{00000000-0005-0000-0000-000070570000}"/>
    <cellStyle name="Normal 2 3 3 3 2 2" xfId="2467" xr:uid="{00000000-0005-0000-0000-000071570000}"/>
    <cellStyle name="Normal 2 3 3 3 3" xfId="2468" xr:uid="{00000000-0005-0000-0000-000072570000}"/>
    <cellStyle name="Normal 2 3 3 4" xfId="2469" xr:uid="{00000000-0005-0000-0000-000073570000}"/>
    <cellStyle name="Normal 2 3 3 4 2" xfId="2470" xr:uid="{00000000-0005-0000-0000-000074570000}"/>
    <cellStyle name="Normal 2 3 3 4 2 2" xfId="2471" xr:uid="{00000000-0005-0000-0000-000075570000}"/>
    <cellStyle name="Normal 2 3 3 4 3" xfId="2472" xr:uid="{00000000-0005-0000-0000-000076570000}"/>
    <cellStyle name="Normal 2 3 3 5" xfId="2473" xr:uid="{00000000-0005-0000-0000-000077570000}"/>
    <cellStyle name="Normal 2 3 3 5 2" xfId="2474" xr:uid="{00000000-0005-0000-0000-000078570000}"/>
    <cellStyle name="Normal 2 3 3 6" xfId="2475" xr:uid="{00000000-0005-0000-0000-000079570000}"/>
    <cellStyle name="Normal 2 3 3 7" xfId="22366" xr:uid="{00000000-0005-0000-0000-00007A570000}"/>
    <cellStyle name="Normal 2 3 4" xfId="2476" xr:uid="{00000000-0005-0000-0000-00007B570000}"/>
    <cellStyle name="Normal 2 3 4 2" xfId="2477" xr:uid="{00000000-0005-0000-0000-00007C570000}"/>
    <cellStyle name="Normal 2 3 4 2 2" xfId="2478" xr:uid="{00000000-0005-0000-0000-00007D570000}"/>
    <cellStyle name="Normal 2 3 4 2 2 2" xfId="2479" xr:uid="{00000000-0005-0000-0000-00007E570000}"/>
    <cellStyle name="Normal 2 3 4 2 3" xfId="2480" xr:uid="{00000000-0005-0000-0000-00007F570000}"/>
    <cellStyle name="Normal 2 3 4 3" xfId="2481" xr:uid="{00000000-0005-0000-0000-000080570000}"/>
    <cellStyle name="Normal 2 3 4 3 2" xfId="2482" xr:uid="{00000000-0005-0000-0000-000081570000}"/>
    <cellStyle name="Normal 2 3 4 3 2 2" xfId="2483" xr:uid="{00000000-0005-0000-0000-000082570000}"/>
    <cellStyle name="Normal 2 3 4 3 3" xfId="2484" xr:uid="{00000000-0005-0000-0000-000083570000}"/>
    <cellStyle name="Normal 2 3 4 4" xfId="2485" xr:uid="{00000000-0005-0000-0000-000084570000}"/>
    <cellStyle name="Normal 2 3 4 4 2" xfId="2486" xr:uid="{00000000-0005-0000-0000-000085570000}"/>
    <cellStyle name="Normal 2 3 4 5" xfId="2487" xr:uid="{00000000-0005-0000-0000-000086570000}"/>
    <cellStyle name="Normal 2 3 4 6" xfId="22367" xr:uid="{00000000-0005-0000-0000-000087570000}"/>
    <cellStyle name="Normal 2 3 5" xfId="2488" xr:uid="{00000000-0005-0000-0000-000088570000}"/>
    <cellStyle name="Normal 2 3 5 2" xfId="2489" xr:uid="{00000000-0005-0000-0000-000089570000}"/>
    <cellStyle name="Normal 2 3 5 2 2" xfId="2490" xr:uid="{00000000-0005-0000-0000-00008A570000}"/>
    <cellStyle name="Normal 2 3 5 3" xfId="2491" xr:uid="{00000000-0005-0000-0000-00008B570000}"/>
    <cellStyle name="Normal 2 3 5 4" xfId="22368" xr:uid="{00000000-0005-0000-0000-00008C570000}"/>
    <cellStyle name="Normal 2 3 6" xfId="2492" xr:uid="{00000000-0005-0000-0000-00008D570000}"/>
    <cellStyle name="Normal 2 3 6 2" xfId="2493" xr:uid="{00000000-0005-0000-0000-00008E570000}"/>
    <cellStyle name="Normal 2 3 6 2 2" xfId="2494" xr:uid="{00000000-0005-0000-0000-00008F570000}"/>
    <cellStyle name="Normal 2 3 6 3" xfId="2495" xr:uid="{00000000-0005-0000-0000-000090570000}"/>
    <cellStyle name="Normal 2 3 7" xfId="2496" xr:uid="{00000000-0005-0000-0000-000091570000}"/>
    <cellStyle name="Normal 2 3 7 2" xfId="2497" xr:uid="{00000000-0005-0000-0000-000092570000}"/>
    <cellStyle name="Normal 2 3 8" xfId="2498" xr:uid="{00000000-0005-0000-0000-000093570000}"/>
    <cellStyle name="Normal 2 3 8 2" xfId="22369" xr:uid="{00000000-0005-0000-0000-000094570000}"/>
    <cellStyle name="Normal 2 3 9" xfId="22370" xr:uid="{00000000-0005-0000-0000-000095570000}"/>
    <cellStyle name="Normal 2 4" xfId="2499" xr:uid="{00000000-0005-0000-0000-000096570000}"/>
    <cellStyle name="Normal 2 4 10" xfId="22371" xr:uid="{00000000-0005-0000-0000-000097570000}"/>
    <cellStyle name="Normal 2 4 11" xfId="22372" xr:uid="{00000000-0005-0000-0000-000098570000}"/>
    <cellStyle name="Normal 2 4 2" xfId="2500" xr:uid="{00000000-0005-0000-0000-000099570000}"/>
    <cellStyle name="Normal 2 4 2 2" xfId="2501" xr:uid="{00000000-0005-0000-0000-00009A570000}"/>
    <cellStyle name="Normal 2 4 2 2 2" xfId="2502" xr:uid="{00000000-0005-0000-0000-00009B570000}"/>
    <cellStyle name="Normal 2 4 2 2 2 2" xfId="2503" xr:uid="{00000000-0005-0000-0000-00009C570000}"/>
    <cellStyle name="Normal 2 4 2 2 2 2 2" xfId="2504" xr:uid="{00000000-0005-0000-0000-00009D570000}"/>
    <cellStyle name="Normal 2 4 2 2 2 3" xfId="2505" xr:uid="{00000000-0005-0000-0000-00009E570000}"/>
    <cellStyle name="Normal 2 4 2 2 3" xfId="2506" xr:uid="{00000000-0005-0000-0000-00009F570000}"/>
    <cellStyle name="Normal 2 4 2 2 3 2" xfId="2507" xr:uid="{00000000-0005-0000-0000-0000A0570000}"/>
    <cellStyle name="Normal 2 4 2 2 3 2 2" xfId="2508" xr:uid="{00000000-0005-0000-0000-0000A1570000}"/>
    <cellStyle name="Normal 2 4 2 2 3 3" xfId="2509" xr:uid="{00000000-0005-0000-0000-0000A2570000}"/>
    <cellStyle name="Normal 2 4 2 2 4" xfId="2510" xr:uid="{00000000-0005-0000-0000-0000A3570000}"/>
    <cellStyle name="Normal 2 4 2 2 4 2" xfId="2511" xr:uid="{00000000-0005-0000-0000-0000A4570000}"/>
    <cellStyle name="Normal 2 4 2 2 5" xfId="2512" xr:uid="{00000000-0005-0000-0000-0000A5570000}"/>
    <cellStyle name="Normal 2 4 2 2 6" xfId="22373" xr:uid="{00000000-0005-0000-0000-0000A6570000}"/>
    <cellStyle name="Normal 2 4 2 3" xfId="2513" xr:uid="{00000000-0005-0000-0000-0000A7570000}"/>
    <cellStyle name="Normal 2 4 2 3 2" xfId="2514" xr:uid="{00000000-0005-0000-0000-0000A8570000}"/>
    <cellStyle name="Normal 2 4 2 3 2 2" xfId="2515" xr:uid="{00000000-0005-0000-0000-0000A9570000}"/>
    <cellStyle name="Normal 2 4 2 3 3" xfId="2516" xr:uid="{00000000-0005-0000-0000-0000AA570000}"/>
    <cellStyle name="Normal 2 4 2 4" xfId="2517" xr:uid="{00000000-0005-0000-0000-0000AB570000}"/>
    <cellStyle name="Normal 2 4 2 4 2" xfId="2518" xr:uid="{00000000-0005-0000-0000-0000AC570000}"/>
    <cellStyle name="Normal 2 4 2 4 2 2" xfId="2519" xr:uid="{00000000-0005-0000-0000-0000AD570000}"/>
    <cellStyle name="Normal 2 4 2 4 3" xfId="2520" xr:uid="{00000000-0005-0000-0000-0000AE570000}"/>
    <cellStyle name="Normal 2 4 2 5" xfId="2521" xr:uid="{00000000-0005-0000-0000-0000AF570000}"/>
    <cellStyle name="Normal 2 4 2 5 2" xfId="2522" xr:uid="{00000000-0005-0000-0000-0000B0570000}"/>
    <cellStyle name="Normal 2 4 2 6" xfId="2523" xr:uid="{00000000-0005-0000-0000-0000B1570000}"/>
    <cellStyle name="Normal 2 4 2 7" xfId="22374" xr:uid="{00000000-0005-0000-0000-0000B2570000}"/>
    <cellStyle name="Normal 2 4 2 8" xfId="22375" xr:uid="{00000000-0005-0000-0000-0000B3570000}"/>
    <cellStyle name="Normal 2 4 3" xfId="2524" xr:uid="{00000000-0005-0000-0000-0000B4570000}"/>
    <cellStyle name="Normal 2 4 3 2" xfId="2525" xr:uid="{00000000-0005-0000-0000-0000B5570000}"/>
    <cellStyle name="Normal 2 4 3 2 2" xfId="2526" xr:uid="{00000000-0005-0000-0000-0000B6570000}"/>
    <cellStyle name="Normal 2 4 3 2 2 2" xfId="2527" xr:uid="{00000000-0005-0000-0000-0000B7570000}"/>
    <cellStyle name="Normal 2 4 3 2 2 2 2" xfId="2528" xr:uid="{00000000-0005-0000-0000-0000B8570000}"/>
    <cellStyle name="Normal 2 4 3 2 2 3" xfId="2529" xr:uid="{00000000-0005-0000-0000-0000B9570000}"/>
    <cellStyle name="Normal 2 4 3 2 3" xfId="2530" xr:uid="{00000000-0005-0000-0000-0000BA570000}"/>
    <cellStyle name="Normal 2 4 3 2 3 2" xfId="2531" xr:uid="{00000000-0005-0000-0000-0000BB570000}"/>
    <cellStyle name="Normal 2 4 3 2 3 2 2" xfId="2532" xr:uid="{00000000-0005-0000-0000-0000BC570000}"/>
    <cellStyle name="Normal 2 4 3 2 3 3" xfId="2533" xr:uid="{00000000-0005-0000-0000-0000BD570000}"/>
    <cellStyle name="Normal 2 4 3 2 4" xfId="2534" xr:uid="{00000000-0005-0000-0000-0000BE570000}"/>
    <cellStyle name="Normal 2 4 3 2 4 2" xfId="2535" xr:uid="{00000000-0005-0000-0000-0000BF570000}"/>
    <cellStyle name="Normal 2 4 3 2 5" xfId="2536" xr:uid="{00000000-0005-0000-0000-0000C0570000}"/>
    <cellStyle name="Normal 2 4 3 3" xfId="2537" xr:uid="{00000000-0005-0000-0000-0000C1570000}"/>
    <cellStyle name="Normal 2 4 3 3 2" xfId="2538" xr:uid="{00000000-0005-0000-0000-0000C2570000}"/>
    <cellStyle name="Normal 2 4 3 3 2 2" xfId="2539" xr:uid="{00000000-0005-0000-0000-0000C3570000}"/>
    <cellStyle name="Normal 2 4 3 3 3" xfId="2540" xr:uid="{00000000-0005-0000-0000-0000C4570000}"/>
    <cellStyle name="Normal 2 4 3 4" xfId="2541" xr:uid="{00000000-0005-0000-0000-0000C5570000}"/>
    <cellStyle name="Normal 2 4 3 4 2" xfId="2542" xr:uid="{00000000-0005-0000-0000-0000C6570000}"/>
    <cellStyle name="Normal 2 4 3 4 2 2" xfId="2543" xr:uid="{00000000-0005-0000-0000-0000C7570000}"/>
    <cellStyle name="Normal 2 4 3 4 3" xfId="2544" xr:uid="{00000000-0005-0000-0000-0000C8570000}"/>
    <cellStyle name="Normal 2 4 3 5" xfId="2545" xr:uid="{00000000-0005-0000-0000-0000C9570000}"/>
    <cellStyle name="Normal 2 4 3 5 2" xfId="2546" xr:uid="{00000000-0005-0000-0000-0000CA570000}"/>
    <cellStyle name="Normal 2 4 3 6" xfId="2547" xr:uid="{00000000-0005-0000-0000-0000CB570000}"/>
    <cellStyle name="Normal 2 4 3 7" xfId="22376" xr:uid="{00000000-0005-0000-0000-0000CC570000}"/>
    <cellStyle name="Normal 2 4 3 8" xfId="22377" xr:uid="{00000000-0005-0000-0000-0000CD570000}"/>
    <cellStyle name="Normal 2 4 4" xfId="2548" xr:uid="{00000000-0005-0000-0000-0000CE570000}"/>
    <cellStyle name="Normal 2 4 4 2" xfId="2549" xr:uid="{00000000-0005-0000-0000-0000CF570000}"/>
    <cellStyle name="Normal 2 4 4 2 2" xfId="2550" xr:uid="{00000000-0005-0000-0000-0000D0570000}"/>
    <cellStyle name="Normal 2 4 4 2 2 2" xfId="2551" xr:uid="{00000000-0005-0000-0000-0000D1570000}"/>
    <cellStyle name="Normal 2 4 4 2 3" xfId="2552" xr:uid="{00000000-0005-0000-0000-0000D2570000}"/>
    <cellStyle name="Normal 2 4 4 3" xfId="2553" xr:uid="{00000000-0005-0000-0000-0000D3570000}"/>
    <cellStyle name="Normal 2 4 4 3 2" xfId="2554" xr:uid="{00000000-0005-0000-0000-0000D4570000}"/>
    <cellStyle name="Normal 2 4 4 3 2 2" xfId="2555" xr:uid="{00000000-0005-0000-0000-0000D5570000}"/>
    <cellStyle name="Normal 2 4 4 3 3" xfId="2556" xr:uid="{00000000-0005-0000-0000-0000D6570000}"/>
    <cellStyle name="Normal 2 4 4 4" xfId="2557" xr:uid="{00000000-0005-0000-0000-0000D7570000}"/>
    <cellStyle name="Normal 2 4 4 4 2" xfId="2558" xr:uid="{00000000-0005-0000-0000-0000D8570000}"/>
    <cellStyle name="Normal 2 4 4 5" xfId="2559" xr:uid="{00000000-0005-0000-0000-0000D9570000}"/>
    <cellStyle name="Normal 2 4 4 6" xfId="22378" xr:uid="{00000000-0005-0000-0000-0000DA570000}"/>
    <cellStyle name="Normal 2 4 5" xfId="2560" xr:uid="{00000000-0005-0000-0000-0000DB570000}"/>
    <cellStyle name="Normal 2 4 5 2" xfId="2561" xr:uid="{00000000-0005-0000-0000-0000DC570000}"/>
    <cellStyle name="Normal 2 4 5 2 2" xfId="2562" xr:uid="{00000000-0005-0000-0000-0000DD570000}"/>
    <cellStyle name="Normal 2 4 5 3" xfId="2563" xr:uid="{00000000-0005-0000-0000-0000DE570000}"/>
    <cellStyle name="Normal 2 4 5 4" xfId="22379" xr:uid="{00000000-0005-0000-0000-0000DF570000}"/>
    <cellStyle name="Normal 2 4 6" xfId="2564" xr:uid="{00000000-0005-0000-0000-0000E0570000}"/>
    <cellStyle name="Normal 2 4 6 2" xfId="2565" xr:uid="{00000000-0005-0000-0000-0000E1570000}"/>
    <cellStyle name="Normal 2 4 6 2 2" xfId="2566" xr:uid="{00000000-0005-0000-0000-0000E2570000}"/>
    <cellStyle name="Normal 2 4 6 3" xfId="2567" xr:uid="{00000000-0005-0000-0000-0000E3570000}"/>
    <cellStyle name="Normal 2 4 7" xfId="2568" xr:uid="{00000000-0005-0000-0000-0000E4570000}"/>
    <cellStyle name="Normal 2 4 7 2" xfId="2569" xr:uid="{00000000-0005-0000-0000-0000E5570000}"/>
    <cellStyle name="Normal 2 4 8" xfId="2570" xr:uid="{00000000-0005-0000-0000-0000E6570000}"/>
    <cellStyle name="Normal 2 4 8 2" xfId="22380" xr:uid="{00000000-0005-0000-0000-0000E7570000}"/>
    <cellStyle name="Normal 2 4 9" xfId="22381" xr:uid="{00000000-0005-0000-0000-0000E8570000}"/>
    <cellStyle name="Normal 2 5" xfId="2571" xr:uid="{00000000-0005-0000-0000-0000E9570000}"/>
    <cellStyle name="Normal 2 5 2" xfId="2572" xr:uid="{00000000-0005-0000-0000-0000EA570000}"/>
    <cellStyle name="Normal 2 5 2 2" xfId="2573" xr:uid="{00000000-0005-0000-0000-0000EB570000}"/>
    <cellStyle name="Normal 2 5 2 2 2" xfId="2574" xr:uid="{00000000-0005-0000-0000-0000EC570000}"/>
    <cellStyle name="Normal 2 5 2 2 2 2" xfId="2575" xr:uid="{00000000-0005-0000-0000-0000ED570000}"/>
    <cellStyle name="Normal 2 5 2 2 3" xfId="2576" xr:uid="{00000000-0005-0000-0000-0000EE570000}"/>
    <cellStyle name="Normal 2 5 2 3" xfId="2577" xr:uid="{00000000-0005-0000-0000-0000EF570000}"/>
    <cellStyle name="Normal 2 5 2 3 2" xfId="2578" xr:uid="{00000000-0005-0000-0000-0000F0570000}"/>
    <cellStyle name="Normal 2 5 2 3 2 2" xfId="2579" xr:uid="{00000000-0005-0000-0000-0000F1570000}"/>
    <cellStyle name="Normal 2 5 2 3 3" xfId="2580" xr:uid="{00000000-0005-0000-0000-0000F2570000}"/>
    <cellStyle name="Normal 2 5 2 4" xfId="2581" xr:uid="{00000000-0005-0000-0000-0000F3570000}"/>
    <cellStyle name="Normal 2 5 2 4 2" xfId="2582" xr:uid="{00000000-0005-0000-0000-0000F4570000}"/>
    <cellStyle name="Normal 2 5 2 5" xfId="2583" xr:uid="{00000000-0005-0000-0000-0000F5570000}"/>
    <cellStyle name="Normal 2 5 2 6" xfId="22382" xr:uid="{00000000-0005-0000-0000-0000F6570000}"/>
    <cellStyle name="Normal 2 5 2 7" xfId="22383" xr:uid="{00000000-0005-0000-0000-0000F7570000}"/>
    <cellStyle name="Normal 2 5 3" xfId="2584" xr:uid="{00000000-0005-0000-0000-0000F8570000}"/>
    <cellStyle name="Normal 2 5 3 2" xfId="2585" xr:uid="{00000000-0005-0000-0000-0000F9570000}"/>
    <cellStyle name="Normal 2 5 3 2 2" xfId="2586" xr:uid="{00000000-0005-0000-0000-0000FA570000}"/>
    <cellStyle name="Normal 2 5 3 3" xfId="2587" xr:uid="{00000000-0005-0000-0000-0000FB570000}"/>
    <cellStyle name="Normal 2 5 3 4" xfId="22384" xr:uid="{00000000-0005-0000-0000-0000FC570000}"/>
    <cellStyle name="Normal 2 5 4" xfId="2588" xr:uid="{00000000-0005-0000-0000-0000FD570000}"/>
    <cellStyle name="Normal 2 5 4 2" xfId="2589" xr:uid="{00000000-0005-0000-0000-0000FE570000}"/>
    <cellStyle name="Normal 2 5 4 2 2" xfId="2590" xr:uid="{00000000-0005-0000-0000-0000FF570000}"/>
    <cellStyle name="Normal 2 5 4 3" xfId="2591" xr:uid="{00000000-0005-0000-0000-000000580000}"/>
    <cellStyle name="Normal 2 5 4 4" xfId="22385" xr:uid="{00000000-0005-0000-0000-000001580000}"/>
    <cellStyle name="Normal 2 5 5" xfId="2592" xr:uid="{00000000-0005-0000-0000-000002580000}"/>
    <cellStyle name="Normal 2 5 5 2" xfId="2593" xr:uid="{00000000-0005-0000-0000-000003580000}"/>
    <cellStyle name="Normal 2 5 5 3" xfId="22386" xr:uid="{00000000-0005-0000-0000-000004580000}"/>
    <cellStyle name="Normal 2 5 6" xfId="2594" xr:uid="{00000000-0005-0000-0000-000005580000}"/>
    <cellStyle name="Normal 2 5 7" xfId="22387" xr:uid="{00000000-0005-0000-0000-000006580000}"/>
    <cellStyle name="Normal 2 5 8" xfId="22388" xr:uid="{00000000-0005-0000-0000-000007580000}"/>
    <cellStyle name="Normal 2 5 9" xfId="22389" xr:uid="{00000000-0005-0000-0000-000008580000}"/>
    <cellStyle name="Normal 2 6" xfId="2595" xr:uid="{00000000-0005-0000-0000-000009580000}"/>
    <cellStyle name="Normal 2 6 2" xfId="2596" xr:uid="{00000000-0005-0000-0000-00000A580000}"/>
    <cellStyle name="Normal 2 6 2 2" xfId="2597" xr:uid="{00000000-0005-0000-0000-00000B580000}"/>
    <cellStyle name="Normal 2 6 2 2 2" xfId="2598" xr:uid="{00000000-0005-0000-0000-00000C580000}"/>
    <cellStyle name="Normal 2 6 2 3" xfId="2599" xr:uid="{00000000-0005-0000-0000-00000D580000}"/>
    <cellStyle name="Normal 2 6 2 4" xfId="22390" xr:uid="{00000000-0005-0000-0000-00000E580000}"/>
    <cellStyle name="Normal 2 6 2 5" xfId="22391" xr:uid="{00000000-0005-0000-0000-00000F580000}"/>
    <cellStyle name="Normal 2 6 3" xfId="2600" xr:uid="{00000000-0005-0000-0000-000010580000}"/>
    <cellStyle name="Normal 2 6 3 2" xfId="2601" xr:uid="{00000000-0005-0000-0000-000011580000}"/>
    <cellStyle name="Normal 2 6 3 2 2" xfId="2602" xr:uid="{00000000-0005-0000-0000-000012580000}"/>
    <cellStyle name="Normal 2 6 3 3" xfId="2603" xr:uid="{00000000-0005-0000-0000-000013580000}"/>
    <cellStyle name="Normal 2 6 3 4" xfId="22392" xr:uid="{00000000-0005-0000-0000-000014580000}"/>
    <cellStyle name="Normal 2 6 4" xfId="2604" xr:uid="{00000000-0005-0000-0000-000015580000}"/>
    <cellStyle name="Normal 2 6 4 2" xfId="2605" xr:uid="{00000000-0005-0000-0000-000016580000}"/>
    <cellStyle name="Normal 2 6 4 3" xfId="22393" xr:uid="{00000000-0005-0000-0000-000017580000}"/>
    <cellStyle name="Normal 2 6 5" xfId="2606" xr:uid="{00000000-0005-0000-0000-000018580000}"/>
    <cellStyle name="Normal 2 6 5 2" xfId="22394" xr:uid="{00000000-0005-0000-0000-000019580000}"/>
    <cellStyle name="Normal 2 6 6" xfId="22395" xr:uid="{00000000-0005-0000-0000-00001A580000}"/>
    <cellStyle name="Normal 2 6 7" xfId="22396" xr:uid="{00000000-0005-0000-0000-00001B580000}"/>
    <cellStyle name="Normal 2 6 8" xfId="22397" xr:uid="{00000000-0005-0000-0000-00001C580000}"/>
    <cellStyle name="Normal 2 7" xfId="2607" xr:uid="{00000000-0005-0000-0000-00001D580000}"/>
    <cellStyle name="Normal 2 7 2" xfId="2608" xr:uid="{00000000-0005-0000-0000-00001E580000}"/>
    <cellStyle name="Normal 2 7 2 2" xfId="2609" xr:uid="{00000000-0005-0000-0000-00001F580000}"/>
    <cellStyle name="Normal 2 7 2 3" xfId="2610" xr:uid="{00000000-0005-0000-0000-000020580000}"/>
    <cellStyle name="Normal 2 7 2 4" xfId="22398" xr:uid="{00000000-0005-0000-0000-000021580000}"/>
    <cellStyle name="Normal 2 7 3" xfId="2611" xr:uid="{00000000-0005-0000-0000-000022580000}"/>
    <cellStyle name="Normal 2 7 3 2" xfId="22399" xr:uid="{00000000-0005-0000-0000-000023580000}"/>
    <cellStyle name="Normal 2 7 4" xfId="2612" xr:uid="{00000000-0005-0000-0000-000024580000}"/>
    <cellStyle name="Normal 2 7 4 2" xfId="22400" xr:uid="{00000000-0005-0000-0000-000025580000}"/>
    <cellStyle name="Normal 2 7 5" xfId="22401" xr:uid="{00000000-0005-0000-0000-000026580000}"/>
    <cellStyle name="Normal 2 7 5 2" xfId="22402" xr:uid="{00000000-0005-0000-0000-000027580000}"/>
    <cellStyle name="Normal 2 7 6" xfId="22403" xr:uid="{00000000-0005-0000-0000-000028580000}"/>
    <cellStyle name="Normal 2 7 7" xfId="22404" xr:uid="{00000000-0005-0000-0000-000029580000}"/>
    <cellStyle name="Normal 2 7 8" xfId="22405" xr:uid="{00000000-0005-0000-0000-00002A580000}"/>
    <cellStyle name="Normal 2 8" xfId="2613" xr:uid="{00000000-0005-0000-0000-00002B580000}"/>
    <cellStyle name="Normal 2 8 2" xfId="2614" xr:uid="{00000000-0005-0000-0000-00002C580000}"/>
    <cellStyle name="Normal 2 8 2 2" xfId="2615" xr:uid="{00000000-0005-0000-0000-00002D580000}"/>
    <cellStyle name="Normal 2 8 2 3" xfId="22406" xr:uid="{00000000-0005-0000-0000-00002E580000}"/>
    <cellStyle name="Normal 2 8 3" xfId="2616" xr:uid="{00000000-0005-0000-0000-00002F580000}"/>
    <cellStyle name="Normal 2 8 4" xfId="22407" xr:uid="{00000000-0005-0000-0000-000030580000}"/>
    <cellStyle name="Normal 2 8 5" xfId="22408" xr:uid="{00000000-0005-0000-0000-000031580000}"/>
    <cellStyle name="Normal 2 9" xfId="2617" xr:uid="{00000000-0005-0000-0000-000032580000}"/>
    <cellStyle name="Normal 2 9 2" xfId="2618" xr:uid="{00000000-0005-0000-0000-000033580000}"/>
    <cellStyle name="Normal 2 9 2 2" xfId="2619" xr:uid="{00000000-0005-0000-0000-000034580000}"/>
    <cellStyle name="Normal 2 9 3" xfId="2620" xr:uid="{00000000-0005-0000-0000-000035580000}"/>
    <cellStyle name="Normal 2 9 4" xfId="22409" xr:uid="{00000000-0005-0000-0000-000036580000}"/>
    <cellStyle name="Normal 2_Order Book" xfId="22410" xr:uid="{00000000-0005-0000-0000-000037580000}"/>
    <cellStyle name="Normal 20" xfId="2621" xr:uid="{00000000-0005-0000-0000-000038580000}"/>
    <cellStyle name="Normal 20 2" xfId="2622" xr:uid="{00000000-0005-0000-0000-000039580000}"/>
    <cellStyle name="Normal 20 3" xfId="22411" xr:uid="{00000000-0005-0000-0000-00003A580000}"/>
    <cellStyle name="Normal 20 4" xfId="22412" xr:uid="{00000000-0005-0000-0000-00003B580000}"/>
    <cellStyle name="Normal 20 5" xfId="22413" xr:uid="{00000000-0005-0000-0000-00003C580000}"/>
    <cellStyle name="Normal 20 5 2" xfId="22414" xr:uid="{00000000-0005-0000-0000-00003D580000}"/>
    <cellStyle name="Normal 20 6" xfId="22415" xr:uid="{00000000-0005-0000-0000-00003E580000}"/>
    <cellStyle name="Normal 20 7" xfId="22416" xr:uid="{00000000-0005-0000-0000-00003F580000}"/>
    <cellStyle name="Normal 200" xfId="2623" xr:uid="{00000000-0005-0000-0000-000040580000}"/>
    <cellStyle name="Normal 200 10" xfId="22417" xr:uid="{00000000-0005-0000-0000-000041580000}"/>
    <cellStyle name="Normal 200 11" xfId="22418" xr:uid="{00000000-0005-0000-0000-000042580000}"/>
    <cellStyle name="Normal 200 12" xfId="22419" xr:uid="{00000000-0005-0000-0000-000043580000}"/>
    <cellStyle name="Normal 200 2" xfId="22420" xr:uid="{00000000-0005-0000-0000-000044580000}"/>
    <cellStyle name="Normal 200 2 2" xfId="22421" xr:uid="{00000000-0005-0000-0000-000045580000}"/>
    <cellStyle name="Normal 200 2 2 2" xfId="22422" xr:uid="{00000000-0005-0000-0000-000046580000}"/>
    <cellStyle name="Normal 200 2 2 2 2" xfId="22423" xr:uid="{00000000-0005-0000-0000-000047580000}"/>
    <cellStyle name="Normal 200 2 2 2 2 2" xfId="22424" xr:uid="{00000000-0005-0000-0000-000048580000}"/>
    <cellStyle name="Normal 200 2 2 2 2 3" xfId="22425" xr:uid="{00000000-0005-0000-0000-000049580000}"/>
    <cellStyle name="Normal 200 2 2 2 3" xfId="22426" xr:uid="{00000000-0005-0000-0000-00004A580000}"/>
    <cellStyle name="Normal 200 2 2 2 3 2" xfId="22427" xr:uid="{00000000-0005-0000-0000-00004B580000}"/>
    <cellStyle name="Normal 200 2 2 2 3 3" xfId="22428" xr:uid="{00000000-0005-0000-0000-00004C580000}"/>
    <cellStyle name="Normal 200 2 2 2 4" xfId="22429" xr:uid="{00000000-0005-0000-0000-00004D580000}"/>
    <cellStyle name="Normal 200 2 2 2 5" xfId="22430" xr:uid="{00000000-0005-0000-0000-00004E580000}"/>
    <cellStyle name="Normal 200 2 2 2 6" xfId="22431" xr:uid="{00000000-0005-0000-0000-00004F580000}"/>
    <cellStyle name="Normal 200 2 2 3" xfId="22432" xr:uid="{00000000-0005-0000-0000-000050580000}"/>
    <cellStyle name="Normal 200 2 2 3 2" xfId="22433" xr:uid="{00000000-0005-0000-0000-000051580000}"/>
    <cellStyle name="Normal 200 2 2 3 3" xfId="22434" xr:uid="{00000000-0005-0000-0000-000052580000}"/>
    <cellStyle name="Normal 200 2 2 4" xfId="22435" xr:uid="{00000000-0005-0000-0000-000053580000}"/>
    <cellStyle name="Normal 200 2 2 4 2" xfId="22436" xr:uid="{00000000-0005-0000-0000-000054580000}"/>
    <cellStyle name="Normal 200 2 2 4 3" xfId="22437" xr:uid="{00000000-0005-0000-0000-000055580000}"/>
    <cellStyle name="Normal 200 2 2 5" xfId="22438" xr:uid="{00000000-0005-0000-0000-000056580000}"/>
    <cellStyle name="Normal 200 2 2 6" xfId="22439" xr:uid="{00000000-0005-0000-0000-000057580000}"/>
    <cellStyle name="Normal 200 2 2 7" xfId="22440" xr:uid="{00000000-0005-0000-0000-000058580000}"/>
    <cellStyle name="Normal 200 2 2 8" xfId="22441" xr:uid="{00000000-0005-0000-0000-000059580000}"/>
    <cellStyle name="Normal 200 2 3" xfId="22442" xr:uid="{00000000-0005-0000-0000-00005A580000}"/>
    <cellStyle name="Normal 200 2 3 2" xfId="22443" xr:uid="{00000000-0005-0000-0000-00005B580000}"/>
    <cellStyle name="Normal 200 2 3 2 2" xfId="22444" xr:uid="{00000000-0005-0000-0000-00005C580000}"/>
    <cellStyle name="Normal 200 2 3 2 3" xfId="22445" xr:uid="{00000000-0005-0000-0000-00005D580000}"/>
    <cellStyle name="Normal 200 2 3 3" xfId="22446" xr:uid="{00000000-0005-0000-0000-00005E580000}"/>
    <cellStyle name="Normal 200 2 3 3 2" xfId="22447" xr:uid="{00000000-0005-0000-0000-00005F580000}"/>
    <cellStyle name="Normal 200 2 3 3 3" xfId="22448" xr:uid="{00000000-0005-0000-0000-000060580000}"/>
    <cellStyle name="Normal 200 2 3 4" xfId="22449" xr:uid="{00000000-0005-0000-0000-000061580000}"/>
    <cellStyle name="Normal 200 2 3 5" xfId="22450" xr:uid="{00000000-0005-0000-0000-000062580000}"/>
    <cellStyle name="Normal 200 2 3 6" xfId="22451" xr:uid="{00000000-0005-0000-0000-000063580000}"/>
    <cellStyle name="Normal 200 2 4" xfId="22452" xr:uid="{00000000-0005-0000-0000-000064580000}"/>
    <cellStyle name="Normal 200 2 4 2" xfId="22453" xr:uid="{00000000-0005-0000-0000-000065580000}"/>
    <cellStyle name="Normal 200 2 4 3" xfId="22454" xr:uid="{00000000-0005-0000-0000-000066580000}"/>
    <cellStyle name="Normal 200 2 5" xfId="22455" xr:uid="{00000000-0005-0000-0000-000067580000}"/>
    <cellStyle name="Normal 200 2 5 2" xfId="22456" xr:uid="{00000000-0005-0000-0000-000068580000}"/>
    <cellStyle name="Normal 200 2 5 3" xfId="22457" xr:uid="{00000000-0005-0000-0000-000069580000}"/>
    <cellStyle name="Normal 200 2 6" xfId="22458" xr:uid="{00000000-0005-0000-0000-00006A580000}"/>
    <cellStyle name="Normal 200 2 7" xfId="22459" xr:uid="{00000000-0005-0000-0000-00006B580000}"/>
    <cellStyle name="Normal 200 2 8" xfId="22460" xr:uid="{00000000-0005-0000-0000-00006C580000}"/>
    <cellStyle name="Normal 200 2 9" xfId="22461" xr:uid="{00000000-0005-0000-0000-00006D580000}"/>
    <cellStyle name="Normal 200 3" xfId="22462" xr:uid="{00000000-0005-0000-0000-00006E580000}"/>
    <cellStyle name="Normal 200 3 2" xfId="22463" xr:uid="{00000000-0005-0000-0000-00006F580000}"/>
    <cellStyle name="Normal 200 3 2 2" xfId="22464" xr:uid="{00000000-0005-0000-0000-000070580000}"/>
    <cellStyle name="Normal 200 3 2 2 2" xfId="22465" xr:uid="{00000000-0005-0000-0000-000071580000}"/>
    <cellStyle name="Normal 200 3 2 2 3" xfId="22466" xr:uid="{00000000-0005-0000-0000-000072580000}"/>
    <cellStyle name="Normal 200 3 2 3" xfId="22467" xr:uid="{00000000-0005-0000-0000-000073580000}"/>
    <cellStyle name="Normal 200 3 2 3 2" xfId="22468" xr:uid="{00000000-0005-0000-0000-000074580000}"/>
    <cellStyle name="Normal 200 3 2 3 3" xfId="22469" xr:uid="{00000000-0005-0000-0000-000075580000}"/>
    <cellStyle name="Normal 200 3 2 4" xfId="22470" xr:uid="{00000000-0005-0000-0000-000076580000}"/>
    <cellStyle name="Normal 200 3 2 5" xfId="22471" xr:uid="{00000000-0005-0000-0000-000077580000}"/>
    <cellStyle name="Normal 200 3 2 6" xfId="22472" xr:uid="{00000000-0005-0000-0000-000078580000}"/>
    <cellStyle name="Normal 200 3 3" xfId="22473" xr:uid="{00000000-0005-0000-0000-000079580000}"/>
    <cellStyle name="Normal 200 3 3 2" xfId="22474" xr:uid="{00000000-0005-0000-0000-00007A580000}"/>
    <cellStyle name="Normal 200 3 3 3" xfId="22475" xr:uid="{00000000-0005-0000-0000-00007B580000}"/>
    <cellStyle name="Normal 200 3 4" xfId="22476" xr:uid="{00000000-0005-0000-0000-00007C580000}"/>
    <cellStyle name="Normal 200 3 4 2" xfId="22477" xr:uid="{00000000-0005-0000-0000-00007D580000}"/>
    <cellStyle name="Normal 200 3 4 3" xfId="22478" xr:uid="{00000000-0005-0000-0000-00007E580000}"/>
    <cellStyle name="Normal 200 3 5" xfId="22479" xr:uid="{00000000-0005-0000-0000-00007F580000}"/>
    <cellStyle name="Normal 200 3 6" xfId="22480" xr:uid="{00000000-0005-0000-0000-000080580000}"/>
    <cellStyle name="Normal 200 3 7" xfId="22481" xr:uid="{00000000-0005-0000-0000-000081580000}"/>
    <cellStyle name="Normal 200 3 8" xfId="22482" xr:uid="{00000000-0005-0000-0000-000082580000}"/>
    <cellStyle name="Normal 200 4" xfId="22483" xr:uid="{00000000-0005-0000-0000-000083580000}"/>
    <cellStyle name="Normal 200 4 2" xfId="22484" xr:uid="{00000000-0005-0000-0000-000084580000}"/>
    <cellStyle name="Normal 200 4 2 2" xfId="22485" xr:uid="{00000000-0005-0000-0000-000085580000}"/>
    <cellStyle name="Normal 200 4 2 3" xfId="22486" xr:uid="{00000000-0005-0000-0000-000086580000}"/>
    <cellStyle name="Normal 200 4 3" xfId="22487" xr:uid="{00000000-0005-0000-0000-000087580000}"/>
    <cellStyle name="Normal 200 4 3 2" xfId="22488" xr:uid="{00000000-0005-0000-0000-000088580000}"/>
    <cellStyle name="Normal 200 4 3 3" xfId="22489" xr:uid="{00000000-0005-0000-0000-000089580000}"/>
    <cellStyle name="Normal 200 4 4" xfId="22490" xr:uid="{00000000-0005-0000-0000-00008A580000}"/>
    <cellStyle name="Normal 200 4 5" xfId="22491" xr:uid="{00000000-0005-0000-0000-00008B580000}"/>
    <cellStyle name="Normal 200 4 6" xfId="22492" xr:uid="{00000000-0005-0000-0000-00008C580000}"/>
    <cellStyle name="Normal 200 5" xfId="22493" xr:uid="{00000000-0005-0000-0000-00008D580000}"/>
    <cellStyle name="Normal 200 5 2" xfId="22494" xr:uid="{00000000-0005-0000-0000-00008E580000}"/>
    <cellStyle name="Normal 200 5 3" xfId="22495" xr:uid="{00000000-0005-0000-0000-00008F580000}"/>
    <cellStyle name="Normal 200 6" xfId="22496" xr:uid="{00000000-0005-0000-0000-000090580000}"/>
    <cellStyle name="Normal 200 6 2" xfId="22497" xr:uid="{00000000-0005-0000-0000-000091580000}"/>
    <cellStyle name="Normal 200 6 3" xfId="22498" xr:uid="{00000000-0005-0000-0000-000092580000}"/>
    <cellStyle name="Normal 200 7" xfId="22499" xr:uid="{00000000-0005-0000-0000-000093580000}"/>
    <cellStyle name="Normal 200 8" xfId="22500" xr:uid="{00000000-0005-0000-0000-000094580000}"/>
    <cellStyle name="Normal 200 9" xfId="22501" xr:uid="{00000000-0005-0000-0000-000095580000}"/>
    <cellStyle name="Normal 201" xfId="2624" xr:uid="{00000000-0005-0000-0000-000096580000}"/>
    <cellStyle name="Normal 201 10" xfId="22502" xr:uid="{00000000-0005-0000-0000-000097580000}"/>
    <cellStyle name="Normal 201 11" xfId="22503" xr:uid="{00000000-0005-0000-0000-000098580000}"/>
    <cellStyle name="Normal 201 12" xfId="22504" xr:uid="{00000000-0005-0000-0000-000099580000}"/>
    <cellStyle name="Normal 201 2" xfId="22505" xr:uid="{00000000-0005-0000-0000-00009A580000}"/>
    <cellStyle name="Normal 201 2 2" xfId="22506" xr:uid="{00000000-0005-0000-0000-00009B580000}"/>
    <cellStyle name="Normal 201 2 2 2" xfId="22507" xr:uid="{00000000-0005-0000-0000-00009C580000}"/>
    <cellStyle name="Normal 201 2 2 2 2" xfId="22508" xr:uid="{00000000-0005-0000-0000-00009D580000}"/>
    <cellStyle name="Normal 201 2 2 2 2 2" xfId="22509" xr:uid="{00000000-0005-0000-0000-00009E580000}"/>
    <cellStyle name="Normal 201 2 2 2 2 3" xfId="22510" xr:uid="{00000000-0005-0000-0000-00009F580000}"/>
    <cellStyle name="Normal 201 2 2 2 3" xfId="22511" xr:uid="{00000000-0005-0000-0000-0000A0580000}"/>
    <cellStyle name="Normal 201 2 2 2 3 2" xfId="22512" xr:uid="{00000000-0005-0000-0000-0000A1580000}"/>
    <cellStyle name="Normal 201 2 2 2 3 3" xfId="22513" xr:uid="{00000000-0005-0000-0000-0000A2580000}"/>
    <cellStyle name="Normal 201 2 2 2 4" xfId="22514" xr:uid="{00000000-0005-0000-0000-0000A3580000}"/>
    <cellStyle name="Normal 201 2 2 2 5" xfId="22515" xr:uid="{00000000-0005-0000-0000-0000A4580000}"/>
    <cellStyle name="Normal 201 2 2 2 6" xfId="22516" xr:uid="{00000000-0005-0000-0000-0000A5580000}"/>
    <cellStyle name="Normal 201 2 2 3" xfId="22517" xr:uid="{00000000-0005-0000-0000-0000A6580000}"/>
    <cellStyle name="Normal 201 2 2 3 2" xfId="22518" xr:uid="{00000000-0005-0000-0000-0000A7580000}"/>
    <cellStyle name="Normal 201 2 2 3 3" xfId="22519" xr:uid="{00000000-0005-0000-0000-0000A8580000}"/>
    <cellStyle name="Normal 201 2 2 4" xfId="22520" xr:uid="{00000000-0005-0000-0000-0000A9580000}"/>
    <cellStyle name="Normal 201 2 2 4 2" xfId="22521" xr:uid="{00000000-0005-0000-0000-0000AA580000}"/>
    <cellStyle name="Normal 201 2 2 4 3" xfId="22522" xr:uid="{00000000-0005-0000-0000-0000AB580000}"/>
    <cellStyle name="Normal 201 2 2 5" xfId="22523" xr:uid="{00000000-0005-0000-0000-0000AC580000}"/>
    <cellStyle name="Normal 201 2 2 6" xfId="22524" xr:uid="{00000000-0005-0000-0000-0000AD580000}"/>
    <cellStyle name="Normal 201 2 2 7" xfId="22525" xr:uid="{00000000-0005-0000-0000-0000AE580000}"/>
    <cellStyle name="Normal 201 2 2 8" xfId="22526" xr:uid="{00000000-0005-0000-0000-0000AF580000}"/>
    <cellStyle name="Normal 201 2 3" xfId="22527" xr:uid="{00000000-0005-0000-0000-0000B0580000}"/>
    <cellStyle name="Normal 201 2 3 2" xfId="22528" xr:uid="{00000000-0005-0000-0000-0000B1580000}"/>
    <cellStyle name="Normal 201 2 3 2 2" xfId="22529" xr:uid="{00000000-0005-0000-0000-0000B2580000}"/>
    <cellStyle name="Normal 201 2 3 2 3" xfId="22530" xr:uid="{00000000-0005-0000-0000-0000B3580000}"/>
    <cellStyle name="Normal 201 2 3 3" xfId="22531" xr:uid="{00000000-0005-0000-0000-0000B4580000}"/>
    <cellStyle name="Normal 201 2 3 3 2" xfId="22532" xr:uid="{00000000-0005-0000-0000-0000B5580000}"/>
    <cellStyle name="Normal 201 2 3 3 3" xfId="22533" xr:uid="{00000000-0005-0000-0000-0000B6580000}"/>
    <cellStyle name="Normal 201 2 3 4" xfId="22534" xr:uid="{00000000-0005-0000-0000-0000B7580000}"/>
    <cellStyle name="Normal 201 2 3 5" xfId="22535" xr:uid="{00000000-0005-0000-0000-0000B8580000}"/>
    <cellStyle name="Normal 201 2 3 6" xfId="22536" xr:uid="{00000000-0005-0000-0000-0000B9580000}"/>
    <cellStyle name="Normal 201 2 4" xfId="22537" xr:uid="{00000000-0005-0000-0000-0000BA580000}"/>
    <cellStyle name="Normal 201 2 4 2" xfId="22538" xr:uid="{00000000-0005-0000-0000-0000BB580000}"/>
    <cellStyle name="Normal 201 2 4 3" xfId="22539" xr:uid="{00000000-0005-0000-0000-0000BC580000}"/>
    <cellStyle name="Normal 201 2 5" xfId="22540" xr:uid="{00000000-0005-0000-0000-0000BD580000}"/>
    <cellStyle name="Normal 201 2 5 2" xfId="22541" xr:uid="{00000000-0005-0000-0000-0000BE580000}"/>
    <cellStyle name="Normal 201 2 5 3" xfId="22542" xr:uid="{00000000-0005-0000-0000-0000BF580000}"/>
    <cellStyle name="Normal 201 2 6" xfId="22543" xr:uid="{00000000-0005-0000-0000-0000C0580000}"/>
    <cellStyle name="Normal 201 2 7" xfId="22544" xr:uid="{00000000-0005-0000-0000-0000C1580000}"/>
    <cellStyle name="Normal 201 2 8" xfId="22545" xr:uid="{00000000-0005-0000-0000-0000C2580000}"/>
    <cellStyle name="Normal 201 2 9" xfId="22546" xr:uid="{00000000-0005-0000-0000-0000C3580000}"/>
    <cellStyle name="Normal 201 3" xfId="22547" xr:uid="{00000000-0005-0000-0000-0000C4580000}"/>
    <cellStyle name="Normal 201 3 2" xfId="22548" xr:uid="{00000000-0005-0000-0000-0000C5580000}"/>
    <cellStyle name="Normal 201 3 2 2" xfId="22549" xr:uid="{00000000-0005-0000-0000-0000C6580000}"/>
    <cellStyle name="Normal 201 3 2 2 2" xfId="22550" xr:uid="{00000000-0005-0000-0000-0000C7580000}"/>
    <cellStyle name="Normal 201 3 2 2 3" xfId="22551" xr:uid="{00000000-0005-0000-0000-0000C8580000}"/>
    <cellStyle name="Normal 201 3 2 3" xfId="22552" xr:uid="{00000000-0005-0000-0000-0000C9580000}"/>
    <cellStyle name="Normal 201 3 2 3 2" xfId="22553" xr:uid="{00000000-0005-0000-0000-0000CA580000}"/>
    <cellStyle name="Normal 201 3 2 3 3" xfId="22554" xr:uid="{00000000-0005-0000-0000-0000CB580000}"/>
    <cellStyle name="Normal 201 3 2 4" xfId="22555" xr:uid="{00000000-0005-0000-0000-0000CC580000}"/>
    <cellStyle name="Normal 201 3 2 5" xfId="22556" xr:uid="{00000000-0005-0000-0000-0000CD580000}"/>
    <cellStyle name="Normal 201 3 2 6" xfId="22557" xr:uid="{00000000-0005-0000-0000-0000CE580000}"/>
    <cellStyle name="Normal 201 3 3" xfId="22558" xr:uid="{00000000-0005-0000-0000-0000CF580000}"/>
    <cellStyle name="Normal 201 3 3 2" xfId="22559" xr:uid="{00000000-0005-0000-0000-0000D0580000}"/>
    <cellStyle name="Normal 201 3 3 3" xfId="22560" xr:uid="{00000000-0005-0000-0000-0000D1580000}"/>
    <cellStyle name="Normal 201 3 4" xfId="22561" xr:uid="{00000000-0005-0000-0000-0000D2580000}"/>
    <cellStyle name="Normal 201 3 4 2" xfId="22562" xr:uid="{00000000-0005-0000-0000-0000D3580000}"/>
    <cellStyle name="Normal 201 3 4 3" xfId="22563" xr:uid="{00000000-0005-0000-0000-0000D4580000}"/>
    <cellStyle name="Normal 201 3 5" xfId="22564" xr:uid="{00000000-0005-0000-0000-0000D5580000}"/>
    <cellStyle name="Normal 201 3 6" xfId="22565" xr:uid="{00000000-0005-0000-0000-0000D6580000}"/>
    <cellStyle name="Normal 201 3 7" xfId="22566" xr:uid="{00000000-0005-0000-0000-0000D7580000}"/>
    <cellStyle name="Normal 201 3 8" xfId="22567" xr:uid="{00000000-0005-0000-0000-0000D8580000}"/>
    <cellStyle name="Normal 201 4" xfId="22568" xr:uid="{00000000-0005-0000-0000-0000D9580000}"/>
    <cellStyle name="Normal 201 4 2" xfId="22569" xr:uid="{00000000-0005-0000-0000-0000DA580000}"/>
    <cellStyle name="Normal 201 4 2 2" xfId="22570" xr:uid="{00000000-0005-0000-0000-0000DB580000}"/>
    <cellStyle name="Normal 201 4 2 3" xfId="22571" xr:uid="{00000000-0005-0000-0000-0000DC580000}"/>
    <cellStyle name="Normal 201 4 3" xfId="22572" xr:uid="{00000000-0005-0000-0000-0000DD580000}"/>
    <cellStyle name="Normal 201 4 3 2" xfId="22573" xr:uid="{00000000-0005-0000-0000-0000DE580000}"/>
    <cellStyle name="Normal 201 4 3 3" xfId="22574" xr:uid="{00000000-0005-0000-0000-0000DF580000}"/>
    <cellStyle name="Normal 201 4 4" xfId="22575" xr:uid="{00000000-0005-0000-0000-0000E0580000}"/>
    <cellStyle name="Normal 201 4 5" xfId="22576" xr:uid="{00000000-0005-0000-0000-0000E1580000}"/>
    <cellStyle name="Normal 201 4 6" xfId="22577" xr:uid="{00000000-0005-0000-0000-0000E2580000}"/>
    <cellStyle name="Normal 201 5" xfId="22578" xr:uid="{00000000-0005-0000-0000-0000E3580000}"/>
    <cellStyle name="Normal 201 5 2" xfId="22579" xr:uid="{00000000-0005-0000-0000-0000E4580000}"/>
    <cellStyle name="Normal 201 5 3" xfId="22580" xr:uid="{00000000-0005-0000-0000-0000E5580000}"/>
    <cellStyle name="Normal 201 6" xfId="22581" xr:uid="{00000000-0005-0000-0000-0000E6580000}"/>
    <cellStyle name="Normal 201 6 2" xfId="22582" xr:uid="{00000000-0005-0000-0000-0000E7580000}"/>
    <cellStyle name="Normal 201 6 3" xfId="22583" xr:uid="{00000000-0005-0000-0000-0000E8580000}"/>
    <cellStyle name="Normal 201 7" xfId="22584" xr:uid="{00000000-0005-0000-0000-0000E9580000}"/>
    <cellStyle name="Normal 201 8" xfId="22585" xr:uid="{00000000-0005-0000-0000-0000EA580000}"/>
    <cellStyle name="Normal 201 9" xfId="22586" xr:uid="{00000000-0005-0000-0000-0000EB580000}"/>
    <cellStyle name="Normal 202" xfId="2625" xr:uid="{00000000-0005-0000-0000-0000EC580000}"/>
    <cellStyle name="Normal 202 10" xfId="22587" xr:uid="{00000000-0005-0000-0000-0000ED580000}"/>
    <cellStyle name="Normal 202 11" xfId="22588" xr:uid="{00000000-0005-0000-0000-0000EE580000}"/>
    <cellStyle name="Normal 202 12" xfId="22589" xr:uid="{00000000-0005-0000-0000-0000EF580000}"/>
    <cellStyle name="Normal 202 2" xfId="22590" xr:uid="{00000000-0005-0000-0000-0000F0580000}"/>
    <cellStyle name="Normal 202 2 2" xfId="22591" xr:uid="{00000000-0005-0000-0000-0000F1580000}"/>
    <cellStyle name="Normal 202 2 2 2" xfId="22592" xr:uid="{00000000-0005-0000-0000-0000F2580000}"/>
    <cellStyle name="Normal 202 2 2 2 2" xfId="22593" xr:uid="{00000000-0005-0000-0000-0000F3580000}"/>
    <cellStyle name="Normal 202 2 2 2 2 2" xfId="22594" xr:uid="{00000000-0005-0000-0000-0000F4580000}"/>
    <cellStyle name="Normal 202 2 2 2 2 3" xfId="22595" xr:uid="{00000000-0005-0000-0000-0000F5580000}"/>
    <cellStyle name="Normal 202 2 2 2 3" xfId="22596" xr:uid="{00000000-0005-0000-0000-0000F6580000}"/>
    <cellStyle name="Normal 202 2 2 2 3 2" xfId="22597" xr:uid="{00000000-0005-0000-0000-0000F7580000}"/>
    <cellStyle name="Normal 202 2 2 2 3 3" xfId="22598" xr:uid="{00000000-0005-0000-0000-0000F8580000}"/>
    <cellStyle name="Normal 202 2 2 2 4" xfId="22599" xr:uid="{00000000-0005-0000-0000-0000F9580000}"/>
    <cellStyle name="Normal 202 2 2 2 5" xfId="22600" xr:uid="{00000000-0005-0000-0000-0000FA580000}"/>
    <cellStyle name="Normal 202 2 2 2 6" xfId="22601" xr:uid="{00000000-0005-0000-0000-0000FB580000}"/>
    <cellStyle name="Normal 202 2 2 3" xfId="22602" xr:uid="{00000000-0005-0000-0000-0000FC580000}"/>
    <cellStyle name="Normal 202 2 2 3 2" xfId="22603" xr:uid="{00000000-0005-0000-0000-0000FD580000}"/>
    <cellStyle name="Normal 202 2 2 3 3" xfId="22604" xr:uid="{00000000-0005-0000-0000-0000FE580000}"/>
    <cellStyle name="Normal 202 2 2 4" xfId="22605" xr:uid="{00000000-0005-0000-0000-0000FF580000}"/>
    <cellStyle name="Normal 202 2 2 4 2" xfId="22606" xr:uid="{00000000-0005-0000-0000-000000590000}"/>
    <cellStyle name="Normal 202 2 2 4 3" xfId="22607" xr:uid="{00000000-0005-0000-0000-000001590000}"/>
    <cellStyle name="Normal 202 2 2 5" xfId="22608" xr:uid="{00000000-0005-0000-0000-000002590000}"/>
    <cellStyle name="Normal 202 2 2 6" xfId="22609" xr:uid="{00000000-0005-0000-0000-000003590000}"/>
    <cellStyle name="Normal 202 2 2 7" xfId="22610" xr:uid="{00000000-0005-0000-0000-000004590000}"/>
    <cellStyle name="Normal 202 2 2 8" xfId="22611" xr:uid="{00000000-0005-0000-0000-000005590000}"/>
    <cellStyle name="Normal 202 2 3" xfId="22612" xr:uid="{00000000-0005-0000-0000-000006590000}"/>
    <cellStyle name="Normal 202 2 3 2" xfId="22613" xr:uid="{00000000-0005-0000-0000-000007590000}"/>
    <cellStyle name="Normal 202 2 3 2 2" xfId="22614" xr:uid="{00000000-0005-0000-0000-000008590000}"/>
    <cellStyle name="Normal 202 2 3 2 3" xfId="22615" xr:uid="{00000000-0005-0000-0000-000009590000}"/>
    <cellStyle name="Normal 202 2 3 3" xfId="22616" xr:uid="{00000000-0005-0000-0000-00000A590000}"/>
    <cellStyle name="Normal 202 2 3 3 2" xfId="22617" xr:uid="{00000000-0005-0000-0000-00000B590000}"/>
    <cellStyle name="Normal 202 2 3 3 3" xfId="22618" xr:uid="{00000000-0005-0000-0000-00000C590000}"/>
    <cellStyle name="Normal 202 2 3 4" xfId="22619" xr:uid="{00000000-0005-0000-0000-00000D590000}"/>
    <cellStyle name="Normal 202 2 3 5" xfId="22620" xr:uid="{00000000-0005-0000-0000-00000E590000}"/>
    <cellStyle name="Normal 202 2 3 6" xfId="22621" xr:uid="{00000000-0005-0000-0000-00000F590000}"/>
    <cellStyle name="Normal 202 2 4" xfId="22622" xr:uid="{00000000-0005-0000-0000-000010590000}"/>
    <cellStyle name="Normal 202 2 4 2" xfId="22623" xr:uid="{00000000-0005-0000-0000-000011590000}"/>
    <cellStyle name="Normal 202 2 4 3" xfId="22624" xr:uid="{00000000-0005-0000-0000-000012590000}"/>
    <cellStyle name="Normal 202 2 5" xfId="22625" xr:uid="{00000000-0005-0000-0000-000013590000}"/>
    <cellStyle name="Normal 202 2 5 2" xfId="22626" xr:uid="{00000000-0005-0000-0000-000014590000}"/>
    <cellStyle name="Normal 202 2 5 3" xfId="22627" xr:uid="{00000000-0005-0000-0000-000015590000}"/>
    <cellStyle name="Normal 202 2 6" xfId="22628" xr:uid="{00000000-0005-0000-0000-000016590000}"/>
    <cellStyle name="Normal 202 2 7" xfId="22629" xr:uid="{00000000-0005-0000-0000-000017590000}"/>
    <cellStyle name="Normal 202 2 8" xfId="22630" xr:uid="{00000000-0005-0000-0000-000018590000}"/>
    <cellStyle name="Normal 202 2 9" xfId="22631" xr:uid="{00000000-0005-0000-0000-000019590000}"/>
    <cellStyle name="Normal 202 3" xfId="22632" xr:uid="{00000000-0005-0000-0000-00001A590000}"/>
    <cellStyle name="Normal 202 3 2" xfId="22633" xr:uid="{00000000-0005-0000-0000-00001B590000}"/>
    <cellStyle name="Normal 202 3 2 2" xfId="22634" xr:uid="{00000000-0005-0000-0000-00001C590000}"/>
    <cellStyle name="Normal 202 3 2 2 2" xfId="22635" xr:uid="{00000000-0005-0000-0000-00001D590000}"/>
    <cellStyle name="Normal 202 3 2 2 3" xfId="22636" xr:uid="{00000000-0005-0000-0000-00001E590000}"/>
    <cellStyle name="Normal 202 3 2 3" xfId="22637" xr:uid="{00000000-0005-0000-0000-00001F590000}"/>
    <cellStyle name="Normal 202 3 2 3 2" xfId="22638" xr:uid="{00000000-0005-0000-0000-000020590000}"/>
    <cellStyle name="Normal 202 3 2 3 3" xfId="22639" xr:uid="{00000000-0005-0000-0000-000021590000}"/>
    <cellStyle name="Normal 202 3 2 4" xfId="22640" xr:uid="{00000000-0005-0000-0000-000022590000}"/>
    <cellStyle name="Normal 202 3 2 5" xfId="22641" xr:uid="{00000000-0005-0000-0000-000023590000}"/>
    <cellStyle name="Normal 202 3 2 6" xfId="22642" xr:uid="{00000000-0005-0000-0000-000024590000}"/>
    <cellStyle name="Normal 202 3 3" xfId="22643" xr:uid="{00000000-0005-0000-0000-000025590000}"/>
    <cellStyle name="Normal 202 3 3 2" xfId="22644" xr:uid="{00000000-0005-0000-0000-000026590000}"/>
    <cellStyle name="Normal 202 3 3 3" xfId="22645" xr:uid="{00000000-0005-0000-0000-000027590000}"/>
    <cellStyle name="Normal 202 3 4" xfId="22646" xr:uid="{00000000-0005-0000-0000-000028590000}"/>
    <cellStyle name="Normal 202 3 4 2" xfId="22647" xr:uid="{00000000-0005-0000-0000-000029590000}"/>
    <cellStyle name="Normal 202 3 4 3" xfId="22648" xr:uid="{00000000-0005-0000-0000-00002A590000}"/>
    <cellStyle name="Normal 202 3 5" xfId="22649" xr:uid="{00000000-0005-0000-0000-00002B590000}"/>
    <cellStyle name="Normal 202 3 6" xfId="22650" xr:uid="{00000000-0005-0000-0000-00002C590000}"/>
    <cellStyle name="Normal 202 3 7" xfId="22651" xr:uid="{00000000-0005-0000-0000-00002D590000}"/>
    <cellStyle name="Normal 202 3 8" xfId="22652" xr:uid="{00000000-0005-0000-0000-00002E590000}"/>
    <cellStyle name="Normal 202 4" xfId="22653" xr:uid="{00000000-0005-0000-0000-00002F590000}"/>
    <cellStyle name="Normal 202 4 2" xfId="22654" xr:uid="{00000000-0005-0000-0000-000030590000}"/>
    <cellStyle name="Normal 202 4 2 2" xfId="22655" xr:uid="{00000000-0005-0000-0000-000031590000}"/>
    <cellStyle name="Normal 202 4 2 3" xfId="22656" xr:uid="{00000000-0005-0000-0000-000032590000}"/>
    <cellStyle name="Normal 202 4 3" xfId="22657" xr:uid="{00000000-0005-0000-0000-000033590000}"/>
    <cellStyle name="Normal 202 4 3 2" xfId="22658" xr:uid="{00000000-0005-0000-0000-000034590000}"/>
    <cellStyle name="Normal 202 4 3 3" xfId="22659" xr:uid="{00000000-0005-0000-0000-000035590000}"/>
    <cellStyle name="Normal 202 4 4" xfId="22660" xr:uid="{00000000-0005-0000-0000-000036590000}"/>
    <cellStyle name="Normal 202 4 5" xfId="22661" xr:uid="{00000000-0005-0000-0000-000037590000}"/>
    <cellStyle name="Normal 202 4 6" xfId="22662" xr:uid="{00000000-0005-0000-0000-000038590000}"/>
    <cellStyle name="Normal 202 5" xfId="22663" xr:uid="{00000000-0005-0000-0000-000039590000}"/>
    <cellStyle name="Normal 202 5 2" xfId="22664" xr:uid="{00000000-0005-0000-0000-00003A590000}"/>
    <cellStyle name="Normal 202 5 3" xfId="22665" xr:uid="{00000000-0005-0000-0000-00003B590000}"/>
    <cellStyle name="Normal 202 6" xfId="22666" xr:uid="{00000000-0005-0000-0000-00003C590000}"/>
    <cellStyle name="Normal 202 6 2" xfId="22667" xr:uid="{00000000-0005-0000-0000-00003D590000}"/>
    <cellStyle name="Normal 202 6 3" xfId="22668" xr:uid="{00000000-0005-0000-0000-00003E590000}"/>
    <cellStyle name="Normal 202 7" xfId="22669" xr:uid="{00000000-0005-0000-0000-00003F590000}"/>
    <cellStyle name="Normal 202 8" xfId="22670" xr:uid="{00000000-0005-0000-0000-000040590000}"/>
    <cellStyle name="Normal 202 9" xfId="22671" xr:uid="{00000000-0005-0000-0000-000041590000}"/>
    <cellStyle name="Normal 203" xfId="2626" xr:uid="{00000000-0005-0000-0000-000042590000}"/>
    <cellStyle name="Normal 203 10" xfId="22672" xr:uid="{00000000-0005-0000-0000-000043590000}"/>
    <cellStyle name="Normal 203 11" xfId="22673" xr:uid="{00000000-0005-0000-0000-000044590000}"/>
    <cellStyle name="Normal 203 12" xfId="22674" xr:uid="{00000000-0005-0000-0000-000045590000}"/>
    <cellStyle name="Normal 203 2" xfId="22675" xr:uid="{00000000-0005-0000-0000-000046590000}"/>
    <cellStyle name="Normal 203 2 2" xfId="22676" xr:uid="{00000000-0005-0000-0000-000047590000}"/>
    <cellStyle name="Normal 203 2 2 2" xfId="22677" xr:uid="{00000000-0005-0000-0000-000048590000}"/>
    <cellStyle name="Normal 203 2 2 2 2" xfId="22678" xr:uid="{00000000-0005-0000-0000-000049590000}"/>
    <cellStyle name="Normal 203 2 2 2 2 2" xfId="22679" xr:uid="{00000000-0005-0000-0000-00004A590000}"/>
    <cellStyle name="Normal 203 2 2 2 2 3" xfId="22680" xr:uid="{00000000-0005-0000-0000-00004B590000}"/>
    <cellStyle name="Normal 203 2 2 2 3" xfId="22681" xr:uid="{00000000-0005-0000-0000-00004C590000}"/>
    <cellStyle name="Normal 203 2 2 2 3 2" xfId="22682" xr:uid="{00000000-0005-0000-0000-00004D590000}"/>
    <cellStyle name="Normal 203 2 2 2 3 3" xfId="22683" xr:uid="{00000000-0005-0000-0000-00004E590000}"/>
    <cellStyle name="Normal 203 2 2 2 4" xfId="22684" xr:uid="{00000000-0005-0000-0000-00004F590000}"/>
    <cellStyle name="Normal 203 2 2 2 5" xfId="22685" xr:uid="{00000000-0005-0000-0000-000050590000}"/>
    <cellStyle name="Normal 203 2 2 2 6" xfId="22686" xr:uid="{00000000-0005-0000-0000-000051590000}"/>
    <cellStyle name="Normal 203 2 2 3" xfId="22687" xr:uid="{00000000-0005-0000-0000-000052590000}"/>
    <cellStyle name="Normal 203 2 2 3 2" xfId="22688" xr:uid="{00000000-0005-0000-0000-000053590000}"/>
    <cellStyle name="Normal 203 2 2 3 3" xfId="22689" xr:uid="{00000000-0005-0000-0000-000054590000}"/>
    <cellStyle name="Normal 203 2 2 4" xfId="22690" xr:uid="{00000000-0005-0000-0000-000055590000}"/>
    <cellStyle name="Normal 203 2 2 4 2" xfId="22691" xr:uid="{00000000-0005-0000-0000-000056590000}"/>
    <cellStyle name="Normal 203 2 2 4 3" xfId="22692" xr:uid="{00000000-0005-0000-0000-000057590000}"/>
    <cellStyle name="Normal 203 2 2 5" xfId="22693" xr:uid="{00000000-0005-0000-0000-000058590000}"/>
    <cellStyle name="Normal 203 2 2 6" xfId="22694" xr:uid="{00000000-0005-0000-0000-000059590000}"/>
    <cellStyle name="Normal 203 2 2 7" xfId="22695" xr:uid="{00000000-0005-0000-0000-00005A590000}"/>
    <cellStyle name="Normal 203 2 2 8" xfId="22696" xr:uid="{00000000-0005-0000-0000-00005B590000}"/>
    <cellStyle name="Normal 203 2 3" xfId="22697" xr:uid="{00000000-0005-0000-0000-00005C590000}"/>
    <cellStyle name="Normal 203 2 3 2" xfId="22698" xr:uid="{00000000-0005-0000-0000-00005D590000}"/>
    <cellStyle name="Normal 203 2 3 2 2" xfId="22699" xr:uid="{00000000-0005-0000-0000-00005E590000}"/>
    <cellStyle name="Normal 203 2 3 2 3" xfId="22700" xr:uid="{00000000-0005-0000-0000-00005F590000}"/>
    <cellStyle name="Normal 203 2 3 3" xfId="22701" xr:uid="{00000000-0005-0000-0000-000060590000}"/>
    <cellStyle name="Normal 203 2 3 3 2" xfId="22702" xr:uid="{00000000-0005-0000-0000-000061590000}"/>
    <cellStyle name="Normal 203 2 3 3 3" xfId="22703" xr:uid="{00000000-0005-0000-0000-000062590000}"/>
    <cellStyle name="Normal 203 2 3 4" xfId="22704" xr:uid="{00000000-0005-0000-0000-000063590000}"/>
    <cellStyle name="Normal 203 2 3 5" xfId="22705" xr:uid="{00000000-0005-0000-0000-000064590000}"/>
    <cellStyle name="Normal 203 2 3 6" xfId="22706" xr:uid="{00000000-0005-0000-0000-000065590000}"/>
    <cellStyle name="Normal 203 2 4" xfId="22707" xr:uid="{00000000-0005-0000-0000-000066590000}"/>
    <cellStyle name="Normal 203 2 4 2" xfId="22708" xr:uid="{00000000-0005-0000-0000-000067590000}"/>
    <cellStyle name="Normal 203 2 4 3" xfId="22709" xr:uid="{00000000-0005-0000-0000-000068590000}"/>
    <cellStyle name="Normal 203 2 5" xfId="22710" xr:uid="{00000000-0005-0000-0000-000069590000}"/>
    <cellStyle name="Normal 203 2 5 2" xfId="22711" xr:uid="{00000000-0005-0000-0000-00006A590000}"/>
    <cellStyle name="Normal 203 2 5 3" xfId="22712" xr:uid="{00000000-0005-0000-0000-00006B590000}"/>
    <cellStyle name="Normal 203 2 6" xfId="22713" xr:uid="{00000000-0005-0000-0000-00006C590000}"/>
    <cellStyle name="Normal 203 2 7" xfId="22714" xr:uid="{00000000-0005-0000-0000-00006D590000}"/>
    <cellStyle name="Normal 203 2 8" xfId="22715" xr:uid="{00000000-0005-0000-0000-00006E590000}"/>
    <cellStyle name="Normal 203 2 9" xfId="22716" xr:uid="{00000000-0005-0000-0000-00006F590000}"/>
    <cellStyle name="Normal 203 3" xfId="22717" xr:uid="{00000000-0005-0000-0000-000070590000}"/>
    <cellStyle name="Normal 203 3 2" xfId="22718" xr:uid="{00000000-0005-0000-0000-000071590000}"/>
    <cellStyle name="Normal 203 3 2 2" xfId="22719" xr:uid="{00000000-0005-0000-0000-000072590000}"/>
    <cellStyle name="Normal 203 3 2 2 2" xfId="22720" xr:uid="{00000000-0005-0000-0000-000073590000}"/>
    <cellStyle name="Normal 203 3 2 2 3" xfId="22721" xr:uid="{00000000-0005-0000-0000-000074590000}"/>
    <cellStyle name="Normal 203 3 2 3" xfId="22722" xr:uid="{00000000-0005-0000-0000-000075590000}"/>
    <cellStyle name="Normal 203 3 2 3 2" xfId="22723" xr:uid="{00000000-0005-0000-0000-000076590000}"/>
    <cellStyle name="Normal 203 3 2 3 3" xfId="22724" xr:uid="{00000000-0005-0000-0000-000077590000}"/>
    <cellStyle name="Normal 203 3 2 4" xfId="22725" xr:uid="{00000000-0005-0000-0000-000078590000}"/>
    <cellStyle name="Normal 203 3 2 5" xfId="22726" xr:uid="{00000000-0005-0000-0000-000079590000}"/>
    <cellStyle name="Normal 203 3 2 6" xfId="22727" xr:uid="{00000000-0005-0000-0000-00007A590000}"/>
    <cellStyle name="Normal 203 3 3" xfId="22728" xr:uid="{00000000-0005-0000-0000-00007B590000}"/>
    <cellStyle name="Normal 203 3 3 2" xfId="22729" xr:uid="{00000000-0005-0000-0000-00007C590000}"/>
    <cellStyle name="Normal 203 3 3 3" xfId="22730" xr:uid="{00000000-0005-0000-0000-00007D590000}"/>
    <cellStyle name="Normal 203 3 4" xfId="22731" xr:uid="{00000000-0005-0000-0000-00007E590000}"/>
    <cellStyle name="Normal 203 3 4 2" xfId="22732" xr:uid="{00000000-0005-0000-0000-00007F590000}"/>
    <cellStyle name="Normal 203 3 4 3" xfId="22733" xr:uid="{00000000-0005-0000-0000-000080590000}"/>
    <cellStyle name="Normal 203 3 5" xfId="22734" xr:uid="{00000000-0005-0000-0000-000081590000}"/>
    <cellStyle name="Normal 203 3 6" xfId="22735" xr:uid="{00000000-0005-0000-0000-000082590000}"/>
    <cellStyle name="Normal 203 3 7" xfId="22736" xr:uid="{00000000-0005-0000-0000-000083590000}"/>
    <cellStyle name="Normal 203 3 8" xfId="22737" xr:uid="{00000000-0005-0000-0000-000084590000}"/>
    <cellStyle name="Normal 203 4" xfId="22738" xr:uid="{00000000-0005-0000-0000-000085590000}"/>
    <cellStyle name="Normal 203 4 2" xfId="22739" xr:uid="{00000000-0005-0000-0000-000086590000}"/>
    <cellStyle name="Normal 203 4 2 2" xfId="22740" xr:uid="{00000000-0005-0000-0000-000087590000}"/>
    <cellStyle name="Normal 203 4 2 3" xfId="22741" xr:uid="{00000000-0005-0000-0000-000088590000}"/>
    <cellStyle name="Normal 203 4 3" xfId="22742" xr:uid="{00000000-0005-0000-0000-000089590000}"/>
    <cellStyle name="Normal 203 4 3 2" xfId="22743" xr:uid="{00000000-0005-0000-0000-00008A590000}"/>
    <cellStyle name="Normal 203 4 3 3" xfId="22744" xr:uid="{00000000-0005-0000-0000-00008B590000}"/>
    <cellStyle name="Normal 203 4 4" xfId="22745" xr:uid="{00000000-0005-0000-0000-00008C590000}"/>
    <cellStyle name="Normal 203 4 5" xfId="22746" xr:uid="{00000000-0005-0000-0000-00008D590000}"/>
    <cellStyle name="Normal 203 4 6" xfId="22747" xr:uid="{00000000-0005-0000-0000-00008E590000}"/>
    <cellStyle name="Normal 203 5" xfId="22748" xr:uid="{00000000-0005-0000-0000-00008F590000}"/>
    <cellStyle name="Normal 203 5 2" xfId="22749" xr:uid="{00000000-0005-0000-0000-000090590000}"/>
    <cellStyle name="Normal 203 5 3" xfId="22750" xr:uid="{00000000-0005-0000-0000-000091590000}"/>
    <cellStyle name="Normal 203 6" xfId="22751" xr:uid="{00000000-0005-0000-0000-000092590000}"/>
    <cellStyle name="Normal 203 6 2" xfId="22752" xr:uid="{00000000-0005-0000-0000-000093590000}"/>
    <cellStyle name="Normal 203 6 3" xfId="22753" xr:uid="{00000000-0005-0000-0000-000094590000}"/>
    <cellStyle name="Normal 203 7" xfId="22754" xr:uid="{00000000-0005-0000-0000-000095590000}"/>
    <cellStyle name="Normal 203 8" xfId="22755" xr:uid="{00000000-0005-0000-0000-000096590000}"/>
    <cellStyle name="Normal 203 9" xfId="22756" xr:uid="{00000000-0005-0000-0000-000097590000}"/>
    <cellStyle name="Normal 204" xfId="2627" xr:uid="{00000000-0005-0000-0000-000098590000}"/>
    <cellStyle name="Normal 204 10" xfId="22757" xr:uid="{00000000-0005-0000-0000-000099590000}"/>
    <cellStyle name="Normal 204 11" xfId="22758" xr:uid="{00000000-0005-0000-0000-00009A590000}"/>
    <cellStyle name="Normal 204 12" xfId="22759" xr:uid="{00000000-0005-0000-0000-00009B590000}"/>
    <cellStyle name="Normal 204 2" xfId="22760" xr:uid="{00000000-0005-0000-0000-00009C590000}"/>
    <cellStyle name="Normal 204 2 2" xfId="22761" xr:uid="{00000000-0005-0000-0000-00009D590000}"/>
    <cellStyle name="Normal 204 2 2 2" xfId="22762" xr:uid="{00000000-0005-0000-0000-00009E590000}"/>
    <cellStyle name="Normal 204 2 2 2 2" xfId="22763" xr:uid="{00000000-0005-0000-0000-00009F590000}"/>
    <cellStyle name="Normal 204 2 2 2 2 2" xfId="22764" xr:uid="{00000000-0005-0000-0000-0000A0590000}"/>
    <cellStyle name="Normal 204 2 2 2 2 3" xfId="22765" xr:uid="{00000000-0005-0000-0000-0000A1590000}"/>
    <cellStyle name="Normal 204 2 2 2 3" xfId="22766" xr:uid="{00000000-0005-0000-0000-0000A2590000}"/>
    <cellStyle name="Normal 204 2 2 2 3 2" xfId="22767" xr:uid="{00000000-0005-0000-0000-0000A3590000}"/>
    <cellStyle name="Normal 204 2 2 2 3 3" xfId="22768" xr:uid="{00000000-0005-0000-0000-0000A4590000}"/>
    <cellStyle name="Normal 204 2 2 2 4" xfId="22769" xr:uid="{00000000-0005-0000-0000-0000A5590000}"/>
    <cellStyle name="Normal 204 2 2 2 5" xfId="22770" xr:uid="{00000000-0005-0000-0000-0000A6590000}"/>
    <cellStyle name="Normal 204 2 2 2 6" xfId="22771" xr:uid="{00000000-0005-0000-0000-0000A7590000}"/>
    <cellStyle name="Normal 204 2 2 3" xfId="22772" xr:uid="{00000000-0005-0000-0000-0000A8590000}"/>
    <cellStyle name="Normal 204 2 2 3 2" xfId="22773" xr:uid="{00000000-0005-0000-0000-0000A9590000}"/>
    <cellStyle name="Normal 204 2 2 3 3" xfId="22774" xr:uid="{00000000-0005-0000-0000-0000AA590000}"/>
    <cellStyle name="Normal 204 2 2 4" xfId="22775" xr:uid="{00000000-0005-0000-0000-0000AB590000}"/>
    <cellStyle name="Normal 204 2 2 4 2" xfId="22776" xr:uid="{00000000-0005-0000-0000-0000AC590000}"/>
    <cellStyle name="Normal 204 2 2 4 3" xfId="22777" xr:uid="{00000000-0005-0000-0000-0000AD590000}"/>
    <cellStyle name="Normal 204 2 2 5" xfId="22778" xr:uid="{00000000-0005-0000-0000-0000AE590000}"/>
    <cellStyle name="Normal 204 2 2 6" xfId="22779" xr:uid="{00000000-0005-0000-0000-0000AF590000}"/>
    <cellStyle name="Normal 204 2 2 7" xfId="22780" xr:uid="{00000000-0005-0000-0000-0000B0590000}"/>
    <cellStyle name="Normal 204 2 2 8" xfId="22781" xr:uid="{00000000-0005-0000-0000-0000B1590000}"/>
    <cellStyle name="Normal 204 2 3" xfId="22782" xr:uid="{00000000-0005-0000-0000-0000B2590000}"/>
    <cellStyle name="Normal 204 2 3 2" xfId="22783" xr:uid="{00000000-0005-0000-0000-0000B3590000}"/>
    <cellStyle name="Normal 204 2 3 2 2" xfId="22784" xr:uid="{00000000-0005-0000-0000-0000B4590000}"/>
    <cellStyle name="Normal 204 2 3 2 3" xfId="22785" xr:uid="{00000000-0005-0000-0000-0000B5590000}"/>
    <cellStyle name="Normal 204 2 3 3" xfId="22786" xr:uid="{00000000-0005-0000-0000-0000B6590000}"/>
    <cellStyle name="Normal 204 2 3 3 2" xfId="22787" xr:uid="{00000000-0005-0000-0000-0000B7590000}"/>
    <cellStyle name="Normal 204 2 3 3 3" xfId="22788" xr:uid="{00000000-0005-0000-0000-0000B8590000}"/>
    <cellStyle name="Normal 204 2 3 4" xfId="22789" xr:uid="{00000000-0005-0000-0000-0000B9590000}"/>
    <cellStyle name="Normal 204 2 3 5" xfId="22790" xr:uid="{00000000-0005-0000-0000-0000BA590000}"/>
    <cellStyle name="Normal 204 2 3 6" xfId="22791" xr:uid="{00000000-0005-0000-0000-0000BB590000}"/>
    <cellStyle name="Normal 204 2 4" xfId="22792" xr:uid="{00000000-0005-0000-0000-0000BC590000}"/>
    <cellStyle name="Normal 204 2 4 2" xfId="22793" xr:uid="{00000000-0005-0000-0000-0000BD590000}"/>
    <cellStyle name="Normal 204 2 4 3" xfId="22794" xr:uid="{00000000-0005-0000-0000-0000BE590000}"/>
    <cellStyle name="Normal 204 2 5" xfId="22795" xr:uid="{00000000-0005-0000-0000-0000BF590000}"/>
    <cellStyle name="Normal 204 2 5 2" xfId="22796" xr:uid="{00000000-0005-0000-0000-0000C0590000}"/>
    <cellStyle name="Normal 204 2 5 3" xfId="22797" xr:uid="{00000000-0005-0000-0000-0000C1590000}"/>
    <cellStyle name="Normal 204 2 6" xfId="22798" xr:uid="{00000000-0005-0000-0000-0000C2590000}"/>
    <cellStyle name="Normal 204 2 7" xfId="22799" xr:uid="{00000000-0005-0000-0000-0000C3590000}"/>
    <cellStyle name="Normal 204 2 8" xfId="22800" xr:uid="{00000000-0005-0000-0000-0000C4590000}"/>
    <cellStyle name="Normal 204 2 9" xfId="22801" xr:uid="{00000000-0005-0000-0000-0000C5590000}"/>
    <cellStyle name="Normal 204 3" xfId="22802" xr:uid="{00000000-0005-0000-0000-0000C6590000}"/>
    <cellStyle name="Normal 204 3 2" xfId="22803" xr:uid="{00000000-0005-0000-0000-0000C7590000}"/>
    <cellStyle name="Normal 204 3 2 2" xfId="22804" xr:uid="{00000000-0005-0000-0000-0000C8590000}"/>
    <cellStyle name="Normal 204 3 2 2 2" xfId="22805" xr:uid="{00000000-0005-0000-0000-0000C9590000}"/>
    <cellStyle name="Normal 204 3 2 2 3" xfId="22806" xr:uid="{00000000-0005-0000-0000-0000CA590000}"/>
    <cellStyle name="Normal 204 3 2 3" xfId="22807" xr:uid="{00000000-0005-0000-0000-0000CB590000}"/>
    <cellStyle name="Normal 204 3 2 3 2" xfId="22808" xr:uid="{00000000-0005-0000-0000-0000CC590000}"/>
    <cellStyle name="Normal 204 3 2 3 3" xfId="22809" xr:uid="{00000000-0005-0000-0000-0000CD590000}"/>
    <cellStyle name="Normal 204 3 2 4" xfId="22810" xr:uid="{00000000-0005-0000-0000-0000CE590000}"/>
    <cellStyle name="Normal 204 3 2 5" xfId="22811" xr:uid="{00000000-0005-0000-0000-0000CF590000}"/>
    <cellStyle name="Normal 204 3 2 6" xfId="22812" xr:uid="{00000000-0005-0000-0000-0000D0590000}"/>
    <cellStyle name="Normal 204 3 3" xfId="22813" xr:uid="{00000000-0005-0000-0000-0000D1590000}"/>
    <cellStyle name="Normal 204 3 3 2" xfId="22814" xr:uid="{00000000-0005-0000-0000-0000D2590000}"/>
    <cellStyle name="Normal 204 3 3 3" xfId="22815" xr:uid="{00000000-0005-0000-0000-0000D3590000}"/>
    <cellStyle name="Normal 204 3 4" xfId="22816" xr:uid="{00000000-0005-0000-0000-0000D4590000}"/>
    <cellStyle name="Normal 204 3 4 2" xfId="22817" xr:uid="{00000000-0005-0000-0000-0000D5590000}"/>
    <cellStyle name="Normal 204 3 4 3" xfId="22818" xr:uid="{00000000-0005-0000-0000-0000D6590000}"/>
    <cellStyle name="Normal 204 3 5" xfId="22819" xr:uid="{00000000-0005-0000-0000-0000D7590000}"/>
    <cellStyle name="Normal 204 3 6" xfId="22820" xr:uid="{00000000-0005-0000-0000-0000D8590000}"/>
    <cellStyle name="Normal 204 3 7" xfId="22821" xr:uid="{00000000-0005-0000-0000-0000D9590000}"/>
    <cellStyle name="Normal 204 3 8" xfId="22822" xr:uid="{00000000-0005-0000-0000-0000DA590000}"/>
    <cellStyle name="Normal 204 4" xfId="22823" xr:uid="{00000000-0005-0000-0000-0000DB590000}"/>
    <cellStyle name="Normal 204 4 2" xfId="22824" xr:uid="{00000000-0005-0000-0000-0000DC590000}"/>
    <cellStyle name="Normal 204 4 2 2" xfId="22825" xr:uid="{00000000-0005-0000-0000-0000DD590000}"/>
    <cellStyle name="Normal 204 4 2 3" xfId="22826" xr:uid="{00000000-0005-0000-0000-0000DE590000}"/>
    <cellStyle name="Normal 204 4 3" xfId="22827" xr:uid="{00000000-0005-0000-0000-0000DF590000}"/>
    <cellStyle name="Normal 204 4 3 2" xfId="22828" xr:uid="{00000000-0005-0000-0000-0000E0590000}"/>
    <cellStyle name="Normal 204 4 3 3" xfId="22829" xr:uid="{00000000-0005-0000-0000-0000E1590000}"/>
    <cellStyle name="Normal 204 4 4" xfId="22830" xr:uid="{00000000-0005-0000-0000-0000E2590000}"/>
    <cellStyle name="Normal 204 4 5" xfId="22831" xr:uid="{00000000-0005-0000-0000-0000E3590000}"/>
    <cellStyle name="Normal 204 4 6" xfId="22832" xr:uid="{00000000-0005-0000-0000-0000E4590000}"/>
    <cellStyle name="Normal 204 5" xfId="22833" xr:uid="{00000000-0005-0000-0000-0000E5590000}"/>
    <cellStyle name="Normal 204 5 2" xfId="22834" xr:uid="{00000000-0005-0000-0000-0000E6590000}"/>
    <cellStyle name="Normal 204 5 3" xfId="22835" xr:uid="{00000000-0005-0000-0000-0000E7590000}"/>
    <cellStyle name="Normal 204 6" xfId="22836" xr:uid="{00000000-0005-0000-0000-0000E8590000}"/>
    <cellStyle name="Normal 204 6 2" xfId="22837" xr:uid="{00000000-0005-0000-0000-0000E9590000}"/>
    <cellStyle name="Normal 204 6 3" xfId="22838" xr:uid="{00000000-0005-0000-0000-0000EA590000}"/>
    <cellStyle name="Normal 204 7" xfId="22839" xr:uid="{00000000-0005-0000-0000-0000EB590000}"/>
    <cellStyle name="Normal 204 8" xfId="22840" xr:uid="{00000000-0005-0000-0000-0000EC590000}"/>
    <cellStyle name="Normal 204 9" xfId="22841" xr:uid="{00000000-0005-0000-0000-0000ED590000}"/>
    <cellStyle name="Normal 205" xfId="2628" xr:uid="{00000000-0005-0000-0000-0000EE590000}"/>
    <cellStyle name="Normal 205 10" xfId="22842" xr:uid="{00000000-0005-0000-0000-0000EF590000}"/>
    <cellStyle name="Normal 205 11" xfId="22843" xr:uid="{00000000-0005-0000-0000-0000F0590000}"/>
    <cellStyle name="Normal 205 12" xfId="22844" xr:uid="{00000000-0005-0000-0000-0000F1590000}"/>
    <cellStyle name="Normal 205 2" xfId="22845" xr:uid="{00000000-0005-0000-0000-0000F2590000}"/>
    <cellStyle name="Normal 205 2 2" xfId="22846" xr:uid="{00000000-0005-0000-0000-0000F3590000}"/>
    <cellStyle name="Normal 205 2 2 2" xfId="22847" xr:uid="{00000000-0005-0000-0000-0000F4590000}"/>
    <cellStyle name="Normal 205 2 2 2 2" xfId="22848" xr:uid="{00000000-0005-0000-0000-0000F5590000}"/>
    <cellStyle name="Normal 205 2 2 2 2 2" xfId="22849" xr:uid="{00000000-0005-0000-0000-0000F6590000}"/>
    <cellStyle name="Normal 205 2 2 2 2 3" xfId="22850" xr:uid="{00000000-0005-0000-0000-0000F7590000}"/>
    <cellStyle name="Normal 205 2 2 2 3" xfId="22851" xr:uid="{00000000-0005-0000-0000-0000F8590000}"/>
    <cellStyle name="Normal 205 2 2 2 3 2" xfId="22852" xr:uid="{00000000-0005-0000-0000-0000F9590000}"/>
    <cellStyle name="Normal 205 2 2 2 3 3" xfId="22853" xr:uid="{00000000-0005-0000-0000-0000FA590000}"/>
    <cellStyle name="Normal 205 2 2 2 4" xfId="22854" xr:uid="{00000000-0005-0000-0000-0000FB590000}"/>
    <cellStyle name="Normal 205 2 2 2 5" xfId="22855" xr:uid="{00000000-0005-0000-0000-0000FC590000}"/>
    <cellStyle name="Normal 205 2 2 2 6" xfId="22856" xr:uid="{00000000-0005-0000-0000-0000FD590000}"/>
    <cellStyle name="Normal 205 2 2 3" xfId="22857" xr:uid="{00000000-0005-0000-0000-0000FE590000}"/>
    <cellStyle name="Normal 205 2 2 3 2" xfId="22858" xr:uid="{00000000-0005-0000-0000-0000FF590000}"/>
    <cellStyle name="Normal 205 2 2 3 3" xfId="22859" xr:uid="{00000000-0005-0000-0000-0000005A0000}"/>
    <cellStyle name="Normal 205 2 2 4" xfId="22860" xr:uid="{00000000-0005-0000-0000-0000015A0000}"/>
    <cellStyle name="Normal 205 2 2 4 2" xfId="22861" xr:uid="{00000000-0005-0000-0000-0000025A0000}"/>
    <cellStyle name="Normal 205 2 2 4 3" xfId="22862" xr:uid="{00000000-0005-0000-0000-0000035A0000}"/>
    <cellStyle name="Normal 205 2 2 5" xfId="22863" xr:uid="{00000000-0005-0000-0000-0000045A0000}"/>
    <cellStyle name="Normal 205 2 2 6" xfId="22864" xr:uid="{00000000-0005-0000-0000-0000055A0000}"/>
    <cellStyle name="Normal 205 2 2 7" xfId="22865" xr:uid="{00000000-0005-0000-0000-0000065A0000}"/>
    <cellStyle name="Normal 205 2 2 8" xfId="22866" xr:uid="{00000000-0005-0000-0000-0000075A0000}"/>
    <cellStyle name="Normal 205 2 3" xfId="22867" xr:uid="{00000000-0005-0000-0000-0000085A0000}"/>
    <cellStyle name="Normal 205 2 3 2" xfId="22868" xr:uid="{00000000-0005-0000-0000-0000095A0000}"/>
    <cellStyle name="Normal 205 2 3 2 2" xfId="22869" xr:uid="{00000000-0005-0000-0000-00000A5A0000}"/>
    <cellStyle name="Normal 205 2 3 2 3" xfId="22870" xr:uid="{00000000-0005-0000-0000-00000B5A0000}"/>
    <cellStyle name="Normal 205 2 3 3" xfId="22871" xr:uid="{00000000-0005-0000-0000-00000C5A0000}"/>
    <cellStyle name="Normal 205 2 3 3 2" xfId="22872" xr:uid="{00000000-0005-0000-0000-00000D5A0000}"/>
    <cellStyle name="Normal 205 2 3 3 3" xfId="22873" xr:uid="{00000000-0005-0000-0000-00000E5A0000}"/>
    <cellStyle name="Normal 205 2 3 4" xfId="22874" xr:uid="{00000000-0005-0000-0000-00000F5A0000}"/>
    <cellStyle name="Normal 205 2 3 5" xfId="22875" xr:uid="{00000000-0005-0000-0000-0000105A0000}"/>
    <cellStyle name="Normal 205 2 3 6" xfId="22876" xr:uid="{00000000-0005-0000-0000-0000115A0000}"/>
    <cellStyle name="Normal 205 2 4" xfId="22877" xr:uid="{00000000-0005-0000-0000-0000125A0000}"/>
    <cellStyle name="Normal 205 2 4 2" xfId="22878" xr:uid="{00000000-0005-0000-0000-0000135A0000}"/>
    <cellStyle name="Normal 205 2 4 3" xfId="22879" xr:uid="{00000000-0005-0000-0000-0000145A0000}"/>
    <cellStyle name="Normal 205 2 5" xfId="22880" xr:uid="{00000000-0005-0000-0000-0000155A0000}"/>
    <cellStyle name="Normal 205 2 5 2" xfId="22881" xr:uid="{00000000-0005-0000-0000-0000165A0000}"/>
    <cellStyle name="Normal 205 2 5 3" xfId="22882" xr:uid="{00000000-0005-0000-0000-0000175A0000}"/>
    <cellStyle name="Normal 205 2 6" xfId="22883" xr:uid="{00000000-0005-0000-0000-0000185A0000}"/>
    <cellStyle name="Normal 205 2 7" xfId="22884" xr:uid="{00000000-0005-0000-0000-0000195A0000}"/>
    <cellStyle name="Normal 205 2 8" xfId="22885" xr:uid="{00000000-0005-0000-0000-00001A5A0000}"/>
    <cellStyle name="Normal 205 2 9" xfId="22886" xr:uid="{00000000-0005-0000-0000-00001B5A0000}"/>
    <cellStyle name="Normal 205 3" xfId="22887" xr:uid="{00000000-0005-0000-0000-00001C5A0000}"/>
    <cellStyle name="Normal 205 3 2" xfId="22888" xr:uid="{00000000-0005-0000-0000-00001D5A0000}"/>
    <cellStyle name="Normal 205 3 2 2" xfId="22889" xr:uid="{00000000-0005-0000-0000-00001E5A0000}"/>
    <cellStyle name="Normal 205 3 2 2 2" xfId="22890" xr:uid="{00000000-0005-0000-0000-00001F5A0000}"/>
    <cellStyle name="Normal 205 3 2 2 3" xfId="22891" xr:uid="{00000000-0005-0000-0000-0000205A0000}"/>
    <cellStyle name="Normal 205 3 2 3" xfId="22892" xr:uid="{00000000-0005-0000-0000-0000215A0000}"/>
    <cellStyle name="Normal 205 3 2 3 2" xfId="22893" xr:uid="{00000000-0005-0000-0000-0000225A0000}"/>
    <cellStyle name="Normal 205 3 2 3 3" xfId="22894" xr:uid="{00000000-0005-0000-0000-0000235A0000}"/>
    <cellStyle name="Normal 205 3 2 4" xfId="22895" xr:uid="{00000000-0005-0000-0000-0000245A0000}"/>
    <cellStyle name="Normal 205 3 2 5" xfId="22896" xr:uid="{00000000-0005-0000-0000-0000255A0000}"/>
    <cellStyle name="Normal 205 3 2 6" xfId="22897" xr:uid="{00000000-0005-0000-0000-0000265A0000}"/>
    <cellStyle name="Normal 205 3 3" xfId="22898" xr:uid="{00000000-0005-0000-0000-0000275A0000}"/>
    <cellStyle name="Normal 205 3 3 2" xfId="22899" xr:uid="{00000000-0005-0000-0000-0000285A0000}"/>
    <cellStyle name="Normal 205 3 3 3" xfId="22900" xr:uid="{00000000-0005-0000-0000-0000295A0000}"/>
    <cellStyle name="Normal 205 3 4" xfId="22901" xr:uid="{00000000-0005-0000-0000-00002A5A0000}"/>
    <cellStyle name="Normal 205 3 4 2" xfId="22902" xr:uid="{00000000-0005-0000-0000-00002B5A0000}"/>
    <cellStyle name="Normal 205 3 4 3" xfId="22903" xr:uid="{00000000-0005-0000-0000-00002C5A0000}"/>
    <cellStyle name="Normal 205 3 5" xfId="22904" xr:uid="{00000000-0005-0000-0000-00002D5A0000}"/>
    <cellStyle name="Normal 205 3 6" xfId="22905" xr:uid="{00000000-0005-0000-0000-00002E5A0000}"/>
    <cellStyle name="Normal 205 3 7" xfId="22906" xr:uid="{00000000-0005-0000-0000-00002F5A0000}"/>
    <cellStyle name="Normal 205 3 8" xfId="22907" xr:uid="{00000000-0005-0000-0000-0000305A0000}"/>
    <cellStyle name="Normal 205 4" xfId="22908" xr:uid="{00000000-0005-0000-0000-0000315A0000}"/>
    <cellStyle name="Normal 205 4 2" xfId="22909" xr:uid="{00000000-0005-0000-0000-0000325A0000}"/>
    <cellStyle name="Normal 205 4 2 2" xfId="22910" xr:uid="{00000000-0005-0000-0000-0000335A0000}"/>
    <cellStyle name="Normal 205 4 2 3" xfId="22911" xr:uid="{00000000-0005-0000-0000-0000345A0000}"/>
    <cellStyle name="Normal 205 4 3" xfId="22912" xr:uid="{00000000-0005-0000-0000-0000355A0000}"/>
    <cellStyle name="Normal 205 4 3 2" xfId="22913" xr:uid="{00000000-0005-0000-0000-0000365A0000}"/>
    <cellStyle name="Normal 205 4 3 3" xfId="22914" xr:uid="{00000000-0005-0000-0000-0000375A0000}"/>
    <cellStyle name="Normal 205 4 4" xfId="22915" xr:uid="{00000000-0005-0000-0000-0000385A0000}"/>
    <cellStyle name="Normal 205 4 5" xfId="22916" xr:uid="{00000000-0005-0000-0000-0000395A0000}"/>
    <cellStyle name="Normal 205 4 6" xfId="22917" xr:uid="{00000000-0005-0000-0000-00003A5A0000}"/>
    <cellStyle name="Normal 205 5" xfId="22918" xr:uid="{00000000-0005-0000-0000-00003B5A0000}"/>
    <cellStyle name="Normal 205 5 2" xfId="22919" xr:uid="{00000000-0005-0000-0000-00003C5A0000}"/>
    <cellStyle name="Normal 205 5 3" xfId="22920" xr:uid="{00000000-0005-0000-0000-00003D5A0000}"/>
    <cellStyle name="Normal 205 6" xfId="22921" xr:uid="{00000000-0005-0000-0000-00003E5A0000}"/>
    <cellStyle name="Normal 205 6 2" xfId="22922" xr:uid="{00000000-0005-0000-0000-00003F5A0000}"/>
    <cellStyle name="Normal 205 6 3" xfId="22923" xr:uid="{00000000-0005-0000-0000-0000405A0000}"/>
    <cellStyle name="Normal 205 7" xfId="22924" xr:uid="{00000000-0005-0000-0000-0000415A0000}"/>
    <cellStyle name="Normal 205 8" xfId="22925" xr:uid="{00000000-0005-0000-0000-0000425A0000}"/>
    <cellStyle name="Normal 205 9" xfId="22926" xr:uid="{00000000-0005-0000-0000-0000435A0000}"/>
    <cellStyle name="Normal 206" xfId="2629" xr:uid="{00000000-0005-0000-0000-0000445A0000}"/>
    <cellStyle name="Normal 206 10" xfId="22927" xr:uid="{00000000-0005-0000-0000-0000455A0000}"/>
    <cellStyle name="Normal 206 11" xfId="22928" xr:uid="{00000000-0005-0000-0000-0000465A0000}"/>
    <cellStyle name="Normal 206 12" xfId="22929" xr:uid="{00000000-0005-0000-0000-0000475A0000}"/>
    <cellStyle name="Normal 206 2" xfId="22930" xr:uid="{00000000-0005-0000-0000-0000485A0000}"/>
    <cellStyle name="Normal 206 2 2" xfId="22931" xr:uid="{00000000-0005-0000-0000-0000495A0000}"/>
    <cellStyle name="Normal 206 2 2 2" xfId="22932" xr:uid="{00000000-0005-0000-0000-00004A5A0000}"/>
    <cellStyle name="Normal 206 2 2 2 2" xfId="22933" xr:uid="{00000000-0005-0000-0000-00004B5A0000}"/>
    <cellStyle name="Normal 206 2 2 2 2 2" xfId="22934" xr:uid="{00000000-0005-0000-0000-00004C5A0000}"/>
    <cellStyle name="Normal 206 2 2 2 2 3" xfId="22935" xr:uid="{00000000-0005-0000-0000-00004D5A0000}"/>
    <cellStyle name="Normal 206 2 2 2 3" xfId="22936" xr:uid="{00000000-0005-0000-0000-00004E5A0000}"/>
    <cellStyle name="Normal 206 2 2 2 3 2" xfId="22937" xr:uid="{00000000-0005-0000-0000-00004F5A0000}"/>
    <cellStyle name="Normal 206 2 2 2 3 3" xfId="22938" xr:uid="{00000000-0005-0000-0000-0000505A0000}"/>
    <cellStyle name="Normal 206 2 2 2 4" xfId="22939" xr:uid="{00000000-0005-0000-0000-0000515A0000}"/>
    <cellStyle name="Normal 206 2 2 2 5" xfId="22940" xr:uid="{00000000-0005-0000-0000-0000525A0000}"/>
    <cellStyle name="Normal 206 2 2 2 6" xfId="22941" xr:uid="{00000000-0005-0000-0000-0000535A0000}"/>
    <cellStyle name="Normal 206 2 2 3" xfId="22942" xr:uid="{00000000-0005-0000-0000-0000545A0000}"/>
    <cellStyle name="Normal 206 2 2 3 2" xfId="22943" xr:uid="{00000000-0005-0000-0000-0000555A0000}"/>
    <cellStyle name="Normal 206 2 2 3 3" xfId="22944" xr:uid="{00000000-0005-0000-0000-0000565A0000}"/>
    <cellStyle name="Normal 206 2 2 4" xfId="22945" xr:uid="{00000000-0005-0000-0000-0000575A0000}"/>
    <cellStyle name="Normal 206 2 2 4 2" xfId="22946" xr:uid="{00000000-0005-0000-0000-0000585A0000}"/>
    <cellStyle name="Normal 206 2 2 4 3" xfId="22947" xr:uid="{00000000-0005-0000-0000-0000595A0000}"/>
    <cellStyle name="Normal 206 2 2 5" xfId="22948" xr:uid="{00000000-0005-0000-0000-00005A5A0000}"/>
    <cellStyle name="Normal 206 2 2 6" xfId="22949" xr:uid="{00000000-0005-0000-0000-00005B5A0000}"/>
    <cellStyle name="Normal 206 2 2 7" xfId="22950" xr:uid="{00000000-0005-0000-0000-00005C5A0000}"/>
    <cellStyle name="Normal 206 2 2 8" xfId="22951" xr:uid="{00000000-0005-0000-0000-00005D5A0000}"/>
    <cellStyle name="Normal 206 2 3" xfId="22952" xr:uid="{00000000-0005-0000-0000-00005E5A0000}"/>
    <cellStyle name="Normal 206 2 3 2" xfId="22953" xr:uid="{00000000-0005-0000-0000-00005F5A0000}"/>
    <cellStyle name="Normal 206 2 3 2 2" xfId="22954" xr:uid="{00000000-0005-0000-0000-0000605A0000}"/>
    <cellStyle name="Normal 206 2 3 2 3" xfId="22955" xr:uid="{00000000-0005-0000-0000-0000615A0000}"/>
    <cellStyle name="Normal 206 2 3 3" xfId="22956" xr:uid="{00000000-0005-0000-0000-0000625A0000}"/>
    <cellStyle name="Normal 206 2 3 3 2" xfId="22957" xr:uid="{00000000-0005-0000-0000-0000635A0000}"/>
    <cellStyle name="Normal 206 2 3 3 3" xfId="22958" xr:uid="{00000000-0005-0000-0000-0000645A0000}"/>
    <cellStyle name="Normal 206 2 3 4" xfId="22959" xr:uid="{00000000-0005-0000-0000-0000655A0000}"/>
    <cellStyle name="Normal 206 2 3 5" xfId="22960" xr:uid="{00000000-0005-0000-0000-0000665A0000}"/>
    <cellStyle name="Normal 206 2 3 6" xfId="22961" xr:uid="{00000000-0005-0000-0000-0000675A0000}"/>
    <cellStyle name="Normal 206 2 4" xfId="22962" xr:uid="{00000000-0005-0000-0000-0000685A0000}"/>
    <cellStyle name="Normal 206 2 4 2" xfId="22963" xr:uid="{00000000-0005-0000-0000-0000695A0000}"/>
    <cellStyle name="Normal 206 2 4 3" xfId="22964" xr:uid="{00000000-0005-0000-0000-00006A5A0000}"/>
    <cellStyle name="Normal 206 2 5" xfId="22965" xr:uid="{00000000-0005-0000-0000-00006B5A0000}"/>
    <cellStyle name="Normal 206 2 5 2" xfId="22966" xr:uid="{00000000-0005-0000-0000-00006C5A0000}"/>
    <cellStyle name="Normal 206 2 5 3" xfId="22967" xr:uid="{00000000-0005-0000-0000-00006D5A0000}"/>
    <cellStyle name="Normal 206 2 6" xfId="22968" xr:uid="{00000000-0005-0000-0000-00006E5A0000}"/>
    <cellStyle name="Normal 206 2 7" xfId="22969" xr:uid="{00000000-0005-0000-0000-00006F5A0000}"/>
    <cellStyle name="Normal 206 2 8" xfId="22970" xr:uid="{00000000-0005-0000-0000-0000705A0000}"/>
    <cellStyle name="Normal 206 2 9" xfId="22971" xr:uid="{00000000-0005-0000-0000-0000715A0000}"/>
    <cellStyle name="Normal 206 3" xfId="22972" xr:uid="{00000000-0005-0000-0000-0000725A0000}"/>
    <cellStyle name="Normal 206 3 2" xfId="22973" xr:uid="{00000000-0005-0000-0000-0000735A0000}"/>
    <cellStyle name="Normal 206 3 2 2" xfId="22974" xr:uid="{00000000-0005-0000-0000-0000745A0000}"/>
    <cellStyle name="Normal 206 3 2 2 2" xfId="22975" xr:uid="{00000000-0005-0000-0000-0000755A0000}"/>
    <cellStyle name="Normal 206 3 2 2 3" xfId="22976" xr:uid="{00000000-0005-0000-0000-0000765A0000}"/>
    <cellStyle name="Normal 206 3 2 3" xfId="22977" xr:uid="{00000000-0005-0000-0000-0000775A0000}"/>
    <cellStyle name="Normal 206 3 2 3 2" xfId="22978" xr:uid="{00000000-0005-0000-0000-0000785A0000}"/>
    <cellStyle name="Normal 206 3 2 3 3" xfId="22979" xr:uid="{00000000-0005-0000-0000-0000795A0000}"/>
    <cellStyle name="Normal 206 3 2 4" xfId="22980" xr:uid="{00000000-0005-0000-0000-00007A5A0000}"/>
    <cellStyle name="Normal 206 3 2 5" xfId="22981" xr:uid="{00000000-0005-0000-0000-00007B5A0000}"/>
    <cellStyle name="Normal 206 3 2 6" xfId="22982" xr:uid="{00000000-0005-0000-0000-00007C5A0000}"/>
    <cellStyle name="Normal 206 3 3" xfId="22983" xr:uid="{00000000-0005-0000-0000-00007D5A0000}"/>
    <cellStyle name="Normal 206 3 3 2" xfId="22984" xr:uid="{00000000-0005-0000-0000-00007E5A0000}"/>
    <cellStyle name="Normal 206 3 3 3" xfId="22985" xr:uid="{00000000-0005-0000-0000-00007F5A0000}"/>
    <cellStyle name="Normal 206 3 4" xfId="22986" xr:uid="{00000000-0005-0000-0000-0000805A0000}"/>
    <cellStyle name="Normal 206 3 4 2" xfId="22987" xr:uid="{00000000-0005-0000-0000-0000815A0000}"/>
    <cellStyle name="Normal 206 3 4 3" xfId="22988" xr:uid="{00000000-0005-0000-0000-0000825A0000}"/>
    <cellStyle name="Normal 206 3 5" xfId="22989" xr:uid="{00000000-0005-0000-0000-0000835A0000}"/>
    <cellStyle name="Normal 206 3 6" xfId="22990" xr:uid="{00000000-0005-0000-0000-0000845A0000}"/>
    <cellStyle name="Normal 206 3 7" xfId="22991" xr:uid="{00000000-0005-0000-0000-0000855A0000}"/>
    <cellStyle name="Normal 206 3 8" xfId="22992" xr:uid="{00000000-0005-0000-0000-0000865A0000}"/>
    <cellStyle name="Normal 206 4" xfId="22993" xr:uid="{00000000-0005-0000-0000-0000875A0000}"/>
    <cellStyle name="Normal 206 4 2" xfId="22994" xr:uid="{00000000-0005-0000-0000-0000885A0000}"/>
    <cellStyle name="Normal 206 4 2 2" xfId="22995" xr:uid="{00000000-0005-0000-0000-0000895A0000}"/>
    <cellStyle name="Normal 206 4 2 3" xfId="22996" xr:uid="{00000000-0005-0000-0000-00008A5A0000}"/>
    <cellStyle name="Normal 206 4 3" xfId="22997" xr:uid="{00000000-0005-0000-0000-00008B5A0000}"/>
    <cellStyle name="Normal 206 4 3 2" xfId="22998" xr:uid="{00000000-0005-0000-0000-00008C5A0000}"/>
    <cellStyle name="Normal 206 4 3 3" xfId="22999" xr:uid="{00000000-0005-0000-0000-00008D5A0000}"/>
    <cellStyle name="Normal 206 4 4" xfId="23000" xr:uid="{00000000-0005-0000-0000-00008E5A0000}"/>
    <cellStyle name="Normal 206 4 5" xfId="23001" xr:uid="{00000000-0005-0000-0000-00008F5A0000}"/>
    <cellStyle name="Normal 206 4 6" xfId="23002" xr:uid="{00000000-0005-0000-0000-0000905A0000}"/>
    <cellStyle name="Normal 206 5" xfId="23003" xr:uid="{00000000-0005-0000-0000-0000915A0000}"/>
    <cellStyle name="Normal 206 5 2" xfId="23004" xr:uid="{00000000-0005-0000-0000-0000925A0000}"/>
    <cellStyle name="Normal 206 5 3" xfId="23005" xr:uid="{00000000-0005-0000-0000-0000935A0000}"/>
    <cellStyle name="Normal 206 6" xfId="23006" xr:uid="{00000000-0005-0000-0000-0000945A0000}"/>
    <cellStyle name="Normal 206 6 2" xfId="23007" xr:uid="{00000000-0005-0000-0000-0000955A0000}"/>
    <cellStyle name="Normal 206 6 3" xfId="23008" xr:uid="{00000000-0005-0000-0000-0000965A0000}"/>
    <cellStyle name="Normal 206 7" xfId="23009" xr:uid="{00000000-0005-0000-0000-0000975A0000}"/>
    <cellStyle name="Normal 206 8" xfId="23010" xr:uid="{00000000-0005-0000-0000-0000985A0000}"/>
    <cellStyle name="Normal 206 9" xfId="23011" xr:uid="{00000000-0005-0000-0000-0000995A0000}"/>
    <cellStyle name="Normal 207" xfId="2630" xr:uid="{00000000-0005-0000-0000-00009A5A0000}"/>
    <cellStyle name="Normal 207 10" xfId="23012" xr:uid="{00000000-0005-0000-0000-00009B5A0000}"/>
    <cellStyle name="Normal 207 11" xfId="23013" xr:uid="{00000000-0005-0000-0000-00009C5A0000}"/>
    <cellStyle name="Normal 207 12" xfId="23014" xr:uid="{00000000-0005-0000-0000-00009D5A0000}"/>
    <cellStyle name="Normal 207 2" xfId="23015" xr:uid="{00000000-0005-0000-0000-00009E5A0000}"/>
    <cellStyle name="Normal 207 2 2" xfId="23016" xr:uid="{00000000-0005-0000-0000-00009F5A0000}"/>
    <cellStyle name="Normal 207 2 2 2" xfId="23017" xr:uid="{00000000-0005-0000-0000-0000A05A0000}"/>
    <cellStyle name="Normal 207 2 2 2 2" xfId="23018" xr:uid="{00000000-0005-0000-0000-0000A15A0000}"/>
    <cellStyle name="Normal 207 2 2 2 2 2" xfId="23019" xr:uid="{00000000-0005-0000-0000-0000A25A0000}"/>
    <cellStyle name="Normal 207 2 2 2 2 3" xfId="23020" xr:uid="{00000000-0005-0000-0000-0000A35A0000}"/>
    <cellStyle name="Normal 207 2 2 2 3" xfId="23021" xr:uid="{00000000-0005-0000-0000-0000A45A0000}"/>
    <cellStyle name="Normal 207 2 2 2 3 2" xfId="23022" xr:uid="{00000000-0005-0000-0000-0000A55A0000}"/>
    <cellStyle name="Normal 207 2 2 2 3 3" xfId="23023" xr:uid="{00000000-0005-0000-0000-0000A65A0000}"/>
    <cellStyle name="Normal 207 2 2 2 4" xfId="23024" xr:uid="{00000000-0005-0000-0000-0000A75A0000}"/>
    <cellStyle name="Normal 207 2 2 2 5" xfId="23025" xr:uid="{00000000-0005-0000-0000-0000A85A0000}"/>
    <cellStyle name="Normal 207 2 2 2 6" xfId="23026" xr:uid="{00000000-0005-0000-0000-0000A95A0000}"/>
    <cellStyle name="Normal 207 2 2 3" xfId="23027" xr:uid="{00000000-0005-0000-0000-0000AA5A0000}"/>
    <cellStyle name="Normal 207 2 2 3 2" xfId="23028" xr:uid="{00000000-0005-0000-0000-0000AB5A0000}"/>
    <cellStyle name="Normal 207 2 2 3 3" xfId="23029" xr:uid="{00000000-0005-0000-0000-0000AC5A0000}"/>
    <cellStyle name="Normal 207 2 2 4" xfId="23030" xr:uid="{00000000-0005-0000-0000-0000AD5A0000}"/>
    <cellStyle name="Normal 207 2 2 4 2" xfId="23031" xr:uid="{00000000-0005-0000-0000-0000AE5A0000}"/>
    <cellStyle name="Normal 207 2 2 4 3" xfId="23032" xr:uid="{00000000-0005-0000-0000-0000AF5A0000}"/>
    <cellStyle name="Normal 207 2 2 5" xfId="23033" xr:uid="{00000000-0005-0000-0000-0000B05A0000}"/>
    <cellStyle name="Normal 207 2 2 6" xfId="23034" xr:uid="{00000000-0005-0000-0000-0000B15A0000}"/>
    <cellStyle name="Normal 207 2 2 7" xfId="23035" xr:uid="{00000000-0005-0000-0000-0000B25A0000}"/>
    <cellStyle name="Normal 207 2 2 8" xfId="23036" xr:uid="{00000000-0005-0000-0000-0000B35A0000}"/>
    <cellStyle name="Normal 207 2 3" xfId="23037" xr:uid="{00000000-0005-0000-0000-0000B45A0000}"/>
    <cellStyle name="Normal 207 2 3 2" xfId="23038" xr:uid="{00000000-0005-0000-0000-0000B55A0000}"/>
    <cellStyle name="Normal 207 2 3 2 2" xfId="23039" xr:uid="{00000000-0005-0000-0000-0000B65A0000}"/>
    <cellStyle name="Normal 207 2 3 2 3" xfId="23040" xr:uid="{00000000-0005-0000-0000-0000B75A0000}"/>
    <cellStyle name="Normal 207 2 3 3" xfId="23041" xr:uid="{00000000-0005-0000-0000-0000B85A0000}"/>
    <cellStyle name="Normal 207 2 3 3 2" xfId="23042" xr:uid="{00000000-0005-0000-0000-0000B95A0000}"/>
    <cellStyle name="Normal 207 2 3 3 3" xfId="23043" xr:uid="{00000000-0005-0000-0000-0000BA5A0000}"/>
    <cellStyle name="Normal 207 2 3 4" xfId="23044" xr:uid="{00000000-0005-0000-0000-0000BB5A0000}"/>
    <cellStyle name="Normal 207 2 3 5" xfId="23045" xr:uid="{00000000-0005-0000-0000-0000BC5A0000}"/>
    <cellStyle name="Normal 207 2 3 6" xfId="23046" xr:uid="{00000000-0005-0000-0000-0000BD5A0000}"/>
    <cellStyle name="Normal 207 2 4" xfId="23047" xr:uid="{00000000-0005-0000-0000-0000BE5A0000}"/>
    <cellStyle name="Normal 207 2 4 2" xfId="23048" xr:uid="{00000000-0005-0000-0000-0000BF5A0000}"/>
    <cellStyle name="Normal 207 2 4 3" xfId="23049" xr:uid="{00000000-0005-0000-0000-0000C05A0000}"/>
    <cellStyle name="Normal 207 2 5" xfId="23050" xr:uid="{00000000-0005-0000-0000-0000C15A0000}"/>
    <cellStyle name="Normal 207 2 5 2" xfId="23051" xr:uid="{00000000-0005-0000-0000-0000C25A0000}"/>
    <cellStyle name="Normal 207 2 5 3" xfId="23052" xr:uid="{00000000-0005-0000-0000-0000C35A0000}"/>
    <cellStyle name="Normal 207 2 6" xfId="23053" xr:uid="{00000000-0005-0000-0000-0000C45A0000}"/>
    <cellStyle name="Normal 207 2 7" xfId="23054" xr:uid="{00000000-0005-0000-0000-0000C55A0000}"/>
    <cellStyle name="Normal 207 2 8" xfId="23055" xr:uid="{00000000-0005-0000-0000-0000C65A0000}"/>
    <cellStyle name="Normal 207 2 9" xfId="23056" xr:uid="{00000000-0005-0000-0000-0000C75A0000}"/>
    <cellStyle name="Normal 207 3" xfId="23057" xr:uid="{00000000-0005-0000-0000-0000C85A0000}"/>
    <cellStyle name="Normal 207 3 2" xfId="23058" xr:uid="{00000000-0005-0000-0000-0000C95A0000}"/>
    <cellStyle name="Normal 207 3 2 2" xfId="23059" xr:uid="{00000000-0005-0000-0000-0000CA5A0000}"/>
    <cellStyle name="Normal 207 3 2 2 2" xfId="23060" xr:uid="{00000000-0005-0000-0000-0000CB5A0000}"/>
    <cellStyle name="Normal 207 3 2 2 3" xfId="23061" xr:uid="{00000000-0005-0000-0000-0000CC5A0000}"/>
    <cellStyle name="Normal 207 3 2 3" xfId="23062" xr:uid="{00000000-0005-0000-0000-0000CD5A0000}"/>
    <cellStyle name="Normal 207 3 2 3 2" xfId="23063" xr:uid="{00000000-0005-0000-0000-0000CE5A0000}"/>
    <cellStyle name="Normal 207 3 2 3 3" xfId="23064" xr:uid="{00000000-0005-0000-0000-0000CF5A0000}"/>
    <cellStyle name="Normal 207 3 2 4" xfId="23065" xr:uid="{00000000-0005-0000-0000-0000D05A0000}"/>
    <cellStyle name="Normal 207 3 2 5" xfId="23066" xr:uid="{00000000-0005-0000-0000-0000D15A0000}"/>
    <cellStyle name="Normal 207 3 2 6" xfId="23067" xr:uid="{00000000-0005-0000-0000-0000D25A0000}"/>
    <cellStyle name="Normal 207 3 3" xfId="23068" xr:uid="{00000000-0005-0000-0000-0000D35A0000}"/>
    <cellStyle name="Normal 207 3 3 2" xfId="23069" xr:uid="{00000000-0005-0000-0000-0000D45A0000}"/>
    <cellStyle name="Normal 207 3 3 3" xfId="23070" xr:uid="{00000000-0005-0000-0000-0000D55A0000}"/>
    <cellStyle name="Normal 207 3 4" xfId="23071" xr:uid="{00000000-0005-0000-0000-0000D65A0000}"/>
    <cellStyle name="Normal 207 3 4 2" xfId="23072" xr:uid="{00000000-0005-0000-0000-0000D75A0000}"/>
    <cellStyle name="Normal 207 3 4 3" xfId="23073" xr:uid="{00000000-0005-0000-0000-0000D85A0000}"/>
    <cellStyle name="Normal 207 3 5" xfId="23074" xr:uid="{00000000-0005-0000-0000-0000D95A0000}"/>
    <cellStyle name="Normal 207 3 6" xfId="23075" xr:uid="{00000000-0005-0000-0000-0000DA5A0000}"/>
    <cellStyle name="Normal 207 3 7" xfId="23076" xr:uid="{00000000-0005-0000-0000-0000DB5A0000}"/>
    <cellStyle name="Normal 207 3 8" xfId="23077" xr:uid="{00000000-0005-0000-0000-0000DC5A0000}"/>
    <cellStyle name="Normal 207 4" xfId="23078" xr:uid="{00000000-0005-0000-0000-0000DD5A0000}"/>
    <cellStyle name="Normal 207 4 2" xfId="23079" xr:uid="{00000000-0005-0000-0000-0000DE5A0000}"/>
    <cellStyle name="Normal 207 4 2 2" xfId="23080" xr:uid="{00000000-0005-0000-0000-0000DF5A0000}"/>
    <cellStyle name="Normal 207 4 2 3" xfId="23081" xr:uid="{00000000-0005-0000-0000-0000E05A0000}"/>
    <cellStyle name="Normal 207 4 3" xfId="23082" xr:uid="{00000000-0005-0000-0000-0000E15A0000}"/>
    <cellStyle name="Normal 207 4 3 2" xfId="23083" xr:uid="{00000000-0005-0000-0000-0000E25A0000}"/>
    <cellStyle name="Normal 207 4 3 3" xfId="23084" xr:uid="{00000000-0005-0000-0000-0000E35A0000}"/>
    <cellStyle name="Normal 207 4 4" xfId="23085" xr:uid="{00000000-0005-0000-0000-0000E45A0000}"/>
    <cellStyle name="Normal 207 4 5" xfId="23086" xr:uid="{00000000-0005-0000-0000-0000E55A0000}"/>
    <cellStyle name="Normal 207 4 6" xfId="23087" xr:uid="{00000000-0005-0000-0000-0000E65A0000}"/>
    <cellStyle name="Normal 207 5" xfId="23088" xr:uid="{00000000-0005-0000-0000-0000E75A0000}"/>
    <cellStyle name="Normal 207 5 2" xfId="23089" xr:uid="{00000000-0005-0000-0000-0000E85A0000}"/>
    <cellStyle name="Normal 207 5 3" xfId="23090" xr:uid="{00000000-0005-0000-0000-0000E95A0000}"/>
    <cellStyle name="Normal 207 6" xfId="23091" xr:uid="{00000000-0005-0000-0000-0000EA5A0000}"/>
    <cellStyle name="Normal 207 6 2" xfId="23092" xr:uid="{00000000-0005-0000-0000-0000EB5A0000}"/>
    <cellStyle name="Normal 207 6 3" xfId="23093" xr:uid="{00000000-0005-0000-0000-0000EC5A0000}"/>
    <cellStyle name="Normal 207 7" xfId="23094" xr:uid="{00000000-0005-0000-0000-0000ED5A0000}"/>
    <cellStyle name="Normal 207 8" xfId="23095" xr:uid="{00000000-0005-0000-0000-0000EE5A0000}"/>
    <cellStyle name="Normal 207 9" xfId="23096" xr:uid="{00000000-0005-0000-0000-0000EF5A0000}"/>
    <cellStyle name="Normal 208" xfId="2631" xr:uid="{00000000-0005-0000-0000-0000F05A0000}"/>
    <cellStyle name="Normal 208 10" xfId="23097" xr:uid="{00000000-0005-0000-0000-0000F15A0000}"/>
    <cellStyle name="Normal 208 11" xfId="23098" xr:uid="{00000000-0005-0000-0000-0000F25A0000}"/>
    <cellStyle name="Normal 208 12" xfId="23099" xr:uid="{00000000-0005-0000-0000-0000F35A0000}"/>
    <cellStyle name="Normal 208 2" xfId="23100" xr:uid="{00000000-0005-0000-0000-0000F45A0000}"/>
    <cellStyle name="Normal 208 2 2" xfId="23101" xr:uid="{00000000-0005-0000-0000-0000F55A0000}"/>
    <cellStyle name="Normal 208 2 2 2" xfId="23102" xr:uid="{00000000-0005-0000-0000-0000F65A0000}"/>
    <cellStyle name="Normal 208 2 2 2 2" xfId="23103" xr:uid="{00000000-0005-0000-0000-0000F75A0000}"/>
    <cellStyle name="Normal 208 2 2 2 2 2" xfId="23104" xr:uid="{00000000-0005-0000-0000-0000F85A0000}"/>
    <cellStyle name="Normal 208 2 2 2 2 3" xfId="23105" xr:uid="{00000000-0005-0000-0000-0000F95A0000}"/>
    <cellStyle name="Normal 208 2 2 2 3" xfId="23106" xr:uid="{00000000-0005-0000-0000-0000FA5A0000}"/>
    <cellStyle name="Normal 208 2 2 2 3 2" xfId="23107" xr:uid="{00000000-0005-0000-0000-0000FB5A0000}"/>
    <cellStyle name="Normal 208 2 2 2 3 3" xfId="23108" xr:uid="{00000000-0005-0000-0000-0000FC5A0000}"/>
    <cellStyle name="Normal 208 2 2 2 4" xfId="23109" xr:uid="{00000000-0005-0000-0000-0000FD5A0000}"/>
    <cellStyle name="Normal 208 2 2 2 5" xfId="23110" xr:uid="{00000000-0005-0000-0000-0000FE5A0000}"/>
    <cellStyle name="Normal 208 2 2 2 6" xfId="23111" xr:uid="{00000000-0005-0000-0000-0000FF5A0000}"/>
    <cellStyle name="Normal 208 2 2 3" xfId="23112" xr:uid="{00000000-0005-0000-0000-0000005B0000}"/>
    <cellStyle name="Normal 208 2 2 3 2" xfId="23113" xr:uid="{00000000-0005-0000-0000-0000015B0000}"/>
    <cellStyle name="Normal 208 2 2 3 3" xfId="23114" xr:uid="{00000000-0005-0000-0000-0000025B0000}"/>
    <cellStyle name="Normal 208 2 2 4" xfId="23115" xr:uid="{00000000-0005-0000-0000-0000035B0000}"/>
    <cellStyle name="Normal 208 2 2 4 2" xfId="23116" xr:uid="{00000000-0005-0000-0000-0000045B0000}"/>
    <cellStyle name="Normal 208 2 2 4 3" xfId="23117" xr:uid="{00000000-0005-0000-0000-0000055B0000}"/>
    <cellStyle name="Normal 208 2 2 5" xfId="23118" xr:uid="{00000000-0005-0000-0000-0000065B0000}"/>
    <cellStyle name="Normal 208 2 2 6" xfId="23119" xr:uid="{00000000-0005-0000-0000-0000075B0000}"/>
    <cellStyle name="Normal 208 2 2 7" xfId="23120" xr:uid="{00000000-0005-0000-0000-0000085B0000}"/>
    <cellStyle name="Normal 208 2 2 8" xfId="23121" xr:uid="{00000000-0005-0000-0000-0000095B0000}"/>
    <cellStyle name="Normal 208 2 3" xfId="23122" xr:uid="{00000000-0005-0000-0000-00000A5B0000}"/>
    <cellStyle name="Normal 208 2 3 2" xfId="23123" xr:uid="{00000000-0005-0000-0000-00000B5B0000}"/>
    <cellStyle name="Normal 208 2 3 2 2" xfId="23124" xr:uid="{00000000-0005-0000-0000-00000C5B0000}"/>
    <cellStyle name="Normal 208 2 3 2 3" xfId="23125" xr:uid="{00000000-0005-0000-0000-00000D5B0000}"/>
    <cellStyle name="Normal 208 2 3 3" xfId="23126" xr:uid="{00000000-0005-0000-0000-00000E5B0000}"/>
    <cellStyle name="Normal 208 2 3 3 2" xfId="23127" xr:uid="{00000000-0005-0000-0000-00000F5B0000}"/>
    <cellStyle name="Normal 208 2 3 3 3" xfId="23128" xr:uid="{00000000-0005-0000-0000-0000105B0000}"/>
    <cellStyle name="Normal 208 2 3 4" xfId="23129" xr:uid="{00000000-0005-0000-0000-0000115B0000}"/>
    <cellStyle name="Normal 208 2 3 5" xfId="23130" xr:uid="{00000000-0005-0000-0000-0000125B0000}"/>
    <cellStyle name="Normal 208 2 3 6" xfId="23131" xr:uid="{00000000-0005-0000-0000-0000135B0000}"/>
    <cellStyle name="Normal 208 2 4" xfId="23132" xr:uid="{00000000-0005-0000-0000-0000145B0000}"/>
    <cellStyle name="Normal 208 2 4 2" xfId="23133" xr:uid="{00000000-0005-0000-0000-0000155B0000}"/>
    <cellStyle name="Normal 208 2 4 3" xfId="23134" xr:uid="{00000000-0005-0000-0000-0000165B0000}"/>
    <cellStyle name="Normal 208 2 5" xfId="23135" xr:uid="{00000000-0005-0000-0000-0000175B0000}"/>
    <cellStyle name="Normal 208 2 5 2" xfId="23136" xr:uid="{00000000-0005-0000-0000-0000185B0000}"/>
    <cellStyle name="Normal 208 2 5 3" xfId="23137" xr:uid="{00000000-0005-0000-0000-0000195B0000}"/>
    <cellStyle name="Normal 208 2 6" xfId="23138" xr:uid="{00000000-0005-0000-0000-00001A5B0000}"/>
    <cellStyle name="Normal 208 2 7" xfId="23139" xr:uid="{00000000-0005-0000-0000-00001B5B0000}"/>
    <cellStyle name="Normal 208 2 8" xfId="23140" xr:uid="{00000000-0005-0000-0000-00001C5B0000}"/>
    <cellStyle name="Normal 208 2 9" xfId="23141" xr:uid="{00000000-0005-0000-0000-00001D5B0000}"/>
    <cellStyle name="Normal 208 3" xfId="23142" xr:uid="{00000000-0005-0000-0000-00001E5B0000}"/>
    <cellStyle name="Normal 208 3 2" xfId="23143" xr:uid="{00000000-0005-0000-0000-00001F5B0000}"/>
    <cellStyle name="Normal 208 3 2 2" xfId="23144" xr:uid="{00000000-0005-0000-0000-0000205B0000}"/>
    <cellStyle name="Normal 208 3 2 2 2" xfId="23145" xr:uid="{00000000-0005-0000-0000-0000215B0000}"/>
    <cellStyle name="Normal 208 3 2 2 3" xfId="23146" xr:uid="{00000000-0005-0000-0000-0000225B0000}"/>
    <cellStyle name="Normal 208 3 2 3" xfId="23147" xr:uid="{00000000-0005-0000-0000-0000235B0000}"/>
    <cellStyle name="Normal 208 3 2 3 2" xfId="23148" xr:uid="{00000000-0005-0000-0000-0000245B0000}"/>
    <cellStyle name="Normal 208 3 2 3 3" xfId="23149" xr:uid="{00000000-0005-0000-0000-0000255B0000}"/>
    <cellStyle name="Normal 208 3 2 4" xfId="23150" xr:uid="{00000000-0005-0000-0000-0000265B0000}"/>
    <cellStyle name="Normal 208 3 2 5" xfId="23151" xr:uid="{00000000-0005-0000-0000-0000275B0000}"/>
    <cellStyle name="Normal 208 3 2 6" xfId="23152" xr:uid="{00000000-0005-0000-0000-0000285B0000}"/>
    <cellStyle name="Normal 208 3 3" xfId="23153" xr:uid="{00000000-0005-0000-0000-0000295B0000}"/>
    <cellStyle name="Normal 208 3 3 2" xfId="23154" xr:uid="{00000000-0005-0000-0000-00002A5B0000}"/>
    <cellStyle name="Normal 208 3 3 3" xfId="23155" xr:uid="{00000000-0005-0000-0000-00002B5B0000}"/>
    <cellStyle name="Normal 208 3 4" xfId="23156" xr:uid="{00000000-0005-0000-0000-00002C5B0000}"/>
    <cellStyle name="Normal 208 3 4 2" xfId="23157" xr:uid="{00000000-0005-0000-0000-00002D5B0000}"/>
    <cellStyle name="Normal 208 3 4 3" xfId="23158" xr:uid="{00000000-0005-0000-0000-00002E5B0000}"/>
    <cellStyle name="Normal 208 3 5" xfId="23159" xr:uid="{00000000-0005-0000-0000-00002F5B0000}"/>
    <cellStyle name="Normal 208 3 6" xfId="23160" xr:uid="{00000000-0005-0000-0000-0000305B0000}"/>
    <cellStyle name="Normal 208 3 7" xfId="23161" xr:uid="{00000000-0005-0000-0000-0000315B0000}"/>
    <cellStyle name="Normal 208 3 8" xfId="23162" xr:uid="{00000000-0005-0000-0000-0000325B0000}"/>
    <cellStyle name="Normal 208 4" xfId="23163" xr:uid="{00000000-0005-0000-0000-0000335B0000}"/>
    <cellStyle name="Normal 208 4 2" xfId="23164" xr:uid="{00000000-0005-0000-0000-0000345B0000}"/>
    <cellStyle name="Normal 208 4 2 2" xfId="23165" xr:uid="{00000000-0005-0000-0000-0000355B0000}"/>
    <cellStyle name="Normal 208 4 2 3" xfId="23166" xr:uid="{00000000-0005-0000-0000-0000365B0000}"/>
    <cellStyle name="Normal 208 4 3" xfId="23167" xr:uid="{00000000-0005-0000-0000-0000375B0000}"/>
    <cellStyle name="Normal 208 4 3 2" xfId="23168" xr:uid="{00000000-0005-0000-0000-0000385B0000}"/>
    <cellStyle name="Normal 208 4 3 3" xfId="23169" xr:uid="{00000000-0005-0000-0000-0000395B0000}"/>
    <cellStyle name="Normal 208 4 4" xfId="23170" xr:uid="{00000000-0005-0000-0000-00003A5B0000}"/>
    <cellStyle name="Normal 208 4 5" xfId="23171" xr:uid="{00000000-0005-0000-0000-00003B5B0000}"/>
    <cellStyle name="Normal 208 4 6" xfId="23172" xr:uid="{00000000-0005-0000-0000-00003C5B0000}"/>
    <cellStyle name="Normal 208 5" xfId="23173" xr:uid="{00000000-0005-0000-0000-00003D5B0000}"/>
    <cellStyle name="Normal 208 5 2" xfId="23174" xr:uid="{00000000-0005-0000-0000-00003E5B0000}"/>
    <cellStyle name="Normal 208 5 3" xfId="23175" xr:uid="{00000000-0005-0000-0000-00003F5B0000}"/>
    <cellStyle name="Normal 208 6" xfId="23176" xr:uid="{00000000-0005-0000-0000-0000405B0000}"/>
    <cellStyle name="Normal 208 6 2" xfId="23177" xr:uid="{00000000-0005-0000-0000-0000415B0000}"/>
    <cellStyle name="Normal 208 6 3" xfId="23178" xr:uid="{00000000-0005-0000-0000-0000425B0000}"/>
    <cellStyle name="Normal 208 7" xfId="23179" xr:uid="{00000000-0005-0000-0000-0000435B0000}"/>
    <cellStyle name="Normal 208 8" xfId="23180" xr:uid="{00000000-0005-0000-0000-0000445B0000}"/>
    <cellStyle name="Normal 208 9" xfId="23181" xr:uid="{00000000-0005-0000-0000-0000455B0000}"/>
    <cellStyle name="Normal 209" xfId="2632" xr:uid="{00000000-0005-0000-0000-0000465B0000}"/>
    <cellStyle name="Normal 209 10" xfId="23182" xr:uid="{00000000-0005-0000-0000-0000475B0000}"/>
    <cellStyle name="Normal 209 11" xfId="23183" xr:uid="{00000000-0005-0000-0000-0000485B0000}"/>
    <cellStyle name="Normal 209 12" xfId="23184" xr:uid="{00000000-0005-0000-0000-0000495B0000}"/>
    <cellStyle name="Normal 209 2" xfId="23185" xr:uid="{00000000-0005-0000-0000-00004A5B0000}"/>
    <cellStyle name="Normal 209 2 2" xfId="23186" xr:uid="{00000000-0005-0000-0000-00004B5B0000}"/>
    <cellStyle name="Normal 209 2 2 2" xfId="23187" xr:uid="{00000000-0005-0000-0000-00004C5B0000}"/>
    <cellStyle name="Normal 209 2 2 2 2" xfId="23188" xr:uid="{00000000-0005-0000-0000-00004D5B0000}"/>
    <cellStyle name="Normal 209 2 2 2 2 2" xfId="23189" xr:uid="{00000000-0005-0000-0000-00004E5B0000}"/>
    <cellStyle name="Normal 209 2 2 2 2 3" xfId="23190" xr:uid="{00000000-0005-0000-0000-00004F5B0000}"/>
    <cellStyle name="Normal 209 2 2 2 3" xfId="23191" xr:uid="{00000000-0005-0000-0000-0000505B0000}"/>
    <cellStyle name="Normal 209 2 2 2 3 2" xfId="23192" xr:uid="{00000000-0005-0000-0000-0000515B0000}"/>
    <cellStyle name="Normal 209 2 2 2 3 3" xfId="23193" xr:uid="{00000000-0005-0000-0000-0000525B0000}"/>
    <cellStyle name="Normal 209 2 2 2 4" xfId="23194" xr:uid="{00000000-0005-0000-0000-0000535B0000}"/>
    <cellStyle name="Normal 209 2 2 2 5" xfId="23195" xr:uid="{00000000-0005-0000-0000-0000545B0000}"/>
    <cellStyle name="Normal 209 2 2 2 6" xfId="23196" xr:uid="{00000000-0005-0000-0000-0000555B0000}"/>
    <cellStyle name="Normal 209 2 2 3" xfId="23197" xr:uid="{00000000-0005-0000-0000-0000565B0000}"/>
    <cellStyle name="Normal 209 2 2 3 2" xfId="23198" xr:uid="{00000000-0005-0000-0000-0000575B0000}"/>
    <cellStyle name="Normal 209 2 2 3 3" xfId="23199" xr:uid="{00000000-0005-0000-0000-0000585B0000}"/>
    <cellStyle name="Normal 209 2 2 4" xfId="23200" xr:uid="{00000000-0005-0000-0000-0000595B0000}"/>
    <cellStyle name="Normal 209 2 2 4 2" xfId="23201" xr:uid="{00000000-0005-0000-0000-00005A5B0000}"/>
    <cellStyle name="Normal 209 2 2 4 3" xfId="23202" xr:uid="{00000000-0005-0000-0000-00005B5B0000}"/>
    <cellStyle name="Normal 209 2 2 5" xfId="23203" xr:uid="{00000000-0005-0000-0000-00005C5B0000}"/>
    <cellStyle name="Normal 209 2 2 6" xfId="23204" xr:uid="{00000000-0005-0000-0000-00005D5B0000}"/>
    <cellStyle name="Normal 209 2 2 7" xfId="23205" xr:uid="{00000000-0005-0000-0000-00005E5B0000}"/>
    <cellStyle name="Normal 209 2 2 8" xfId="23206" xr:uid="{00000000-0005-0000-0000-00005F5B0000}"/>
    <cellStyle name="Normal 209 2 3" xfId="23207" xr:uid="{00000000-0005-0000-0000-0000605B0000}"/>
    <cellStyle name="Normal 209 2 3 2" xfId="23208" xr:uid="{00000000-0005-0000-0000-0000615B0000}"/>
    <cellStyle name="Normal 209 2 3 2 2" xfId="23209" xr:uid="{00000000-0005-0000-0000-0000625B0000}"/>
    <cellStyle name="Normal 209 2 3 2 3" xfId="23210" xr:uid="{00000000-0005-0000-0000-0000635B0000}"/>
    <cellStyle name="Normal 209 2 3 3" xfId="23211" xr:uid="{00000000-0005-0000-0000-0000645B0000}"/>
    <cellStyle name="Normal 209 2 3 3 2" xfId="23212" xr:uid="{00000000-0005-0000-0000-0000655B0000}"/>
    <cellStyle name="Normal 209 2 3 3 3" xfId="23213" xr:uid="{00000000-0005-0000-0000-0000665B0000}"/>
    <cellStyle name="Normal 209 2 3 4" xfId="23214" xr:uid="{00000000-0005-0000-0000-0000675B0000}"/>
    <cellStyle name="Normal 209 2 3 5" xfId="23215" xr:uid="{00000000-0005-0000-0000-0000685B0000}"/>
    <cellStyle name="Normal 209 2 3 6" xfId="23216" xr:uid="{00000000-0005-0000-0000-0000695B0000}"/>
    <cellStyle name="Normal 209 2 4" xfId="23217" xr:uid="{00000000-0005-0000-0000-00006A5B0000}"/>
    <cellStyle name="Normal 209 2 4 2" xfId="23218" xr:uid="{00000000-0005-0000-0000-00006B5B0000}"/>
    <cellStyle name="Normal 209 2 4 3" xfId="23219" xr:uid="{00000000-0005-0000-0000-00006C5B0000}"/>
    <cellStyle name="Normal 209 2 5" xfId="23220" xr:uid="{00000000-0005-0000-0000-00006D5B0000}"/>
    <cellStyle name="Normal 209 2 5 2" xfId="23221" xr:uid="{00000000-0005-0000-0000-00006E5B0000}"/>
    <cellStyle name="Normal 209 2 5 3" xfId="23222" xr:uid="{00000000-0005-0000-0000-00006F5B0000}"/>
    <cellStyle name="Normal 209 2 6" xfId="23223" xr:uid="{00000000-0005-0000-0000-0000705B0000}"/>
    <cellStyle name="Normal 209 2 7" xfId="23224" xr:uid="{00000000-0005-0000-0000-0000715B0000}"/>
    <cellStyle name="Normal 209 2 8" xfId="23225" xr:uid="{00000000-0005-0000-0000-0000725B0000}"/>
    <cellStyle name="Normal 209 2 9" xfId="23226" xr:uid="{00000000-0005-0000-0000-0000735B0000}"/>
    <cellStyle name="Normal 209 3" xfId="23227" xr:uid="{00000000-0005-0000-0000-0000745B0000}"/>
    <cellStyle name="Normal 209 3 2" xfId="23228" xr:uid="{00000000-0005-0000-0000-0000755B0000}"/>
    <cellStyle name="Normal 209 3 2 2" xfId="23229" xr:uid="{00000000-0005-0000-0000-0000765B0000}"/>
    <cellStyle name="Normal 209 3 2 2 2" xfId="23230" xr:uid="{00000000-0005-0000-0000-0000775B0000}"/>
    <cellStyle name="Normal 209 3 2 2 3" xfId="23231" xr:uid="{00000000-0005-0000-0000-0000785B0000}"/>
    <cellStyle name="Normal 209 3 2 3" xfId="23232" xr:uid="{00000000-0005-0000-0000-0000795B0000}"/>
    <cellStyle name="Normal 209 3 2 3 2" xfId="23233" xr:uid="{00000000-0005-0000-0000-00007A5B0000}"/>
    <cellStyle name="Normal 209 3 2 3 3" xfId="23234" xr:uid="{00000000-0005-0000-0000-00007B5B0000}"/>
    <cellStyle name="Normal 209 3 2 4" xfId="23235" xr:uid="{00000000-0005-0000-0000-00007C5B0000}"/>
    <cellStyle name="Normal 209 3 2 5" xfId="23236" xr:uid="{00000000-0005-0000-0000-00007D5B0000}"/>
    <cellStyle name="Normal 209 3 2 6" xfId="23237" xr:uid="{00000000-0005-0000-0000-00007E5B0000}"/>
    <cellStyle name="Normal 209 3 3" xfId="23238" xr:uid="{00000000-0005-0000-0000-00007F5B0000}"/>
    <cellStyle name="Normal 209 3 3 2" xfId="23239" xr:uid="{00000000-0005-0000-0000-0000805B0000}"/>
    <cellStyle name="Normal 209 3 3 3" xfId="23240" xr:uid="{00000000-0005-0000-0000-0000815B0000}"/>
    <cellStyle name="Normal 209 3 4" xfId="23241" xr:uid="{00000000-0005-0000-0000-0000825B0000}"/>
    <cellStyle name="Normal 209 3 4 2" xfId="23242" xr:uid="{00000000-0005-0000-0000-0000835B0000}"/>
    <cellStyle name="Normal 209 3 4 3" xfId="23243" xr:uid="{00000000-0005-0000-0000-0000845B0000}"/>
    <cellStyle name="Normal 209 3 5" xfId="23244" xr:uid="{00000000-0005-0000-0000-0000855B0000}"/>
    <cellStyle name="Normal 209 3 6" xfId="23245" xr:uid="{00000000-0005-0000-0000-0000865B0000}"/>
    <cellStyle name="Normal 209 3 7" xfId="23246" xr:uid="{00000000-0005-0000-0000-0000875B0000}"/>
    <cellStyle name="Normal 209 3 8" xfId="23247" xr:uid="{00000000-0005-0000-0000-0000885B0000}"/>
    <cellStyle name="Normal 209 4" xfId="23248" xr:uid="{00000000-0005-0000-0000-0000895B0000}"/>
    <cellStyle name="Normal 209 4 2" xfId="23249" xr:uid="{00000000-0005-0000-0000-00008A5B0000}"/>
    <cellStyle name="Normal 209 4 2 2" xfId="23250" xr:uid="{00000000-0005-0000-0000-00008B5B0000}"/>
    <cellStyle name="Normal 209 4 2 3" xfId="23251" xr:uid="{00000000-0005-0000-0000-00008C5B0000}"/>
    <cellStyle name="Normal 209 4 3" xfId="23252" xr:uid="{00000000-0005-0000-0000-00008D5B0000}"/>
    <cellStyle name="Normal 209 4 3 2" xfId="23253" xr:uid="{00000000-0005-0000-0000-00008E5B0000}"/>
    <cellStyle name="Normal 209 4 3 3" xfId="23254" xr:uid="{00000000-0005-0000-0000-00008F5B0000}"/>
    <cellStyle name="Normal 209 4 4" xfId="23255" xr:uid="{00000000-0005-0000-0000-0000905B0000}"/>
    <cellStyle name="Normal 209 4 5" xfId="23256" xr:uid="{00000000-0005-0000-0000-0000915B0000}"/>
    <cellStyle name="Normal 209 4 6" xfId="23257" xr:uid="{00000000-0005-0000-0000-0000925B0000}"/>
    <cellStyle name="Normal 209 5" xfId="23258" xr:uid="{00000000-0005-0000-0000-0000935B0000}"/>
    <cellStyle name="Normal 209 5 2" xfId="23259" xr:uid="{00000000-0005-0000-0000-0000945B0000}"/>
    <cellStyle name="Normal 209 5 3" xfId="23260" xr:uid="{00000000-0005-0000-0000-0000955B0000}"/>
    <cellStyle name="Normal 209 6" xfId="23261" xr:uid="{00000000-0005-0000-0000-0000965B0000}"/>
    <cellStyle name="Normal 209 6 2" xfId="23262" xr:uid="{00000000-0005-0000-0000-0000975B0000}"/>
    <cellStyle name="Normal 209 6 3" xfId="23263" xr:uid="{00000000-0005-0000-0000-0000985B0000}"/>
    <cellStyle name="Normal 209 7" xfId="23264" xr:uid="{00000000-0005-0000-0000-0000995B0000}"/>
    <cellStyle name="Normal 209 8" xfId="23265" xr:uid="{00000000-0005-0000-0000-00009A5B0000}"/>
    <cellStyle name="Normal 209 9" xfId="23266" xr:uid="{00000000-0005-0000-0000-00009B5B0000}"/>
    <cellStyle name="Normal 21" xfId="2633" xr:uid="{00000000-0005-0000-0000-00009C5B0000}"/>
    <cellStyle name="Normal 21 10" xfId="23267" xr:uid="{00000000-0005-0000-0000-00009D5B0000}"/>
    <cellStyle name="Normal 21 10 2" xfId="23268" xr:uid="{00000000-0005-0000-0000-00009E5B0000}"/>
    <cellStyle name="Normal 21 10 3" xfId="23269" xr:uid="{00000000-0005-0000-0000-00009F5B0000}"/>
    <cellStyle name="Normal 21 11" xfId="23270" xr:uid="{00000000-0005-0000-0000-0000A05B0000}"/>
    <cellStyle name="Normal 21 12" xfId="23271" xr:uid="{00000000-0005-0000-0000-0000A15B0000}"/>
    <cellStyle name="Normal 21 13" xfId="23272" xr:uid="{00000000-0005-0000-0000-0000A25B0000}"/>
    <cellStyle name="Normal 21 14" xfId="23273" xr:uid="{00000000-0005-0000-0000-0000A35B0000}"/>
    <cellStyle name="Normal 21 2" xfId="23274" xr:uid="{00000000-0005-0000-0000-0000A45B0000}"/>
    <cellStyle name="Normal 21 2 10" xfId="23275" xr:uid="{00000000-0005-0000-0000-0000A55B0000}"/>
    <cellStyle name="Normal 21 2 11" xfId="23276" xr:uid="{00000000-0005-0000-0000-0000A65B0000}"/>
    <cellStyle name="Normal 21 2 2" xfId="23277" xr:uid="{00000000-0005-0000-0000-0000A75B0000}"/>
    <cellStyle name="Normal 21 2 2 2" xfId="23278" xr:uid="{00000000-0005-0000-0000-0000A85B0000}"/>
    <cellStyle name="Normal 21 2 2 2 2" xfId="23279" xr:uid="{00000000-0005-0000-0000-0000A95B0000}"/>
    <cellStyle name="Normal 21 2 2 2 2 2" xfId="23280" xr:uid="{00000000-0005-0000-0000-0000AA5B0000}"/>
    <cellStyle name="Normal 21 2 2 2 2 2 2" xfId="23281" xr:uid="{00000000-0005-0000-0000-0000AB5B0000}"/>
    <cellStyle name="Normal 21 2 2 2 2 2 3" xfId="23282" xr:uid="{00000000-0005-0000-0000-0000AC5B0000}"/>
    <cellStyle name="Normal 21 2 2 2 2 3" xfId="23283" xr:uid="{00000000-0005-0000-0000-0000AD5B0000}"/>
    <cellStyle name="Normal 21 2 2 2 2 4" xfId="23284" xr:uid="{00000000-0005-0000-0000-0000AE5B0000}"/>
    <cellStyle name="Normal 21 2 2 2 2_Order Book" xfId="23285" xr:uid="{00000000-0005-0000-0000-0000AF5B0000}"/>
    <cellStyle name="Normal 21 2 2 2 3" xfId="23286" xr:uid="{00000000-0005-0000-0000-0000B05B0000}"/>
    <cellStyle name="Normal 21 2 2 2 3 2" xfId="23287" xr:uid="{00000000-0005-0000-0000-0000B15B0000}"/>
    <cellStyle name="Normal 21 2 2 2 3 3" xfId="23288" xr:uid="{00000000-0005-0000-0000-0000B25B0000}"/>
    <cellStyle name="Normal 21 2 2 2 4" xfId="23289" xr:uid="{00000000-0005-0000-0000-0000B35B0000}"/>
    <cellStyle name="Normal 21 2 2 2 5" xfId="23290" xr:uid="{00000000-0005-0000-0000-0000B45B0000}"/>
    <cellStyle name="Normal 21 2 2 2_Order Book" xfId="23291" xr:uid="{00000000-0005-0000-0000-0000B55B0000}"/>
    <cellStyle name="Normal 21 2 2 3" xfId="23292" xr:uid="{00000000-0005-0000-0000-0000B65B0000}"/>
    <cellStyle name="Normal 21 2 2 3 2" xfId="23293" xr:uid="{00000000-0005-0000-0000-0000B75B0000}"/>
    <cellStyle name="Normal 21 2 2 3 2 2" xfId="23294" xr:uid="{00000000-0005-0000-0000-0000B85B0000}"/>
    <cellStyle name="Normal 21 2 2 3 2 2 2" xfId="23295" xr:uid="{00000000-0005-0000-0000-0000B95B0000}"/>
    <cellStyle name="Normal 21 2 2 3 2 2 3" xfId="23296" xr:uid="{00000000-0005-0000-0000-0000BA5B0000}"/>
    <cellStyle name="Normal 21 2 2 3 2 3" xfId="23297" xr:uid="{00000000-0005-0000-0000-0000BB5B0000}"/>
    <cellStyle name="Normal 21 2 2 3 2 4" xfId="23298" xr:uid="{00000000-0005-0000-0000-0000BC5B0000}"/>
    <cellStyle name="Normal 21 2 2 3 2_Order Book" xfId="23299" xr:uid="{00000000-0005-0000-0000-0000BD5B0000}"/>
    <cellStyle name="Normal 21 2 2 3 3" xfId="23300" xr:uid="{00000000-0005-0000-0000-0000BE5B0000}"/>
    <cellStyle name="Normal 21 2 2 3 3 2" xfId="23301" xr:uid="{00000000-0005-0000-0000-0000BF5B0000}"/>
    <cellStyle name="Normal 21 2 2 3 3 3" xfId="23302" xr:uid="{00000000-0005-0000-0000-0000C05B0000}"/>
    <cellStyle name="Normal 21 2 2 3 4" xfId="23303" xr:uid="{00000000-0005-0000-0000-0000C15B0000}"/>
    <cellStyle name="Normal 21 2 2 3 5" xfId="23304" xr:uid="{00000000-0005-0000-0000-0000C25B0000}"/>
    <cellStyle name="Normal 21 2 2 3_Order Book" xfId="23305" xr:uid="{00000000-0005-0000-0000-0000C35B0000}"/>
    <cellStyle name="Normal 21 2 2 4" xfId="23306" xr:uid="{00000000-0005-0000-0000-0000C45B0000}"/>
    <cellStyle name="Normal 21 2 2 4 2" xfId="23307" xr:uid="{00000000-0005-0000-0000-0000C55B0000}"/>
    <cellStyle name="Normal 21 2 2 4 2 2" xfId="23308" xr:uid="{00000000-0005-0000-0000-0000C65B0000}"/>
    <cellStyle name="Normal 21 2 2 4 2 3" xfId="23309" xr:uid="{00000000-0005-0000-0000-0000C75B0000}"/>
    <cellStyle name="Normal 21 2 2 4 3" xfId="23310" xr:uid="{00000000-0005-0000-0000-0000C85B0000}"/>
    <cellStyle name="Normal 21 2 2 4 4" xfId="23311" xr:uid="{00000000-0005-0000-0000-0000C95B0000}"/>
    <cellStyle name="Normal 21 2 2 4_Order Book" xfId="23312" xr:uid="{00000000-0005-0000-0000-0000CA5B0000}"/>
    <cellStyle name="Normal 21 2 2 5" xfId="23313" xr:uid="{00000000-0005-0000-0000-0000CB5B0000}"/>
    <cellStyle name="Normal 21 2 2 5 2" xfId="23314" xr:uid="{00000000-0005-0000-0000-0000CC5B0000}"/>
    <cellStyle name="Normal 21 2 2 5 3" xfId="23315" xr:uid="{00000000-0005-0000-0000-0000CD5B0000}"/>
    <cellStyle name="Normal 21 2 2 6" xfId="23316" xr:uid="{00000000-0005-0000-0000-0000CE5B0000}"/>
    <cellStyle name="Normal 21 2 2 7" xfId="23317" xr:uid="{00000000-0005-0000-0000-0000CF5B0000}"/>
    <cellStyle name="Normal 21 2 2_Order Book" xfId="23318" xr:uid="{00000000-0005-0000-0000-0000D05B0000}"/>
    <cellStyle name="Normal 21 2 3" xfId="23319" xr:uid="{00000000-0005-0000-0000-0000D15B0000}"/>
    <cellStyle name="Normal 21 2 3 2" xfId="23320" xr:uid="{00000000-0005-0000-0000-0000D25B0000}"/>
    <cellStyle name="Normal 21 2 3 2 2" xfId="23321" xr:uid="{00000000-0005-0000-0000-0000D35B0000}"/>
    <cellStyle name="Normal 21 2 3 2 2 2" xfId="23322" xr:uid="{00000000-0005-0000-0000-0000D45B0000}"/>
    <cellStyle name="Normal 21 2 3 2 2 2 2" xfId="23323" xr:uid="{00000000-0005-0000-0000-0000D55B0000}"/>
    <cellStyle name="Normal 21 2 3 2 2 2 3" xfId="23324" xr:uid="{00000000-0005-0000-0000-0000D65B0000}"/>
    <cellStyle name="Normal 21 2 3 2 2 3" xfId="23325" xr:uid="{00000000-0005-0000-0000-0000D75B0000}"/>
    <cellStyle name="Normal 21 2 3 2 2 4" xfId="23326" xr:uid="{00000000-0005-0000-0000-0000D85B0000}"/>
    <cellStyle name="Normal 21 2 3 2 2_Order Book" xfId="23327" xr:uid="{00000000-0005-0000-0000-0000D95B0000}"/>
    <cellStyle name="Normal 21 2 3 2 3" xfId="23328" xr:uid="{00000000-0005-0000-0000-0000DA5B0000}"/>
    <cellStyle name="Normal 21 2 3 2 3 2" xfId="23329" xr:uid="{00000000-0005-0000-0000-0000DB5B0000}"/>
    <cellStyle name="Normal 21 2 3 2 3 3" xfId="23330" xr:uid="{00000000-0005-0000-0000-0000DC5B0000}"/>
    <cellStyle name="Normal 21 2 3 2 4" xfId="23331" xr:uid="{00000000-0005-0000-0000-0000DD5B0000}"/>
    <cellStyle name="Normal 21 2 3 2 5" xfId="23332" xr:uid="{00000000-0005-0000-0000-0000DE5B0000}"/>
    <cellStyle name="Normal 21 2 3 2_Order Book" xfId="23333" xr:uid="{00000000-0005-0000-0000-0000DF5B0000}"/>
    <cellStyle name="Normal 21 2 3 3" xfId="23334" xr:uid="{00000000-0005-0000-0000-0000E05B0000}"/>
    <cellStyle name="Normal 21 2 3 3 2" xfId="23335" xr:uid="{00000000-0005-0000-0000-0000E15B0000}"/>
    <cellStyle name="Normal 21 2 3 3 2 2" xfId="23336" xr:uid="{00000000-0005-0000-0000-0000E25B0000}"/>
    <cellStyle name="Normal 21 2 3 3 2 3" xfId="23337" xr:uid="{00000000-0005-0000-0000-0000E35B0000}"/>
    <cellStyle name="Normal 21 2 3 3 3" xfId="23338" xr:uid="{00000000-0005-0000-0000-0000E45B0000}"/>
    <cellStyle name="Normal 21 2 3 3 4" xfId="23339" xr:uid="{00000000-0005-0000-0000-0000E55B0000}"/>
    <cellStyle name="Normal 21 2 3 3_Order Book" xfId="23340" xr:uid="{00000000-0005-0000-0000-0000E65B0000}"/>
    <cellStyle name="Normal 21 2 3 4" xfId="23341" xr:uid="{00000000-0005-0000-0000-0000E75B0000}"/>
    <cellStyle name="Normal 21 2 3 4 2" xfId="23342" xr:uid="{00000000-0005-0000-0000-0000E85B0000}"/>
    <cellStyle name="Normal 21 2 3 4 3" xfId="23343" xr:uid="{00000000-0005-0000-0000-0000E95B0000}"/>
    <cellStyle name="Normal 21 2 3 5" xfId="23344" xr:uid="{00000000-0005-0000-0000-0000EA5B0000}"/>
    <cellStyle name="Normal 21 2 3 6" xfId="23345" xr:uid="{00000000-0005-0000-0000-0000EB5B0000}"/>
    <cellStyle name="Normal 21 2 3_Order Book" xfId="23346" xr:uid="{00000000-0005-0000-0000-0000EC5B0000}"/>
    <cellStyle name="Normal 21 2 4" xfId="23347" xr:uid="{00000000-0005-0000-0000-0000ED5B0000}"/>
    <cellStyle name="Normal 21 2 4 2" xfId="23348" xr:uid="{00000000-0005-0000-0000-0000EE5B0000}"/>
    <cellStyle name="Normal 21 2 4 2 2" xfId="23349" xr:uid="{00000000-0005-0000-0000-0000EF5B0000}"/>
    <cellStyle name="Normal 21 2 4 2 2 2" xfId="23350" xr:uid="{00000000-0005-0000-0000-0000F05B0000}"/>
    <cellStyle name="Normal 21 2 4 2 2 3" xfId="23351" xr:uid="{00000000-0005-0000-0000-0000F15B0000}"/>
    <cellStyle name="Normal 21 2 4 2 3" xfId="23352" xr:uid="{00000000-0005-0000-0000-0000F25B0000}"/>
    <cellStyle name="Normal 21 2 4 2 4" xfId="23353" xr:uid="{00000000-0005-0000-0000-0000F35B0000}"/>
    <cellStyle name="Normal 21 2 4 2_Order Book" xfId="23354" xr:uid="{00000000-0005-0000-0000-0000F45B0000}"/>
    <cellStyle name="Normal 21 2 4 3" xfId="23355" xr:uid="{00000000-0005-0000-0000-0000F55B0000}"/>
    <cellStyle name="Normal 21 2 4 3 2" xfId="23356" xr:uid="{00000000-0005-0000-0000-0000F65B0000}"/>
    <cellStyle name="Normal 21 2 4 3 3" xfId="23357" xr:uid="{00000000-0005-0000-0000-0000F75B0000}"/>
    <cellStyle name="Normal 21 2 4 4" xfId="23358" xr:uid="{00000000-0005-0000-0000-0000F85B0000}"/>
    <cellStyle name="Normal 21 2 4 5" xfId="23359" xr:uid="{00000000-0005-0000-0000-0000F95B0000}"/>
    <cellStyle name="Normal 21 2 4_Order Book" xfId="23360" xr:uid="{00000000-0005-0000-0000-0000FA5B0000}"/>
    <cellStyle name="Normal 21 2 5" xfId="23361" xr:uid="{00000000-0005-0000-0000-0000FB5B0000}"/>
    <cellStyle name="Normal 21 2 5 2" xfId="23362" xr:uid="{00000000-0005-0000-0000-0000FC5B0000}"/>
    <cellStyle name="Normal 21 2 5 2 2" xfId="23363" xr:uid="{00000000-0005-0000-0000-0000FD5B0000}"/>
    <cellStyle name="Normal 21 2 5 2 2 2" xfId="23364" xr:uid="{00000000-0005-0000-0000-0000FE5B0000}"/>
    <cellStyle name="Normal 21 2 5 2 2 3" xfId="23365" xr:uid="{00000000-0005-0000-0000-0000FF5B0000}"/>
    <cellStyle name="Normal 21 2 5 2 3" xfId="23366" xr:uid="{00000000-0005-0000-0000-0000005C0000}"/>
    <cellStyle name="Normal 21 2 5 2 4" xfId="23367" xr:uid="{00000000-0005-0000-0000-0000015C0000}"/>
    <cellStyle name="Normal 21 2 5 2_Order Book" xfId="23368" xr:uid="{00000000-0005-0000-0000-0000025C0000}"/>
    <cellStyle name="Normal 21 2 5 3" xfId="23369" xr:uid="{00000000-0005-0000-0000-0000035C0000}"/>
    <cellStyle name="Normal 21 2 5 3 2" xfId="23370" xr:uid="{00000000-0005-0000-0000-0000045C0000}"/>
    <cellStyle name="Normal 21 2 5 3 3" xfId="23371" xr:uid="{00000000-0005-0000-0000-0000055C0000}"/>
    <cellStyle name="Normal 21 2 5 4" xfId="23372" xr:uid="{00000000-0005-0000-0000-0000065C0000}"/>
    <cellStyle name="Normal 21 2 5 5" xfId="23373" xr:uid="{00000000-0005-0000-0000-0000075C0000}"/>
    <cellStyle name="Normal 21 2 5_Order Book" xfId="23374" xr:uid="{00000000-0005-0000-0000-0000085C0000}"/>
    <cellStyle name="Normal 21 2 6" xfId="23375" xr:uid="{00000000-0005-0000-0000-0000095C0000}"/>
    <cellStyle name="Normal 21 2 6 2" xfId="23376" xr:uid="{00000000-0005-0000-0000-00000A5C0000}"/>
    <cellStyle name="Normal 21 2 6 2 2" xfId="23377" xr:uid="{00000000-0005-0000-0000-00000B5C0000}"/>
    <cellStyle name="Normal 21 2 6 2 2 2" xfId="23378" xr:uid="{00000000-0005-0000-0000-00000C5C0000}"/>
    <cellStyle name="Normal 21 2 6 2 2 3" xfId="23379" xr:uid="{00000000-0005-0000-0000-00000D5C0000}"/>
    <cellStyle name="Normal 21 2 6 2 3" xfId="23380" xr:uid="{00000000-0005-0000-0000-00000E5C0000}"/>
    <cellStyle name="Normal 21 2 6 2 4" xfId="23381" xr:uid="{00000000-0005-0000-0000-00000F5C0000}"/>
    <cellStyle name="Normal 21 2 6 2_Order Book" xfId="23382" xr:uid="{00000000-0005-0000-0000-0000105C0000}"/>
    <cellStyle name="Normal 21 2 6 3" xfId="23383" xr:uid="{00000000-0005-0000-0000-0000115C0000}"/>
    <cellStyle name="Normal 21 2 6 3 2" xfId="23384" xr:uid="{00000000-0005-0000-0000-0000125C0000}"/>
    <cellStyle name="Normal 21 2 6 3 3" xfId="23385" xr:uid="{00000000-0005-0000-0000-0000135C0000}"/>
    <cellStyle name="Normal 21 2 6 4" xfId="23386" xr:uid="{00000000-0005-0000-0000-0000145C0000}"/>
    <cellStyle name="Normal 21 2 6 5" xfId="23387" xr:uid="{00000000-0005-0000-0000-0000155C0000}"/>
    <cellStyle name="Normal 21 2 6_Order Book" xfId="23388" xr:uid="{00000000-0005-0000-0000-0000165C0000}"/>
    <cellStyle name="Normal 21 2 7" xfId="23389" xr:uid="{00000000-0005-0000-0000-0000175C0000}"/>
    <cellStyle name="Normal 21 2 7 2" xfId="23390" xr:uid="{00000000-0005-0000-0000-0000185C0000}"/>
    <cellStyle name="Normal 21 2 7 2 2" xfId="23391" xr:uid="{00000000-0005-0000-0000-0000195C0000}"/>
    <cellStyle name="Normal 21 2 7 2 3" xfId="23392" xr:uid="{00000000-0005-0000-0000-00001A5C0000}"/>
    <cellStyle name="Normal 21 2 7 3" xfId="23393" xr:uid="{00000000-0005-0000-0000-00001B5C0000}"/>
    <cellStyle name="Normal 21 2 7 4" xfId="23394" xr:uid="{00000000-0005-0000-0000-00001C5C0000}"/>
    <cellStyle name="Normal 21 2 7_Order Book" xfId="23395" xr:uid="{00000000-0005-0000-0000-00001D5C0000}"/>
    <cellStyle name="Normal 21 2 8" xfId="23396" xr:uid="{00000000-0005-0000-0000-00001E5C0000}"/>
    <cellStyle name="Normal 21 2 8 2" xfId="23397" xr:uid="{00000000-0005-0000-0000-00001F5C0000}"/>
    <cellStyle name="Normal 21 2 8 3" xfId="23398" xr:uid="{00000000-0005-0000-0000-0000205C0000}"/>
    <cellStyle name="Normal 21 2 9" xfId="23399" xr:uid="{00000000-0005-0000-0000-0000215C0000}"/>
    <cellStyle name="Normal 21 2_Order Book" xfId="23400" xr:uid="{00000000-0005-0000-0000-0000225C0000}"/>
    <cellStyle name="Normal 21 3" xfId="23401" xr:uid="{00000000-0005-0000-0000-0000235C0000}"/>
    <cellStyle name="Normal 21 3 2" xfId="23402" xr:uid="{00000000-0005-0000-0000-0000245C0000}"/>
    <cellStyle name="Normal 21 3 2 2" xfId="23403" xr:uid="{00000000-0005-0000-0000-0000255C0000}"/>
    <cellStyle name="Normal 21 3 2 2 2" xfId="23404" xr:uid="{00000000-0005-0000-0000-0000265C0000}"/>
    <cellStyle name="Normal 21 3 2 2 2 2" xfId="23405" xr:uid="{00000000-0005-0000-0000-0000275C0000}"/>
    <cellStyle name="Normal 21 3 2 2 2 3" xfId="23406" xr:uid="{00000000-0005-0000-0000-0000285C0000}"/>
    <cellStyle name="Normal 21 3 2 2 3" xfId="23407" xr:uid="{00000000-0005-0000-0000-0000295C0000}"/>
    <cellStyle name="Normal 21 3 2 2 4" xfId="23408" xr:uid="{00000000-0005-0000-0000-00002A5C0000}"/>
    <cellStyle name="Normal 21 3 2 2_Order Book" xfId="23409" xr:uid="{00000000-0005-0000-0000-00002B5C0000}"/>
    <cellStyle name="Normal 21 3 2 3" xfId="23410" xr:uid="{00000000-0005-0000-0000-00002C5C0000}"/>
    <cellStyle name="Normal 21 3 2 3 2" xfId="23411" xr:uid="{00000000-0005-0000-0000-00002D5C0000}"/>
    <cellStyle name="Normal 21 3 2 3 3" xfId="23412" xr:uid="{00000000-0005-0000-0000-00002E5C0000}"/>
    <cellStyle name="Normal 21 3 2 4" xfId="23413" xr:uid="{00000000-0005-0000-0000-00002F5C0000}"/>
    <cellStyle name="Normal 21 3 2 5" xfId="23414" xr:uid="{00000000-0005-0000-0000-0000305C0000}"/>
    <cellStyle name="Normal 21 3 2_Order Book" xfId="23415" xr:uid="{00000000-0005-0000-0000-0000315C0000}"/>
    <cellStyle name="Normal 21 3 3" xfId="23416" xr:uid="{00000000-0005-0000-0000-0000325C0000}"/>
    <cellStyle name="Normal 21 3 3 2" xfId="23417" xr:uid="{00000000-0005-0000-0000-0000335C0000}"/>
    <cellStyle name="Normal 21 3 3 2 2" xfId="23418" xr:uid="{00000000-0005-0000-0000-0000345C0000}"/>
    <cellStyle name="Normal 21 3 3 2 2 2" xfId="23419" xr:uid="{00000000-0005-0000-0000-0000355C0000}"/>
    <cellStyle name="Normal 21 3 3 2 2 3" xfId="23420" xr:uid="{00000000-0005-0000-0000-0000365C0000}"/>
    <cellStyle name="Normal 21 3 3 2 3" xfId="23421" xr:uid="{00000000-0005-0000-0000-0000375C0000}"/>
    <cellStyle name="Normal 21 3 3 2 4" xfId="23422" xr:uid="{00000000-0005-0000-0000-0000385C0000}"/>
    <cellStyle name="Normal 21 3 3 2_Order Book" xfId="23423" xr:uid="{00000000-0005-0000-0000-0000395C0000}"/>
    <cellStyle name="Normal 21 3 3 3" xfId="23424" xr:uid="{00000000-0005-0000-0000-00003A5C0000}"/>
    <cellStyle name="Normal 21 3 3 3 2" xfId="23425" xr:uid="{00000000-0005-0000-0000-00003B5C0000}"/>
    <cellStyle name="Normal 21 3 3 3 3" xfId="23426" xr:uid="{00000000-0005-0000-0000-00003C5C0000}"/>
    <cellStyle name="Normal 21 3 3 4" xfId="23427" xr:uid="{00000000-0005-0000-0000-00003D5C0000}"/>
    <cellStyle name="Normal 21 3 3 5" xfId="23428" xr:uid="{00000000-0005-0000-0000-00003E5C0000}"/>
    <cellStyle name="Normal 21 3 3_Order Book" xfId="23429" xr:uid="{00000000-0005-0000-0000-00003F5C0000}"/>
    <cellStyle name="Normal 21 3 4" xfId="23430" xr:uid="{00000000-0005-0000-0000-0000405C0000}"/>
    <cellStyle name="Normal 21 3 4 2" xfId="23431" xr:uid="{00000000-0005-0000-0000-0000415C0000}"/>
    <cellStyle name="Normal 21 3 4 2 2" xfId="23432" xr:uid="{00000000-0005-0000-0000-0000425C0000}"/>
    <cellStyle name="Normal 21 3 4 2 3" xfId="23433" xr:uid="{00000000-0005-0000-0000-0000435C0000}"/>
    <cellStyle name="Normal 21 3 4 3" xfId="23434" xr:uid="{00000000-0005-0000-0000-0000445C0000}"/>
    <cellStyle name="Normal 21 3 4 4" xfId="23435" xr:uid="{00000000-0005-0000-0000-0000455C0000}"/>
    <cellStyle name="Normal 21 3 4_Order Book" xfId="23436" xr:uid="{00000000-0005-0000-0000-0000465C0000}"/>
    <cellStyle name="Normal 21 3 5" xfId="23437" xr:uid="{00000000-0005-0000-0000-0000475C0000}"/>
    <cellStyle name="Normal 21 3 5 2" xfId="23438" xr:uid="{00000000-0005-0000-0000-0000485C0000}"/>
    <cellStyle name="Normal 21 3 5 3" xfId="23439" xr:uid="{00000000-0005-0000-0000-0000495C0000}"/>
    <cellStyle name="Normal 21 3 6" xfId="23440" xr:uid="{00000000-0005-0000-0000-00004A5C0000}"/>
    <cellStyle name="Normal 21 3 7" xfId="23441" xr:uid="{00000000-0005-0000-0000-00004B5C0000}"/>
    <cellStyle name="Normal 21 3 8" xfId="23442" xr:uid="{00000000-0005-0000-0000-00004C5C0000}"/>
    <cellStyle name="Normal 21 3_Order Book" xfId="23443" xr:uid="{00000000-0005-0000-0000-00004D5C0000}"/>
    <cellStyle name="Normal 21 4" xfId="23444" xr:uid="{00000000-0005-0000-0000-00004E5C0000}"/>
    <cellStyle name="Normal 21 4 2" xfId="23445" xr:uid="{00000000-0005-0000-0000-00004F5C0000}"/>
    <cellStyle name="Normal 21 4 2 2" xfId="23446" xr:uid="{00000000-0005-0000-0000-0000505C0000}"/>
    <cellStyle name="Normal 21 4 2 2 2" xfId="23447" xr:uid="{00000000-0005-0000-0000-0000515C0000}"/>
    <cellStyle name="Normal 21 4 2 2 2 2" xfId="23448" xr:uid="{00000000-0005-0000-0000-0000525C0000}"/>
    <cellStyle name="Normal 21 4 2 2 2 3" xfId="23449" xr:uid="{00000000-0005-0000-0000-0000535C0000}"/>
    <cellStyle name="Normal 21 4 2 2 3" xfId="23450" xr:uid="{00000000-0005-0000-0000-0000545C0000}"/>
    <cellStyle name="Normal 21 4 2 2 4" xfId="23451" xr:uid="{00000000-0005-0000-0000-0000555C0000}"/>
    <cellStyle name="Normal 21 4 2 2_Order Book" xfId="23452" xr:uid="{00000000-0005-0000-0000-0000565C0000}"/>
    <cellStyle name="Normal 21 4 2 3" xfId="23453" xr:uid="{00000000-0005-0000-0000-0000575C0000}"/>
    <cellStyle name="Normal 21 4 2 3 2" xfId="23454" xr:uid="{00000000-0005-0000-0000-0000585C0000}"/>
    <cellStyle name="Normal 21 4 2 3 3" xfId="23455" xr:uid="{00000000-0005-0000-0000-0000595C0000}"/>
    <cellStyle name="Normal 21 4 2 4" xfId="23456" xr:uid="{00000000-0005-0000-0000-00005A5C0000}"/>
    <cellStyle name="Normal 21 4 2 5" xfId="23457" xr:uid="{00000000-0005-0000-0000-00005B5C0000}"/>
    <cellStyle name="Normal 21 4 2_Order Book" xfId="23458" xr:uid="{00000000-0005-0000-0000-00005C5C0000}"/>
    <cellStyle name="Normal 21 4 3" xfId="23459" xr:uid="{00000000-0005-0000-0000-00005D5C0000}"/>
    <cellStyle name="Normal 21 4 3 2" xfId="23460" xr:uid="{00000000-0005-0000-0000-00005E5C0000}"/>
    <cellStyle name="Normal 21 4 3 2 2" xfId="23461" xr:uid="{00000000-0005-0000-0000-00005F5C0000}"/>
    <cellStyle name="Normal 21 4 3 2 3" xfId="23462" xr:uid="{00000000-0005-0000-0000-0000605C0000}"/>
    <cellStyle name="Normal 21 4 3 3" xfId="23463" xr:uid="{00000000-0005-0000-0000-0000615C0000}"/>
    <cellStyle name="Normal 21 4 3 4" xfId="23464" xr:uid="{00000000-0005-0000-0000-0000625C0000}"/>
    <cellStyle name="Normal 21 4 3_Order Book" xfId="23465" xr:uid="{00000000-0005-0000-0000-0000635C0000}"/>
    <cellStyle name="Normal 21 4 4" xfId="23466" xr:uid="{00000000-0005-0000-0000-0000645C0000}"/>
    <cellStyle name="Normal 21 4 4 2" xfId="23467" xr:uid="{00000000-0005-0000-0000-0000655C0000}"/>
    <cellStyle name="Normal 21 4 4 3" xfId="23468" xr:uid="{00000000-0005-0000-0000-0000665C0000}"/>
    <cellStyle name="Normal 21 4 5" xfId="23469" xr:uid="{00000000-0005-0000-0000-0000675C0000}"/>
    <cellStyle name="Normal 21 4 6" xfId="23470" xr:uid="{00000000-0005-0000-0000-0000685C0000}"/>
    <cellStyle name="Normal 21 4 7" xfId="23471" xr:uid="{00000000-0005-0000-0000-0000695C0000}"/>
    <cellStyle name="Normal 21 4_Order Book" xfId="23472" xr:uid="{00000000-0005-0000-0000-00006A5C0000}"/>
    <cellStyle name="Normal 21 5" xfId="23473" xr:uid="{00000000-0005-0000-0000-00006B5C0000}"/>
    <cellStyle name="Normal 21 5 2" xfId="23474" xr:uid="{00000000-0005-0000-0000-00006C5C0000}"/>
    <cellStyle name="Normal 21 5 2 2" xfId="23475" xr:uid="{00000000-0005-0000-0000-00006D5C0000}"/>
    <cellStyle name="Normal 21 5 2 2 2" xfId="23476" xr:uid="{00000000-0005-0000-0000-00006E5C0000}"/>
    <cellStyle name="Normal 21 5 2 2 3" xfId="23477" xr:uid="{00000000-0005-0000-0000-00006F5C0000}"/>
    <cellStyle name="Normal 21 5 2 3" xfId="23478" xr:uid="{00000000-0005-0000-0000-0000705C0000}"/>
    <cellStyle name="Normal 21 5 2 4" xfId="23479" xr:uid="{00000000-0005-0000-0000-0000715C0000}"/>
    <cellStyle name="Normal 21 5 2_Order Book" xfId="23480" xr:uid="{00000000-0005-0000-0000-0000725C0000}"/>
    <cellStyle name="Normal 21 5 3" xfId="23481" xr:uid="{00000000-0005-0000-0000-0000735C0000}"/>
    <cellStyle name="Normal 21 5 3 2" xfId="23482" xr:uid="{00000000-0005-0000-0000-0000745C0000}"/>
    <cellStyle name="Normal 21 5 3 3" xfId="23483" xr:uid="{00000000-0005-0000-0000-0000755C0000}"/>
    <cellStyle name="Normal 21 5 4" xfId="23484" xr:uid="{00000000-0005-0000-0000-0000765C0000}"/>
    <cellStyle name="Normal 21 5 5" xfId="23485" xr:uid="{00000000-0005-0000-0000-0000775C0000}"/>
    <cellStyle name="Normal 21 5 6" xfId="23486" xr:uid="{00000000-0005-0000-0000-0000785C0000}"/>
    <cellStyle name="Normal 21 5_Order Book" xfId="23487" xr:uid="{00000000-0005-0000-0000-0000795C0000}"/>
    <cellStyle name="Normal 21 6" xfId="23488" xr:uid="{00000000-0005-0000-0000-00007A5C0000}"/>
    <cellStyle name="Normal 21 6 2" xfId="23489" xr:uid="{00000000-0005-0000-0000-00007B5C0000}"/>
    <cellStyle name="Normal 21 6 2 2" xfId="23490" xr:uid="{00000000-0005-0000-0000-00007C5C0000}"/>
    <cellStyle name="Normal 21 6 2 2 2" xfId="23491" xr:uid="{00000000-0005-0000-0000-00007D5C0000}"/>
    <cellStyle name="Normal 21 6 2 2 3" xfId="23492" xr:uid="{00000000-0005-0000-0000-00007E5C0000}"/>
    <cellStyle name="Normal 21 6 2 3" xfId="23493" xr:uid="{00000000-0005-0000-0000-00007F5C0000}"/>
    <cellStyle name="Normal 21 6 2 4" xfId="23494" xr:uid="{00000000-0005-0000-0000-0000805C0000}"/>
    <cellStyle name="Normal 21 6 2_Order Book" xfId="23495" xr:uid="{00000000-0005-0000-0000-0000815C0000}"/>
    <cellStyle name="Normal 21 6 3" xfId="23496" xr:uid="{00000000-0005-0000-0000-0000825C0000}"/>
    <cellStyle name="Normal 21 6 3 2" xfId="23497" xr:uid="{00000000-0005-0000-0000-0000835C0000}"/>
    <cellStyle name="Normal 21 6 3 3" xfId="23498" xr:uid="{00000000-0005-0000-0000-0000845C0000}"/>
    <cellStyle name="Normal 21 6 4" xfId="23499" xr:uid="{00000000-0005-0000-0000-0000855C0000}"/>
    <cellStyle name="Normal 21 6 5" xfId="23500" xr:uid="{00000000-0005-0000-0000-0000865C0000}"/>
    <cellStyle name="Normal 21 6_Order Book" xfId="23501" xr:uid="{00000000-0005-0000-0000-0000875C0000}"/>
    <cellStyle name="Normal 21 7" xfId="23502" xr:uid="{00000000-0005-0000-0000-0000885C0000}"/>
    <cellStyle name="Normal 21 7 2" xfId="23503" xr:uid="{00000000-0005-0000-0000-0000895C0000}"/>
    <cellStyle name="Normal 21 7 2 2" xfId="23504" xr:uid="{00000000-0005-0000-0000-00008A5C0000}"/>
    <cellStyle name="Normal 21 7 2 2 2" xfId="23505" xr:uid="{00000000-0005-0000-0000-00008B5C0000}"/>
    <cellStyle name="Normal 21 7 2 2 3" xfId="23506" xr:uid="{00000000-0005-0000-0000-00008C5C0000}"/>
    <cellStyle name="Normal 21 7 2 3" xfId="23507" xr:uid="{00000000-0005-0000-0000-00008D5C0000}"/>
    <cellStyle name="Normal 21 7 2 4" xfId="23508" xr:uid="{00000000-0005-0000-0000-00008E5C0000}"/>
    <cellStyle name="Normal 21 7 2_Order Book" xfId="23509" xr:uid="{00000000-0005-0000-0000-00008F5C0000}"/>
    <cellStyle name="Normal 21 7 3" xfId="23510" xr:uid="{00000000-0005-0000-0000-0000905C0000}"/>
    <cellStyle name="Normal 21 7 3 2" xfId="23511" xr:uid="{00000000-0005-0000-0000-0000915C0000}"/>
    <cellStyle name="Normal 21 7 3 3" xfId="23512" xr:uid="{00000000-0005-0000-0000-0000925C0000}"/>
    <cellStyle name="Normal 21 7 4" xfId="23513" xr:uid="{00000000-0005-0000-0000-0000935C0000}"/>
    <cellStyle name="Normal 21 7 5" xfId="23514" xr:uid="{00000000-0005-0000-0000-0000945C0000}"/>
    <cellStyle name="Normal 21 7_Order Book" xfId="23515" xr:uid="{00000000-0005-0000-0000-0000955C0000}"/>
    <cellStyle name="Normal 21 8" xfId="23516" xr:uid="{00000000-0005-0000-0000-0000965C0000}"/>
    <cellStyle name="Normal 21 9" xfId="23517" xr:uid="{00000000-0005-0000-0000-0000975C0000}"/>
    <cellStyle name="Normal 21 9 2" xfId="23518" xr:uid="{00000000-0005-0000-0000-0000985C0000}"/>
    <cellStyle name="Normal 21 9 2 2" xfId="23519" xr:uid="{00000000-0005-0000-0000-0000995C0000}"/>
    <cellStyle name="Normal 21 9 2 3" xfId="23520" xr:uid="{00000000-0005-0000-0000-00009A5C0000}"/>
    <cellStyle name="Normal 21 9 3" xfId="23521" xr:uid="{00000000-0005-0000-0000-00009B5C0000}"/>
    <cellStyle name="Normal 21 9 4" xfId="23522" xr:uid="{00000000-0005-0000-0000-00009C5C0000}"/>
    <cellStyle name="Normal 21 9_Order Book" xfId="23523" xr:uid="{00000000-0005-0000-0000-00009D5C0000}"/>
    <cellStyle name="Normal 21_Order Book" xfId="23524" xr:uid="{00000000-0005-0000-0000-00009E5C0000}"/>
    <cellStyle name="Normal 210" xfId="2634" xr:uid="{00000000-0005-0000-0000-00009F5C0000}"/>
    <cellStyle name="Normal 210 10" xfId="23525" xr:uid="{00000000-0005-0000-0000-0000A05C0000}"/>
    <cellStyle name="Normal 210 11" xfId="23526" xr:uid="{00000000-0005-0000-0000-0000A15C0000}"/>
    <cellStyle name="Normal 210 12" xfId="23527" xr:uid="{00000000-0005-0000-0000-0000A25C0000}"/>
    <cellStyle name="Normal 210 2" xfId="23528" xr:uid="{00000000-0005-0000-0000-0000A35C0000}"/>
    <cellStyle name="Normal 210 2 2" xfId="23529" xr:uid="{00000000-0005-0000-0000-0000A45C0000}"/>
    <cellStyle name="Normal 210 2 2 2" xfId="23530" xr:uid="{00000000-0005-0000-0000-0000A55C0000}"/>
    <cellStyle name="Normal 210 2 2 2 2" xfId="23531" xr:uid="{00000000-0005-0000-0000-0000A65C0000}"/>
    <cellStyle name="Normal 210 2 2 2 2 2" xfId="23532" xr:uid="{00000000-0005-0000-0000-0000A75C0000}"/>
    <cellStyle name="Normal 210 2 2 2 2 3" xfId="23533" xr:uid="{00000000-0005-0000-0000-0000A85C0000}"/>
    <cellStyle name="Normal 210 2 2 2 3" xfId="23534" xr:uid="{00000000-0005-0000-0000-0000A95C0000}"/>
    <cellStyle name="Normal 210 2 2 2 3 2" xfId="23535" xr:uid="{00000000-0005-0000-0000-0000AA5C0000}"/>
    <cellStyle name="Normal 210 2 2 2 3 3" xfId="23536" xr:uid="{00000000-0005-0000-0000-0000AB5C0000}"/>
    <cellStyle name="Normal 210 2 2 2 4" xfId="23537" xr:uid="{00000000-0005-0000-0000-0000AC5C0000}"/>
    <cellStyle name="Normal 210 2 2 2 5" xfId="23538" xr:uid="{00000000-0005-0000-0000-0000AD5C0000}"/>
    <cellStyle name="Normal 210 2 2 2 6" xfId="23539" xr:uid="{00000000-0005-0000-0000-0000AE5C0000}"/>
    <cellStyle name="Normal 210 2 2 3" xfId="23540" xr:uid="{00000000-0005-0000-0000-0000AF5C0000}"/>
    <cellStyle name="Normal 210 2 2 3 2" xfId="23541" xr:uid="{00000000-0005-0000-0000-0000B05C0000}"/>
    <cellStyle name="Normal 210 2 2 3 3" xfId="23542" xr:uid="{00000000-0005-0000-0000-0000B15C0000}"/>
    <cellStyle name="Normal 210 2 2 4" xfId="23543" xr:uid="{00000000-0005-0000-0000-0000B25C0000}"/>
    <cellStyle name="Normal 210 2 2 4 2" xfId="23544" xr:uid="{00000000-0005-0000-0000-0000B35C0000}"/>
    <cellStyle name="Normal 210 2 2 4 3" xfId="23545" xr:uid="{00000000-0005-0000-0000-0000B45C0000}"/>
    <cellStyle name="Normal 210 2 2 5" xfId="23546" xr:uid="{00000000-0005-0000-0000-0000B55C0000}"/>
    <cellStyle name="Normal 210 2 2 6" xfId="23547" xr:uid="{00000000-0005-0000-0000-0000B65C0000}"/>
    <cellStyle name="Normal 210 2 2 7" xfId="23548" xr:uid="{00000000-0005-0000-0000-0000B75C0000}"/>
    <cellStyle name="Normal 210 2 2 8" xfId="23549" xr:uid="{00000000-0005-0000-0000-0000B85C0000}"/>
    <cellStyle name="Normal 210 2 3" xfId="23550" xr:uid="{00000000-0005-0000-0000-0000B95C0000}"/>
    <cellStyle name="Normal 210 2 3 2" xfId="23551" xr:uid="{00000000-0005-0000-0000-0000BA5C0000}"/>
    <cellStyle name="Normal 210 2 3 2 2" xfId="23552" xr:uid="{00000000-0005-0000-0000-0000BB5C0000}"/>
    <cellStyle name="Normal 210 2 3 2 3" xfId="23553" xr:uid="{00000000-0005-0000-0000-0000BC5C0000}"/>
    <cellStyle name="Normal 210 2 3 3" xfId="23554" xr:uid="{00000000-0005-0000-0000-0000BD5C0000}"/>
    <cellStyle name="Normal 210 2 3 3 2" xfId="23555" xr:uid="{00000000-0005-0000-0000-0000BE5C0000}"/>
    <cellStyle name="Normal 210 2 3 3 3" xfId="23556" xr:uid="{00000000-0005-0000-0000-0000BF5C0000}"/>
    <cellStyle name="Normal 210 2 3 4" xfId="23557" xr:uid="{00000000-0005-0000-0000-0000C05C0000}"/>
    <cellStyle name="Normal 210 2 3 5" xfId="23558" xr:uid="{00000000-0005-0000-0000-0000C15C0000}"/>
    <cellStyle name="Normal 210 2 3 6" xfId="23559" xr:uid="{00000000-0005-0000-0000-0000C25C0000}"/>
    <cellStyle name="Normal 210 2 4" xfId="23560" xr:uid="{00000000-0005-0000-0000-0000C35C0000}"/>
    <cellStyle name="Normal 210 2 4 2" xfId="23561" xr:uid="{00000000-0005-0000-0000-0000C45C0000}"/>
    <cellStyle name="Normal 210 2 4 3" xfId="23562" xr:uid="{00000000-0005-0000-0000-0000C55C0000}"/>
    <cellStyle name="Normal 210 2 5" xfId="23563" xr:uid="{00000000-0005-0000-0000-0000C65C0000}"/>
    <cellStyle name="Normal 210 2 5 2" xfId="23564" xr:uid="{00000000-0005-0000-0000-0000C75C0000}"/>
    <cellStyle name="Normal 210 2 5 3" xfId="23565" xr:uid="{00000000-0005-0000-0000-0000C85C0000}"/>
    <cellStyle name="Normal 210 2 6" xfId="23566" xr:uid="{00000000-0005-0000-0000-0000C95C0000}"/>
    <cellStyle name="Normal 210 2 7" xfId="23567" xr:uid="{00000000-0005-0000-0000-0000CA5C0000}"/>
    <cellStyle name="Normal 210 2 8" xfId="23568" xr:uid="{00000000-0005-0000-0000-0000CB5C0000}"/>
    <cellStyle name="Normal 210 2 9" xfId="23569" xr:uid="{00000000-0005-0000-0000-0000CC5C0000}"/>
    <cellStyle name="Normal 210 3" xfId="23570" xr:uid="{00000000-0005-0000-0000-0000CD5C0000}"/>
    <cellStyle name="Normal 210 3 2" xfId="23571" xr:uid="{00000000-0005-0000-0000-0000CE5C0000}"/>
    <cellStyle name="Normal 210 3 2 2" xfId="23572" xr:uid="{00000000-0005-0000-0000-0000CF5C0000}"/>
    <cellStyle name="Normal 210 3 2 2 2" xfId="23573" xr:uid="{00000000-0005-0000-0000-0000D05C0000}"/>
    <cellStyle name="Normal 210 3 2 2 3" xfId="23574" xr:uid="{00000000-0005-0000-0000-0000D15C0000}"/>
    <cellStyle name="Normal 210 3 2 3" xfId="23575" xr:uid="{00000000-0005-0000-0000-0000D25C0000}"/>
    <cellStyle name="Normal 210 3 2 3 2" xfId="23576" xr:uid="{00000000-0005-0000-0000-0000D35C0000}"/>
    <cellStyle name="Normal 210 3 2 3 3" xfId="23577" xr:uid="{00000000-0005-0000-0000-0000D45C0000}"/>
    <cellStyle name="Normal 210 3 2 4" xfId="23578" xr:uid="{00000000-0005-0000-0000-0000D55C0000}"/>
    <cellStyle name="Normal 210 3 2 5" xfId="23579" xr:uid="{00000000-0005-0000-0000-0000D65C0000}"/>
    <cellStyle name="Normal 210 3 2 6" xfId="23580" xr:uid="{00000000-0005-0000-0000-0000D75C0000}"/>
    <cellStyle name="Normal 210 3 3" xfId="23581" xr:uid="{00000000-0005-0000-0000-0000D85C0000}"/>
    <cellStyle name="Normal 210 3 3 2" xfId="23582" xr:uid="{00000000-0005-0000-0000-0000D95C0000}"/>
    <cellStyle name="Normal 210 3 3 3" xfId="23583" xr:uid="{00000000-0005-0000-0000-0000DA5C0000}"/>
    <cellStyle name="Normal 210 3 4" xfId="23584" xr:uid="{00000000-0005-0000-0000-0000DB5C0000}"/>
    <cellStyle name="Normal 210 3 4 2" xfId="23585" xr:uid="{00000000-0005-0000-0000-0000DC5C0000}"/>
    <cellStyle name="Normal 210 3 4 3" xfId="23586" xr:uid="{00000000-0005-0000-0000-0000DD5C0000}"/>
    <cellStyle name="Normal 210 3 5" xfId="23587" xr:uid="{00000000-0005-0000-0000-0000DE5C0000}"/>
    <cellStyle name="Normal 210 3 6" xfId="23588" xr:uid="{00000000-0005-0000-0000-0000DF5C0000}"/>
    <cellStyle name="Normal 210 3 7" xfId="23589" xr:uid="{00000000-0005-0000-0000-0000E05C0000}"/>
    <cellStyle name="Normal 210 3 8" xfId="23590" xr:uid="{00000000-0005-0000-0000-0000E15C0000}"/>
    <cellStyle name="Normal 210 4" xfId="23591" xr:uid="{00000000-0005-0000-0000-0000E25C0000}"/>
    <cellStyle name="Normal 210 4 2" xfId="23592" xr:uid="{00000000-0005-0000-0000-0000E35C0000}"/>
    <cellStyle name="Normal 210 4 2 2" xfId="23593" xr:uid="{00000000-0005-0000-0000-0000E45C0000}"/>
    <cellStyle name="Normal 210 4 2 3" xfId="23594" xr:uid="{00000000-0005-0000-0000-0000E55C0000}"/>
    <cellStyle name="Normal 210 4 3" xfId="23595" xr:uid="{00000000-0005-0000-0000-0000E65C0000}"/>
    <cellStyle name="Normal 210 4 3 2" xfId="23596" xr:uid="{00000000-0005-0000-0000-0000E75C0000}"/>
    <cellStyle name="Normal 210 4 3 3" xfId="23597" xr:uid="{00000000-0005-0000-0000-0000E85C0000}"/>
    <cellStyle name="Normal 210 4 4" xfId="23598" xr:uid="{00000000-0005-0000-0000-0000E95C0000}"/>
    <cellStyle name="Normal 210 4 5" xfId="23599" xr:uid="{00000000-0005-0000-0000-0000EA5C0000}"/>
    <cellStyle name="Normal 210 4 6" xfId="23600" xr:uid="{00000000-0005-0000-0000-0000EB5C0000}"/>
    <cellStyle name="Normal 210 5" xfId="23601" xr:uid="{00000000-0005-0000-0000-0000EC5C0000}"/>
    <cellStyle name="Normal 210 5 2" xfId="23602" xr:uid="{00000000-0005-0000-0000-0000ED5C0000}"/>
    <cellStyle name="Normal 210 5 3" xfId="23603" xr:uid="{00000000-0005-0000-0000-0000EE5C0000}"/>
    <cellStyle name="Normal 210 6" xfId="23604" xr:uid="{00000000-0005-0000-0000-0000EF5C0000}"/>
    <cellStyle name="Normal 210 6 2" xfId="23605" xr:uid="{00000000-0005-0000-0000-0000F05C0000}"/>
    <cellStyle name="Normal 210 6 3" xfId="23606" xr:uid="{00000000-0005-0000-0000-0000F15C0000}"/>
    <cellStyle name="Normal 210 7" xfId="23607" xr:uid="{00000000-0005-0000-0000-0000F25C0000}"/>
    <cellStyle name="Normal 210 8" xfId="23608" xr:uid="{00000000-0005-0000-0000-0000F35C0000}"/>
    <cellStyle name="Normal 210 9" xfId="23609" xr:uid="{00000000-0005-0000-0000-0000F45C0000}"/>
    <cellStyle name="Normal 211" xfId="2635" xr:uid="{00000000-0005-0000-0000-0000F55C0000}"/>
    <cellStyle name="Normal 211 10" xfId="23610" xr:uid="{00000000-0005-0000-0000-0000F65C0000}"/>
    <cellStyle name="Normal 211 11" xfId="23611" xr:uid="{00000000-0005-0000-0000-0000F75C0000}"/>
    <cellStyle name="Normal 211 12" xfId="23612" xr:uid="{00000000-0005-0000-0000-0000F85C0000}"/>
    <cellStyle name="Normal 211 2" xfId="23613" xr:uid="{00000000-0005-0000-0000-0000F95C0000}"/>
    <cellStyle name="Normal 211 2 2" xfId="23614" xr:uid="{00000000-0005-0000-0000-0000FA5C0000}"/>
    <cellStyle name="Normal 211 2 2 2" xfId="23615" xr:uid="{00000000-0005-0000-0000-0000FB5C0000}"/>
    <cellStyle name="Normal 211 2 2 2 2" xfId="23616" xr:uid="{00000000-0005-0000-0000-0000FC5C0000}"/>
    <cellStyle name="Normal 211 2 2 2 2 2" xfId="23617" xr:uid="{00000000-0005-0000-0000-0000FD5C0000}"/>
    <cellStyle name="Normal 211 2 2 2 2 3" xfId="23618" xr:uid="{00000000-0005-0000-0000-0000FE5C0000}"/>
    <cellStyle name="Normal 211 2 2 2 3" xfId="23619" xr:uid="{00000000-0005-0000-0000-0000FF5C0000}"/>
    <cellStyle name="Normal 211 2 2 2 3 2" xfId="23620" xr:uid="{00000000-0005-0000-0000-0000005D0000}"/>
    <cellStyle name="Normal 211 2 2 2 3 3" xfId="23621" xr:uid="{00000000-0005-0000-0000-0000015D0000}"/>
    <cellStyle name="Normal 211 2 2 2 4" xfId="23622" xr:uid="{00000000-0005-0000-0000-0000025D0000}"/>
    <cellStyle name="Normal 211 2 2 2 5" xfId="23623" xr:uid="{00000000-0005-0000-0000-0000035D0000}"/>
    <cellStyle name="Normal 211 2 2 2 6" xfId="23624" xr:uid="{00000000-0005-0000-0000-0000045D0000}"/>
    <cellStyle name="Normal 211 2 2 3" xfId="23625" xr:uid="{00000000-0005-0000-0000-0000055D0000}"/>
    <cellStyle name="Normal 211 2 2 3 2" xfId="23626" xr:uid="{00000000-0005-0000-0000-0000065D0000}"/>
    <cellStyle name="Normal 211 2 2 3 3" xfId="23627" xr:uid="{00000000-0005-0000-0000-0000075D0000}"/>
    <cellStyle name="Normal 211 2 2 4" xfId="23628" xr:uid="{00000000-0005-0000-0000-0000085D0000}"/>
    <cellStyle name="Normal 211 2 2 4 2" xfId="23629" xr:uid="{00000000-0005-0000-0000-0000095D0000}"/>
    <cellStyle name="Normal 211 2 2 4 3" xfId="23630" xr:uid="{00000000-0005-0000-0000-00000A5D0000}"/>
    <cellStyle name="Normal 211 2 2 5" xfId="23631" xr:uid="{00000000-0005-0000-0000-00000B5D0000}"/>
    <cellStyle name="Normal 211 2 2 6" xfId="23632" xr:uid="{00000000-0005-0000-0000-00000C5D0000}"/>
    <cellStyle name="Normal 211 2 2 7" xfId="23633" xr:uid="{00000000-0005-0000-0000-00000D5D0000}"/>
    <cellStyle name="Normal 211 2 2 8" xfId="23634" xr:uid="{00000000-0005-0000-0000-00000E5D0000}"/>
    <cellStyle name="Normal 211 2 3" xfId="23635" xr:uid="{00000000-0005-0000-0000-00000F5D0000}"/>
    <cellStyle name="Normal 211 2 3 2" xfId="23636" xr:uid="{00000000-0005-0000-0000-0000105D0000}"/>
    <cellStyle name="Normal 211 2 3 2 2" xfId="23637" xr:uid="{00000000-0005-0000-0000-0000115D0000}"/>
    <cellStyle name="Normal 211 2 3 2 3" xfId="23638" xr:uid="{00000000-0005-0000-0000-0000125D0000}"/>
    <cellStyle name="Normal 211 2 3 3" xfId="23639" xr:uid="{00000000-0005-0000-0000-0000135D0000}"/>
    <cellStyle name="Normal 211 2 3 3 2" xfId="23640" xr:uid="{00000000-0005-0000-0000-0000145D0000}"/>
    <cellStyle name="Normal 211 2 3 3 3" xfId="23641" xr:uid="{00000000-0005-0000-0000-0000155D0000}"/>
    <cellStyle name="Normal 211 2 3 4" xfId="23642" xr:uid="{00000000-0005-0000-0000-0000165D0000}"/>
    <cellStyle name="Normal 211 2 3 5" xfId="23643" xr:uid="{00000000-0005-0000-0000-0000175D0000}"/>
    <cellStyle name="Normal 211 2 3 6" xfId="23644" xr:uid="{00000000-0005-0000-0000-0000185D0000}"/>
    <cellStyle name="Normal 211 2 4" xfId="23645" xr:uid="{00000000-0005-0000-0000-0000195D0000}"/>
    <cellStyle name="Normal 211 2 4 2" xfId="23646" xr:uid="{00000000-0005-0000-0000-00001A5D0000}"/>
    <cellStyle name="Normal 211 2 4 3" xfId="23647" xr:uid="{00000000-0005-0000-0000-00001B5D0000}"/>
    <cellStyle name="Normal 211 2 5" xfId="23648" xr:uid="{00000000-0005-0000-0000-00001C5D0000}"/>
    <cellStyle name="Normal 211 2 5 2" xfId="23649" xr:uid="{00000000-0005-0000-0000-00001D5D0000}"/>
    <cellStyle name="Normal 211 2 5 3" xfId="23650" xr:uid="{00000000-0005-0000-0000-00001E5D0000}"/>
    <cellStyle name="Normal 211 2 6" xfId="23651" xr:uid="{00000000-0005-0000-0000-00001F5D0000}"/>
    <cellStyle name="Normal 211 2 7" xfId="23652" xr:uid="{00000000-0005-0000-0000-0000205D0000}"/>
    <cellStyle name="Normal 211 2 8" xfId="23653" xr:uid="{00000000-0005-0000-0000-0000215D0000}"/>
    <cellStyle name="Normal 211 2 9" xfId="23654" xr:uid="{00000000-0005-0000-0000-0000225D0000}"/>
    <cellStyle name="Normal 211 3" xfId="23655" xr:uid="{00000000-0005-0000-0000-0000235D0000}"/>
    <cellStyle name="Normal 211 3 2" xfId="23656" xr:uid="{00000000-0005-0000-0000-0000245D0000}"/>
    <cellStyle name="Normal 211 3 2 2" xfId="23657" xr:uid="{00000000-0005-0000-0000-0000255D0000}"/>
    <cellStyle name="Normal 211 3 2 2 2" xfId="23658" xr:uid="{00000000-0005-0000-0000-0000265D0000}"/>
    <cellStyle name="Normal 211 3 2 2 3" xfId="23659" xr:uid="{00000000-0005-0000-0000-0000275D0000}"/>
    <cellStyle name="Normal 211 3 2 3" xfId="23660" xr:uid="{00000000-0005-0000-0000-0000285D0000}"/>
    <cellStyle name="Normal 211 3 2 3 2" xfId="23661" xr:uid="{00000000-0005-0000-0000-0000295D0000}"/>
    <cellStyle name="Normal 211 3 2 3 3" xfId="23662" xr:uid="{00000000-0005-0000-0000-00002A5D0000}"/>
    <cellStyle name="Normal 211 3 2 4" xfId="23663" xr:uid="{00000000-0005-0000-0000-00002B5D0000}"/>
    <cellStyle name="Normal 211 3 2 5" xfId="23664" xr:uid="{00000000-0005-0000-0000-00002C5D0000}"/>
    <cellStyle name="Normal 211 3 2 6" xfId="23665" xr:uid="{00000000-0005-0000-0000-00002D5D0000}"/>
    <cellStyle name="Normal 211 3 3" xfId="23666" xr:uid="{00000000-0005-0000-0000-00002E5D0000}"/>
    <cellStyle name="Normal 211 3 3 2" xfId="23667" xr:uid="{00000000-0005-0000-0000-00002F5D0000}"/>
    <cellStyle name="Normal 211 3 3 3" xfId="23668" xr:uid="{00000000-0005-0000-0000-0000305D0000}"/>
    <cellStyle name="Normal 211 3 4" xfId="23669" xr:uid="{00000000-0005-0000-0000-0000315D0000}"/>
    <cellStyle name="Normal 211 3 4 2" xfId="23670" xr:uid="{00000000-0005-0000-0000-0000325D0000}"/>
    <cellStyle name="Normal 211 3 4 3" xfId="23671" xr:uid="{00000000-0005-0000-0000-0000335D0000}"/>
    <cellStyle name="Normal 211 3 5" xfId="23672" xr:uid="{00000000-0005-0000-0000-0000345D0000}"/>
    <cellStyle name="Normal 211 3 6" xfId="23673" xr:uid="{00000000-0005-0000-0000-0000355D0000}"/>
    <cellStyle name="Normal 211 3 7" xfId="23674" xr:uid="{00000000-0005-0000-0000-0000365D0000}"/>
    <cellStyle name="Normal 211 3 8" xfId="23675" xr:uid="{00000000-0005-0000-0000-0000375D0000}"/>
    <cellStyle name="Normal 211 4" xfId="23676" xr:uid="{00000000-0005-0000-0000-0000385D0000}"/>
    <cellStyle name="Normal 211 4 2" xfId="23677" xr:uid="{00000000-0005-0000-0000-0000395D0000}"/>
    <cellStyle name="Normal 211 4 2 2" xfId="23678" xr:uid="{00000000-0005-0000-0000-00003A5D0000}"/>
    <cellStyle name="Normal 211 4 2 3" xfId="23679" xr:uid="{00000000-0005-0000-0000-00003B5D0000}"/>
    <cellStyle name="Normal 211 4 3" xfId="23680" xr:uid="{00000000-0005-0000-0000-00003C5D0000}"/>
    <cellStyle name="Normal 211 4 3 2" xfId="23681" xr:uid="{00000000-0005-0000-0000-00003D5D0000}"/>
    <cellStyle name="Normal 211 4 3 3" xfId="23682" xr:uid="{00000000-0005-0000-0000-00003E5D0000}"/>
    <cellStyle name="Normal 211 4 4" xfId="23683" xr:uid="{00000000-0005-0000-0000-00003F5D0000}"/>
    <cellStyle name="Normal 211 4 5" xfId="23684" xr:uid="{00000000-0005-0000-0000-0000405D0000}"/>
    <cellStyle name="Normal 211 4 6" xfId="23685" xr:uid="{00000000-0005-0000-0000-0000415D0000}"/>
    <cellStyle name="Normal 211 5" xfId="23686" xr:uid="{00000000-0005-0000-0000-0000425D0000}"/>
    <cellStyle name="Normal 211 5 2" xfId="23687" xr:uid="{00000000-0005-0000-0000-0000435D0000}"/>
    <cellStyle name="Normal 211 5 3" xfId="23688" xr:uid="{00000000-0005-0000-0000-0000445D0000}"/>
    <cellStyle name="Normal 211 6" xfId="23689" xr:uid="{00000000-0005-0000-0000-0000455D0000}"/>
    <cellStyle name="Normal 211 6 2" xfId="23690" xr:uid="{00000000-0005-0000-0000-0000465D0000}"/>
    <cellStyle name="Normal 211 6 3" xfId="23691" xr:uid="{00000000-0005-0000-0000-0000475D0000}"/>
    <cellStyle name="Normal 211 7" xfId="23692" xr:uid="{00000000-0005-0000-0000-0000485D0000}"/>
    <cellStyle name="Normal 211 8" xfId="23693" xr:uid="{00000000-0005-0000-0000-0000495D0000}"/>
    <cellStyle name="Normal 211 9" xfId="23694" xr:uid="{00000000-0005-0000-0000-00004A5D0000}"/>
    <cellStyle name="Normal 212" xfId="2636" xr:uid="{00000000-0005-0000-0000-00004B5D0000}"/>
    <cellStyle name="Normal 212 10" xfId="23695" xr:uid="{00000000-0005-0000-0000-00004C5D0000}"/>
    <cellStyle name="Normal 212 11" xfId="23696" xr:uid="{00000000-0005-0000-0000-00004D5D0000}"/>
    <cellStyle name="Normal 212 12" xfId="23697" xr:uid="{00000000-0005-0000-0000-00004E5D0000}"/>
    <cellStyle name="Normal 212 2" xfId="23698" xr:uid="{00000000-0005-0000-0000-00004F5D0000}"/>
    <cellStyle name="Normal 212 2 2" xfId="23699" xr:uid="{00000000-0005-0000-0000-0000505D0000}"/>
    <cellStyle name="Normal 212 2 2 2" xfId="23700" xr:uid="{00000000-0005-0000-0000-0000515D0000}"/>
    <cellStyle name="Normal 212 2 2 2 2" xfId="23701" xr:uid="{00000000-0005-0000-0000-0000525D0000}"/>
    <cellStyle name="Normal 212 2 2 2 2 2" xfId="23702" xr:uid="{00000000-0005-0000-0000-0000535D0000}"/>
    <cellStyle name="Normal 212 2 2 2 2 3" xfId="23703" xr:uid="{00000000-0005-0000-0000-0000545D0000}"/>
    <cellStyle name="Normal 212 2 2 2 3" xfId="23704" xr:uid="{00000000-0005-0000-0000-0000555D0000}"/>
    <cellStyle name="Normal 212 2 2 2 3 2" xfId="23705" xr:uid="{00000000-0005-0000-0000-0000565D0000}"/>
    <cellStyle name="Normal 212 2 2 2 3 3" xfId="23706" xr:uid="{00000000-0005-0000-0000-0000575D0000}"/>
    <cellStyle name="Normal 212 2 2 2 4" xfId="23707" xr:uid="{00000000-0005-0000-0000-0000585D0000}"/>
    <cellStyle name="Normal 212 2 2 2 5" xfId="23708" xr:uid="{00000000-0005-0000-0000-0000595D0000}"/>
    <cellStyle name="Normal 212 2 2 2 6" xfId="23709" xr:uid="{00000000-0005-0000-0000-00005A5D0000}"/>
    <cellStyle name="Normal 212 2 2 3" xfId="23710" xr:uid="{00000000-0005-0000-0000-00005B5D0000}"/>
    <cellStyle name="Normal 212 2 2 3 2" xfId="23711" xr:uid="{00000000-0005-0000-0000-00005C5D0000}"/>
    <cellStyle name="Normal 212 2 2 3 3" xfId="23712" xr:uid="{00000000-0005-0000-0000-00005D5D0000}"/>
    <cellStyle name="Normal 212 2 2 4" xfId="23713" xr:uid="{00000000-0005-0000-0000-00005E5D0000}"/>
    <cellStyle name="Normal 212 2 2 4 2" xfId="23714" xr:uid="{00000000-0005-0000-0000-00005F5D0000}"/>
    <cellStyle name="Normal 212 2 2 4 3" xfId="23715" xr:uid="{00000000-0005-0000-0000-0000605D0000}"/>
    <cellStyle name="Normal 212 2 2 5" xfId="23716" xr:uid="{00000000-0005-0000-0000-0000615D0000}"/>
    <cellStyle name="Normal 212 2 2 6" xfId="23717" xr:uid="{00000000-0005-0000-0000-0000625D0000}"/>
    <cellStyle name="Normal 212 2 2 7" xfId="23718" xr:uid="{00000000-0005-0000-0000-0000635D0000}"/>
    <cellStyle name="Normal 212 2 2 8" xfId="23719" xr:uid="{00000000-0005-0000-0000-0000645D0000}"/>
    <cellStyle name="Normal 212 2 3" xfId="23720" xr:uid="{00000000-0005-0000-0000-0000655D0000}"/>
    <cellStyle name="Normal 212 2 3 2" xfId="23721" xr:uid="{00000000-0005-0000-0000-0000665D0000}"/>
    <cellStyle name="Normal 212 2 3 2 2" xfId="23722" xr:uid="{00000000-0005-0000-0000-0000675D0000}"/>
    <cellStyle name="Normal 212 2 3 2 3" xfId="23723" xr:uid="{00000000-0005-0000-0000-0000685D0000}"/>
    <cellStyle name="Normal 212 2 3 3" xfId="23724" xr:uid="{00000000-0005-0000-0000-0000695D0000}"/>
    <cellStyle name="Normal 212 2 3 3 2" xfId="23725" xr:uid="{00000000-0005-0000-0000-00006A5D0000}"/>
    <cellStyle name="Normal 212 2 3 3 3" xfId="23726" xr:uid="{00000000-0005-0000-0000-00006B5D0000}"/>
    <cellStyle name="Normal 212 2 3 4" xfId="23727" xr:uid="{00000000-0005-0000-0000-00006C5D0000}"/>
    <cellStyle name="Normal 212 2 3 5" xfId="23728" xr:uid="{00000000-0005-0000-0000-00006D5D0000}"/>
    <cellStyle name="Normal 212 2 3 6" xfId="23729" xr:uid="{00000000-0005-0000-0000-00006E5D0000}"/>
    <cellStyle name="Normal 212 2 4" xfId="23730" xr:uid="{00000000-0005-0000-0000-00006F5D0000}"/>
    <cellStyle name="Normal 212 2 4 2" xfId="23731" xr:uid="{00000000-0005-0000-0000-0000705D0000}"/>
    <cellStyle name="Normal 212 2 4 3" xfId="23732" xr:uid="{00000000-0005-0000-0000-0000715D0000}"/>
    <cellStyle name="Normal 212 2 5" xfId="23733" xr:uid="{00000000-0005-0000-0000-0000725D0000}"/>
    <cellStyle name="Normal 212 2 5 2" xfId="23734" xr:uid="{00000000-0005-0000-0000-0000735D0000}"/>
    <cellStyle name="Normal 212 2 5 3" xfId="23735" xr:uid="{00000000-0005-0000-0000-0000745D0000}"/>
    <cellStyle name="Normal 212 2 6" xfId="23736" xr:uid="{00000000-0005-0000-0000-0000755D0000}"/>
    <cellStyle name="Normal 212 2 7" xfId="23737" xr:uid="{00000000-0005-0000-0000-0000765D0000}"/>
    <cellStyle name="Normal 212 2 8" xfId="23738" xr:uid="{00000000-0005-0000-0000-0000775D0000}"/>
    <cellStyle name="Normal 212 2 9" xfId="23739" xr:uid="{00000000-0005-0000-0000-0000785D0000}"/>
    <cellStyle name="Normal 212 3" xfId="23740" xr:uid="{00000000-0005-0000-0000-0000795D0000}"/>
    <cellStyle name="Normal 212 3 2" xfId="23741" xr:uid="{00000000-0005-0000-0000-00007A5D0000}"/>
    <cellStyle name="Normal 212 3 2 2" xfId="23742" xr:uid="{00000000-0005-0000-0000-00007B5D0000}"/>
    <cellStyle name="Normal 212 3 2 2 2" xfId="23743" xr:uid="{00000000-0005-0000-0000-00007C5D0000}"/>
    <cellStyle name="Normal 212 3 2 2 3" xfId="23744" xr:uid="{00000000-0005-0000-0000-00007D5D0000}"/>
    <cellStyle name="Normal 212 3 2 3" xfId="23745" xr:uid="{00000000-0005-0000-0000-00007E5D0000}"/>
    <cellStyle name="Normal 212 3 2 3 2" xfId="23746" xr:uid="{00000000-0005-0000-0000-00007F5D0000}"/>
    <cellStyle name="Normal 212 3 2 3 3" xfId="23747" xr:uid="{00000000-0005-0000-0000-0000805D0000}"/>
    <cellStyle name="Normal 212 3 2 4" xfId="23748" xr:uid="{00000000-0005-0000-0000-0000815D0000}"/>
    <cellStyle name="Normal 212 3 2 5" xfId="23749" xr:uid="{00000000-0005-0000-0000-0000825D0000}"/>
    <cellStyle name="Normal 212 3 2 6" xfId="23750" xr:uid="{00000000-0005-0000-0000-0000835D0000}"/>
    <cellStyle name="Normal 212 3 3" xfId="23751" xr:uid="{00000000-0005-0000-0000-0000845D0000}"/>
    <cellStyle name="Normal 212 3 3 2" xfId="23752" xr:uid="{00000000-0005-0000-0000-0000855D0000}"/>
    <cellStyle name="Normal 212 3 3 3" xfId="23753" xr:uid="{00000000-0005-0000-0000-0000865D0000}"/>
    <cellStyle name="Normal 212 3 4" xfId="23754" xr:uid="{00000000-0005-0000-0000-0000875D0000}"/>
    <cellStyle name="Normal 212 3 4 2" xfId="23755" xr:uid="{00000000-0005-0000-0000-0000885D0000}"/>
    <cellStyle name="Normal 212 3 4 3" xfId="23756" xr:uid="{00000000-0005-0000-0000-0000895D0000}"/>
    <cellStyle name="Normal 212 3 5" xfId="23757" xr:uid="{00000000-0005-0000-0000-00008A5D0000}"/>
    <cellStyle name="Normal 212 3 6" xfId="23758" xr:uid="{00000000-0005-0000-0000-00008B5D0000}"/>
    <cellStyle name="Normal 212 3 7" xfId="23759" xr:uid="{00000000-0005-0000-0000-00008C5D0000}"/>
    <cellStyle name="Normal 212 3 8" xfId="23760" xr:uid="{00000000-0005-0000-0000-00008D5D0000}"/>
    <cellStyle name="Normal 212 4" xfId="23761" xr:uid="{00000000-0005-0000-0000-00008E5D0000}"/>
    <cellStyle name="Normal 212 4 2" xfId="23762" xr:uid="{00000000-0005-0000-0000-00008F5D0000}"/>
    <cellStyle name="Normal 212 4 2 2" xfId="23763" xr:uid="{00000000-0005-0000-0000-0000905D0000}"/>
    <cellStyle name="Normal 212 4 2 3" xfId="23764" xr:uid="{00000000-0005-0000-0000-0000915D0000}"/>
    <cellStyle name="Normal 212 4 3" xfId="23765" xr:uid="{00000000-0005-0000-0000-0000925D0000}"/>
    <cellStyle name="Normal 212 4 3 2" xfId="23766" xr:uid="{00000000-0005-0000-0000-0000935D0000}"/>
    <cellStyle name="Normal 212 4 3 3" xfId="23767" xr:uid="{00000000-0005-0000-0000-0000945D0000}"/>
    <cellStyle name="Normal 212 4 4" xfId="23768" xr:uid="{00000000-0005-0000-0000-0000955D0000}"/>
    <cellStyle name="Normal 212 4 5" xfId="23769" xr:uid="{00000000-0005-0000-0000-0000965D0000}"/>
    <cellStyle name="Normal 212 4 6" xfId="23770" xr:uid="{00000000-0005-0000-0000-0000975D0000}"/>
    <cellStyle name="Normal 212 5" xfId="23771" xr:uid="{00000000-0005-0000-0000-0000985D0000}"/>
    <cellStyle name="Normal 212 5 2" xfId="23772" xr:uid="{00000000-0005-0000-0000-0000995D0000}"/>
    <cellStyle name="Normal 212 5 3" xfId="23773" xr:uid="{00000000-0005-0000-0000-00009A5D0000}"/>
    <cellStyle name="Normal 212 6" xfId="23774" xr:uid="{00000000-0005-0000-0000-00009B5D0000}"/>
    <cellStyle name="Normal 212 6 2" xfId="23775" xr:uid="{00000000-0005-0000-0000-00009C5D0000}"/>
    <cellStyle name="Normal 212 6 3" xfId="23776" xr:uid="{00000000-0005-0000-0000-00009D5D0000}"/>
    <cellStyle name="Normal 212 7" xfId="23777" xr:uid="{00000000-0005-0000-0000-00009E5D0000}"/>
    <cellStyle name="Normal 212 8" xfId="23778" xr:uid="{00000000-0005-0000-0000-00009F5D0000}"/>
    <cellStyle name="Normal 212 9" xfId="23779" xr:uid="{00000000-0005-0000-0000-0000A05D0000}"/>
    <cellStyle name="Normal 213" xfId="2637" xr:uid="{00000000-0005-0000-0000-0000A15D0000}"/>
    <cellStyle name="Normal 213 10" xfId="23780" xr:uid="{00000000-0005-0000-0000-0000A25D0000}"/>
    <cellStyle name="Normal 213 11" xfId="23781" xr:uid="{00000000-0005-0000-0000-0000A35D0000}"/>
    <cellStyle name="Normal 213 12" xfId="23782" xr:uid="{00000000-0005-0000-0000-0000A45D0000}"/>
    <cellStyle name="Normal 213 2" xfId="23783" xr:uid="{00000000-0005-0000-0000-0000A55D0000}"/>
    <cellStyle name="Normal 213 2 2" xfId="23784" xr:uid="{00000000-0005-0000-0000-0000A65D0000}"/>
    <cellStyle name="Normal 213 2 2 2" xfId="23785" xr:uid="{00000000-0005-0000-0000-0000A75D0000}"/>
    <cellStyle name="Normal 213 2 2 2 2" xfId="23786" xr:uid="{00000000-0005-0000-0000-0000A85D0000}"/>
    <cellStyle name="Normal 213 2 2 2 2 2" xfId="23787" xr:uid="{00000000-0005-0000-0000-0000A95D0000}"/>
    <cellStyle name="Normal 213 2 2 2 2 3" xfId="23788" xr:uid="{00000000-0005-0000-0000-0000AA5D0000}"/>
    <cellStyle name="Normal 213 2 2 2 3" xfId="23789" xr:uid="{00000000-0005-0000-0000-0000AB5D0000}"/>
    <cellStyle name="Normal 213 2 2 2 3 2" xfId="23790" xr:uid="{00000000-0005-0000-0000-0000AC5D0000}"/>
    <cellStyle name="Normal 213 2 2 2 3 3" xfId="23791" xr:uid="{00000000-0005-0000-0000-0000AD5D0000}"/>
    <cellStyle name="Normal 213 2 2 2 4" xfId="23792" xr:uid="{00000000-0005-0000-0000-0000AE5D0000}"/>
    <cellStyle name="Normal 213 2 2 2 5" xfId="23793" xr:uid="{00000000-0005-0000-0000-0000AF5D0000}"/>
    <cellStyle name="Normal 213 2 2 2 6" xfId="23794" xr:uid="{00000000-0005-0000-0000-0000B05D0000}"/>
    <cellStyle name="Normal 213 2 2 3" xfId="23795" xr:uid="{00000000-0005-0000-0000-0000B15D0000}"/>
    <cellStyle name="Normal 213 2 2 3 2" xfId="23796" xr:uid="{00000000-0005-0000-0000-0000B25D0000}"/>
    <cellStyle name="Normal 213 2 2 3 3" xfId="23797" xr:uid="{00000000-0005-0000-0000-0000B35D0000}"/>
    <cellStyle name="Normal 213 2 2 4" xfId="23798" xr:uid="{00000000-0005-0000-0000-0000B45D0000}"/>
    <cellStyle name="Normal 213 2 2 4 2" xfId="23799" xr:uid="{00000000-0005-0000-0000-0000B55D0000}"/>
    <cellStyle name="Normal 213 2 2 4 3" xfId="23800" xr:uid="{00000000-0005-0000-0000-0000B65D0000}"/>
    <cellStyle name="Normal 213 2 2 5" xfId="23801" xr:uid="{00000000-0005-0000-0000-0000B75D0000}"/>
    <cellStyle name="Normal 213 2 2 6" xfId="23802" xr:uid="{00000000-0005-0000-0000-0000B85D0000}"/>
    <cellStyle name="Normal 213 2 2 7" xfId="23803" xr:uid="{00000000-0005-0000-0000-0000B95D0000}"/>
    <cellStyle name="Normal 213 2 2 8" xfId="23804" xr:uid="{00000000-0005-0000-0000-0000BA5D0000}"/>
    <cellStyle name="Normal 213 2 3" xfId="23805" xr:uid="{00000000-0005-0000-0000-0000BB5D0000}"/>
    <cellStyle name="Normal 213 2 3 2" xfId="23806" xr:uid="{00000000-0005-0000-0000-0000BC5D0000}"/>
    <cellStyle name="Normal 213 2 3 2 2" xfId="23807" xr:uid="{00000000-0005-0000-0000-0000BD5D0000}"/>
    <cellStyle name="Normal 213 2 3 2 3" xfId="23808" xr:uid="{00000000-0005-0000-0000-0000BE5D0000}"/>
    <cellStyle name="Normal 213 2 3 3" xfId="23809" xr:uid="{00000000-0005-0000-0000-0000BF5D0000}"/>
    <cellStyle name="Normal 213 2 3 3 2" xfId="23810" xr:uid="{00000000-0005-0000-0000-0000C05D0000}"/>
    <cellStyle name="Normal 213 2 3 3 3" xfId="23811" xr:uid="{00000000-0005-0000-0000-0000C15D0000}"/>
    <cellStyle name="Normal 213 2 3 4" xfId="23812" xr:uid="{00000000-0005-0000-0000-0000C25D0000}"/>
    <cellStyle name="Normal 213 2 3 5" xfId="23813" xr:uid="{00000000-0005-0000-0000-0000C35D0000}"/>
    <cellStyle name="Normal 213 2 3 6" xfId="23814" xr:uid="{00000000-0005-0000-0000-0000C45D0000}"/>
    <cellStyle name="Normal 213 2 4" xfId="23815" xr:uid="{00000000-0005-0000-0000-0000C55D0000}"/>
    <cellStyle name="Normal 213 2 4 2" xfId="23816" xr:uid="{00000000-0005-0000-0000-0000C65D0000}"/>
    <cellStyle name="Normal 213 2 4 3" xfId="23817" xr:uid="{00000000-0005-0000-0000-0000C75D0000}"/>
    <cellStyle name="Normal 213 2 5" xfId="23818" xr:uid="{00000000-0005-0000-0000-0000C85D0000}"/>
    <cellStyle name="Normal 213 2 5 2" xfId="23819" xr:uid="{00000000-0005-0000-0000-0000C95D0000}"/>
    <cellStyle name="Normal 213 2 5 3" xfId="23820" xr:uid="{00000000-0005-0000-0000-0000CA5D0000}"/>
    <cellStyle name="Normal 213 2 6" xfId="23821" xr:uid="{00000000-0005-0000-0000-0000CB5D0000}"/>
    <cellStyle name="Normal 213 2 7" xfId="23822" xr:uid="{00000000-0005-0000-0000-0000CC5D0000}"/>
    <cellStyle name="Normal 213 2 8" xfId="23823" xr:uid="{00000000-0005-0000-0000-0000CD5D0000}"/>
    <cellStyle name="Normal 213 2 9" xfId="23824" xr:uid="{00000000-0005-0000-0000-0000CE5D0000}"/>
    <cellStyle name="Normal 213 3" xfId="23825" xr:uid="{00000000-0005-0000-0000-0000CF5D0000}"/>
    <cellStyle name="Normal 213 3 2" xfId="23826" xr:uid="{00000000-0005-0000-0000-0000D05D0000}"/>
    <cellStyle name="Normal 213 3 2 2" xfId="23827" xr:uid="{00000000-0005-0000-0000-0000D15D0000}"/>
    <cellStyle name="Normal 213 3 2 2 2" xfId="23828" xr:uid="{00000000-0005-0000-0000-0000D25D0000}"/>
    <cellStyle name="Normal 213 3 2 2 3" xfId="23829" xr:uid="{00000000-0005-0000-0000-0000D35D0000}"/>
    <cellStyle name="Normal 213 3 2 3" xfId="23830" xr:uid="{00000000-0005-0000-0000-0000D45D0000}"/>
    <cellStyle name="Normal 213 3 2 3 2" xfId="23831" xr:uid="{00000000-0005-0000-0000-0000D55D0000}"/>
    <cellStyle name="Normal 213 3 2 3 3" xfId="23832" xr:uid="{00000000-0005-0000-0000-0000D65D0000}"/>
    <cellStyle name="Normal 213 3 2 4" xfId="23833" xr:uid="{00000000-0005-0000-0000-0000D75D0000}"/>
    <cellStyle name="Normal 213 3 2 5" xfId="23834" xr:uid="{00000000-0005-0000-0000-0000D85D0000}"/>
    <cellStyle name="Normal 213 3 2 6" xfId="23835" xr:uid="{00000000-0005-0000-0000-0000D95D0000}"/>
    <cellStyle name="Normal 213 3 3" xfId="23836" xr:uid="{00000000-0005-0000-0000-0000DA5D0000}"/>
    <cellStyle name="Normal 213 3 3 2" xfId="23837" xr:uid="{00000000-0005-0000-0000-0000DB5D0000}"/>
    <cellStyle name="Normal 213 3 3 3" xfId="23838" xr:uid="{00000000-0005-0000-0000-0000DC5D0000}"/>
    <cellStyle name="Normal 213 3 4" xfId="23839" xr:uid="{00000000-0005-0000-0000-0000DD5D0000}"/>
    <cellStyle name="Normal 213 3 4 2" xfId="23840" xr:uid="{00000000-0005-0000-0000-0000DE5D0000}"/>
    <cellStyle name="Normal 213 3 4 3" xfId="23841" xr:uid="{00000000-0005-0000-0000-0000DF5D0000}"/>
    <cellStyle name="Normal 213 3 5" xfId="23842" xr:uid="{00000000-0005-0000-0000-0000E05D0000}"/>
    <cellStyle name="Normal 213 3 6" xfId="23843" xr:uid="{00000000-0005-0000-0000-0000E15D0000}"/>
    <cellStyle name="Normal 213 3 7" xfId="23844" xr:uid="{00000000-0005-0000-0000-0000E25D0000}"/>
    <cellStyle name="Normal 213 3 8" xfId="23845" xr:uid="{00000000-0005-0000-0000-0000E35D0000}"/>
    <cellStyle name="Normal 213 4" xfId="23846" xr:uid="{00000000-0005-0000-0000-0000E45D0000}"/>
    <cellStyle name="Normal 213 4 2" xfId="23847" xr:uid="{00000000-0005-0000-0000-0000E55D0000}"/>
    <cellStyle name="Normal 213 4 2 2" xfId="23848" xr:uid="{00000000-0005-0000-0000-0000E65D0000}"/>
    <cellStyle name="Normal 213 4 2 3" xfId="23849" xr:uid="{00000000-0005-0000-0000-0000E75D0000}"/>
    <cellStyle name="Normal 213 4 3" xfId="23850" xr:uid="{00000000-0005-0000-0000-0000E85D0000}"/>
    <cellStyle name="Normal 213 4 3 2" xfId="23851" xr:uid="{00000000-0005-0000-0000-0000E95D0000}"/>
    <cellStyle name="Normal 213 4 3 3" xfId="23852" xr:uid="{00000000-0005-0000-0000-0000EA5D0000}"/>
    <cellStyle name="Normal 213 4 4" xfId="23853" xr:uid="{00000000-0005-0000-0000-0000EB5D0000}"/>
    <cellStyle name="Normal 213 4 5" xfId="23854" xr:uid="{00000000-0005-0000-0000-0000EC5D0000}"/>
    <cellStyle name="Normal 213 4 6" xfId="23855" xr:uid="{00000000-0005-0000-0000-0000ED5D0000}"/>
    <cellStyle name="Normal 213 5" xfId="23856" xr:uid="{00000000-0005-0000-0000-0000EE5D0000}"/>
    <cellStyle name="Normal 213 5 2" xfId="23857" xr:uid="{00000000-0005-0000-0000-0000EF5D0000}"/>
    <cellStyle name="Normal 213 5 3" xfId="23858" xr:uid="{00000000-0005-0000-0000-0000F05D0000}"/>
    <cellStyle name="Normal 213 6" xfId="23859" xr:uid="{00000000-0005-0000-0000-0000F15D0000}"/>
    <cellStyle name="Normal 213 6 2" xfId="23860" xr:uid="{00000000-0005-0000-0000-0000F25D0000}"/>
    <cellStyle name="Normal 213 6 3" xfId="23861" xr:uid="{00000000-0005-0000-0000-0000F35D0000}"/>
    <cellStyle name="Normal 213 7" xfId="23862" xr:uid="{00000000-0005-0000-0000-0000F45D0000}"/>
    <cellStyle name="Normal 213 8" xfId="23863" xr:uid="{00000000-0005-0000-0000-0000F55D0000}"/>
    <cellStyle name="Normal 213 9" xfId="23864" xr:uid="{00000000-0005-0000-0000-0000F65D0000}"/>
    <cellStyle name="Normal 214" xfId="2638" xr:uid="{00000000-0005-0000-0000-0000F75D0000}"/>
    <cellStyle name="Normal 214 10" xfId="23865" xr:uid="{00000000-0005-0000-0000-0000F85D0000}"/>
    <cellStyle name="Normal 214 11" xfId="23866" xr:uid="{00000000-0005-0000-0000-0000F95D0000}"/>
    <cellStyle name="Normal 214 12" xfId="23867" xr:uid="{00000000-0005-0000-0000-0000FA5D0000}"/>
    <cellStyle name="Normal 214 2" xfId="23868" xr:uid="{00000000-0005-0000-0000-0000FB5D0000}"/>
    <cellStyle name="Normal 214 2 2" xfId="23869" xr:uid="{00000000-0005-0000-0000-0000FC5D0000}"/>
    <cellStyle name="Normal 214 2 2 2" xfId="23870" xr:uid="{00000000-0005-0000-0000-0000FD5D0000}"/>
    <cellStyle name="Normal 214 2 2 2 2" xfId="23871" xr:uid="{00000000-0005-0000-0000-0000FE5D0000}"/>
    <cellStyle name="Normal 214 2 2 2 2 2" xfId="23872" xr:uid="{00000000-0005-0000-0000-0000FF5D0000}"/>
    <cellStyle name="Normal 214 2 2 2 2 3" xfId="23873" xr:uid="{00000000-0005-0000-0000-0000005E0000}"/>
    <cellStyle name="Normal 214 2 2 2 3" xfId="23874" xr:uid="{00000000-0005-0000-0000-0000015E0000}"/>
    <cellStyle name="Normal 214 2 2 2 3 2" xfId="23875" xr:uid="{00000000-0005-0000-0000-0000025E0000}"/>
    <cellStyle name="Normal 214 2 2 2 3 3" xfId="23876" xr:uid="{00000000-0005-0000-0000-0000035E0000}"/>
    <cellStyle name="Normal 214 2 2 2 4" xfId="23877" xr:uid="{00000000-0005-0000-0000-0000045E0000}"/>
    <cellStyle name="Normal 214 2 2 2 5" xfId="23878" xr:uid="{00000000-0005-0000-0000-0000055E0000}"/>
    <cellStyle name="Normal 214 2 2 2 6" xfId="23879" xr:uid="{00000000-0005-0000-0000-0000065E0000}"/>
    <cellStyle name="Normal 214 2 2 3" xfId="23880" xr:uid="{00000000-0005-0000-0000-0000075E0000}"/>
    <cellStyle name="Normal 214 2 2 3 2" xfId="23881" xr:uid="{00000000-0005-0000-0000-0000085E0000}"/>
    <cellStyle name="Normal 214 2 2 3 3" xfId="23882" xr:uid="{00000000-0005-0000-0000-0000095E0000}"/>
    <cellStyle name="Normal 214 2 2 4" xfId="23883" xr:uid="{00000000-0005-0000-0000-00000A5E0000}"/>
    <cellStyle name="Normal 214 2 2 4 2" xfId="23884" xr:uid="{00000000-0005-0000-0000-00000B5E0000}"/>
    <cellStyle name="Normal 214 2 2 4 3" xfId="23885" xr:uid="{00000000-0005-0000-0000-00000C5E0000}"/>
    <cellStyle name="Normal 214 2 2 5" xfId="23886" xr:uid="{00000000-0005-0000-0000-00000D5E0000}"/>
    <cellStyle name="Normal 214 2 2 6" xfId="23887" xr:uid="{00000000-0005-0000-0000-00000E5E0000}"/>
    <cellStyle name="Normal 214 2 2 7" xfId="23888" xr:uid="{00000000-0005-0000-0000-00000F5E0000}"/>
    <cellStyle name="Normal 214 2 2 8" xfId="23889" xr:uid="{00000000-0005-0000-0000-0000105E0000}"/>
    <cellStyle name="Normal 214 2 3" xfId="23890" xr:uid="{00000000-0005-0000-0000-0000115E0000}"/>
    <cellStyle name="Normal 214 2 3 2" xfId="23891" xr:uid="{00000000-0005-0000-0000-0000125E0000}"/>
    <cellStyle name="Normal 214 2 3 2 2" xfId="23892" xr:uid="{00000000-0005-0000-0000-0000135E0000}"/>
    <cellStyle name="Normal 214 2 3 2 3" xfId="23893" xr:uid="{00000000-0005-0000-0000-0000145E0000}"/>
    <cellStyle name="Normal 214 2 3 3" xfId="23894" xr:uid="{00000000-0005-0000-0000-0000155E0000}"/>
    <cellStyle name="Normal 214 2 3 3 2" xfId="23895" xr:uid="{00000000-0005-0000-0000-0000165E0000}"/>
    <cellStyle name="Normal 214 2 3 3 3" xfId="23896" xr:uid="{00000000-0005-0000-0000-0000175E0000}"/>
    <cellStyle name="Normal 214 2 3 4" xfId="23897" xr:uid="{00000000-0005-0000-0000-0000185E0000}"/>
    <cellStyle name="Normal 214 2 3 5" xfId="23898" xr:uid="{00000000-0005-0000-0000-0000195E0000}"/>
    <cellStyle name="Normal 214 2 3 6" xfId="23899" xr:uid="{00000000-0005-0000-0000-00001A5E0000}"/>
    <cellStyle name="Normal 214 2 4" xfId="23900" xr:uid="{00000000-0005-0000-0000-00001B5E0000}"/>
    <cellStyle name="Normal 214 2 4 2" xfId="23901" xr:uid="{00000000-0005-0000-0000-00001C5E0000}"/>
    <cellStyle name="Normal 214 2 4 3" xfId="23902" xr:uid="{00000000-0005-0000-0000-00001D5E0000}"/>
    <cellStyle name="Normal 214 2 5" xfId="23903" xr:uid="{00000000-0005-0000-0000-00001E5E0000}"/>
    <cellStyle name="Normal 214 2 5 2" xfId="23904" xr:uid="{00000000-0005-0000-0000-00001F5E0000}"/>
    <cellStyle name="Normal 214 2 5 3" xfId="23905" xr:uid="{00000000-0005-0000-0000-0000205E0000}"/>
    <cellStyle name="Normal 214 2 6" xfId="23906" xr:uid="{00000000-0005-0000-0000-0000215E0000}"/>
    <cellStyle name="Normal 214 2 7" xfId="23907" xr:uid="{00000000-0005-0000-0000-0000225E0000}"/>
    <cellStyle name="Normal 214 2 8" xfId="23908" xr:uid="{00000000-0005-0000-0000-0000235E0000}"/>
    <cellStyle name="Normal 214 2 9" xfId="23909" xr:uid="{00000000-0005-0000-0000-0000245E0000}"/>
    <cellStyle name="Normal 214 3" xfId="23910" xr:uid="{00000000-0005-0000-0000-0000255E0000}"/>
    <cellStyle name="Normal 214 3 2" xfId="23911" xr:uid="{00000000-0005-0000-0000-0000265E0000}"/>
    <cellStyle name="Normal 214 3 2 2" xfId="23912" xr:uid="{00000000-0005-0000-0000-0000275E0000}"/>
    <cellStyle name="Normal 214 3 2 2 2" xfId="23913" xr:uid="{00000000-0005-0000-0000-0000285E0000}"/>
    <cellStyle name="Normal 214 3 2 2 3" xfId="23914" xr:uid="{00000000-0005-0000-0000-0000295E0000}"/>
    <cellStyle name="Normal 214 3 2 3" xfId="23915" xr:uid="{00000000-0005-0000-0000-00002A5E0000}"/>
    <cellStyle name="Normal 214 3 2 3 2" xfId="23916" xr:uid="{00000000-0005-0000-0000-00002B5E0000}"/>
    <cellStyle name="Normal 214 3 2 3 3" xfId="23917" xr:uid="{00000000-0005-0000-0000-00002C5E0000}"/>
    <cellStyle name="Normal 214 3 2 4" xfId="23918" xr:uid="{00000000-0005-0000-0000-00002D5E0000}"/>
    <cellStyle name="Normal 214 3 2 5" xfId="23919" xr:uid="{00000000-0005-0000-0000-00002E5E0000}"/>
    <cellStyle name="Normal 214 3 2 6" xfId="23920" xr:uid="{00000000-0005-0000-0000-00002F5E0000}"/>
    <cellStyle name="Normal 214 3 3" xfId="23921" xr:uid="{00000000-0005-0000-0000-0000305E0000}"/>
    <cellStyle name="Normal 214 3 3 2" xfId="23922" xr:uid="{00000000-0005-0000-0000-0000315E0000}"/>
    <cellStyle name="Normal 214 3 3 3" xfId="23923" xr:uid="{00000000-0005-0000-0000-0000325E0000}"/>
    <cellStyle name="Normal 214 3 4" xfId="23924" xr:uid="{00000000-0005-0000-0000-0000335E0000}"/>
    <cellStyle name="Normal 214 3 4 2" xfId="23925" xr:uid="{00000000-0005-0000-0000-0000345E0000}"/>
    <cellStyle name="Normal 214 3 4 3" xfId="23926" xr:uid="{00000000-0005-0000-0000-0000355E0000}"/>
    <cellStyle name="Normal 214 3 5" xfId="23927" xr:uid="{00000000-0005-0000-0000-0000365E0000}"/>
    <cellStyle name="Normal 214 3 6" xfId="23928" xr:uid="{00000000-0005-0000-0000-0000375E0000}"/>
    <cellStyle name="Normal 214 3 7" xfId="23929" xr:uid="{00000000-0005-0000-0000-0000385E0000}"/>
    <cellStyle name="Normal 214 3 8" xfId="23930" xr:uid="{00000000-0005-0000-0000-0000395E0000}"/>
    <cellStyle name="Normal 214 4" xfId="23931" xr:uid="{00000000-0005-0000-0000-00003A5E0000}"/>
    <cellStyle name="Normal 214 4 2" xfId="23932" xr:uid="{00000000-0005-0000-0000-00003B5E0000}"/>
    <cellStyle name="Normal 214 4 2 2" xfId="23933" xr:uid="{00000000-0005-0000-0000-00003C5E0000}"/>
    <cellStyle name="Normal 214 4 2 3" xfId="23934" xr:uid="{00000000-0005-0000-0000-00003D5E0000}"/>
    <cellStyle name="Normal 214 4 3" xfId="23935" xr:uid="{00000000-0005-0000-0000-00003E5E0000}"/>
    <cellStyle name="Normal 214 4 3 2" xfId="23936" xr:uid="{00000000-0005-0000-0000-00003F5E0000}"/>
    <cellStyle name="Normal 214 4 3 3" xfId="23937" xr:uid="{00000000-0005-0000-0000-0000405E0000}"/>
    <cellStyle name="Normal 214 4 4" xfId="23938" xr:uid="{00000000-0005-0000-0000-0000415E0000}"/>
    <cellStyle name="Normal 214 4 5" xfId="23939" xr:uid="{00000000-0005-0000-0000-0000425E0000}"/>
    <cellStyle name="Normal 214 4 6" xfId="23940" xr:uid="{00000000-0005-0000-0000-0000435E0000}"/>
    <cellStyle name="Normal 214 5" xfId="23941" xr:uid="{00000000-0005-0000-0000-0000445E0000}"/>
    <cellStyle name="Normal 214 5 2" xfId="23942" xr:uid="{00000000-0005-0000-0000-0000455E0000}"/>
    <cellStyle name="Normal 214 5 3" xfId="23943" xr:uid="{00000000-0005-0000-0000-0000465E0000}"/>
    <cellStyle name="Normal 214 6" xfId="23944" xr:uid="{00000000-0005-0000-0000-0000475E0000}"/>
    <cellStyle name="Normal 214 6 2" xfId="23945" xr:uid="{00000000-0005-0000-0000-0000485E0000}"/>
    <cellStyle name="Normal 214 6 3" xfId="23946" xr:uid="{00000000-0005-0000-0000-0000495E0000}"/>
    <cellStyle name="Normal 214 7" xfId="23947" xr:uid="{00000000-0005-0000-0000-00004A5E0000}"/>
    <cellStyle name="Normal 214 8" xfId="23948" xr:uid="{00000000-0005-0000-0000-00004B5E0000}"/>
    <cellStyle name="Normal 214 9" xfId="23949" xr:uid="{00000000-0005-0000-0000-00004C5E0000}"/>
    <cellStyle name="Normal 215" xfId="2639" xr:uid="{00000000-0005-0000-0000-00004D5E0000}"/>
    <cellStyle name="Normal 215 10" xfId="23950" xr:uid="{00000000-0005-0000-0000-00004E5E0000}"/>
    <cellStyle name="Normal 215 11" xfId="23951" xr:uid="{00000000-0005-0000-0000-00004F5E0000}"/>
    <cellStyle name="Normal 215 12" xfId="23952" xr:uid="{00000000-0005-0000-0000-0000505E0000}"/>
    <cellStyle name="Normal 215 2" xfId="23953" xr:uid="{00000000-0005-0000-0000-0000515E0000}"/>
    <cellStyle name="Normal 215 2 2" xfId="23954" xr:uid="{00000000-0005-0000-0000-0000525E0000}"/>
    <cellStyle name="Normal 215 2 2 2" xfId="23955" xr:uid="{00000000-0005-0000-0000-0000535E0000}"/>
    <cellStyle name="Normal 215 2 2 2 2" xfId="23956" xr:uid="{00000000-0005-0000-0000-0000545E0000}"/>
    <cellStyle name="Normal 215 2 2 2 2 2" xfId="23957" xr:uid="{00000000-0005-0000-0000-0000555E0000}"/>
    <cellStyle name="Normal 215 2 2 2 2 3" xfId="23958" xr:uid="{00000000-0005-0000-0000-0000565E0000}"/>
    <cellStyle name="Normal 215 2 2 2 3" xfId="23959" xr:uid="{00000000-0005-0000-0000-0000575E0000}"/>
    <cellStyle name="Normal 215 2 2 2 3 2" xfId="23960" xr:uid="{00000000-0005-0000-0000-0000585E0000}"/>
    <cellStyle name="Normal 215 2 2 2 3 3" xfId="23961" xr:uid="{00000000-0005-0000-0000-0000595E0000}"/>
    <cellStyle name="Normal 215 2 2 2 4" xfId="23962" xr:uid="{00000000-0005-0000-0000-00005A5E0000}"/>
    <cellStyle name="Normal 215 2 2 2 5" xfId="23963" xr:uid="{00000000-0005-0000-0000-00005B5E0000}"/>
    <cellStyle name="Normal 215 2 2 2 6" xfId="23964" xr:uid="{00000000-0005-0000-0000-00005C5E0000}"/>
    <cellStyle name="Normal 215 2 2 3" xfId="23965" xr:uid="{00000000-0005-0000-0000-00005D5E0000}"/>
    <cellStyle name="Normal 215 2 2 3 2" xfId="23966" xr:uid="{00000000-0005-0000-0000-00005E5E0000}"/>
    <cellStyle name="Normal 215 2 2 3 3" xfId="23967" xr:uid="{00000000-0005-0000-0000-00005F5E0000}"/>
    <cellStyle name="Normal 215 2 2 4" xfId="23968" xr:uid="{00000000-0005-0000-0000-0000605E0000}"/>
    <cellStyle name="Normal 215 2 2 4 2" xfId="23969" xr:uid="{00000000-0005-0000-0000-0000615E0000}"/>
    <cellStyle name="Normal 215 2 2 4 3" xfId="23970" xr:uid="{00000000-0005-0000-0000-0000625E0000}"/>
    <cellStyle name="Normal 215 2 2 5" xfId="23971" xr:uid="{00000000-0005-0000-0000-0000635E0000}"/>
    <cellStyle name="Normal 215 2 2 6" xfId="23972" xr:uid="{00000000-0005-0000-0000-0000645E0000}"/>
    <cellStyle name="Normal 215 2 2 7" xfId="23973" xr:uid="{00000000-0005-0000-0000-0000655E0000}"/>
    <cellStyle name="Normal 215 2 2 8" xfId="23974" xr:uid="{00000000-0005-0000-0000-0000665E0000}"/>
    <cellStyle name="Normal 215 2 3" xfId="23975" xr:uid="{00000000-0005-0000-0000-0000675E0000}"/>
    <cellStyle name="Normal 215 2 3 2" xfId="23976" xr:uid="{00000000-0005-0000-0000-0000685E0000}"/>
    <cellStyle name="Normal 215 2 3 2 2" xfId="23977" xr:uid="{00000000-0005-0000-0000-0000695E0000}"/>
    <cellStyle name="Normal 215 2 3 2 3" xfId="23978" xr:uid="{00000000-0005-0000-0000-00006A5E0000}"/>
    <cellStyle name="Normal 215 2 3 3" xfId="23979" xr:uid="{00000000-0005-0000-0000-00006B5E0000}"/>
    <cellStyle name="Normal 215 2 3 3 2" xfId="23980" xr:uid="{00000000-0005-0000-0000-00006C5E0000}"/>
    <cellStyle name="Normal 215 2 3 3 3" xfId="23981" xr:uid="{00000000-0005-0000-0000-00006D5E0000}"/>
    <cellStyle name="Normal 215 2 3 4" xfId="23982" xr:uid="{00000000-0005-0000-0000-00006E5E0000}"/>
    <cellStyle name="Normal 215 2 3 5" xfId="23983" xr:uid="{00000000-0005-0000-0000-00006F5E0000}"/>
    <cellStyle name="Normal 215 2 3 6" xfId="23984" xr:uid="{00000000-0005-0000-0000-0000705E0000}"/>
    <cellStyle name="Normal 215 2 4" xfId="23985" xr:uid="{00000000-0005-0000-0000-0000715E0000}"/>
    <cellStyle name="Normal 215 2 4 2" xfId="23986" xr:uid="{00000000-0005-0000-0000-0000725E0000}"/>
    <cellStyle name="Normal 215 2 4 3" xfId="23987" xr:uid="{00000000-0005-0000-0000-0000735E0000}"/>
    <cellStyle name="Normal 215 2 5" xfId="23988" xr:uid="{00000000-0005-0000-0000-0000745E0000}"/>
    <cellStyle name="Normal 215 2 5 2" xfId="23989" xr:uid="{00000000-0005-0000-0000-0000755E0000}"/>
    <cellStyle name="Normal 215 2 5 3" xfId="23990" xr:uid="{00000000-0005-0000-0000-0000765E0000}"/>
    <cellStyle name="Normal 215 2 6" xfId="23991" xr:uid="{00000000-0005-0000-0000-0000775E0000}"/>
    <cellStyle name="Normal 215 2 7" xfId="23992" xr:uid="{00000000-0005-0000-0000-0000785E0000}"/>
    <cellStyle name="Normal 215 2 8" xfId="23993" xr:uid="{00000000-0005-0000-0000-0000795E0000}"/>
    <cellStyle name="Normal 215 2 9" xfId="23994" xr:uid="{00000000-0005-0000-0000-00007A5E0000}"/>
    <cellStyle name="Normal 215 3" xfId="23995" xr:uid="{00000000-0005-0000-0000-00007B5E0000}"/>
    <cellStyle name="Normal 215 3 2" xfId="23996" xr:uid="{00000000-0005-0000-0000-00007C5E0000}"/>
    <cellStyle name="Normal 215 3 2 2" xfId="23997" xr:uid="{00000000-0005-0000-0000-00007D5E0000}"/>
    <cellStyle name="Normal 215 3 2 2 2" xfId="23998" xr:uid="{00000000-0005-0000-0000-00007E5E0000}"/>
    <cellStyle name="Normal 215 3 2 2 3" xfId="23999" xr:uid="{00000000-0005-0000-0000-00007F5E0000}"/>
    <cellStyle name="Normal 215 3 2 3" xfId="24000" xr:uid="{00000000-0005-0000-0000-0000805E0000}"/>
    <cellStyle name="Normal 215 3 2 3 2" xfId="24001" xr:uid="{00000000-0005-0000-0000-0000815E0000}"/>
    <cellStyle name="Normal 215 3 2 3 3" xfId="24002" xr:uid="{00000000-0005-0000-0000-0000825E0000}"/>
    <cellStyle name="Normal 215 3 2 4" xfId="24003" xr:uid="{00000000-0005-0000-0000-0000835E0000}"/>
    <cellStyle name="Normal 215 3 2 5" xfId="24004" xr:uid="{00000000-0005-0000-0000-0000845E0000}"/>
    <cellStyle name="Normal 215 3 2 6" xfId="24005" xr:uid="{00000000-0005-0000-0000-0000855E0000}"/>
    <cellStyle name="Normal 215 3 3" xfId="24006" xr:uid="{00000000-0005-0000-0000-0000865E0000}"/>
    <cellStyle name="Normal 215 3 3 2" xfId="24007" xr:uid="{00000000-0005-0000-0000-0000875E0000}"/>
    <cellStyle name="Normal 215 3 3 3" xfId="24008" xr:uid="{00000000-0005-0000-0000-0000885E0000}"/>
    <cellStyle name="Normal 215 3 4" xfId="24009" xr:uid="{00000000-0005-0000-0000-0000895E0000}"/>
    <cellStyle name="Normal 215 3 4 2" xfId="24010" xr:uid="{00000000-0005-0000-0000-00008A5E0000}"/>
    <cellStyle name="Normal 215 3 4 3" xfId="24011" xr:uid="{00000000-0005-0000-0000-00008B5E0000}"/>
    <cellStyle name="Normal 215 3 5" xfId="24012" xr:uid="{00000000-0005-0000-0000-00008C5E0000}"/>
    <cellStyle name="Normal 215 3 6" xfId="24013" xr:uid="{00000000-0005-0000-0000-00008D5E0000}"/>
    <cellStyle name="Normal 215 3 7" xfId="24014" xr:uid="{00000000-0005-0000-0000-00008E5E0000}"/>
    <cellStyle name="Normal 215 3 8" xfId="24015" xr:uid="{00000000-0005-0000-0000-00008F5E0000}"/>
    <cellStyle name="Normal 215 4" xfId="24016" xr:uid="{00000000-0005-0000-0000-0000905E0000}"/>
    <cellStyle name="Normal 215 4 2" xfId="24017" xr:uid="{00000000-0005-0000-0000-0000915E0000}"/>
    <cellStyle name="Normal 215 4 2 2" xfId="24018" xr:uid="{00000000-0005-0000-0000-0000925E0000}"/>
    <cellStyle name="Normal 215 4 2 3" xfId="24019" xr:uid="{00000000-0005-0000-0000-0000935E0000}"/>
    <cellStyle name="Normal 215 4 3" xfId="24020" xr:uid="{00000000-0005-0000-0000-0000945E0000}"/>
    <cellStyle name="Normal 215 4 3 2" xfId="24021" xr:uid="{00000000-0005-0000-0000-0000955E0000}"/>
    <cellStyle name="Normal 215 4 3 3" xfId="24022" xr:uid="{00000000-0005-0000-0000-0000965E0000}"/>
    <cellStyle name="Normal 215 4 4" xfId="24023" xr:uid="{00000000-0005-0000-0000-0000975E0000}"/>
    <cellStyle name="Normal 215 4 5" xfId="24024" xr:uid="{00000000-0005-0000-0000-0000985E0000}"/>
    <cellStyle name="Normal 215 4 6" xfId="24025" xr:uid="{00000000-0005-0000-0000-0000995E0000}"/>
    <cellStyle name="Normal 215 5" xfId="24026" xr:uid="{00000000-0005-0000-0000-00009A5E0000}"/>
    <cellStyle name="Normal 215 5 2" xfId="24027" xr:uid="{00000000-0005-0000-0000-00009B5E0000}"/>
    <cellStyle name="Normal 215 5 3" xfId="24028" xr:uid="{00000000-0005-0000-0000-00009C5E0000}"/>
    <cellStyle name="Normal 215 6" xfId="24029" xr:uid="{00000000-0005-0000-0000-00009D5E0000}"/>
    <cellStyle name="Normal 215 6 2" xfId="24030" xr:uid="{00000000-0005-0000-0000-00009E5E0000}"/>
    <cellStyle name="Normal 215 6 3" xfId="24031" xr:uid="{00000000-0005-0000-0000-00009F5E0000}"/>
    <cellStyle name="Normal 215 7" xfId="24032" xr:uid="{00000000-0005-0000-0000-0000A05E0000}"/>
    <cellStyle name="Normal 215 8" xfId="24033" xr:uid="{00000000-0005-0000-0000-0000A15E0000}"/>
    <cellStyle name="Normal 215 9" xfId="24034" xr:uid="{00000000-0005-0000-0000-0000A25E0000}"/>
    <cellStyle name="Normal 216" xfId="2640" xr:uid="{00000000-0005-0000-0000-0000A35E0000}"/>
    <cellStyle name="Normal 216 10" xfId="24035" xr:uid="{00000000-0005-0000-0000-0000A45E0000}"/>
    <cellStyle name="Normal 216 11" xfId="24036" xr:uid="{00000000-0005-0000-0000-0000A55E0000}"/>
    <cellStyle name="Normal 216 12" xfId="24037" xr:uid="{00000000-0005-0000-0000-0000A65E0000}"/>
    <cellStyle name="Normal 216 2" xfId="24038" xr:uid="{00000000-0005-0000-0000-0000A75E0000}"/>
    <cellStyle name="Normal 216 2 2" xfId="24039" xr:uid="{00000000-0005-0000-0000-0000A85E0000}"/>
    <cellStyle name="Normal 216 2 2 2" xfId="24040" xr:uid="{00000000-0005-0000-0000-0000A95E0000}"/>
    <cellStyle name="Normal 216 2 2 2 2" xfId="24041" xr:uid="{00000000-0005-0000-0000-0000AA5E0000}"/>
    <cellStyle name="Normal 216 2 2 2 2 2" xfId="24042" xr:uid="{00000000-0005-0000-0000-0000AB5E0000}"/>
    <cellStyle name="Normal 216 2 2 2 2 3" xfId="24043" xr:uid="{00000000-0005-0000-0000-0000AC5E0000}"/>
    <cellStyle name="Normal 216 2 2 2 3" xfId="24044" xr:uid="{00000000-0005-0000-0000-0000AD5E0000}"/>
    <cellStyle name="Normal 216 2 2 2 3 2" xfId="24045" xr:uid="{00000000-0005-0000-0000-0000AE5E0000}"/>
    <cellStyle name="Normal 216 2 2 2 3 3" xfId="24046" xr:uid="{00000000-0005-0000-0000-0000AF5E0000}"/>
    <cellStyle name="Normal 216 2 2 2 4" xfId="24047" xr:uid="{00000000-0005-0000-0000-0000B05E0000}"/>
    <cellStyle name="Normal 216 2 2 2 5" xfId="24048" xr:uid="{00000000-0005-0000-0000-0000B15E0000}"/>
    <cellStyle name="Normal 216 2 2 2 6" xfId="24049" xr:uid="{00000000-0005-0000-0000-0000B25E0000}"/>
    <cellStyle name="Normal 216 2 2 3" xfId="24050" xr:uid="{00000000-0005-0000-0000-0000B35E0000}"/>
    <cellStyle name="Normal 216 2 2 3 2" xfId="24051" xr:uid="{00000000-0005-0000-0000-0000B45E0000}"/>
    <cellStyle name="Normal 216 2 2 3 3" xfId="24052" xr:uid="{00000000-0005-0000-0000-0000B55E0000}"/>
    <cellStyle name="Normal 216 2 2 4" xfId="24053" xr:uid="{00000000-0005-0000-0000-0000B65E0000}"/>
    <cellStyle name="Normal 216 2 2 4 2" xfId="24054" xr:uid="{00000000-0005-0000-0000-0000B75E0000}"/>
    <cellStyle name="Normal 216 2 2 4 3" xfId="24055" xr:uid="{00000000-0005-0000-0000-0000B85E0000}"/>
    <cellStyle name="Normal 216 2 2 5" xfId="24056" xr:uid="{00000000-0005-0000-0000-0000B95E0000}"/>
    <cellStyle name="Normal 216 2 2 6" xfId="24057" xr:uid="{00000000-0005-0000-0000-0000BA5E0000}"/>
    <cellStyle name="Normal 216 2 2 7" xfId="24058" xr:uid="{00000000-0005-0000-0000-0000BB5E0000}"/>
    <cellStyle name="Normal 216 2 2 8" xfId="24059" xr:uid="{00000000-0005-0000-0000-0000BC5E0000}"/>
    <cellStyle name="Normal 216 2 3" xfId="24060" xr:uid="{00000000-0005-0000-0000-0000BD5E0000}"/>
    <cellStyle name="Normal 216 2 3 2" xfId="24061" xr:uid="{00000000-0005-0000-0000-0000BE5E0000}"/>
    <cellStyle name="Normal 216 2 3 2 2" xfId="24062" xr:uid="{00000000-0005-0000-0000-0000BF5E0000}"/>
    <cellStyle name="Normal 216 2 3 2 3" xfId="24063" xr:uid="{00000000-0005-0000-0000-0000C05E0000}"/>
    <cellStyle name="Normal 216 2 3 3" xfId="24064" xr:uid="{00000000-0005-0000-0000-0000C15E0000}"/>
    <cellStyle name="Normal 216 2 3 3 2" xfId="24065" xr:uid="{00000000-0005-0000-0000-0000C25E0000}"/>
    <cellStyle name="Normal 216 2 3 3 3" xfId="24066" xr:uid="{00000000-0005-0000-0000-0000C35E0000}"/>
    <cellStyle name="Normal 216 2 3 4" xfId="24067" xr:uid="{00000000-0005-0000-0000-0000C45E0000}"/>
    <cellStyle name="Normal 216 2 3 5" xfId="24068" xr:uid="{00000000-0005-0000-0000-0000C55E0000}"/>
    <cellStyle name="Normal 216 2 3 6" xfId="24069" xr:uid="{00000000-0005-0000-0000-0000C65E0000}"/>
    <cellStyle name="Normal 216 2 4" xfId="24070" xr:uid="{00000000-0005-0000-0000-0000C75E0000}"/>
    <cellStyle name="Normal 216 2 4 2" xfId="24071" xr:uid="{00000000-0005-0000-0000-0000C85E0000}"/>
    <cellStyle name="Normal 216 2 4 3" xfId="24072" xr:uid="{00000000-0005-0000-0000-0000C95E0000}"/>
    <cellStyle name="Normal 216 2 5" xfId="24073" xr:uid="{00000000-0005-0000-0000-0000CA5E0000}"/>
    <cellStyle name="Normal 216 2 5 2" xfId="24074" xr:uid="{00000000-0005-0000-0000-0000CB5E0000}"/>
    <cellStyle name="Normal 216 2 5 3" xfId="24075" xr:uid="{00000000-0005-0000-0000-0000CC5E0000}"/>
    <cellStyle name="Normal 216 2 6" xfId="24076" xr:uid="{00000000-0005-0000-0000-0000CD5E0000}"/>
    <cellStyle name="Normal 216 2 7" xfId="24077" xr:uid="{00000000-0005-0000-0000-0000CE5E0000}"/>
    <cellStyle name="Normal 216 2 8" xfId="24078" xr:uid="{00000000-0005-0000-0000-0000CF5E0000}"/>
    <cellStyle name="Normal 216 2 9" xfId="24079" xr:uid="{00000000-0005-0000-0000-0000D05E0000}"/>
    <cellStyle name="Normal 216 3" xfId="24080" xr:uid="{00000000-0005-0000-0000-0000D15E0000}"/>
    <cellStyle name="Normal 216 3 2" xfId="24081" xr:uid="{00000000-0005-0000-0000-0000D25E0000}"/>
    <cellStyle name="Normal 216 3 2 2" xfId="24082" xr:uid="{00000000-0005-0000-0000-0000D35E0000}"/>
    <cellStyle name="Normal 216 3 2 2 2" xfId="24083" xr:uid="{00000000-0005-0000-0000-0000D45E0000}"/>
    <cellStyle name="Normal 216 3 2 2 3" xfId="24084" xr:uid="{00000000-0005-0000-0000-0000D55E0000}"/>
    <cellStyle name="Normal 216 3 2 3" xfId="24085" xr:uid="{00000000-0005-0000-0000-0000D65E0000}"/>
    <cellStyle name="Normal 216 3 2 3 2" xfId="24086" xr:uid="{00000000-0005-0000-0000-0000D75E0000}"/>
    <cellStyle name="Normal 216 3 2 3 3" xfId="24087" xr:uid="{00000000-0005-0000-0000-0000D85E0000}"/>
    <cellStyle name="Normal 216 3 2 4" xfId="24088" xr:uid="{00000000-0005-0000-0000-0000D95E0000}"/>
    <cellStyle name="Normal 216 3 2 5" xfId="24089" xr:uid="{00000000-0005-0000-0000-0000DA5E0000}"/>
    <cellStyle name="Normal 216 3 2 6" xfId="24090" xr:uid="{00000000-0005-0000-0000-0000DB5E0000}"/>
    <cellStyle name="Normal 216 3 3" xfId="24091" xr:uid="{00000000-0005-0000-0000-0000DC5E0000}"/>
    <cellStyle name="Normal 216 3 3 2" xfId="24092" xr:uid="{00000000-0005-0000-0000-0000DD5E0000}"/>
    <cellStyle name="Normal 216 3 3 3" xfId="24093" xr:uid="{00000000-0005-0000-0000-0000DE5E0000}"/>
    <cellStyle name="Normal 216 3 4" xfId="24094" xr:uid="{00000000-0005-0000-0000-0000DF5E0000}"/>
    <cellStyle name="Normal 216 3 4 2" xfId="24095" xr:uid="{00000000-0005-0000-0000-0000E05E0000}"/>
    <cellStyle name="Normal 216 3 4 3" xfId="24096" xr:uid="{00000000-0005-0000-0000-0000E15E0000}"/>
    <cellStyle name="Normal 216 3 5" xfId="24097" xr:uid="{00000000-0005-0000-0000-0000E25E0000}"/>
    <cellStyle name="Normal 216 3 6" xfId="24098" xr:uid="{00000000-0005-0000-0000-0000E35E0000}"/>
    <cellStyle name="Normal 216 3 7" xfId="24099" xr:uid="{00000000-0005-0000-0000-0000E45E0000}"/>
    <cellStyle name="Normal 216 3 8" xfId="24100" xr:uid="{00000000-0005-0000-0000-0000E55E0000}"/>
    <cellStyle name="Normal 216 4" xfId="24101" xr:uid="{00000000-0005-0000-0000-0000E65E0000}"/>
    <cellStyle name="Normal 216 4 2" xfId="24102" xr:uid="{00000000-0005-0000-0000-0000E75E0000}"/>
    <cellStyle name="Normal 216 4 2 2" xfId="24103" xr:uid="{00000000-0005-0000-0000-0000E85E0000}"/>
    <cellStyle name="Normal 216 4 2 3" xfId="24104" xr:uid="{00000000-0005-0000-0000-0000E95E0000}"/>
    <cellStyle name="Normal 216 4 3" xfId="24105" xr:uid="{00000000-0005-0000-0000-0000EA5E0000}"/>
    <cellStyle name="Normal 216 4 3 2" xfId="24106" xr:uid="{00000000-0005-0000-0000-0000EB5E0000}"/>
    <cellStyle name="Normal 216 4 3 3" xfId="24107" xr:uid="{00000000-0005-0000-0000-0000EC5E0000}"/>
    <cellStyle name="Normal 216 4 4" xfId="24108" xr:uid="{00000000-0005-0000-0000-0000ED5E0000}"/>
    <cellStyle name="Normal 216 4 5" xfId="24109" xr:uid="{00000000-0005-0000-0000-0000EE5E0000}"/>
    <cellStyle name="Normal 216 4 6" xfId="24110" xr:uid="{00000000-0005-0000-0000-0000EF5E0000}"/>
    <cellStyle name="Normal 216 5" xfId="24111" xr:uid="{00000000-0005-0000-0000-0000F05E0000}"/>
    <cellStyle name="Normal 216 5 2" xfId="24112" xr:uid="{00000000-0005-0000-0000-0000F15E0000}"/>
    <cellStyle name="Normal 216 5 3" xfId="24113" xr:uid="{00000000-0005-0000-0000-0000F25E0000}"/>
    <cellStyle name="Normal 216 6" xfId="24114" xr:uid="{00000000-0005-0000-0000-0000F35E0000}"/>
    <cellStyle name="Normal 216 6 2" xfId="24115" xr:uid="{00000000-0005-0000-0000-0000F45E0000}"/>
    <cellStyle name="Normal 216 6 3" xfId="24116" xr:uid="{00000000-0005-0000-0000-0000F55E0000}"/>
    <cellStyle name="Normal 216 7" xfId="24117" xr:uid="{00000000-0005-0000-0000-0000F65E0000}"/>
    <cellStyle name="Normal 216 8" xfId="24118" xr:uid="{00000000-0005-0000-0000-0000F75E0000}"/>
    <cellStyle name="Normal 216 9" xfId="24119" xr:uid="{00000000-0005-0000-0000-0000F85E0000}"/>
    <cellStyle name="Normal 217" xfId="2641" xr:uid="{00000000-0005-0000-0000-0000F95E0000}"/>
    <cellStyle name="Normal 217 10" xfId="24120" xr:uid="{00000000-0005-0000-0000-0000FA5E0000}"/>
    <cellStyle name="Normal 217 11" xfId="24121" xr:uid="{00000000-0005-0000-0000-0000FB5E0000}"/>
    <cellStyle name="Normal 217 12" xfId="24122" xr:uid="{00000000-0005-0000-0000-0000FC5E0000}"/>
    <cellStyle name="Normal 217 2" xfId="24123" xr:uid="{00000000-0005-0000-0000-0000FD5E0000}"/>
    <cellStyle name="Normal 217 2 2" xfId="24124" xr:uid="{00000000-0005-0000-0000-0000FE5E0000}"/>
    <cellStyle name="Normal 217 2 2 2" xfId="24125" xr:uid="{00000000-0005-0000-0000-0000FF5E0000}"/>
    <cellStyle name="Normal 217 2 2 2 2" xfId="24126" xr:uid="{00000000-0005-0000-0000-0000005F0000}"/>
    <cellStyle name="Normal 217 2 2 2 2 2" xfId="24127" xr:uid="{00000000-0005-0000-0000-0000015F0000}"/>
    <cellStyle name="Normal 217 2 2 2 2 3" xfId="24128" xr:uid="{00000000-0005-0000-0000-0000025F0000}"/>
    <cellStyle name="Normal 217 2 2 2 3" xfId="24129" xr:uid="{00000000-0005-0000-0000-0000035F0000}"/>
    <cellStyle name="Normal 217 2 2 2 3 2" xfId="24130" xr:uid="{00000000-0005-0000-0000-0000045F0000}"/>
    <cellStyle name="Normal 217 2 2 2 3 3" xfId="24131" xr:uid="{00000000-0005-0000-0000-0000055F0000}"/>
    <cellStyle name="Normal 217 2 2 2 4" xfId="24132" xr:uid="{00000000-0005-0000-0000-0000065F0000}"/>
    <cellStyle name="Normal 217 2 2 2 5" xfId="24133" xr:uid="{00000000-0005-0000-0000-0000075F0000}"/>
    <cellStyle name="Normal 217 2 2 2 6" xfId="24134" xr:uid="{00000000-0005-0000-0000-0000085F0000}"/>
    <cellStyle name="Normal 217 2 2 3" xfId="24135" xr:uid="{00000000-0005-0000-0000-0000095F0000}"/>
    <cellStyle name="Normal 217 2 2 3 2" xfId="24136" xr:uid="{00000000-0005-0000-0000-00000A5F0000}"/>
    <cellStyle name="Normal 217 2 2 3 3" xfId="24137" xr:uid="{00000000-0005-0000-0000-00000B5F0000}"/>
    <cellStyle name="Normal 217 2 2 4" xfId="24138" xr:uid="{00000000-0005-0000-0000-00000C5F0000}"/>
    <cellStyle name="Normal 217 2 2 4 2" xfId="24139" xr:uid="{00000000-0005-0000-0000-00000D5F0000}"/>
    <cellStyle name="Normal 217 2 2 4 3" xfId="24140" xr:uid="{00000000-0005-0000-0000-00000E5F0000}"/>
    <cellStyle name="Normal 217 2 2 5" xfId="24141" xr:uid="{00000000-0005-0000-0000-00000F5F0000}"/>
    <cellStyle name="Normal 217 2 2 6" xfId="24142" xr:uid="{00000000-0005-0000-0000-0000105F0000}"/>
    <cellStyle name="Normal 217 2 2 7" xfId="24143" xr:uid="{00000000-0005-0000-0000-0000115F0000}"/>
    <cellStyle name="Normal 217 2 2 8" xfId="24144" xr:uid="{00000000-0005-0000-0000-0000125F0000}"/>
    <cellStyle name="Normal 217 2 3" xfId="24145" xr:uid="{00000000-0005-0000-0000-0000135F0000}"/>
    <cellStyle name="Normal 217 2 3 2" xfId="24146" xr:uid="{00000000-0005-0000-0000-0000145F0000}"/>
    <cellStyle name="Normal 217 2 3 2 2" xfId="24147" xr:uid="{00000000-0005-0000-0000-0000155F0000}"/>
    <cellStyle name="Normal 217 2 3 2 3" xfId="24148" xr:uid="{00000000-0005-0000-0000-0000165F0000}"/>
    <cellStyle name="Normal 217 2 3 3" xfId="24149" xr:uid="{00000000-0005-0000-0000-0000175F0000}"/>
    <cellStyle name="Normal 217 2 3 3 2" xfId="24150" xr:uid="{00000000-0005-0000-0000-0000185F0000}"/>
    <cellStyle name="Normal 217 2 3 3 3" xfId="24151" xr:uid="{00000000-0005-0000-0000-0000195F0000}"/>
    <cellStyle name="Normal 217 2 3 4" xfId="24152" xr:uid="{00000000-0005-0000-0000-00001A5F0000}"/>
    <cellStyle name="Normal 217 2 3 5" xfId="24153" xr:uid="{00000000-0005-0000-0000-00001B5F0000}"/>
    <cellStyle name="Normal 217 2 3 6" xfId="24154" xr:uid="{00000000-0005-0000-0000-00001C5F0000}"/>
    <cellStyle name="Normal 217 2 4" xfId="24155" xr:uid="{00000000-0005-0000-0000-00001D5F0000}"/>
    <cellStyle name="Normal 217 2 4 2" xfId="24156" xr:uid="{00000000-0005-0000-0000-00001E5F0000}"/>
    <cellStyle name="Normal 217 2 4 3" xfId="24157" xr:uid="{00000000-0005-0000-0000-00001F5F0000}"/>
    <cellStyle name="Normal 217 2 5" xfId="24158" xr:uid="{00000000-0005-0000-0000-0000205F0000}"/>
    <cellStyle name="Normal 217 2 5 2" xfId="24159" xr:uid="{00000000-0005-0000-0000-0000215F0000}"/>
    <cellStyle name="Normal 217 2 5 3" xfId="24160" xr:uid="{00000000-0005-0000-0000-0000225F0000}"/>
    <cellStyle name="Normal 217 2 6" xfId="24161" xr:uid="{00000000-0005-0000-0000-0000235F0000}"/>
    <cellStyle name="Normal 217 2 7" xfId="24162" xr:uid="{00000000-0005-0000-0000-0000245F0000}"/>
    <cellStyle name="Normal 217 2 8" xfId="24163" xr:uid="{00000000-0005-0000-0000-0000255F0000}"/>
    <cellStyle name="Normal 217 2 9" xfId="24164" xr:uid="{00000000-0005-0000-0000-0000265F0000}"/>
    <cellStyle name="Normal 217 3" xfId="24165" xr:uid="{00000000-0005-0000-0000-0000275F0000}"/>
    <cellStyle name="Normal 217 3 2" xfId="24166" xr:uid="{00000000-0005-0000-0000-0000285F0000}"/>
    <cellStyle name="Normal 217 3 2 2" xfId="24167" xr:uid="{00000000-0005-0000-0000-0000295F0000}"/>
    <cellStyle name="Normal 217 3 2 2 2" xfId="24168" xr:uid="{00000000-0005-0000-0000-00002A5F0000}"/>
    <cellStyle name="Normal 217 3 2 2 3" xfId="24169" xr:uid="{00000000-0005-0000-0000-00002B5F0000}"/>
    <cellStyle name="Normal 217 3 2 3" xfId="24170" xr:uid="{00000000-0005-0000-0000-00002C5F0000}"/>
    <cellStyle name="Normal 217 3 2 3 2" xfId="24171" xr:uid="{00000000-0005-0000-0000-00002D5F0000}"/>
    <cellStyle name="Normal 217 3 2 3 3" xfId="24172" xr:uid="{00000000-0005-0000-0000-00002E5F0000}"/>
    <cellStyle name="Normal 217 3 2 4" xfId="24173" xr:uid="{00000000-0005-0000-0000-00002F5F0000}"/>
    <cellStyle name="Normal 217 3 2 5" xfId="24174" xr:uid="{00000000-0005-0000-0000-0000305F0000}"/>
    <cellStyle name="Normal 217 3 2 6" xfId="24175" xr:uid="{00000000-0005-0000-0000-0000315F0000}"/>
    <cellStyle name="Normal 217 3 3" xfId="24176" xr:uid="{00000000-0005-0000-0000-0000325F0000}"/>
    <cellStyle name="Normal 217 3 3 2" xfId="24177" xr:uid="{00000000-0005-0000-0000-0000335F0000}"/>
    <cellStyle name="Normal 217 3 3 3" xfId="24178" xr:uid="{00000000-0005-0000-0000-0000345F0000}"/>
    <cellStyle name="Normal 217 3 4" xfId="24179" xr:uid="{00000000-0005-0000-0000-0000355F0000}"/>
    <cellStyle name="Normal 217 3 4 2" xfId="24180" xr:uid="{00000000-0005-0000-0000-0000365F0000}"/>
    <cellStyle name="Normal 217 3 4 3" xfId="24181" xr:uid="{00000000-0005-0000-0000-0000375F0000}"/>
    <cellStyle name="Normal 217 3 5" xfId="24182" xr:uid="{00000000-0005-0000-0000-0000385F0000}"/>
    <cellStyle name="Normal 217 3 6" xfId="24183" xr:uid="{00000000-0005-0000-0000-0000395F0000}"/>
    <cellStyle name="Normal 217 3 7" xfId="24184" xr:uid="{00000000-0005-0000-0000-00003A5F0000}"/>
    <cellStyle name="Normal 217 3 8" xfId="24185" xr:uid="{00000000-0005-0000-0000-00003B5F0000}"/>
    <cellStyle name="Normal 217 4" xfId="24186" xr:uid="{00000000-0005-0000-0000-00003C5F0000}"/>
    <cellStyle name="Normal 217 4 2" xfId="24187" xr:uid="{00000000-0005-0000-0000-00003D5F0000}"/>
    <cellStyle name="Normal 217 4 2 2" xfId="24188" xr:uid="{00000000-0005-0000-0000-00003E5F0000}"/>
    <cellStyle name="Normal 217 4 2 3" xfId="24189" xr:uid="{00000000-0005-0000-0000-00003F5F0000}"/>
    <cellStyle name="Normal 217 4 3" xfId="24190" xr:uid="{00000000-0005-0000-0000-0000405F0000}"/>
    <cellStyle name="Normal 217 4 3 2" xfId="24191" xr:uid="{00000000-0005-0000-0000-0000415F0000}"/>
    <cellStyle name="Normal 217 4 3 3" xfId="24192" xr:uid="{00000000-0005-0000-0000-0000425F0000}"/>
    <cellStyle name="Normal 217 4 4" xfId="24193" xr:uid="{00000000-0005-0000-0000-0000435F0000}"/>
    <cellStyle name="Normal 217 4 5" xfId="24194" xr:uid="{00000000-0005-0000-0000-0000445F0000}"/>
    <cellStyle name="Normal 217 4 6" xfId="24195" xr:uid="{00000000-0005-0000-0000-0000455F0000}"/>
    <cellStyle name="Normal 217 5" xfId="24196" xr:uid="{00000000-0005-0000-0000-0000465F0000}"/>
    <cellStyle name="Normal 217 5 2" xfId="24197" xr:uid="{00000000-0005-0000-0000-0000475F0000}"/>
    <cellStyle name="Normal 217 5 3" xfId="24198" xr:uid="{00000000-0005-0000-0000-0000485F0000}"/>
    <cellStyle name="Normal 217 6" xfId="24199" xr:uid="{00000000-0005-0000-0000-0000495F0000}"/>
    <cellStyle name="Normal 217 6 2" xfId="24200" xr:uid="{00000000-0005-0000-0000-00004A5F0000}"/>
    <cellStyle name="Normal 217 6 3" xfId="24201" xr:uid="{00000000-0005-0000-0000-00004B5F0000}"/>
    <cellStyle name="Normal 217 7" xfId="24202" xr:uid="{00000000-0005-0000-0000-00004C5F0000}"/>
    <cellStyle name="Normal 217 8" xfId="24203" xr:uid="{00000000-0005-0000-0000-00004D5F0000}"/>
    <cellStyle name="Normal 217 9" xfId="24204" xr:uid="{00000000-0005-0000-0000-00004E5F0000}"/>
    <cellStyle name="Normal 218" xfId="2642" xr:uid="{00000000-0005-0000-0000-00004F5F0000}"/>
    <cellStyle name="Normal 218 10" xfId="24205" xr:uid="{00000000-0005-0000-0000-0000505F0000}"/>
    <cellStyle name="Normal 218 11" xfId="24206" xr:uid="{00000000-0005-0000-0000-0000515F0000}"/>
    <cellStyle name="Normal 218 12" xfId="24207" xr:uid="{00000000-0005-0000-0000-0000525F0000}"/>
    <cellStyle name="Normal 218 2" xfId="24208" xr:uid="{00000000-0005-0000-0000-0000535F0000}"/>
    <cellStyle name="Normal 218 2 2" xfId="24209" xr:uid="{00000000-0005-0000-0000-0000545F0000}"/>
    <cellStyle name="Normal 218 2 2 2" xfId="24210" xr:uid="{00000000-0005-0000-0000-0000555F0000}"/>
    <cellStyle name="Normal 218 2 2 2 2" xfId="24211" xr:uid="{00000000-0005-0000-0000-0000565F0000}"/>
    <cellStyle name="Normal 218 2 2 2 2 2" xfId="24212" xr:uid="{00000000-0005-0000-0000-0000575F0000}"/>
    <cellStyle name="Normal 218 2 2 2 2 3" xfId="24213" xr:uid="{00000000-0005-0000-0000-0000585F0000}"/>
    <cellStyle name="Normal 218 2 2 2 3" xfId="24214" xr:uid="{00000000-0005-0000-0000-0000595F0000}"/>
    <cellStyle name="Normal 218 2 2 2 3 2" xfId="24215" xr:uid="{00000000-0005-0000-0000-00005A5F0000}"/>
    <cellStyle name="Normal 218 2 2 2 3 3" xfId="24216" xr:uid="{00000000-0005-0000-0000-00005B5F0000}"/>
    <cellStyle name="Normal 218 2 2 2 4" xfId="24217" xr:uid="{00000000-0005-0000-0000-00005C5F0000}"/>
    <cellStyle name="Normal 218 2 2 2 5" xfId="24218" xr:uid="{00000000-0005-0000-0000-00005D5F0000}"/>
    <cellStyle name="Normal 218 2 2 2 6" xfId="24219" xr:uid="{00000000-0005-0000-0000-00005E5F0000}"/>
    <cellStyle name="Normal 218 2 2 3" xfId="24220" xr:uid="{00000000-0005-0000-0000-00005F5F0000}"/>
    <cellStyle name="Normal 218 2 2 3 2" xfId="24221" xr:uid="{00000000-0005-0000-0000-0000605F0000}"/>
    <cellStyle name="Normal 218 2 2 3 3" xfId="24222" xr:uid="{00000000-0005-0000-0000-0000615F0000}"/>
    <cellStyle name="Normal 218 2 2 4" xfId="24223" xr:uid="{00000000-0005-0000-0000-0000625F0000}"/>
    <cellStyle name="Normal 218 2 2 4 2" xfId="24224" xr:uid="{00000000-0005-0000-0000-0000635F0000}"/>
    <cellStyle name="Normal 218 2 2 4 3" xfId="24225" xr:uid="{00000000-0005-0000-0000-0000645F0000}"/>
    <cellStyle name="Normal 218 2 2 5" xfId="24226" xr:uid="{00000000-0005-0000-0000-0000655F0000}"/>
    <cellStyle name="Normal 218 2 2 6" xfId="24227" xr:uid="{00000000-0005-0000-0000-0000665F0000}"/>
    <cellStyle name="Normal 218 2 2 7" xfId="24228" xr:uid="{00000000-0005-0000-0000-0000675F0000}"/>
    <cellStyle name="Normal 218 2 2 8" xfId="24229" xr:uid="{00000000-0005-0000-0000-0000685F0000}"/>
    <cellStyle name="Normal 218 2 3" xfId="24230" xr:uid="{00000000-0005-0000-0000-0000695F0000}"/>
    <cellStyle name="Normal 218 2 3 2" xfId="24231" xr:uid="{00000000-0005-0000-0000-00006A5F0000}"/>
    <cellStyle name="Normal 218 2 3 2 2" xfId="24232" xr:uid="{00000000-0005-0000-0000-00006B5F0000}"/>
    <cellStyle name="Normal 218 2 3 2 3" xfId="24233" xr:uid="{00000000-0005-0000-0000-00006C5F0000}"/>
    <cellStyle name="Normal 218 2 3 3" xfId="24234" xr:uid="{00000000-0005-0000-0000-00006D5F0000}"/>
    <cellStyle name="Normal 218 2 3 3 2" xfId="24235" xr:uid="{00000000-0005-0000-0000-00006E5F0000}"/>
    <cellStyle name="Normal 218 2 3 3 3" xfId="24236" xr:uid="{00000000-0005-0000-0000-00006F5F0000}"/>
    <cellStyle name="Normal 218 2 3 4" xfId="24237" xr:uid="{00000000-0005-0000-0000-0000705F0000}"/>
    <cellStyle name="Normal 218 2 3 5" xfId="24238" xr:uid="{00000000-0005-0000-0000-0000715F0000}"/>
    <cellStyle name="Normal 218 2 3 6" xfId="24239" xr:uid="{00000000-0005-0000-0000-0000725F0000}"/>
    <cellStyle name="Normal 218 2 4" xfId="24240" xr:uid="{00000000-0005-0000-0000-0000735F0000}"/>
    <cellStyle name="Normal 218 2 4 2" xfId="24241" xr:uid="{00000000-0005-0000-0000-0000745F0000}"/>
    <cellStyle name="Normal 218 2 4 3" xfId="24242" xr:uid="{00000000-0005-0000-0000-0000755F0000}"/>
    <cellStyle name="Normal 218 2 5" xfId="24243" xr:uid="{00000000-0005-0000-0000-0000765F0000}"/>
    <cellStyle name="Normal 218 2 5 2" xfId="24244" xr:uid="{00000000-0005-0000-0000-0000775F0000}"/>
    <cellStyle name="Normal 218 2 5 3" xfId="24245" xr:uid="{00000000-0005-0000-0000-0000785F0000}"/>
    <cellStyle name="Normal 218 2 6" xfId="24246" xr:uid="{00000000-0005-0000-0000-0000795F0000}"/>
    <cellStyle name="Normal 218 2 7" xfId="24247" xr:uid="{00000000-0005-0000-0000-00007A5F0000}"/>
    <cellStyle name="Normal 218 2 8" xfId="24248" xr:uid="{00000000-0005-0000-0000-00007B5F0000}"/>
    <cellStyle name="Normal 218 2 9" xfId="24249" xr:uid="{00000000-0005-0000-0000-00007C5F0000}"/>
    <cellStyle name="Normal 218 3" xfId="24250" xr:uid="{00000000-0005-0000-0000-00007D5F0000}"/>
    <cellStyle name="Normal 218 3 2" xfId="24251" xr:uid="{00000000-0005-0000-0000-00007E5F0000}"/>
    <cellStyle name="Normal 218 3 2 2" xfId="24252" xr:uid="{00000000-0005-0000-0000-00007F5F0000}"/>
    <cellStyle name="Normal 218 3 2 2 2" xfId="24253" xr:uid="{00000000-0005-0000-0000-0000805F0000}"/>
    <cellStyle name="Normal 218 3 2 2 3" xfId="24254" xr:uid="{00000000-0005-0000-0000-0000815F0000}"/>
    <cellStyle name="Normal 218 3 2 3" xfId="24255" xr:uid="{00000000-0005-0000-0000-0000825F0000}"/>
    <cellStyle name="Normal 218 3 2 3 2" xfId="24256" xr:uid="{00000000-0005-0000-0000-0000835F0000}"/>
    <cellStyle name="Normal 218 3 2 3 3" xfId="24257" xr:uid="{00000000-0005-0000-0000-0000845F0000}"/>
    <cellStyle name="Normal 218 3 2 4" xfId="24258" xr:uid="{00000000-0005-0000-0000-0000855F0000}"/>
    <cellStyle name="Normal 218 3 2 5" xfId="24259" xr:uid="{00000000-0005-0000-0000-0000865F0000}"/>
    <cellStyle name="Normal 218 3 2 6" xfId="24260" xr:uid="{00000000-0005-0000-0000-0000875F0000}"/>
    <cellStyle name="Normal 218 3 3" xfId="24261" xr:uid="{00000000-0005-0000-0000-0000885F0000}"/>
    <cellStyle name="Normal 218 3 3 2" xfId="24262" xr:uid="{00000000-0005-0000-0000-0000895F0000}"/>
    <cellStyle name="Normal 218 3 3 3" xfId="24263" xr:uid="{00000000-0005-0000-0000-00008A5F0000}"/>
    <cellStyle name="Normal 218 3 4" xfId="24264" xr:uid="{00000000-0005-0000-0000-00008B5F0000}"/>
    <cellStyle name="Normal 218 3 4 2" xfId="24265" xr:uid="{00000000-0005-0000-0000-00008C5F0000}"/>
    <cellStyle name="Normal 218 3 4 3" xfId="24266" xr:uid="{00000000-0005-0000-0000-00008D5F0000}"/>
    <cellStyle name="Normal 218 3 5" xfId="24267" xr:uid="{00000000-0005-0000-0000-00008E5F0000}"/>
    <cellStyle name="Normal 218 3 6" xfId="24268" xr:uid="{00000000-0005-0000-0000-00008F5F0000}"/>
    <cellStyle name="Normal 218 3 7" xfId="24269" xr:uid="{00000000-0005-0000-0000-0000905F0000}"/>
    <cellStyle name="Normal 218 3 8" xfId="24270" xr:uid="{00000000-0005-0000-0000-0000915F0000}"/>
    <cellStyle name="Normal 218 4" xfId="24271" xr:uid="{00000000-0005-0000-0000-0000925F0000}"/>
    <cellStyle name="Normal 218 4 2" xfId="24272" xr:uid="{00000000-0005-0000-0000-0000935F0000}"/>
    <cellStyle name="Normal 218 4 2 2" xfId="24273" xr:uid="{00000000-0005-0000-0000-0000945F0000}"/>
    <cellStyle name="Normal 218 4 2 3" xfId="24274" xr:uid="{00000000-0005-0000-0000-0000955F0000}"/>
    <cellStyle name="Normal 218 4 3" xfId="24275" xr:uid="{00000000-0005-0000-0000-0000965F0000}"/>
    <cellStyle name="Normal 218 4 3 2" xfId="24276" xr:uid="{00000000-0005-0000-0000-0000975F0000}"/>
    <cellStyle name="Normal 218 4 3 3" xfId="24277" xr:uid="{00000000-0005-0000-0000-0000985F0000}"/>
    <cellStyle name="Normal 218 4 4" xfId="24278" xr:uid="{00000000-0005-0000-0000-0000995F0000}"/>
    <cellStyle name="Normal 218 4 5" xfId="24279" xr:uid="{00000000-0005-0000-0000-00009A5F0000}"/>
    <cellStyle name="Normal 218 4 6" xfId="24280" xr:uid="{00000000-0005-0000-0000-00009B5F0000}"/>
    <cellStyle name="Normal 218 5" xfId="24281" xr:uid="{00000000-0005-0000-0000-00009C5F0000}"/>
    <cellStyle name="Normal 218 5 2" xfId="24282" xr:uid="{00000000-0005-0000-0000-00009D5F0000}"/>
    <cellStyle name="Normal 218 5 3" xfId="24283" xr:uid="{00000000-0005-0000-0000-00009E5F0000}"/>
    <cellStyle name="Normal 218 6" xfId="24284" xr:uid="{00000000-0005-0000-0000-00009F5F0000}"/>
    <cellStyle name="Normal 218 6 2" xfId="24285" xr:uid="{00000000-0005-0000-0000-0000A05F0000}"/>
    <cellStyle name="Normal 218 6 3" xfId="24286" xr:uid="{00000000-0005-0000-0000-0000A15F0000}"/>
    <cellStyle name="Normal 218 7" xfId="24287" xr:uid="{00000000-0005-0000-0000-0000A25F0000}"/>
    <cellStyle name="Normal 218 8" xfId="24288" xr:uid="{00000000-0005-0000-0000-0000A35F0000}"/>
    <cellStyle name="Normal 218 9" xfId="24289" xr:uid="{00000000-0005-0000-0000-0000A45F0000}"/>
    <cellStyle name="Normal 219" xfId="2643" xr:uid="{00000000-0005-0000-0000-0000A55F0000}"/>
    <cellStyle name="Normal 219 10" xfId="24290" xr:uid="{00000000-0005-0000-0000-0000A65F0000}"/>
    <cellStyle name="Normal 219 11" xfId="24291" xr:uid="{00000000-0005-0000-0000-0000A75F0000}"/>
    <cellStyle name="Normal 219 12" xfId="24292" xr:uid="{00000000-0005-0000-0000-0000A85F0000}"/>
    <cellStyle name="Normal 219 2" xfId="24293" xr:uid="{00000000-0005-0000-0000-0000A95F0000}"/>
    <cellStyle name="Normal 219 2 2" xfId="24294" xr:uid="{00000000-0005-0000-0000-0000AA5F0000}"/>
    <cellStyle name="Normal 219 2 2 2" xfId="24295" xr:uid="{00000000-0005-0000-0000-0000AB5F0000}"/>
    <cellStyle name="Normal 219 2 2 2 2" xfId="24296" xr:uid="{00000000-0005-0000-0000-0000AC5F0000}"/>
    <cellStyle name="Normal 219 2 2 2 2 2" xfId="24297" xr:uid="{00000000-0005-0000-0000-0000AD5F0000}"/>
    <cellStyle name="Normal 219 2 2 2 2 3" xfId="24298" xr:uid="{00000000-0005-0000-0000-0000AE5F0000}"/>
    <cellStyle name="Normal 219 2 2 2 3" xfId="24299" xr:uid="{00000000-0005-0000-0000-0000AF5F0000}"/>
    <cellStyle name="Normal 219 2 2 2 3 2" xfId="24300" xr:uid="{00000000-0005-0000-0000-0000B05F0000}"/>
    <cellStyle name="Normal 219 2 2 2 3 3" xfId="24301" xr:uid="{00000000-0005-0000-0000-0000B15F0000}"/>
    <cellStyle name="Normal 219 2 2 2 4" xfId="24302" xr:uid="{00000000-0005-0000-0000-0000B25F0000}"/>
    <cellStyle name="Normal 219 2 2 2 5" xfId="24303" xr:uid="{00000000-0005-0000-0000-0000B35F0000}"/>
    <cellStyle name="Normal 219 2 2 2 6" xfId="24304" xr:uid="{00000000-0005-0000-0000-0000B45F0000}"/>
    <cellStyle name="Normal 219 2 2 3" xfId="24305" xr:uid="{00000000-0005-0000-0000-0000B55F0000}"/>
    <cellStyle name="Normal 219 2 2 3 2" xfId="24306" xr:uid="{00000000-0005-0000-0000-0000B65F0000}"/>
    <cellStyle name="Normal 219 2 2 3 3" xfId="24307" xr:uid="{00000000-0005-0000-0000-0000B75F0000}"/>
    <cellStyle name="Normal 219 2 2 4" xfId="24308" xr:uid="{00000000-0005-0000-0000-0000B85F0000}"/>
    <cellStyle name="Normal 219 2 2 4 2" xfId="24309" xr:uid="{00000000-0005-0000-0000-0000B95F0000}"/>
    <cellStyle name="Normal 219 2 2 4 3" xfId="24310" xr:uid="{00000000-0005-0000-0000-0000BA5F0000}"/>
    <cellStyle name="Normal 219 2 2 5" xfId="24311" xr:uid="{00000000-0005-0000-0000-0000BB5F0000}"/>
    <cellStyle name="Normal 219 2 2 6" xfId="24312" xr:uid="{00000000-0005-0000-0000-0000BC5F0000}"/>
    <cellStyle name="Normal 219 2 2 7" xfId="24313" xr:uid="{00000000-0005-0000-0000-0000BD5F0000}"/>
    <cellStyle name="Normal 219 2 2 8" xfId="24314" xr:uid="{00000000-0005-0000-0000-0000BE5F0000}"/>
    <cellStyle name="Normal 219 2 3" xfId="24315" xr:uid="{00000000-0005-0000-0000-0000BF5F0000}"/>
    <cellStyle name="Normal 219 2 3 2" xfId="24316" xr:uid="{00000000-0005-0000-0000-0000C05F0000}"/>
    <cellStyle name="Normal 219 2 3 2 2" xfId="24317" xr:uid="{00000000-0005-0000-0000-0000C15F0000}"/>
    <cellStyle name="Normal 219 2 3 2 3" xfId="24318" xr:uid="{00000000-0005-0000-0000-0000C25F0000}"/>
    <cellStyle name="Normal 219 2 3 3" xfId="24319" xr:uid="{00000000-0005-0000-0000-0000C35F0000}"/>
    <cellStyle name="Normal 219 2 3 3 2" xfId="24320" xr:uid="{00000000-0005-0000-0000-0000C45F0000}"/>
    <cellStyle name="Normal 219 2 3 3 3" xfId="24321" xr:uid="{00000000-0005-0000-0000-0000C55F0000}"/>
    <cellStyle name="Normal 219 2 3 4" xfId="24322" xr:uid="{00000000-0005-0000-0000-0000C65F0000}"/>
    <cellStyle name="Normal 219 2 3 5" xfId="24323" xr:uid="{00000000-0005-0000-0000-0000C75F0000}"/>
    <cellStyle name="Normal 219 2 3 6" xfId="24324" xr:uid="{00000000-0005-0000-0000-0000C85F0000}"/>
    <cellStyle name="Normal 219 2 4" xfId="24325" xr:uid="{00000000-0005-0000-0000-0000C95F0000}"/>
    <cellStyle name="Normal 219 2 4 2" xfId="24326" xr:uid="{00000000-0005-0000-0000-0000CA5F0000}"/>
    <cellStyle name="Normal 219 2 4 3" xfId="24327" xr:uid="{00000000-0005-0000-0000-0000CB5F0000}"/>
    <cellStyle name="Normal 219 2 5" xfId="24328" xr:uid="{00000000-0005-0000-0000-0000CC5F0000}"/>
    <cellStyle name="Normal 219 2 5 2" xfId="24329" xr:uid="{00000000-0005-0000-0000-0000CD5F0000}"/>
    <cellStyle name="Normal 219 2 5 3" xfId="24330" xr:uid="{00000000-0005-0000-0000-0000CE5F0000}"/>
    <cellStyle name="Normal 219 2 6" xfId="24331" xr:uid="{00000000-0005-0000-0000-0000CF5F0000}"/>
    <cellStyle name="Normal 219 2 7" xfId="24332" xr:uid="{00000000-0005-0000-0000-0000D05F0000}"/>
    <cellStyle name="Normal 219 2 8" xfId="24333" xr:uid="{00000000-0005-0000-0000-0000D15F0000}"/>
    <cellStyle name="Normal 219 2 9" xfId="24334" xr:uid="{00000000-0005-0000-0000-0000D25F0000}"/>
    <cellStyle name="Normal 219 3" xfId="24335" xr:uid="{00000000-0005-0000-0000-0000D35F0000}"/>
    <cellStyle name="Normal 219 3 2" xfId="24336" xr:uid="{00000000-0005-0000-0000-0000D45F0000}"/>
    <cellStyle name="Normal 219 3 2 2" xfId="24337" xr:uid="{00000000-0005-0000-0000-0000D55F0000}"/>
    <cellStyle name="Normal 219 3 2 2 2" xfId="24338" xr:uid="{00000000-0005-0000-0000-0000D65F0000}"/>
    <cellStyle name="Normal 219 3 2 2 3" xfId="24339" xr:uid="{00000000-0005-0000-0000-0000D75F0000}"/>
    <cellStyle name="Normal 219 3 2 3" xfId="24340" xr:uid="{00000000-0005-0000-0000-0000D85F0000}"/>
    <cellStyle name="Normal 219 3 2 3 2" xfId="24341" xr:uid="{00000000-0005-0000-0000-0000D95F0000}"/>
    <cellStyle name="Normal 219 3 2 3 3" xfId="24342" xr:uid="{00000000-0005-0000-0000-0000DA5F0000}"/>
    <cellStyle name="Normal 219 3 2 4" xfId="24343" xr:uid="{00000000-0005-0000-0000-0000DB5F0000}"/>
    <cellStyle name="Normal 219 3 2 5" xfId="24344" xr:uid="{00000000-0005-0000-0000-0000DC5F0000}"/>
    <cellStyle name="Normal 219 3 2 6" xfId="24345" xr:uid="{00000000-0005-0000-0000-0000DD5F0000}"/>
    <cellStyle name="Normal 219 3 3" xfId="24346" xr:uid="{00000000-0005-0000-0000-0000DE5F0000}"/>
    <cellStyle name="Normal 219 3 3 2" xfId="24347" xr:uid="{00000000-0005-0000-0000-0000DF5F0000}"/>
    <cellStyle name="Normal 219 3 3 3" xfId="24348" xr:uid="{00000000-0005-0000-0000-0000E05F0000}"/>
    <cellStyle name="Normal 219 3 4" xfId="24349" xr:uid="{00000000-0005-0000-0000-0000E15F0000}"/>
    <cellStyle name="Normal 219 3 4 2" xfId="24350" xr:uid="{00000000-0005-0000-0000-0000E25F0000}"/>
    <cellStyle name="Normal 219 3 4 3" xfId="24351" xr:uid="{00000000-0005-0000-0000-0000E35F0000}"/>
    <cellStyle name="Normal 219 3 5" xfId="24352" xr:uid="{00000000-0005-0000-0000-0000E45F0000}"/>
    <cellStyle name="Normal 219 3 6" xfId="24353" xr:uid="{00000000-0005-0000-0000-0000E55F0000}"/>
    <cellStyle name="Normal 219 3 7" xfId="24354" xr:uid="{00000000-0005-0000-0000-0000E65F0000}"/>
    <cellStyle name="Normal 219 3 8" xfId="24355" xr:uid="{00000000-0005-0000-0000-0000E75F0000}"/>
    <cellStyle name="Normal 219 4" xfId="24356" xr:uid="{00000000-0005-0000-0000-0000E85F0000}"/>
    <cellStyle name="Normal 219 4 2" xfId="24357" xr:uid="{00000000-0005-0000-0000-0000E95F0000}"/>
    <cellStyle name="Normal 219 4 2 2" xfId="24358" xr:uid="{00000000-0005-0000-0000-0000EA5F0000}"/>
    <cellStyle name="Normal 219 4 2 3" xfId="24359" xr:uid="{00000000-0005-0000-0000-0000EB5F0000}"/>
    <cellStyle name="Normal 219 4 3" xfId="24360" xr:uid="{00000000-0005-0000-0000-0000EC5F0000}"/>
    <cellStyle name="Normal 219 4 3 2" xfId="24361" xr:uid="{00000000-0005-0000-0000-0000ED5F0000}"/>
    <cellStyle name="Normal 219 4 3 3" xfId="24362" xr:uid="{00000000-0005-0000-0000-0000EE5F0000}"/>
    <cellStyle name="Normal 219 4 4" xfId="24363" xr:uid="{00000000-0005-0000-0000-0000EF5F0000}"/>
    <cellStyle name="Normal 219 4 5" xfId="24364" xr:uid="{00000000-0005-0000-0000-0000F05F0000}"/>
    <cellStyle name="Normal 219 4 6" xfId="24365" xr:uid="{00000000-0005-0000-0000-0000F15F0000}"/>
    <cellStyle name="Normal 219 5" xfId="24366" xr:uid="{00000000-0005-0000-0000-0000F25F0000}"/>
    <cellStyle name="Normal 219 5 2" xfId="24367" xr:uid="{00000000-0005-0000-0000-0000F35F0000}"/>
    <cellStyle name="Normal 219 5 3" xfId="24368" xr:uid="{00000000-0005-0000-0000-0000F45F0000}"/>
    <cellStyle name="Normal 219 6" xfId="24369" xr:uid="{00000000-0005-0000-0000-0000F55F0000}"/>
    <cellStyle name="Normal 219 6 2" xfId="24370" xr:uid="{00000000-0005-0000-0000-0000F65F0000}"/>
    <cellStyle name="Normal 219 6 3" xfId="24371" xr:uid="{00000000-0005-0000-0000-0000F75F0000}"/>
    <cellStyle name="Normal 219 7" xfId="24372" xr:uid="{00000000-0005-0000-0000-0000F85F0000}"/>
    <cellStyle name="Normal 219 8" xfId="24373" xr:uid="{00000000-0005-0000-0000-0000F95F0000}"/>
    <cellStyle name="Normal 219 9" xfId="24374" xr:uid="{00000000-0005-0000-0000-0000FA5F0000}"/>
    <cellStyle name="Normal 22" xfId="2644" xr:uid="{00000000-0005-0000-0000-0000FB5F0000}"/>
    <cellStyle name="Normal 22 10" xfId="24375" xr:uid="{00000000-0005-0000-0000-0000FC5F0000}"/>
    <cellStyle name="Normal 22 10 2" xfId="24376" xr:uid="{00000000-0005-0000-0000-0000FD5F0000}"/>
    <cellStyle name="Normal 22 10 3" xfId="24377" xr:uid="{00000000-0005-0000-0000-0000FE5F0000}"/>
    <cellStyle name="Normal 22 11" xfId="24378" xr:uid="{00000000-0005-0000-0000-0000FF5F0000}"/>
    <cellStyle name="Normal 22 12" xfId="24379" xr:uid="{00000000-0005-0000-0000-000000600000}"/>
    <cellStyle name="Normal 22 13" xfId="24380" xr:uid="{00000000-0005-0000-0000-000001600000}"/>
    <cellStyle name="Normal 22 14" xfId="24381" xr:uid="{00000000-0005-0000-0000-000002600000}"/>
    <cellStyle name="Normal 22 2" xfId="2645" xr:uid="{00000000-0005-0000-0000-000003600000}"/>
    <cellStyle name="Normal 22 2 10" xfId="24382" xr:uid="{00000000-0005-0000-0000-000004600000}"/>
    <cellStyle name="Normal 22 2 11" xfId="24383" xr:uid="{00000000-0005-0000-0000-000005600000}"/>
    <cellStyle name="Normal 22 2 2" xfId="24384" xr:uid="{00000000-0005-0000-0000-000006600000}"/>
    <cellStyle name="Normal 22 2 2 2" xfId="24385" xr:uid="{00000000-0005-0000-0000-000007600000}"/>
    <cellStyle name="Normal 22 2 2 2 2" xfId="24386" xr:uid="{00000000-0005-0000-0000-000008600000}"/>
    <cellStyle name="Normal 22 2 2 2 2 2" xfId="24387" xr:uid="{00000000-0005-0000-0000-000009600000}"/>
    <cellStyle name="Normal 22 2 2 2 2 2 2" xfId="24388" xr:uid="{00000000-0005-0000-0000-00000A600000}"/>
    <cellStyle name="Normal 22 2 2 2 2 2 3" xfId="24389" xr:uid="{00000000-0005-0000-0000-00000B600000}"/>
    <cellStyle name="Normal 22 2 2 2 2 3" xfId="24390" xr:uid="{00000000-0005-0000-0000-00000C600000}"/>
    <cellStyle name="Normal 22 2 2 2 2 4" xfId="24391" xr:uid="{00000000-0005-0000-0000-00000D600000}"/>
    <cellStyle name="Normal 22 2 2 2 2_Order Book" xfId="24392" xr:uid="{00000000-0005-0000-0000-00000E600000}"/>
    <cellStyle name="Normal 22 2 2 2 3" xfId="24393" xr:uid="{00000000-0005-0000-0000-00000F600000}"/>
    <cellStyle name="Normal 22 2 2 2 3 2" xfId="24394" xr:uid="{00000000-0005-0000-0000-000010600000}"/>
    <cellStyle name="Normal 22 2 2 2 3 3" xfId="24395" xr:uid="{00000000-0005-0000-0000-000011600000}"/>
    <cellStyle name="Normal 22 2 2 2 4" xfId="24396" xr:uid="{00000000-0005-0000-0000-000012600000}"/>
    <cellStyle name="Normal 22 2 2 2 5" xfId="24397" xr:uid="{00000000-0005-0000-0000-000013600000}"/>
    <cellStyle name="Normal 22 2 2 2_Order Book" xfId="24398" xr:uid="{00000000-0005-0000-0000-000014600000}"/>
    <cellStyle name="Normal 22 2 2 3" xfId="24399" xr:uid="{00000000-0005-0000-0000-000015600000}"/>
    <cellStyle name="Normal 22 2 2 3 2" xfId="24400" xr:uid="{00000000-0005-0000-0000-000016600000}"/>
    <cellStyle name="Normal 22 2 2 3 2 2" xfId="24401" xr:uid="{00000000-0005-0000-0000-000017600000}"/>
    <cellStyle name="Normal 22 2 2 3 2 2 2" xfId="24402" xr:uid="{00000000-0005-0000-0000-000018600000}"/>
    <cellStyle name="Normal 22 2 2 3 2 2 3" xfId="24403" xr:uid="{00000000-0005-0000-0000-000019600000}"/>
    <cellStyle name="Normal 22 2 2 3 2 3" xfId="24404" xr:uid="{00000000-0005-0000-0000-00001A600000}"/>
    <cellStyle name="Normal 22 2 2 3 2 4" xfId="24405" xr:uid="{00000000-0005-0000-0000-00001B600000}"/>
    <cellStyle name="Normal 22 2 2 3 2_Order Book" xfId="24406" xr:uid="{00000000-0005-0000-0000-00001C600000}"/>
    <cellStyle name="Normal 22 2 2 3 3" xfId="24407" xr:uid="{00000000-0005-0000-0000-00001D600000}"/>
    <cellStyle name="Normal 22 2 2 3 3 2" xfId="24408" xr:uid="{00000000-0005-0000-0000-00001E600000}"/>
    <cellStyle name="Normal 22 2 2 3 3 3" xfId="24409" xr:uid="{00000000-0005-0000-0000-00001F600000}"/>
    <cellStyle name="Normal 22 2 2 3 4" xfId="24410" xr:uid="{00000000-0005-0000-0000-000020600000}"/>
    <cellStyle name="Normal 22 2 2 3 5" xfId="24411" xr:uid="{00000000-0005-0000-0000-000021600000}"/>
    <cellStyle name="Normal 22 2 2 3_Order Book" xfId="24412" xr:uid="{00000000-0005-0000-0000-000022600000}"/>
    <cellStyle name="Normal 22 2 2 4" xfId="24413" xr:uid="{00000000-0005-0000-0000-000023600000}"/>
    <cellStyle name="Normal 22 2 2 4 2" xfId="24414" xr:uid="{00000000-0005-0000-0000-000024600000}"/>
    <cellStyle name="Normal 22 2 2 4 2 2" xfId="24415" xr:uid="{00000000-0005-0000-0000-000025600000}"/>
    <cellStyle name="Normal 22 2 2 4 2 3" xfId="24416" xr:uid="{00000000-0005-0000-0000-000026600000}"/>
    <cellStyle name="Normal 22 2 2 4 3" xfId="24417" xr:uid="{00000000-0005-0000-0000-000027600000}"/>
    <cellStyle name="Normal 22 2 2 4 4" xfId="24418" xr:uid="{00000000-0005-0000-0000-000028600000}"/>
    <cellStyle name="Normal 22 2 2 4_Order Book" xfId="24419" xr:uid="{00000000-0005-0000-0000-000029600000}"/>
    <cellStyle name="Normal 22 2 2 5" xfId="24420" xr:uid="{00000000-0005-0000-0000-00002A600000}"/>
    <cellStyle name="Normal 22 2 2 5 2" xfId="24421" xr:uid="{00000000-0005-0000-0000-00002B600000}"/>
    <cellStyle name="Normal 22 2 2 5 3" xfId="24422" xr:uid="{00000000-0005-0000-0000-00002C600000}"/>
    <cellStyle name="Normal 22 2 2 6" xfId="24423" xr:uid="{00000000-0005-0000-0000-00002D600000}"/>
    <cellStyle name="Normal 22 2 2 7" xfId="24424" xr:uid="{00000000-0005-0000-0000-00002E600000}"/>
    <cellStyle name="Normal 22 2 2_Order Book" xfId="24425" xr:uid="{00000000-0005-0000-0000-00002F600000}"/>
    <cellStyle name="Normal 22 2 3" xfId="24426" xr:uid="{00000000-0005-0000-0000-000030600000}"/>
    <cellStyle name="Normal 22 2 3 2" xfId="24427" xr:uid="{00000000-0005-0000-0000-000031600000}"/>
    <cellStyle name="Normal 22 2 3 2 2" xfId="24428" xr:uid="{00000000-0005-0000-0000-000032600000}"/>
    <cellStyle name="Normal 22 2 3 2 2 2" xfId="24429" xr:uid="{00000000-0005-0000-0000-000033600000}"/>
    <cellStyle name="Normal 22 2 3 2 2 2 2" xfId="24430" xr:uid="{00000000-0005-0000-0000-000034600000}"/>
    <cellStyle name="Normal 22 2 3 2 2 2 3" xfId="24431" xr:uid="{00000000-0005-0000-0000-000035600000}"/>
    <cellStyle name="Normal 22 2 3 2 2 3" xfId="24432" xr:uid="{00000000-0005-0000-0000-000036600000}"/>
    <cellStyle name="Normal 22 2 3 2 2 4" xfId="24433" xr:uid="{00000000-0005-0000-0000-000037600000}"/>
    <cellStyle name="Normal 22 2 3 2 2_Order Book" xfId="24434" xr:uid="{00000000-0005-0000-0000-000038600000}"/>
    <cellStyle name="Normal 22 2 3 2 3" xfId="24435" xr:uid="{00000000-0005-0000-0000-000039600000}"/>
    <cellStyle name="Normal 22 2 3 2 3 2" xfId="24436" xr:uid="{00000000-0005-0000-0000-00003A600000}"/>
    <cellStyle name="Normal 22 2 3 2 3 3" xfId="24437" xr:uid="{00000000-0005-0000-0000-00003B600000}"/>
    <cellStyle name="Normal 22 2 3 2 4" xfId="24438" xr:uid="{00000000-0005-0000-0000-00003C600000}"/>
    <cellStyle name="Normal 22 2 3 2 5" xfId="24439" xr:uid="{00000000-0005-0000-0000-00003D600000}"/>
    <cellStyle name="Normal 22 2 3 2_Order Book" xfId="24440" xr:uid="{00000000-0005-0000-0000-00003E600000}"/>
    <cellStyle name="Normal 22 2 3 3" xfId="24441" xr:uid="{00000000-0005-0000-0000-00003F600000}"/>
    <cellStyle name="Normal 22 2 3 3 2" xfId="24442" xr:uid="{00000000-0005-0000-0000-000040600000}"/>
    <cellStyle name="Normal 22 2 3 3 2 2" xfId="24443" xr:uid="{00000000-0005-0000-0000-000041600000}"/>
    <cellStyle name="Normal 22 2 3 3 2 3" xfId="24444" xr:uid="{00000000-0005-0000-0000-000042600000}"/>
    <cellStyle name="Normal 22 2 3 3 3" xfId="24445" xr:uid="{00000000-0005-0000-0000-000043600000}"/>
    <cellStyle name="Normal 22 2 3 3 4" xfId="24446" xr:uid="{00000000-0005-0000-0000-000044600000}"/>
    <cellStyle name="Normal 22 2 3 3_Order Book" xfId="24447" xr:uid="{00000000-0005-0000-0000-000045600000}"/>
    <cellStyle name="Normal 22 2 3 4" xfId="24448" xr:uid="{00000000-0005-0000-0000-000046600000}"/>
    <cellStyle name="Normal 22 2 3 4 2" xfId="24449" xr:uid="{00000000-0005-0000-0000-000047600000}"/>
    <cellStyle name="Normal 22 2 3 4 3" xfId="24450" xr:uid="{00000000-0005-0000-0000-000048600000}"/>
    <cellStyle name="Normal 22 2 3 5" xfId="24451" xr:uid="{00000000-0005-0000-0000-000049600000}"/>
    <cellStyle name="Normal 22 2 3 6" xfId="24452" xr:uid="{00000000-0005-0000-0000-00004A600000}"/>
    <cellStyle name="Normal 22 2 3_Order Book" xfId="24453" xr:uid="{00000000-0005-0000-0000-00004B600000}"/>
    <cellStyle name="Normal 22 2 4" xfId="24454" xr:uid="{00000000-0005-0000-0000-00004C600000}"/>
    <cellStyle name="Normal 22 2 4 2" xfId="24455" xr:uid="{00000000-0005-0000-0000-00004D600000}"/>
    <cellStyle name="Normal 22 2 4 2 2" xfId="24456" xr:uid="{00000000-0005-0000-0000-00004E600000}"/>
    <cellStyle name="Normal 22 2 4 2 2 2" xfId="24457" xr:uid="{00000000-0005-0000-0000-00004F600000}"/>
    <cellStyle name="Normal 22 2 4 2 2 3" xfId="24458" xr:uid="{00000000-0005-0000-0000-000050600000}"/>
    <cellStyle name="Normal 22 2 4 2 3" xfId="24459" xr:uid="{00000000-0005-0000-0000-000051600000}"/>
    <cellStyle name="Normal 22 2 4 2 4" xfId="24460" xr:uid="{00000000-0005-0000-0000-000052600000}"/>
    <cellStyle name="Normal 22 2 4 2_Order Book" xfId="24461" xr:uid="{00000000-0005-0000-0000-000053600000}"/>
    <cellStyle name="Normal 22 2 4 3" xfId="24462" xr:uid="{00000000-0005-0000-0000-000054600000}"/>
    <cellStyle name="Normal 22 2 4 3 2" xfId="24463" xr:uid="{00000000-0005-0000-0000-000055600000}"/>
    <cellStyle name="Normal 22 2 4 3 3" xfId="24464" xr:uid="{00000000-0005-0000-0000-000056600000}"/>
    <cellStyle name="Normal 22 2 4 4" xfId="24465" xr:uid="{00000000-0005-0000-0000-000057600000}"/>
    <cellStyle name="Normal 22 2 4 5" xfId="24466" xr:uid="{00000000-0005-0000-0000-000058600000}"/>
    <cellStyle name="Normal 22 2 4_Order Book" xfId="24467" xr:uid="{00000000-0005-0000-0000-000059600000}"/>
    <cellStyle name="Normal 22 2 5" xfId="24468" xr:uid="{00000000-0005-0000-0000-00005A600000}"/>
    <cellStyle name="Normal 22 2 5 2" xfId="24469" xr:uid="{00000000-0005-0000-0000-00005B600000}"/>
    <cellStyle name="Normal 22 2 5 2 2" xfId="24470" xr:uid="{00000000-0005-0000-0000-00005C600000}"/>
    <cellStyle name="Normal 22 2 5 2 2 2" xfId="24471" xr:uid="{00000000-0005-0000-0000-00005D600000}"/>
    <cellStyle name="Normal 22 2 5 2 2 3" xfId="24472" xr:uid="{00000000-0005-0000-0000-00005E600000}"/>
    <cellStyle name="Normal 22 2 5 2 3" xfId="24473" xr:uid="{00000000-0005-0000-0000-00005F600000}"/>
    <cellStyle name="Normal 22 2 5 2 4" xfId="24474" xr:uid="{00000000-0005-0000-0000-000060600000}"/>
    <cellStyle name="Normal 22 2 5 2_Order Book" xfId="24475" xr:uid="{00000000-0005-0000-0000-000061600000}"/>
    <cellStyle name="Normal 22 2 5 3" xfId="24476" xr:uid="{00000000-0005-0000-0000-000062600000}"/>
    <cellStyle name="Normal 22 2 5 3 2" xfId="24477" xr:uid="{00000000-0005-0000-0000-000063600000}"/>
    <cellStyle name="Normal 22 2 5 3 3" xfId="24478" xr:uid="{00000000-0005-0000-0000-000064600000}"/>
    <cellStyle name="Normal 22 2 5 4" xfId="24479" xr:uid="{00000000-0005-0000-0000-000065600000}"/>
    <cellStyle name="Normal 22 2 5 5" xfId="24480" xr:uid="{00000000-0005-0000-0000-000066600000}"/>
    <cellStyle name="Normal 22 2 5_Order Book" xfId="24481" xr:uid="{00000000-0005-0000-0000-000067600000}"/>
    <cellStyle name="Normal 22 2 6" xfId="24482" xr:uid="{00000000-0005-0000-0000-000068600000}"/>
    <cellStyle name="Normal 22 2 6 2" xfId="24483" xr:uid="{00000000-0005-0000-0000-000069600000}"/>
    <cellStyle name="Normal 22 2 6 2 2" xfId="24484" xr:uid="{00000000-0005-0000-0000-00006A600000}"/>
    <cellStyle name="Normal 22 2 6 2 2 2" xfId="24485" xr:uid="{00000000-0005-0000-0000-00006B600000}"/>
    <cellStyle name="Normal 22 2 6 2 2 3" xfId="24486" xr:uid="{00000000-0005-0000-0000-00006C600000}"/>
    <cellStyle name="Normal 22 2 6 2 3" xfId="24487" xr:uid="{00000000-0005-0000-0000-00006D600000}"/>
    <cellStyle name="Normal 22 2 6 2 4" xfId="24488" xr:uid="{00000000-0005-0000-0000-00006E600000}"/>
    <cellStyle name="Normal 22 2 6 2_Order Book" xfId="24489" xr:uid="{00000000-0005-0000-0000-00006F600000}"/>
    <cellStyle name="Normal 22 2 6 3" xfId="24490" xr:uid="{00000000-0005-0000-0000-000070600000}"/>
    <cellStyle name="Normal 22 2 6 3 2" xfId="24491" xr:uid="{00000000-0005-0000-0000-000071600000}"/>
    <cellStyle name="Normal 22 2 6 3 3" xfId="24492" xr:uid="{00000000-0005-0000-0000-000072600000}"/>
    <cellStyle name="Normal 22 2 6 4" xfId="24493" xr:uid="{00000000-0005-0000-0000-000073600000}"/>
    <cellStyle name="Normal 22 2 6 5" xfId="24494" xr:uid="{00000000-0005-0000-0000-000074600000}"/>
    <cellStyle name="Normal 22 2 6_Order Book" xfId="24495" xr:uid="{00000000-0005-0000-0000-000075600000}"/>
    <cellStyle name="Normal 22 2 7" xfId="24496" xr:uid="{00000000-0005-0000-0000-000076600000}"/>
    <cellStyle name="Normal 22 2 7 2" xfId="24497" xr:uid="{00000000-0005-0000-0000-000077600000}"/>
    <cellStyle name="Normal 22 2 7 2 2" xfId="24498" xr:uid="{00000000-0005-0000-0000-000078600000}"/>
    <cellStyle name="Normal 22 2 7 2 3" xfId="24499" xr:uid="{00000000-0005-0000-0000-000079600000}"/>
    <cellStyle name="Normal 22 2 7 3" xfId="24500" xr:uid="{00000000-0005-0000-0000-00007A600000}"/>
    <cellStyle name="Normal 22 2 7 4" xfId="24501" xr:uid="{00000000-0005-0000-0000-00007B600000}"/>
    <cellStyle name="Normal 22 2 7_Order Book" xfId="24502" xr:uid="{00000000-0005-0000-0000-00007C600000}"/>
    <cellStyle name="Normal 22 2 8" xfId="24503" xr:uid="{00000000-0005-0000-0000-00007D600000}"/>
    <cellStyle name="Normal 22 2 8 2" xfId="24504" xr:uid="{00000000-0005-0000-0000-00007E600000}"/>
    <cellStyle name="Normal 22 2 8 3" xfId="24505" xr:uid="{00000000-0005-0000-0000-00007F600000}"/>
    <cellStyle name="Normal 22 2 9" xfId="24506" xr:uid="{00000000-0005-0000-0000-000080600000}"/>
    <cellStyle name="Normal 22 2_Order Book" xfId="24507" xr:uid="{00000000-0005-0000-0000-000081600000}"/>
    <cellStyle name="Normal 22 3" xfId="24508" xr:uid="{00000000-0005-0000-0000-000082600000}"/>
    <cellStyle name="Normal 22 3 2" xfId="24509" xr:uid="{00000000-0005-0000-0000-000083600000}"/>
    <cellStyle name="Normal 22 3 2 2" xfId="24510" xr:uid="{00000000-0005-0000-0000-000084600000}"/>
    <cellStyle name="Normal 22 3 2 2 2" xfId="24511" xr:uid="{00000000-0005-0000-0000-000085600000}"/>
    <cellStyle name="Normal 22 3 2 2 2 2" xfId="24512" xr:uid="{00000000-0005-0000-0000-000086600000}"/>
    <cellStyle name="Normal 22 3 2 2 2 3" xfId="24513" xr:uid="{00000000-0005-0000-0000-000087600000}"/>
    <cellStyle name="Normal 22 3 2 2 3" xfId="24514" xr:uid="{00000000-0005-0000-0000-000088600000}"/>
    <cellStyle name="Normal 22 3 2 2 4" xfId="24515" xr:uid="{00000000-0005-0000-0000-000089600000}"/>
    <cellStyle name="Normal 22 3 2 2_Order Book" xfId="24516" xr:uid="{00000000-0005-0000-0000-00008A600000}"/>
    <cellStyle name="Normal 22 3 2 3" xfId="24517" xr:uid="{00000000-0005-0000-0000-00008B600000}"/>
    <cellStyle name="Normal 22 3 2 3 2" xfId="24518" xr:uid="{00000000-0005-0000-0000-00008C600000}"/>
    <cellStyle name="Normal 22 3 2 3 3" xfId="24519" xr:uid="{00000000-0005-0000-0000-00008D600000}"/>
    <cellStyle name="Normal 22 3 2 4" xfId="24520" xr:uid="{00000000-0005-0000-0000-00008E600000}"/>
    <cellStyle name="Normal 22 3 2 5" xfId="24521" xr:uid="{00000000-0005-0000-0000-00008F600000}"/>
    <cellStyle name="Normal 22 3 2_Order Book" xfId="24522" xr:uid="{00000000-0005-0000-0000-000090600000}"/>
    <cellStyle name="Normal 22 3 3" xfId="24523" xr:uid="{00000000-0005-0000-0000-000091600000}"/>
    <cellStyle name="Normal 22 3 3 2" xfId="24524" xr:uid="{00000000-0005-0000-0000-000092600000}"/>
    <cellStyle name="Normal 22 3 3 2 2" xfId="24525" xr:uid="{00000000-0005-0000-0000-000093600000}"/>
    <cellStyle name="Normal 22 3 3 2 2 2" xfId="24526" xr:uid="{00000000-0005-0000-0000-000094600000}"/>
    <cellStyle name="Normal 22 3 3 2 2 3" xfId="24527" xr:uid="{00000000-0005-0000-0000-000095600000}"/>
    <cellStyle name="Normal 22 3 3 2 3" xfId="24528" xr:uid="{00000000-0005-0000-0000-000096600000}"/>
    <cellStyle name="Normal 22 3 3 2 4" xfId="24529" xr:uid="{00000000-0005-0000-0000-000097600000}"/>
    <cellStyle name="Normal 22 3 3 2_Order Book" xfId="24530" xr:uid="{00000000-0005-0000-0000-000098600000}"/>
    <cellStyle name="Normal 22 3 3 3" xfId="24531" xr:uid="{00000000-0005-0000-0000-000099600000}"/>
    <cellStyle name="Normal 22 3 3 3 2" xfId="24532" xr:uid="{00000000-0005-0000-0000-00009A600000}"/>
    <cellStyle name="Normal 22 3 3 3 3" xfId="24533" xr:uid="{00000000-0005-0000-0000-00009B600000}"/>
    <cellStyle name="Normal 22 3 3 4" xfId="24534" xr:uid="{00000000-0005-0000-0000-00009C600000}"/>
    <cellStyle name="Normal 22 3 3 5" xfId="24535" xr:uid="{00000000-0005-0000-0000-00009D600000}"/>
    <cellStyle name="Normal 22 3 3_Order Book" xfId="24536" xr:uid="{00000000-0005-0000-0000-00009E600000}"/>
    <cellStyle name="Normal 22 3 4" xfId="24537" xr:uid="{00000000-0005-0000-0000-00009F600000}"/>
    <cellStyle name="Normal 22 3 4 2" xfId="24538" xr:uid="{00000000-0005-0000-0000-0000A0600000}"/>
    <cellStyle name="Normal 22 3 4 2 2" xfId="24539" xr:uid="{00000000-0005-0000-0000-0000A1600000}"/>
    <cellStyle name="Normal 22 3 4 2 3" xfId="24540" xr:uid="{00000000-0005-0000-0000-0000A2600000}"/>
    <cellStyle name="Normal 22 3 4 3" xfId="24541" xr:uid="{00000000-0005-0000-0000-0000A3600000}"/>
    <cellStyle name="Normal 22 3 4 4" xfId="24542" xr:uid="{00000000-0005-0000-0000-0000A4600000}"/>
    <cellStyle name="Normal 22 3 4_Order Book" xfId="24543" xr:uid="{00000000-0005-0000-0000-0000A5600000}"/>
    <cellStyle name="Normal 22 3 5" xfId="24544" xr:uid="{00000000-0005-0000-0000-0000A6600000}"/>
    <cellStyle name="Normal 22 3 5 2" xfId="24545" xr:uid="{00000000-0005-0000-0000-0000A7600000}"/>
    <cellStyle name="Normal 22 3 5 3" xfId="24546" xr:uid="{00000000-0005-0000-0000-0000A8600000}"/>
    <cellStyle name="Normal 22 3 6" xfId="24547" xr:uid="{00000000-0005-0000-0000-0000A9600000}"/>
    <cellStyle name="Normal 22 3 7" xfId="24548" xr:uid="{00000000-0005-0000-0000-0000AA600000}"/>
    <cellStyle name="Normal 22 3 8" xfId="24549" xr:uid="{00000000-0005-0000-0000-0000AB600000}"/>
    <cellStyle name="Normal 22 3_Order Book" xfId="24550" xr:uid="{00000000-0005-0000-0000-0000AC600000}"/>
    <cellStyle name="Normal 22 4" xfId="24551" xr:uid="{00000000-0005-0000-0000-0000AD600000}"/>
    <cellStyle name="Normal 22 4 2" xfId="24552" xr:uid="{00000000-0005-0000-0000-0000AE600000}"/>
    <cellStyle name="Normal 22 4 2 2" xfId="24553" xr:uid="{00000000-0005-0000-0000-0000AF600000}"/>
    <cellStyle name="Normal 22 4 2 2 2" xfId="24554" xr:uid="{00000000-0005-0000-0000-0000B0600000}"/>
    <cellStyle name="Normal 22 4 2 2 2 2" xfId="24555" xr:uid="{00000000-0005-0000-0000-0000B1600000}"/>
    <cellStyle name="Normal 22 4 2 2 2 3" xfId="24556" xr:uid="{00000000-0005-0000-0000-0000B2600000}"/>
    <cellStyle name="Normal 22 4 2 2 3" xfId="24557" xr:uid="{00000000-0005-0000-0000-0000B3600000}"/>
    <cellStyle name="Normal 22 4 2 2 4" xfId="24558" xr:uid="{00000000-0005-0000-0000-0000B4600000}"/>
    <cellStyle name="Normal 22 4 2 2_Order Book" xfId="24559" xr:uid="{00000000-0005-0000-0000-0000B5600000}"/>
    <cellStyle name="Normal 22 4 2 3" xfId="24560" xr:uid="{00000000-0005-0000-0000-0000B6600000}"/>
    <cellStyle name="Normal 22 4 2 3 2" xfId="24561" xr:uid="{00000000-0005-0000-0000-0000B7600000}"/>
    <cellStyle name="Normal 22 4 2 3 3" xfId="24562" xr:uid="{00000000-0005-0000-0000-0000B8600000}"/>
    <cellStyle name="Normal 22 4 2 4" xfId="24563" xr:uid="{00000000-0005-0000-0000-0000B9600000}"/>
    <cellStyle name="Normal 22 4 2 5" xfId="24564" xr:uid="{00000000-0005-0000-0000-0000BA600000}"/>
    <cellStyle name="Normal 22 4 2_Order Book" xfId="24565" xr:uid="{00000000-0005-0000-0000-0000BB600000}"/>
    <cellStyle name="Normal 22 4 3" xfId="24566" xr:uid="{00000000-0005-0000-0000-0000BC600000}"/>
    <cellStyle name="Normal 22 4 3 2" xfId="24567" xr:uid="{00000000-0005-0000-0000-0000BD600000}"/>
    <cellStyle name="Normal 22 4 3 2 2" xfId="24568" xr:uid="{00000000-0005-0000-0000-0000BE600000}"/>
    <cellStyle name="Normal 22 4 3 2 3" xfId="24569" xr:uid="{00000000-0005-0000-0000-0000BF600000}"/>
    <cellStyle name="Normal 22 4 3 3" xfId="24570" xr:uid="{00000000-0005-0000-0000-0000C0600000}"/>
    <cellStyle name="Normal 22 4 3 4" xfId="24571" xr:uid="{00000000-0005-0000-0000-0000C1600000}"/>
    <cellStyle name="Normal 22 4 3_Order Book" xfId="24572" xr:uid="{00000000-0005-0000-0000-0000C2600000}"/>
    <cellStyle name="Normal 22 4 4" xfId="24573" xr:uid="{00000000-0005-0000-0000-0000C3600000}"/>
    <cellStyle name="Normal 22 4 4 2" xfId="24574" xr:uid="{00000000-0005-0000-0000-0000C4600000}"/>
    <cellStyle name="Normal 22 4 4 3" xfId="24575" xr:uid="{00000000-0005-0000-0000-0000C5600000}"/>
    <cellStyle name="Normal 22 4 5" xfId="24576" xr:uid="{00000000-0005-0000-0000-0000C6600000}"/>
    <cellStyle name="Normal 22 4 6" xfId="24577" xr:uid="{00000000-0005-0000-0000-0000C7600000}"/>
    <cellStyle name="Normal 22 4 7" xfId="24578" xr:uid="{00000000-0005-0000-0000-0000C8600000}"/>
    <cellStyle name="Normal 22 4_Order Book" xfId="24579" xr:uid="{00000000-0005-0000-0000-0000C9600000}"/>
    <cellStyle name="Normal 22 5" xfId="24580" xr:uid="{00000000-0005-0000-0000-0000CA600000}"/>
    <cellStyle name="Normal 22 5 10" xfId="24581" xr:uid="{00000000-0005-0000-0000-0000CB600000}"/>
    <cellStyle name="Normal 22 5 2" xfId="24582" xr:uid="{00000000-0005-0000-0000-0000CC600000}"/>
    <cellStyle name="Normal 22 5 2 2" xfId="24583" xr:uid="{00000000-0005-0000-0000-0000CD600000}"/>
    <cellStyle name="Normal 22 5 2 2 2" xfId="24584" xr:uid="{00000000-0005-0000-0000-0000CE600000}"/>
    <cellStyle name="Normal 22 5 2 2 3" xfId="24585" xr:uid="{00000000-0005-0000-0000-0000CF600000}"/>
    <cellStyle name="Normal 22 5 2 3" xfId="24586" xr:uid="{00000000-0005-0000-0000-0000D0600000}"/>
    <cellStyle name="Normal 22 5 2 4" xfId="24587" xr:uid="{00000000-0005-0000-0000-0000D1600000}"/>
    <cellStyle name="Normal 22 5 2_Order Book" xfId="24588" xr:uid="{00000000-0005-0000-0000-0000D2600000}"/>
    <cellStyle name="Normal 22 5 3" xfId="24589" xr:uid="{00000000-0005-0000-0000-0000D3600000}"/>
    <cellStyle name="Normal 22 5 3 2" xfId="24590" xr:uid="{00000000-0005-0000-0000-0000D4600000}"/>
    <cellStyle name="Normal 22 5 3 3" xfId="24591" xr:uid="{00000000-0005-0000-0000-0000D5600000}"/>
    <cellStyle name="Normal 22 5 4" xfId="24592" xr:uid="{00000000-0005-0000-0000-0000D6600000}"/>
    <cellStyle name="Normal 22 5 5" xfId="24593" xr:uid="{00000000-0005-0000-0000-0000D7600000}"/>
    <cellStyle name="Normal 22 5 6" xfId="24594" xr:uid="{00000000-0005-0000-0000-0000D8600000}"/>
    <cellStyle name="Normal 22 5 7" xfId="24595" xr:uid="{00000000-0005-0000-0000-0000D9600000}"/>
    <cellStyle name="Normal 22 5 8" xfId="24596" xr:uid="{00000000-0005-0000-0000-0000DA600000}"/>
    <cellStyle name="Normal 22 5 9" xfId="24597" xr:uid="{00000000-0005-0000-0000-0000DB600000}"/>
    <cellStyle name="Normal 22 5_Order Book" xfId="24598" xr:uid="{00000000-0005-0000-0000-0000DC600000}"/>
    <cellStyle name="Normal 22 6" xfId="24599" xr:uid="{00000000-0005-0000-0000-0000DD600000}"/>
    <cellStyle name="Normal 22 6 2" xfId="24600" xr:uid="{00000000-0005-0000-0000-0000DE600000}"/>
    <cellStyle name="Normal 22 6 2 2" xfId="24601" xr:uid="{00000000-0005-0000-0000-0000DF600000}"/>
    <cellStyle name="Normal 22 6 2 2 2" xfId="24602" xr:uid="{00000000-0005-0000-0000-0000E0600000}"/>
    <cellStyle name="Normal 22 6 2 2 3" xfId="24603" xr:uid="{00000000-0005-0000-0000-0000E1600000}"/>
    <cellStyle name="Normal 22 6 2 3" xfId="24604" xr:uid="{00000000-0005-0000-0000-0000E2600000}"/>
    <cellStyle name="Normal 22 6 2 4" xfId="24605" xr:uid="{00000000-0005-0000-0000-0000E3600000}"/>
    <cellStyle name="Normal 22 6 2_Order Book" xfId="24606" xr:uid="{00000000-0005-0000-0000-0000E4600000}"/>
    <cellStyle name="Normal 22 6 3" xfId="24607" xr:uid="{00000000-0005-0000-0000-0000E5600000}"/>
    <cellStyle name="Normal 22 6 3 2" xfId="24608" xr:uid="{00000000-0005-0000-0000-0000E6600000}"/>
    <cellStyle name="Normal 22 6 3 3" xfId="24609" xr:uid="{00000000-0005-0000-0000-0000E7600000}"/>
    <cellStyle name="Normal 22 6 4" xfId="24610" xr:uid="{00000000-0005-0000-0000-0000E8600000}"/>
    <cellStyle name="Normal 22 6 5" xfId="24611" xr:uid="{00000000-0005-0000-0000-0000E9600000}"/>
    <cellStyle name="Normal 22 6 6" xfId="24612" xr:uid="{00000000-0005-0000-0000-0000EA600000}"/>
    <cellStyle name="Normal 22 6_Order Book" xfId="24613" xr:uid="{00000000-0005-0000-0000-0000EB600000}"/>
    <cellStyle name="Normal 22 7" xfId="24614" xr:uid="{00000000-0005-0000-0000-0000EC600000}"/>
    <cellStyle name="Normal 22 7 2" xfId="24615" xr:uid="{00000000-0005-0000-0000-0000ED600000}"/>
    <cellStyle name="Normal 22 7 2 2" xfId="24616" xr:uid="{00000000-0005-0000-0000-0000EE600000}"/>
    <cellStyle name="Normal 22 7 2 2 2" xfId="24617" xr:uid="{00000000-0005-0000-0000-0000EF600000}"/>
    <cellStyle name="Normal 22 7 2 2 3" xfId="24618" xr:uid="{00000000-0005-0000-0000-0000F0600000}"/>
    <cellStyle name="Normal 22 7 2 3" xfId="24619" xr:uid="{00000000-0005-0000-0000-0000F1600000}"/>
    <cellStyle name="Normal 22 7 2 4" xfId="24620" xr:uid="{00000000-0005-0000-0000-0000F2600000}"/>
    <cellStyle name="Normal 22 7 2_Order Book" xfId="24621" xr:uid="{00000000-0005-0000-0000-0000F3600000}"/>
    <cellStyle name="Normal 22 7 3" xfId="24622" xr:uid="{00000000-0005-0000-0000-0000F4600000}"/>
    <cellStyle name="Normal 22 7 3 2" xfId="24623" xr:uid="{00000000-0005-0000-0000-0000F5600000}"/>
    <cellStyle name="Normal 22 7 3 3" xfId="24624" xr:uid="{00000000-0005-0000-0000-0000F6600000}"/>
    <cellStyle name="Normal 22 7 4" xfId="24625" xr:uid="{00000000-0005-0000-0000-0000F7600000}"/>
    <cellStyle name="Normal 22 7 5" xfId="24626" xr:uid="{00000000-0005-0000-0000-0000F8600000}"/>
    <cellStyle name="Normal 22 7_Order Book" xfId="24627" xr:uid="{00000000-0005-0000-0000-0000F9600000}"/>
    <cellStyle name="Normal 22 8" xfId="24628" xr:uid="{00000000-0005-0000-0000-0000FA600000}"/>
    <cellStyle name="Normal 22 9" xfId="24629" xr:uid="{00000000-0005-0000-0000-0000FB600000}"/>
    <cellStyle name="Normal 22 9 2" xfId="24630" xr:uid="{00000000-0005-0000-0000-0000FC600000}"/>
    <cellStyle name="Normal 22 9 2 2" xfId="24631" xr:uid="{00000000-0005-0000-0000-0000FD600000}"/>
    <cellStyle name="Normal 22 9 2 3" xfId="24632" xr:uid="{00000000-0005-0000-0000-0000FE600000}"/>
    <cellStyle name="Normal 22 9 3" xfId="24633" xr:uid="{00000000-0005-0000-0000-0000FF600000}"/>
    <cellStyle name="Normal 22 9 4" xfId="24634" xr:uid="{00000000-0005-0000-0000-000000610000}"/>
    <cellStyle name="Normal 22 9_Order Book" xfId="24635" xr:uid="{00000000-0005-0000-0000-000001610000}"/>
    <cellStyle name="Normal 22_Order Book" xfId="24636" xr:uid="{00000000-0005-0000-0000-000002610000}"/>
    <cellStyle name="Normal 220" xfId="2646" xr:uid="{00000000-0005-0000-0000-000003610000}"/>
    <cellStyle name="Normal 220 10" xfId="24637" xr:uid="{00000000-0005-0000-0000-000004610000}"/>
    <cellStyle name="Normal 220 11" xfId="24638" xr:uid="{00000000-0005-0000-0000-000005610000}"/>
    <cellStyle name="Normal 220 12" xfId="24639" xr:uid="{00000000-0005-0000-0000-000006610000}"/>
    <cellStyle name="Normal 220 2" xfId="24640" xr:uid="{00000000-0005-0000-0000-000007610000}"/>
    <cellStyle name="Normal 220 2 2" xfId="24641" xr:uid="{00000000-0005-0000-0000-000008610000}"/>
    <cellStyle name="Normal 220 2 2 2" xfId="24642" xr:uid="{00000000-0005-0000-0000-000009610000}"/>
    <cellStyle name="Normal 220 2 2 2 2" xfId="24643" xr:uid="{00000000-0005-0000-0000-00000A610000}"/>
    <cellStyle name="Normal 220 2 2 2 2 2" xfId="24644" xr:uid="{00000000-0005-0000-0000-00000B610000}"/>
    <cellStyle name="Normal 220 2 2 2 2 3" xfId="24645" xr:uid="{00000000-0005-0000-0000-00000C610000}"/>
    <cellStyle name="Normal 220 2 2 2 3" xfId="24646" xr:uid="{00000000-0005-0000-0000-00000D610000}"/>
    <cellStyle name="Normal 220 2 2 2 3 2" xfId="24647" xr:uid="{00000000-0005-0000-0000-00000E610000}"/>
    <cellStyle name="Normal 220 2 2 2 3 3" xfId="24648" xr:uid="{00000000-0005-0000-0000-00000F610000}"/>
    <cellStyle name="Normal 220 2 2 2 4" xfId="24649" xr:uid="{00000000-0005-0000-0000-000010610000}"/>
    <cellStyle name="Normal 220 2 2 2 5" xfId="24650" xr:uid="{00000000-0005-0000-0000-000011610000}"/>
    <cellStyle name="Normal 220 2 2 2 6" xfId="24651" xr:uid="{00000000-0005-0000-0000-000012610000}"/>
    <cellStyle name="Normal 220 2 2 3" xfId="24652" xr:uid="{00000000-0005-0000-0000-000013610000}"/>
    <cellStyle name="Normal 220 2 2 3 2" xfId="24653" xr:uid="{00000000-0005-0000-0000-000014610000}"/>
    <cellStyle name="Normal 220 2 2 3 3" xfId="24654" xr:uid="{00000000-0005-0000-0000-000015610000}"/>
    <cellStyle name="Normal 220 2 2 4" xfId="24655" xr:uid="{00000000-0005-0000-0000-000016610000}"/>
    <cellStyle name="Normal 220 2 2 4 2" xfId="24656" xr:uid="{00000000-0005-0000-0000-000017610000}"/>
    <cellStyle name="Normal 220 2 2 4 3" xfId="24657" xr:uid="{00000000-0005-0000-0000-000018610000}"/>
    <cellStyle name="Normal 220 2 2 5" xfId="24658" xr:uid="{00000000-0005-0000-0000-000019610000}"/>
    <cellStyle name="Normal 220 2 2 6" xfId="24659" xr:uid="{00000000-0005-0000-0000-00001A610000}"/>
    <cellStyle name="Normal 220 2 2 7" xfId="24660" xr:uid="{00000000-0005-0000-0000-00001B610000}"/>
    <cellStyle name="Normal 220 2 2 8" xfId="24661" xr:uid="{00000000-0005-0000-0000-00001C610000}"/>
    <cellStyle name="Normal 220 2 3" xfId="24662" xr:uid="{00000000-0005-0000-0000-00001D610000}"/>
    <cellStyle name="Normal 220 2 3 2" xfId="24663" xr:uid="{00000000-0005-0000-0000-00001E610000}"/>
    <cellStyle name="Normal 220 2 3 2 2" xfId="24664" xr:uid="{00000000-0005-0000-0000-00001F610000}"/>
    <cellStyle name="Normal 220 2 3 2 3" xfId="24665" xr:uid="{00000000-0005-0000-0000-000020610000}"/>
    <cellStyle name="Normal 220 2 3 3" xfId="24666" xr:uid="{00000000-0005-0000-0000-000021610000}"/>
    <cellStyle name="Normal 220 2 3 3 2" xfId="24667" xr:uid="{00000000-0005-0000-0000-000022610000}"/>
    <cellStyle name="Normal 220 2 3 3 3" xfId="24668" xr:uid="{00000000-0005-0000-0000-000023610000}"/>
    <cellStyle name="Normal 220 2 3 4" xfId="24669" xr:uid="{00000000-0005-0000-0000-000024610000}"/>
    <cellStyle name="Normal 220 2 3 5" xfId="24670" xr:uid="{00000000-0005-0000-0000-000025610000}"/>
    <cellStyle name="Normal 220 2 3 6" xfId="24671" xr:uid="{00000000-0005-0000-0000-000026610000}"/>
    <cellStyle name="Normal 220 2 4" xfId="24672" xr:uid="{00000000-0005-0000-0000-000027610000}"/>
    <cellStyle name="Normal 220 2 4 2" xfId="24673" xr:uid="{00000000-0005-0000-0000-000028610000}"/>
    <cellStyle name="Normal 220 2 4 3" xfId="24674" xr:uid="{00000000-0005-0000-0000-000029610000}"/>
    <cellStyle name="Normal 220 2 5" xfId="24675" xr:uid="{00000000-0005-0000-0000-00002A610000}"/>
    <cellStyle name="Normal 220 2 5 2" xfId="24676" xr:uid="{00000000-0005-0000-0000-00002B610000}"/>
    <cellStyle name="Normal 220 2 5 3" xfId="24677" xr:uid="{00000000-0005-0000-0000-00002C610000}"/>
    <cellStyle name="Normal 220 2 6" xfId="24678" xr:uid="{00000000-0005-0000-0000-00002D610000}"/>
    <cellStyle name="Normal 220 2 7" xfId="24679" xr:uid="{00000000-0005-0000-0000-00002E610000}"/>
    <cellStyle name="Normal 220 2 8" xfId="24680" xr:uid="{00000000-0005-0000-0000-00002F610000}"/>
    <cellStyle name="Normal 220 2 9" xfId="24681" xr:uid="{00000000-0005-0000-0000-000030610000}"/>
    <cellStyle name="Normal 220 3" xfId="24682" xr:uid="{00000000-0005-0000-0000-000031610000}"/>
    <cellStyle name="Normal 220 3 2" xfId="24683" xr:uid="{00000000-0005-0000-0000-000032610000}"/>
    <cellStyle name="Normal 220 3 2 2" xfId="24684" xr:uid="{00000000-0005-0000-0000-000033610000}"/>
    <cellStyle name="Normal 220 3 2 2 2" xfId="24685" xr:uid="{00000000-0005-0000-0000-000034610000}"/>
    <cellStyle name="Normal 220 3 2 2 3" xfId="24686" xr:uid="{00000000-0005-0000-0000-000035610000}"/>
    <cellStyle name="Normal 220 3 2 3" xfId="24687" xr:uid="{00000000-0005-0000-0000-000036610000}"/>
    <cellStyle name="Normal 220 3 2 3 2" xfId="24688" xr:uid="{00000000-0005-0000-0000-000037610000}"/>
    <cellStyle name="Normal 220 3 2 3 3" xfId="24689" xr:uid="{00000000-0005-0000-0000-000038610000}"/>
    <cellStyle name="Normal 220 3 2 4" xfId="24690" xr:uid="{00000000-0005-0000-0000-000039610000}"/>
    <cellStyle name="Normal 220 3 2 5" xfId="24691" xr:uid="{00000000-0005-0000-0000-00003A610000}"/>
    <cellStyle name="Normal 220 3 2 6" xfId="24692" xr:uid="{00000000-0005-0000-0000-00003B610000}"/>
    <cellStyle name="Normal 220 3 3" xfId="24693" xr:uid="{00000000-0005-0000-0000-00003C610000}"/>
    <cellStyle name="Normal 220 3 3 2" xfId="24694" xr:uid="{00000000-0005-0000-0000-00003D610000}"/>
    <cellStyle name="Normal 220 3 3 3" xfId="24695" xr:uid="{00000000-0005-0000-0000-00003E610000}"/>
    <cellStyle name="Normal 220 3 4" xfId="24696" xr:uid="{00000000-0005-0000-0000-00003F610000}"/>
    <cellStyle name="Normal 220 3 4 2" xfId="24697" xr:uid="{00000000-0005-0000-0000-000040610000}"/>
    <cellStyle name="Normal 220 3 4 3" xfId="24698" xr:uid="{00000000-0005-0000-0000-000041610000}"/>
    <cellStyle name="Normal 220 3 5" xfId="24699" xr:uid="{00000000-0005-0000-0000-000042610000}"/>
    <cellStyle name="Normal 220 3 6" xfId="24700" xr:uid="{00000000-0005-0000-0000-000043610000}"/>
    <cellStyle name="Normal 220 3 7" xfId="24701" xr:uid="{00000000-0005-0000-0000-000044610000}"/>
    <cellStyle name="Normal 220 3 8" xfId="24702" xr:uid="{00000000-0005-0000-0000-000045610000}"/>
    <cellStyle name="Normal 220 4" xfId="24703" xr:uid="{00000000-0005-0000-0000-000046610000}"/>
    <cellStyle name="Normal 220 4 2" xfId="24704" xr:uid="{00000000-0005-0000-0000-000047610000}"/>
    <cellStyle name="Normal 220 4 2 2" xfId="24705" xr:uid="{00000000-0005-0000-0000-000048610000}"/>
    <cellStyle name="Normal 220 4 2 3" xfId="24706" xr:uid="{00000000-0005-0000-0000-000049610000}"/>
    <cellStyle name="Normal 220 4 3" xfId="24707" xr:uid="{00000000-0005-0000-0000-00004A610000}"/>
    <cellStyle name="Normal 220 4 3 2" xfId="24708" xr:uid="{00000000-0005-0000-0000-00004B610000}"/>
    <cellStyle name="Normal 220 4 3 3" xfId="24709" xr:uid="{00000000-0005-0000-0000-00004C610000}"/>
    <cellStyle name="Normal 220 4 4" xfId="24710" xr:uid="{00000000-0005-0000-0000-00004D610000}"/>
    <cellStyle name="Normal 220 4 5" xfId="24711" xr:uid="{00000000-0005-0000-0000-00004E610000}"/>
    <cellStyle name="Normal 220 4 6" xfId="24712" xr:uid="{00000000-0005-0000-0000-00004F610000}"/>
    <cellStyle name="Normal 220 5" xfId="24713" xr:uid="{00000000-0005-0000-0000-000050610000}"/>
    <cellStyle name="Normal 220 5 2" xfId="24714" xr:uid="{00000000-0005-0000-0000-000051610000}"/>
    <cellStyle name="Normal 220 5 3" xfId="24715" xr:uid="{00000000-0005-0000-0000-000052610000}"/>
    <cellStyle name="Normal 220 6" xfId="24716" xr:uid="{00000000-0005-0000-0000-000053610000}"/>
    <cellStyle name="Normal 220 6 2" xfId="24717" xr:uid="{00000000-0005-0000-0000-000054610000}"/>
    <cellStyle name="Normal 220 6 3" xfId="24718" xr:uid="{00000000-0005-0000-0000-000055610000}"/>
    <cellStyle name="Normal 220 7" xfId="24719" xr:uid="{00000000-0005-0000-0000-000056610000}"/>
    <cellStyle name="Normal 220 8" xfId="24720" xr:uid="{00000000-0005-0000-0000-000057610000}"/>
    <cellStyle name="Normal 220 9" xfId="24721" xr:uid="{00000000-0005-0000-0000-000058610000}"/>
    <cellStyle name="Normal 221" xfId="2647" xr:uid="{00000000-0005-0000-0000-000059610000}"/>
    <cellStyle name="Normal 221 10" xfId="24722" xr:uid="{00000000-0005-0000-0000-00005A610000}"/>
    <cellStyle name="Normal 221 11" xfId="24723" xr:uid="{00000000-0005-0000-0000-00005B610000}"/>
    <cellStyle name="Normal 221 12" xfId="24724" xr:uid="{00000000-0005-0000-0000-00005C610000}"/>
    <cellStyle name="Normal 221 2" xfId="24725" xr:uid="{00000000-0005-0000-0000-00005D610000}"/>
    <cellStyle name="Normal 221 2 2" xfId="24726" xr:uid="{00000000-0005-0000-0000-00005E610000}"/>
    <cellStyle name="Normal 221 2 2 2" xfId="24727" xr:uid="{00000000-0005-0000-0000-00005F610000}"/>
    <cellStyle name="Normal 221 2 2 2 2" xfId="24728" xr:uid="{00000000-0005-0000-0000-000060610000}"/>
    <cellStyle name="Normal 221 2 2 2 2 2" xfId="24729" xr:uid="{00000000-0005-0000-0000-000061610000}"/>
    <cellStyle name="Normal 221 2 2 2 2 3" xfId="24730" xr:uid="{00000000-0005-0000-0000-000062610000}"/>
    <cellStyle name="Normal 221 2 2 2 3" xfId="24731" xr:uid="{00000000-0005-0000-0000-000063610000}"/>
    <cellStyle name="Normal 221 2 2 2 3 2" xfId="24732" xr:uid="{00000000-0005-0000-0000-000064610000}"/>
    <cellStyle name="Normal 221 2 2 2 3 3" xfId="24733" xr:uid="{00000000-0005-0000-0000-000065610000}"/>
    <cellStyle name="Normal 221 2 2 2 4" xfId="24734" xr:uid="{00000000-0005-0000-0000-000066610000}"/>
    <cellStyle name="Normal 221 2 2 2 5" xfId="24735" xr:uid="{00000000-0005-0000-0000-000067610000}"/>
    <cellStyle name="Normal 221 2 2 2 6" xfId="24736" xr:uid="{00000000-0005-0000-0000-000068610000}"/>
    <cellStyle name="Normal 221 2 2 3" xfId="24737" xr:uid="{00000000-0005-0000-0000-000069610000}"/>
    <cellStyle name="Normal 221 2 2 3 2" xfId="24738" xr:uid="{00000000-0005-0000-0000-00006A610000}"/>
    <cellStyle name="Normal 221 2 2 3 3" xfId="24739" xr:uid="{00000000-0005-0000-0000-00006B610000}"/>
    <cellStyle name="Normal 221 2 2 4" xfId="24740" xr:uid="{00000000-0005-0000-0000-00006C610000}"/>
    <cellStyle name="Normal 221 2 2 4 2" xfId="24741" xr:uid="{00000000-0005-0000-0000-00006D610000}"/>
    <cellStyle name="Normal 221 2 2 4 3" xfId="24742" xr:uid="{00000000-0005-0000-0000-00006E610000}"/>
    <cellStyle name="Normal 221 2 2 5" xfId="24743" xr:uid="{00000000-0005-0000-0000-00006F610000}"/>
    <cellStyle name="Normal 221 2 2 6" xfId="24744" xr:uid="{00000000-0005-0000-0000-000070610000}"/>
    <cellStyle name="Normal 221 2 2 7" xfId="24745" xr:uid="{00000000-0005-0000-0000-000071610000}"/>
    <cellStyle name="Normal 221 2 2 8" xfId="24746" xr:uid="{00000000-0005-0000-0000-000072610000}"/>
    <cellStyle name="Normal 221 2 3" xfId="24747" xr:uid="{00000000-0005-0000-0000-000073610000}"/>
    <cellStyle name="Normal 221 2 3 2" xfId="24748" xr:uid="{00000000-0005-0000-0000-000074610000}"/>
    <cellStyle name="Normal 221 2 3 2 2" xfId="24749" xr:uid="{00000000-0005-0000-0000-000075610000}"/>
    <cellStyle name="Normal 221 2 3 2 3" xfId="24750" xr:uid="{00000000-0005-0000-0000-000076610000}"/>
    <cellStyle name="Normal 221 2 3 3" xfId="24751" xr:uid="{00000000-0005-0000-0000-000077610000}"/>
    <cellStyle name="Normal 221 2 3 3 2" xfId="24752" xr:uid="{00000000-0005-0000-0000-000078610000}"/>
    <cellStyle name="Normal 221 2 3 3 3" xfId="24753" xr:uid="{00000000-0005-0000-0000-000079610000}"/>
    <cellStyle name="Normal 221 2 3 4" xfId="24754" xr:uid="{00000000-0005-0000-0000-00007A610000}"/>
    <cellStyle name="Normal 221 2 3 5" xfId="24755" xr:uid="{00000000-0005-0000-0000-00007B610000}"/>
    <cellStyle name="Normal 221 2 3 6" xfId="24756" xr:uid="{00000000-0005-0000-0000-00007C610000}"/>
    <cellStyle name="Normal 221 2 4" xfId="24757" xr:uid="{00000000-0005-0000-0000-00007D610000}"/>
    <cellStyle name="Normal 221 2 4 2" xfId="24758" xr:uid="{00000000-0005-0000-0000-00007E610000}"/>
    <cellStyle name="Normal 221 2 4 3" xfId="24759" xr:uid="{00000000-0005-0000-0000-00007F610000}"/>
    <cellStyle name="Normal 221 2 5" xfId="24760" xr:uid="{00000000-0005-0000-0000-000080610000}"/>
    <cellStyle name="Normal 221 2 5 2" xfId="24761" xr:uid="{00000000-0005-0000-0000-000081610000}"/>
    <cellStyle name="Normal 221 2 5 3" xfId="24762" xr:uid="{00000000-0005-0000-0000-000082610000}"/>
    <cellStyle name="Normal 221 2 6" xfId="24763" xr:uid="{00000000-0005-0000-0000-000083610000}"/>
    <cellStyle name="Normal 221 2 7" xfId="24764" xr:uid="{00000000-0005-0000-0000-000084610000}"/>
    <cellStyle name="Normal 221 2 8" xfId="24765" xr:uid="{00000000-0005-0000-0000-000085610000}"/>
    <cellStyle name="Normal 221 2 9" xfId="24766" xr:uid="{00000000-0005-0000-0000-000086610000}"/>
    <cellStyle name="Normal 221 3" xfId="24767" xr:uid="{00000000-0005-0000-0000-000087610000}"/>
    <cellStyle name="Normal 221 3 2" xfId="24768" xr:uid="{00000000-0005-0000-0000-000088610000}"/>
    <cellStyle name="Normal 221 3 2 2" xfId="24769" xr:uid="{00000000-0005-0000-0000-000089610000}"/>
    <cellStyle name="Normal 221 3 2 2 2" xfId="24770" xr:uid="{00000000-0005-0000-0000-00008A610000}"/>
    <cellStyle name="Normal 221 3 2 2 3" xfId="24771" xr:uid="{00000000-0005-0000-0000-00008B610000}"/>
    <cellStyle name="Normal 221 3 2 3" xfId="24772" xr:uid="{00000000-0005-0000-0000-00008C610000}"/>
    <cellStyle name="Normal 221 3 2 3 2" xfId="24773" xr:uid="{00000000-0005-0000-0000-00008D610000}"/>
    <cellStyle name="Normal 221 3 2 3 3" xfId="24774" xr:uid="{00000000-0005-0000-0000-00008E610000}"/>
    <cellStyle name="Normal 221 3 2 4" xfId="24775" xr:uid="{00000000-0005-0000-0000-00008F610000}"/>
    <cellStyle name="Normal 221 3 2 5" xfId="24776" xr:uid="{00000000-0005-0000-0000-000090610000}"/>
    <cellStyle name="Normal 221 3 2 6" xfId="24777" xr:uid="{00000000-0005-0000-0000-000091610000}"/>
    <cellStyle name="Normal 221 3 3" xfId="24778" xr:uid="{00000000-0005-0000-0000-000092610000}"/>
    <cellStyle name="Normal 221 3 3 2" xfId="24779" xr:uid="{00000000-0005-0000-0000-000093610000}"/>
    <cellStyle name="Normal 221 3 3 3" xfId="24780" xr:uid="{00000000-0005-0000-0000-000094610000}"/>
    <cellStyle name="Normal 221 3 4" xfId="24781" xr:uid="{00000000-0005-0000-0000-000095610000}"/>
    <cellStyle name="Normal 221 3 4 2" xfId="24782" xr:uid="{00000000-0005-0000-0000-000096610000}"/>
    <cellStyle name="Normal 221 3 4 3" xfId="24783" xr:uid="{00000000-0005-0000-0000-000097610000}"/>
    <cellStyle name="Normal 221 3 5" xfId="24784" xr:uid="{00000000-0005-0000-0000-000098610000}"/>
    <cellStyle name="Normal 221 3 6" xfId="24785" xr:uid="{00000000-0005-0000-0000-000099610000}"/>
    <cellStyle name="Normal 221 3 7" xfId="24786" xr:uid="{00000000-0005-0000-0000-00009A610000}"/>
    <cellStyle name="Normal 221 3 8" xfId="24787" xr:uid="{00000000-0005-0000-0000-00009B610000}"/>
    <cellStyle name="Normal 221 4" xfId="24788" xr:uid="{00000000-0005-0000-0000-00009C610000}"/>
    <cellStyle name="Normal 221 4 2" xfId="24789" xr:uid="{00000000-0005-0000-0000-00009D610000}"/>
    <cellStyle name="Normal 221 4 2 2" xfId="24790" xr:uid="{00000000-0005-0000-0000-00009E610000}"/>
    <cellStyle name="Normal 221 4 2 3" xfId="24791" xr:uid="{00000000-0005-0000-0000-00009F610000}"/>
    <cellStyle name="Normal 221 4 3" xfId="24792" xr:uid="{00000000-0005-0000-0000-0000A0610000}"/>
    <cellStyle name="Normal 221 4 3 2" xfId="24793" xr:uid="{00000000-0005-0000-0000-0000A1610000}"/>
    <cellStyle name="Normal 221 4 3 3" xfId="24794" xr:uid="{00000000-0005-0000-0000-0000A2610000}"/>
    <cellStyle name="Normal 221 4 4" xfId="24795" xr:uid="{00000000-0005-0000-0000-0000A3610000}"/>
    <cellStyle name="Normal 221 4 5" xfId="24796" xr:uid="{00000000-0005-0000-0000-0000A4610000}"/>
    <cellStyle name="Normal 221 4 6" xfId="24797" xr:uid="{00000000-0005-0000-0000-0000A5610000}"/>
    <cellStyle name="Normal 221 5" xfId="24798" xr:uid="{00000000-0005-0000-0000-0000A6610000}"/>
    <cellStyle name="Normal 221 5 2" xfId="24799" xr:uid="{00000000-0005-0000-0000-0000A7610000}"/>
    <cellStyle name="Normal 221 5 3" xfId="24800" xr:uid="{00000000-0005-0000-0000-0000A8610000}"/>
    <cellStyle name="Normal 221 6" xfId="24801" xr:uid="{00000000-0005-0000-0000-0000A9610000}"/>
    <cellStyle name="Normal 221 6 2" xfId="24802" xr:uid="{00000000-0005-0000-0000-0000AA610000}"/>
    <cellStyle name="Normal 221 6 3" xfId="24803" xr:uid="{00000000-0005-0000-0000-0000AB610000}"/>
    <cellStyle name="Normal 221 7" xfId="24804" xr:uid="{00000000-0005-0000-0000-0000AC610000}"/>
    <cellStyle name="Normal 221 8" xfId="24805" xr:uid="{00000000-0005-0000-0000-0000AD610000}"/>
    <cellStyle name="Normal 221 9" xfId="24806" xr:uid="{00000000-0005-0000-0000-0000AE610000}"/>
    <cellStyle name="Normal 222" xfId="2648" xr:uid="{00000000-0005-0000-0000-0000AF610000}"/>
    <cellStyle name="Normal 222 10" xfId="24807" xr:uid="{00000000-0005-0000-0000-0000B0610000}"/>
    <cellStyle name="Normal 222 11" xfId="24808" xr:uid="{00000000-0005-0000-0000-0000B1610000}"/>
    <cellStyle name="Normal 222 12" xfId="24809" xr:uid="{00000000-0005-0000-0000-0000B2610000}"/>
    <cellStyle name="Normal 222 2" xfId="24810" xr:uid="{00000000-0005-0000-0000-0000B3610000}"/>
    <cellStyle name="Normal 222 2 2" xfId="24811" xr:uid="{00000000-0005-0000-0000-0000B4610000}"/>
    <cellStyle name="Normal 222 2 2 2" xfId="24812" xr:uid="{00000000-0005-0000-0000-0000B5610000}"/>
    <cellStyle name="Normal 222 2 2 2 2" xfId="24813" xr:uid="{00000000-0005-0000-0000-0000B6610000}"/>
    <cellStyle name="Normal 222 2 2 2 2 2" xfId="24814" xr:uid="{00000000-0005-0000-0000-0000B7610000}"/>
    <cellStyle name="Normal 222 2 2 2 2 3" xfId="24815" xr:uid="{00000000-0005-0000-0000-0000B8610000}"/>
    <cellStyle name="Normal 222 2 2 2 3" xfId="24816" xr:uid="{00000000-0005-0000-0000-0000B9610000}"/>
    <cellStyle name="Normal 222 2 2 2 3 2" xfId="24817" xr:uid="{00000000-0005-0000-0000-0000BA610000}"/>
    <cellStyle name="Normal 222 2 2 2 3 3" xfId="24818" xr:uid="{00000000-0005-0000-0000-0000BB610000}"/>
    <cellStyle name="Normal 222 2 2 2 4" xfId="24819" xr:uid="{00000000-0005-0000-0000-0000BC610000}"/>
    <cellStyle name="Normal 222 2 2 2 5" xfId="24820" xr:uid="{00000000-0005-0000-0000-0000BD610000}"/>
    <cellStyle name="Normal 222 2 2 2 6" xfId="24821" xr:uid="{00000000-0005-0000-0000-0000BE610000}"/>
    <cellStyle name="Normal 222 2 2 3" xfId="24822" xr:uid="{00000000-0005-0000-0000-0000BF610000}"/>
    <cellStyle name="Normal 222 2 2 3 2" xfId="24823" xr:uid="{00000000-0005-0000-0000-0000C0610000}"/>
    <cellStyle name="Normal 222 2 2 3 3" xfId="24824" xr:uid="{00000000-0005-0000-0000-0000C1610000}"/>
    <cellStyle name="Normal 222 2 2 4" xfId="24825" xr:uid="{00000000-0005-0000-0000-0000C2610000}"/>
    <cellStyle name="Normal 222 2 2 4 2" xfId="24826" xr:uid="{00000000-0005-0000-0000-0000C3610000}"/>
    <cellStyle name="Normal 222 2 2 4 3" xfId="24827" xr:uid="{00000000-0005-0000-0000-0000C4610000}"/>
    <cellStyle name="Normal 222 2 2 5" xfId="24828" xr:uid="{00000000-0005-0000-0000-0000C5610000}"/>
    <cellStyle name="Normal 222 2 2 6" xfId="24829" xr:uid="{00000000-0005-0000-0000-0000C6610000}"/>
    <cellStyle name="Normal 222 2 2 7" xfId="24830" xr:uid="{00000000-0005-0000-0000-0000C7610000}"/>
    <cellStyle name="Normal 222 2 2 8" xfId="24831" xr:uid="{00000000-0005-0000-0000-0000C8610000}"/>
    <cellStyle name="Normal 222 2 3" xfId="24832" xr:uid="{00000000-0005-0000-0000-0000C9610000}"/>
    <cellStyle name="Normal 222 2 3 2" xfId="24833" xr:uid="{00000000-0005-0000-0000-0000CA610000}"/>
    <cellStyle name="Normal 222 2 3 2 2" xfId="24834" xr:uid="{00000000-0005-0000-0000-0000CB610000}"/>
    <cellStyle name="Normal 222 2 3 2 3" xfId="24835" xr:uid="{00000000-0005-0000-0000-0000CC610000}"/>
    <cellStyle name="Normal 222 2 3 3" xfId="24836" xr:uid="{00000000-0005-0000-0000-0000CD610000}"/>
    <cellStyle name="Normal 222 2 3 3 2" xfId="24837" xr:uid="{00000000-0005-0000-0000-0000CE610000}"/>
    <cellStyle name="Normal 222 2 3 3 3" xfId="24838" xr:uid="{00000000-0005-0000-0000-0000CF610000}"/>
    <cellStyle name="Normal 222 2 3 4" xfId="24839" xr:uid="{00000000-0005-0000-0000-0000D0610000}"/>
    <cellStyle name="Normal 222 2 3 5" xfId="24840" xr:uid="{00000000-0005-0000-0000-0000D1610000}"/>
    <cellStyle name="Normal 222 2 3 6" xfId="24841" xr:uid="{00000000-0005-0000-0000-0000D2610000}"/>
    <cellStyle name="Normal 222 2 4" xfId="24842" xr:uid="{00000000-0005-0000-0000-0000D3610000}"/>
    <cellStyle name="Normal 222 2 4 2" xfId="24843" xr:uid="{00000000-0005-0000-0000-0000D4610000}"/>
    <cellStyle name="Normal 222 2 4 3" xfId="24844" xr:uid="{00000000-0005-0000-0000-0000D5610000}"/>
    <cellStyle name="Normal 222 2 5" xfId="24845" xr:uid="{00000000-0005-0000-0000-0000D6610000}"/>
    <cellStyle name="Normal 222 2 5 2" xfId="24846" xr:uid="{00000000-0005-0000-0000-0000D7610000}"/>
    <cellStyle name="Normal 222 2 5 3" xfId="24847" xr:uid="{00000000-0005-0000-0000-0000D8610000}"/>
    <cellStyle name="Normal 222 2 6" xfId="24848" xr:uid="{00000000-0005-0000-0000-0000D9610000}"/>
    <cellStyle name="Normal 222 2 7" xfId="24849" xr:uid="{00000000-0005-0000-0000-0000DA610000}"/>
    <cellStyle name="Normal 222 2 8" xfId="24850" xr:uid="{00000000-0005-0000-0000-0000DB610000}"/>
    <cellStyle name="Normal 222 2 9" xfId="24851" xr:uid="{00000000-0005-0000-0000-0000DC610000}"/>
    <cellStyle name="Normal 222 3" xfId="24852" xr:uid="{00000000-0005-0000-0000-0000DD610000}"/>
    <cellStyle name="Normal 222 3 2" xfId="24853" xr:uid="{00000000-0005-0000-0000-0000DE610000}"/>
    <cellStyle name="Normal 222 3 2 2" xfId="24854" xr:uid="{00000000-0005-0000-0000-0000DF610000}"/>
    <cellStyle name="Normal 222 3 2 2 2" xfId="24855" xr:uid="{00000000-0005-0000-0000-0000E0610000}"/>
    <cellStyle name="Normal 222 3 2 2 3" xfId="24856" xr:uid="{00000000-0005-0000-0000-0000E1610000}"/>
    <cellStyle name="Normal 222 3 2 3" xfId="24857" xr:uid="{00000000-0005-0000-0000-0000E2610000}"/>
    <cellStyle name="Normal 222 3 2 3 2" xfId="24858" xr:uid="{00000000-0005-0000-0000-0000E3610000}"/>
    <cellStyle name="Normal 222 3 2 3 3" xfId="24859" xr:uid="{00000000-0005-0000-0000-0000E4610000}"/>
    <cellStyle name="Normal 222 3 2 4" xfId="24860" xr:uid="{00000000-0005-0000-0000-0000E5610000}"/>
    <cellStyle name="Normal 222 3 2 5" xfId="24861" xr:uid="{00000000-0005-0000-0000-0000E6610000}"/>
    <cellStyle name="Normal 222 3 2 6" xfId="24862" xr:uid="{00000000-0005-0000-0000-0000E7610000}"/>
    <cellStyle name="Normal 222 3 3" xfId="24863" xr:uid="{00000000-0005-0000-0000-0000E8610000}"/>
    <cellStyle name="Normal 222 3 3 2" xfId="24864" xr:uid="{00000000-0005-0000-0000-0000E9610000}"/>
    <cellStyle name="Normal 222 3 3 3" xfId="24865" xr:uid="{00000000-0005-0000-0000-0000EA610000}"/>
    <cellStyle name="Normal 222 3 4" xfId="24866" xr:uid="{00000000-0005-0000-0000-0000EB610000}"/>
    <cellStyle name="Normal 222 3 4 2" xfId="24867" xr:uid="{00000000-0005-0000-0000-0000EC610000}"/>
    <cellStyle name="Normal 222 3 4 3" xfId="24868" xr:uid="{00000000-0005-0000-0000-0000ED610000}"/>
    <cellStyle name="Normal 222 3 5" xfId="24869" xr:uid="{00000000-0005-0000-0000-0000EE610000}"/>
    <cellStyle name="Normal 222 3 6" xfId="24870" xr:uid="{00000000-0005-0000-0000-0000EF610000}"/>
    <cellStyle name="Normal 222 3 7" xfId="24871" xr:uid="{00000000-0005-0000-0000-0000F0610000}"/>
    <cellStyle name="Normal 222 3 8" xfId="24872" xr:uid="{00000000-0005-0000-0000-0000F1610000}"/>
    <cellStyle name="Normal 222 4" xfId="24873" xr:uid="{00000000-0005-0000-0000-0000F2610000}"/>
    <cellStyle name="Normal 222 4 2" xfId="24874" xr:uid="{00000000-0005-0000-0000-0000F3610000}"/>
    <cellStyle name="Normal 222 4 2 2" xfId="24875" xr:uid="{00000000-0005-0000-0000-0000F4610000}"/>
    <cellStyle name="Normal 222 4 2 3" xfId="24876" xr:uid="{00000000-0005-0000-0000-0000F5610000}"/>
    <cellStyle name="Normal 222 4 3" xfId="24877" xr:uid="{00000000-0005-0000-0000-0000F6610000}"/>
    <cellStyle name="Normal 222 4 3 2" xfId="24878" xr:uid="{00000000-0005-0000-0000-0000F7610000}"/>
    <cellStyle name="Normal 222 4 3 3" xfId="24879" xr:uid="{00000000-0005-0000-0000-0000F8610000}"/>
    <cellStyle name="Normal 222 4 4" xfId="24880" xr:uid="{00000000-0005-0000-0000-0000F9610000}"/>
    <cellStyle name="Normal 222 4 5" xfId="24881" xr:uid="{00000000-0005-0000-0000-0000FA610000}"/>
    <cellStyle name="Normal 222 4 6" xfId="24882" xr:uid="{00000000-0005-0000-0000-0000FB610000}"/>
    <cellStyle name="Normal 222 5" xfId="24883" xr:uid="{00000000-0005-0000-0000-0000FC610000}"/>
    <cellStyle name="Normal 222 5 2" xfId="24884" xr:uid="{00000000-0005-0000-0000-0000FD610000}"/>
    <cellStyle name="Normal 222 5 3" xfId="24885" xr:uid="{00000000-0005-0000-0000-0000FE610000}"/>
    <cellStyle name="Normal 222 6" xfId="24886" xr:uid="{00000000-0005-0000-0000-0000FF610000}"/>
    <cellStyle name="Normal 222 6 2" xfId="24887" xr:uid="{00000000-0005-0000-0000-000000620000}"/>
    <cellStyle name="Normal 222 6 3" xfId="24888" xr:uid="{00000000-0005-0000-0000-000001620000}"/>
    <cellStyle name="Normal 222 7" xfId="24889" xr:uid="{00000000-0005-0000-0000-000002620000}"/>
    <cellStyle name="Normal 222 8" xfId="24890" xr:uid="{00000000-0005-0000-0000-000003620000}"/>
    <cellStyle name="Normal 222 9" xfId="24891" xr:uid="{00000000-0005-0000-0000-000004620000}"/>
    <cellStyle name="Normal 223" xfId="2649" xr:uid="{00000000-0005-0000-0000-000005620000}"/>
    <cellStyle name="Normal 223 10" xfId="24892" xr:uid="{00000000-0005-0000-0000-000006620000}"/>
    <cellStyle name="Normal 223 11" xfId="24893" xr:uid="{00000000-0005-0000-0000-000007620000}"/>
    <cellStyle name="Normal 223 12" xfId="24894" xr:uid="{00000000-0005-0000-0000-000008620000}"/>
    <cellStyle name="Normal 223 2" xfId="24895" xr:uid="{00000000-0005-0000-0000-000009620000}"/>
    <cellStyle name="Normal 223 2 2" xfId="24896" xr:uid="{00000000-0005-0000-0000-00000A620000}"/>
    <cellStyle name="Normal 223 2 2 2" xfId="24897" xr:uid="{00000000-0005-0000-0000-00000B620000}"/>
    <cellStyle name="Normal 223 2 2 2 2" xfId="24898" xr:uid="{00000000-0005-0000-0000-00000C620000}"/>
    <cellStyle name="Normal 223 2 2 2 2 2" xfId="24899" xr:uid="{00000000-0005-0000-0000-00000D620000}"/>
    <cellStyle name="Normal 223 2 2 2 2 3" xfId="24900" xr:uid="{00000000-0005-0000-0000-00000E620000}"/>
    <cellStyle name="Normal 223 2 2 2 3" xfId="24901" xr:uid="{00000000-0005-0000-0000-00000F620000}"/>
    <cellStyle name="Normal 223 2 2 2 3 2" xfId="24902" xr:uid="{00000000-0005-0000-0000-000010620000}"/>
    <cellStyle name="Normal 223 2 2 2 3 3" xfId="24903" xr:uid="{00000000-0005-0000-0000-000011620000}"/>
    <cellStyle name="Normal 223 2 2 2 4" xfId="24904" xr:uid="{00000000-0005-0000-0000-000012620000}"/>
    <cellStyle name="Normal 223 2 2 2 5" xfId="24905" xr:uid="{00000000-0005-0000-0000-000013620000}"/>
    <cellStyle name="Normal 223 2 2 2 6" xfId="24906" xr:uid="{00000000-0005-0000-0000-000014620000}"/>
    <cellStyle name="Normal 223 2 2 3" xfId="24907" xr:uid="{00000000-0005-0000-0000-000015620000}"/>
    <cellStyle name="Normal 223 2 2 3 2" xfId="24908" xr:uid="{00000000-0005-0000-0000-000016620000}"/>
    <cellStyle name="Normal 223 2 2 3 3" xfId="24909" xr:uid="{00000000-0005-0000-0000-000017620000}"/>
    <cellStyle name="Normal 223 2 2 4" xfId="24910" xr:uid="{00000000-0005-0000-0000-000018620000}"/>
    <cellStyle name="Normal 223 2 2 4 2" xfId="24911" xr:uid="{00000000-0005-0000-0000-000019620000}"/>
    <cellStyle name="Normal 223 2 2 4 3" xfId="24912" xr:uid="{00000000-0005-0000-0000-00001A620000}"/>
    <cellStyle name="Normal 223 2 2 5" xfId="24913" xr:uid="{00000000-0005-0000-0000-00001B620000}"/>
    <cellStyle name="Normal 223 2 2 6" xfId="24914" xr:uid="{00000000-0005-0000-0000-00001C620000}"/>
    <cellStyle name="Normal 223 2 2 7" xfId="24915" xr:uid="{00000000-0005-0000-0000-00001D620000}"/>
    <cellStyle name="Normal 223 2 2 8" xfId="24916" xr:uid="{00000000-0005-0000-0000-00001E620000}"/>
    <cellStyle name="Normal 223 2 3" xfId="24917" xr:uid="{00000000-0005-0000-0000-00001F620000}"/>
    <cellStyle name="Normal 223 2 3 2" xfId="24918" xr:uid="{00000000-0005-0000-0000-000020620000}"/>
    <cellStyle name="Normal 223 2 3 2 2" xfId="24919" xr:uid="{00000000-0005-0000-0000-000021620000}"/>
    <cellStyle name="Normal 223 2 3 2 3" xfId="24920" xr:uid="{00000000-0005-0000-0000-000022620000}"/>
    <cellStyle name="Normal 223 2 3 3" xfId="24921" xr:uid="{00000000-0005-0000-0000-000023620000}"/>
    <cellStyle name="Normal 223 2 3 3 2" xfId="24922" xr:uid="{00000000-0005-0000-0000-000024620000}"/>
    <cellStyle name="Normal 223 2 3 3 3" xfId="24923" xr:uid="{00000000-0005-0000-0000-000025620000}"/>
    <cellStyle name="Normal 223 2 3 4" xfId="24924" xr:uid="{00000000-0005-0000-0000-000026620000}"/>
    <cellStyle name="Normal 223 2 3 5" xfId="24925" xr:uid="{00000000-0005-0000-0000-000027620000}"/>
    <cellStyle name="Normal 223 2 3 6" xfId="24926" xr:uid="{00000000-0005-0000-0000-000028620000}"/>
    <cellStyle name="Normal 223 2 4" xfId="24927" xr:uid="{00000000-0005-0000-0000-000029620000}"/>
    <cellStyle name="Normal 223 2 4 2" xfId="24928" xr:uid="{00000000-0005-0000-0000-00002A620000}"/>
    <cellStyle name="Normal 223 2 4 3" xfId="24929" xr:uid="{00000000-0005-0000-0000-00002B620000}"/>
    <cellStyle name="Normal 223 2 5" xfId="24930" xr:uid="{00000000-0005-0000-0000-00002C620000}"/>
    <cellStyle name="Normal 223 2 5 2" xfId="24931" xr:uid="{00000000-0005-0000-0000-00002D620000}"/>
    <cellStyle name="Normal 223 2 5 3" xfId="24932" xr:uid="{00000000-0005-0000-0000-00002E620000}"/>
    <cellStyle name="Normal 223 2 6" xfId="24933" xr:uid="{00000000-0005-0000-0000-00002F620000}"/>
    <cellStyle name="Normal 223 2 7" xfId="24934" xr:uid="{00000000-0005-0000-0000-000030620000}"/>
    <cellStyle name="Normal 223 2 8" xfId="24935" xr:uid="{00000000-0005-0000-0000-000031620000}"/>
    <cellStyle name="Normal 223 2 9" xfId="24936" xr:uid="{00000000-0005-0000-0000-000032620000}"/>
    <cellStyle name="Normal 223 3" xfId="24937" xr:uid="{00000000-0005-0000-0000-000033620000}"/>
    <cellStyle name="Normal 223 3 2" xfId="24938" xr:uid="{00000000-0005-0000-0000-000034620000}"/>
    <cellStyle name="Normal 223 3 2 2" xfId="24939" xr:uid="{00000000-0005-0000-0000-000035620000}"/>
    <cellStyle name="Normal 223 3 2 2 2" xfId="24940" xr:uid="{00000000-0005-0000-0000-000036620000}"/>
    <cellStyle name="Normal 223 3 2 2 3" xfId="24941" xr:uid="{00000000-0005-0000-0000-000037620000}"/>
    <cellStyle name="Normal 223 3 2 3" xfId="24942" xr:uid="{00000000-0005-0000-0000-000038620000}"/>
    <cellStyle name="Normal 223 3 2 3 2" xfId="24943" xr:uid="{00000000-0005-0000-0000-000039620000}"/>
    <cellStyle name="Normal 223 3 2 3 3" xfId="24944" xr:uid="{00000000-0005-0000-0000-00003A620000}"/>
    <cellStyle name="Normal 223 3 2 4" xfId="24945" xr:uid="{00000000-0005-0000-0000-00003B620000}"/>
    <cellStyle name="Normal 223 3 2 5" xfId="24946" xr:uid="{00000000-0005-0000-0000-00003C620000}"/>
    <cellStyle name="Normal 223 3 2 6" xfId="24947" xr:uid="{00000000-0005-0000-0000-00003D620000}"/>
    <cellStyle name="Normal 223 3 3" xfId="24948" xr:uid="{00000000-0005-0000-0000-00003E620000}"/>
    <cellStyle name="Normal 223 3 3 2" xfId="24949" xr:uid="{00000000-0005-0000-0000-00003F620000}"/>
    <cellStyle name="Normal 223 3 3 3" xfId="24950" xr:uid="{00000000-0005-0000-0000-000040620000}"/>
    <cellStyle name="Normal 223 3 4" xfId="24951" xr:uid="{00000000-0005-0000-0000-000041620000}"/>
    <cellStyle name="Normal 223 3 4 2" xfId="24952" xr:uid="{00000000-0005-0000-0000-000042620000}"/>
    <cellStyle name="Normal 223 3 4 3" xfId="24953" xr:uid="{00000000-0005-0000-0000-000043620000}"/>
    <cellStyle name="Normal 223 3 5" xfId="24954" xr:uid="{00000000-0005-0000-0000-000044620000}"/>
    <cellStyle name="Normal 223 3 6" xfId="24955" xr:uid="{00000000-0005-0000-0000-000045620000}"/>
    <cellStyle name="Normal 223 3 7" xfId="24956" xr:uid="{00000000-0005-0000-0000-000046620000}"/>
    <cellStyle name="Normal 223 3 8" xfId="24957" xr:uid="{00000000-0005-0000-0000-000047620000}"/>
    <cellStyle name="Normal 223 4" xfId="24958" xr:uid="{00000000-0005-0000-0000-000048620000}"/>
    <cellStyle name="Normal 223 4 2" xfId="24959" xr:uid="{00000000-0005-0000-0000-000049620000}"/>
    <cellStyle name="Normal 223 4 2 2" xfId="24960" xr:uid="{00000000-0005-0000-0000-00004A620000}"/>
    <cellStyle name="Normal 223 4 2 3" xfId="24961" xr:uid="{00000000-0005-0000-0000-00004B620000}"/>
    <cellStyle name="Normal 223 4 3" xfId="24962" xr:uid="{00000000-0005-0000-0000-00004C620000}"/>
    <cellStyle name="Normal 223 4 3 2" xfId="24963" xr:uid="{00000000-0005-0000-0000-00004D620000}"/>
    <cellStyle name="Normal 223 4 3 3" xfId="24964" xr:uid="{00000000-0005-0000-0000-00004E620000}"/>
    <cellStyle name="Normal 223 4 4" xfId="24965" xr:uid="{00000000-0005-0000-0000-00004F620000}"/>
    <cellStyle name="Normal 223 4 5" xfId="24966" xr:uid="{00000000-0005-0000-0000-000050620000}"/>
    <cellStyle name="Normal 223 4 6" xfId="24967" xr:uid="{00000000-0005-0000-0000-000051620000}"/>
    <cellStyle name="Normal 223 5" xfId="24968" xr:uid="{00000000-0005-0000-0000-000052620000}"/>
    <cellStyle name="Normal 223 5 2" xfId="24969" xr:uid="{00000000-0005-0000-0000-000053620000}"/>
    <cellStyle name="Normal 223 5 3" xfId="24970" xr:uid="{00000000-0005-0000-0000-000054620000}"/>
    <cellStyle name="Normal 223 6" xfId="24971" xr:uid="{00000000-0005-0000-0000-000055620000}"/>
    <cellStyle name="Normal 223 6 2" xfId="24972" xr:uid="{00000000-0005-0000-0000-000056620000}"/>
    <cellStyle name="Normal 223 6 3" xfId="24973" xr:uid="{00000000-0005-0000-0000-000057620000}"/>
    <cellStyle name="Normal 223 7" xfId="24974" xr:uid="{00000000-0005-0000-0000-000058620000}"/>
    <cellStyle name="Normal 223 8" xfId="24975" xr:uid="{00000000-0005-0000-0000-000059620000}"/>
    <cellStyle name="Normal 223 9" xfId="24976" xr:uid="{00000000-0005-0000-0000-00005A620000}"/>
    <cellStyle name="Normal 224" xfId="2650" xr:uid="{00000000-0005-0000-0000-00005B620000}"/>
    <cellStyle name="Normal 224 10" xfId="24977" xr:uid="{00000000-0005-0000-0000-00005C620000}"/>
    <cellStyle name="Normal 224 11" xfId="24978" xr:uid="{00000000-0005-0000-0000-00005D620000}"/>
    <cellStyle name="Normal 224 12" xfId="24979" xr:uid="{00000000-0005-0000-0000-00005E620000}"/>
    <cellStyle name="Normal 224 2" xfId="24980" xr:uid="{00000000-0005-0000-0000-00005F620000}"/>
    <cellStyle name="Normal 224 2 2" xfId="24981" xr:uid="{00000000-0005-0000-0000-000060620000}"/>
    <cellStyle name="Normal 224 2 2 2" xfId="24982" xr:uid="{00000000-0005-0000-0000-000061620000}"/>
    <cellStyle name="Normal 224 2 2 2 2" xfId="24983" xr:uid="{00000000-0005-0000-0000-000062620000}"/>
    <cellStyle name="Normal 224 2 2 2 2 2" xfId="24984" xr:uid="{00000000-0005-0000-0000-000063620000}"/>
    <cellStyle name="Normal 224 2 2 2 2 3" xfId="24985" xr:uid="{00000000-0005-0000-0000-000064620000}"/>
    <cellStyle name="Normal 224 2 2 2 3" xfId="24986" xr:uid="{00000000-0005-0000-0000-000065620000}"/>
    <cellStyle name="Normal 224 2 2 2 3 2" xfId="24987" xr:uid="{00000000-0005-0000-0000-000066620000}"/>
    <cellStyle name="Normal 224 2 2 2 3 3" xfId="24988" xr:uid="{00000000-0005-0000-0000-000067620000}"/>
    <cellStyle name="Normal 224 2 2 2 4" xfId="24989" xr:uid="{00000000-0005-0000-0000-000068620000}"/>
    <cellStyle name="Normal 224 2 2 2 5" xfId="24990" xr:uid="{00000000-0005-0000-0000-000069620000}"/>
    <cellStyle name="Normal 224 2 2 2 6" xfId="24991" xr:uid="{00000000-0005-0000-0000-00006A620000}"/>
    <cellStyle name="Normal 224 2 2 3" xfId="24992" xr:uid="{00000000-0005-0000-0000-00006B620000}"/>
    <cellStyle name="Normal 224 2 2 3 2" xfId="24993" xr:uid="{00000000-0005-0000-0000-00006C620000}"/>
    <cellStyle name="Normal 224 2 2 3 3" xfId="24994" xr:uid="{00000000-0005-0000-0000-00006D620000}"/>
    <cellStyle name="Normal 224 2 2 4" xfId="24995" xr:uid="{00000000-0005-0000-0000-00006E620000}"/>
    <cellStyle name="Normal 224 2 2 4 2" xfId="24996" xr:uid="{00000000-0005-0000-0000-00006F620000}"/>
    <cellStyle name="Normal 224 2 2 4 3" xfId="24997" xr:uid="{00000000-0005-0000-0000-000070620000}"/>
    <cellStyle name="Normal 224 2 2 5" xfId="24998" xr:uid="{00000000-0005-0000-0000-000071620000}"/>
    <cellStyle name="Normal 224 2 2 6" xfId="24999" xr:uid="{00000000-0005-0000-0000-000072620000}"/>
    <cellStyle name="Normal 224 2 2 7" xfId="25000" xr:uid="{00000000-0005-0000-0000-000073620000}"/>
    <cellStyle name="Normal 224 2 2 8" xfId="25001" xr:uid="{00000000-0005-0000-0000-000074620000}"/>
    <cellStyle name="Normal 224 2 3" xfId="25002" xr:uid="{00000000-0005-0000-0000-000075620000}"/>
    <cellStyle name="Normal 224 2 3 2" xfId="25003" xr:uid="{00000000-0005-0000-0000-000076620000}"/>
    <cellStyle name="Normal 224 2 3 2 2" xfId="25004" xr:uid="{00000000-0005-0000-0000-000077620000}"/>
    <cellStyle name="Normal 224 2 3 2 3" xfId="25005" xr:uid="{00000000-0005-0000-0000-000078620000}"/>
    <cellStyle name="Normal 224 2 3 3" xfId="25006" xr:uid="{00000000-0005-0000-0000-000079620000}"/>
    <cellStyle name="Normal 224 2 3 3 2" xfId="25007" xr:uid="{00000000-0005-0000-0000-00007A620000}"/>
    <cellStyle name="Normal 224 2 3 3 3" xfId="25008" xr:uid="{00000000-0005-0000-0000-00007B620000}"/>
    <cellStyle name="Normal 224 2 3 4" xfId="25009" xr:uid="{00000000-0005-0000-0000-00007C620000}"/>
    <cellStyle name="Normal 224 2 3 5" xfId="25010" xr:uid="{00000000-0005-0000-0000-00007D620000}"/>
    <cellStyle name="Normal 224 2 3 6" xfId="25011" xr:uid="{00000000-0005-0000-0000-00007E620000}"/>
    <cellStyle name="Normal 224 2 4" xfId="25012" xr:uid="{00000000-0005-0000-0000-00007F620000}"/>
    <cellStyle name="Normal 224 2 4 2" xfId="25013" xr:uid="{00000000-0005-0000-0000-000080620000}"/>
    <cellStyle name="Normal 224 2 4 3" xfId="25014" xr:uid="{00000000-0005-0000-0000-000081620000}"/>
    <cellStyle name="Normal 224 2 5" xfId="25015" xr:uid="{00000000-0005-0000-0000-000082620000}"/>
    <cellStyle name="Normal 224 2 5 2" xfId="25016" xr:uid="{00000000-0005-0000-0000-000083620000}"/>
    <cellStyle name="Normal 224 2 5 3" xfId="25017" xr:uid="{00000000-0005-0000-0000-000084620000}"/>
    <cellStyle name="Normal 224 2 6" xfId="25018" xr:uid="{00000000-0005-0000-0000-000085620000}"/>
    <cellStyle name="Normal 224 2 7" xfId="25019" xr:uid="{00000000-0005-0000-0000-000086620000}"/>
    <cellStyle name="Normal 224 2 8" xfId="25020" xr:uid="{00000000-0005-0000-0000-000087620000}"/>
    <cellStyle name="Normal 224 2 9" xfId="25021" xr:uid="{00000000-0005-0000-0000-000088620000}"/>
    <cellStyle name="Normal 224 3" xfId="25022" xr:uid="{00000000-0005-0000-0000-000089620000}"/>
    <cellStyle name="Normal 224 3 2" xfId="25023" xr:uid="{00000000-0005-0000-0000-00008A620000}"/>
    <cellStyle name="Normal 224 3 2 2" xfId="25024" xr:uid="{00000000-0005-0000-0000-00008B620000}"/>
    <cellStyle name="Normal 224 3 2 2 2" xfId="25025" xr:uid="{00000000-0005-0000-0000-00008C620000}"/>
    <cellStyle name="Normal 224 3 2 2 3" xfId="25026" xr:uid="{00000000-0005-0000-0000-00008D620000}"/>
    <cellStyle name="Normal 224 3 2 3" xfId="25027" xr:uid="{00000000-0005-0000-0000-00008E620000}"/>
    <cellStyle name="Normal 224 3 2 3 2" xfId="25028" xr:uid="{00000000-0005-0000-0000-00008F620000}"/>
    <cellStyle name="Normal 224 3 2 3 3" xfId="25029" xr:uid="{00000000-0005-0000-0000-000090620000}"/>
    <cellStyle name="Normal 224 3 2 4" xfId="25030" xr:uid="{00000000-0005-0000-0000-000091620000}"/>
    <cellStyle name="Normal 224 3 2 5" xfId="25031" xr:uid="{00000000-0005-0000-0000-000092620000}"/>
    <cellStyle name="Normal 224 3 2 6" xfId="25032" xr:uid="{00000000-0005-0000-0000-000093620000}"/>
    <cellStyle name="Normal 224 3 3" xfId="25033" xr:uid="{00000000-0005-0000-0000-000094620000}"/>
    <cellStyle name="Normal 224 3 3 2" xfId="25034" xr:uid="{00000000-0005-0000-0000-000095620000}"/>
    <cellStyle name="Normal 224 3 3 3" xfId="25035" xr:uid="{00000000-0005-0000-0000-000096620000}"/>
    <cellStyle name="Normal 224 3 4" xfId="25036" xr:uid="{00000000-0005-0000-0000-000097620000}"/>
    <cellStyle name="Normal 224 3 4 2" xfId="25037" xr:uid="{00000000-0005-0000-0000-000098620000}"/>
    <cellStyle name="Normal 224 3 4 3" xfId="25038" xr:uid="{00000000-0005-0000-0000-000099620000}"/>
    <cellStyle name="Normal 224 3 5" xfId="25039" xr:uid="{00000000-0005-0000-0000-00009A620000}"/>
    <cellStyle name="Normal 224 3 6" xfId="25040" xr:uid="{00000000-0005-0000-0000-00009B620000}"/>
    <cellStyle name="Normal 224 3 7" xfId="25041" xr:uid="{00000000-0005-0000-0000-00009C620000}"/>
    <cellStyle name="Normal 224 3 8" xfId="25042" xr:uid="{00000000-0005-0000-0000-00009D620000}"/>
    <cellStyle name="Normal 224 4" xfId="25043" xr:uid="{00000000-0005-0000-0000-00009E620000}"/>
    <cellStyle name="Normal 224 4 2" xfId="25044" xr:uid="{00000000-0005-0000-0000-00009F620000}"/>
    <cellStyle name="Normal 224 4 2 2" xfId="25045" xr:uid="{00000000-0005-0000-0000-0000A0620000}"/>
    <cellStyle name="Normal 224 4 2 3" xfId="25046" xr:uid="{00000000-0005-0000-0000-0000A1620000}"/>
    <cellStyle name="Normal 224 4 3" xfId="25047" xr:uid="{00000000-0005-0000-0000-0000A2620000}"/>
    <cellStyle name="Normal 224 4 3 2" xfId="25048" xr:uid="{00000000-0005-0000-0000-0000A3620000}"/>
    <cellStyle name="Normal 224 4 3 3" xfId="25049" xr:uid="{00000000-0005-0000-0000-0000A4620000}"/>
    <cellStyle name="Normal 224 4 4" xfId="25050" xr:uid="{00000000-0005-0000-0000-0000A5620000}"/>
    <cellStyle name="Normal 224 4 5" xfId="25051" xr:uid="{00000000-0005-0000-0000-0000A6620000}"/>
    <cellStyle name="Normal 224 4 6" xfId="25052" xr:uid="{00000000-0005-0000-0000-0000A7620000}"/>
    <cellStyle name="Normal 224 5" xfId="25053" xr:uid="{00000000-0005-0000-0000-0000A8620000}"/>
    <cellStyle name="Normal 224 5 2" xfId="25054" xr:uid="{00000000-0005-0000-0000-0000A9620000}"/>
    <cellStyle name="Normal 224 5 3" xfId="25055" xr:uid="{00000000-0005-0000-0000-0000AA620000}"/>
    <cellStyle name="Normal 224 6" xfId="25056" xr:uid="{00000000-0005-0000-0000-0000AB620000}"/>
    <cellStyle name="Normal 224 6 2" xfId="25057" xr:uid="{00000000-0005-0000-0000-0000AC620000}"/>
    <cellStyle name="Normal 224 6 3" xfId="25058" xr:uid="{00000000-0005-0000-0000-0000AD620000}"/>
    <cellStyle name="Normal 224 7" xfId="25059" xr:uid="{00000000-0005-0000-0000-0000AE620000}"/>
    <cellStyle name="Normal 224 8" xfId="25060" xr:uid="{00000000-0005-0000-0000-0000AF620000}"/>
    <cellStyle name="Normal 224 9" xfId="25061" xr:uid="{00000000-0005-0000-0000-0000B0620000}"/>
    <cellStyle name="Normal 225" xfId="2651" xr:uid="{00000000-0005-0000-0000-0000B1620000}"/>
    <cellStyle name="Normal 225 10" xfId="25062" xr:uid="{00000000-0005-0000-0000-0000B2620000}"/>
    <cellStyle name="Normal 225 11" xfId="25063" xr:uid="{00000000-0005-0000-0000-0000B3620000}"/>
    <cellStyle name="Normal 225 12" xfId="25064" xr:uid="{00000000-0005-0000-0000-0000B4620000}"/>
    <cellStyle name="Normal 225 2" xfId="25065" xr:uid="{00000000-0005-0000-0000-0000B5620000}"/>
    <cellStyle name="Normal 225 2 2" xfId="25066" xr:uid="{00000000-0005-0000-0000-0000B6620000}"/>
    <cellStyle name="Normal 225 2 2 2" xfId="25067" xr:uid="{00000000-0005-0000-0000-0000B7620000}"/>
    <cellStyle name="Normal 225 2 2 2 2" xfId="25068" xr:uid="{00000000-0005-0000-0000-0000B8620000}"/>
    <cellStyle name="Normal 225 2 2 2 2 2" xfId="25069" xr:uid="{00000000-0005-0000-0000-0000B9620000}"/>
    <cellStyle name="Normal 225 2 2 2 2 3" xfId="25070" xr:uid="{00000000-0005-0000-0000-0000BA620000}"/>
    <cellStyle name="Normal 225 2 2 2 3" xfId="25071" xr:uid="{00000000-0005-0000-0000-0000BB620000}"/>
    <cellStyle name="Normal 225 2 2 2 3 2" xfId="25072" xr:uid="{00000000-0005-0000-0000-0000BC620000}"/>
    <cellStyle name="Normal 225 2 2 2 3 3" xfId="25073" xr:uid="{00000000-0005-0000-0000-0000BD620000}"/>
    <cellStyle name="Normal 225 2 2 2 4" xfId="25074" xr:uid="{00000000-0005-0000-0000-0000BE620000}"/>
    <cellStyle name="Normal 225 2 2 2 5" xfId="25075" xr:uid="{00000000-0005-0000-0000-0000BF620000}"/>
    <cellStyle name="Normal 225 2 2 2 6" xfId="25076" xr:uid="{00000000-0005-0000-0000-0000C0620000}"/>
    <cellStyle name="Normal 225 2 2 3" xfId="25077" xr:uid="{00000000-0005-0000-0000-0000C1620000}"/>
    <cellStyle name="Normal 225 2 2 3 2" xfId="25078" xr:uid="{00000000-0005-0000-0000-0000C2620000}"/>
    <cellStyle name="Normal 225 2 2 3 3" xfId="25079" xr:uid="{00000000-0005-0000-0000-0000C3620000}"/>
    <cellStyle name="Normal 225 2 2 4" xfId="25080" xr:uid="{00000000-0005-0000-0000-0000C4620000}"/>
    <cellStyle name="Normal 225 2 2 4 2" xfId="25081" xr:uid="{00000000-0005-0000-0000-0000C5620000}"/>
    <cellStyle name="Normal 225 2 2 4 3" xfId="25082" xr:uid="{00000000-0005-0000-0000-0000C6620000}"/>
    <cellStyle name="Normal 225 2 2 5" xfId="25083" xr:uid="{00000000-0005-0000-0000-0000C7620000}"/>
    <cellStyle name="Normal 225 2 2 6" xfId="25084" xr:uid="{00000000-0005-0000-0000-0000C8620000}"/>
    <cellStyle name="Normal 225 2 2 7" xfId="25085" xr:uid="{00000000-0005-0000-0000-0000C9620000}"/>
    <cellStyle name="Normal 225 2 2 8" xfId="25086" xr:uid="{00000000-0005-0000-0000-0000CA620000}"/>
    <cellStyle name="Normal 225 2 3" xfId="25087" xr:uid="{00000000-0005-0000-0000-0000CB620000}"/>
    <cellStyle name="Normal 225 2 3 2" xfId="25088" xr:uid="{00000000-0005-0000-0000-0000CC620000}"/>
    <cellStyle name="Normal 225 2 3 2 2" xfId="25089" xr:uid="{00000000-0005-0000-0000-0000CD620000}"/>
    <cellStyle name="Normal 225 2 3 2 3" xfId="25090" xr:uid="{00000000-0005-0000-0000-0000CE620000}"/>
    <cellStyle name="Normal 225 2 3 3" xfId="25091" xr:uid="{00000000-0005-0000-0000-0000CF620000}"/>
    <cellStyle name="Normal 225 2 3 3 2" xfId="25092" xr:uid="{00000000-0005-0000-0000-0000D0620000}"/>
    <cellStyle name="Normal 225 2 3 3 3" xfId="25093" xr:uid="{00000000-0005-0000-0000-0000D1620000}"/>
    <cellStyle name="Normal 225 2 3 4" xfId="25094" xr:uid="{00000000-0005-0000-0000-0000D2620000}"/>
    <cellStyle name="Normal 225 2 3 5" xfId="25095" xr:uid="{00000000-0005-0000-0000-0000D3620000}"/>
    <cellStyle name="Normal 225 2 3 6" xfId="25096" xr:uid="{00000000-0005-0000-0000-0000D4620000}"/>
    <cellStyle name="Normal 225 2 4" xfId="25097" xr:uid="{00000000-0005-0000-0000-0000D5620000}"/>
    <cellStyle name="Normal 225 2 4 2" xfId="25098" xr:uid="{00000000-0005-0000-0000-0000D6620000}"/>
    <cellStyle name="Normal 225 2 4 3" xfId="25099" xr:uid="{00000000-0005-0000-0000-0000D7620000}"/>
    <cellStyle name="Normal 225 2 5" xfId="25100" xr:uid="{00000000-0005-0000-0000-0000D8620000}"/>
    <cellStyle name="Normal 225 2 5 2" xfId="25101" xr:uid="{00000000-0005-0000-0000-0000D9620000}"/>
    <cellStyle name="Normal 225 2 5 3" xfId="25102" xr:uid="{00000000-0005-0000-0000-0000DA620000}"/>
    <cellStyle name="Normal 225 2 6" xfId="25103" xr:uid="{00000000-0005-0000-0000-0000DB620000}"/>
    <cellStyle name="Normal 225 2 7" xfId="25104" xr:uid="{00000000-0005-0000-0000-0000DC620000}"/>
    <cellStyle name="Normal 225 2 8" xfId="25105" xr:uid="{00000000-0005-0000-0000-0000DD620000}"/>
    <cellStyle name="Normal 225 2 9" xfId="25106" xr:uid="{00000000-0005-0000-0000-0000DE620000}"/>
    <cellStyle name="Normal 225 3" xfId="25107" xr:uid="{00000000-0005-0000-0000-0000DF620000}"/>
    <cellStyle name="Normal 225 3 2" xfId="25108" xr:uid="{00000000-0005-0000-0000-0000E0620000}"/>
    <cellStyle name="Normal 225 3 2 2" xfId="25109" xr:uid="{00000000-0005-0000-0000-0000E1620000}"/>
    <cellStyle name="Normal 225 3 2 2 2" xfId="25110" xr:uid="{00000000-0005-0000-0000-0000E2620000}"/>
    <cellStyle name="Normal 225 3 2 2 3" xfId="25111" xr:uid="{00000000-0005-0000-0000-0000E3620000}"/>
    <cellStyle name="Normal 225 3 2 3" xfId="25112" xr:uid="{00000000-0005-0000-0000-0000E4620000}"/>
    <cellStyle name="Normal 225 3 2 3 2" xfId="25113" xr:uid="{00000000-0005-0000-0000-0000E5620000}"/>
    <cellStyle name="Normal 225 3 2 3 3" xfId="25114" xr:uid="{00000000-0005-0000-0000-0000E6620000}"/>
    <cellStyle name="Normal 225 3 2 4" xfId="25115" xr:uid="{00000000-0005-0000-0000-0000E7620000}"/>
    <cellStyle name="Normal 225 3 2 5" xfId="25116" xr:uid="{00000000-0005-0000-0000-0000E8620000}"/>
    <cellStyle name="Normal 225 3 2 6" xfId="25117" xr:uid="{00000000-0005-0000-0000-0000E9620000}"/>
    <cellStyle name="Normal 225 3 3" xfId="25118" xr:uid="{00000000-0005-0000-0000-0000EA620000}"/>
    <cellStyle name="Normal 225 3 3 2" xfId="25119" xr:uid="{00000000-0005-0000-0000-0000EB620000}"/>
    <cellStyle name="Normal 225 3 3 3" xfId="25120" xr:uid="{00000000-0005-0000-0000-0000EC620000}"/>
    <cellStyle name="Normal 225 3 4" xfId="25121" xr:uid="{00000000-0005-0000-0000-0000ED620000}"/>
    <cellStyle name="Normal 225 3 4 2" xfId="25122" xr:uid="{00000000-0005-0000-0000-0000EE620000}"/>
    <cellStyle name="Normal 225 3 4 3" xfId="25123" xr:uid="{00000000-0005-0000-0000-0000EF620000}"/>
    <cellStyle name="Normal 225 3 5" xfId="25124" xr:uid="{00000000-0005-0000-0000-0000F0620000}"/>
    <cellStyle name="Normal 225 3 6" xfId="25125" xr:uid="{00000000-0005-0000-0000-0000F1620000}"/>
    <cellStyle name="Normal 225 3 7" xfId="25126" xr:uid="{00000000-0005-0000-0000-0000F2620000}"/>
    <cellStyle name="Normal 225 3 8" xfId="25127" xr:uid="{00000000-0005-0000-0000-0000F3620000}"/>
    <cellStyle name="Normal 225 4" xfId="25128" xr:uid="{00000000-0005-0000-0000-0000F4620000}"/>
    <cellStyle name="Normal 225 4 2" xfId="25129" xr:uid="{00000000-0005-0000-0000-0000F5620000}"/>
    <cellStyle name="Normal 225 4 2 2" xfId="25130" xr:uid="{00000000-0005-0000-0000-0000F6620000}"/>
    <cellStyle name="Normal 225 4 2 3" xfId="25131" xr:uid="{00000000-0005-0000-0000-0000F7620000}"/>
    <cellStyle name="Normal 225 4 3" xfId="25132" xr:uid="{00000000-0005-0000-0000-0000F8620000}"/>
    <cellStyle name="Normal 225 4 3 2" xfId="25133" xr:uid="{00000000-0005-0000-0000-0000F9620000}"/>
    <cellStyle name="Normal 225 4 3 3" xfId="25134" xr:uid="{00000000-0005-0000-0000-0000FA620000}"/>
    <cellStyle name="Normal 225 4 4" xfId="25135" xr:uid="{00000000-0005-0000-0000-0000FB620000}"/>
    <cellStyle name="Normal 225 4 5" xfId="25136" xr:uid="{00000000-0005-0000-0000-0000FC620000}"/>
    <cellStyle name="Normal 225 4 6" xfId="25137" xr:uid="{00000000-0005-0000-0000-0000FD620000}"/>
    <cellStyle name="Normal 225 5" xfId="25138" xr:uid="{00000000-0005-0000-0000-0000FE620000}"/>
    <cellStyle name="Normal 225 5 2" xfId="25139" xr:uid="{00000000-0005-0000-0000-0000FF620000}"/>
    <cellStyle name="Normal 225 5 3" xfId="25140" xr:uid="{00000000-0005-0000-0000-000000630000}"/>
    <cellStyle name="Normal 225 6" xfId="25141" xr:uid="{00000000-0005-0000-0000-000001630000}"/>
    <cellStyle name="Normal 225 6 2" xfId="25142" xr:uid="{00000000-0005-0000-0000-000002630000}"/>
    <cellStyle name="Normal 225 6 3" xfId="25143" xr:uid="{00000000-0005-0000-0000-000003630000}"/>
    <cellStyle name="Normal 225 7" xfId="25144" xr:uid="{00000000-0005-0000-0000-000004630000}"/>
    <cellStyle name="Normal 225 8" xfId="25145" xr:uid="{00000000-0005-0000-0000-000005630000}"/>
    <cellStyle name="Normal 225 9" xfId="25146" xr:uid="{00000000-0005-0000-0000-000006630000}"/>
    <cellStyle name="Normal 226" xfId="2652" xr:uid="{00000000-0005-0000-0000-000007630000}"/>
    <cellStyle name="Normal 226 10" xfId="25147" xr:uid="{00000000-0005-0000-0000-000008630000}"/>
    <cellStyle name="Normal 226 11" xfId="25148" xr:uid="{00000000-0005-0000-0000-000009630000}"/>
    <cellStyle name="Normal 226 12" xfId="25149" xr:uid="{00000000-0005-0000-0000-00000A630000}"/>
    <cellStyle name="Normal 226 2" xfId="25150" xr:uid="{00000000-0005-0000-0000-00000B630000}"/>
    <cellStyle name="Normal 226 2 2" xfId="25151" xr:uid="{00000000-0005-0000-0000-00000C630000}"/>
    <cellStyle name="Normal 226 2 2 2" xfId="25152" xr:uid="{00000000-0005-0000-0000-00000D630000}"/>
    <cellStyle name="Normal 226 2 2 2 2" xfId="25153" xr:uid="{00000000-0005-0000-0000-00000E630000}"/>
    <cellStyle name="Normal 226 2 2 2 2 2" xfId="25154" xr:uid="{00000000-0005-0000-0000-00000F630000}"/>
    <cellStyle name="Normal 226 2 2 2 2 3" xfId="25155" xr:uid="{00000000-0005-0000-0000-000010630000}"/>
    <cellStyle name="Normal 226 2 2 2 3" xfId="25156" xr:uid="{00000000-0005-0000-0000-000011630000}"/>
    <cellStyle name="Normal 226 2 2 2 3 2" xfId="25157" xr:uid="{00000000-0005-0000-0000-000012630000}"/>
    <cellStyle name="Normal 226 2 2 2 3 3" xfId="25158" xr:uid="{00000000-0005-0000-0000-000013630000}"/>
    <cellStyle name="Normal 226 2 2 2 4" xfId="25159" xr:uid="{00000000-0005-0000-0000-000014630000}"/>
    <cellStyle name="Normal 226 2 2 2 5" xfId="25160" xr:uid="{00000000-0005-0000-0000-000015630000}"/>
    <cellStyle name="Normal 226 2 2 2 6" xfId="25161" xr:uid="{00000000-0005-0000-0000-000016630000}"/>
    <cellStyle name="Normal 226 2 2 3" xfId="25162" xr:uid="{00000000-0005-0000-0000-000017630000}"/>
    <cellStyle name="Normal 226 2 2 3 2" xfId="25163" xr:uid="{00000000-0005-0000-0000-000018630000}"/>
    <cellStyle name="Normal 226 2 2 3 3" xfId="25164" xr:uid="{00000000-0005-0000-0000-000019630000}"/>
    <cellStyle name="Normal 226 2 2 4" xfId="25165" xr:uid="{00000000-0005-0000-0000-00001A630000}"/>
    <cellStyle name="Normal 226 2 2 4 2" xfId="25166" xr:uid="{00000000-0005-0000-0000-00001B630000}"/>
    <cellStyle name="Normal 226 2 2 4 3" xfId="25167" xr:uid="{00000000-0005-0000-0000-00001C630000}"/>
    <cellStyle name="Normal 226 2 2 5" xfId="25168" xr:uid="{00000000-0005-0000-0000-00001D630000}"/>
    <cellStyle name="Normal 226 2 2 6" xfId="25169" xr:uid="{00000000-0005-0000-0000-00001E630000}"/>
    <cellStyle name="Normal 226 2 2 7" xfId="25170" xr:uid="{00000000-0005-0000-0000-00001F630000}"/>
    <cellStyle name="Normal 226 2 2 8" xfId="25171" xr:uid="{00000000-0005-0000-0000-000020630000}"/>
    <cellStyle name="Normal 226 2 3" xfId="25172" xr:uid="{00000000-0005-0000-0000-000021630000}"/>
    <cellStyle name="Normal 226 2 3 2" xfId="25173" xr:uid="{00000000-0005-0000-0000-000022630000}"/>
    <cellStyle name="Normal 226 2 3 2 2" xfId="25174" xr:uid="{00000000-0005-0000-0000-000023630000}"/>
    <cellStyle name="Normal 226 2 3 2 3" xfId="25175" xr:uid="{00000000-0005-0000-0000-000024630000}"/>
    <cellStyle name="Normal 226 2 3 3" xfId="25176" xr:uid="{00000000-0005-0000-0000-000025630000}"/>
    <cellStyle name="Normal 226 2 3 3 2" xfId="25177" xr:uid="{00000000-0005-0000-0000-000026630000}"/>
    <cellStyle name="Normal 226 2 3 3 3" xfId="25178" xr:uid="{00000000-0005-0000-0000-000027630000}"/>
    <cellStyle name="Normal 226 2 3 4" xfId="25179" xr:uid="{00000000-0005-0000-0000-000028630000}"/>
    <cellStyle name="Normal 226 2 3 5" xfId="25180" xr:uid="{00000000-0005-0000-0000-000029630000}"/>
    <cellStyle name="Normal 226 2 3 6" xfId="25181" xr:uid="{00000000-0005-0000-0000-00002A630000}"/>
    <cellStyle name="Normal 226 2 4" xfId="25182" xr:uid="{00000000-0005-0000-0000-00002B630000}"/>
    <cellStyle name="Normal 226 2 4 2" xfId="25183" xr:uid="{00000000-0005-0000-0000-00002C630000}"/>
    <cellStyle name="Normal 226 2 4 3" xfId="25184" xr:uid="{00000000-0005-0000-0000-00002D630000}"/>
    <cellStyle name="Normal 226 2 5" xfId="25185" xr:uid="{00000000-0005-0000-0000-00002E630000}"/>
    <cellStyle name="Normal 226 2 5 2" xfId="25186" xr:uid="{00000000-0005-0000-0000-00002F630000}"/>
    <cellStyle name="Normal 226 2 5 3" xfId="25187" xr:uid="{00000000-0005-0000-0000-000030630000}"/>
    <cellStyle name="Normal 226 2 6" xfId="25188" xr:uid="{00000000-0005-0000-0000-000031630000}"/>
    <cellStyle name="Normal 226 2 7" xfId="25189" xr:uid="{00000000-0005-0000-0000-000032630000}"/>
    <cellStyle name="Normal 226 2 8" xfId="25190" xr:uid="{00000000-0005-0000-0000-000033630000}"/>
    <cellStyle name="Normal 226 2 9" xfId="25191" xr:uid="{00000000-0005-0000-0000-000034630000}"/>
    <cellStyle name="Normal 226 3" xfId="25192" xr:uid="{00000000-0005-0000-0000-000035630000}"/>
    <cellStyle name="Normal 226 3 2" xfId="25193" xr:uid="{00000000-0005-0000-0000-000036630000}"/>
    <cellStyle name="Normal 226 3 2 2" xfId="25194" xr:uid="{00000000-0005-0000-0000-000037630000}"/>
    <cellStyle name="Normal 226 3 2 2 2" xfId="25195" xr:uid="{00000000-0005-0000-0000-000038630000}"/>
    <cellStyle name="Normal 226 3 2 2 3" xfId="25196" xr:uid="{00000000-0005-0000-0000-000039630000}"/>
    <cellStyle name="Normal 226 3 2 3" xfId="25197" xr:uid="{00000000-0005-0000-0000-00003A630000}"/>
    <cellStyle name="Normal 226 3 2 3 2" xfId="25198" xr:uid="{00000000-0005-0000-0000-00003B630000}"/>
    <cellStyle name="Normal 226 3 2 3 3" xfId="25199" xr:uid="{00000000-0005-0000-0000-00003C630000}"/>
    <cellStyle name="Normal 226 3 2 4" xfId="25200" xr:uid="{00000000-0005-0000-0000-00003D630000}"/>
    <cellStyle name="Normal 226 3 2 5" xfId="25201" xr:uid="{00000000-0005-0000-0000-00003E630000}"/>
    <cellStyle name="Normal 226 3 2 6" xfId="25202" xr:uid="{00000000-0005-0000-0000-00003F630000}"/>
    <cellStyle name="Normal 226 3 3" xfId="25203" xr:uid="{00000000-0005-0000-0000-000040630000}"/>
    <cellStyle name="Normal 226 3 3 2" xfId="25204" xr:uid="{00000000-0005-0000-0000-000041630000}"/>
    <cellStyle name="Normal 226 3 3 3" xfId="25205" xr:uid="{00000000-0005-0000-0000-000042630000}"/>
    <cellStyle name="Normal 226 3 4" xfId="25206" xr:uid="{00000000-0005-0000-0000-000043630000}"/>
    <cellStyle name="Normal 226 3 4 2" xfId="25207" xr:uid="{00000000-0005-0000-0000-000044630000}"/>
    <cellStyle name="Normal 226 3 4 3" xfId="25208" xr:uid="{00000000-0005-0000-0000-000045630000}"/>
    <cellStyle name="Normal 226 3 5" xfId="25209" xr:uid="{00000000-0005-0000-0000-000046630000}"/>
    <cellStyle name="Normal 226 3 6" xfId="25210" xr:uid="{00000000-0005-0000-0000-000047630000}"/>
    <cellStyle name="Normal 226 3 7" xfId="25211" xr:uid="{00000000-0005-0000-0000-000048630000}"/>
    <cellStyle name="Normal 226 3 8" xfId="25212" xr:uid="{00000000-0005-0000-0000-000049630000}"/>
    <cellStyle name="Normal 226 4" xfId="25213" xr:uid="{00000000-0005-0000-0000-00004A630000}"/>
    <cellStyle name="Normal 226 4 2" xfId="25214" xr:uid="{00000000-0005-0000-0000-00004B630000}"/>
    <cellStyle name="Normal 226 4 2 2" xfId="25215" xr:uid="{00000000-0005-0000-0000-00004C630000}"/>
    <cellStyle name="Normal 226 4 2 3" xfId="25216" xr:uid="{00000000-0005-0000-0000-00004D630000}"/>
    <cellStyle name="Normal 226 4 3" xfId="25217" xr:uid="{00000000-0005-0000-0000-00004E630000}"/>
    <cellStyle name="Normal 226 4 3 2" xfId="25218" xr:uid="{00000000-0005-0000-0000-00004F630000}"/>
    <cellStyle name="Normal 226 4 3 3" xfId="25219" xr:uid="{00000000-0005-0000-0000-000050630000}"/>
    <cellStyle name="Normal 226 4 4" xfId="25220" xr:uid="{00000000-0005-0000-0000-000051630000}"/>
    <cellStyle name="Normal 226 4 5" xfId="25221" xr:uid="{00000000-0005-0000-0000-000052630000}"/>
    <cellStyle name="Normal 226 4 6" xfId="25222" xr:uid="{00000000-0005-0000-0000-000053630000}"/>
    <cellStyle name="Normal 226 5" xfId="25223" xr:uid="{00000000-0005-0000-0000-000054630000}"/>
    <cellStyle name="Normal 226 5 2" xfId="25224" xr:uid="{00000000-0005-0000-0000-000055630000}"/>
    <cellStyle name="Normal 226 5 3" xfId="25225" xr:uid="{00000000-0005-0000-0000-000056630000}"/>
    <cellStyle name="Normal 226 6" xfId="25226" xr:uid="{00000000-0005-0000-0000-000057630000}"/>
    <cellStyle name="Normal 226 6 2" xfId="25227" xr:uid="{00000000-0005-0000-0000-000058630000}"/>
    <cellStyle name="Normal 226 6 3" xfId="25228" xr:uid="{00000000-0005-0000-0000-000059630000}"/>
    <cellStyle name="Normal 226 7" xfId="25229" xr:uid="{00000000-0005-0000-0000-00005A630000}"/>
    <cellStyle name="Normal 226 8" xfId="25230" xr:uid="{00000000-0005-0000-0000-00005B630000}"/>
    <cellStyle name="Normal 226 9" xfId="25231" xr:uid="{00000000-0005-0000-0000-00005C630000}"/>
    <cellStyle name="Normal 227" xfId="2653" xr:uid="{00000000-0005-0000-0000-00005D630000}"/>
    <cellStyle name="Normal 227 10" xfId="25232" xr:uid="{00000000-0005-0000-0000-00005E630000}"/>
    <cellStyle name="Normal 227 11" xfId="25233" xr:uid="{00000000-0005-0000-0000-00005F630000}"/>
    <cellStyle name="Normal 227 12" xfId="25234" xr:uid="{00000000-0005-0000-0000-000060630000}"/>
    <cellStyle name="Normal 227 2" xfId="25235" xr:uid="{00000000-0005-0000-0000-000061630000}"/>
    <cellStyle name="Normal 227 2 2" xfId="25236" xr:uid="{00000000-0005-0000-0000-000062630000}"/>
    <cellStyle name="Normal 227 2 2 2" xfId="25237" xr:uid="{00000000-0005-0000-0000-000063630000}"/>
    <cellStyle name="Normal 227 2 2 2 2" xfId="25238" xr:uid="{00000000-0005-0000-0000-000064630000}"/>
    <cellStyle name="Normal 227 2 2 2 2 2" xfId="25239" xr:uid="{00000000-0005-0000-0000-000065630000}"/>
    <cellStyle name="Normal 227 2 2 2 2 3" xfId="25240" xr:uid="{00000000-0005-0000-0000-000066630000}"/>
    <cellStyle name="Normal 227 2 2 2 3" xfId="25241" xr:uid="{00000000-0005-0000-0000-000067630000}"/>
    <cellStyle name="Normal 227 2 2 2 3 2" xfId="25242" xr:uid="{00000000-0005-0000-0000-000068630000}"/>
    <cellStyle name="Normal 227 2 2 2 3 3" xfId="25243" xr:uid="{00000000-0005-0000-0000-000069630000}"/>
    <cellStyle name="Normal 227 2 2 2 4" xfId="25244" xr:uid="{00000000-0005-0000-0000-00006A630000}"/>
    <cellStyle name="Normal 227 2 2 2 5" xfId="25245" xr:uid="{00000000-0005-0000-0000-00006B630000}"/>
    <cellStyle name="Normal 227 2 2 2 6" xfId="25246" xr:uid="{00000000-0005-0000-0000-00006C630000}"/>
    <cellStyle name="Normal 227 2 2 3" xfId="25247" xr:uid="{00000000-0005-0000-0000-00006D630000}"/>
    <cellStyle name="Normal 227 2 2 3 2" xfId="25248" xr:uid="{00000000-0005-0000-0000-00006E630000}"/>
    <cellStyle name="Normal 227 2 2 3 3" xfId="25249" xr:uid="{00000000-0005-0000-0000-00006F630000}"/>
    <cellStyle name="Normal 227 2 2 4" xfId="25250" xr:uid="{00000000-0005-0000-0000-000070630000}"/>
    <cellStyle name="Normal 227 2 2 4 2" xfId="25251" xr:uid="{00000000-0005-0000-0000-000071630000}"/>
    <cellStyle name="Normal 227 2 2 4 3" xfId="25252" xr:uid="{00000000-0005-0000-0000-000072630000}"/>
    <cellStyle name="Normal 227 2 2 5" xfId="25253" xr:uid="{00000000-0005-0000-0000-000073630000}"/>
    <cellStyle name="Normal 227 2 2 6" xfId="25254" xr:uid="{00000000-0005-0000-0000-000074630000}"/>
    <cellStyle name="Normal 227 2 2 7" xfId="25255" xr:uid="{00000000-0005-0000-0000-000075630000}"/>
    <cellStyle name="Normal 227 2 2 8" xfId="25256" xr:uid="{00000000-0005-0000-0000-000076630000}"/>
    <cellStyle name="Normal 227 2 3" xfId="25257" xr:uid="{00000000-0005-0000-0000-000077630000}"/>
    <cellStyle name="Normal 227 2 3 2" xfId="25258" xr:uid="{00000000-0005-0000-0000-000078630000}"/>
    <cellStyle name="Normal 227 2 3 2 2" xfId="25259" xr:uid="{00000000-0005-0000-0000-000079630000}"/>
    <cellStyle name="Normal 227 2 3 2 3" xfId="25260" xr:uid="{00000000-0005-0000-0000-00007A630000}"/>
    <cellStyle name="Normal 227 2 3 3" xfId="25261" xr:uid="{00000000-0005-0000-0000-00007B630000}"/>
    <cellStyle name="Normal 227 2 3 3 2" xfId="25262" xr:uid="{00000000-0005-0000-0000-00007C630000}"/>
    <cellStyle name="Normal 227 2 3 3 3" xfId="25263" xr:uid="{00000000-0005-0000-0000-00007D630000}"/>
    <cellStyle name="Normal 227 2 3 4" xfId="25264" xr:uid="{00000000-0005-0000-0000-00007E630000}"/>
    <cellStyle name="Normal 227 2 3 5" xfId="25265" xr:uid="{00000000-0005-0000-0000-00007F630000}"/>
    <cellStyle name="Normal 227 2 3 6" xfId="25266" xr:uid="{00000000-0005-0000-0000-000080630000}"/>
    <cellStyle name="Normal 227 2 4" xfId="25267" xr:uid="{00000000-0005-0000-0000-000081630000}"/>
    <cellStyle name="Normal 227 2 4 2" xfId="25268" xr:uid="{00000000-0005-0000-0000-000082630000}"/>
    <cellStyle name="Normal 227 2 4 3" xfId="25269" xr:uid="{00000000-0005-0000-0000-000083630000}"/>
    <cellStyle name="Normal 227 2 5" xfId="25270" xr:uid="{00000000-0005-0000-0000-000084630000}"/>
    <cellStyle name="Normal 227 2 5 2" xfId="25271" xr:uid="{00000000-0005-0000-0000-000085630000}"/>
    <cellStyle name="Normal 227 2 5 3" xfId="25272" xr:uid="{00000000-0005-0000-0000-000086630000}"/>
    <cellStyle name="Normal 227 2 6" xfId="25273" xr:uid="{00000000-0005-0000-0000-000087630000}"/>
    <cellStyle name="Normal 227 2 7" xfId="25274" xr:uid="{00000000-0005-0000-0000-000088630000}"/>
    <cellStyle name="Normal 227 2 8" xfId="25275" xr:uid="{00000000-0005-0000-0000-000089630000}"/>
    <cellStyle name="Normal 227 2 9" xfId="25276" xr:uid="{00000000-0005-0000-0000-00008A630000}"/>
    <cellStyle name="Normal 227 3" xfId="25277" xr:uid="{00000000-0005-0000-0000-00008B630000}"/>
    <cellStyle name="Normal 227 3 2" xfId="25278" xr:uid="{00000000-0005-0000-0000-00008C630000}"/>
    <cellStyle name="Normal 227 3 2 2" xfId="25279" xr:uid="{00000000-0005-0000-0000-00008D630000}"/>
    <cellStyle name="Normal 227 3 2 2 2" xfId="25280" xr:uid="{00000000-0005-0000-0000-00008E630000}"/>
    <cellStyle name="Normal 227 3 2 2 3" xfId="25281" xr:uid="{00000000-0005-0000-0000-00008F630000}"/>
    <cellStyle name="Normal 227 3 2 3" xfId="25282" xr:uid="{00000000-0005-0000-0000-000090630000}"/>
    <cellStyle name="Normal 227 3 2 3 2" xfId="25283" xr:uid="{00000000-0005-0000-0000-000091630000}"/>
    <cellStyle name="Normal 227 3 2 3 3" xfId="25284" xr:uid="{00000000-0005-0000-0000-000092630000}"/>
    <cellStyle name="Normal 227 3 2 4" xfId="25285" xr:uid="{00000000-0005-0000-0000-000093630000}"/>
    <cellStyle name="Normal 227 3 2 5" xfId="25286" xr:uid="{00000000-0005-0000-0000-000094630000}"/>
    <cellStyle name="Normal 227 3 2 6" xfId="25287" xr:uid="{00000000-0005-0000-0000-000095630000}"/>
    <cellStyle name="Normal 227 3 3" xfId="25288" xr:uid="{00000000-0005-0000-0000-000096630000}"/>
    <cellStyle name="Normal 227 3 3 2" xfId="25289" xr:uid="{00000000-0005-0000-0000-000097630000}"/>
    <cellStyle name="Normal 227 3 3 3" xfId="25290" xr:uid="{00000000-0005-0000-0000-000098630000}"/>
    <cellStyle name="Normal 227 3 4" xfId="25291" xr:uid="{00000000-0005-0000-0000-000099630000}"/>
    <cellStyle name="Normal 227 3 4 2" xfId="25292" xr:uid="{00000000-0005-0000-0000-00009A630000}"/>
    <cellStyle name="Normal 227 3 4 3" xfId="25293" xr:uid="{00000000-0005-0000-0000-00009B630000}"/>
    <cellStyle name="Normal 227 3 5" xfId="25294" xr:uid="{00000000-0005-0000-0000-00009C630000}"/>
    <cellStyle name="Normal 227 3 6" xfId="25295" xr:uid="{00000000-0005-0000-0000-00009D630000}"/>
    <cellStyle name="Normal 227 3 7" xfId="25296" xr:uid="{00000000-0005-0000-0000-00009E630000}"/>
    <cellStyle name="Normal 227 3 8" xfId="25297" xr:uid="{00000000-0005-0000-0000-00009F630000}"/>
    <cellStyle name="Normal 227 4" xfId="25298" xr:uid="{00000000-0005-0000-0000-0000A0630000}"/>
    <cellStyle name="Normal 227 4 2" xfId="25299" xr:uid="{00000000-0005-0000-0000-0000A1630000}"/>
    <cellStyle name="Normal 227 4 2 2" xfId="25300" xr:uid="{00000000-0005-0000-0000-0000A2630000}"/>
    <cellStyle name="Normal 227 4 2 3" xfId="25301" xr:uid="{00000000-0005-0000-0000-0000A3630000}"/>
    <cellStyle name="Normal 227 4 3" xfId="25302" xr:uid="{00000000-0005-0000-0000-0000A4630000}"/>
    <cellStyle name="Normal 227 4 3 2" xfId="25303" xr:uid="{00000000-0005-0000-0000-0000A5630000}"/>
    <cellStyle name="Normal 227 4 3 3" xfId="25304" xr:uid="{00000000-0005-0000-0000-0000A6630000}"/>
    <cellStyle name="Normal 227 4 4" xfId="25305" xr:uid="{00000000-0005-0000-0000-0000A7630000}"/>
    <cellStyle name="Normal 227 4 5" xfId="25306" xr:uid="{00000000-0005-0000-0000-0000A8630000}"/>
    <cellStyle name="Normal 227 4 6" xfId="25307" xr:uid="{00000000-0005-0000-0000-0000A9630000}"/>
    <cellStyle name="Normal 227 5" xfId="25308" xr:uid="{00000000-0005-0000-0000-0000AA630000}"/>
    <cellStyle name="Normal 227 5 2" xfId="25309" xr:uid="{00000000-0005-0000-0000-0000AB630000}"/>
    <cellStyle name="Normal 227 5 3" xfId="25310" xr:uid="{00000000-0005-0000-0000-0000AC630000}"/>
    <cellStyle name="Normal 227 6" xfId="25311" xr:uid="{00000000-0005-0000-0000-0000AD630000}"/>
    <cellStyle name="Normal 227 6 2" xfId="25312" xr:uid="{00000000-0005-0000-0000-0000AE630000}"/>
    <cellStyle name="Normal 227 6 3" xfId="25313" xr:uid="{00000000-0005-0000-0000-0000AF630000}"/>
    <cellStyle name="Normal 227 7" xfId="25314" xr:uid="{00000000-0005-0000-0000-0000B0630000}"/>
    <cellStyle name="Normal 227 8" xfId="25315" xr:uid="{00000000-0005-0000-0000-0000B1630000}"/>
    <cellStyle name="Normal 227 9" xfId="25316" xr:uid="{00000000-0005-0000-0000-0000B2630000}"/>
    <cellStyle name="Normal 228" xfId="2654" xr:uid="{00000000-0005-0000-0000-0000B3630000}"/>
    <cellStyle name="Normal 228 10" xfId="25317" xr:uid="{00000000-0005-0000-0000-0000B4630000}"/>
    <cellStyle name="Normal 228 11" xfId="25318" xr:uid="{00000000-0005-0000-0000-0000B5630000}"/>
    <cellStyle name="Normal 228 12" xfId="25319" xr:uid="{00000000-0005-0000-0000-0000B6630000}"/>
    <cellStyle name="Normal 228 2" xfId="25320" xr:uid="{00000000-0005-0000-0000-0000B7630000}"/>
    <cellStyle name="Normal 228 2 2" xfId="25321" xr:uid="{00000000-0005-0000-0000-0000B8630000}"/>
    <cellStyle name="Normal 228 2 2 2" xfId="25322" xr:uid="{00000000-0005-0000-0000-0000B9630000}"/>
    <cellStyle name="Normal 228 2 2 2 2" xfId="25323" xr:uid="{00000000-0005-0000-0000-0000BA630000}"/>
    <cellStyle name="Normal 228 2 2 2 2 2" xfId="25324" xr:uid="{00000000-0005-0000-0000-0000BB630000}"/>
    <cellStyle name="Normal 228 2 2 2 2 3" xfId="25325" xr:uid="{00000000-0005-0000-0000-0000BC630000}"/>
    <cellStyle name="Normal 228 2 2 2 3" xfId="25326" xr:uid="{00000000-0005-0000-0000-0000BD630000}"/>
    <cellStyle name="Normal 228 2 2 2 3 2" xfId="25327" xr:uid="{00000000-0005-0000-0000-0000BE630000}"/>
    <cellStyle name="Normal 228 2 2 2 3 3" xfId="25328" xr:uid="{00000000-0005-0000-0000-0000BF630000}"/>
    <cellStyle name="Normal 228 2 2 2 4" xfId="25329" xr:uid="{00000000-0005-0000-0000-0000C0630000}"/>
    <cellStyle name="Normal 228 2 2 2 5" xfId="25330" xr:uid="{00000000-0005-0000-0000-0000C1630000}"/>
    <cellStyle name="Normal 228 2 2 2 6" xfId="25331" xr:uid="{00000000-0005-0000-0000-0000C2630000}"/>
    <cellStyle name="Normal 228 2 2 3" xfId="25332" xr:uid="{00000000-0005-0000-0000-0000C3630000}"/>
    <cellStyle name="Normal 228 2 2 3 2" xfId="25333" xr:uid="{00000000-0005-0000-0000-0000C4630000}"/>
    <cellStyle name="Normal 228 2 2 3 3" xfId="25334" xr:uid="{00000000-0005-0000-0000-0000C5630000}"/>
    <cellStyle name="Normal 228 2 2 4" xfId="25335" xr:uid="{00000000-0005-0000-0000-0000C6630000}"/>
    <cellStyle name="Normal 228 2 2 4 2" xfId="25336" xr:uid="{00000000-0005-0000-0000-0000C7630000}"/>
    <cellStyle name="Normal 228 2 2 4 3" xfId="25337" xr:uid="{00000000-0005-0000-0000-0000C8630000}"/>
    <cellStyle name="Normal 228 2 2 5" xfId="25338" xr:uid="{00000000-0005-0000-0000-0000C9630000}"/>
    <cellStyle name="Normal 228 2 2 6" xfId="25339" xr:uid="{00000000-0005-0000-0000-0000CA630000}"/>
    <cellStyle name="Normal 228 2 2 7" xfId="25340" xr:uid="{00000000-0005-0000-0000-0000CB630000}"/>
    <cellStyle name="Normal 228 2 2 8" xfId="25341" xr:uid="{00000000-0005-0000-0000-0000CC630000}"/>
    <cellStyle name="Normal 228 2 3" xfId="25342" xr:uid="{00000000-0005-0000-0000-0000CD630000}"/>
    <cellStyle name="Normal 228 2 3 2" xfId="25343" xr:uid="{00000000-0005-0000-0000-0000CE630000}"/>
    <cellStyle name="Normal 228 2 3 2 2" xfId="25344" xr:uid="{00000000-0005-0000-0000-0000CF630000}"/>
    <cellStyle name="Normal 228 2 3 2 3" xfId="25345" xr:uid="{00000000-0005-0000-0000-0000D0630000}"/>
    <cellStyle name="Normal 228 2 3 3" xfId="25346" xr:uid="{00000000-0005-0000-0000-0000D1630000}"/>
    <cellStyle name="Normal 228 2 3 3 2" xfId="25347" xr:uid="{00000000-0005-0000-0000-0000D2630000}"/>
    <cellStyle name="Normal 228 2 3 3 3" xfId="25348" xr:uid="{00000000-0005-0000-0000-0000D3630000}"/>
    <cellStyle name="Normal 228 2 3 4" xfId="25349" xr:uid="{00000000-0005-0000-0000-0000D4630000}"/>
    <cellStyle name="Normal 228 2 3 5" xfId="25350" xr:uid="{00000000-0005-0000-0000-0000D5630000}"/>
    <cellStyle name="Normal 228 2 3 6" xfId="25351" xr:uid="{00000000-0005-0000-0000-0000D6630000}"/>
    <cellStyle name="Normal 228 2 4" xfId="25352" xr:uid="{00000000-0005-0000-0000-0000D7630000}"/>
    <cellStyle name="Normal 228 2 4 2" xfId="25353" xr:uid="{00000000-0005-0000-0000-0000D8630000}"/>
    <cellStyle name="Normal 228 2 4 3" xfId="25354" xr:uid="{00000000-0005-0000-0000-0000D9630000}"/>
    <cellStyle name="Normal 228 2 5" xfId="25355" xr:uid="{00000000-0005-0000-0000-0000DA630000}"/>
    <cellStyle name="Normal 228 2 5 2" xfId="25356" xr:uid="{00000000-0005-0000-0000-0000DB630000}"/>
    <cellStyle name="Normal 228 2 5 3" xfId="25357" xr:uid="{00000000-0005-0000-0000-0000DC630000}"/>
    <cellStyle name="Normal 228 2 6" xfId="25358" xr:uid="{00000000-0005-0000-0000-0000DD630000}"/>
    <cellStyle name="Normal 228 2 7" xfId="25359" xr:uid="{00000000-0005-0000-0000-0000DE630000}"/>
    <cellStyle name="Normal 228 2 8" xfId="25360" xr:uid="{00000000-0005-0000-0000-0000DF630000}"/>
    <cellStyle name="Normal 228 2 9" xfId="25361" xr:uid="{00000000-0005-0000-0000-0000E0630000}"/>
    <cellStyle name="Normal 228 3" xfId="25362" xr:uid="{00000000-0005-0000-0000-0000E1630000}"/>
    <cellStyle name="Normal 228 3 2" xfId="25363" xr:uid="{00000000-0005-0000-0000-0000E2630000}"/>
    <cellStyle name="Normal 228 3 2 2" xfId="25364" xr:uid="{00000000-0005-0000-0000-0000E3630000}"/>
    <cellStyle name="Normal 228 3 2 2 2" xfId="25365" xr:uid="{00000000-0005-0000-0000-0000E4630000}"/>
    <cellStyle name="Normal 228 3 2 2 3" xfId="25366" xr:uid="{00000000-0005-0000-0000-0000E5630000}"/>
    <cellStyle name="Normal 228 3 2 3" xfId="25367" xr:uid="{00000000-0005-0000-0000-0000E6630000}"/>
    <cellStyle name="Normal 228 3 2 3 2" xfId="25368" xr:uid="{00000000-0005-0000-0000-0000E7630000}"/>
    <cellStyle name="Normal 228 3 2 3 3" xfId="25369" xr:uid="{00000000-0005-0000-0000-0000E8630000}"/>
    <cellStyle name="Normal 228 3 2 4" xfId="25370" xr:uid="{00000000-0005-0000-0000-0000E9630000}"/>
    <cellStyle name="Normal 228 3 2 5" xfId="25371" xr:uid="{00000000-0005-0000-0000-0000EA630000}"/>
    <cellStyle name="Normal 228 3 2 6" xfId="25372" xr:uid="{00000000-0005-0000-0000-0000EB630000}"/>
    <cellStyle name="Normal 228 3 3" xfId="25373" xr:uid="{00000000-0005-0000-0000-0000EC630000}"/>
    <cellStyle name="Normal 228 3 3 2" xfId="25374" xr:uid="{00000000-0005-0000-0000-0000ED630000}"/>
    <cellStyle name="Normal 228 3 3 3" xfId="25375" xr:uid="{00000000-0005-0000-0000-0000EE630000}"/>
    <cellStyle name="Normal 228 3 4" xfId="25376" xr:uid="{00000000-0005-0000-0000-0000EF630000}"/>
    <cellStyle name="Normal 228 3 4 2" xfId="25377" xr:uid="{00000000-0005-0000-0000-0000F0630000}"/>
    <cellStyle name="Normal 228 3 4 3" xfId="25378" xr:uid="{00000000-0005-0000-0000-0000F1630000}"/>
    <cellStyle name="Normal 228 3 5" xfId="25379" xr:uid="{00000000-0005-0000-0000-0000F2630000}"/>
    <cellStyle name="Normal 228 3 6" xfId="25380" xr:uid="{00000000-0005-0000-0000-0000F3630000}"/>
    <cellStyle name="Normal 228 3 7" xfId="25381" xr:uid="{00000000-0005-0000-0000-0000F4630000}"/>
    <cellStyle name="Normal 228 3 8" xfId="25382" xr:uid="{00000000-0005-0000-0000-0000F5630000}"/>
    <cellStyle name="Normal 228 4" xfId="25383" xr:uid="{00000000-0005-0000-0000-0000F6630000}"/>
    <cellStyle name="Normal 228 4 2" xfId="25384" xr:uid="{00000000-0005-0000-0000-0000F7630000}"/>
    <cellStyle name="Normal 228 4 2 2" xfId="25385" xr:uid="{00000000-0005-0000-0000-0000F8630000}"/>
    <cellStyle name="Normal 228 4 2 3" xfId="25386" xr:uid="{00000000-0005-0000-0000-0000F9630000}"/>
    <cellStyle name="Normal 228 4 3" xfId="25387" xr:uid="{00000000-0005-0000-0000-0000FA630000}"/>
    <cellStyle name="Normal 228 4 3 2" xfId="25388" xr:uid="{00000000-0005-0000-0000-0000FB630000}"/>
    <cellStyle name="Normal 228 4 3 3" xfId="25389" xr:uid="{00000000-0005-0000-0000-0000FC630000}"/>
    <cellStyle name="Normal 228 4 4" xfId="25390" xr:uid="{00000000-0005-0000-0000-0000FD630000}"/>
    <cellStyle name="Normal 228 4 5" xfId="25391" xr:uid="{00000000-0005-0000-0000-0000FE630000}"/>
    <cellStyle name="Normal 228 4 6" xfId="25392" xr:uid="{00000000-0005-0000-0000-0000FF630000}"/>
    <cellStyle name="Normal 228 5" xfId="25393" xr:uid="{00000000-0005-0000-0000-000000640000}"/>
    <cellStyle name="Normal 228 5 2" xfId="25394" xr:uid="{00000000-0005-0000-0000-000001640000}"/>
    <cellStyle name="Normal 228 5 3" xfId="25395" xr:uid="{00000000-0005-0000-0000-000002640000}"/>
    <cellStyle name="Normal 228 6" xfId="25396" xr:uid="{00000000-0005-0000-0000-000003640000}"/>
    <cellStyle name="Normal 228 6 2" xfId="25397" xr:uid="{00000000-0005-0000-0000-000004640000}"/>
    <cellStyle name="Normal 228 6 3" xfId="25398" xr:uid="{00000000-0005-0000-0000-000005640000}"/>
    <cellStyle name="Normal 228 7" xfId="25399" xr:uid="{00000000-0005-0000-0000-000006640000}"/>
    <cellStyle name="Normal 228 8" xfId="25400" xr:uid="{00000000-0005-0000-0000-000007640000}"/>
    <cellStyle name="Normal 228 9" xfId="25401" xr:uid="{00000000-0005-0000-0000-000008640000}"/>
    <cellStyle name="Normal 229" xfId="2655" xr:uid="{00000000-0005-0000-0000-000009640000}"/>
    <cellStyle name="Normal 229 10" xfId="25402" xr:uid="{00000000-0005-0000-0000-00000A640000}"/>
    <cellStyle name="Normal 229 11" xfId="25403" xr:uid="{00000000-0005-0000-0000-00000B640000}"/>
    <cellStyle name="Normal 229 12" xfId="25404" xr:uid="{00000000-0005-0000-0000-00000C640000}"/>
    <cellStyle name="Normal 229 2" xfId="25405" xr:uid="{00000000-0005-0000-0000-00000D640000}"/>
    <cellStyle name="Normal 229 2 2" xfId="25406" xr:uid="{00000000-0005-0000-0000-00000E640000}"/>
    <cellStyle name="Normal 229 2 2 2" xfId="25407" xr:uid="{00000000-0005-0000-0000-00000F640000}"/>
    <cellStyle name="Normal 229 2 2 2 2" xfId="25408" xr:uid="{00000000-0005-0000-0000-000010640000}"/>
    <cellStyle name="Normal 229 2 2 2 2 2" xfId="25409" xr:uid="{00000000-0005-0000-0000-000011640000}"/>
    <cellStyle name="Normal 229 2 2 2 2 3" xfId="25410" xr:uid="{00000000-0005-0000-0000-000012640000}"/>
    <cellStyle name="Normal 229 2 2 2 3" xfId="25411" xr:uid="{00000000-0005-0000-0000-000013640000}"/>
    <cellStyle name="Normal 229 2 2 2 3 2" xfId="25412" xr:uid="{00000000-0005-0000-0000-000014640000}"/>
    <cellStyle name="Normal 229 2 2 2 3 3" xfId="25413" xr:uid="{00000000-0005-0000-0000-000015640000}"/>
    <cellStyle name="Normal 229 2 2 2 4" xfId="25414" xr:uid="{00000000-0005-0000-0000-000016640000}"/>
    <cellStyle name="Normal 229 2 2 2 5" xfId="25415" xr:uid="{00000000-0005-0000-0000-000017640000}"/>
    <cellStyle name="Normal 229 2 2 2 6" xfId="25416" xr:uid="{00000000-0005-0000-0000-000018640000}"/>
    <cellStyle name="Normal 229 2 2 3" xfId="25417" xr:uid="{00000000-0005-0000-0000-000019640000}"/>
    <cellStyle name="Normal 229 2 2 3 2" xfId="25418" xr:uid="{00000000-0005-0000-0000-00001A640000}"/>
    <cellStyle name="Normal 229 2 2 3 3" xfId="25419" xr:uid="{00000000-0005-0000-0000-00001B640000}"/>
    <cellStyle name="Normal 229 2 2 4" xfId="25420" xr:uid="{00000000-0005-0000-0000-00001C640000}"/>
    <cellStyle name="Normal 229 2 2 4 2" xfId="25421" xr:uid="{00000000-0005-0000-0000-00001D640000}"/>
    <cellStyle name="Normal 229 2 2 4 3" xfId="25422" xr:uid="{00000000-0005-0000-0000-00001E640000}"/>
    <cellStyle name="Normal 229 2 2 5" xfId="25423" xr:uid="{00000000-0005-0000-0000-00001F640000}"/>
    <cellStyle name="Normal 229 2 2 6" xfId="25424" xr:uid="{00000000-0005-0000-0000-000020640000}"/>
    <cellStyle name="Normal 229 2 2 7" xfId="25425" xr:uid="{00000000-0005-0000-0000-000021640000}"/>
    <cellStyle name="Normal 229 2 2 8" xfId="25426" xr:uid="{00000000-0005-0000-0000-000022640000}"/>
    <cellStyle name="Normal 229 2 3" xfId="25427" xr:uid="{00000000-0005-0000-0000-000023640000}"/>
    <cellStyle name="Normal 229 2 3 2" xfId="25428" xr:uid="{00000000-0005-0000-0000-000024640000}"/>
    <cellStyle name="Normal 229 2 3 2 2" xfId="25429" xr:uid="{00000000-0005-0000-0000-000025640000}"/>
    <cellStyle name="Normal 229 2 3 2 3" xfId="25430" xr:uid="{00000000-0005-0000-0000-000026640000}"/>
    <cellStyle name="Normal 229 2 3 3" xfId="25431" xr:uid="{00000000-0005-0000-0000-000027640000}"/>
    <cellStyle name="Normal 229 2 3 3 2" xfId="25432" xr:uid="{00000000-0005-0000-0000-000028640000}"/>
    <cellStyle name="Normal 229 2 3 3 3" xfId="25433" xr:uid="{00000000-0005-0000-0000-000029640000}"/>
    <cellStyle name="Normal 229 2 3 4" xfId="25434" xr:uid="{00000000-0005-0000-0000-00002A640000}"/>
    <cellStyle name="Normal 229 2 3 5" xfId="25435" xr:uid="{00000000-0005-0000-0000-00002B640000}"/>
    <cellStyle name="Normal 229 2 3 6" xfId="25436" xr:uid="{00000000-0005-0000-0000-00002C640000}"/>
    <cellStyle name="Normal 229 2 4" xfId="25437" xr:uid="{00000000-0005-0000-0000-00002D640000}"/>
    <cellStyle name="Normal 229 2 4 2" xfId="25438" xr:uid="{00000000-0005-0000-0000-00002E640000}"/>
    <cellStyle name="Normal 229 2 4 3" xfId="25439" xr:uid="{00000000-0005-0000-0000-00002F640000}"/>
    <cellStyle name="Normal 229 2 5" xfId="25440" xr:uid="{00000000-0005-0000-0000-000030640000}"/>
    <cellStyle name="Normal 229 2 5 2" xfId="25441" xr:uid="{00000000-0005-0000-0000-000031640000}"/>
    <cellStyle name="Normal 229 2 5 3" xfId="25442" xr:uid="{00000000-0005-0000-0000-000032640000}"/>
    <cellStyle name="Normal 229 2 6" xfId="25443" xr:uid="{00000000-0005-0000-0000-000033640000}"/>
    <cellStyle name="Normal 229 2 7" xfId="25444" xr:uid="{00000000-0005-0000-0000-000034640000}"/>
    <cellStyle name="Normal 229 2 8" xfId="25445" xr:uid="{00000000-0005-0000-0000-000035640000}"/>
    <cellStyle name="Normal 229 2 9" xfId="25446" xr:uid="{00000000-0005-0000-0000-000036640000}"/>
    <cellStyle name="Normal 229 3" xfId="25447" xr:uid="{00000000-0005-0000-0000-000037640000}"/>
    <cellStyle name="Normal 229 3 2" xfId="25448" xr:uid="{00000000-0005-0000-0000-000038640000}"/>
    <cellStyle name="Normal 229 3 2 2" xfId="25449" xr:uid="{00000000-0005-0000-0000-000039640000}"/>
    <cellStyle name="Normal 229 3 2 2 2" xfId="25450" xr:uid="{00000000-0005-0000-0000-00003A640000}"/>
    <cellStyle name="Normal 229 3 2 2 3" xfId="25451" xr:uid="{00000000-0005-0000-0000-00003B640000}"/>
    <cellStyle name="Normal 229 3 2 3" xfId="25452" xr:uid="{00000000-0005-0000-0000-00003C640000}"/>
    <cellStyle name="Normal 229 3 2 3 2" xfId="25453" xr:uid="{00000000-0005-0000-0000-00003D640000}"/>
    <cellStyle name="Normal 229 3 2 3 3" xfId="25454" xr:uid="{00000000-0005-0000-0000-00003E640000}"/>
    <cellStyle name="Normal 229 3 2 4" xfId="25455" xr:uid="{00000000-0005-0000-0000-00003F640000}"/>
    <cellStyle name="Normal 229 3 2 5" xfId="25456" xr:uid="{00000000-0005-0000-0000-000040640000}"/>
    <cellStyle name="Normal 229 3 2 6" xfId="25457" xr:uid="{00000000-0005-0000-0000-000041640000}"/>
    <cellStyle name="Normal 229 3 3" xfId="25458" xr:uid="{00000000-0005-0000-0000-000042640000}"/>
    <cellStyle name="Normal 229 3 3 2" xfId="25459" xr:uid="{00000000-0005-0000-0000-000043640000}"/>
    <cellStyle name="Normal 229 3 3 3" xfId="25460" xr:uid="{00000000-0005-0000-0000-000044640000}"/>
    <cellStyle name="Normal 229 3 4" xfId="25461" xr:uid="{00000000-0005-0000-0000-000045640000}"/>
    <cellStyle name="Normal 229 3 4 2" xfId="25462" xr:uid="{00000000-0005-0000-0000-000046640000}"/>
    <cellStyle name="Normal 229 3 4 3" xfId="25463" xr:uid="{00000000-0005-0000-0000-000047640000}"/>
    <cellStyle name="Normal 229 3 5" xfId="25464" xr:uid="{00000000-0005-0000-0000-000048640000}"/>
    <cellStyle name="Normal 229 3 6" xfId="25465" xr:uid="{00000000-0005-0000-0000-000049640000}"/>
    <cellStyle name="Normal 229 3 7" xfId="25466" xr:uid="{00000000-0005-0000-0000-00004A640000}"/>
    <cellStyle name="Normal 229 3 8" xfId="25467" xr:uid="{00000000-0005-0000-0000-00004B640000}"/>
    <cellStyle name="Normal 229 4" xfId="25468" xr:uid="{00000000-0005-0000-0000-00004C640000}"/>
    <cellStyle name="Normal 229 4 2" xfId="25469" xr:uid="{00000000-0005-0000-0000-00004D640000}"/>
    <cellStyle name="Normal 229 4 2 2" xfId="25470" xr:uid="{00000000-0005-0000-0000-00004E640000}"/>
    <cellStyle name="Normal 229 4 2 3" xfId="25471" xr:uid="{00000000-0005-0000-0000-00004F640000}"/>
    <cellStyle name="Normal 229 4 3" xfId="25472" xr:uid="{00000000-0005-0000-0000-000050640000}"/>
    <cellStyle name="Normal 229 4 3 2" xfId="25473" xr:uid="{00000000-0005-0000-0000-000051640000}"/>
    <cellStyle name="Normal 229 4 3 3" xfId="25474" xr:uid="{00000000-0005-0000-0000-000052640000}"/>
    <cellStyle name="Normal 229 4 4" xfId="25475" xr:uid="{00000000-0005-0000-0000-000053640000}"/>
    <cellStyle name="Normal 229 4 5" xfId="25476" xr:uid="{00000000-0005-0000-0000-000054640000}"/>
    <cellStyle name="Normal 229 4 6" xfId="25477" xr:uid="{00000000-0005-0000-0000-000055640000}"/>
    <cellStyle name="Normal 229 5" xfId="25478" xr:uid="{00000000-0005-0000-0000-000056640000}"/>
    <cellStyle name="Normal 229 5 2" xfId="25479" xr:uid="{00000000-0005-0000-0000-000057640000}"/>
    <cellStyle name="Normal 229 5 3" xfId="25480" xr:uid="{00000000-0005-0000-0000-000058640000}"/>
    <cellStyle name="Normal 229 6" xfId="25481" xr:uid="{00000000-0005-0000-0000-000059640000}"/>
    <cellStyle name="Normal 229 6 2" xfId="25482" xr:uid="{00000000-0005-0000-0000-00005A640000}"/>
    <cellStyle name="Normal 229 6 3" xfId="25483" xr:uid="{00000000-0005-0000-0000-00005B640000}"/>
    <cellStyle name="Normal 229 7" xfId="25484" xr:uid="{00000000-0005-0000-0000-00005C640000}"/>
    <cellStyle name="Normal 229 8" xfId="25485" xr:uid="{00000000-0005-0000-0000-00005D640000}"/>
    <cellStyle name="Normal 229 9" xfId="25486" xr:uid="{00000000-0005-0000-0000-00005E640000}"/>
    <cellStyle name="Normal 23" xfId="2656" xr:uid="{00000000-0005-0000-0000-00005F640000}"/>
    <cellStyle name="Normal 23 2" xfId="2657" xr:uid="{00000000-0005-0000-0000-000060640000}"/>
    <cellStyle name="Normal 23 2 2" xfId="25487" xr:uid="{00000000-0005-0000-0000-000061640000}"/>
    <cellStyle name="Normal 23 3" xfId="25488" xr:uid="{00000000-0005-0000-0000-000062640000}"/>
    <cellStyle name="Normal 23 3 2" xfId="25489" xr:uid="{00000000-0005-0000-0000-000063640000}"/>
    <cellStyle name="Normal 23 3 2 2" xfId="25490" xr:uid="{00000000-0005-0000-0000-000064640000}"/>
    <cellStyle name="Normal 23 3 2 2 2" xfId="25491" xr:uid="{00000000-0005-0000-0000-000065640000}"/>
    <cellStyle name="Normal 23 3 2 2 3" xfId="25492" xr:uid="{00000000-0005-0000-0000-000066640000}"/>
    <cellStyle name="Normal 23 3 2 3" xfId="25493" xr:uid="{00000000-0005-0000-0000-000067640000}"/>
    <cellStyle name="Normal 23 3 2 4" xfId="25494" xr:uid="{00000000-0005-0000-0000-000068640000}"/>
    <cellStyle name="Normal 23 3 2_Order Book" xfId="25495" xr:uid="{00000000-0005-0000-0000-000069640000}"/>
    <cellStyle name="Normal 23 3 3" xfId="25496" xr:uid="{00000000-0005-0000-0000-00006A640000}"/>
    <cellStyle name="Normal 23 3 3 2" xfId="25497" xr:uid="{00000000-0005-0000-0000-00006B640000}"/>
    <cellStyle name="Normal 23 3 3 3" xfId="25498" xr:uid="{00000000-0005-0000-0000-00006C640000}"/>
    <cellStyle name="Normal 23 3 4" xfId="25499" xr:uid="{00000000-0005-0000-0000-00006D640000}"/>
    <cellStyle name="Normal 23 3 5" xfId="25500" xr:uid="{00000000-0005-0000-0000-00006E640000}"/>
    <cellStyle name="Normal 23 3 6" xfId="25501" xr:uid="{00000000-0005-0000-0000-00006F640000}"/>
    <cellStyle name="Normal 23 3_Order Book" xfId="25502" xr:uid="{00000000-0005-0000-0000-000070640000}"/>
    <cellStyle name="Normal 23 4" xfId="25503" xr:uid="{00000000-0005-0000-0000-000071640000}"/>
    <cellStyle name="Normal 23 5" xfId="25504" xr:uid="{00000000-0005-0000-0000-000072640000}"/>
    <cellStyle name="Normal 23 6" xfId="25505" xr:uid="{00000000-0005-0000-0000-000073640000}"/>
    <cellStyle name="Normal 23 7" xfId="25506" xr:uid="{00000000-0005-0000-0000-000074640000}"/>
    <cellStyle name="Normal 23 8" xfId="25507" xr:uid="{00000000-0005-0000-0000-000075640000}"/>
    <cellStyle name="Normal 23 9" xfId="25508" xr:uid="{00000000-0005-0000-0000-000076640000}"/>
    <cellStyle name="Normal 230" xfId="2658" xr:uid="{00000000-0005-0000-0000-000077640000}"/>
    <cellStyle name="Normal 230 10" xfId="25509" xr:uid="{00000000-0005-0000-0000-000078640000}"/>
    <cellStyle name="Normal 230 11" xfId="25510" xr:uid="{00000000-0005-0000-0000-000079640000}"/>
    <cellStyle name="Normal 230 12" xfId="25511" xr:uid="{00000000-0005-0000-0000-00007A640000}"/>
    <cellStyle name="Normal 230 2" xfId="25512" xr:uid="{00000000-0005-0000-0000-00007B640000}"/>
    <cellStyle name="Normal 230 2 2" xfId="25513" xr:uid="{00000000-0005-0000-0000-00007C640000}"/>
    <cellStyle name="Normal 230 2 2 2" xfId="25514" xr:uid="{00000000-0005-0000-0000-00007D640000}"/>
    <cellStyle name="Normal 230 2 2 2 2" xfId="25515" xr:uid="{00000000-0005-0000-0000-00007E640000}"/>
    <cellStyle name="Normal 230 2 2 2 2 2" xfId="25516" xr:uid="{00000000-0005-0000-0000-00007F640000}"/>
    <cellStyle name="Normal 230 2 2 2 2 3" xfId="25517" xr:uid="{00000000-0005-0000-0000-000080640000}"/>
    <cellStyle name="Normal 230 2 2 2 3" xfId="25518" xr:uid="{00000000-0005-0000-0000-000081640000}"/>
    <cellStyle name="Normal 230 2 2 2 3 2" xfId="25519" xr:uid="{00000000-0005-0000-0000-000082640000}"/>
    <cellStyle name="Normal 230 2 2 2 3 3" xfId="25520" xr:uid="{00000000-0005-0000-0000-000083640000}"/>
    <cellStyle name="Normal 230 2 2 2 4" xfId="25521" xr:uid="{00000000-0005-0000-0000-000084640000}"/>
    <cellStyle name="Normal 230 2 2 2 5" xfId="25522" xr:uid="{00000000-0005-0000-0000-000085640000}"/>
    <cellStyle name="Normal 230 2 2 2 6" xfId="25523" xr:uid="{00000000-0005-0000-0000-000086640000}"/>
    <cellStyle name="Normal 230 2 2 3" xfId="25524" xr:uid="{00000000-0005-0000-0000-000087640000}"/>
    <cellStyle name="Normal 230 2 2 3 2" xfId="25525" xr:uid="{00000000-0005-0000-0000-000088640000}"/>
    <cellStyle name="Normal 230 2 2 3 3" xfId="25526" xr:uid="{00000000-0005-0000-0000-000089640000}"/>
    <cellStyle name="Normal 230 2 2 4" xfId="25527" xr:uid="{00000000-0005-0000-0000-00008A640000}"/>
    <cellStyle name="Normal 230 2 2 4 2" xfId="25528" xr:uid="{00000000-0005-0000-0000-00008B640000}"/>
    <cellStyle name="Normal 230 2 2 4 3" xfId="25529" xr:uid="{00000000-0005-0000-0000-00008C640000}"/>
    <cellStyle name="Normal 230 2 2 5" xfId="25530" xr:uid="{00000000-0005-0000-0000-00008D640000}"/>
    <cellStyle name="Normal 230 2 2 6" xfId="25531" xr:uid="{00000000-0005-0000-0000-00008E640000}"/>
    <cellStyle name="Normal 230 2 2 7" xfId="25532" xr:uid="{00000000-0005-0000-0000-00008F640000}"/>
    <cellStyle name="Normal 230 2 2 8" xfId="25533" xr:uid="{00000000-0005-0000-0000-000090640000}"/>
    <cellStyle name="Normal 230 2 3" xfId="25534" xr:uid="{00000000-0005-0000-0000-000091640000}"/>
    <cellStyle name="Normal 230 2 3 2" xfId="25535" xr:uid="{00000000-0005-0000-0000-000092640000}"/>
    <cellStyle name="Normal 230 2 3 2 2" xfId="25536" xr:uid="{00000000-0005-0000-0000-000093640000}"/>
    <cellStyle name="Normal 230 2 3 2 3" xfId="25537" xr:uid="{00000000-0005-0000-0000-000094640000}"/>
    <cellStyle name="Normal 230 2 3 3" xfId="25538" xr:uid="{00000000-0005-0000-0000-000095640000}"/>
    <cellStyle name="Normal 230 2 3 3 2" xfId="25539" xr:uid="{00000000-0005-0000-0000-000096640000}"/>
    <cellStyle name="Normal 230 2 3 3 3" xfId="25540" xr:uid="{00000000-0005-0000-0000-000097640000}"/>
    <cellStyle name="Normal 230 2 3 4" xfId="25541" xr:uid="{00000000-0005-0000-0000-000098640000}"/>
    <cellStyle name="Normal 230 2 3 5" xfId="25542" xr:uid="{00000000-0005-0000-0000-000099640000}"/>
    <cellStyle name="Normal 230 2 3 6" xfId="25543" xr:uid="{00000000-0005-0000-0000-00009A640000}"/>
    <cellStyle name="Normal 230 2 4" xfId="25544" xr:uid="{00000000-0005-0000-0000-00009B640000}"/>
    <cellStyle name="Normal 230 2 4 2" xfId="25545" xr:uid="{00000000-0005-0000-0000-00009C640000}"/>
    <cellStyle name="Normal 230 2 4 3" xfId="25546" xr:uid="{00000000-0005-0000-0000-00009D640000}"/>
    <cellStyle name="Normal 230 2 5" xfId="25547" xr:uid="{00000000-0005-0000-0000-00009E640000}"/>
    <cellStyle name="Normal 230 2 5 2" xfId="25548" xr:uid="{00000000-0005-0000-0000-00009F640000}"/>
    <cellStyle name="Normal 230 2 5 3" xfId="25549" xr:uid="{00000000-0005-0000-0000-0000A0640000}"/>
    <cellStyle name="Normal 230 2 6" xfId="25550" xr:uid="{00000000-0005-0000-0000-0000A1640000}"/>
    <cellStyle name="Normal 230 2 7" xfId="25551" xr:uid="{00000000-0005-0000-0000-0000A2640000}"/>
    <cellStyle name="Normal 230 2 8" xfId="25552" xr:uid="{00000000-0005-0000-0000-0000A3640000}"/>
    <cellStyle name="Normal 230 2 9" xfId="25553" xr:uid="{00000000-0005-0000-0000-0000A4640000}"/>
    <cellStyle name="Normal 230 3" xfId="25554" xr:uid="{00000000-0005-0000-0000-0000A5640000}"/>
    <cellStyle name="Normal 230 3 2" xfId="25555" xr:uid="{00000000-0005-0000-0000-0000A6640000}"/>
    <cellStyle name="Normal 230 3 2 2" xfId="25556" xr:uid="{00000000-0005-0000-0000-0000A7640000}"/>
    <cellStyle name="Normal 230 3 2 2 2" xfId="25557" xr:uid="{00000000-0005-0000-0000-0000A8640000}"/>
    <cellStyle name="Normal 230 3 2 2 3" xfId="25558" xr:uid="{00000000-0005-0000-0000-0000A9640000}"/>
    <cellStyle name="Normal 230 3 2 3" xfId="25559" xr:uid="{00000000-0005-0000-0000-0000AA640000}"/>
    <cellStyle name="Normal 230 3 2 3 2" xfId="25560" xr:uid="{00000000-0005-0000-0000-0000AB640000}"/>
    <cellStyle name="Normal 230 3 2 3 3" xfId="25561" xr:uid="{00000000-0005-0000-0000-0000AC640000}"/>
    <cellStyle name="Normal 230 3 2 4" xfId="25562" xr:uid="{00000000-0005-0000-0000-0000AD640000}"/>
    <cellStyle name="Normal 230 3 2 5" xfId="25563" xr:uid="{00000000-0005-0000-0000-0000AE640000}"/>
    <cellStyle name="Normal 230 3 2 6" xfId="25564" xr:uid="{00000000-0005-0000-0000-0000AF640000}"/>
    <cellStyle name="Normal 230 3 3" xfId="25565" xr:uid="{00000000-0005-0000-0000-0000B0640000}"/>
    <cellStyle name="Normal 230 3 3 2" xfId="25566" xr:uid="{00000000-0005-0000-0000-0000B1640000}"/>
    <cellStyle name="Normal 230 3 3 3" xfId="25567" xr:uid="{00000000-0005-0000-0000-0000B2640000}"/>
    <cellStyle name="Normal 230 3 4" xfId="25568" xr:uid="{00000000-0005-0000-0000-0000B3640000}"/>
    <cellStyle name="Normal 230 3 4 2" xfId="25569" xr:uid="{00000000-0005-0000-0000-0000B4640000}"/>
    <cellStyle name="Normal 230 3 4 3" xfId="25570" xr:uid="{00000000-0005-0000-0000-0000B5640000}"/>
    <cellStyle name="Normal 230 3 5" xfId="25571" xr:uid="{00000000-0005-0000-0000-0000B6640000}"/>
    <cellStyle name="Normal 230 3 6" xfId="25572" xr:uid="{00000000-0005-0000-0000-0000B7640000}"/>
    <cellStyle name="Normal 230 3 7" xfId="25573" xr:uid="{00000000-0005-0000-0000-0000B8640000}"/>
    <cellStyle name="Normal 230 3 8" xfId="25574" xr:uid="{00000000-0005-0000-0000-0000B9640000}"/>
    <cellStyle name="Normal 230 4" xfId="25575" xr:uid="{00000000-0005-0000-0000-0000BA640000}"/>
    <cellStyle name="Normal 230 4 2" xfId="25576" xr:uid="{00000000-0005-0000-0000-0000BB640000}"/>
    <cellStyle name="Normal 230 4 2 2" xfId="25577" xr:uid="{00000000-0005-0000-0000-0000BC640000}"/>
    <cellStyle name="Normal 230 4 2 3" xfId="25578" xr:uid="{00000000-0005-0000-0000-0000BD640000}"/>
    <cellStyle name="Normal 230 4 3" xfId="25579" xr:uid="{00000000-0005-0000-0000-0000BE640000}"/>
    <cellStyle name="Normal 230 4 3 2" xfId="25580" xr:uid="{00000000-0005-0000-0000-0000BF640000}"/>
    <cellStyle name="Normal 230 4 3 3" xfId="25581" xr:uid="{00000000-0005-0000-0000-0000C0640000}"/>
    <cellStyle name="Normal 230 4 4" xfId="25582" xr:uid="{00000000-0005-0000-0000-0000C1640000}"/>
    <cellStyle name="Normal 230 4 5" xfId="25583" xr:uid="{00000000-0005-0000-0000-0000C2640000}"/>
    <cellStyle name="Normal 230 4 6" xfId="25584" xr:uid="{00000000-0005-0000-0000-0000C3640000}"/>
    <cellStyle name="Normal 230 5" xfId="25585" xr:uid="{00000000-0005-0000-0000-0000C4640000}"/>
    <cellStyle name="Normal 230 5 2" xfId="25586" xr:uid="{00000000-0005-0000-0000-0000C5640000}"/>
    <cellStyle name="Normal 230 5 3" xfId="25587" xr:uid="{00000000-0005-0000-0000-0000C6640000}"/>
    <cellStyle name="Normal 230 6" xfId="25588" xr:uid="{00000000-0005-0000-0000-0000C7640000}"/>
    <cellStyle name="Normal 230 6 2" xfId="25589" xr:uid="{00000000-0005-0000-0000-0000C8640000}"/>
    <cellStyle name="Normal 230 6 3" xfId="25590" xr:uid="{00000000-0005-0000-0000-0000C9640000}"/>
    <cellStyle name="Normal 230 7" xfId="25591" xr:uid="{00000000-0005-0000-0000-0000CA640000}"/>
    <cellStyle name="Normal 230 8" xfId="25592" xr:uid="{00000000-0005-0000-0000-0000CB640000}"/>
    <cellStyle name="Normal 230 9" xfId="25593" xr:uid="{00000000-0005-0000-0000-0000CC640000}"/>
    <cellStyle name="Normal 231" xfId="2659" xr:uid="{00000000-0005-0000-0000-0000CD640000}"/>
    <cellStyle name="Normal 231 10" xfId="25594" xr:uid="{00000000-0005-0000-0000-0000CE640000}"/>
    <cellStyle name="Normal 231 11" xfId="25595" xr:uid="{00000000-0005-0000-0000-0000CF640000}"/>
    <cellStyle name="Normal 231 12" xfId="25596" xr:uid="{00000000-0005-0000-0000-0000D0640000}"/>
    <cellStyle name="Normal 231 2" xfId="2660" xr:uid="{00000000-0005-0000-0000-0000D1640000}"/>
    <cellStyle name="Normal 231 2 10" xfId="25597" xr:uid="{00000000-0005-0000-0000-0000D2640000}"/>
    <cellStyle name="Normal 231 2 2" xfId="25598" xr:uid="{00000000-0005-0000-0000-0000D3640000}"/>
    <cellStyle name="Normal 231 2 2 2" xfId="25599" xr:uid="{00000000-0005-0000-0000-0000D4640000}"/>
    <cellStyle name="Normal 231 2 2 2 2" xfId="25600" xr:uid="{00000000-0005-0000-0000-0000D5640000}"/>
    <cellStyle name="Normal 231 2 2 2 2 2" xfId="25601" xr:uid="{00000000-0005-0000-0000-0000D6640000}"/>
    <cellStyle name="Normal 231 2 2 2 2 3" xfId="25602" xr:uid="{00000000-0005-0000-0000-0000D7640000}"/>
    <cellStyle name="Normal 231 2 2 2 3" xfId="25603" xr:uid="{00000000-0005-0000-0000-0000D8640000}"/>
    <cellStyle name="Normal 231 2 2 2 3 2" xfId="25604" xr:uid="{00000000-0005-0000-0000-0000D9640000}"/>
    <cellStyle name="Normal 231 2 2 2 3 3" xfId="25605" xr:uid="{00000000-0005-0000-0000-0000DA640000}"/>
    <cellStyle name="Normal 231 2 2 2 4" xfId="25606" xr:uid="{00000000-0005-0000-0000-0000DB640000}"/>
    <cellStyle name="Normal 231 2 2 2 5" xfId="25607" xr:uid="{00000000-0005-0000-0000-0000DC640000}"/>
    <cellStyle name="Normal 231 2 2 2 6" xfId="25608" xr:uid="{00000000-0005-0000-0000-0000DD640000}"/>
    <cellStyle name="Normal 231 2 2 3" xfId="25609" xr:uid="{00000000-0005-0000-0000-0000DE640000}"/>
    <cellStyle name="Normal 231 2 2 3 2" xfId="25610" xr:uid="{00000000-0005-0000-0000-0000DF640000}"/>
    <cellStyle name="Normal 231 2 2 3 3" xfId="25611" xr:uid="{00000000-0005-0000-0000-0000E0640000}"/>
    <cellStyle name="Normal 231 2 2 4" xfId="25612" xr:uid="{00000000-0005-0000-0000-0000E1640000}"/>
    <cellStyle name="Normal 231 2 2 4 2" xfId="25613" xr:uid="{00000000-0005-0000-0000-0000E2640000}"/>
    <cellStyle name="Normal 231 2 2 4 3" xfId="25614" xr:uid="{00000000-0005-0000-0000-0000E3640000}"/>
    <cellStyle name="Normal 231 2 2 5" xfId="25615" xr:uid="{00000000-0005-0000-0000-0000E4640000}"/>
    <cellStyle name="Normal 231 2 2 6" xfId="25616" xr:uid="{00000000-0005-0000-0000-0000E5640000}"/>
    <cellStyle name="Normal 231 2 2 7" xfId="25617" xr:uid="{00000000-0005-0000-0000-0000E6640000}"/>
    <cellStyle name="Normal 231 2 2 8" xfId="25618" xr:uid="{00000000-0005-0000-0000-0000E7640000}"/>
    <cellStyle name="Normal 231 2 3" xfId="25619" xr:uid="{00000000-0005-0000-0000-0000E8640000}"/>
    <cellStyle name="Normal 231 2 3 2" xfId="25620" xr:uid="{00000000-0005-0000-0000-0000E9640000}"/>
    <cellStyle name="Normal 231 2 3 2 2" xfId="25621" xr:uid="{00000000-0005-0000-0000-0000EA640000}"/>
    <cellStyle name="Normal 231 2 3 2 3" xfId="25622" xr:uid="{00000000-0005-0000-0000-0000EB640000}"/>
    <cellStyle name="Normal 231 2 3 3" xfId="25623" xr:uid="{00000000-0005-0000-0000-0000EC640000}"/>
    <cellStyle name="Normal 231 2 3 3 2" xfId="25624" xr:uid="{00000000-0005-0000-0000-0000ED640000}"/>
    <cellStyle name="Normal 231 2 3 3 3" xfId="25625" xr:uid="{00000000-0005-0000-0000-0000EE640000}"/>
    <cellStyle name="Normal 231 2 3 4" xfId="25626" xr:uid="{00000000-0005-0000-0000-0000EF640000}"/>
    <cellStyle name="Normal 231 2 3 5" xfId="25627" xr:uid="{00000000-0005-0000-0000-0000F0640000}"/>
    <cellStyle name="Normal 231 2 3 6" xfId="25628" xr:uid="{00000000-0005-0000-0000-0000F1640000}"/>
    <cellStyle name="Normal 231 2 4" xfId="25629" xr:uid="{00000000-0005-0000-0000-0000F2640000}"/>
    <cellStyle name="Normal 231 2 4 2" xfId="25630" xr:uid="{00000000-0005-0000-0000-0000F3640000}"/>
    <cellStyle name="Normal 231 2 4 3" xfId="25631" xr:uid="{00000000-0005-0000-0000-0000F4640000}"/>
    <cellStyle name="Normal 231 2 5" xfId="25632" xr:uid="{00000000-0005-0000-0000-0000F5640000}"/>
    <cellStyle name="Normal 231 2 5 2" xfId="25633" xr:uid="{00000000-0005-0000-0000-0000F6640000}"/>
    <cellStyle name="Normal 231 2 5 3" xfId="25634" xr:uid="{00000000-0005-0000-0000-0000F7640000}"/>
    <cellStyle name="Normal 231 2 6" xfId="25635" xr:uid="{00000000-0005-0000-0000-0000F8640000}"/>
    <cellStyle name="Normal 231 2 7" xfId="25636" xr:uid="{00000000-0005-0000-0000-0000F9640000}"/>
    <cellStyle name="Normal 231 2 8" xfId="25637" xr:uid="{00000000-0005-0000-0000-0000FA640000}"/>
    <cellStyle name="Normal 231 2 9" xfId="25638" xr:uid="{00000000-0005-0000-0000-0000FB640000}"/>
    <cellStyle name="Normal 231 3" xfId="25639" xr:uid="{00000000-0005-0000-0000-0000FC640000}"/>
    <cellStyle name="Normal 231 3 2" xfId="25640" xr:uid="{00000000-0005-0000-0000-0000FD640000}"/>
    <cellStyle name="Normal 231 3 2 2" xfId="25641" xr:uid="{00000000-0005-0000-0000-0000FE640000}"/>
    <cellStyle name="Normal 231 3 2 2 2" xfId="25642" xr:uid="{00000000-0005-0000-0000-0000FF640000}"/>
    <cellStyle name="Normal 231 3 2 2 3" xfId="25643" xr:uid="{00000000-0005-0000-0000-000000650000}"/>
    <cellStyle name="Normal 231 3 2 3" xfId="25644" xr:uid="{00000000-0005-0000-0000-000001650000}"/>
    <cellStyle name="Normal 231 3 2 3 2" xfId="25645" xr:uid="{00000000-0005-0000-0000-000002650000}"/>
    <cellStyle name="Normal 231 3 2 3 3" xfId="25646" xr:uid="{00000000-0005-0000-0000-000003650000}"/>
    <cellStyle name="Normal 231 3 2 4" xfId="25647" xr:uid="{00000000-0005-0000-0000-000004650000}"/>
    <cellStyle name="Normal 231 3 2 5" xfId="25648" xr:uid="{00000000-0005-0000-0000-000005650000}"/>
    <cellStyle name="Normal 231 3 2 6" xfId="25649" xr:uid="{00000000-0005-0000-0000-000006650000}"/>
    <cellStyle name="Normal 231 3 3" xfId="25650" xr:uid="{00000000-0005-0000-0000-000007650000}"/>
    <cellStyle name="Normal 231 3 3 2" xfId="25651" xr:uid="{00000000-0005-0000-0000-000008650000}"/>
    <cellStyle name="Normal 231 3 3 3" xfId="25652" xr:uid="{00000000-0005-0000-0000-000009650000}"/>
    <cellStyle name="Normal 231 3 4" xfId="25653" xr:uid="{00000000-0005-0000-0000-00000A650000}"/>
    <cellStyle name="Normal 231 3 4 2" xfId="25654" xr:uid="{00000000-0005-0000-0000-00000B650000}"/>
    <cellStyle name="Normal 231 3 4 3" xfId="25655" xr:uid="{00000000-0005-0000-0000-00000C650000}"/>
    <cellStyle name="Normal 231 3 5" xfId="25656" xr:uid="{00000000-0005-0000-0000-00000D650000}"/>
    <cellStyle name="Normal 231 3 6" xfId="25657" xr:uid="{00000000-0005-0000-0000-00000E650000}"/>
    <cellStyle name="Normal 231 3 7" xfId="25658" xr:uid="{00000000-0005-0000-0000-00000F650000}"/>
    <cellStyle name="Normal 231 3 8" xfId="25659" xr:uid="{00000000-0005-0000-0000-000010650000}"/>
    <cellStyle name="Normal 231 4" xfId="25660" xr:uid="{00000000-0005-0000-0000-000011650000}"/>
    <cellStyle name="Normal 231 4 2" xfId="25661" xr:uid="{00000000-0005-0000-0000-000012650000}"/>
    <cellStyle name="Normal 231 4 2 2" xfId="25662" xr:uid="{00000000-0005-0000-0000-000013650000}"/>
    <cellStyle name="Normal 231 4 2 3" xfId="25663" xr:uid="{00000000-0005-0000-0000-000014650000}"/>
    <cellStyle name="Normal 231 4 3" xfId="25664" xr:uid="{00000000-0005-0000-0000-000015650000}"/>
    <cellStyle name="Normal 231 4 3 2" xfId="25665" xr:uid="{00000000-0005-0000-0000-000016650000}"/>
    <cellStyle name="Normal 231 4 3 3" xfId="25666" xr:uid="{00000000-0005-0000-0000-000017650000}"/>
    <cellStyle name="Normal 231 4 4" xfId="25667" xr:uid="{00000000-0005-0000-0000-000018650000}"/>
    <cellStyle name="Normal 231 4 5" xfId="25668" xr:uid="{00000000-0005-0000-0000-000019650000}"/>
    <cellStyle name="Normal 231 4 6" xfId="25669" xr:uid="{00000000-0005-0000-0000-00001A650000}"/>
    <cellStyle name="Normal 231 5" xfId="25670" xr:uid="{00000000-0005-0000-0000-00001B650000}"/>
    <cellStyle name="Normal 231 5 2" xfId="25671" xr:uid="{00000000-0005-0000-0000-00001C650000}"/>
    <cellStyle name="Normal 231 5 3" xfId="25672" xr:uid="{00000000-0005-0000-0000-00001D650000}"/>
    <cellStyle name="Normal 231 6" xfId="25673" xr:uid="{00000000-0005-0000-0000-00001E650000}"/>
    <cellStyle name="Normal 231 6 2" xfId="25674" xr:uid="{00000000-0005-0000-0000-00001F650000}"/>
    <cellStyle name="Normal 231 6 3" xfId="25675" xr:uid="{00000000-0005-0000-0000-000020650000}"/>
    <cellStyle name="Normal 231 7" xfId="25676" xr:uid="{00000000-0005-0000-0000-000021650000}"/>
    <cellStyle name="Normal 231 8" xfId="25677" xr:uid="{00000000-0005-0000-0000-000022650000}"/>
    <cellStyle name="Normal 231 9" xfId="25678" xr:uid="{00000000-0005-0000-0000-000023650000}"/>
    <cellStyle name="Normal 232" xfId="2661" xr:uid="{00000000-0005-0000-0000-000024650000}"/>
    <cellStyle name="Normal 232 10" xfId="25679" xr:uid="{00000000-0005-0000-0000-000025650000}"/>
    <cellStyle name="Normal 232 11" xfId="25680" xr:uid="{00000000-0005-0000-0000-000026650000}"/>
    <cellStyle name="Normal 232 12" xfId="25681" xr:uid="{00000000-0005-0000-0000-000027650000}"/>
    <cellStyle name="Normal 232 2" xfId="25682" xr:uid="{00000000-0005-0000-0000-000028650000}"/>
    <cellStyle name="Normal 232 2 2" xfId="25683" xr:uid="{00000000-0005-0000-0000-000029650000}"/>
    <cellStyle name="Normal 232 2 2 2" xfId="25684" xr:uid="{00000000-0005-0000-0000-00002A650000}"/>
    <cellStyle name="Normal 232 2 2 2 2" xfId="25685" xr:uid="{00000000-0005-0000-0000-00002B650000}"/>
    <cellStyle name="Normal 232 2 2 2 2 2" xfId="25686" xr:uid="{00000000-0005-0000-0000-00002C650000}"/>
    <cellStyle name="Normal 232 2 2 2 2 3" xfId="25687" xr:uid="{00000000-0005-0000-0000-00002D650000}"/>
    <cellStyle name="Normal 232 2 2 2 3" xfId="25688" xr:uid="{00000000-0005-0000-0000-00002E650000}"/>
    <cellStyle name="Normal 232 2 2 2 3 2" xfId="25689" xr:uid="{00000000-0005-0000-0000-00002F650000}"/>
    <cellStyle name="Normal 232 2 2 2 3 3" xfId="25690" xr:uid="{00000000-0005-0000-0000-000030650000}"/>
    <cellStyle name="Normal 232 2 2 2 4" xfId="25691" xr:uid="{00000000-0005-0000-0000-000031650000}"/>
    <cellStyle name="Normal 232 2 2 2 5" xfId="25692" xr:uid="{00000000-0005-0000-0000-000032650000}"/>
    <cellStyle name="Normal 232 2 2 2 6" xfId="25693" xr:uid="{00000000-0005-0000-0000-000033650000}"/>
    <cellStyle name="Normal 232 2 2 3" xfId="25694" xr:uid="{00000000-0005-0000-0000-000034650000}"/>
    <cellStyle name="Normal 232 2 2 3 2" xfId="25695" xr:uid="{00000000-0005-0000-0000-000035650000}"/>
    <cellStyle name="Normal 232 2 2 3 3" xfId="25696" xr:uid="{00000000-0005-0000-0000-000036650000}"/>
    <cellStyle name="Normal 232 2 2 4" xfId="25697" xr:uid="{00000000-0005-0000-0000-000037650000}"/>
    <cellStyle name="Normal 232 2 2 4 2" xfId="25698" xr:uid="{00000000-0005-0000-0000-000038650000}"/>
    <cellStyle name="Normal 232 2 2 4 3" xfId="25699" xr:uid="{00000000-0005-0000-0000-000039650000}"/>
    <cellStyle name="Normal 232 2 2 5" xfId="25700" xr:uid="{00000000-0005-0000-0000-00003A650000}"/>
    <cellStyle name="Normal 232 2 2 6" xfId="25701" xr:uid="{00000000-0005-0000-0000-00003B650000}"/>
    <cellStyle name="Normal 232 2 2 7" xfId="25702" xr:uid="{00000000-0005-0000-0000-00003C650000}"/>
    <cellStyle name="Normal 232 2 2 8" xfId="25703" xr:uid="{00000000-0005-0000-0000-00003D650000}"/>
    <cellStyle name="Normal 232 2 3" xfId="25704" xr:uid="{00000000-0005-0000-0000-00003E650000}"/>
    <cellStyle name="Normal 232 2 3 2" xfId="25705" xr:uid="{00000000-0005-0000-0000-00003F650000}"/>
    <cellStyle name="Normal 232 2 3 2 2" xfId="25706" xr:uid="{00000000-0005-0000-0000-000040650000}"/>
    <cellStyle name="Normal 232 2 3 2 3" xfId="25707" xr:uid="{00000000-0005-0000-0000-000041650000}"/>
    <cellStyle name="Normal 232 2 3 3" xfId="25708" xr:uid="{00000000-0005-0000-0000-000042650000}"/>
    <cellStyle name="Normal 232 2 3 3 2" xfId="25709" xr:uid="{00000000-0005-0000-0000-000043650000}"/>
    <cellStyle name="Normal 232 2 3 3 3" xfId="25710" xr:uid="{00000000-0005-0000-0000-000044650000}"/>
    <cellStyle name="Normal 232 2 3 4" xfId="25711" xr:uid="{00000000-0005-0000-0000-000045650000}"/>
    <cellStyle name="Normal 232 2 3 5" xfId="25712" xr:uid="{00000000-0005-0000-0000-000046650000}"/>
    <cellStyle name="Normal 232 2 3 6" xfId="25713" xr:uid="{00000000-0005-0000-0000-000047650000}"/>
    <cellStyle name="Normal 232 2 4" xfId="25714" xr:uid="{00000000-0005-0000-0000-000048650000}"/>
    <cellStyle name="Normal 232 2 4 2" xfId="25715" xr:uid="{00000000-0005-0000-0000-000049650000}"/>
    <cellStyle name="Normal 232 2 4 3" xfId="25716" xr:uid="{00000000-0005-0000-0000-00004A650000}"/>
    <cellStyle name="Normal 232 2 5" xfId="25717" xr:uid="{00000000-0005-0000-0000-00004B650000}"/>
    <cellStyle name="Normal 232 2 5 2" xfId="25718" xr:uid="{00000000-0005-0000-0000-00004C650000}"/>
    <cellStyle name="Normal 232 2 5 3" xfId="25719" xr:uid="{00000000-0005-0000-0000-00004D650000}"/>
    <cellStyle name="Normal 232 2 6" xfId="25720" xr:uid="{00000000-0005-0000-0000-00004E650000}"/>
    <cellStyle name="Normal 232 2 7" xfId="25721" xr:uid="{00000000-0005-0000-0000-00004F650000}"/>
    <cellStyle name="Normal 232 2 8" xfId="25722" xr:uid="{00000000-0005-0000-0000-000050650000}"/>
    <cellStyle name="Normal 232 2 9" xfId="25723" xr:uid="{00000000-0005-0000-0000-000051650000}"/>
    <cellStyle name="Normal 232 3" xfId="25724" xr:uid="{00000000-0005-0000-0000-000052650000}"/>
    <cellStyle name="Normal 232 3 2" xfId="25725" xr:uid="{00000000-0005-0000-0000-000053650000}"/>
    <cellStyle name="Normal 232 3 2 2" xfId="25726" xr:uid="{00000000-0005-0000-0000-000054650000}"/>
    <cellStyle name="Normal 232 3 2 2 2" xfId="25727" xr:uid="{00000000-0005-0000-0000-000055650000}"/>
    <cellStyle name="Normal 232 3 2 2 3" xfId="25728" xr:uid="{00000000-0005-0000-0000-000056650000}"/>
    <cellStyle name="Normal 232 3 2 3" xfId="25729" xr:uid="{00000000-0005-0000-0000-000057650000}"/>
    <cellStyle name="Normal 232 3 2 3 2" xfId="25730" xr:uid="{00000000-0005-0000-0000-000058650000}"/>
    <cellStyle name="Normal 232 3 2 3 3" xfId="25731" xr:uid="{00000000-0005-0000-0000-000059650000}"/>
    <cellStyle name="Normal 232 3 2 4" xfId="25732" xr:uid="{00000000-0005-0000-0000-00005A650000}"/>
    <cellStyle name="Normal 232 3 2 5" xfId="25733" xr:uid="{00000000-0005-0000-0000-00005B650000}"/>
    <cellStyle name="Normal 232 3 2 6" xfId="25734" xr:uid="{00000000-0005-0000-0000-00005C650000}"/>
    <cellStyle name="Normal 232 3 3" xfId="25735" xr:uid="{00000000-0005-0000-0000-00005D650000}"/>
    <cellStyle name="Normal 232 3 3 2" xfId="25736" xr:uid="{00000000-0005-0000-0000-00005E650000}"/>
    <cellStyle name="Normal 232 3 3 3" xfId="25737" xr:uid="{00000000-0005-0000-0000-00005F650000}"/>
    <cellStyle name="Normal 232 3 4" xfId="25738" xr:uid="{00000000-0005-0000-0000-000060650000}"/>
    <cellStyle name="Normal 232 3 4 2" xfId="25739" xr:uid="{00000000-0005-0000-0000-000061650000}"/>
    <cellStyle name="Normal 232 3 4 3" xfId="25740" xr:uid="{00000000-0005-0000-0000-000062650000}"/>
    <cellStyle name="Normal 232 3 5" xfId="25741" xr:uid="{00000000-0005-0000-0000-000063650000}"/>
    <cellStyle name="Normal 232 3 6" xfId="25742" xr:uid="{00000000-0005-0000-0000-000064650000}"/>
    <cellStyle name="Normal 232 3 7" xfId="25743" xr:uid="{00000000-0005-0000-0000-000065650000}"/>
    <cellStyle name="Normal 232 3 8" xfId="25744" xr:uid="{00000000-0005-0000-0000-000066650000}"/>
    <cellStyle name="Normal 232 4" xfId="25745" xr:uid="{00000000-0005-0000-0000-000067650000}"/>
    <cellStyle name="Normal 232 4 2" xfId="25746" xr:uid="{00000000-0005-0000-0000-000068650000}"/>
    <cellStyle name="Normal 232 4 2 2" xfId="25747" xr:uid="{00000000-0005-0000-0000-000069650000}"/>
    <cellStyle name="Normal 232 4 2 3" xfId="25748" xr:uid="{00000000-0005-0000-0000-00006A650000}"/>
    <cellStyle name="Normal 232 4 3" xfId="25749" xr:uid="{00000000-0005-0000-0000-00006B650000}"/>
    <cellStyle name="Normal 232 4 3 2" xfId="25750" xr:uid="{00000000-0005-0000-0000-00006C650000}"/>
    <cellStyle name="Normal 232 4 3 3" xfId="25751" xr:uid="{00000000-0005-0000-0000-00006D650000}"/>
    <cellStyle name="Normal 232 4 4" xfId="25752" xr:uid="{00000000-0005-0000-0000-00006E650000}"/>
    <cellStyle name="Normal 232 4 5" xfId="25753" xr:uid="{00000000-0005-0000-0000-00006F650000}"/>
    <cellStyle name="Normal 232 4 6" xfId="25754" xr:uid="{00000000-0005-0000-0000-000070650000}"/>
    <cellStyle name="Normal 232 5" xfId="25755" xr:uid="{00000000-0005-0000-0000-000071650000}"/>
    <cellStyle name="Normal 232 5 2" xfId="25756" xr:uid="{00000000-0005-0000-0000-000072650000}"/>
    <cellStyle name="Normal 232 5 3" xfId="25757" xr:uid="{00000000-0005-0000-0000-000073650000}"/>
    <cellStyle name="Normal 232 6" xfId="25758" xr:uid="{00000000-0005-0000-0000-000074650000}"/>
    <cellStyle name="Normal 232 6 2" xfId="25759" xr:uid="{00000000-0005-0000-0000-000075650000}"/>
    <cellStyle name="Normal 232 6 3" xfId="25760" xr:uid="{00000000-0005-0000-0000-000076650000}"/>
    <cellStyle name="Normal 232 7" xfId="25761" xr:uid="{00000000-0005-0000-0000-000077650000}"/>
    <cellStyle name="Normal 232 8" xfId="25762" xr:uid="{00000000-0005-0000-0000-000078650000}"/>
    <cellStyle name="Normal 232 9" xfId="25763" xr:uid="{00000000-0005-0000-0000-000079650000}"/>
    <cellStyle name="Normal 233" xfId="2662" xr:uid="{00000000-0005-0000-0000-00007A650000}"/>
    <cellStyle name="Normal 233 10" xfId="25764" xr:uid="{00000000-0005-0000-0000-00007B650000}"/>
    <cellStyle name="Normal 233 11" xfId="25765" xr:uid="{00000000-0005-0000-0000-00007C650000}"/>
    <cellStyle name="Normal 233 12" xfId="25766" xr:uid="{00000000-0005-0000-0000-00007D650000}"/>
    <cellStyle name="Normal 233 2" xfId="25767" xr:uid="{00000000-0005-0000-0000-00007E650000}"/>
    <cellStyle name="Normal 233 2 2" xfId="25768" xr:uid="{00000000-0005-0000-0000-00007F650000}"/>
    <cellStyle name="Normal 233 2 2 2" xfId="25769" xr:uid="{00000000-0005-0000-0000-000080650000}"/>
    <cellStyle name="Normal 233 2 2 2 2" xfId="25770" xr:uid="{00000000-0005-0000-0000-000081650000}"/>
    <cellStyle name="Normal 233 2 2 2 2 2" xfId="25771" xr:uid="{00000000-0005-0000-0000-000082650000}"/>
    <cellStyle name="Normal 233 2 2 2 2 3" xfId="25772" xr:uid="{00000000-0005-0000-0000-000083650000}"/>
    <cellStyle name="Normal 233 2 2 2 3" xfId="25773" xr:uid="{00000000-0005-0000-0000-000084650000}"/>
    <cellStyle name="Normal 233 2 2 2 3 2" xfId="25774" xr:uid="{00000000-0005-0000-0000-000085650000}"/>
    <cellStyle name="Normal 233 2 2 2 3 3" xfId="25775" xr:uid="{00000000-0005-0000-0000-000086650000}"/>
    <cellStyle name="Normal 233 2 2 2 4" xfId="25776" xr:uid="{00000000-0005-0000-0000-000087650000}"/>
    <cellStyle name="Normal 233 2 2 2 5" xfId="25777" xr:uid="{00000000-0005-0000-0000-000088650000}"/>
    <cellStyle name="Normal 233 2 2 2 6" xfId="25778" xr:uid="{00000000-0005-0000-0000-000089650000}"/>
    <cellStyle name="Normal 233 2 2 3" xfId="25779" xr:uid="{00000000-0005-0000-0000-00008A650000}"/>
    <cellStyle name="Normal 233 2 2 3 2" xfId="25780" xr:uid="{00000000-0005-0000-0000-00008B650000}"/>
    <cellStyle name="Normal 233 2 2 3 3" xfId="25781" xr:uid="{00000000-0005-0000-0000-00008C650000}"/>
    <cellStyle name="Normal 233 2 2 4" xfId="25782" xr:uid="{00000000-0005-0000-0000-00008D650000}"/>
    <cellStyle name="Normal 233 2 2 4 2" xfId="25783" xr:uid="{00000000-0005-0000-0000-00008E650000}"/>
    <cellStyle name="Normal 233 2 2 4 3" xfId="25784" xr:uid="{00000000-0005-0000-0000-00008F650000}"/>
    <cellStyle name="Normal 233 2 2 5" xfId="25785" xr:uid="{00000000-0005-0000-0000-000090650000}"/>
    <cellStyle name="Normal 233 2 2 6" xfId="25786" xr:uid="{00000000-0005-0000-0000-000091650000}"/>
    <cellStyle name="Normal 233 2 2 7" xfId="25787" xr:uid="{00000000-0005-0000-0000-000092650000}"/>
    <cellStyle name="Normal 233 2 2 8" xfId="25788" xr:uid="{00000000-0005-0000-0000-000093650000}"/>
    <cellStyle name="Normal 233 2 3" xfId="25789" xr:uid="{00000000-0005-0000-0000-000094650000}"/>
    <cellStyle name="Normal 233 2 3 2" xfId="25790" xr:uid="{00000000-0005-0000-0000-000095650000}"/>
    <cellStyle name="Normal 233 2 3 2 2" xfId="25791" xr:uid="{00000000-0005-0000-0000-000096650000}"/>
    <cellStyle name="Normal 233 2 3 2 3" xfId="25792" xr:uid="{00000000-0005-0000-0000-000097650000}"/>
    <cellStyle name="Normal 233 2 3 3" xfId="25793" xr:uid="{00000000-0005-0000-0000-000098650000}"/>
    <cellStyle name="Normal 233 2 3 3 2" xfId="25794" xr:uid="{00000000-0005-0000-0000-000099650000}"/>
    <cellStyle name="Normal 233 2 3 3 3" xfId="25795" xr:uid="{00000000-0005-0000-0000-00009A650000}"/>
    <cellStyle name="Normal 233 2 3 4" xfId="25796" xr:uid="{00000000-0005-0000-0000-00009B650000}"/>
    <cellStyle name="Normal 233 2 3 5" xfId="25797" xr:uid="{00000000-0005-0000-0000-00009C650000}"/>
    <cellStyle name="Normal 233 2 3 6" xfId="25798" xr:uid="{00000000-0005-0000-0000-00009D650000}"/>
    <cellStyle name="Normal 233 2 4" xfId="25799" xr:uid="{00000000-0005-0000-0000-00009E650000}"/>
    <cellStyle name="Normal 233 2 4 2" xfId="25800" xr:uid="{00000000-0005-0000-0000-00009F650000}"/>
    <cellStyle name="Normal 233 2 4 3" xfId="25801" xr:uid="{00000000-0005-0000-0000-0000A0650000}"/>
    <cellStyle name="Normal 233 2 5" xfId="25802" xr:uid="{00000000-0005-0000-0000-0000A1650000}"/>
    <cellStyle name="Normal 233 2 5 2" xfId="25803" xr:uid="{00000000-0005-0000-0000-0000A2650000}"/>
    <cellStyle name="Normal 233 2 5 3" xfId="25804" xr:uid="{00000000-0005-0000-0000-0000A3650000}"/>
    <cellStyle name="Normal 233 2 6" xfId="25805" xr:uid="{00000000-0005-0000-0000-0000A4650000}"/>
    <cellStyle name="Normal 233 2 7" xfId="25806" xr:uid="{00000000-0005-0000-0000-0000A5650000}"/>
    <cellStyle name="Normal 233 2 8" xfId="25807" xr:uid="{00000000-0005-0000-0000-0000A6650000}"/>
    <cellStyle name="Normal 233 2 9" xfId="25808" xr:uid="{00000000-0005-0000-0000-0000A7650000}"/>
    <cellStyle name="Normal 233 3" xfId="25809" xr:uid="{00000000-0005-0000-0000-0000A8650000}"/>
    <cellStyle name="Normal 233 3 2" xfId="25810" xr:uid="{00000000-0005-0000-0000-0000A9650000}"/>
    <cellStyle name="Normal 233 3 2 2" xfId="25811" xr:uid="{00000000-0005-0000-0000-0000AA650000}"/>
    <cellStyle name="Normal 233 3 2 2 2" xfId="25812" xr:uid="{00000000-0005-0000-0000-0000AB650000}"/>
    <cellStyle name="Normal 233 3 2 2 3" xfId="25813" xr:uid="{00000000-0005-0000-0000-0000AC650000}"/>
    <cellStyle name="Normal 233 3 2 3" xfId="25814" xr:uid="{00000000-0005-0000-0000-0000AD650000}"/>
    <cellStyle name="Normal 233 3 2 3 2" xfId="25815" xr:uid="{00000000-0005-0000-0000-0000AE650000}"/>
    <cellStyle name="Normal 233 3 2 3 3" xfId="25816" xr:uid="{00000000-0005-0000-0000-0000AF650000}"/>
    <cellStyle name="Normal 233 3 2 4" xfId="25817" xr:uid="{00000000-0005-0000-0000-0000B0650000}"/>
    <cellStyle name="Normal 233 3 2 5" xfId="25818" xr:uid="{00000000-0005-0000-0000-0000B1650000}"/>
    <cellStyle name="Normal 233 3 2 6" xfId="25819" xr:uid="{00000000-0005-0000-0000-0000B2650000}"/>
    <cellStyle name="Normal 233 3 3" xfId="25820" xr:uid="{00000000-0005-0000-0000-0000B3650000}"/>
    <cellStyle name="Normal 233 3 3 2" xfId="25821" xr:uid="{00000000-0005-0000-0000-0000B4650000}"/>
    <cellStyle name="Normal 233 3 3 3" xfId="25822" xr:uid="{00000000-0005-0000-0000-0000B5650000}"/>
    <cellStyle name="Normal 233 3 4" xfId="25823" xr:uid="{00000000-0005-0000-0000-0000B6650000}"/>
    <cellStyle name="Normal 233 3 4 2" xfId="25824" xr:uid="{00000000-0005-0000-0000-0000B7650000}"/>
    <cellStyle name="Normal 233 3 4 3" xfId="25825" xr:uid="{00000000-0005-0000-0000-0000B8650000}"/>
    <cellStyle name="Normal 233 3 5" xfId="25826" xr:uid="{00000000-0005-0000-0000-0000B9650000}"/>
    <cellStyle name="Normal 233 3 6" xfId="25827" xr:uid="{00000000-0005-0000-0000-0000BA650000}"/>
    <cellStyle name="Normal 233 3 7" xfId="25828" xr:uid="{00000000-0005-0000-0000-0000BB650000}"/>
    <cellStyle name="Normal 233 3 8" xfId="25829" xr:uid="{00000000-0005-0000-0000-0000BC650000}"/>
    <cellStyle name="Normal 233 4" xfId="25830" xr:uid="{00000000-0005-0000-0000-0000BD650000}"/>
    <cellStyle name="Normal 233 4 2" xfId="25831" xr:uid="{00000000-0005-0000-0000-0000BE650000}"/>
    <cellStyle name="Normal 233 4 2 2" xfId="25832" xr:uid="{00000000-0005-0000-0000-0000BF650000}"/>
    <cellStyle name="Normal 233 4 2 3" xfId="25833" xr:uid="{00000000-0005-0000-0000-0000C0650000}"/>
    <cellStyle name="Normal 233 4 3" xfId="25834" xr:uid="{00000000-0005-0000-0000-0000C1650000}"/>
    <cellStyle name="Normal 233 4 3 2" xfId="25835" xr:uid="{00000000-0005-0000-0000-0000C2650000}"/>
    <cellStyle name="Normal 233 4 3 3" xfId="25836" xr:uid="{00000000-0005-0000-0000-0000C3650000}"/>
    <cellStyle name="Normal 233 4 4" xfId="25837" xr:uid="{00000000-0005-0000-0000-0000C4650000}"/>
    <cellStyle name="Normal 233 4 5" xfId="25838" xr:uid="{00000000-0005-0000-0000-0000C5650000}"/>
    <cellStyle name="Normal 233 4 6" xfId="25839" xr:uid="{00000000-0005-0000-0000-0000C6650000}"/>
    <cellStyle name="Normal 233 5" xfId="25840" xr:uid="{00000000-0005-0000-0000-0000C7650000}"/>
    <cellStyle name="Normal 233 5 2" xfId="25841" xr:uid="{00000000-0005-0000-0000-0000C8650000}"/>
    <cellStyle name="Normal 233 5 3" xfId="25842" xr:uid="{00000000-0005-0000-0000-0000C9650000}"/>
    <cellStyle name="Normal 233 6" xfId="25843" xr:uid="{00000000-0005-0000-0000-0000CA650000}"/>
    <cellStyle name="Normal 233 6 2" xfId="25844" xr:uid="{00000000-0005-0000-0000-0000CB650000}"/>
    <cellStyle name="Normal 233 6 3" xfId="25845" xr:uid="{00000000-0005-0000-0000-0000CC650000}"/>
    <cellStyle name="Normal 233 7" xfId="25846" xr:uid="{00000000-0005-0000-0000-0000CD650000}"/>
    <cellStyle name="Normal 233 8" xfId="25847" xr:uid="{00000000-0005-0000-0000-0000CE650000}"/>
    <cellStyle name="Normal 233 9" xfId="25848" xr:uid="{00000000-0005-0000-0000-0000CF650000}"/>
    <cellStyle name="Normal 234" xfId="2663" xr:uid="{00000000-0005-0000-0000-0000D0650000}"/>
    <cellStyle name="Normal 234 10" xfId="25849" xr:uid="{00000000-0005-0000-0000-0000D1650000}"/>
    <cellStyle name="Normal 234 11" xfId="25850" xr:uid="{00000000-0005-0000-0000-0000D2650000}"/>
    <cellStyle name="Normal 234 12" xfId="25851" xr:uid="{00000000-0005-0000-0000-0000D3650000}"/>
    <cellStyle name="Normal 234 2" xfId="2664" xr:uid="{00000000-0005-0000-0000-0000D4650000}"/>
    <cellStyle name="Normal 234 2 10" xfId="25852" xr:uid="{00000000-0005-0000-0000-0000D5650000}"/>
    <cellStyle name="Normal 234 2 2" xfId="25853" xr:uid="{00000000-0005-0000-0000-0000D6650000}"/>
    <cellStyle name="Normal 234 2 2 2" xfId="25854" xr:uid="{00000000-0005-0000-0000-0000D7650000}"/>
    <cellStyle name="Normal 234 2 2 2 2" xfId="25855" xr:uid="{00000000-0005-0000-0000-0000D8650000}"/>
    <cellStyle name="Normal 234 2 2 2 2 2" xfId="25856" xr:uid="{00000000-0005-0000-0000-0000D9650000}"/>
    <cellStyle name="Normal 234 2 2 2 2 3" xfId="25857" xr:uid="{00000000-0005-0000-0000-0000DA650000}"/>
    <cellStyle name="Normal 234 2 2 2 3" xfId="25858" xr:uid="{00000000-0005-0000-0000-0000DB650000}"/>
    <cellStyle name="Normal 234 2 2 2 3 2" xfId="25859" xr:uid="{00000000-0005-0000-0000-0000DC650000}"/>
    <cellStyle name="Normal 234 2 2 2 3 3" xfId="25860" xr:uid="{00000000-0005-0000-0000-0000DD650000}"/>
    <cellStyle name="Normal 234 2 2 2 4" xfId="25861" xr:uid="{00000000-0005-0000-0000-0000DE650000}"/>
    <cellStyle name="Normal 234 2 2 2 5" xfId="25862" xr:uid="{00000000-0005-0000-0000-0000DF650000}"/>
    <cellStyle name="Normal 234 2 2 2 6" xfId="25863" xr:uid="{00000000-0005-0000-0000-0000E0650000}"/>
    <cellStyle name="Normal 234 2 2 3" xfId="25864" xr:uid="{00000000-0005-0000-0000-0000E1650000}"/>
    <cellStyle name="Normal 234 2 2 3 2" xfId="25865" xr:uid="{00000000-0005-0000-0000-0000E2650000}"/>
    <cellStyle name="Normal 234 2 2 3 3" xfId="25866" xr:uid="{00000000-0005-0000-0000-0000E3650000}"/>
    <cellStyle name="Normal 234 2 2 4" xfId="25867" xr:uid="{00000000-0005-0000-0000-0000E4650000}"/>
    <cellStyle name="Normal 234 2 2 4 2" xfId="25868" xr:uid="{00000000-0005-0000-0000-0000E5650000}"/>
    <cellStyle name="Normal 234 2 2 4 3" xfId="25869" xr:uid="{00000000-0005-0000-0000-0000E6650000}"/>
    <cellStyle name="Normal 234 2 2 5" xfId="25870" xr:uid="{00000000-0005-0000-0000-0000E7650000}"/>
    <cellStyle name="Normal 234 2 2 6" xfId="25871" xr:uid="{00000000-0005-0000-0000-0000E8650000}"/>
    <cellStyle name="Normal 234 2 2 7" xfId="25872" xr:uid="{00000000-0005-0000-0000-0000E9650000}"/>
    <cellStyle name="Normal 234 2 2 8" xfId="25873" xr:uid="{00000000-0005-0000-0000-0000EA650000}"/>
    <cellStyle name="Normal 234 2 3" xfId="25874" xr:uid="{00000000-0005-0000-0000-0000EB650000}"/>
    <cellStyle name="Normal 234 2 3 2" xfId="25875" xr:uid="{00000000-0005-0000-0000-0000EC650000}"/>
    <cellStyle name="Normal 234 2 3 2 2" xfId="25876" xr:uid="{00000000-0005-0000-0000-0000ED650000}"/>
    <cellStyle name="Normal 234 2 3 2 3" xfId="25877" xr:uid="{00000000-0005-0000-0000-0000EE650000}"/>
    <cellStyle name="Normal 234 2 3 3" xfId="25878" xr:uid="{00000000-0005-0000-0000-0000EF650000}"/>
    <cellStyle name="Normal 234 2 3 3 2" xfId="25879" xr:uid="{00000000-0005-0000-0000-0000F0650000}"/>
    <cellStyle name="Normal 234 2 3 3 3" xfId="25880" xr:uid="{00000000-0005-0000-0000-0000F1650000}"/>
    <cellStyle name="Normal 234 2 3 4" xfId="25881" xr:uid="{00000000-0005-0000-0000-0000F2650000}"/>
    <cellStyle name="Normal 234 2 3 5" xfId="25882" xr:uid="{00000000-0005-0000-0000-0000F3650000}"/>
    <cellStyle name="Normal 234 2 3 6" xfId="25883" xr:uid="{00000000-0005-0000-0000-0000F4650000}"/>
    <cellStyle name="Normal 234 2 4" xfId="25884" xr:uid="{00000000-0005-0000-0000-0000F5650000}"/>
    <cellStyle name="Normal 234 2 4 2" xfId="25885" xr:uid="{00000000-0005-0000-0000-0000F6650000}"/>
    <cellStyle name="Normal 234 2 4 3" xfId="25886" xr:uid="{00000000-0005-0000-0000-0000F7650000}"/>
    <cellStyle name="Normal 234 2 5" xfId="25887" xr:uid="{00000000-0005-0000-0000-0000F8650000}"/>
    <cellStyle name="Normal 234 2 5 2" xfId="25888" xr:uid="{00000000-0005-0000-0000-0000F9650000}"/>
    <cellStyle name="Normal 234 2 5 3" xfId="25889" xr:uid="{00000000-0005-0000-0000-0000FA650000}"/>
    <cellStyle name="Normal 234 2 6" xfId="25890" xr:uid="{00000000-0005-0000-0000-0000FB650000}"/>
    <cellStyle name="Normal 234 2 7" xfId="25891" xr:uid="{00000000-0005-0000-0000-0000FC650000}"/>
    <cellStyle name="Normal 234 2 8" xfId="25892" xr:uid="{00000000-0005-0000-0000-0000FD650000}"/>
    <cellStyle name="Normal 234 2 9" xfId="25893" xr:uid="{00000000-0005-0000-0000-0000FE650000}"/>
    <cellStyle name="Normal 234 3" xfId="25894" xr:uid="{00000000-0005-0000-0000-0000FF650000}"/>
    <cellStyle name="Normal 234 3 2" xfId="25895" xr:uid="{00000000-0005-0000-0000-000000660000}"/>
    <cellStyle name="Normal 234 3 2 2" xfId="25896" xr:uid="{00000000-0005-0000-0000-000001660000}"/>
    <cellStyle name="Normal 234 3 2 2 2" xfId="25897" xr:uid="{00000000-0005-0000-0000-000002660000}"/>
    <cellStyle name="Normal 234 3 2 2 3" xfId="25898" xr:uid="{00000000-0005-0000-0000-000003660000}"/>
    <cellStyle name="Normal 234 3 2 3" xfId="25899" xr:uid="{00000000-0005-0000-0000-000004660000}"/>
    <cellStyle name="Normal 234 3 2 3 2" xfId="25900" xr:uid="{00000000-0005-0000-0000-000005660000}"/>
    <cellStyle name="Normal 234 3 2 3 3" xfId="25901" xr:uid="{00000000-0005-0000-0000-000006660000}"/>
    <cellStyle name="Normal 234 3 2 4" xfId="25902" xr:uid="{00000000-0005-0000-0000-000007660000}"/>
    <cellStyle name="Normal 234 3 2 5" xfId="25903" xr:uid="{00000000-0005-0000-0000-000008660000}"/>
    <cellStyle name="Normal 234 3 2 6" xfId="25904" xr:uid="{00000000-0005-0000-0000-000009660000}"/>
    <cellStyle name="Normal 234 3 3" xfId="25905" xr:uid="{00000000-0005-0000-0000-00000A660000}"/>
    <cellStyle name="Normal 234 3 3 2" xfId="25906" xr:uid="{00000000-0005-0000-0000-00000B660000}"/>
    <cellStyle name="Normal 234 3 3 3" xfId="25907" xr:uid="{00000000-0005-0000-0000-00000C660000}"/>
    <cellStyle name="Normal 234 3 4" xfId="25908" xr:uid="{00000000-0005-0000-0000-00000D660000}"/>
    <cellStyle name="Normal 234 3 4 2" xfId="25909" xr:uid="{00000000-0005-0000-0000-00000E660000}"/>
    <cellStyle name="Normal 234 3 4 3" xfId="25910" xr:uid="{00000000-0005-0000-0000-00000F660000}"/>
    <cellStyle name="Normal 234 3 5" xfId="25911" xr:uid="{00000000-0005-0000-0000-000010660000}"/>
    <cellStyle name="Normal 234 3 6" xfId="25912" xr:uid="{00000000-0005-0000-0000-000011660000}"/>
    <cellStyle name="Normal 234 3 7" xfId="25913" xr:uid="{00000000-0005-0000-0000-000012660000}"/>
    <cellStyle name="Normal 234 3 8" xfId="25914" xr:uid="{00000000-0005-0000-0000-000013660000}"/>
    <cellStyle name="Normal 234 4" xfId="25915" xr:uid="{00000000-0005-0000-0000-000014660000}"/>
    <cellStyle name="Normal 234 4 2" xfId="25916" xr:uid="{00000000-0005-0000-0000-000015660000}"/>
    <cellStyle name="Normal 234 4 2 2" xfId="25917" xr:uid="{00000000-0005-0000-0000-000016660000}"/>
    <cellStyle name="Normal 234 4 2 3" xfId="25918" xr:uid="{00000000-0005-0000-0000-000017660000}"/>
    <cellStyle name="Normal 234 4 3" xfId="25919" xr:uid="{00000000-0005-0000-0000-000018660000}"/>
    <cellStyle name="Normal 234 4 3 2" xfId="25920" xr:uid="{00000000-0005-0000-0000-000019660000}"/>
    <cellStyle name="Normal 234 4 3 3" xfId="25921" xr:uid="{00000000-0005-0000-0000-00001A660000}"/>
    <cellStyle name="Normal 234 4 4" xfId="25922" xr:uid="{00000000-0005-0000-0000-00001B660000}"/>
    <cellStyle name="Normal 234 4 5" xfId="25923" xr:uid="{00000000-0005-0000-0000-00001C660000}"/>
    <cellStyle name="Normal 234 4 6" xfId="25924" xr:uid="{00000000-0005-0000-0000-00001D660000}"/>
    <cellStyle name="Normal 234 5" xfId="25925" xr:uid="{00000000-0005-0000-0000-00001E660000}"/>
    <cellStyle name="Normal 234 5 2" xfId="25926" xr:uid="{00000000-0005-0000-0000-00001F660000}"/>
    <cellStyle name="Normal 234 5 3" xfId="25927" xr:uid="{00000000-0005-0000-0000-000020660000}"/>
    <cellStyle name="Normal 234 6" xfId="25928" xr:uid="{00000000-0005-0000-0000-000021660000}"/>
    <cellStyle name="Normal 234 6 2" xfId="25929" xr:uid="{00000000-0005-0000-0000-000022660000}"/>
    <cellStyle name="Normal 234 6 3" xfId="25930" xr:uid="{00000000-0005-0000-0000-000023660000}"/>
    <cellStyle name="Normal 234 7" xfId="25931" xr:uid="{00000000-0005-0000-0000-000024660000}"/>
    <cellStyle name="Normal 234 8" xfId="25932" xr:uid="{00000000-0005-0000-0000-000025660000}"/>
    <cellStyle name="Normal 234 9" xfId="25933" xr:uid="{00000000-0005-0000-0000-000026660000}"/>
    <cellStyle name="Normal 235" xfId="2665" xr:uid="{00000000-0005-0000-0000-000027660000}"/>
    <cellStyle name="Normal 235 10" xfId="25934" xr:uid="{00000000-0005-0000-0000-000028660000}"/>
    <cellStyle name="Normal 235 11" xfId="25935" xr:uid="{00000000-0005-0000-0000-000029660000}"/>
    <cellStyle name="Normal 235 12" xfId="25936" xr:uid="{00000000-0005-0000-0000-00002A660000}"/>
    <cellStyle name="Normal 235 2" xfId="25937" xr:uid="{00000000-0005-0000-0000-00002B660000}"/>
    <cellStyle name="Normal 235 2 2" xfId="25938" xr:uid="{00000000-0005-0000-0000-00002C660000}"/>
    <cellStyle name="Normal 235 2 2 2" xfId="25939" xr:uid="{00000000-0005-0000-0000-00002D660000}"/>
    <cellStyle name="Normal 235 2 2 2 2" xfId="25940" xr:uid="{00000000-0005-0000-0000-00002E660000}"/>
    <cellStyle name="Normal 235 2 2 2 2 2" xfId="25941" xr:uid="{00000000-0005-0000-0000-00002F660000}"/>
    <cellStyle name="Normal 235 2 2 2 2 3" xfId="25942" xr:uid="{00000000-0005-0000-0000-000030660000}"/>
    <cellStyle name="Normal 235 2 2 2 3" xfId="25943" xr:uid="{00000000-0005-0000-0000-000031660000}"/>
    <cellStyle name="Normal 235 2 2 2 3 2" xfId="25944" xr:uid="{00000000-0005-0000-0000-000032660000}"/>
    <cellStyle name="Normal 235 2 2 2 3 3" xfId="25945" xr:uid="{00000000-0005-0000-0000-000033660000}"/>
    <cellStyle name="Normal 235 2 2 2 4" xfId="25946" xr:uid="{00000000-0005-0000-0000-000034660000}"/>
    <cellStyle name="Normal 235 2 2 2 5" xfId="25947" xr:uid="{00000000-0005-0000-0000-000035660000}"/>
    <cellStyle name="Normal 235 2 2 2 6" xfId="25948" xr:uid="{00000000-0005-0000-0000-000036660000}"/>
    <cellStyle name="Normal 235 2 2 3" xfId="25949" xr:uid="{00000000-0005-0000-0000-000037660000}"/>
    <cellStyle name="Normal 235 2 2 3 2" xfId="25950" xr:uid="{00000000-0005-0000-0000-000038660000}"/>
    <cellStyle name="Normal 235 2 2 3 3" xfId="25951" xr:uid="{00000000-0005-0000-0000-000039660000}"/>
    <cellStyle name="Normal 235 2 2 4" xfId="25952" xr:uid="{00000000-0005-0000-0000-00003A660000}"/>
    <cellStyle name="Normal 235 2 2 4 2" xfId="25953" xr:uid="{00000000-0005-0000-0000-00003B660000}"/>
    <cellStyle name="Normal 235 2 2 4 3" xfId="25954" xr:uid="{00000000-0005-0000-0000-00003C660000}"/>
    <cellStyle name="Normal 235 2 2 5" xfId="25955" xr:uid="{00000000-0005-0000-0000-00003D660000}"/>
    <cellStyle name="Normal 235 2 2 6" xfId="25956" xr:uid="{00000000-0005-0000-0000-00003E660000}"/>
    <cellStyle name="Normal 235 2 2 7" xfId="25957" xr:uid="{00000000-0005-0000-0000-00003F660000}"/>
    <cellStyle name="Normal 235 2 2 8" xfId="25958" xr:uid="{00000000-0005-0000-0000-000040660000}"/>
    <cellStyle name="Normal 235 2 3" xfId="25959" xr:uid="{00000000-0005-0000-0000-000041660000}"/>
    <cellStyle name="Normal 235 2 3 2" xfId="25960" xr:uid="{00000000-0005-0000-0000-000042660000}"/>
    <cellStyle name="Normal 235 2 3 2 2" xfId="25961" xr:uid="{00000000-0005-0000-0000-000043660000}"/>
    <cellStyle name="Normal 235 2 3 2 3" xfId="25962" xr:uid="{00000000-0005-0000-0000-000044660000}"/>
    <cellStyle name="Normal 235 2 3 3" xfId="25963" xr:uid="{00000000-0005-0000-0000-000045660000}"/>
    <cellStyle name="Normal 235 2 3 3 2" xfId="25964" xr:uid="{00000000-0005-0000-0000-000046660000}"/>
    <cellStyle name="Normal 235 2 3 3 3" xfId="25965" xr:uid="{00000000-0005-0000-0000-000047660000}"/>
    <cellStyle name="Normal 235 2 3 4" xfId="25966" xr:uid="{00000000-0005-0000-0000-000048660000}"/>
    <cellStyle name="Normal 235 2 3 5" xfId="25967" xr:uid="{00000000-0005-0000-0000-000049660000}"/>
    <cellStyle name="Normal 235 2 3 6" xfId="25968" xr:uid="{00000000-0005-0000-0000-00004A660000}"/>
    <cellStyle name="Normal 235 2 4" xfId="25969" xr:uid="{00000000-0005-0000-0000-00004B660000}"/>
    <cellStyle name="Normal 235 2 4 2" xfId="25970" xr:uid="{00000000-0005-0000-0000-00004C660000}"/>
    <cellStyle name="Normal 235 2 4 3" xfId="25971" xr:uid="{00000000-0005-0000-0000-00004D660000}"/>
    <cellStyle name="Normal 235 2 5" xfId="25972" xr:uid="{00000000-0005-0000-0000-00004E660000}"/>
    <cellStyle name="Normal 235 2 5 2" xfId="25973" xr:uid="{00000000-0005-0000-0000-00004F660000}"/>
    <cellStyle name="Normal 235 2 5 3" xfId="25974" xr:uid="{00000000-0005-0000-0000-000050660000}"/>
    <cellStyle name="Normal 235 2 6" xfId="25975" xr:uid="{00000000-0005-0000-0000-000051660000}"/>
    <cellStyle name="Normal 235 2 7" xfId="25976" xr:uid="{00000000-0005-0000-0000-000052660000}"/>
    <cellStyle name="Normal 235 2 8" xfId="25977" xr:uid="{00000000-0005-0000-0000-000053660000}"/>
    <cellStyle name="Normal 235 2 9" xfId="25978" xr:uid="{00000000-0005-0000-0000-000054660000}"/>
    <cellStyle name="Normal 235 3" xfId="25979" xr:uid="{00000000-0005-0000-0000-000055660000}"/>
    <cellStyle name="Normal 235 3 2" xfId="25980" xr:uid="{00000000-0005-0000-0000-000056660000}"/>
    <cellStyle name="Normal 235 3 2 2" xfId="25981" xr:uid="{00000000-0005-0000-0000-000057660000}"/>
    <cellStyle name="Normal 235 3 2 2 2" xfId="25982" xr:uid="{00000000-0005-0000-0000-000058660000}"/>
    <cellStyle name="Normal 235 3 2 2 3" xfId="25983" xr:uid="{00000000-0005-0000-0000-000059660000}"/>
    <cellStyle name="Normal 235 3 2 3" xfId="25984" xr:uid="{00000000-0005-0000-0000-00005A660000}"/>
    <cellStyle name="Normal 235 3 2 3 2" xfId="25985" xr:uid="{00000000-0005-0000-0000-00005B660000}"/>
    <cellStyle name="Normal 235 3 2 3 3" xfId="25986" xr:uid="{00000000-0005-0000-0000-00005C660000}"/>
    <cellStyle name="Normal 235 3 2 4" xfId="25987" xr:uid="{00000000-0005-0000-0000-00005D660000}"/>
    <cellStyle name="Normal 235 3 2 5" xfId="25988" xr:uid="{00000000-0005-0000-0000-00005E660000}"/>
    <cellStyle name="Normal 235 3 2 6" xfId="25989" xr:uid="{00000000-0005-0000-0000-00005F660000}"/>
    <cellStyle name="Normal 235 3 3" xfId="25990" xr:uid="{00000000-0005-0000-0000-000060660000}"/>
    <cellStyle name="Normal 235 3 3 2" xfId="25991" xr:uid="{00000000-0005-0000-0000-000061660000}"/>
    <cellStyle name="Normal 235 3 3 3" xfId="25992" xr:uid="{00000000-0005-0000-0000-000062660000}"/>
    <cellStyle name="Normal 235 3 4" xfId="25993" xr:uid="{00000000-0005-0000-0000-000063660000}"/>
    <cellStyle name="Normal 235 3 4 2" xfId="25994" xr:uid="{00000000-0005-0000-0000-000064660000}"/>
    <cellStyle name="Normal 235 3 4 3" xfId="25995" xr:uid="{00000000-0005-0000-0000-000065660000}"/>
    <cellStyle name="Normal 235 3 5" xfId="25996" xr:uid="{00000000-0005-0000-0000-000066660000}"/>
    <cellStyle name="Normal 235 3 6" xfId="25997" xr:uid="{00000000-0005-0000-0000-000067660000}"/>
    <cellStyle name="Normal 235 3 7" xfId="25998" xr:uid="{00000000-0005-0000-0000-000068660000}"/>
    <cellStyle name="Normal 235 3 8" xfId="25999" xr:uid="{00000000-0005-0000-0000-000069660000}"/>
    <cellStyle name="Normal 235 4" xfId="26000" xr:uid="{00000000-0005-0000-0000-00006A660000}"/>
    <cellStyle name="Normal 235 4 2" xfId="26001" xr:uid="{00000000-0005-0000-0000-00006B660000}"/>
    <cellStyle name="Normal 235 4 2 2" xfId="26002" xr:uid="{00000000-0005-0000-0000-00006C660000}"/>
    <cellStyle name="Normal 235 4 2 3" xfId="26003" xr:uid="{00000000-0005-0000-0000-00006D660000}"/>
    <cellStyle name="Normal 235 4 3" xfId="26004" xr:uid="{00000000-0005-0000-0000-00006E660000}"/>
    <cellStyle name="Normal 235 4 3 2" xfId="26005" xr:uid="{00000000-0005-0000-0000-00006F660000}"/>
    <cellStyle name="Normal 235 4 3 3" xfId="26006" xr:uid="{00000000-0005-0000-0000-000070660000}"/>
    <cellStyle name="Normal 235 4 4" xfId="26007" xr:uid="{00000000-0005-0000-0000-000071660000}"/>
    <cellStyle name="Normal 235 4 5" xfId="26008" xr:uid="{00000000-0005-0000-0000-000072660000}"/>
    <cellStyle name="Normal 235 4 6" xfId="26009" xr:uid="{00000000-0005-0000-0000-000073660000}"/>
    <cellStyle name="Normal 235 5" xfId="26010" xr:uid="{00000000-0005-0000-0000-000074660000}"/>
    <cellStyle name="Normal 235 5 2" xfId="26011" xr:uid="{00000000-0005-0000-0000-000075660000}"/>
    <cellStyle name="Normal 235 5 3" xfId="26012" xr:uid="{00000000-0005-0000-0000-000076660000}"/>
    <cellStyle name="Normal 235 6" xfId="26013" xr:uid="{00000000-0005-0000-0000-000077660000}"/>
    <cellStyle name="Normal 235 6 2" xfId="26014" xr:uid="{00000000-0005-0000-0000-000078660000}"/>
    <cellStyle name="Normal 235 6 3" xfId="26015" xr:uid="{00000000-0005-0000-0000-000079660000}"/>
    <cellStyle name="Normal 235 7" xfId="26016" xr:uid="{00000000-0005-0000-0000-00007A660000}"/>
    <cellStyle name="Normal 235 8" xfId="26017" xr:uid="{00000000-0005-0000-0000-00007B660000}"/>
    <cellStyle name="Normal 235 9" xfId="26018" xr:uid="{00000000-0005-0000-0000-00007C660000}"/>
    <cellStyle name="Normal 236" xfId="2666" xr:uid="{00000000-0005-0000-0000-00007D660000}"/>
    <cellStyle name="Normal 236 10" xfId="26019" xr:uid="{00000000-0005-0000-0000-00007E660000}"/>
    <cellStyle name="Normal 236 11" xfId="26020" xr:uid="{00000000-0005-0000-0000-00007F660000}"/>
    <cellStyle name="Normal 236 12" xfId="26021" xr:uid="{00000000-0005-0000-0000-000080660000}"/>
    <cellStyle name="Normal 236 2" xfId="2667" xr:uid="{00000000-0005-0000-0000-000081660000}"/>
    <cellStyle name="Normal 236 2 10" xfId="26022" xr:uid="{00000000-0005-0000-0000-000082660000}"/>
    <cellStyle name="Normal 236 2 2" xfId="26023" xr:uid="{00000000-0005-0000-0000-000083660000}"/>
    <cellStyle name="Normal 236 2 2 2" xfId="26024" xr:uid="{00000000-0005-0000-0000-000084660000}"/>
    <cellStyle name="Normal 236 2 2 2 2" xfId="26025" xr:uid="{00000000-0005-0000-0000-000085660000}"/>
    <cellStyle name="Normal 236 2 2 2 2 2" xfId="26026" xr:uid="{00000000-0005-0000-0000-000086660000}"/>
    <cellStyle name="Normal 236 2 2 2 2 3" xfId="26027" xr:uid="{00000000-0005-0000-0000-000087660000}"/>
    <cellStyle name="Normal 236 2 2 2 3" xfId="26028" xr:uid="{00000000-0005-0000-0000-000088660000}"/>
    <cellStyle name="Normal 236 2 2 2 3 2" xfId="26029" xr:uid="{00000000-0005-0000-0000-000089660000}"/>
    <cellStyle name="Normal 236 2 2 2 3 3" xfId="26030" xr:uid="{00000000-0005-0000-0000-00008A660000}"/>
    <cellStyle name="Normal 236 2 2 2 4" xfId="26031" xr:uid="{00000000-0005-0000-0000-00008B660000}"/>
    <cellStyle name="Normal 236 2 2 2 5" xfId="26032" xr:uid="{00000000-0005-0000-0000-00008C660000}"/>
    <cellStyle name="Normal 236 2 2 2 6" xfId="26033" xr:uid="{00000000-0005-0000-0000-00008D660000}"/>
    <cellStyle name="Normal 236 2 2 3" xfId="26034" xr:uid="{00000000-0005-0000-0000-00008E660000}"/>
    <cellStyle name="Normal 236 2 2 3 2" xfId="26035" xr:uid="{00000000-0005-0000-0000-00008F660000}"/>
    <cellStyle name="Normal 236 2 2 3 3" xfId="26036" xr:uid="{00000000-0005-0000-0000-000090660000}"/>
    <cellStyle name="Normal 236 2 2 4" xfId="26037" xr:uid="{00000000-0005-0000-0000-000091660000}"/>
    <cellStyle name="Normal 236 2 2 4 2" xfId="26038" xr:uid="{00000000-0005-0000-0000-000092660000}"/>
    <cellStyle name="Normal 236 2 2 4 3" xfId="26039" xr:uid="{00000000-0005-0000-0000-000093660000}"/>
    <cellStyle name="Normal 236 2 2 5" xfId="26040" xr:uid="{00000000-0005-0000-0000-000094660000}"/>
    <cellStyle name="Normal 236 2 2 6" xfId="26041" xr:uid="{00000000-0005-0000-0000-000095660000}"/>
    <cellStyle name="Normal 236 2 2 7" xfId="26042" xr:uid="{00000000-0005-0000-0000-000096660000}"/>
    <cellStyle name="Normal 236 2 2 8" xfId="26043" xr:uid="{00000000-0005-0000-0000-000097660000}"/>
    <cellStyle name="Normal 236 2 3" xfId="26044" xr:uid="{00000000-0005-0000-0000-000098660000}"/>
    <cellStyle name="Normal 236 2 3 2" xfId="26045" xr:uid="{00000000-0005-0000-0000-000099660000}"/>
    <cellStyle name="Normal 236 2 3 2 2" xfId="26046" xr:uid="{00000000-0005-0000-0000-00009A660000}"/>
    <cellStyle name="Normal 236 2 3 2 3" xfId="26047" xr:uid="{00000000-0005-0000-0000-00009B660000}"/>
    <cellStyle name="Normal 236 2 3 3" xfId="26048" xr:uid="{00000000-0005-0000-0000-00009C660000}"/>
    <cellStyle name="Normal 236 2 3 3 2" xfId="26049" xr:uid="{00000000-0005-0000-0000-00009D660000}"/>
    <cellStyle name="Normal 236 2 3 3 3" xfId="26050" xr:uid="{00000000-0005-0000-0000-00009E660000}"/>
    <cellStyle name="Normal 236 2 3 4" xfId="26051" xr:uid="{00000000-0005-0000-0000-00009F660000}"/>
    <cellStyle name="Normal 236 2 3 5" xfId="26052" xr:uid="{00000000-0005-0000-0000-0000A0660000}"/>
    <cellStyle name="Normal 236 2 3 6" xfId="26053" xr:uid="{00000000-0005-0000-0000-0000A1660000}"/>
    <cellStyle name="Normal 236 2 4" xfId="26054" xr:uid="{00000000-0005-0000-0000-0000A2660000}"/>
    <cellStyle name="Normal 236 2 4 2" xfId="26055" xr:uid="{00000000-0005-0000-0000-0000A3660000}"/>
    <cellStyle name="Normal 236 2 4 3" xfId="26056" xr:uid="{00000000-0005-0000-0000-0000A4660000}"/>
    <cellStyle name="Normal 236 2 5" xfId="26057" xr:uid="{00000000-0005-0000-0000-0000A5660000}"/>
    <cellStyle name="Normal 236 2 5 2" xfId="26058" xr:uid="{00000000-0005-0000-0000-0000A6660000}"/>
    <cellStyle name="Normal 236 2 5 3" xfId="26059" xr:uid="{00000000-0005-0000-0000-0000A7660000}"/>
    <cellStyle name="Normal 236 2 6" xfId="26060" xr:uid="{00000000-0005-0000-0000-0000A8660000}"/>
    <cellStyle name="Normal 236 2 7" xfId="26061" xr:uid="{00000000-0005-0000-0000-0000A9660000}"/>
    <cellStyle name="Normal 236 2 8" xfId="26062" xr:uid="{00000000-0005-0000-0000-0000AA660000}"/>
    <cellStyle name="Normal 236 2 9" xfId="26063" xr:uid="{00000000-0005-0000-0000-0000AB660000}"/>
    <cellStyle name="Normal 236 3" xfId="26064" xr:uid="{00000000-0005-0000-0000-0000AC660000}"/>
    <cellStyle name="Normal 236 3 2" xfId="26065" xr:uid="{00000000-0005-0000-0000-0000AD660000}"/>
    <cellStyle name="Normal 236 3 2 2" xfId="26066" xr:uid="{00000000-0005-0000-0000-0000AE660000}"/>
    <cellStyle name="Normal 236 3 2 2 2" xfId="26067" xr:uid="{00000000-0005-0000-0000-0000AF660000}"/>
    <cellStyle name="Normal 236 3 2 2 3" xfId="26068" xr:uid="{00000000-0005-0000-0000-0000B0660000}"/>
    <cellStyle name="Normal 236 3 2 3" xfId="26069" xr:uid="{00000000-0005-0000-0000-0000B1660000}"/>
    <cellStyle name="Normal 236 3 2 3 2" xfId="26070" xr:uid="{00000000-0005-0000-0000-0000B2660000}"/>
    <cellStyle name="Normal 236 3 2 3 3" xfId="26071" xr:uid="{00000000-0005-0000-0000-0000B3660000}"/>
    <cellStyle name="Normal 236 3 2 4" xfId="26072" xr:uid="{00000000-0005-0000-0000-0000B4660000}"/>
    <cellStyle name="Normal 236 3 2 5" xfId="26073" xr:uid="{00000000-0005-0000-0000-0000B5660000}"/>
    <cellStyle name="Normal 236 3 2 6" xfId="26074" xr:uid="{00000000-0005-0000-0000-0000B6660000}"/>
    <cellStyle name="Normal 236 3 3" xfId="26075" xr:uid="{00000000-0005-0000-0000-0000B7660000}"/>
    <cellStyle name="Normal 236 3 3 2" xfId="26076" xr:uid="{00000000-0005-0000-0000-0000B8660000}"/>
    <cellStyle name="Normal 236 3 3 3" xfId="26077" xr:uid="{00000000-0005-0000-0000-0000B9660000}"/>
    <cellStyle name="Normal 236 3 4" xfId="26078" xr:uid="{00000000-0005-0000-0000-0000BA660000}"/>
    <cellStyle name="Normal 236 3 4 2" xfId="26079" xr:uid="{00000000-0005-0000-0000-0000BB660000}"/>
    <cellStyle name="Normal 236 3 4 3" xfId="26080" xr:uid="{00000000-0005-0000-0000-0000BC660000}"/>
    <cellStyle name="Normal 236 3 5" xfId="26081" xr:uid="{00000000-0005-0000-0000-0000BD660000}"/>
    <cellStyle name="Normal 236 3 6" xfId="26082" xr:uid="{00000000-0005-0000-0000-0000BE660000}"/>
    <cellStyle name="Normal 236 3 7" xfId="26083" xr:uid="{00000000-0005-0000-0000-0000BF660000}"/>
    <cellStyle name="Normal 236 3 8" xfId="26084" xr:uid="{00000000-0005-0000-0000-0000C0660000}"/>
    <cellStyle name="Normal 236 4" xfId="26085" xr:uid="{00000000-0005-0000-0000-0000C1660000}"/>
    <cellStyle name="Normal 236 4 2" xfId="26086" xr:uid="{00000000-0005-0000-0000-0000C2660000}"/>
    <cellStyle name="Normal 236 4 2 2" xfId="26087" xr:uid="{00000000-0005-0000-0000-0000C3660000}"/>
    <cellStyle name="Normal 236 4 2 3" xfId="26088" xr:uid="{00000000-0005-0000-0000-0000C4660000}"/>
    <cellStyle name="Normal 236 4 3" xfId="26089" xr:uid="{00000000-0005-0000-0000-0000C5660000}"/>
    <cellStyle name="Normal 236 4 3 2" xfId="26090" xr:uid="{00000000-0005-0000-0000-0000C6660000}"/>
    <cellStyle name="Normal 236 4 3 3" xfId="26091" xr:uid="{00000000-0005-0000-0000-0000C7660000}"/>
    <cellStyle name="Normal 236 4 4" xfId="26092" xr:uid="{00000000-0005-0000-0000-0000C8660000}"/>
    <cellStyle name="Normal 236 4 5" xfId="26093" xr:uid="{00000000-0005-0000-0000-0000C9660000}"/>
    <cellStyle name="Normal 236 4 6" xfId="26094" xr:uid="{00000000-0005-0000-0000-0000CA660000}"/>
    <cellStyle name="Normal 236 5" xfId="26095" xr:uid="{00000000-0005-0000-0000-0000CB660000}"/>
    <cellStyle name="Normal 236 5 2" xfId="26096" xr:uid="{00000000-0005-0000-0000-0000CC660000}"/>
    <cellStyle name="Normal 236 5 3" xfId="26097" xr:uid="{00000000-0005-0000-0000-0000CD660000}"/>
    <cellStyle name="Normal 236 6" xfId="26098" xr:uid="{00000000-0005-0000-0000-0000CE660000}"/>
    <cellStyle name="Normal 236 6 2" xfId="26099" xr:uid="{00000000-0005-0000-0000-0000CF660000}"/>
    <cellStyle name="Normal 236 6 3" xfId="26100" xr:uid="{00000000-0005-0000-0000-0000D0660000}"/>
    <cellStyle name="Normal 236 7" xfId="26101" xr:uid="{00000000-0005-0000-0000-0000D1660000}"/>
    <cellStyle name="Normal 236 8" xfId="26102" xr:uid="{00000000-0005-0000-0000-0000D2660000}"/>
    <cellStyle name="Normal 236 9" xfId="26103" xr:uid="{00000000-0005-0000-0000-0000D3660000}"/>
    <cellStyle name="Normal 237" xfId="2668" xr:uid="{00000000-0005-0000-0000-0000D4660000}"/>
    <cellStyle name="Normal 237 10" xfId="26104" xr:uid="{00000000-0005-0000-0000-0000D5660000}"/>
    <cellStyle name="Normal 237 11" xfId="26105" xr:uid="{00000000-0005-0000-0000-0000D6660000}"/>
    <cellStyle name="Normal 237 12" xfId="26106" xr:uid="{00000000-0005-0000-0000-0000D7660000}"/>
    <cellStyle name="Normal 237 2" xfId="2669" xr:uid="{00000000-0005-0000-0000-0000D8660000}"/>
    <cellStyle name="Normal 237 2 10" xfId="26107" xr:uid="{00000000-0005-0000-0000-0000D9660000}"/>
    <cellStyle name="Normal 237 2 2" xfId="26108" xr:uid="{00000000-0005-0000-0000-0000DA660000}"/>
    <cellStyle name="Normal 237 2 2 2" xfId="26109" xr:uid="{00000000-0005-0000-0000-0000DB660000}"/>
    <cellStyle name="Normal 237 2 2 2 2" xfId="26110" xr:uid="{00000000-0005-0000-0000-0000DC660000}"/>
    <cellStyle name="Normal 237 2 2 2 2 2" xfId="26111" xr:uid="{00000000-0005-0000-0000-0000DD660000}"/>
    <cellStyle name="Normal 237 2 2 2 2 3" xfId="26112" xr:uid="{00000000-0005-0000-0000-0000DE660000}"/>
    <cellStyle name="Normal 237 2 2 2 3" xfId="26113" xr:uid="{00000000-0005-0000-0000-0000DF660000}"/>
    <cellStyle name="Normal 237 2 2 2 3 2" xfId="26114" xr:uid="{00000000-0005-0000-0000-0000E0660000}"/>
    <cellStyle name="Normal 237 2 2 2 3 3" xfId="26115" xr:uid="{00000000-0005-0000-0000-0000E1660000}"/>
    <cellStyle name="Normal 237 2 2 2 4" xfId="26116" xr:uid="{00000000-0005-0000-0000-0000E2660000}"/>
    <cellStyle name="Normal 237 2 2 2 5" xfId="26117" xr:uid="{00000000-0005-0000-0000-0000E3660000}"/>
    <cellStyle name="Normal 237 2 2 2 6" xfId="26118" xr:uid="{00000000-0005-0000-0000-0000E4660000}"/>
    <cellStyle name="Normal 237 2 2 3" xfId="26119" xr:uid="{00000000-0005-0000-0000-0000E5660000}"/>
    <cellStyle name="Normal 237 2 2 3 2" xfId="26120" xr:uid="{00000000-0005-0000-0000-0000E6660000}"/>
    <cellStyle name="Normal 237 2 2 3 3" xfId="26121" xr:uid="{00000000-0005-0000-0000-0000E7660000}"/>
    <cellStyle name="Normal 237 2 2 4" xfId="26122" xr:uid="{00000000-0005-0000-0000-0000E8660000}"/>
    <cellStyle name="Normal 237 2 2 4 2" xfId="26123" xr:uid="{00000000-0005-0000-0000-0000E9660000}"/>
    <cellStyle name="Normal 237 2 2 4 3" xfId="26124" xr:uid="{00000000-0005-0000-0000-0000EA660000}"/>
    <cellStyle name="Normal 237 2 2 5" xfId="26125" xr:uid="{00000000-0005-0000-0000-0000EB660000}"/>
    <cellStyle name="Normal 237 2 2 6" xfId="26126" xr:uid="{00000000-0005-0000-0000-0000EC660000}"/>
    <cellStyle name="Normal 237 2 2 7" xfId="26127" xr:uid="{00000000-0005-0000-0000-0000ED660000}"/>
    <cellStyle name="Normal 237 2 2 8" xfId="26128" xr:uid="{00000000-0005-0000-0000-0000EE660000}"/>
    <cellStyle name="Normal 237 2 3" xfId="26129" xr:uid="{00000000-0005-0000-0000-0000EF660000}"/>
    <cellStyle name="Normal 237 2 3 2" xfId="26130" xr:uid="{00000000-0005-0000-0000-0000F0660000}"/>
    <cellStyle name="Normal 237 2 3 2 2" xfId="26131" xr:uid="{00000000-0005-0000-0000-0000F1660000}"/>
    <cellStyle name="Normal 237 2 3 2 3" xfId="26132" xr:uid="{00000000-0005-0000-0000-0000F2660000}"/>
    <cellStyle name="Normal 237 2 3 3" xfId="26133" xr:uid="{00000000-0005-0000-0000-0000F3660000}"/>
    <cellStyle name="Normal 237 2 3 3 2" xfId="26134" xr:uid="{00000000-0005-0000-0000-0000F4660000}"/>
    <cellStyle name="Normal 237 2 3 3 3" xfId="26135" xr:uid="{00000000-0005-0000-0000-0000F5660000}"/>
    <cellStyle name="Normal 237 2 3 4" xfId="26136" xr:uid="{00000000-0005-0000-0000-0000F6660000}"/>
    <cellStyle name="Normal 237 2 3 5" xfId="26137" xr:uid="{00000000-0005-0000-0000-0000F7660000}"/>
    <cellStyle name="Normal 237 2 3 6" xfId="26138" xr:uid="{00000000-0005-0000-0000-0000F8660000}"/>
    <cellStyle name="Normal 237 2 4" xfId="26139" xr:uid="{00000000-0005-0000-0000-0000F9660000}"/>
    <cellStyle name="Normal 237 2 4 2" xfId="26140" xr:uid="{00000000-0005-0000-0000-0000FA660000}"/>
    <cellStyle name="Normal 237 2 4 3" xfId="26141" xr:uid="{00000000-0005-0000-0000-0000FB660000}"/>
    <cellStyle name="Normal 237 2 5" xfId="26142" xr:uid="{00000000-0005-0000-0000-0000FC660000}"/>
    <cellStyle name="Normal 237 2 5 2" xfId="26143" xr:uid="{00000000-0005-0000-0000-0000FD660000}"/>
    <cellStyle name="Normal 237 2 5 3" xfId="26144" xr:uid="{00000000-0005-0000-0000-0000FE660000}"/>
    <cellStyle name="Normal 237 2 6" xfId="26145" xr:uid="{00000000-0005-0000-0000-0000FF660000}"/>
    <cellStyle name="Normal 237 2 7" xfId="26146" xr:uid="{00000000-0005-0000-0000-000000670000}"/>
    <cellStyle name="Normal 237 2 8" xfId="26147" xr:uid="{00000000-0005-0000-0000-000001670000}"/>
    <cellStyle name="Normal 237 2 9" xfId="26148" xr:uid="{00000000-0005-0000-0000-000002670000}"/>
    <cellStyle name="Normal 237 3" xfId="26149" xr:uid="{00000000-0005-0000-0000-000003670000}"/>
    <cellStyle name="Normal 237 3 2" xfId="26150" xr:uid="{00000000-0005-0000-0000-000004670000}"/>
    <cellStyle name="Normal 237 3 2 2" xfId="26151" xr:uid="{00000000-0005-0000-0000-000005670000}"/>
    <cellStyle name="Normal 237 3 2 2 2" xfId="26152" xr:uid="{00000000-0005-0000-0000-000006670000}"/>
    <cellStyle name="Normal 237 3 2 2 3" xfId="26153" xr:uid="{00000000-0005-0000-0000-000007670000}"/>
    <cellStyle name="Normal 237 3 2 3" xfId="26154" xr:uid="{00000000-0005-0000-0000-000008670000}"/>
    <cellStyle name="Normal 237 3 2 3 2" xfId="26155" xr:uid="{00000000-0005-0000-0000-000009670000}"/>
    <cellStyle name="Normal 237 3 2 3 3" xfId="26156" xr:uid="{00000000-0005-0000-0000-00000A670000}"/>
    <cellStyle name="Normal 237 3 2 4" xfId="26157" xr:uid="{00000000-0005-0000-0000-00000B670000}"/>
    <cellStyle name="Normal 237 3 2 5" xfId="26158" xr:uid="{00000000-0005-0000-0000-00000C670000}"/>
    <cellStyle name="Normal 237 3 2 6" xfId="26159" xr:uid="{00000000-0005-0000-0000-00000D670000}"/>
    <cellStyle name="Normal 237 3 3" xfId="26160" xr:uid="{00000000-0005-0000-0000-00000E670000}"/>
    <cellStyle name="Normal 237 3 3 2" xfId="26161" xr:uid="{00000000-0005-0000-0000-00000F670000}"/>
    <cellStyle name="Normal 237 3 3 3" xfId="26162" xr:uid="{00000000-0005-0000-0000-000010670000}"/>
    <cellStyle name="Normal 237 3 4" xfId="26163" xr:uid="{00000000-0005-0000-0000-000011670000}"/>
    <cellStyle name="Normal 237 3 4 2" xfId="26164" xr:uid="{00000000-0005-0000-0000-000012670000}"/>
    <cellStyle name="Normal 237 3 4 3" xfId="26165" xr:uid="{00000000-0005-0000-0000-000013670000}"/>
    <cellStyle name="Normal 237 3 5" xfId="26166" xr:uid="{00000000-0005-0000-0000-000014670000}"/>
    <cellStyle name="Normal 237 3 6" xfId="26167" xr:uid="{00000000-0005-0000-0000-000015670000}"/>
    <cellStyle name="Normal 237 3 7" xfId="26168" xr:uid="{00000000-0005-0000-0000-000016670000}"/>
    <cellStyle name="Normal 237 3 8" xfId="26169" xr:uid="{00000000-0005-0000-0000-000017670000}"/>
    <cellStyle name="Normal 237 4" xfId="26170" xr:uid="{00000000-0005-0000-0000-000018670000}"/>
    <cellStyle name="Normal 237 4 2" xfId="26171" xr:uid="{00000000-0005-0000-0000-000019670000}"/>
    <cellStyle name="Normal 237 4 2 2" xfId="26172" xr:uid="{00000000-0005-0000-0000-00001A670000}"/>
    <cellStyle name="Normal 237 4 2 3" xfId="26173" xr:uid="{00000000-0005-0000-0000-00001B670000}"/>
    <cellStyle name="Normal 237 4 3" xfId="26174" xr:uid="{00000000-0005-0000-0000-00001C670000}"/>
    <cellStyle name="Normal 237 4 3 2" xfId="26175" xr:uid="{00000000-0005-0000-0000-00001D670000}"/>
    <cellStyle name="Normal 237 4 3 3" xfId="26176" xr:uid="{00000000-0005-0000-0000-00001E670000}"/>
    <cellStyle name="Normal 237 4 4" xfId="26177" xr:uid="{00000000-0005-0000-0000-00001F670000}"/>
    <cellStyle name="Normal 237 4 5" xfId="26178" xr:uid="{00000000-0005-0000-0000-000020670000}"/>
    <cellStyle name="Normal 237 4 6" xfId="26179" xr:uid="{00000000-0005-0000-0000-000021670000}"/>
    <cellStyle name="Normal 237 5" xfId="26180" xr:uid="{00000000-0005-0000-0000-000022670000}"/>
    <cellStyle name="Normal 237 5 2" xfId="26181" xr:uid="{00000000-0005-0000-0000-000023670000}"/>
    <cellStyle name="Normal 237 5 3" xfId="26182" xr:uid="{00000000-0005-0000-0000-000024670000}"/>
    <cellStyle name="Normal 237 6" xfId="26183" xr:uid="{00000000-0005-0000-0000-000025670000}"/>
    <cellStyle name="Normal 237 6 2" xfId="26184" xr:uid="{00000000-0005-0000-0000-000026670000}"/>
    <cellStyle name="Normal 237 6 3" xfId="26185" xr:uid="{00000000-0005-0000-0000-000027670000}"/>
    <cellStyle name="Normal 237 7" xfId="26186" xr:uid="{00000000-0005-0000-0000-000028670000}"/>
    <cellStyle name="Normal 237 8" xfId="26187" xr:uid="{00000000-0005-0000-0000-000029670000}"/>
    <cellStyle name="Normal 237 9" xfId="26188" xr:uid="{00000000-0005-0000-0000-00002A670000}"/>
    <cellStyle name="Normal 238" xfId="2670" xr:uid="{00000000-0005-0000-0000-00002B670000}"/>
    <cellStyle name="Normal 238 10" xfId="26189" xr:uid="{00000000-0005-0000-0000-00002C670000}"/>
    <cellStyle name="Normal 238 11" xfId="26190" xr:uid="{00000000-0005-0000-0000-00002D670000}"/>
    <cellStyle name="Normal 238 12" xfId="26191" xr:uid="{00000000-0005-0000-0000-00002E670000}"/>
    <cellStyle name="Normal 238 2" xfId="26192" xr:uid="{00000000-0005-0000-0000-00002F670000}"/>
    <cellStyle name="Normal 238 2 2" xfId="26193" xr:uid="{00000000-0005-0000-0000-000030670000}"/>
    <cellStyle name="Normal 238 2 2 2" xfId="26194" xr:uid="{00000000-0005-0000-0000-000031670000}"/>
    <cellStyle name="Normal 238 2 2 2 2" xfId="26195" xr:uid="{00000000-0005-0000-0000-000032670000}"/>
    <cellStyle name="Normal 238 2 2 2 2 2" xfId="26196" xr:uid="{00000000-0005-0000-0000-000033670000}"/>
    <cellStyle name="Normal 238 2 2 2 2 3" xfId="26197" xr:uid="{00000000-0005-0000-0000-000034670000}"/>
    <cellStyle name="Normal 238 2 2 2 3" xfId="26198" xr:uid="{00000000-0005-0000-0000-000035670000}"/>
    <cellStyle name="Normal 238 2 2 2 3 2" xfId="26199" xr:uid="{00000000-0005-0000-0000-000036670000}"/>
    <cellStyle name="Normal 238 2 2 2 3 3" xfId="26200" xr:uid="{00000000-0005-0000-0000-000037670000}"/>
    <cellStyle name="Normal 238 2 2 2 4" xfId="26201" xr:uid="{00000000-0005-0000-0000-000038670000}"/>
    <cellStyle name="Normal 238 2 2 2 5" xfId="26202" xr:uid="{00000000-0005-0000-0000-000039670000}"/>
    <cellStyle name="Normal 238 2 2 2 6" xfId="26203" xr:uid="{00000000-0005-0000-0000-00003A670000}"/>
    <cellStyle name="Normal 238 2 2 3" xfId="26204" xr:uid="{00000000-0005-0000-0000-00003B670000}"/>
    <cellStyle name="Normal 238 2 2 3 2" xfId="26205" xr:uid="{00000000-0005-0000-0000-00003C670000}"/>
    <cellStyle name="Normal 238 2 2 3 3" xfId="26206" xr:uid="{00000000-0005-0000-0000-00003D670000}"/>
    <cellStyle name="Normal 238 2 2 4" xfId="26207" xr:uid="{00000000-0005-0000-0000-00003E670000}"/>
    <cellStyle name="Normal 238 2 2 4 2" xfId="26208" xr:uid="{00000000-0005-0000-0000-00003F670000}"/>
    <cellStyle name="Normal 238 2 2 4 3" xfId="26209" xr:uid="{00000000-0005-0000-0000-000040670000}"/>
    <cellStyle name="Normal 238 2 2 5" xfId="26210" xr:uid="{00000000-0005-0000-0000-000041670000}"/>
    <cellStyle name="Normal 238 2 2 6" xfId="26211" xr:uid="{00000000-0005-0000-0000-000042670000}"/>
    <cellStyle name="Normal 238 2 2 7" xfId="26212" xr:uid="{00000000-0005-0000-0000-000043670000}"/>
    <cellStyle name="Normal 238 2 2 8" xfId="26213" xr:uid="{00000000-0005-0000-0000-000044670000}"/>
    <cellStyle name="Normal 238 2 3" xfId="26214" xr:uid="{00000000-0005-0000-0000-000045670000}"/>
    <cellStyle name="Normal 238 2 3 2" xfId="26215" xr:uid="{00000000-0005-0000-0000-000046670000}"/>
    <cellStyle name="Normal 238 2 3 2 2" xfId="26216" xr:uid="{00000000-0005-0000-0000-000047670000}"/>
    <cellStyle name="Normal 238 2 3 2 3" xfId="26217" xr:uid="{00000000-0005-0000-0000-000048670000}"/>
    <cellStyle name="Normal 238 2 3 3" xfId="26218" xr:uid="{00000000-0005-0000-0000-000049670000}"/>
    <cellStyle name="Normal 238 2 3 3 2" xfId="26219" xr:uid="{00000000-0005-0000-0000-00004A670000}"/>
    <cellStyle name="Normal 238 2 3 3 3" xfId="26220" xr:uid="{00000000-0005-0000-0000-00004B670000}"/>
    <cellStyle name="Normal 238 2 3 4" xfId="26221" xr:uid="{00000000-0005-0000-0000-00004C670000}"/>
    <cellStyle name="Normal 238 2 3 5" xfId="26222" xr:uid="{00000000-0005-0000-0000-00004D670000}"/>
    <cellStyle name="Normal 238 2 3 6" xfId="26223" xr:uid="{00000000-0005-0000-0000-00004E670000}"/>
    <cellStyle name="Normal 238 2 4" xfId="26224" xr:uid="{00000000-0005-0000-0000-00004F670000}"/>
    <cellStyle name="Normal 238 2 4 2" xfId="26225" xr:uid="{00000000-0005-0000-0000-000050670000}"/>
    <cellStyle name="Normal 238 2 4 3" xfId="26226" xr:uid="{00000000-0005-0000-0000-000051670000}"/>
    <cellStyle name="Normal 238 2 5" xfId="26227" xr:uid="{00000000-0005-0000-0000-000052670000}"/>
    <cellStyle name="Normal 238 2 5 2" xfId="26228" xr:uid="{00000000-0005-0000-0000-000053670000}"/>
    <cellStyle name="Normal 238 2 5 3" xfId="26229" xr:uid="{00000000-0005-0000-0000-000054670000}"/>
    <cellStyle name="Normal 238 2 6" xfId="26230" xr:uid="{00000000-0005-0000-0000-000055670000}"/>
    <cellStyle name="Normal 238 2 7" xfId="26231" xr:uid="{00000000-0005-0000-0000-000056670000}"/>
    <cellStyle name="Normal 238 2 8" xfId="26232" xr:uid="{00000000-0005-0000-0000-000057670000}"/>
    <cellStyle name="Normal 238 2 9" xfId="26233" xr:uid="{00000000-0005-0000-0000-000058670000}"/>
    <cellStyle name="Normal 238 3" xfId="26234" xr:uid="{00000000-0005-0000-0000-000059670000}"/>
    <cellStyle name="Normal 238 3 2" xfId="26235" xr:uid="{00000000-0005-0000-0000-00005A670000}"/>
    <cellStyle name="Normal 238 3 2 2" xfId="26236" xr:uid="{00000000-0005-0000-0000-00005B670000}"/>
    <cellStyle name="Normal 238 3 2 2 2" xfId="26237" xr:uid="{00000000-0005-0000-0000-00005C670000}"/>
    <cellStyle name="Normal 238 3 2 2 3" xfId="26238" xr:uid="{00000000-0005-0000-0000-00005D670000}"/>
    <cellStyle name="Normal 238 3 2 3" xfId="26239" xr:uid="{00000000-0005-0000-0000-00005E670000}"/>
    <cellStyle name="Normal 238 3 2 3 2" xfId="26240" xr:uid="{00000000-0005-0000-0000-00005F670000}"/>
    <cellStyle name="Normal 238 3 2 3 3" xfId="26241" xr:uid="{00000000-0005-0000-0000-000060670000}"/>
    <cellStyle name="Normal 238 3 2 4" xfId="26242" xr:uid="{00000000-0005-0000-0000-000061670000}"/>
    <cellStyle name="Normal 238 3 2 5" xfId="26243" xr:uid="{00000000-0005-0000-0000-000062670000}"/>
    <cellStyle name="Normal 238 3 2 6" xfId="26244" xr:uid="{00000000-0005-0000-0000-000063670000}"/>
    <cellStyle name="Normal 238 3 3" xfId="26245" xr:uid="{00000000-0005-0000-0000-000064670000}"/>
    <cellStyle name="Normal 238 3 3 2" xfId="26246" xr:uid="{00000000-0005-0000-0000-000065670000}"/>
    <cellStyle name="Normal 238 3 3 3" xfId="26247" xr:uid="{00000000-0005-0000-0000-000066670000}"/>
    <cellStyle name="Normal 238 3 4" xfId="26248" xr:uid="{00000000-0005-0000-0000-000067670000}"/>
    <cellStyle name="Normal 238 3 4 2" xfId="26249" xr:uid="{00000000-0005-0000-0000-000068670000}"/>
    <cellStyle name="Normal 238 3 4 3" xfId="26250" xr:uid="{00000000-0005-0000-0000-000069670000}"/>
    <cellStyle name="Normal 238 3 5" xfId="26251" xr:uid="{00000000-0005-0000-0000-00006A670000}"/>
    <cellStyle name="Normal 238 3 6" xfId="26252" xr:uid="{00000000-0005-0000-0000-00006B670000}"/>
    <cellStyle name="Normal 238 3 7" xfId="26253" xr:uid="{00000000-0005-0000-0000-00006C670000}"/>
    <cellStyle name="Normal 238 3 8" xfId="26254" xr:uid="{00000000-0005-0000-0000-00006D670000}"/>
    <cellStyle name="Normal 238 4" xfId="26255" xr:uid="{00000000-0005-0000-0000-00006E670000}"/>
    <cellStyle name="Normal 238 4 2" xfId="26256" xr:uid="{00000000-0005-0000-0000-00006F670000}"/>
    <cellStyle name="Normal 238 4 2 2" xfId="26257" xr:uid="{00000000-0005-0000-0000-000070670000}"/>
    <cellStyle name="Normal 238 4 2 3" xfId="26258" xr:uid="{00000000-0005-0000-0000-000071670000}"/>
    <cellStyle name="Normal 238 4 3" xfId="26259" xr:uid="{00000000-0005-0000-0000-000072670000}"/>
    <cellStyle name="Normal 238 4 3 2" xfId="26260" xr:uid="{00000000-0005-0000-0000-000073670000}"/>
    <cellStyle name="Normal 238 4 3 3" xfId="26261" xr:uid="{00000000-0005-0000-0000-000074670000}"/>
    <cellStyle name="Normal 238 4 4" xfId="26262" xr:uid="{00000000-0005-0000-0000-000075670000}"/>
    <cellStyle name="Normal 238 4 5" xfId="26263" xr:uid="{00000000-0005-0000-0000-000076670000}"/>
    <cellStyle name="Normal 238 4 6" xfId="26264" xr:uid="{00000000-0005-0000-0000-000077670000}"/>
    <cellStyle name="Normal 238 5" xfId="26265" xr:uid="{00000000-0005-0000-0000-000078670000}"/>
    <cellStyle name="Normal 238 5 2" xfId="26266" xr:uid="{00000000-0005-0000-0000-000079670000}"/>
    <cellStyle name="Normal 238 5 3" xfId="26267" xr:uid="{00000000-0005-0000-0000-00007A670000}"/>
    <cellStyle name="Normal 238 6" xfId="26268" xr:uid="{00000000-0005-0000-0000-00007B670000}"/>
    <cellStyle name="Normal 238 6 2" xfId="26269" xr:uid="{00000000-0005-0000-0000-00007C670000}"/>
    <cellStyle name="Normal 238 6 3" xfId="26270" xr:uid="{00000000-0005-0000-0000-00007D670000}"/>
    <cellStyle name="Normal 238 7" xfId="26271" xr:uid="{00000000-0005-0000-0000-00007E670000}"/>
    <cellStyle name="Normal 238 8" xfId="26272" xr:uid="{00000000-0005-0000-0000-00007F670000}"/>
    <cellStyle name="Normal 238 9" xfId="26273" xr:uid="{00000000-0005-0000-0000-000080670000}"/>
    <cellStyle name="Normal 239" xfId="2671" xr:uid="{00000000-0005-0000-0000-000081670000}"/>
    <cellStyle name="Normal 239 10" xfId="26274" xr:uid="{00000000-0005-0000-0000-000082670000}"/>
    <cellStyle name="Normal 239 11" xfId="26275" xr:uid="{00000000-0005-0000-0000-000083670000}"/>
    <cellStyle name="Normal 239 12" xfId="26276" xr:uid="{00000000-0005-0000-0000-000084670000}"/>
    <cellStyle name="Normal 239 2" xfId="26277" xr:uid="{00000000-0005-0000-0000-000085670000}"/>
    <cellStyle name="Normal 239 2 2" xfId="26278" xr:uid="{00000000-0005-0000-0000-000086670000}"/>
    <cellStyle name="Normal 239 2 2 2" xfId="26279" xr:uid="{00000000-0005-0000-0000-000087670000}"/>
    <cellStyle name="Normal 239 2 2 2 2" xfId="26280" xr:uid="{00000000-0005-0000-0000-000088670000}"/>
    <cellStyle name="Normal 239 2 2 2 2 2" xfId="26281" xr:uid="{00000000-0005-0000-0000-000089670000}"/>
    <cellStyle name="Normal 239 2 2 2 2 3" xfId="26282" xr:uid="{00000000-0005-0000-0000-00008A670000}"/>
    <cellStyle name="Normal 239 2 2 2 3" xfId="26283" xr:uid="{00000000-0005-0000-0000-00008B670000}"/>
    <cellStyle name="Normal 239 2 2 2 3 2" xfId="26284" xr:uid="{00000000-0005-0000-0000-00008C670000}"/>
    <cellStyle name="Normal 239 2 2 2 3 3" xfId="26285" xr:uid="{00000000-0005-0000-0000-00008D670000}"/>
    <cellStyle name="Normal 239 2 2 2 4" xfId="26286" xr:uid="{00000000-0005-0000-0000-00008E670000}"/>
    <cellStyle name="Normal 239 2 2 2 5" xfId="26287" xr:uid="{00000000-0005-0000-0000-00008F670000}"/>
    <cellStyle name="Normal 239 2 2 2 6" xfId="26288" xr:uid="{00000000-0005-0000-0000-000090670000}"/>
    <cellStyle name="Normal 239 2 2 3" xfId="26289" xr:uid="{00000000-0005-0000-0000-000091670000}"/>
    <cellStyle name="Normal 239 2 2 3 2" xfId="26290" xr:uid="{00000000-0005-0000-0000-000092670000}"/>
    <cellStyle name="Normal 239 2 2 3 3" xfId="26291" xr:uid="{00000000-0005-0000-0000-000093670000}"/>
    <cellStyle name="Normal 239 2 2 4" xfId="26292" xr:uid="{00000000-0005-0000-0000-000094670000}"/>
    <cellStyle name="Normal 239 2 2 4 2" xfId="26293" xr:uid="{00000000-0005-0000-0000-000095670000}"/>
    <cellStyle name="Normal 239 2 2 4 3" xfId="26294" xr:uid="{00000000-0005-0000-0000-000096670000}"/>
    <cellStyle name="Normal 239 2 2 5" xfId="26295" xr:uid="{00000000-0005-0000-0000-000097670000}"/>
    <cellStyle name="Normal 239 2 2 6" xfId="26296" xr:uid="{00000000-0005-0000-0000-000098670000}"/>
    <cellStyle name="Normal 239 2 2 7" xfId="26297" xr:uid="{00000000-0005-0000-0000-000099670000}"/>
    <cellStyle name="Normal 239 2 2 8" xfId="26298" xr:uid="{00000000-0005-0000-0000-00009A670000}"/>
    <cellStyle name="Normal 239 2 3" xfId="26299" xr:uid="{00000000-0005-0000-0000-00009B670000}"/>
    <cellStyle name="Normal 239 2 3 2" xfId="26300" xr:uid="{00000000-0005-0000-0000-00009C670000}"/>
    <cellStyle name="Normal 239 2 3 2 2" xfId="26301" xr:uid="{00000000-0005-0000-0000-00009D670000}"/>
    <cellStyle name="Normal 239 2 3 2 3" xfId="26302" xr:uid="{00000000-0005-0000-0000-00009E670000}"/>
    <cellStyle name="Normal 239 2 3 3" xfId="26303" xr:uid="{00000000-0005-0000-0000-00009F670000}"/>
    <cellStyle name="Normal 239 2 3 3 2" xfId="26304" xr:uid="{00000000-0005-0000-0000-0000A0670000}"/>
    <cellStyle name="Normal 239 2 3 3 3" xfId="26305" xr:uid="{00000000-0005-0000-0000-0000A1670000}"/>
    <cellStyle name="Normal 239 2 3 4" xfId="26306" xr:uid="{00000000-0005-0000-0000-0000A2670000}"/>
    <cellStyle name="Normal 239 2 3 5" xfId="26307" xr:uid="{00000000-0005-0000-0000-0000A3670000}"/>
    <cellStyle name="Normal 239 2 3 6" xfId="26308" xr:uid="{00000000-0005-0000-0000-0000A4670000}"/>
    <cellStyle name="Normal 239 2 4" xfId="26309" xr:uid="{00000000-0005-0000-0000-0000A5670000}"/>
    <cellStyle name="Normal 239 2 4 2" xfId="26310" xr:uid="{00000000-0005-0000-0000-0000A6670000}"/>
    <cellStyle name="Normal 239 2 4 3" xfId="26311" xr:uid="{00000000-0005-0000-0000-0000A7670000}"/>
    <cellStyle name="Normal 239 2 5" xfId="26312" xr:uid="{00000000-0005-0000-0000-0000A8670000}"/>
    <cellStyle name="Normal 239 2 5 2" xfId="26313" xr:uid="{00000000-0005-0000-0000-0000A9670000}"/>
    <cellStyle name="Normal 239 2 5 3" xfId="26314" xr:uid="{00000000-0005-0000-0000-0000AA670000}"/>
    <cellStyle name="Normal 239 2 6" xfId="26315" xr:uid="{00000000-0005-0000-0000-0000AB670000}"/>
    <cellStyle name="Normal 239 2 7" xfId="26316" xr:uid="{00000000-0005-0000-0000-0000AC670000}"/>
    <cellStyle name="Normal 239 2 8" xfId="26317" xr:uid="{00000000-0005-0000-0000-0000AD670000}"/>
    <cellStyle name="Normal 239 2 9" xfId="26318" xr:uid="{00000000-0005-0000-0000-0000AE670000}"/>
    <cellStyle name="Normal 239 3" xfId="26319" xr:uid="{00000000-0005-0000-0000-0000AF670000}"/>
    <cellStyle name="Normal 239 3 2" xfId="26320" xr:uid="{00000000-0005-0000-0000-0000B0670000}"/>
    <cellStyle name="Normal 239 3 2 2" xfId="26321" xr:uid="{00000000-0005-0000-0000-0000B1670000}"/>
    <cellStyle name="Normal 239 3 2 2 2" xfId="26322" xr:uid="{00000000-0005-0000-0000-0000B2670000}"/>
    <cellStyle name="Normal 239 3 2 2 3" xfId="26323" xr:uid="{00000000-0005-0000-0000-0000B3670000}"/>
    <cellStyle name="Normal 239 3 2 3" xfId="26324" xr:uid="{00000000-0005-0000-0000-0000B4670000}"/>
    <cellStyle name="Normal 239 3 2 3 2" xfId="26325" xr:uid="{00000000-0005-0000-0000-0000B5670000}"/>
    <cellStyle name="Normal 239 3 2 3 3" xfId="26326" xr:uid="{00000000-0005-0000-0000-0000B6670000}"/>
    <cellStyle name="Normal 239 3 2 4" xfId="26327" xr:uid="{00000000-0005-0000-0000-0000B7670000}"/>
    <cellStyle name="Normal 239 3 2 5" xfId="26328" xr:uid="{00000000-0005-0000-0000-0000B8670000}"/>
    <cellStyle name="Normal 239 3 2 6" xfId="26329" xr:uid="{00000000-0005-0000-0000-0000B9670000}"/>
    <cellStyle name="Normal 239 3 3" xfId="26330" xr:uid="{00000000-0005-0000-0000-0000BA670000}"/>
    <cellStyle name="Normal 239 3 3 2" xfId="26331" xr:uid="{00000000-0005-0000-0000-0000BB670000}"/>
    <cellStyle name="Normal 239 3 3 3" xfId="26332" xr:uid="{00000000-0005-0000-0000-0000BC670000}"/>
    <cellStyle name="Normal 239 3 4" xfId="26333" xr:uid="{00000000-0005-0000-0000-0000BD670000}"/>
    <cellStyle name="Normal 239 3 4 2" xfId="26334" xr:uid="{00000000-0005-0000-0000-0000BE670000}"/>
    <cellStyle name="Normal 239 3 4 3" xfId="26335" xr:uid="{00000000-0005-0000-0000-0000BF670000}"/>
    <cellStyle name="Normal 239 3 5" xfId="26336" xr:uid="{00000000-0005-0000-0000-0000C0670000}"/>
    <cellStyle name="Normal 239 3 6" xfId="26337" xr:uid="{00000000-0005-0000-0000-0000C1670000}"/>
    <cellStyle name="Normal 239 3 7" xfId="26338" xr:uid="{00000000-0005-0000-0000-0000C2670000}"/>
    <cellStyle name="Normal 239 3 8" xfId="26339" xr:uid="{00000000-0005-0000-0000-0000C3670000}"/>
    <cellStyle name="Normal 239 4" xfId="26340" xr:uid="{00000000-0005-0000-0000-0000C4670000}"/>
    <cellStyle name="Normal 239 4 2" xfId="26341" xr:uid="{00000000-0005-0000-0000-0000C5670000}"/>
    <cellStyle name="Normal 239 4 2 2" xfId="26342" xr:uid="{00000000-0005-0000-0000-0000C6670000}"/>
    <cellStyle name="Normal 239 4 2 3" xfId="26343" xr:uid="{00000000-0005-0000-0000-0000C7670000}"/>
    <cellStyle name="Normal 239 4 3" xfId="26344" xr:uid="{00000000-0005-0000-0000-0000C8670000}"/>
    <cellStyle name="Normal 239 4 3 2" xfId="26345" xr:uid="{00000000-0005-0000-0000-0000C9670000}"/>
    <cellStyle name="Normal 239 4 3 3" xfId="26346" xr:uid="{00000000-0005-0000-0000-0000CA670000}"/>
    <cellStyle name="Normal 239 4 4" xfId="26347" xr:uid="{00000000-0005-0000-0000-0000CB670000}"/>
    <cellStyle name="Normal 239 4 5" xfId="26348" xr:uid="{00000000-0005-0000-0000-0000CC670000}"/>
    <cellStyle name="Normal 239 4 6" xfId="26349" xr:uid="{00000000-0005-0000-0000-0000CD670000}"/>
    <cellStyle name="Normal 239 5" xfId="26350" xr:uid="{00000000-0005-0000-0000-0000CE670000}"/>
    <cellStyle name="Normal 239 5 2" xfId="26351" xr:uid="{00000000-0005-0000-0000-0000CF670000}"/>
    <cellStyle name="Normal 239 5 3" xfId="26352" xr:uid="{00000000-0005-0000-0000-0000D0670000}"/>
    <cellStyle name="Normal 239 6" xfId="26353" xr:uid="{00000000-0005-0000-0000-0000D1670000}"/>
    <cellStyle name="Normal 239 6 2" xfId="26354" xr:uid="{00000000-0005-0000-0000-0000D2670000}"/>
    <cellStyle name="Normal 239 6 3" xfId="26355" xr:uid="{00000000-0005-0000-0000-0000D3670000}"/>
    <cellStyle name="Normal 239 7" xfId="26356" xr:uid="{00000000-0005-0000-0000-0000D4670000}"/>
    <cellStyle name="Normal 239 8" xfId="26357" xr:uid="{00000000-0005-0000-0000-0000D5670000}"/>
    <cellStyle name="Normal 239 9" xfId="26358" xr:uid="{00000000-0005-0000-0000-0000D6670000}"/>
    <cellStyle name="Normal 24" xfId="2672" xr:uid="{00000000-0005-0000-0000-0000D7670000}"/>
    <cellStyle name="Normal 24 2" xfId="26359" xr:uid="{00000000-0005-0000-0000-0000D8670000}"/>
    <cellStyle name="Normal 24 2 2" xfId="26360" xr:uid="{00000000-0005-0000-0000-0000D9670000}"/>
    <cellStyle name="Normal 24 2 2 2" xfId="26361" xr:uid="{00000000-0005-0000-0000-0000DA670000}"/>
    <cellStyle name="Normal 24 2 3" xfId="26362" xr:uid="{00000000-0005-0000-0000-0000DB670000}"/>
    <cellStyle name="Normal 24 3" xfId="26363" xr:uid="{00000000-0005-0000-0000-0000DC670000}"/>
    <cellStyle name="Normal 24 4" xfId="26364" xr:uid="{00000000-0005-0000-0000-0000DD670000}"/>
    <cellStyle name="Normal 24 5" xfId="26365" xr:uid="{00000000-0005-0000-0000-0000DE670000}"/>
    <cellStyle name="Normal 240" xfId="2673" xr:uid="{00000000-0005-0000-0000-0000DF670000}"/>
    <cellStyle name="Normal 240 10" xfId="26366" xr:uid="{00000000-0005-0000-0000-0000E0670000}"/>
    <cellStyle name="Normal 240 11" xfId="26367" xr:uid="{00000000-0005-0000-0000-0000E1670000}"/>
    <cellStyle name="Normal 240 12" xfId="26368" xr:uid="{00000000-0005-0000-0000-0000E2670000}"/>
    <cellStyle name="Normal 240 2" xfId="2674" xr:uid="{00000000-0005-0000-0000-0000E3670000}"/>
    <cellStyle name="Normal 240 2 10" xfId="26369" xr:uid="{00000000-0005-0000-0000-0000E4670000}"/>
    <cellStyle name="Normal 240 2 11" xfId="26370" xr:uid="{00000000-0005-0000-0000-0000E5670000}"/>
    <cellStyle name="Normal 240 2 2" xfId="26371" xr:uid="{00000000-0005-0000-0000-0000E6670000}"/>
    <cellStyle name="Normal 240 2 2 2" xfId="26372" xr:uid="{00000000-0005-0000-0000-0000E7670000}"/>
    <cellStyle name="Normal 240 2 2 2 2" xfId="26373" xr:uid="{00000000-0005-0000-0000-0000E8670000}"/>
    <cellStyle name="Normal 240 2 2 2 2 2" xfId="26374" xr:uid="{00000000-0005-0000-0000-0000E9670000}"/>
    <cellStyle name="Normal 240 2 2 2 2 3" xfId="26375" xr:uid="{00000000-0005-0000-0000-0000EA670000}"/>
    <cellStyle name="Normal 240 2 2 2 3" xfId="26376" xr:uid="{00000000-0005-0000-0000-0000EB670000}"/>
    <cellStyle name="Normal 240 2 2 2 3 2" xfId="26377" xr:uid="{00000000-0005-0000-0000-0000EC670000}"/>
    <cellStyle name="Normal 240 2 2 2 3 3" xfId="26378" xr:uid="{00000000-0005-0000-0000-0000ED670000}"/>
    <cellStyle name="Normal 240 2 2 2 4" xfId="26379" xr:uid="{00000000-0005-0000-0000-0000EE670000}"/>
    <cellStyle name="Normal 240 2 2 2 5" xfId="26380" xr:uid="{00000000-0005-0000-0000-0000EF670000}"/>
    <cellStyle name="Normal 240 2 2 2 6" xfId="26381" xr:uid="{00000000-0005-0000-0000-0000F0670000}"/>
    <cellStyle name="Normal 240 2 2 3" xfId="26382" xr:uid="{00000000-0005-0000-0000-0000F1670000}"/>
    <cellStyle name="Normal 240 2 2 3 2" xfId="26383" xr:uid="{00000000-0005-0000-0000-0000F2670000}"/>
    <cellStyle name="Normal 240 2 2 3 3" xfId="26384" xr:uid="{00000000-0005-0000-0000-0000F3670000}"/>
    <cellStyle name="Normal 240 2 2 4" xfId="26385" xr:uid="{00000000-0005-0000-0000-0000F4670000}"/>
    <cellStyle name="Normal 240 2 2 4 2" xfId="26386" xr:uid="{00000000-0005-0000-0000-0000F5670000}"/>
    <cellStyle name="Normal 240 2 2 4 3" xfId="26387" xr:uid="{00000000-0005-0000-0000-0000F6670000}"/>
    <cellStyle name="Normal 240 2 2 5" xfId="26388" xr:uid="{00000000-0005-0000-0000-0000F7670000}"/>
    <cellStyle name="Normal 240 2 2 6" xfId="26389" xr:uid="{00000000-0005-0000-0000-0000F8670000}"/>
    <cellStyle name="Normal 240 2 2 7" xfId="26390" xr:uid="{00000000-0005-0000-0000-0000F9670000}"/>
    <cellStyle name="Normal 240 2 2 8" xfId="26391" xr:uid="{00000000-0005-0000-0000-0000FA670000}"/>
    <cellStyle name="Normal 240 2 3" xfId="26392" xr:uid="{00000000-0005-0000-0000-0000FB670000}"/>
    <cellStyle name="Normal 240 2 3 2" xfId="26393" xr:uid="{00000000-0005-0000-0000-0000FC670000}"/>
    <cellStyle name="Normal 240 2 3 2 2" xfId="26394" xr:uid="{00000000-0005-0000-0000-0000FD670000}"/>
    <cellStyle name="Normal 240 2 3 2 3" xfId="26395" xr:uid="{00000000-0005-0000-0000-0000FE670000}"/>
    <cellStyle name="Normal 240 2 3 3" xfId="26396" xr:uid="{00000000-0005-0000-0000-0000FF670000}"/>
    <cellStyle name="Normal 240 2 3 3 2" xfId="26397" xr:uid="{00000000-0005-0000-0000-000000680000}"/>
    <cellStyle name="Normal 240 2 3 3 3" xfId="26398" xr:uid="{00000000-0005-0000-0000-000001680000}"/>
    <cellStyle name="Normal 240 2 3 4" xfId="26399" xr:uid="{00000000-0005-0000-0000-000002680000}"/>
    <cellStyle name="Normal 240 2 3 5" xfId="26400" xr:uid="{00000000-0005-0000-0000-000003680000}"/>
    <cellStyle name="Normal 240 2 3 6" xfId="26401" xr:uid="{00000000-0005-0000-0000-000004680000}"/>
    <cellStyle name="Normal 240 2 4" xfId="26402" xr:uid="{00000000-0005-0000-0000-000005680000}"/>
    <cellStyle name="Normal 240 2 4 2" xfId="26403" xr:uid="{00000000-0005-0000-0000-000006680000}"/>
    <cellStyle name="Normal 240 2 4 3" xfId="26404" xr:uid="{00000000-0005-0000-0000-000007680000}"/>
    <cellStyle name="Normal 240 2 5" xfId="26405" xr:uid="{00000000-0005-0000-0000-000008680000}"/>
    <cellStyle name="Normal 240 2 5 2" xfId="26406" xr:uid="{00000000-0005-0000-0000-000009680000}"/>
    <cellStyle name="Normal 240 2 5 3" xfId="26407" xr:uid="{00000000-0005-0000-0000-00000A680000}"/>
    <cellStyle name="Normal 240 2 6" xfId="26408" xr:uid="{00000000-0005-0000-0000-00000B680000}"/>
    <cellStyle name="Normal 240 2 7" xfId="26409" xr:uid="{00000000-0005-0000-0000-00000C680000}"/>
    <cellStyle name="Normal 240 2 8" xfId="26410" xr:uid="{00000000-0005-0000-0000-00000D680000}"/>
    <cellStyle name="Normal 240 2 9" xfId="26411" xr:uid="{00000000-0005-0000-0000-00000E680000}"/>
    <cellStyle name="Normal 240 3" xfId="26412" xr:uid="{00000000-0005-0000-0000-00000F680000}"/>
    <cellStyle name="Normal 240 3 2" xfId="26413" xr:uid="{00000000-0005-0000-0000-000010680000}"/>
    <cellStyle name="Normal 240 3 2 2" xfId="26414" xr:uid="{00000000-0005-0000-0000-000011680000}"/>
    <cellStyle name="Normal 240 3 2 2 2" xfId="26415" xr:uid="{00000000-0005-0000-0000-000012680000}"/>
    <cellStyle name="Normal 240 3 2 2 3" xfId="26416" xr:uid="{00000000-0005-0000-0000-000013680000}"/>
    <cellStyle name="Normal 240 3 2 3" xfId="26417" xr:uid="{00000000-0005-0000-0000-000014680000}"/>
    <cellStyle name="Normal 240 3 2 3 2" xfId="26418" xr:uid="{00000000-0005-0000-0000-000015680000}"/>
    <cellStyle name="Normal 240 3 2 3 3" xfId="26419" xr:uid="{00000000-0005-0000-0000-000016680000}"/>
    <cellStyle name="Normal 240 3 2 4" xfId="26420" xr:uid="{00000000-0005-0000-0000-000017680000}"/>
    <cellStyle name="Normal 240 3 2 5" xfId="26421" xr:uid="{00000000-0005-0000-0000-000018680000}"/>
    <cellStyle name="Normal 240 3 2 6" xfId="26422" xr:uid="{00000000-0005-0000-0000-000019680000}"/>
    <cellStyle name="Normal 240 3 3" xfId="26423" xr:uid="{00000000-0005-0000-0000-00001A680000}"/>
    <cellStyle name="Normal 240 3 3 2" xfId="26424" xr:uid="{00000000-0005-0000-0000-00001B680000}"/>
    <cellStyle name="Normal 240 3 3 3" xfId="26425" xr:uid="{00000000-0005-0000-0000-00001C680000}"/>
    <cellStyle name="Normal 240 3 4" xfId="26426" xr:uid="{00000000-0005-0000-0000-00001D680000}"/>
    <cellStyle name="Normal 240 3 4 2" xfId="26427" xr:uid="{00000000-0005-0000-0000-00001E680000}"/>
    <cellStyle name="Normal 240 3 4 3" xfId="26428" xr:uid="{00000000-0005-0000-0000-00001F680000}"/>
    <cellStyle name="Normal 240 3 5" xfId="26429" xr:uid="{00000000-0005-0000-0000-000020680000}"/>
    <cellStyle name="Normal 240 3 6" xfId="26430" xr:uid="{00000000-0005-0000-0000-000021680000}"/>
    <cellStyle name="Normal 240 3 7" xfId="26431" xr:uid="{00000000-0005-0000-0000-000022680000}"/>
    <cellStyle name="Normal 240 3 8" xfId="26432" xr:uid="{00000000-0005-0000-0000-000023680000}"/>
    <cellStyle name="Normal 240 4" xfId="26433" xr:uid="{00000000-0005-0000-0000-000024680000}"/>
    <cellStyle name="Normal 240 4 2" xfId="26434" xr:uid="{00000000-0005-0000-0000-000025680000}"/>
    <cellStyle name="Normal 240 4 2 2" xfId="26435" xr:uid="{00000000-0005-0000-0000-000026680000}"/>
    <cellStyle name="Normal 240 4 2 3" xfId="26436" xr:uid="{00000000-0005-0000-0000-000027680000}"/>
    <cellStyle name="Normal 240 4 3" xfId="26437" xr:uid="{00000000-0005-0000-0000-000028680000}"/>
    <cellStyle name="Normal 240 4 3 2" xfId="26438" xr:uid="{00000000-0005-0000-0000-000029680000}"/>
    <cellStyle name="Normal 240 4 3 3" xfId="26439" xr:uid="{00000000-0005-0000-0000-00002A680000}"/>
    <cellStyle name="Normal 240 4 4" xfId="26440" xr:uid="{00000000-0005-0000-0000-00002B680000}"/>
    <cellStyle name="Normal 240 4 5" xfId="26441" xr:uid="{00000000-0005-0000-0000-00002C680000}"/>
    <cellStyle name="Normal 240 4 6" xfId="26442" xr:uid="{00000000-0005-0000-0000-00002D680000}"/>
    <cellStyle name="Normal 240 5" xfId="26443" xr:uid="{00000000-0005-0000-0000-00002E680000}"/>
    <cellStyle name="Normal 240 5 2" xfId="26444" xr:uid="{00000000-0005-0000-0000-00002F680000}"/>
    <cellStyle name="Normal 240 5 3" xfId="26445" xr:uid="{00000000-0005-0000-0000-000030680000}"/>
    <cellStyle name="Normal 240 6" xfId="26446" xr:uid="{00000000-0005-0000-0000-000031680000}"/>
    <cellStyle name="Normal 240 6 2" xfId="26447" xr:uid="{00000000-0005-0000-0000-000032680000}"/>
    <cellStyle name="Normal 240 6 3" xfId="26448" xr:uid="{00000000-0005-0000-0000-000033680000}"/>
    <cellStyle name="Normal 240 7" xfId="26449" xr:uid="{00000000-0005-0000-0000-000034680000}"/>
    <cellStyle name="Normal 240 8" xfId="26450" xr:uid="{00000000-0005-0000-0000-000035680000}"/>
    <cellStyle name="Normal 240 9" xfId="26451" xr:uid="{00000000-0005-0000-0000-000036680000}"/>
    <cellStyle name="Normal 241" xfId="2675" xr:uid="{00000000-0005-0000-0000-000037680000}"/>
    <cellStyle name="Normal 241 10" xfId="26452" xr:uid="{00000000-0005-0000-0000-000038680000}"/>
    <cellStyle name="Normal 241 11" xfId="26453" xr:uid="{00000000-0005-0000-0000-000039680000}"/>
    <cellStyle name="Normal 241 12" xfId="26454" xr:uid="{00000000-0005-0000-0000-00003A680000}"/>
    <cellStyle name="Normal 241 2" xfId="26455" xr:uid="{00000000-0005-0000-0000-00003B680000}"/>
    <cellStyle name="Normal 241 2 2" xfId="26456" xr:uid="{00000000-0005-0000-0000-00003C680000}"/>
    <cellStyle name="Normal 241 2 2 2" xfId="26457" xr:uid="{00000000-0005-0000-0000-00003D680000}"/>
    <cellStyle name="Normal 241 2 2 2 2" xfId="26458" xr:uid="{00000000-0005-0000-0000-00003E680000}"/>
    <cellStyle name="Normal 241 2 2 2 2 2" xfId="26459" xr:uid="{00000000-0005-0000-0000-00003F680000}"/>
    <cellStyle name="Normal 241 2 2 2 2 3" xfId="26460" xr:uid="{00000000-0005-0000-0000-000040680000}"/>
    <cellStyle name="Normal 241 2 2 2 3" xfId="26461" xr:uid="{00000000-0005-0000-0000-000041680000}"/>
    <cellStyle name="Normal 241 2 2 2 3 2" xfId="26462" xr:uid="{00000000-0005-0000-0000-000042680000}"/>
    <cellStyle name="Normal 241 2 2 2 3 3" xfId="26463" xr:uid="{00000000-0005-0000-0000-000043680000}"/>
    <cellStyle name="Normal 241 2 2 2 4" xfId="26464" xr:uid="{00000000-0005-0000-0000-000044680000}"/>
    <cellStyle name="Normal 241 2 2 2 5" xfId="26465" xr:uid="{00000000-0005-0000-0000-000045680000}"/>
    <cellStyle name="Normal 241 2 2 2 6" xfId="26466" xr:uid="{00000000-0005-0000-0000-000046680000}"/>
    <cellStyle name="Normal 241 2 2 3" xfId="26467" xr:uid="{00000000-0005-0000-0000-000047680000}"/>
    <cellStyle name="Normal 241 2 2 3 2" xfId="26468" xr:uid="{00000000-0005-0000-0000-000048680000}"/>
    <cellStyle name="Normal 241 2 2 3 3" xfId="26469" xr:uid="{00000000-0005-0000-0000-000049680000}"/>
    <cellStyle name="Normal 241 2 2 4" xfId="26470" xr:uid="{00000000-0005-0000-0000-00004A680000}"/>
    <cellStyle name="Normal 241 2 2 4 2" xfId="26471" xr:uid="{00000000-0005-0000-0000-00004B680000}"/>
    <cellStyle name="Normal 241 2 2 4 3" xfId="26472" xr:uid="{00000000-0005-0000-0000-00004C680000}"/>
    <cellStyle name="Normal 241 2 2 5" xfId="26473" xr:uid="{00000000-0005-0000-0000-00004D680000}"/>
    <cellStyle name="Normal 241 2 2 6" xfId="26474" xr:uid="{00000000-0005-0000-0000-00004E680000}"/>
    <cellStyle name="Normal 241 2 2 7" xfId="26475" xr:uid="{00000000-0005-0000-0000-00004F680000}"/>
    <cellStyle name="Normal 241 2 2 8" xfId="26476" xr:uid="{00000000-0005-0000-0000-000050680000}"/>
    <cellStyle name="Normal 241 2 3" xfId="26477" xr:uid="{00000000-0005-0000-0000-000051680000}"/>
    <cellStyle name="Normal 241 2 3 2" xfId="26478" xr:uid="{00000000-0005-0000-0000-000052680000}"/>
    <cellStyle name="Normal 241 2 3 2 2" xfId="26479" xr:uid="{00000000-0005-0000-0000-000053680000}"/>
    <cellStyle name="Normal 241 2 3 2 3" xfId="26480" xr:uid="{00000000-0005-0000-0000-000054680000}"/>
    <cellStyle name="Normal 241 2 3 3" xfId="26481" xr:uid="{00000000-0005-0000-0000-000055680000}"/>
    <cellStyle name="Normal 241 2 3 3 2" xfId="26482" xr:uid="{00000000-0005-0000-0000-000056680000}"/>
    <cellStyle name="Normal 241 2 3 3 3" xfId="26483" xr:uid="{00000000-0005-0000-0000-000057680000}"/>
    <cellStyle name="Normal 241 2 3 4" xfId="26484" xr:uid="{00000000-0005-0000-0000-000058680000}"/>
    <cellStyle name="Normal 241 2 3 5" xfId="26485" xr:uid="{00000000-0005-0000-0000-000059680000}"/>
    <cellStyle name="Normal 241 2 3 6" xfId="26486" xr:uid="{00000000-0005-0000-0000-00005A680000}"/>
    <cellStyle name="Normal 241 2 4" xfId="26487" xr:uid="{00000000-0005-0000-0000-00005B680000}"/>
    <cellStyle name="Normal 241 2 4 2" xfId="26488" xr:uid="{00000000-0005-0000-0000-00005C680000}"/>
    <cellStyle name="Normal 241 2 4 3" xfId="26489" xr:uid="{00000000-0005-0000-0000-00005D680000}"/>
    <cellStyle name="Normal 241 2 5" xfId="26490" xr:uid="{00000000-0005-0000-0000-00005E680000}"/>
    <cellStyle name="Normal 241 2 5 2" xfId="26491" xr:uid="{00000000-0005-0000-0000-00005F680000}"/>
    <cellStyle name="Normal 241 2 5 3" xfId="26492" xr:uid="{00000000-0005-0000-0000-000060680000}"/>
    <cellStyle name="Normal 241 2 6" xfId="26493" xr:uid="{00000000-0005-0000-0000-000061680000}"/>
    <cellStyle name="Normal 241 2 7" xfId="26494" xr:uid="{00000000-0005-0000-0000-000062680000}"/>
    <cellStyle name="Normal 241 2 8" xfId="26495" xr:uid="{00000000-0005-0000-0000-000063680000}"/>
    <cellStyle name="Normal 241 2 9" xfId="26496" xr:uid="{00000000-0005-0000-0000-000064680000}"/>
    <cellStyle name="Normal 241 3" xfId="26497" xr:uid="{00000000-0005-0000-0000-000065680000}"/>
    <cellStyle name="Normal 241 3 2" xfId="26498" xr:uid="{00000000-0005-0000-0000-000066680000}"/>
    <cellStyle name="Normal 241 3 2 2" xfId="26499" xr:uid="{00000000-0005-0000-0000-000067680000}"/>
    <cellStyle name="Normal 241 3 2 2 2" xfId="26500" xr:uid="{00000000-0005-0000-0000-000068680000}"/>
    <cellStyle name="Normal 241 3 2 2 3" xfId="26501" xr:uid="{00000000-0005-0000-0000-000069680000}"/>
    <cellStyle name="Normal 241 3 2 3" xfId="26502" xr:uid="{00000000-0005-0000-0000-00006A680000}"/>
    <cellStyle name="Normal 241 3 2 3 2" xfId="26503" xr:uid="{00000000-0005-0000-0000-00006B680000}"/>
    <cellStyle name="Normal 241 3 2 3 3" xfId="26504" xr:uid="{00000000-0005-0000-0000-00006C680000}"/>
    <cellStyle name="Normal 241 3 2 4" xfId="26505" xr:uid="{00000000-0005-0000-0000-00006D680000}"/>
    <cellStyle name="Normal 241 3 2 5" xfId="26506" xr:uid="{00000000-0005-0000-0000-00006E680000}"/>
    <cellStyle name="Normal 241 3 2 6" xfId="26507" xr:uid="{00000000-0005-0000-0000-00006F680000}"/>
    <cellStyle name="Normal 241 3 3" xfId="26508" xr:uid="{00000000-0005-0000-0000-000070680000}"/>
    <cellStyle name="Normal 241 3 3 2" xfId="26509" xr:uid="{00000000-0005-0000-0000-000071680000}"/>
    <cellStyle name="Normal 241 3 3 3" xfId="26510" xr:uid="{00000000-0005-0000-0000-000072680000}"/>
    <cellStyle name="Normal 241 3 4" xfId="26511" xr:uid="{00000000-0005-0000-0000-000073680000}"/>
    <cellStyle name="Normal 241 3 4 2" xfId="26512" xr:uid="{00000000-0005-0000-0000-000074680000}"/>
    <cellStyle name="Normal 241 3 4 3" xfId="26513" xr:uid="{00000000-0005-0000-0000-000075680000}"/>
    <cellStyle name="Normal 241 3 5" xfId="26514" xr:uid="{00000000-0005-0000-0000-000076680000}"/>
    <cellStyle name="Normal 241 3 6" xfId="26515" xr:uid="{00000000-0005-0000-0000-000077680000}"/>
    <cellStyle name="Normal 241 3 7" xfId="26516" xr:uid="{00000000-0005-0000-0000-000078680000}"/>
    <cellStyle name="Normal 241 3 8" xfId="26517" xr:uid="{00000000-0005-0000-0000-000079680000}"/>
    <cellStyle name="Normal 241 4" xfId="26518" xr:uid="{00000000-0005-0000-0000-00007A680000}"/>
    <cellStyle name="Normal 241 4 2" xfId="26519" xr:uid="{00000000-0005-0000-0000-00007B680000}"/>
    <cellStyle name="Normal 241 4 2 2" xfId="26520" xr:uid="{00000000-0005-0000-0000-00007C680000}"/>
    <cellStyle name="Normal 241 4 2 3" xfId="26521" xr:uid="{00000000-0005-0000-0000-00007D680000}"/>
    <cellStyle name="Normal 241 4 3" xfId="26522" xr:uid="{00000000-0005-0000-0000-00007E680000}"/>
    <cellStyle name="Normal 241 4 3 2" xfId="26523" xr:uid="{00000000-0005-0000-0000-00007F680000}"/>
    <cellStyle name="Normal 241 4 3 3" xfId="26524" xr:uid="{00000000-0005-0000-0000-000080680000}"/>
    <cellStyle name="Normal 241 4 4" xfId="26525" xr:uid="{00000000-0005-0000-0000-000081680000}"/>
    <cellStyle name="Normal 241 4 5" xfId="26526" xr:uid="{00000000-0005-0000-0000-000082680000}"/>
    <cellStyle name="Normal 241 4 6" xfId="26527" xr:uid="{00000000-0005-0000-0000-000083680000}"/>
    <cellStyle name="Normal 241 5" xfId="26528" xr:uid="{00000000-0005-0000-0000-000084680000}"/>
    <cellStyle name="Normal 241 5 2" xfId="26529" xr:uid="{00000000-0005-0000-0000-000085680000}"/>
    <cellStyle name="Normal 241 5 3" xfId="26530" xr:uid="{00000000-0005-0000-0000-000086680000}"/>
    <cellStyle name="Normal 241 6" xfId="26531" xr:uid="{00000000-0005-0000-0000-000087680000}"/>
    <cellStyle name="Normal 241 6 2" xfId="26532" xr:uid="{00000000-0005-0000-0000-000088680000}"/>
    <cellStyle name="Normal 241 6 3" xfId="26533" xr:uid="{00000000-0005-0000-0000-000089680000}"/>
    <cellStyle name="Normal 241 7" xfId="26534" xr:uid="{00000000-0005-0000-0000-00008A680000}"/>
    <cellStyle name="Normal 241 8" xfId="26535" xr:uid="{00000000-0005-0000-0000-00008B680000}"/>
    <cellStyle name="Normal 241 9" xfId="26536" xr:uid="{00000000-0005-0000-0000-00008C680000}"/>
    <cellStyle name="Normal 242" xfId="2676" xr:uid="{00000000-0005-0000-0000-00008D680000}"/>
    <cellStyle name="Normal 242 10" xfId="26537" xr:uid="{00000000-0005-0000-0000-00008E680000}"/>
    <cellStyle name="Normal 242 11" xfId="26538" xr:uid="{00000000-0005-0000-0000-00008F680000}"/>
    <cellStyle name="Normal 242 12" xfId="26539" xr:uid="{00000000-0005-0000-0000-000090680000}"/>
    <cellStyle name="Normal 242 2" xfId="2677" xr:uid="{00000000-0005-0000-0000-000091680000}"/>
    <cellStyle name="Normal 242 2 10" xfId="26540" xr:uid="{00000000-0005-0000-0000-000092680000}"/>
    <cellStyle name="Normal 242 2 2" xfId="26541" xr:uid="{00000000-0005-0000-0000-000093680000}"/>
    <cellStyle name="Normal 242 2 2 2" xfId="26542" xr:uid="{00000000-0005-0000-0000-000094680000}"/>
    <cellStyle name="Normal 242 2 2 2 2" xfId="26543" xr:uid="{00000000-0005-0000-0000-000095680000}"/>
    <cellStyle name="Normal 242 2 2 2 2 2" xfId="26544" xr:uid="{00000000-0005-0000-0000-000096680000}"/>
    <cellStyle name="Normal 242 2 2 2 2 3" xfId="26545" xr:uid="{00000000-0005-0000-0000-000097680000}"/>
    <cellStyle name="Normal 242 2 2 2 3" xfId="26546" xr:uid="{00000000-0005-0000-0000-000098680000}"/>
    <cellStyle name="Normal 242 2 2 2 3 2" xfId="26547" xr:uid="{00000000-0005-0000-0000-000099680000}"/>
    <cellStyle name="Normal 242 2 2 2 3 3" xfId="26548" xr:uid="{00000000-0005-0000-0000-00009A680000}"/>
    <cellStyle name="Normal 242 2 2 2 4" xfId="26549" xr:uid="{00000000-0005-0000-0000-00009B680000}"/>
    <cellStyle name="Normal 242 2 2 2 5" xfId="26550" xr:uid="{00000000-0005-0000-0000-00009C680000}"/>
    <cellStyle name="Normal 242 2 2 2 6" xfId="26551" xr:uid="{00000000-0005-0000-0000-00009D680000}"/>
    <cellStyle name="Normal 242 2 2 3" xfId="26552" xr:uid="{00000000-0005-0000-0000-00009E680000}"/>
    <cellStyle name="Normal 242 2 2 3 2" xfId="26553" xr:uid="{00000000-0005-0000-0000-00009F680000}"/>
    <cellStyle name="Normal 242 2 2 3 3" xfId="26554" xr:uid="{00000000-0005-0000-0000-0000A0680000}"/>
    <cellStyle name="Normal 242 2 2 4" xfId="26555" xr:uid="{00000000-0005-0000-0000-0000A1680000}"/>
    <cellStyle name="Normal 242 2 2 4 2" xfId="26556" xr:uid="{00000000-0005-0000-0000-0000A2680000}"/>
    <cellStyle name="Normal 242 2 2 4 3" xfId="26557" xr:uid="{00000000-0005-0000-0000-0000A3680000}"/>
    <cellStyle name="Normal 242 2 2 5" xfId="26558" xr:uid="{00000000-0005-0000-0000-0000A4680000}"/>
    <cellStyle name="Normal 242 2 2 6" xfId="26559" xr:uid="{00000000-0005-0000-0000-0000A5680000}"/>
    <cellStyle name="Normal 242 2 2 7" xfId="26560" xr:uid="{00000000-0005-0000-0000-0000A6680000}"/>
    <cellStyle name="Normal 242 2 2 8" xfId="26561" xr:uid="{00000000-0005-0000-0000-0000A7680000}"/>
    <cellStyle name="Normal 242 2 3" xfId="26562" xr:uid="{00000000-0005-0000-0000-0000A8680000}"/>
    <cellStyle name="Normal 242 2 3 2" xfId="26563" xr:uid="{00000000-0005-0000-0000-0000A9680000}"/>
    <cellStyle name="Normal 242 2 3 2 2" xfId="26564" xr:uid="{00000000-0005-0000-0000-0000AA680000}"/>
    <cellStyle name="Normal 242 2 3 2 3" xfId="26565" xr:uid="{00000000-0005-0000-0000-0000AB680000}"/>
    <cellStyle name="Normal 242 2 3 3" xfId="26566" xr:uid="{00000000-0005-0000-0000-0000AC680000}"/>
    <cellStyle name="Normal 242 2 3 3 2" xfId="26567" xr:uid="{00000000-0005-0000-0000-0000AD680000}"/>
    <cellStyle name="Normal 242 2 3 3 3" xfId="26568" xr:uid="{00000000-0005-0000-0000-0000AE680000}"/>
    <cellStyle name="Normal 242 2 3 4" xfId="26569" xr:uid="{00000000-0005-0000-0000-0000AF680000}"/>
    <cellStyle name="Normal 242 2 3 5" xfId="26570" xr:uid="{00000000-0005-0000-0000-0000B0680000}"/>
    <cellStyle name="Normal 242 2 3 6" xfId="26571" xr:uid="{00000000-0005-0000-0000-0000B1680000}"/>
    <cellStyle name="Normal 242 2 4" xfId="26572" xr:uid="{00000000-0005-0000-0000-0000B2680000}"/>
    <cellStyle name="Normal 242 2 4 2" xfId="26573" xr:uid="{00000000-0005-0000-0000-0000B3680000}"/>
    <cellStyle name="Normal 242 2 4 3" xfId="26574" xr:uid="{00000000-0005-0000-0000-0000B4680000}"/>
    <cellStyle name="Normal 242 2 5" xfId="26575" xr:uid="{00000000-0005-0000-0000-0000B5680000}"/>
    <cellStyle name="Normal 242 2 5 2" xfId="26576" xr:uid="{00000000-0005-0000-0000-0000B6680000}"/>
    <cellStyle name="Normal 242 2 5 3" xfId="26577" xr:uid="{00000000-0005-0000-0000-0000B7680000}"/>
    <cellStyle name="Normal 242 2 6" xfId="26578" xr:uid="{00000000-0005-0000-0000-0000B8680000}"/>
    <cellStyle name="Normal 242 2 7" xfId="26579" xr:uid="{00000000-0005-0000-0000-0000B9680000}"/>
    <cellStyle name="Normal 242 2 8" xfId="26580" xr:uid="{00000000-0005-0000-0000-0000BA680000}"/>
    <cellStyle name="Normal 242 2 9" xfId="26581" xr:uid="{00000000-0005-0000-0000-0000BB680000}"/>
    <cellStyle name="Normal 242 3" xfId="26582" xr:uid="{00000000-0005-0000-0000-0000BC680000}"/>
    <cellStyle name="Normal 242 3 2" xfId="26583" xr:uid="{00000000-0005-0000-0000-0000BD680000}"/>
    <cellStyle name="Normal 242 3 2 2" xfId="26584" xr:uid="{00000000-0005-0000-0000-0000BE680000}"/>
    <cellStyle name="Normal 242 3 2 2 2" xfId="26585" xr:uid="{00000000-0005-0000-0000-0000BF680000}"/>
    <cellStyle name="Normal 242 3 2 2 3" xfId="26586" xr:uid="{00000000-0005-0000-0000-0000C0680000}"/>
    <cellStyle name="Normal 242 3 2 3" xfId="26587" xr:uid="{00000000-0005-0000-0000-0000C1680000}"/>
    <cellStyle name="Normal 242 3 2 3 2" xfId="26588" xr:uid="{00000000-0005-0000-0000-0000C2680000}"/>
    <cellStyle name="Normal 242 3 2 3 3" xfId="26589" xr:uid="{00000000-0005-0000-0000-0000C3680000}"/>
    <cellStyle name="Normal 242 3 2 4" xfId="26590" xr:uid="{00000000-0005-0000-0000-0000C4680000}"/>
    <cellStyle name="Normal 242 3 2 5" xfId="26591" xr:uid="{00000000-0005-0000-0000-0000C5680000}"/>
    <cellStyle name="Normal 242 3 2 6" xfId="26592" xr:uid="{00000000-0005-0000-0000-0000C6680000}"/>
    <cellStyle name="Normal 242 3 3" xfId="26593" xr:uid="{00000000-0005-0000-0000-0000C7680000}"/>
    <cellStyle name="Normal 242 3 3 2" xfId="26594" xr:uid="{00000000-0005-0000-0000-0000C8680000}"/>
    <cellStyle name="Normal 242 3 3 3" xfId="26595" xr:uid="{00000000-0005-0000-0000-0000C9680000}"/>
    <cellStyle name="Normal 242 3 4" xfId="26596" xr:uid="{00000000-0005-0000-0000-0000CA680000}"/>
    <cellStyle name="Normal 242 3 4 2" xfId="26597" xr:uid="{00000000-0005-0000-0000-0000CB680000}"/>
    <cellStyle name="Normal 242 3 4 3" xfId="26598" xr:uid="{00000000-0005-0000-0000-0000CC680000}"/>
    <cellStyle name="Normal 242 3 5" xfId="26599" xr:uid="{00000000-0005-0000-0000-0000CD680000}"/>
    <cellStyle name="Normal 242 3 6" xfId="26600" xr:uid="{00000000-0005-0000-0000-0000CE680000}"/>
    <cellStyle name="Normal 242 3 7" xfId="26601" xr:uid="{00000000-0005-0000-0000-0000CF680000}"/>
    <cellStyle name="Normal 242 3 8" xfId="26602" xr:uid="{00000000-0005-0000-0000-0000D0680000}"/>
    <cellStyle name="Normal 242 4" xfId="26603" xr:uid="{00000000-0005-0000-0000-0000D1680000}"/>
    <cellStyle name="Normal 242 4 2" xfId="26604" xr:uid="{00000000-0005-0000-0000-0000D2680000}"/>
    <cellStyle name="Normal 242 4 2 2" xfId="26605" xr:uid="{00000000-0005-0000-0000-0000D3680000}"/>
    <cellStyle name="Normal 242 4 2 3" xfId="26606" xr:uid="{00000000-0005-0000-0000-0000D4680000}"/>
    <cellStyle name="Normal 242 4 3" xfId="26607" xr:uid="{00000000-0005-0000-0000-0000D5680000}"/>
    <cellStyle name="Normal 242 4 3 2" xfId="26608" xr:uid="{00000000-0005-0000-0000-0000D6680000}"/>
    <cellStyle name="Normal 242 4 3 3" xfId="26609" xr:uid="{00000000-0005-0000-0000-0000D7680000}"/>
    <cellStyle name="Normal 242 4 4" xfId="26610" xr:uid="{00000000-0005-0000-0000-0000D8680000}"/>
    <cellStyle name="Normal 242 4 5" xfId="26611" xr:uid="{00000000-0005-0000-0000-0000D9680000}"/>
    <cellStyle name="Normal 242 4 6" xfId="26612" xr:uid="{00000000-0005-0000-0000-0000DA680000}"/>
    <cellStyle name="Normal 242 5" xfId="26613" xr:uid="{00000000-0005-0000-0000-0000DB680000}"/>
    <cellStyle name="Normal 242 5 2" xfId="26614" xr:uid="{00000000-0005-0000-0000-0000DC680000}"/>
    <cellStyle name="Normal 242 5 3" xfId="26615" xr:uid="{00000000-0005-0000-0000-0000DD680000}"/>
    <cellStyle name="Normal 242 6" xfId="26616" xr:uid="{00000000-0005-0000-0000-0000DE680000}"/>
    <cellStyle name="Normal 242 6 2" xfId="26617" xr:uid="{00000000-0005-0000-0000-0000DF680000}"/>
    <cellStyle name="Normal 242 6 3" xfId="26618" xr:uid="{00000000-0005-0000-0000-0000E0680000}"/>
    <cellStyle name="Normal 242 7" xfId="26619" xr:uid="{00000000-0005-0000-0000-0000E1680000}"/>
    <cellStyle name="Normal 242 8" xfId="26620" xr:uid="{00000000-0005-0000-0000-0000E2680000}"/>
    <cellStyle name="Normal 242 9" xfId="26621" xr:uid="{00000000-0005-0000-0000-0000E3680000}"/>
    <cellStyle name="Normal 243" xfId="2678" xr:uid="{00000000-0005-0000-0000-0000E4680000}"/>
    <cellStyle name="Normal 243 10" xfId="26622" xr:uid="{00000000-0005-0000-0000-0000E5680000}"/>
    <cellStyle name="Normal 243 11" xfId="26623" xr:uid="{00000000-0005-0000-0000-0000E6680000}"/>
    <cellStyle name="Normal 243 12" xfId="26624" xr:uid="{00000000-0005-0000-0000-0000E7680000}"/>
    <cellStyle name="Normal 243 2" xfId="26625" xr:uid="{00000000-0005-0000-0000-0000E8680000}"/>
    <cellStyle name="Normal 243 2 2" xfId="26626" xr:uid="{00000000-0005-0000-0000-0000E9680000}"/>
    <cellStyle name="Normal 243 2 2 2" xfId="26627" xr:uid="{00000000-0005-0000-0000-0000EA680000}"/>
    <cellStyle name="Normal 243 2 2 2 2" xfId="26628" xr:uid="{00000000-0005-0000-0000-0000EB680000}"/>
    <cellStyle name="Normal 243 2 2 2 2 2" xfId="26629" xr:uid="{00000000-0005-0000-0000-0000EC680000}"/>
    <cellStyle name="Normal 243 2 2 2 2 3" xfId="26630" xr:uid="{00000000-0005-0000-0000-0000ED680000}"/>
    <cellStyle name="Normal 243 2 2 2 3" xfId="26631" xr:uid="{00000000-0005-0000-0000-0000EE680000}"/>
    <cellStyle name="Normal 243 2 2 2 3 2" xfId="26632" xr:uid="{00000000-0005-0000-0000-0000EF680000}"/>
    <cellStyle name="Normal 243 2 2 2 3 3" xfId="26633" xr:uid="{00000000-0005-0000-0000-0000F0680000}"/>
    <cellStyle name="Normal 243 2 2 2 4" xfId="26634" xr:uid="{00000000-0005-0000-0000-0000F1680000}"/>
    <cellStyle name="Normal 243 2 2 2 5" xfId="26635" xr:uid="{00000000-0005-0000-0000-0000F2680000}"/>
    <cellStyle name="Normal 243 2 2 2 6" xfId="26636" xr:uid="{00000000-0005-0000-0000-0000F3680000}"/>
    <cellStyle name="Normal 243 2 2 3" xfId="26637" xr:uid="{00000000-0005-0000-0000-0000F4680000}"/>
    <cellStyle name="Normal 243 2 2 3 2" xfId="26638" xr:uid="{00000000-0005-0000-0000-0000F5680000}"/>
    <cellStyle name="Normal 243 2 2 3 3" xfId="26639" xr:uid="{00000000-0005-0000-0000-0000F6680000}"/>
    <cellStyle name="Normal 243 2 2 4" xfId="26640" xr:uid="{00000000-0005-0000-0000-0000F7680000}"/>
    <cellStyle name="Normal 243 2 2 4 2" xfId="26641" xr:uid="{00000000-0005-0000-0000-0000F8680000}"/>
    <cellStyle name="Normal 243 2 2 4 3" xfId="26642" xr:uid="{00000000-0005-0000-0000-0000F9680000}"/>
    <cellStyle name="Normal 243 2 2 5" xfId="26643" xr:uid="{00000000-0005-0000-0000-0000FA680000}"/>
    <cellStyle name="Normal 243 2 2 6" xfId="26644" xr:uid="{00000000-0005-0000-0000-0000FB680000}"/>
    <cellStyle name="Normal 243 2 2 7" xfId="26645" xr:uid="{00000000-0005-0000-0000-0000FC680000}"/>
    <cellStyle name="Normal 243 2 2 8" xfId="26646" xr:uid="{00000000-0005-0000-0000-0000FD680000}"/>
    <cellStyle name="Normal 243 2 3" xfId="26647" xr:uid="{00000000-0005-0000-0000-0000FE680000}"/>
    <cellStyle name="Normal 243 2 3 2" xfId="26648" xr:uid="{00000000-0005-0000-0000-0000FF680000}"/>
    <cellStyle name="Normal 243 2 3 2 2" xfId="26649" xr:uid="{00000000-0005-0000-0000-000000690000}"/>
    <cellStyle name="Normal 243 2 3 2 3" xfId="26650" xr:uid="{00000000-0005-0000-0000-000001690000}"/>
    <cellStyle name="Normal 243 2 3 3" xfId="26651" xr:uid="{00000000-0005-0000-0000-000002690000}"/>
    <cellStyle name="Normal 243 2 3 3 2" xfId="26652" xr:uid="{00000000-0005-0000-0000-000003690000}"/>
    <cellStyle name="Normal 243 2 3 3 3" xfId="26653" xr:uid="{00000000-0005-0000-0000-000004690000}"/>
    <cellStyle name="Normal 243 2 3 4" xfId="26654" xr:uid="{00000000-0005-0000-0000-000005690000}"/>
    <cellStyle name="Normal 243 2 3 5" xfId="26655" xr:uid="{00000000-0005-0000-0000-000006690000}"/>
    <cellStyle name="Normal 243 2 3 6" xfId="26656" xr:uid="{00000000-0005-0000-0000-000007690000}"/>
    <cellStyle name="Normal 243 2 4" xfId="26657" xr:uid="{00000000-0005-0000-0000-000008690000}"/>
    <cellStyle name="Normal 243 2 4 2" xfId="26658" xr:uid="{00000000-0005-0000-0000-000009690000}"/>
    <cellStyle name="Normal 243 2 4 3" xfId="26659" xr:uid="{00000000-0005-0000-0000-00000A690000}"/>
    <cellStyle name="Normal 243 2 5" xfId="26660" xr:uid="{00000000-0005-0000-0000-00000B690000}"/>
    <cellStyle name="Normal 243 2 5 2" xfId="26661" xr:uid="{00000000-0005-0000-0000-00000C690000}"/>
    <cellStyle name="Normal 243 2 5 3" xfId="26662" xr:uid="{00000000-0005-0000-0000-00000D690000}"/>
    <cellStyle name="Normal 243 2 6" xfId="26663" xr:uid="{00000000-0005-0000-0000-00000E690000}"/>
    <cellStyle name="Normal 243 2 7" xfId="26664" xr:uid="{00000000-0005-0000-0000-00000F690000}"/>
    <cellStyle name="Normal 243 2 8" xfId="26665" xr:uid="{00000000-0005-0000-0000-000010690000}"/>
    <cellStyle name="Normal 243 2 9" xfId="26666" xr:uid="{00000000-0005-0000-0000-000011690000}"/>
    <cellStyle name="Normal 243 3" xfId="26667" xr:uid="{00000000-0005-0000-0000-000012690000}"/>
    <cellStyle name="Normal 243 3 2" xfId="26668" xr:uid="{00000000-0005-0000-0000-000013690000}"/>
    <cellStyle name="Normal 243 3 2 2" xfId="26669" xr:uid="{00000000-0005-0000-0000-000014690000}"/>
    <cellStyle name="Normal 243 3 2 2 2" xfId="26670" xr:uid="{00000000-0005-0000-0000-000015690000}"/>
    <cellStyle name="Normal 243 3 2 2 3" xfId="26671" xr:uid="{00000000-0005-0000-0000-000016690000}"/>
    <cellStyle name="Normal 243 3 2 3" xfId="26672" xr:uid="{00000000-0005-0000-0000-000017690000}"/>
    <cellStyle name="Normal 243 3 2 3 2" xfId="26673" xr:uid="{00000000-0005-0000-0000-000018690000}"/>
    <cellStyle name="Normal 243 3 2 3 3" xfId="26674" xr:uid="{00000000-0005-0000-0000-000019690000}"/>
    <cellStyle name="Normal 243 3 2 4" xfId="26675" xr:uid="{00000000-0005-0000-0000-00001A690000}"/>
    <cellStyle name="Normal 243 3 2 5" xfId="26676" xr:uid="{00000000-0005-0000-0000-00001B690000}"/>
    <cellStyle name="Normal 243 3 2 6" xfId="26677" xr:uid="{00000000-0005-0000-0000-00001C690000}"/>
    <cellStyle name="Normal 243 3 3" xfId="26678" xr:uid="{00000000-0005-0000-0000-00001D690000}"/>
    <cellStyle name="Normal 243 3 3 2" xfId="26679" xr:uid="{00000000-0005-0000-0000-00001E690000}"/>
    <cellStyle name="Normal 243 3 3 3" xfId="26680" xr:uid="{00000000-0005-0000-0000-00001F690000}"/>
    <cellStyle name="Normal 243 3 4" xfId="26681" xr:uid="{00000000-0005-0000-0000-000020690000}"/>
    <cellStyle name="Normal 243 3 4 2" xfId="26682" xr:uid="{00000000-0005-0000-0000-000021690000}"/>
    <cellStyle name="Normal 243 3 4 3" xfId="26683" xr:uid="{00000000-0005-0000-0000-000022690000}"/>
    <cellStyle name="Normal 243 3 5" xfId="26684" xr:uid="{00000000-0005-0000-0000-000023690000}"/>
    <cellStyle name="Normal 243 3 6" xfId="26685" xr:uid="{00000000-0005-0000-0000-000024690000}"/>
    <cellStyle name="Normal 243 3 7" xfId="26686" xr:uid="{00000000-0005-0000-0000-000025690000}"/>
    <cellStyle name="Normal 243 3 8" xfId="26687" xr:uid="{00000000-0005-0000-0000-000026690000}"/>
    <cellStyle name="Normal 243 4" xfId="26688" xr:uid="{00000000-0005-0000-0000-000027690000}"/>
    <cellStyle name="Normal 243 4 2" xfId="26689" xr:uid="{00000000-0005-0000-0000-000028690000}"/>
    <cellStyle name="Normal 243 4 2 2" xfId="26690" xr:uid="{00000000-0005-0000-0000-000029690000}"/>
    <cellStyle name="Normal 243 4 2 3" xfId="26691" xr:uid="{00000000-0005-0000-0000-00002A690000}"/>
    <cellStyle name="Normal 243 4 3" xfId="26692" xr:uid="{00000000-0005-0000-0000-00002B690000}"/>
    <cellStyle name="Normal 243 4 3 2" xfId="26693" xr:uid="{00000000-0005-0000-0000-00002C690000}"/>
    <cellStyle name="Normal 243 4 3 3" xfId="26694" xr:uid="{00000000-0005-0000-0000-00002D690000}"/>
    <cellStyle name="Normal 243 4 4" xfId="26695" xr:uid="{00000000-0005-0000-0000-00002E690000}"/>
    <cellStyle name="Normal 243 4 5" xfId="26696" xr:uid="{00000000-0005-0000-0000-00002F690000}"/>
    <cellStyle name="Normal 243 4 6" xfId="26697" xr:uid="{00000000-0005-0000-0000-000030690000}"/>
    <cellStyle name="Normal 243 5" xfId="26698" xr:uid="{00000000-0005-0000-0000-000031690000}"/>
    <cellStyle name="Normal 243 5 2" xfId="26699" xr:uid="{00000000-0005-0000-0000-000032690000}"/>
    <cellStyle name="Normal 243 5 3" xfId="26700" xr:uid="{00000000-0005-0000-0000-000033690000}"/>
    <cellStyle name="Normal 243 6" xfId="26701" xr:uid="{00000000-0005-0000-0000-000034690000}"/>
    <cellStyle name="Normal 243 6 2" xfId="26702" xr:uid="{00000000-0005-0000-0000-000035690000}"/>
    <cellStyle name="Normal 243 6 3" xfId="26703" xr:uid="{00000000-0005-0000-0000-000036690000}"/>
    <cellStyle name="Normal 243 7" xfId="26704" xr:uid="{00000000-0005-0000-0000-000037690000}"/>
    <cellStyle name="Normal 243 8" xfId="26705" xr:uid="{00000000-0005-0000-0000-000038690000}"/>
    <cellStyle name="Normal 243 9" xfId="26706" xr:uid="{00000000-0005-0000-0000-000039690000}"/>
    <cellStyle name="Normal 244" xfId="2679" xr:uid="{00000000-0005-0000-0000-00003A690000}"/>
    <cellStyle name="Normal 244 10" xfId="26707" xr:uid="{00000000-0005-0000-0000-00003B690000}"/>
    <cellStyle name="Normal 244 11" xfId="26708" xr:uid="{00000000-0005-0000-0000-00003C690000}"/>
    <cellStyle name="Normal 244 2" xfId="2680" xr:uid="{00000000-0005-0000-0000-00003D690000}"/>
    <cellStyle name="Normal 244 2 10" xfId="26709" xr:uid="{00000000-0005-0000-0000-00003E690000}"/>
    <cellStyle name="Normal 244 2 2" xfId="26710" xr:uid="{00000000-0005-0000-0000-00003F690000}"/>
    <cellStyle name="Normal 244 2 2 2" xfId="26711" xr:uid="{00000000-0005-0000-0000-000040690000}"/>
    <cellStyle name="Normal 244 2 2 2 2" xfId="26712" xr:uid="{00000000-0005-0000-0000-000041690000}"/>
    <cellStyle name="Normal 244 2 2 2 2 2" xfId="26713" xr:uid="{00000000-0005-0000-0000-000042690000}"/>
    <cellStyle name="Normal 244 2 2 2 2 3" xfId="26714" xr:uid="{00000000-0005-0000-0000-000043690000}"/>
    <cellStyle name="Normal 244 2 2 2 3" xfId="26715" xr:uid="{00000000-0005-0000-0000-000044690000}"/>
    <cellStyle name="Normal 244 2 2 2 3 2" xfId="26716" xr:uid="{00000000-0005-0000-0000-000045690000}"/>
    <cellStyle name="Normal 244 2 2 2 3 3" xfId="26717" xr:uid="{00000000-0005-0000-0000-000046690000}"/>
    <cellStyle name="Normal 244 2 2 2 4" xfId="26718" xr:uid="{00000000-0005-0000-0000-000047690000}"/>
    <cellStyle name="Normal 244 2 2 2 5" xfId="26719" xr:uid="{00000000-0005-0000-0000-000048690000}"/>
    <cellStyle name="Normal 244 2 2 2 6" xfId="26720" xr:uid="{00000000-0005-0000-0000-000049690000}"/>
    <cellStyle name="Normal 244 2 2 3" xfId="26721" xr:uid="{00000000-0005-0000-0000-00004A690000}"/>
    <cellStyle name="Normal 244 2 2 3 2" xfId="26722" xr:uid="{00000000-0005-0000-0000-00004B690000}"/>
    <cellStyle name="Normal 244 2 2 3 3" xfId="26723" xr:uid="{00000000-0005-0000-0000-00004C690000}"/>
    <cellStyle name="Normal 244 2 2 4" xfId="26724" xr:uid="{00000000-0005-0000-0000-00004D690000}"/>
    <cellStyle name="Normal 244 2 2 4 2" xfId="26725" xr:uid="{00000000-0005-0000-0000-00004E690000}"/>
    <cellStyle name="Normal 244 2 2 4 3" xfId="26726" xr:uid="{00000000-0005-0000-0000-00004F690000}"/>
    <cellStyle name="Normal 244 2 2 5" xfId="26727" xr:uid="{00000000-0005-0000-0000-000050690000}"/>
    <cellStyle name="Normal 244 2 2 6" xfId="26728" xr:uid="{00000000-0005-0000-0000-000051690000}"/>
    <cellStyle name="Normal 244 2 2 7" xfId="26729" xr:uid="{00000000-0005-0000-0000-000052690000}"/>
    <cellStyle name="Normal 244 2 2 8" xfId="26730" xr:uid="{00000000-0005-0000-0000-000053690000}"/>
    <cellStyle name="Normal 244 2 3" xfId="26731" xr:uid="{00000000-0005-0000-0000-000054690000}"/>
    <cellStyle name="Normal 244 2 3 2" xfId="26732" xr:uid="{00000000-0005-0000-0000-000055690000}"/>
    <cellStyle name="Normal 244 2 3 2 2" xfId="26733" xr:uid="{00000000-0005-0000-0000-000056690000}"/>
    <cellStyle name="Normal 244 2 3 2 3" xfId="26734" xr:uid="{00000000-0005-0000-0000-000057690000}"/>
    <cellStyle name="Normal 244 2 3 3" xfId="26735" xr:uid="{00000000-0005-0000-0000-000058690000}"/>
    <cellStyle name="Normal 244 2 3 3 2" xfId="26736" xr:uid="{00000000-0005-0000-0000-000059690000}"/>
    <cellStyle name="Normal 244 2 3 3 3" xfId="26737" xr:uid="{00000000-0005-0000-0000-00005A690000}"/>
    <cellStyle name="Normal 244 2 3 4" xfId="26738" xr:uid="{00000000-0005-0000-0000-00005B690000}"/>
    <cellStyle name="Normal 244 2 3 5" xfId="26739" xr:uid="{00000000-0005-0000-0000-00005C690000}"/>
    <cellStyle name="Normal 244 2 3 6" xfId="26740" xr:uid="{00000000-0005-0000-0000-00005D690000}"/>
    <cellStyle name="Normal 244 2 4" xfId="26741" xr:uid="{00000000-0005-0000-0000-00005E690000}"/>
    <cellStyle name="Normal 244 2 4 2" xfId="26742" xr:uid="{00000000-0005-0000-0000-00005F690000}"/>
    <cellStyle name="Normal 244 2 4 3" xfId="26743" xr:uid="{00000000-0005-0000-0000-000060690000}"/>
    <cellStyle name="Normal 244 2 5" xfId="26744" xr:uid="{00000000-0005-0000-0000-000061690000}"/>
    <cellStyle name="Normal 244 2 5 2" xfId="26745" xr:uid="{00000000-0005-0000-0000-000062690000}"/>
    <cellStyle name="Normal 244 2 5 3" xfId="26746" xr:uid="{00000000-0005-0000-0000-000063690000}"/>
    <cellStyle name="Normal 244 2 6" xfId="26747" xr:uid="{00000000-0005-0000-0000-000064690000}"/>
    <cellStyle name="Normal 244 2 7" xfId="26748" xr:uid="{00000000-0005-0000-0000-000065690000}"/>
    <cellStyle name="Normal 244 2 8" xfId="26749" xr:uid="{00000000-0005-0000-0000-000066690000}"/>
    <cellStyle name="Normal 244 2 9" xfId="26750" xr:uid="{00000000-0005-0000-0000-000067690000}"/>
    <cellStyle name="Normal 244 3" xfId="26751" xr:uid="{00000000-0005-0000-0000-000068690000}"/>
    <cellStyle name="Normal 244 3 2" xfId="26752" xr:uid="{00000000-0005-0000-0000-000069690000}"/>
    <cellStyle name="Normal 244 3 2 2" xfId="26753" xr:uid="{00000000-0005-0000-0000-00006A690000}"/>
    <cellStyle name="Normal 244 3 2 2 2" xfId="26754" xr:uid="{00000000-0005-0000-0000-00006B690000}"/>
    <cellStyle name="Normal 244 3 2 2 3" xfId="26755" xr:uid="{00000000-0005-0000-0000-00006C690000}"/>
    <cellStyle name="Normal 244 3 2 3" xfId="26756" xr:uid="{00000000-0005-0000-0000-00006D690000}"/>
    <cellStyle name="Normal 244 3 2 3 2" xfId="26757" xr:uid="{00000000-0005-0000-0000-00006E690000}"/>
    <cellStyle name="Normal 244 3 2 3 3" xfId="26758" xr:uid="{00000000-0005-0000-0000-00006F690000}"/>
    <cellStyle name="Normal 244 3 2 4" xfId="26759" xr:uid="{00000000-0005-0000-0000-000070690000}"/>
    <cellStyle name="Normal 244 3 2 5" xfId="26760" xr:uid="{00000000-0005-0000-0000-000071690000}"/>
    <cellStyle name="Normal 244 3 2 6" xfId="26761" xr:uid="{00000000-0005-0000-0000-000072690000}"/>
    <cellStyle name="Normal 244 3 3" xfId="26762" xr:uid="{00000000-0005-0000-0000-000073690000}"/>
    <cellStyle name="Normal 244 3 3 2" xfId="26763" xr:uid="{00000000-0005-0000-0000-000074690000}"/>
    <cellStyle name="Normal 244 3 3 3" xfId="26764" xr:uid="{00000000-0005-0000-0000-000075690000}"/>
    <cellStyle name="Normal 244 3 4" xfId="26765" xr:uid="{00000000-0005-0000-0000-000076690000}"/>
    <cellStyle name="Normal 244 3 4 2" xfId="26766" xr:uid="{00000000-0005-0000-0000-000077690000}"/>
    <cellStyle name="Normal 244 3 4 3" xfId="26767" xr:uid="{00000000-0005-0000-0000-000078690000}"/>
    <cellStyle name="Normal 244 3 5" xfId="26768" xr:uid="{00000000-0005-0000-0000-000079690000}"/>
    <cellStyle name="Normal 244 3 6" xfId="26769" xr:uid="{00000000-0005-0000-0000-00007A690000}"/>
    <cellStyle name="Normal 244 3 7" xfId="26770" xr:uid="{00000000-0005-0000-0000-00007B690000}"/>
    <cellStyle name="Normal 244 3 8" xfId="26771" xr:uid="{00000000-0005-0000-0000-00007C690000}"/>
    <cellStyle name="Normal 244 4" xfId="26772" xr:uid="{00000000-0005-0000-0000-00007D690000}"/>
    <cellStyle name="Normal 244 4 2" xfId="26773" xr:uid="{00000000-0005-0000-0000-00007E690000}"/>
    <cellStyle name="Normal 244 4 2 2" xfId="26774" xr:uid="{00000000-0005-0000-0000-00007F690000}"/>
    <cellStyle name="Normal 244 4 2 3" xfId="26775" xr:uid="{00000000-0005-0000-0000-000080690000}"/>
    <cellStyle name="Normal 244 4 3" xfId="26776" xr:uid="{00000000-0005-0000-0000-000081690000}"/>
    <cellStyle name="Normal 244 4 3 2" xfId="26777" xr:uid="{00000000-0005-0000-0000-000082690000}"/>
    <cellStyle name="Normal 244 4 3 3" xfId="26778" xr:uid="{00000000-0005-0000-0000-000083690000}"/>
    <cellStyle name="Normal 244 4 4" xfId="26779" xr:uid="{00000000-0005-0000-0000-000084690000}"/>
    <cellStyle name="Normal 244 4 5" xfId="26780" xr:uid="{00000000-0005-0000-0000-000085690000}"/>
    <cellStyle name="Normal 244 4 6" xfId="26781" xr:uid="{00000000-0005-0000-0000-000086690000}"/>
    <cellStyle name="Normal 244 5" xfId="26782" xr:uid="{00000000-0005-0000-0000-000087690000}"/>
    <cellStyle name="Normal 244 5 2" xfId="26783" xr:uid="{00000000-0005-0000-0000-000088690000}"/>
    <cellStyle name="Normal 244 5 3" xfId="26784" xr:uid="{00000000-0005-0000-0000-000089690000}"/>
    <cellStyle name="Normal 244 6" xfId="26785" xr:uid="{00000000-0005-0000-0000-00008A690000}"/>
    <cellStyle name="Normal 244 6 2" xfId="26786" xr:uid="{00000000-0005-0000-0000-00008B690000}"/>
    <cellStyle name="Normal 244 6 3" xfId="26787" xr:uid="{00000000-0005-0000-0000-00008C690000}"/>
    <cellStyle name="Normal 244 7" xfId="26788" xr:uid="{00000000-0005-0000-0000-00008D690000}"/>
    <cellStyle name="Normal 244 8" xfId="26789" xr:uid="{00000000-0005-0000-0000-00008E690000}"/>
    <cellStyle name="Normal 244 9" xfId="26790" xr:uid="{00000000-0005-0000-0000-00008F690000}"/>
    <cellStyle name="Normal 245" xfId="2681" xr:uid="{00000000-0005-0000-0000-000090690000}"/>
    <cellStyle name="Normal 245 10" xfId="26791" xr:uid="{00000000-0005-0000-0000-000091690000}"/>
    <cellStyle name="Normal 245 11" xfId="26792" xr:uid="{00000000-0005-0000-0000-000092690000}"/>
    <cellStyle name="Normal 245 2" xfId="2682" xr:uid="{00000000-0005-0000-0000-000093690000}"/>
    <cellStyle name="Normal 245 2 10" xfId="26793" xr:uid="{00000000-0005-0000-0000-000094690000}"/>
    <cellStyle name="Normal 245 2 2" xfId="26794" xr:uid="{00000000-0005-0000-0000-000095690000}"/>
    <cellStyle name="Normal 245 2 2 2" xfId="26795" xr:uid="{00000000-0005-0000-0000-000096690000}"/>
    <cellStyle name="Normal 245 2 2 2 2" xfId="26796" xr:uid="{00000000-0005-0000-0000-000097690000}"/>
    <cellStyle name="Normal 245 2 2 2 2 2" xfId="26797" xr:uid="{00000000-0005-0000-0000-000098690000}"/>
    <cellStyle name="Normal 245 2 2 2 2 3" xfId="26798" xr:uid="{00000000-0005-0000-0000-000099690000}"/>
    <cellStyle name="Normal 245 2 2 2 3" xfId="26799" xr:uid="{00000000-0005-0000-0000-00009A690000}"/>
    <cellStyle name="Normal 245 2 2 2 3 2" xfId="26800" xr:uid="{00000000-0005-0000-0000-00009B690000}"/>
    <cellStyle name="Normal 245 2 2 2 3 3" xfId="26801" xr:uid="{00000000-0005-0000-0000-00009C690000}"/>
    <cellStyle name="Normal 245 2 2 2 4" xfId="26802" xr:uid="{00000000-0005-0000-0000-00009D690000}"/>
    <cellStyle name="Normal 245 2 2 2 5" xfId="26803" xr:uid="{00000000-0005-0000-0000-00009E690000}"/>
    <cellStyle name="Normal 245 2 2 2 6" xfId="26804" xr:uid="{00000000-0005-0000-0000-00009F690000}"/>
    <cellStyle name="Normal 245 2 2 3" xfId="26805" xr:uid="{00000000-0005-0000-0000-0000A0690000}"/>
    <cellStyle name="Normal 245 2 2 3 2" xfId="26806" xr:uid="{00000000-0005-0000-0000-0000A1690000}"/>
    <cellStyle name="Normal 245 2 2 3 3" xfId="26807" xr:uid="{00000000-0005-0000-0000-0000A2690000}"/>
    <cellStyle name="Normal 245 2 2 4" xfId="26808" xr:uid="{00000000-0005-0000-0000-0000A3690000}"/>
    <cellStyle name="Normal 245 2 2 4 2" xfId="26809" xr:uid="{00000000-0005-0000-0000-0000A4690000}"/>
    <cellStyle name="Normal 245 2 2 4 3" xfId="26810" xr:uid="{00000000-0005-0000-0000-0000A5690000}"/>
    <cellStyle name="Normal 245 2 2 5" xfId="26811" xr:uid="{00000000-0005-0000-0000-0000A6690000}"/>
    <cellStyle name="Normal 245 2 2 6" xfId="26812" xr:uid="{00000000-0005-0000-0000-0000A7690000}"/>
    <cellStyle name="Normal 245 2 2 7" xfId="26813" xr:uid="{00000000-0005-0000-0000-0000A8690000}"/>
    <cellStyle name="Normal 245 2 2 8" xfId="26814" xr:uid="{00000000-0005-0000-0000-0000A9690000}"/>
    <cellStyle name="Normal 245 2 3" xfId="26815" xr:uid="{00000000-0005-0000-0000-0000AA690000}"/>
    <cellStyle name="Normal 245 2 3 2" xfId="26816" xr:uid="{00000000-0005-0000-0000-0000AB690000}"/>
    <cellStyle name="Normal 245 2 3 2 2" xfId="26817" xr:uid="{00000000-0005-0000-0000-0000AC690000}"/>
    <cellStyle name="Normal 245 2 3 2 3" xfId="26818" xr:uid="{00000000-0005-0000-0000-0000AD690000}"/>
    <cellStyle name="Normal 245 2 3 3" xfId="26819" xr:uid="{00000000-0005-0000-0000-0000AE690000}"/>
    <cellStyle name="Normal 245 2 3 3 2" xfId="26820" xr:uid="{00000000-0005-0000-0000-0000AF690000}"/>
    <cellStyle name="Normal 245 2 3 3 3" xfId="26821" xr:uid="{00000000-0005-0000-0000-0000B0690000}"/>
    <cellStyle name="Normal 245 2 3 4" xfId="26822" xr:uid="{00000000-0005-0000-0000-0000B1690000}"/>
    <cellStyle name="Normal 245 2 3 5" xfId="26823" xr:uid="{00000000-0005-0000-0000-0000B2690000}"/>
    <cellStyle name="Normal 245 2 3 6" xfId="26824" xr:uid="{00000000-0005-0000-0000-0000B3690000}"/>
    <cellStyle name="Normal 245 2 4" xfId="26825" xr:uid="{00000000-0005-0000-0000-0000B4690000}"/>
    <cellStyle name="Normal 245 2 4 2" xfId="26826" xr:uid="{00000000-0005-0000-0000-0000B5690000}"/>
    <cellStyle name="Normal 245 2 4 3" xfId="26827" xr:uid="{00000000-0005-0000-0000-0000B6690000}"/>
    <cellStyle name="Normal 245 2 5" xfId="26828" xr:uid="{00000000-0005-0000-0000-0000B7690000}"/>
    <cellStyle name="Normal 245 2 5 2" xfId="26829" xr:uid="{00000000-0005-0000-0000-0000B8690000}"/>
    <cellStyle name="Normal 245 2 5 3" xfId="26830" xr:uid="{00000000-0005-0000-0000-0000B9690000}"/>
    <cellStyle name="Normal 245 2 6" xfId="26831" xr:uid="{00000000-0005-0000-0000-0000BA690000}"/>
    <cellStyle name="Normal 245 2 7" xfId="26832" xr:uid="{00000000-0005-0000-0000-0000BB690000}"/>
    <cellStyle name="Normal 245 2 8" xfId="26833" xr:uid="{00000000-0005-0000-0000-0000BC690000}"/>
    <cellStyle name="Normal 245 2 9" xfId="26834" xr:uid="{00000000-0005-0000-0000-0000BD690000}"/>
    <cellStyle name="Normal 245 3" xfId="26835" xr:uid="{00000000-0005-0000-0000-0000BE690000}"/>
    <cellStyle name="Normal 245 3 2" xfId="26836" xr:uid="{00000000-0005-0000-0000-0000BF690000}"/>
    <cellStyle name="Normal 245 3 2 2" xfId="26837" xr:uid="{00000000-0005-0000-0000-0000C0690000}"/>
    <cellStyle name="Normal 245 3 2 2 2" xfId="26838" xr:uid="{00000000-0005-0000-0000-0000C1690000}"/>
    <cellStyle name="Normal 245 3 2 2 3" xfId="26839" xr:uid="{00000000-0005-0000-0000-0000C2690000}"/>
    <cellStyle name="Normal 245 3 2 3" xfId="26840" xr:uid="{00000000-0005-0000-0000-0000C3690000}"/>
    <cellStyle name="Normal 245 3 2 3 2" xfId="26841" xr:uid="{00000000-0005-0000-0000-0000C4690000}"/>
    <cellStyle name="Normal 245 3 2 3 3" xfId="26842" xr:uid="{00000000-0005-0000-0000-0000C5690000}"/>
    <cellStyle name="Normal 245 3 2 4" xfId="26843" xr:uid="{00000000-0005-0000-0000-0000C6690000}"/>
    <cellStyle name="Normal 245 3 2 5" xfId="26844" xr:uid="{00000000-0005-0000-0000-0000C7690000}"/>
    <cellStyle name="Normal 245 3 2 6" xfId="26845" xr:uid="{00000000-0005-0000-0000-0000C8690000}"/>
    <cellStyle name="Normal 245 3 3" xfId="26846" xr:uid="{00000000-0005-0000-0000-0000C9690000}"/>
    <cellStyle name="Normal 245 3 3 2" xfId="26847" xr:uid="{00000000-0005-0000-0000-0000CA690000}"/>
    <cellStyle name="Normal 245 3 3 3" xfId="26848" xr:uid="{00000000-0005-0000-0000-0000CB690000}"/>
    <cellStyle name="Normal 245 3 4" xfId="26849" xr:uid="{00000000-0005-0000-0000-0000CC690000}"/>
    <cellStyle name="Normal 245 3 4 2" xfId="26850" xr:uid="{00000000-0005-0000-0000-0000CD690000}"/>
    <cellStyle name="Normal 245 3 4 3" xfId="26851" xr:uid="{00000000-0005-0000-0000-0000CE690000}"/>
    <cellStyle name="Normal 245 3 5" xfId="26852" xr:uid="{00000000-0005-0000-0000-0000CF690000}"/>
    <cellStyle name="Normal 245 3 6" xfId="26853" xr:uid="{00000000-0005-0000-0000-0000D0690000}"/>
    <cellStyle name="Normal 245 3 7" xfId="26854" xr:uid="{00000000-0005-0000-0000-0000D1690000}"/>
    <cellStyle name="Normal 245 3 8" xfId="26855" xr:uid="{00000000-0005-0000-0000-0000D2690000}"/>
    <cellStyle name="Normal 245 4" xfId="26856" xr:uid="{00000000-0005-0000-0000-0000D3690000}"/>
    <cellStyle name="Normal 245 4 2" xfId="26857" xr:uid="{00000000-0005-0000-0000-0000D4690000}"/>
    <cellStyle name="Normal 245 4 2 2" xfId="26858" xr:uid="{00000000-0005-0000-0000-0000D5690000}"/>
    <cellStyle name="Normal 245 4 2 3" xfId="26859" xr:uid="{00000000-0005-0000-0000-0000D6690000}"/>
    <cellStyle name="Normal 245 4 3" xfId="26860" xr:uid="{00000000-0005-0000-0000-0000D7690000}"/>
    <cellStyle name="Normal 245 4 3 2" xfId="26861" xr:uid="{00000000-0005-0000-0000-0000D8690000}"/>
    <cellStyle name="Normal 245 4 3 3" xfId="26862" xr:uid="{00000000-0005-0000-0000-0000D9690000}"/>
    <cellStyle name="Normal 245 4 4" xfId="26863" xr:uid="{00000000-0005-0000-0000-0000DA690000}"/>
    <cellStyle name="Normal 245 4 5" xfId="26864" xr:uid="{00000000-0005-0000-0000-0000DB690000}"/>
    <cellStyle name="Normal 245 4 6" xfId="26865" xr:uid="{00000000-0005-0000-0000-0000DC690000}"/>
    <cellStyle name="Normal 245 5" xfId="26866" xr:uid="{00000000-0005-0000-0000-0000DD690000}"/>
    <cellStyle name="Normal 245 5 2" xfId="26867" xr:uid="{00000000-0005-0000-0000-0000DE690000}"/>
    <cellStyle name="Normal 245 5 3" xfId="26868" xr:uid="{00000000-0005-0000-0000-0000DF690000}"/>
    <cellStyle name="Normal 245 6" xfId="26869" xr:uid="{00000000-0005-0000-0000-0000E0690000}"/>
    <cellStyle name="Normal 245 6 2" xfId="26870" xr:uid="{00000000-0005-0000-0000-0000E1690000}"/>
    <cellStyle name="Normal 245 6 3" xfId="26871" xr:uid="{00000000-0005-0000-0000-0000E2690000}"/>
    <cellStyle name="Normal 245 7" xfId="26872" xr:uid="{00000000-0005-0000-0000-0000E3690000}"/>
    <cellStyle name="Normal 245 8" xfId="26873" xr:uid="{00000000-0005-0000-0000-0000E4690000}"/>
    <cellStyle name="Normal 245 9" xfId="26874" xr:uid="{00000000-0005-0000-0000-0000E5690000}"/>
    <cellStyle name="Normal 246" xfId="2683" xr:uid="{00000000-0005-0000-0000-0000E6690000}"/>
    <cellStyle name="Normal 246 10" xfId="26875" xr:uid="{00000000-0005-0000-0000-0000E7690000}"/>
    <cellStyle name="Normal 246 11" xfId="26876" xr:uid="{00000000-0005-0000-0000-0000E8690000}"/>
    <cellStyle name="Normal 246 2" xfId="2684" xr:uid="{00000000-0005-0000-0000-0000E9690000}"/>
    <cellStyle name="Normal 246 2 10" xfId="26877" xr:uid="{00000000-0005-0000-0000-0000EA690000}"/>
    <cellStyle name="Normal 246 2 2" xfId="26878" xr:uid="{00000000-0005-0000-0000-0000EB690000}"/>
    <cellStyle name="Normal 246 2 2 2" xfId="26879" xr:uid="{00000000-0005-0000-0000-0000EC690000}"/>
    <cellStyle name="Normal 246 2 2 2 2" xfId="26880" xr:uid="{00000000-0005-0000-0000-0000ED690000}"/>
    <cellStyle name="Normal 246 2 2 2 2 2" xfId="26881" xr:uid="{00000000-0005-0000-0000-0000EE690000}"/>
    <cellStyle name="Normal 246 2 2 2 2 3" xfId="26882" xr:uid="{00000000-0005-0000-0000-0000EF690000}"/>
    <cellStyle name="Normal 246 2 2 2 3" xfId="26883" xr:uid="{00000000-0005-0000-0000-0000F0690000}"/>
    <cellStyle name="Normal 246 2 2 2 3 2" xfId="26884" xr:uid="{00000000-0005-0000-0000-0000F1690000}"/>
    <cellStyle name="Normal 246 2 2 2 3 3" xfId="26885" xr:uid="{00000000-0005-0000-0000-0000F2690000}"/>
    <cellStyle name="Normal 246 2 2 2 4" xfId="26886" xr:uid="{00000000-0005-0000-0000-0000F3690000}"/>
    <cellStyle name="Normal 246 2 2 2 5" xfId="26887" xr:uid="{00000000-0005-0000-0000-0000F4690000}"/>
    <cellStyle name="Normal 246 2 2 2 6" xfId="26888" xr:uid="{00000000-0005-0000-0000-0000F5690000}"/>
    <cellStyle name="Normal 246 2 2 3" xfId="26889" xr:uid="{00000000-0005-0000-0000-0000F6690000}"/>
    <cellStyle name="Normal 246 2 2 3 2" xfId="26890" xr:uid="{00000000-0005-0000-0000-0000F7690000}"/>
    <cellStyle name="Normal 246 2 2 3 3" xfId="26891" xr:uid="{00000000-0005-0000-0000-0000F8690000}"/>
    <cellStyle name="Normal 246 2 2 4" xfId="26892" xr:uid="{00000000-0005-0000-0000-0000F9690000}"/>
    <cellStyle name="Normal 246 2 2 4 2" xfId="26893" xr:uid="{00000000-0005-0000-0000-0000FA690000}"/>
    <cellStyle name="Normal 246 2 2 4 3" xfId="26894" xr:uid="{00000000-0005-0000-0000-0000FB690000}"/>
    <cellStyle name="Normal 246 2 2 5" xfId="26895" xr:uid="{00000000-0005-0000-0000-0000FC690000}"/>
    <cellStyle name="Normal 246 2 2 6" xfId="26896" xr:uid="{00000000-0005-0000-0000-0000FD690000}"/>
    <cellStyle name="Normal 246 2 2 7" xfId="26897" xr:uid="{00000000-0005-0000-0000-0000FE690000}"/>
    <cellStyle name="Normal 246 2 2 8" xfId="26898" xr:uid="{00000000-0005-0000-0000-0000FF690000}"/>
    <cellStyle name="Normal 246 2 3" xfId="26899" xr:uid="{00000000-0005-0000-0000-0000006A0000}"/>
    <cellStyle name="Normal 246 2 3 2" xfId="26900" xr:uid="{00000000-0005-0000-0000-0000016A0000}"/>
    <cellStyle name="Normal 246 2 3 2 2" xfId="26901" xr:uid="{00000000-0005-0000-0000-0000026A0000}"/>
    <cellStyle name="Normal 246 2 3 2 3" xfId="26902" xr:uid="{00000000-0005-0000-0000-0000036A0000}"/>
    <cellStyle name="Normal 246 2 3 3" xfId="26903" xr:uid="{00000000-0005-0000-0000-0000046A0000}"/>
    <cellStyle name="Normal 246 2 3 3 2" xfId="26904" xr:uid="{00000000-0005-0000-0000-0000056A0000}"/>
    <cellStyle name="Normal 246 2 3 3 3" xfId="26905" xr:uid="{00000000-0005-0000-0000-0000066A0000}"/>
    <cellStyle name="Normal 246 2 3 4" xfId="26906" xr:uid="{00000000-0005-0000-0000-0000076A0000}"/>
    <cellStyle name="Normal 246 2 3 5" xfId="26907" xr:uid="{00000000-0005-0000-0000-0000086A0000}"/>
    <cellStyle name="Normal 246 2 3 6" xfId="26908" xr:uid="{00000000-0005-0000-0000-0000096A0000}"/>
    <cellStyle name="Normal 246 2 4" xfId="26909" xr:uid="{00000000-0005-0000-0000-00000A6A0000}"/>
    <cellStyle name="Normal 246 2 4 2" xfId="26910" xr:uid="{00000000-0005-0000-0000-00000B6A0000}"/>
    <cellStyle name="Normal 246 2 4 3" xfId="26911" xr:uid="{00000000-0005-0000-0000-00000C6A0000}"/>
    <cellStyle name="Normal 246 2 5" xfId="26912" xr:uid="{00000000-0005-0000-0000-00000D6A0000}"/>
    <cellStyle name="Normal 246 2 5 2" xfId="26913" xr:uid="{00000000-0005-0000-0000-00000E6A0000}"/>
    <cellStyle name="Normal 246 2 5 3" xfId="26914" xr:uid="{00000000-0005-0000-0000-00000F6A0000}"/>
    <cellStyle name="Normal 246 2 6" xfId="26915" xr:uid="{00000000-0005-0000-0000-0000106A0000}"/>
    <cellStyle name="Normal 246 2 7" xfId="26916" xr:uid="{00000000-0005-0000-0000-0000116A0000}"/>
    <cellStyle name="Normal 246 2 8" xfId="26917" xr:uid="{00000000-0005-0000-0000-0000126A0000}"/>
    <cellStyle name="Normal 246 2 9" xfId="26918" xr:uid="{00000000-0005-0000-0000-0000136A0000}"/>
    <cellStyle name="Normal 246 3" xfId="26919" xr:uid="{00000000-0005-0000-0000-0000146A0000}"/>
    <cellStyle name="Normal 246 3 2" xfId="26920" xr:uid="{00000000-0005-0000-0000-0000156A0000}"/>
    <cellStyle name="Normal 246 3 2 2" xfId="26921" xr:uid="{00000000-0005-0000-0000-0000166A0000}"/>
    <cellStyle name="Normal 246 3 2 2 2" xfId="26922" xr:uid="{00000000-0005-0000-0000-0000176A0000}"/>
    <cellStyle name="Normal 246 3 2 2 3" xfId="26923" xr:uid="{00000000-0005-0000-0000-0000186A0000}"/>
    <cellStyle name="Normal 246 3 2 3" xfId="26924" xr:uid="{00000000-0005-0000-0000-0000196A0000}"/>
    <cellStyle name="Normal 246 3 2 3 2" xfId="26925" xr:uid="{00000000-0005-0000-0000-00001A6A0000}"/>
    <cellStyle name="Normal 246 3 2 3 3" xfId="26926" xr:uid="{00000000-0005-0000-0000-00001B6A0000}"/>
    <cellStyle name="Normal 246 3 2 4" xfId="26927" xr:uid="{00000000-0005-0000-0000-00001C6A0000}"/>
    <cellStyle name="Normal 246 3 2 5" xfId="26928" xr:uid="{00000000-0005-0000-0000-00001D6A0000}"/>
    <cellStyle name="Normal 246 3 2 6" xfId="26929" xr:uid="{00000000-0005-0000-0000-00001E6A0000}"/>
    <cellStyle name="Normal 246 3 3" xfId="26930" xr:uid="{00000000-0005-0000-0000-00001F6A0000}"/>
    <cellStyle name="Normal 246 3 3 2" xfId="26931" xr:uid="{00000000-0005-0000-0000-0000206A0000}"/>
    <cellStyle name="Normal 246 3 3 3" xfId="26932" xr:uid="{00000000-0005-0000-0000-0000216A0000}"/>
    <cellStyle name="Normal 246 3 4" xfId="26933" xr:uid="{00000000-0005-0000-0000-0000226A0000}"/>
    <cellStyle name="Normal 246 3 4 2" xfId="26934" xr:uid="{00000000-0005-0000-0000-0000236A0000}"/>
    <cellStyle name="Normal 246 3 4 3" xfId="26935" xr:uid="{00000000-0005-0000-0000-0000246A0000}"/>
    <cellStyle name="Normal 246 3 5" xfId="26936" xr:uid="{00000000-0005-0000-0000-0000256A0000}"/>
    <cellStyle name="Normal 246 3 6" xfId="26937" xr:uid="{00000000-0005-0000-0000-0000266A0000}"/>
    <cellStyle name="Normal 246 3 7" xfId="26938" xr:uid="{00000000-0005-0000-0000-0000276A0000}"/>
    <cellStyle name="Normal 246 3 8" xfId="26939" xr:uid="{00000000-0005-0000-0000-0000286A0000}"/>
    <cellStyle name="Normal 246 4" xfId="26940" xr:uid="{00000000-0005-0000-0000-0000296A0000}"/>
    <cellStyle name="Normal 246 4 2" xfId="26941" xr:uid="{00000000-0005-0000-0000-00002A6A0000}"/>
    <cellStyle name="Normal 246 4 2 2" xfId="26942" xr:uid="{00000000-0005-0000-0000-00002B6A0000}"/>
    <cellStyle name="Normal 246 4 2 3" xfId="26943" xr:uid="{00000000-0005-0000-0000-00002C6A0000}"/>
    <cellStyle name="Normal 246 4 3" xfId="26944" xr:uid="{00000000-0005-0000-0000-00002D6A0000}"/>
    <cellStyle name="Normal 246 4 3 2" xfId="26945" xr:uid="{00000000-0005-0000-0000-00002E6A0000}"/>
    <cellStyle name="Normal 246 4 3 3" xfId="26946" xr:uid="{00000000-0005-0000-0000-00002F6A0000}"/>
    <cellStyle name="Normal 246 4 4" xfId="26947" xr:uid="{00000000-0005-0000-0000-0000306A0000}"/>
    <cellStyle name="Normal 246 4 5" xfId="26948" xr:uid="{00000000-0005-0000-0000-0000316A0000}"/>
    <cellStyle name="Normal 246 4 6" xfId="26949" xr:uid="{00000000-0005-0000-0000-0000326A0000}"/>
    <cellStyle name="Normal 246 5" xfId="26950" xr:uid="{00000000-0005-0000-0000-0000336A0000}"/>
    <cellStyle name="Normal 246 5 2" xfId="26951" xr:uid="{00000000-0005-0000-0000-0000346A0000}"/>
    <cellStyle name="Normal 246 5 3" xfId="26952" xr:uid="{00000000-0005-0000-0000-0000356A0000}"/>
    <cellStyle name="Normal 246 6" xfId="26953" xr:uid="{00000000-0005-0000-0000-0000366A0000}"/>
    <cellStyle name="Normal 246 6 2" xfId="26954" xr:uid="{00000000-0005-0000-0000-0000376A0000}"/>
    <cellStyle name="Normal 246 6 3" xfId="26955" xr:uid="{00000000-0005-0000-0000-0000386A0000}"/>
    <cellStyle name="Normal 246 7" xfId="26956" xr:uid="{00000000-0005-0000-0000-0000396A0000}"/>
    <cellStyle name="Normal 246 8" xfId="26957" xr:uid="{00000000-0005-0000-0000-00003A6A0000}"/>
    <cellStyle name="Normal 246 9" xfId="26958" xr:uid="{00000000-0005-0000-0000-00003B6A0000}"/>
    <cellStyle name="Normal 247" xfId="2685" xr:uid="{00000000-0005-0000-0000-00003C6A0000}"/>
    <cellStyle name="Normal 247 10" xfId="26959" xr:uid="{00000000-0005-0000-0000-00003D6A0000}"/>
    <cellStyle name="Normal 247 11" xfId="26960" xr:uid="{00000000-0005-0000-0000-00003E6A0000}"/>
    <cellStyle name="Normal 247 2" xfId="2686" xr:uid="{00000000-0005-0000-0000-00003F6A0000}"/>
    <cellStyle name="Normal 247 2 10" xfId="26961" xr:uid="{00000000-0005-0000-0000-0000406A0000}"/>
    <cellStyle name="Normal 247 2 2" xfId="26962" xr:uid="{00000000-0005-0000-0000-0000416A0000}"/>
    <cellStyle name="Normal 247 2 2 2" xfId="26963" xr:uid="{00000000-0005-0000-0000-0000426A0000}"/>
    <cellStyle name="Normal 247 2 2 2 2" xfId="26964" xr:uid="{00000000-0005-0000-0000-0000436A0000}"/>
    <cellStyle name="Normal 247 2 2 2 2 2" xfId="26965" xr:uid="{00000000-0005-0000-0000-0000446A0000}"/>
    <cellStyle name="Normal 247 2 2 2 2 3" xfId="26966" xr:uid="{00000000-0005-0000-0000-0000456A0000}"/>
    <cellStyle name="Normal 247 2 2 2 3" xfId="26967" xr:uid="{00000000-0005-0000-0000-0000466A0000}"/>
    <cellStyle name="Normal 247 2 2 2 3 2" xfId="26968" xr:uid="{00000000-0005-0000-0000-0000476A0000}"/>
    <cellStyle name="Normal 247 2 2 2 3 3" xfId="26969" xr:uid="{00000000-0005-0000-0000-0000486A0000}"/>
    <cellStyle name="Normal 247 2 2 2 4" xfId="26970" xr:uid="{00000000-0005-0000-0000-0000496A0000}"/>
    <cellStyle name="Normal 247 2 2 2 5" xfId="26971" xr:uid="{00000000-0005-0000-0000-00004A6A0000}"/>
    <cellStyle name="Normal 247 2 2 2 6" xfId="26972" xr:uid="{00000000-0005-0000-0000-00004B6A0000}"/>
    <cellStyle name="Normal 247 2 2 3" xfId="26973" xr:uid="{00000000-0005-0000-0000-00004C6A0000}"/>
    <cellStyle name="Normal 247 2 2 3 2" xfId="26974" xr:uid="{00000000-0005-0000-0000-00004D6A0000}"/>
    <cellStyle name="Normal 247 2 2 3 3" xfId="26975" xr:uid="{00000000-0005-0000-0000-00004E6A0000}"/>
    <cellStyle name="Normal 247 2 2 4" xfId="26976" xr:uid="{00000000-0005-0000-0000-00004F6A0000}"/>
    <cellStyle name="Normal 247 2 2 4 2" xfId="26977" xr:uid="{00000000-0005-0000-0000-0000506A0000}"/>
    <cellStyle name="Normal 247 2 2 4 3" xfId="26978" xr:uid="{00000000-0005-0000-0000-0000516A0000}"/>
    <cellStyle name="Normal 247 2 2 5" xfId="26979" xr:uid="{00000000-0005-0000-0000-0000526A0000}"/>
    <cellStyle name="Normal 247 2 2 6" xfId="26980" xr:uid="{00000000-0005-0000-0000-0000536A0000}"/>
    <cellStyle name="Normal 247 2 2 7" xfId="26981" xr:uid="{00000000-0005-0000-0000-0000546A0000}"/>
    <cellStyle name="Normal 247 2 2 8" xfId="26982" xr:uid="{00000000-0005-0000-0000-0000556A0000}"/>
    <cellStyle name="Normal 247 2 3" xfId="26983" xr:uid="{00000000-0005-0000-0000-0000566A0000}"/>
    <cellStyle name="Normal 247 2 3 2" xfId="26984" xr:uid="{00000000-0005-0000-0000-0000576A0000}"/>
    <cellStyle name="Normal 247 2 3 2 2" xfId="26985" xr:uid="{00000000-0005-0000-0000-0000586A0000}"/>
    <cellStyle name="Normal 247 2 3 2 3" xfId="26986" xr:uid="{00000000-0005-0000-0000-0000596A0000}"/>
    <cellStyle name="Normal 247 2 3 3" xfId="26987" xr:uid="{00000000-0005-0000-0000-00005A6A0000}"/>
    <cellStyle name="Normal 247 2 3 3 2" xfId="26988" xr:uid="{00000000-0005-0000-0000-00005B6A0000}"/>
    <cellStyle name="Normal 247 2 3 3 3" xfId="26989" xr:uid="{00000000-0005-0000-0000-00005C6A0000}"/>
    <cellStyle name="Normal 247 2 3 4" xfId="26990" xr:uid="{00000000-0005-0000-0000-00005D6A0000}"/>
    <cellStyle name="Normal 247 2 3 5" xfId="26991" xr:uid="{00000000-0005-0000-0000-00005E6A0000}"/>
    <cellStyle name="Normal 247 2 3 6" xfId="26992" xr:uid="{00000000-0005-0000-0000-00005F6A0000}"/>
    <cellStyle name="Normal 247 2 4" xfId="26993" xr:uid="{00000000-0005-0000-0000-0000606A0000}"/>
    <cellStyle name="Normal 247 2 4 2" xfId="26994" xr:uid="{00000000-0005-0000-0000-0000616A0000}"/>
    <cellStyle name="Normal 247 2 4 3" xfId="26995" xr:uid="{00000000-0005-0000-0000-0000626A0000}"/>
    <cellStyle name="Normal 247 2 5" xfId="26996" xr:uid="{00000000-0005-0000-0000-0000636A0000}"/>
    <cellStyle name="Normal 247 2 5 2" xfId="26997" xr:uid="{00000000-0005-0000-0000-0000646A0000}"/>
    <cellStyle name="Normal 247 2 5 3" xfId="26998" xr:uid="{00000000-0005-0000-0000-0000656A0000}"/>
    <cellStyle name="Normal 247 2 6" xfId="26999" xr:uid="{00000000-0005-0000-0000-0000666A0000}"/>
    <cellStyle name="Normal 247 2 7" xfId="27000" xr:uid="{00000000-0005-0000-0000-0000676A0000}"/>
    <cellStyle name="Normal 247 2 8" xfId="27001" xr:uid="{00000000-0005-0000-0000-0000686A0000}"/>
    <cellStyle name="Normal 247 2 9" xfId="27002" xr:uid="{00000000-0005-0000-0000-0000696A0000}"/>
    <cellStyle name="Normal 247 3" xfId="27003" xr:uid="{00000000-0005-0000-0000-00006A6A0000}"/>
    <cellStyle name="Normal 247 3 2" xfId="27004" xr:uid="{00000000-0005-0000-0000-00006B6A0000}"/>
    <cellStyle name="Normal 247 3 2 2" xfId="27005" xr:uid="{00000000-0005-0000-0000-00006C6A0000}"/>
    <cellStyle name="Normal 247 3 2 2 2" xfId="27006" xr:uid="{00000000-0005-0000-0000-00006D6A0000}"/>
    <cellStyle name="Normal 247 3 2 2 3" xfId="27007" xr:uid="{00000000-0005-0000-0000-00006E6A0000}"/>
    <cellStyle name="Normal 247 3 2 3" xfId="27008" xr:uid="{00000000-0005-0000-0000-00006F6A0000}"/>
    <cellStyle name="Normal 247 3 2 3 2" xfId="27009" xr:uid="{00000000-0005-0000-0000-0000706A0000}"/>
    <cellStyle name="Normal 247 3 2 3 3" xfId="27010" xr:uid="{00000000-0005-0000-0000-0000716A0000}"/>
    <cellStyle name="Normal 247 3 2 4" xfId="27011" xr:uid="{00000000-0005-0000-0000-0000726A0000}"/>
    <cellStyle name="Normal 247 3 2 5" xfId="27012" xr:uid="{00000000-0005-0000-0000-0000736A0000}"/>
    <cellStyle name="Normal 247 3 2 6" xfId="27013" xr:uid="{00000000-0005-0000-0000-0000746A0000}"/>
    <cellStyle name="Normal 247 3 3" xfId="27014" xr:uid="{00000000-0005-0000-0000-0000756A0000}"/>
    <cellStyle name="Normal 247 3 3 2" xfId="27015" xr:uid="{00000000-0005-0000-0000-0000766A0000}"/>
    <cellStyle name="Normal 247 3 3 3" xfId="27016" xr:uid="{00000000-0005-0000-0000-0000776A0000}"/>
    <cellStyle name="Normal 247 3 4" xfId="27017" xr:uid="{00000000-0005-0000-0000-0000786A0000}"/>
    <cellStyle name="Normal 247 3 4 2" xfId="27018" xr:uid="{00000000-0005-0000-0000-0000796A0000}"/>
    <cellStyle name="Normal 247 3 4 3" xfId="27019" xr:uid="{00000000-0005-0000-0000-00007A6A0000}"/>
    <cellStyle name="Normal 247 3 5" xfId="27020" xr:uid="{00000000-0005-0000-0000-00007B6A0000}"/>
    <cellStyle name="Normal 247 3 6" xfId="27021" xr:uid="{00000000-0005-0000-0000-00007C6A0000}"/>
    <cellStyle name="Normal 247 3 7" xfId="27022" xr:uid="{00000000-0005-0000-0000-00007D6A0000}"/>
    <cellStyle name="Normal 247 3 8" xfId="27023" xr:uid="{00000000-0005-0000-0000-00007E6A0000}"/>
    <cellStyle name="Normal 247 4" xfId="27024" xr:uid="{00000000-0005-0000-0000-00007F6A0000}"/>
    <cellStyle name="Normal 247 4 2" xfId="27025" xr:uid="{00000000-0005-0000-0000-0000806A0000}"/>
    <cellStyle name="Normal 247 4 2 2" xfId="27026" xr:uid="{00000000-0005-0000-0000-0000816A0000}"/>
    <cellStyle name="Normal 247 4 2 3" xfId="27027" xr:uid="{00000000-0005-0000-0000-0000826A0000}"/>
    <cellStyle name="Normal 247 4 3" xfId="27028" xr:uid="{00000000-0005-0000-0000-0000836A0000}"/>
    <cellStyle name="Normal 247 4 3 2" xfId="27029" xr:uid="{00000000-0005-0000-0000-0000846A0000}"/>
    <cellStyle name="Normal 247 4 3 3" xfId="27030" xr:uid="{00000000-0005-0000-0000-0000856A0000}"/>
    <cellStyle name="Normal 247 4 4" xfId="27031" xr:uid="{00000000-0005-0000-0000-0000866A0000}"/>
    <cellStyle name="Normal 247 4 5" xfId="27032" xr:uid="{00000000-0005-0000-0000-0000876A0000}"/>
    <cellStyle name="Normal 247 4 6" xfId="27033" xr:uid="{00000000-0005-0000-0000-0000886A0000}"/>
    <cellStyle name="Normal 247 5" xfId="27034" xr:uid="{00000000-0005-0000-0000-0000896A0000}"/>
    <cellStyle name="Normal 247 5 2" xfId="27035" xr:uid="{00000000-0005-0000-0000-00008A6A0000}"/>
    <cellStyle name="Normal 247 5 3" xfId="27036" xr:uid="{00000000-0005-0000-0000-00008B6A0000}"/>
    <cellStyle name="Normal 247 6" xfId="27037" xr:uid="{00000000-0005-0000-0000-00008C6A0000}"/>
    <cellStyle name="Normal 247 6 2" xfId="27038" xr:uid="{00000000-0005-0000-0000-00008D6A0000}"/>
    <cellStyle name="Normal 247 6 3" xfId="27039" xr:uid="{00000000-0005-0000-0000-00008E6A0000}"/>
    <cellStyle name="Normal 247 7" xfId="27040" xr:uid="{00000000-0005-0000-0000-00008F6A0000}"/>
    <cellStyle name="Normal 247 8" xfId="27041" xr:uid="{00000000-0005-0000-0000-0000906A0000}"/>
    <cellStyle name="Normal 247 9" xfId="27042" xr:uid="{00000000-0005-0000-0000-0000916A0000}"/>
    <cellStyle name="Normal 248" xfId="2687" xr:uid="{00000000-0005-0000-0000-0000926A0000}"/>
    <cellStyle name="Normal 248 10" xfId="27043" xr:uid="{00000000-0005-0000-0000-0000936A0000}"/>
    <cellStyle name="Normal 248 11" xfId="27044" xr:uid="{00000000-0005-0000-0000-0000946A0000}"/>
    <cellStyle name="Normal 248 2" xfId="2688" xr:uid="{00000000-0005-0000-0000-0000956A0000}"/>
    <cellStyle name="Normal 248 2 10" xfId="27045" xr:uid="{00000000-0005-0000-0000-0000966A0000}"/>
    <cellStyle name="Normal 248 2 2" xfId="27046" xr:uid="{00000000-0005-0000-0000-0000976A0000}"/>
    <cellStyle name="Normal 248 2 2 2" xfId="27047" xr:uid="{00000000-0005-0000-0000-0000986A0000}"/>
    <cellStyle name="Normal 248 2 2 2 2" xfId="27048" xr:uid="{00000000-0005-0000-0000-0000996A0000}"/>
    <cellStyle name="Normal 248 2 2 2 2 2" xfId="27049" xr:uid="{00000000-0005-0000-0000-00009A6A0000}"/>
    <cellStyle name="Normal 248 2 2 2 2 3" xfId="27050" xr:uid="{00000000-0005-0000-0000-00009B6A0000}"/>
    <cellStyle name="Normal 248 2 2 2 3" xfId="27051" xr:uid="{00000000-0005-0000-0000-00009C6A0000}"/>
    <cellStyle name="Normal 248 2 2 2 3 2" xfId="27052" xr:uid="{00000000-0005-0000-0000-00009D6A0000}"/>
    <cellStyle name="Normal 248 2 2 2 3 3" xfId="27053" xr:uid="{00000000-0005-0000-0000-00009E6A0000}"/>
    <cellStyle name="Normal 248 2 2 2 4" xfId="27054" xr:uid="{00000000-0005-0000-0000-00009F6A0000}"/>
    <cellStyle name="Normal 248 2 2 2 5" xfId="27055" xr:uid="{00000000-0005-0000-0000-0000A06A0000}"/>
    <cellStyle name="Normal 248 2 2 2 6" xfId="27056" xr:uid="{00000000-0005-0000-0000-0000A16A0000}"/>
    <cellStyle name="Normal 248 2 2 3" xfId="27057" xr:uid="{00000000-0005-0000-0000-0000A26A0000}"/>
    <cellStyle name="Normal 248 2 2 3 2" xfId="27058" xr:uid="{00000000-0005-0000-0000-0000A36A0000}"/>
    <cellStyle name="Normal 248 2 2 3 3" xfId="27059" xr:uid="{00000000-0005-0000-0000-0000A46A0000}"/>
    <cellStyle name="Normal 248 2 2 4" xfId="27060" xr:uid="{00000000-0005-0000-0000-0000A56A0000}"/>
    <cellStyle name="Normal 248 2 2 4 2" xfId="27061" xr:uid="{00000000-0005-0000-0000-0000A66A0000}"/>
    <cellStyle name="Normal 248 2 2 4 3" xfId="27062" xr:uid="{00000000-0005-0000-0000-0000A76A0000}"/>
    <cellStyle name="Normal 248 2 2 5" xfId="27063" xr:uid="{00000000-0005-0000-0000-0000A86A0000}"/>
    <cellStyle name="Normal 248 2 2 6" xfId="27064" xr:uid="{00000000-0005-0000-0000-0000A96A0000}"/>
    <cellStyle name="Normal 248 2 2 7" xfId="27065" xr:uid="{00000000-0005-0000-0000-0000AA6A0000}"/>
    <cellStyle name="Normal 248 2 2 8" xfId="27066" xr:uid="{00000000-0005-0000-0000-0000AB6A0000}"/>
    <cellStyle name="Normal 248 2 3" xfId="27067" xr:uid="{00000000-0005-0000-0000-0000AC6A0000}"/>
    <cellStyle name="Normal 248 2 3 2" xfId="27068" xr:uid="{00000000-0005-0000-0000-0000AD6A0000}"/>
    <cellStyle name="Normal 248 2 3 2 2" xfId="27069" xr:uid="{00000000-0005-0000-0000-0000AE6A0000}"/>
    <cellStyle name="Normal 248 2 3 2 3" xfId="27070" xr:uid="{00000000-0005-0000-0000-0000AF6A0000}"/>
    <cellStyle name="Normal 248 2 3 3" xfId="27071" xr:uid="{00000000-0005-0000-0000-0000B06A0000}"/>
    <cellStyle name="Normal 248 2 3 3 2" xfId="27072" xr:uid="{00000000-0005-0000-0000-0000B16A0000}"/>
    <cellStyle name="Normal 248 2 3 3 3" xfId="27073" xr:uid="{00000000-0005-0000-0000-0000B26A0000}"/>
    <cellStyle name="Normal 248 2 3 4" xfId="27074" xr:uid="{00000000-0005-0000-0000-0000B36A0000}"/>
    <cellStyle name="Normal 248 2 3 5" xfId="27075" xr:uid="{00000000-0005-0000-0000-0000B46A0000}"/>
    <cellStyle name="Normal 248 2 3 6" xfId="27076" xr:uid="{00000000-0005-0000-0000-0000B56A0000}"/>
    <cellStyle name="Normal 248 2 4" xfId="27077" xr:uid="{00000000-0005-0000-0000-0000B66A0000}"/>
    <cellStyle name="Normal 248 2 4 2" xfId="27078" xr:uid="{00000000-0005-0000-0000-0000B76A0000}"/>
    <cellStyle name="Normal 248 2 4 3" xfId="27079" xr:uid="{00000000-0005-0000-0000-0000B86A0000}"/>
    <cellStyle name="Normal 248 2 5" xfId="27080" xr:uid="{00000000-0005-0000-0000-0000B96A0000}"/>
    <cellStyle name="Normal 248 2 5 2" xfId="27081" xr:uid="{00000000-0005-0000-0000-0000BA6A0000}"/>
    <cellStyle name="Normal 248 2 5 3" xfId="27082" xr:uid="{00000000-0005-0000-0000-0000BB6A0000}"/>
    <cellStyle name="Normal 248 2 6" xfId="27083" xr:uid="{00000000-0005-0000-0000-0000BC6A0000}"/>
    <cellStyle name="Normal 248 2 7" xfId="27084" xr:uid="{00000000-0005-0000-0000-0000BD6A0000}"/>
    <cellStyle name="Normal 248 2 8" xfId="27085" xr:uid="{00000000-0005-0000-0000-0000BE6A0000}"/>
    <cellStyle name="Normal 248 2 9" xfId="27086" xr:uid="{00000000-0005-0000-0000-0000BF6A0000}"/>
    <cellStyle name="Normal 248 3" xfId="27087" xr:uid="{00000000-0005-0000-0000-0000C06A0000}"/>
    <cellStyle name="Normal 248 3 2" xfId="27088" xr:uid="{00000000-0005-0000-0000-0000C16A0000}"/>
    <cellStyle name="Normal 248 3 2 2" xfId="27089" xr:uid="{00000000-0005-0000-0000-0000C26A0000}"/>
    <cellStyle name="Normal 248 3 2 2 2" xfId="27090" xr:uid="{00000000-0005-0000-0000-0000C36A0000}"/>
    <cellStyle name="Normal 248 3 2 2 3" xfId="27091" xr:uid="{00000000-0005-0000-0000-0000C46A0000}"/>
    <cellStyle name="Normal 248 3 2 3" xfId="27092" xr:uid="{00000000-0005-0000-0000-0000C56A0000}"/>
    <cellStyle name="Normal 248 3 2 3 2" xfId="27093" xr:uid="{00000000-0005-0000-0000-0000C66A0000}"/>
    <cellStyle name="Normal 248 3 2 3 3" xfId="27094" xr:uid="{00000000-0005-0000-0000-0000C76A0000}"/>
    <cellStyle name="Normal 248 3 2 4" xfId="27095" xr:uid="{00000000-0005-0000-0000-0000C86A0000}"/>
    <cellStyle name="Normal 248 3 2 5" xfId="27096" xr:uid="{00000000-0005-0000-0000-0000C96A0000}"/>
    <cellStyle name="Normal 248 3 2 6" xfId="27097" xr:uid="{00000000-0005-0000-0000-0000CA6A0000}"/>
    <cellStyle name="Normal 248 3 3" xfId="27098" xr:uid="{00000000-0005-0000-0000-0000CB6A0000}"/>
    <cellStyle name="Normal 248 3 3 2" xfId="27099" xr:uid="{00000000-0005-0000-0000-0000CC6A0000}"/>
    <cellStyle name="Normal 248 3 3 3" xfId="27100" xr:uid="{00000000-0005-0000-0000-0000CD6A0000}"/>
    <cellStyle name="Normal 248 3 4" xfId="27101" xr:uid="{00000000-0005-0000-0000-0000CE6A0000}"/>
    <cellStyle name="Normal 248 3 4 2" xfId="27102" xr:uid="{00000000-0005-0000-0000-0000CF6A0000}"/>
    <cellStyle name="Normal 248 3 4 3" xfId="27103" xr:uid="{00000000-0005-0000-0000-0000D06A0000}"/>
    <cellStyle name="Normal 248 3 5" xfId="27104" xr:uid="{00000000-0005-0000-0000-0000D16A0000}"/>
    <cellStyle name="Normal 248 3 6" xfId="27105" xr:uid="{00000000-0005-0000-0000-0000D26A0000}"/>
    <cellStyle name="Normal 248 3 7" xfId="27106" xr:uid="{00000000-0005-0000-0000-0000D36A0000}"/>
    <cellStyle name="Normal 248 3 8" xfId="27107" xr:uid="{00000000-0005-0000-0000-0000D46A0000}"/>
    <cellStyle name="Normal 248 4" xfId="27108" xr:uid="{00000000-0005-0000-0000-0000D56A0000}"/>
    <cellStyle name="Normal 248 4 2" xfId="27109" xr:uid="{00000000-0005-0000-0000-0000D66A0000}"/>
    <cellStyle name="Normal 248 4 2 2" xfId="27110" xr:uid="{00000000-0005-0000-0000-0000D76A0000}"/>
    <cellStyle name="Normal 248 4 2 3" xfId="27111" xr:uid="{00000000-0005-0000-0000-0000D86A0000}"/>
    <cellStyle name="Normal 248 4 3" xfId="27112" xr:uid="{00000000-0005-0000-0000-0000D96A0000}"/>
    <cellStyle name="Normal 248 4 3 2" xfId="27113" xr:uid="{00000000-0005-0000-0000-0000DA6A0000}"/>
    <cellStyle name="Normal 248 4 3 3" xfId="27114" xr:uid="{00000000-0005-0000-0000-0000DB6A0000}"/>
    <cellStyle name="Normal 248 4 4" xfId="27115" xr:uid="{00000000-0005-0000-0000-0000DC6A0000}"/>
    <cellStyle name="Normal 248 4 5" xfId="27116" xr:uid="{00000000-0005-0000-0000-0000DD6A0000}"/>
    <cellStyle name="Normal 248 4 6" xfId="27117" xr:uid="{00000000-0005-0000-0000-0000DE6A0000}"/>
    <cellStyle name="Normal 248 5" xfId="27118" xr:uid="{00000000-0005-0000-0000-0000DF6A0000}"/>
    <cellStyle name="Normal 248 5 2" xfId="27119" xr:uid="{00000000-0005-0000-0000-0000E06A0000}"/>
    <cellStyle name="Normal 248 5 3" xfId="27120" xr:uid="{00000000-0005-0000-0000-0000E16A0000}"/>
    <cellStyle name="Normal 248 6" xfId="27121" xr:uid="{00000000-0005-0000-0000-0000E26A0000}"/>
    <cellStyle name="Normal 248 6 2" xfId="27122" xr:uid="{00000000-0005-0000-0000-0000E36A0000}"/>
    <cellStyle name="Normal 248 6 3" xfId="27123" xr:uid="{00000000-0005-0000-0000-0000E46A0000}"/>
    <cellStyle name="Normal 248 7" xfId="27124" xr:uid="{00000000-0005-0000-0000-0000E56A0000}"/>
    <cellStyle name="Normal 248 8" xfId="27125" xr:uid="{00000000-0005-0000-0000-0000E66A0000}"/>
    <cellStyle name="Normal 248 9" xfId="27126" xr:uid="{00000000-0005-0000-0000-0000E76A0000}"/>
    <cellStyle name="Normal 249" xfId="2689" xr:uid="{00000000-0005-0000-0000-0000E86A0000}"/>
    <cellStyle name="Normal 249 10" xfId="27127" xr:uid="{00000000-0005-0000-0000-0000E96A0000}"/>
    <cellStyle name="Normal 249 11" xfId="27128" xr:uid="{00000000-0005-0000-0000-0000EA6A0000}"/>
    <cellStyle name="Normal 249 2" xfId="2690" xr:uid="{00000000-0005-0000-0000-0000EB6A0000}"/>
    <cellStyle name="Normal 249 2 10" xfId="27129" xr:uid="{00000000-0005-0000-0000-0000EC6A0000}"/>
    <cellStyle name="Normal 249 2 2" xfId="27130" xr:uid="{00000000-0005-0000-0000-0000ED6A0000}"/>
    <cellStyle name="Normal 249 2 2 2" xfId="27131" xr:uid="{00000000-0005-0000-0000-0000EE6A0000}"/>
    <cellStyle name="Normal 249 2 2 2 2" xfId="27132" xr:uid="{00000000-0005-0000-0000-0000EF6A0000}"/>
    <cellStyle name="Normal 249 2 2 2 2 2" xfId="27133" xr:uid="{00000000-0005-0000-0000-0000F06A0000}"/>
    <cellStyle name="Normal 249 2 2 2 2 3" xfId="27134" xr:uid="{00000000-0005-0000-0000-0000F16A0000}"/>
    <cellStyle name="Normal 249 2 2 2 3" xfId="27135" xr:uid="{00000000-0005-0000-0000-0000F26A0000}"/>
    <cellStyle name="Normal 249 2 2 2 3 2" xfId="27136" xr:uid="{00000000-0005-0000-0000-0000F36A0000}"/>
    <cellStyle name="Normal 249 2 2 2 3 3" xfId="27137" xr:uid="{00000000-0005-0000-0000-0000F46A0000}"/>
    <cellStyle name="Normal 249 2 2 2 4" xfId="27138" xr:uid="{00000000-0005-0000-0000-0000F56A0000}"/>
    <cellStyle name="Normal 249 2 2 2 5" xfId="27139" xr:uid="{00000000-0005-0000-0000-0000F66A0000}"/>
    <cellStyle name="Normal 249 2 2 2 6" xfId="27140" xr:uid="{00000000-0005-0000-0000-0000F76A0000}"/>
    <cellStyle name="Normal 249 2 2 3" xfId="27141" xr:uid="{00000000-0005-0000-0000-0000F86A0000}"/>
    <cellStyle name="Normal 249 2 2 3 2" xfId="27142" xr:uid="{00000000-0005-0000-0000-0000F96A0000}"/>
    <cellStyle name="Normal 249 2 2 3 3" xfId="27143" xr:uid="{00000000-0005-0000-0000-0000FA6A0000}"/>
    <cellStyle name="Normal 249 2 2 4" xfId="27144" xr:uid="{00000000-0005-0000-0000-0000FB6A0000}"/>
    <cellStyle name="Normal 249 2 2 4 2" xfId="27145" xr:uid="{00000000-0005-0000-0000-0000FC6A0000}"/>
    <cellStyle name="Normal 249 2 2 4 3" xfId="27146" xr:uid="{00000000-0005-0000-0000-0000FD6A0000}"/>
    <cellStyle name="Normal 249 2 2 5" xfId="27147" xr:uid="{00000000-0005-0000-0000-0000FE6A0000}"/>
    <cellStyle name="Normal 249 2 2 6" xfId="27148" xr:uid="{00000000-0005-0000-0000-0000FF6A0000}"/>
    <cellStyle name="Normal 249 2 2 7" xfId="27149" xr:uid="{00000000-0005-0000-0000-0000006B0000}"/>
    <cellStyle name="Normal 249 2 2 8" xfId="27150" xr:uid="{00000000-0005-0000-0000-0000016B0000}"/>
    <cellStyle name="Normal 249 2 3" xfId="27151" xr:uid="{00000000-0005-0000-0000-0000026B0000}"/>
    <cellStyle name="Normal 249 2 3 2" xfId="27152" xr:uid="{00000000-0005-0000-0000-0000036B0000}"/>
    <cellStyle name="Normal 249 2 3 2 2" xfId="27153" xr:uid="{00000000-0005-0000-0000-0000046B0000}"/>
    <cellStyle name="Normal 249 2 3 2 3" xfId="27154" xr:uid="{00000000-0005-0000-0000-0000056B0000}"/>
    <cellStyle name="Normal 249 2 3 3" xfId="27155" xr:uid="{00000000-0005-0000-0000-0000066B0000}"/>
    <cellStyle name="Normal 249 2 3 3 2" xfId="27156" xr:uid="{00000000-0005-0000-0000-0000076B0000}"/>
    <cellStyle name="Normal 249 2 3 3 3" xfId="27157" xr:uid="{00000000-0005-0000-0000-0000086B0000}"/>
    <cellStyle name="Normal 249 2 3 4" xfId="27158" xr:uid="{00000000-0005-0000-0000-0000096B0000}"/>
    <cellStyle name="Normal 249 2 3 5" xfId="27159" xr:uid="{00000000-0005-0000-0000-00000A6B0000}"/>
    <cellStyle name="Normal 249 2 3 6" xfId="27160" xr:uid="{00000000-0005-0000-0000-00000B6B0000}"/>
    <cellStyle name="Normal 249 2 4" xfId="27161" xr:uid="{00000000-0005-0000-0000-00000C6B0000}"/>
    <cellStyle name="Normal 249 2 4 2" xfId="27162" xr:uid="{00000000-0005-0000-0000-00000D6B0000}"/>
    <cellStyle name="Normal 249 2 4 3" xfId="27163" xr:uid="{00000000-0005-0000-0000-00000E6B0000}"/>
    <cellStyle name="Normal 249 2 5" xfId="27164" xr:uid="{00000000-0005-0000-0000-00000F6B0000}"/>
    <cellStyle name="Normal 249 2 5 2" xfId="27165" xr:uid="{00000000-0005-0000-0000-0000106B0000}"/>
    <cellStyle name="Normal 249 2 5 3" xfId="27166" xr:uid="{00000000-0005-0000-0000-0000116B0000}"/>
    <cellStyle name="Normal 249 2 6" xfId="27167" xr:uid="{00000000-0005-0000-0000-0000126B0000}"/>
    <cellStyle name="Normal 249 2 7" xfId="27168" xr:uid="{00000000-0005-0000-0000-0000136B0000}"/>
    <cellStyle name="Normal 249 2 8" xfId="27169" xr:uid="{00000000-0005-0000-0000-0000146B0000}"/>
    <cellStyle name="Normal 249 2 9" xfId="27170" xr:uid="{00000000-0005-0000-0000-0000156B0000}"/>
    <cellStyle name="Normal 249 3" xfId="27171" xr:uid="{00000000-0005-0000-0000-0000166B0000}"/>
    <cellStyle name="Normal 249 3 2" xfId="27172" xr:uid="{00000000-0005-0000-0000-0000176B0000}"/>
    <cellStyle name="Normal 249 3 2 2" xfId="27173" xr:uid="{00000000-0005-0000-0000-0000186B0000}"/>
    <cellStyle name="Normal 249 3 2 2 2" xfId="27174" xr:uid="{00000000-0005-0000-0000-0000196B0000}"/>
    <cellStyle name="Normal 249 3 2 2 3" xfId="27175" xr:uid="{00000000-0005-0000-0000-00001A6B0000}"/>
    <cellStyle name="Normal 249 3 2 3" xfId="27176" xr:uid="{00000000-0005-0000-0000-00001B6B0000}"/>
    <cellStyle name="Normal 249 3 2 3 2" xfId="27177" xr:uid="{00000000-0005-0000-0000-00001C6B0000}"/>
    <cellStyle name="Normal 249 3 2 3 3" xfId="27178" xr:uid="{00000000-0005-0000-0000-00001D6B0000}"/>
    <cellStyle name="Normal 249 3 2 4" xfId="27179" xr:uid="{00000000-0005-0000-0000-00001E6B0000}"/>
    <cellStyle name="Normal 249 3 2 5" xfId="27180" xr:uid="{00000000-0005-0000-0000-00001F6B0000}"/>
    <cellStyle name="Normal 249 3 2 6" xfId="27181" xr:uid="{00000000-0005-0000-0000-0000206B0000}"/>
    <cellStyle name="Normal 249 3 3" xfId="27182" xr:uid="{00000000-0005-0000-0000-0000216B0000}"/>
    <cellStyle name="Normal 249 3 3 2" xfId="27183" xr:uid="{00000000-0005-0000-0000-0000226B0000}"/>
    <cellStyle name="Normal 249 3 3 3" xfId="27184" xr:uid="{00000000-0005-0000-0000-0000236B0000}"/>
    <cellStyle name="Normal 249 3 4" xfId="27185" xr:uid="{00000000-0005-0000-0000-0000246B0000}"/>
    <cellStyle name="Normal 249 3 4 2" xfId="27186" xr:uid="{00000000-0005-0000-0000-0000256B0000}"/>
    <cellStyle name="Normal 249 3 4 3" xfId="27187" xr:uid="{00000000-0005-0000-0000-0000266B0000}"/>
    <cellStyle name="Normal 249 3 5" xfId="27188" xr:uid="{00000000-0005-0000-0000-0000276B0000}"/>
    <cellStyle name="Normal 249 3 6" xfId="27189" xr:uid="{00000000-0005-0000-0000-0000286B0000}"/>
    <cellStyle name="Normal 249 3 7" xfId="27190" xr:uid="{00000000-0005-0000-0000-0000296B0000}"/>
    <cellStyle name="Normal 249 3 8" xfId="27191" xr:uid="{00000000-0005-0000-0000-00002A6B0000}"/>
    <cellStyle name="Normal 249 4" xfId="27192" xr:uid="{00000000-0005-0000-0000-00002B6B0000}"/>
    <cellStyle name="Normal 249 4 2" xfId="27193" xr:uid="{00000000-0005-0000-0000-00002C6B0000}"/>
    <cellStyle name="Normal 249 4 2 2" xfId="27194" xr:uid="{00000000-0005-0000-0000-00002D6B0000}"/>
    <cellStyle name="Normal 249 4 2 3" xfId="27195" xr:uid="{00000000-0005-0000-0000-00002E6B0000}"/>
    <cellStyle name="Normal 249 4 3" xfId="27196" xr:uid="{00000000-0005-0000-0000-00002F6B0000}"/>
    <cellStyle name="Normal 249 4 3 2" xfId="27197" xr:uid="{00000000-0005-0000-0000-0000306B0000}"/>
    <cellStyle name="Normal 249 4 3 3" xfId="27198" xr:uid="{00000000-0005-0000-0000-0000316B0000}"/>
    <cellStyle name="Normal 249 4 4" xfId="27199" xr:uid="{00000000-0005-0000-0000-0000326B0000}"/>
    <cellStyle name="Normal 249 4 5" xfId="27200" xr:uid="{00000000-0005-0000-0000-0000336B0000}"/>
    <cellStyle name="Normal 249 4 6" xfId="27201" xr:uid="{00000000-0005-0000-0000-0000346B0000}"/>
    <cellStyle name="Normal 249 5" xfId="27202" xr:uid="{00000000-0005-0000-0000-0000356B0000}"/>
    <cellStyle name="Normal 249 5 2" xfId="27203" xr:uid="{00000000-0005-0000-0000-0000366B0000}"/>
    <cellStyle name="Normal 249 5 3" xfId="27204" xr:uid="{00000000-0005-0000-0000-0000376B0000}"/>
    <cellStyle name="Normal 249 6" xfId="27205" xr:uid="{00000000-0005-0000-0000-0000386B0000}"/>
    <cellStyle name="Normal 249 6 2" xfId="27206" xr:uid="{00000000-0005-0000-0000-0000396B0000}"/>
    <cellStyle name="Normal 249 6 3" xfId="27207" xr:uid="{00000000-0005-0000-0000-00003A6B0000}"/>
    <cellStyle name="Normal 249 7" xfId="27208" xr:uid="{00000000-0005-0000-0000-00003B6B0000}"/>
    <cellStyle name="Normal 249 8" xfId="27209" xr:uid="{00000000-0005-0000-0000-00003C6B0000}"/>
    <cellStyle name="Normal 249 9" xfId="27210" xr:uid="{00000000-0005-0000-0000-00003D6B0000}"/>
    <cellStyle name="Normal 25" xfId="2691" xr:uid="{00000000-0005-0000-0000-00003E6B0000}"/>
    <cellStyle name="Normal 25 10" xfId="27211" xr:uid="{00000000-0005-0000-0000-00003F6B0000}"/>
    <cellStyle name="Normal 25 11" xfId="27212" xr:uid="{00000000-0005-0000-0000-0000406B0000}"/>
    <cellStyle name="Normal 25 12" xfId="27213" xr:uid="{00000000-0005-0000-0000-0000416B0000}"/>
    <cellStyle name="Normal 25 13" xfId="27214" xr:uid="{00000000-0005-0000-0000-0000426B0000}"/>
    <cellStyle name="Normal 25 2" xfId="2692" xr:uid="{00000000-0005-0000-0000-0000436B0000}"/>
    <cellStyle name="Normal 25 2 10" xfId="27215" xr:uid="{00000000-0005-0000-0000-0000446B0000}"/>
    <cellStyle name="Normal 25 2 2" xfId="27216" xr:uid="{00000000-0005-0000-0000-0000456B0000}"/>
    <cellStyle name="Normal 25 2 2 2" xfId="27217" xr:uid="{00000000-0005-0000-0000-0000466B0000}"/>
    <cellStyle name="Normal 25 2 2 2 2" xfId="27218" xr:uid="{00000000-0005-0000-0000-0000476B0000}"/>
    <cellStyle name="Normal 25 2 2 2 2 2" xfId="27219" xr:uid="{00000000-0005-0000-0000-0000486B0000}"/>
    <cellStyle name="Normal 25 2 2 2 2 3" xfId="27220" xr:uid="{00000000-0005-0000-0000-0000496B0000}"/>
    <cellStyle name="Normal 25 2 2 2 3" xfId="27221" xr:uid="{00000000-0005-0000-0000-00004A6B0000}"/>
    <cellStyle name="Normal 25 2 2 2 4" xfId="27222" xr:uid="{00000000-0005-0000-0000-00004B6B0000}"/>
    <cellStyle name="Normal 25 2 2 2_Order Book" xfId="27223" xr:uid="{00000000-0005-0000-0000-00004C6B0000}"/>
    <cellStyle name="Normal 25 2 2 3" xfId="27224" xr:uid="{00000000-0005-0000-0000-00004D6B0000}"/>
    <cellStyle name="Normal 25 2 2 3 2" xfId="27225" xr:uid="{00000000-0005-0000-0000-00004E6B0000}"/>
    <cellStyle name="Normal 25 2 2 3 3" xfId="27226" xr:uid="{00000000-0005-0000-0000-00004F6B0000}"/>
    <cellStyle name="Normal 25 2 2 4" xfId="27227" xr:uid="{00000000-0005-0000-0000-0000506B0000}"/>
    <cellStyle name="Normal 25 2 2 5" xfId="27228" xr:uid="{00000000-0005-0000-0000-0000516B0000}"/>
    <cellStyle name="Normal 25 2 2 6" xfId="27229" xr:uid="{00000000-0005-0000-0000-0000526B0000}"/>
    <cellStyle name="Normal 25 2 2_Order Book" xfId="27230" xr:uid="{00000000-0005-0000-0000-0000536B0000}"/>
    <cellStyle name="Normal 25 2 3" xfId="27231" xr:uid="{00000000-0005-0000-0000-0000546B0000}"/>
    <cellStyle name="Normal 25 2 3 2" xfId="27232" xr:uid="{00000000-0005-0000-0000-0000556B0000}"/>
    <cellStyle name="Normal 25 2 3 2 2" xfId="27233" xr:uid="{00000000-0005-0000-0000-0000566B0000}"/>
    <cellStyle name="Normal 25 2 3 2 2 2" xfId="27234" xr:uid="{00000000-0005-0000-0000-0000576B0000}"/>
    <cellStyle name="Normal 25 2 3 2 2 3" xfId="27235" xr:uid="{00000000-0005-0000-0000-0000586B0000}"/>
    <cellStyle name="Normal 25 2 3 2 3" xfId="27236" xr:uid="{00000000-0005-0000-0000-0000596B0000}"/>
    <cellStyle name="Normal 25 2 3 2 4" xfId="27237" xr:uid="{00000000-0005-0000-0000-00005A6B0000}"/>
    <cellStyle name="Normal 25 2 3 2_Order Book" xfId="27238" xr:uid="{00000000-0005-0000-0000-00005B6B0000}"/>
    <cellStyle name="Normal 25 2 3 3" xfId="27239" xr:uid="{00000000-0005-0000-0000-00005C6B0000}"/>
    <cellStyle name="Normal 25 2 3 3 2" xfId="27240" xr:uid="{00000000-0005-0000-0000-00005D6B0000}"/>
    <cellStyle name="Normal 25 2 3 3 3" xfId="27241" xr:uid="{00000000-0005-0000-0000-00005E6B0000}"/>
    <cellStyle name="Normal 25 2 3 4" xfId="27242" xr:uid="{00000000-0005-0000-0000-00005F6B0000}"/>
    <cellStyle name="Normal 25 2 3 5" xfId="27243" xr:uid="{00000000-0005-0000-0000-0000606B0000}"/>
    <cellStyle name="Normal 25 2 3_Order Book" xfId="27244" xr:uid="{00000000-0005-0000-0000-0000616B0000}"/>
    <cellStyle name="Normal 25 2 4" xfId="27245" xr:uid="{00000000-0005-0000-0000-0000626B0000}"/>
    <cellStyle name="Normal 25 2 4 2" xfId="27246" xr:uid="{00000000-0005-0000-0000-0000636B0000}"/>
    <cellStyle name="Normal 25 2 4 2 2" xfId="27247" xr:uid="{00000000-0005-0000-0000-0000646B0000}"/>
    <cellStyle name="Normal 25 2 4 2 3" xfId="27248" xr:uid="{00000000-0005-0000-0000-0000656B0000}"/>
    <cellStyle name="Normal 25 2 4 3" xfId="27249" xr:uid="{00000000-0005-0000-0000-0000666B0000}"/>
    <cellStyle name="Normal 25 2 4 4" xfId="27250" xr:uid="{00000000-0005-0000-0000-0000676B0000}"/>
    <cellStyle name="Normal 25 2 4_Order Book" xfId="27251" xr:uid="{00000000-0005-0000-0000-0000686B0000}"/>
    <cellStyle name="Normal 25 2 5" xfId="27252" xr:uid="{00000000-0005-0000-0000-0000696B0000}"/>
    <cellStyle name="Normal 25 2 5 2" xfId="27253" xr:uid="{00000000-0005-0000-0000-00006A6B0000}"/>
    <cellStyle name="Normal 25 2 5 3" xfId="27254" xr:uid="{00000000-0005-0000-0000-00006B6B0000}"/>
    <cellStyle name="Normal 25 2 6" xfId="27255" xr:uid="{00000000-0005-0000-0000-00006C6B0000}"/>
    <cellStyle name="Normal 25 2 7" xfId="27256" xr:uid="{00000000-0005-0000-0000-00006D6B0000}"/>
    <cellStyle name="Normal 25 2 8" xfId="27257" xr:uid="{00000000-0005-0000-0000-00006E6B0000}"/>
    <cellStyle name="Normal 25 2 9" xfId="27258" xr:uid="{00000000-0005-0000-0000-00006F6B0000}"/>
    <cellStyle name="Normal 25 2_Order Book" xfId="27259" xr:uid="{00000000-0005-0000-0000-0000706B0000}"/>
    <cellStyle name="Normal 25 3" xfId="27260" xr:uid="{00000000-0005-0000-0000-0000716B0000}"/>
    <cellStyle name="Normal 25 3 2" xfId="27261" xr:uid="{00000000-0005-0000-0000-0000726B0000}"/>
    <cellStyle name="Normal 25 3 2 2" xfId="27262" xr:uid="{00000000-0005-0000-0000-0000736B0000}"/>
    <cellStyle name="Normal 25 3 2 2 2" xfId="27263" xr:uid="{00000000-0005-0000-0000-0000746B0000}"/>
    <cellStyle name="Normal 25 3 2 2 2 2" xfId="27264" xr:uid="{00000000-0005-0000-0000-0000756B0000}"/>
    <cellStyle name="Normal 25 3 2 2 2 3" xfId="27265" xr:uid="{00000000-0005-0000-0000-0000766B0000}"/>
    <cellStyle name="Normal 25 3 2 2 3" xfId="27266" xr:uid="{00000000-0005-0000-0000-0000776B0000}"/>
    <cellStyle name="Normal 25 3 2 2 4" xfId="27267" xr:uid="{00000000-0005-0000-0000-0000786B0000}"/>
    <cellStyle name="Normal 25 3 2 2_Order Book" xfId="27268" xr:uid="{00000000-0005-0000-0000-0000796B0000}"/>
    <cellStyle name="Normal 25 3 2 3" xfId="27269" xr:uid="{00000000-0005-0000-0000-00007A6B0000}"/>
    <cellStyle name="Normal 25 3 2 3 2" xfId="27270" xr:uid="{00000000-0005-0000-0000-00007B6B0000}"/>
    <cellStyle name="Normal 25 3 2 3 3" xfId="27271" xr:uid="{00000000-0005-0000-0000-00007C6B0000}"/>
    <cellStyle name="Normal 25 3 2 4" xfId="27272" xr:uid="{00000000-0005-0000-0000-00007D6B0000}"/>
    <cellStyle name="Normal 25 3 2 5" xfId="27273" xr:uid="{00000000-0005-0000-0000-00007E6B0000}"/>
    <cellStyle name="Normal 25 3 2_Order Book" xfId="27274" xr:uid="{00000000-0005-0000-0000-00007F6B0000}"/>
    <cellStyle name="Normal 25 3 3" xfId="27275" xr:uid="{00000000-0005-0000-0000-0000806B0000}"/>
    <cellStyle name="Normal 25 3 3 2" xfId="27276" xr:uid="{00000000-0005-0000-0000-0000816B0000}"/>
    <cellStyle name="Normal 25 3 3 2 2" xfId="27277" xr:uid="{00000000-0005-0000-0000-0000826B0000}"/>
    <cellStyle name="Normal 25 3 3 2 3" xfId="27278" xr:uid="{00000000-0005-0000-0000-0000836B0000}"/>
    <cellStyle name="Normal 25 3 3 3" xfId="27279" xr:uid="{00000000-0005-0000-0000-0000846B0000}"/>
    <cellStyle name="Normal 25 3 3 4" xfId="27280" xr:uid="{00000000-0005-0000-0000-0000856B0000}"/>
    <cellStyle name="Normal 25 3 3_Order Book" xfId="27281" xr:uid="{00000000-0005-0000-0000-0000866B0000}"/>
    <cellStyle name="Normal 25 3 4" xfId="27282" xr:uid="{00000000-0005-0000-0000-0000876B0000}"/>
    <cellStyle name="Normal 25 3 4 2" xfId="27283" xr:uid="{00000000-0005-0000-0000-0000886B0000}"/>
    <cellStyle name="Normal 25 3 4 3" xfId="27284" xr:uid="{00000000-0005-0000-0000-0000896B0000}"/>
    <cellStyle name="Normal 25 3 5" xfId="27285" xr:uid="{00000000-0005-0000-0000-00008A6B0000}"/>
    <cellStyle name="Normal 25 3 6" xfId="27286" xr:uid="{00000000-0005-0000-0000-00008B6B0000}"/>
    <cellStyle name="Normal 25 3 7" xfId="27287" xr:uid="{00000000-0005-0000-0000-00008C6B0000}"/>
    <cellStyle name="Normal 25 3_Order Book" xfId="27288" xr:uid="{00000000-0005-0000-0000-00008D6B0000}"/>
    <cellStyle name="Normal 25 4" xfId="27289" xr:uid="{00000000-0005-0000-0000-00008E6B0000}"/>
    <cellStyle name="Normal 25 4 2" xfId="27290" xr:uid="{00000000-0005-0000-0000-00008F6B0000}"/>
    <cellStyle name="Normal 25 4 2 2" xfId="27291" xr:uid="{00000000-0005-0000-0000-0000906B0000}"/>
    <cellStyle name="Normal 25 4 2 2 2" xfId="27292" xr:uid="{00000000-0005-0000-0000-0000916B0000}"/>
    <cellStyle name="Normal 25 4 2 2 3" xfId="27293" xr:uid="{00000000-0005-0000-0000-0000926B0000}"/>
    <cellStyle name="Normal 25 4 2 3" xfId="27294" xr:uid="{00000000-0005-0000-0000-0000936B0000}"/>
    <cellStyle name="Normal 25 4 2 4" xfId="27295" xr:uid="{00000000-0005-0000-0000-0000946B0000}"/>
    <cellStyle name="Normal 25 4 3" xfId="27296" xr:uid="{00000000-0005-0000-0000-0000956B0000}"/>
    <cellStyle name="Normal 25 4 3 2" xfId="27297" xr:uid="{00000000-0005-0000-0000-0000966B0000}"/>
    <cellStyle name="Normal 25 4 3 3" xfId="27298" xr:uid="{00000000-0005-0000-0000-0000976B0000}"/>
    <cellStyle name="Normal 25 4 4" xfId="27299" xr:uid="{00000000-0005-0000-0000-0000986B0000}"/>
    <cellStyle name="Normal 25 4 5" xfId="27300" xr:uid="{00000000-0005-0000-0000-0000996B0000}"/>
    <cellStyle name="Normal 25 4 6" xfId="27301" xr:uid="{00000000-0005-0000-0000-00009A6B0000}"/>
    <cellStyle name="Normal 25 4_Order Book" xfId="27302" xr:uid="{00000000-0005-0000-0000-00009B6B0000}"/>
    <cellStyle name="Normal 25 5" xfId="27303" xr:uid="{00000000-0005-0000-0000-00009C6B0000}"/>
    <cellStyle name="Normal 25 5 2" xfId="27304" xr:uid="{00000000-0005-0000-0000-00009D6B0000}"/>
    <cellStyle name="Normal 25 5 2 2" xfId="27305" xr:uid="{00000000-0005-0000-0000-00009E6B0000}"/>
    <cellStyle name="Normal 25 5 2 2 2" xfId="27306" xr:uid="{00000000-0005-0000-0000-00009F6B0000}"/>
    <cellStyle name="Normal 25 5 2 2 3" xfId="27307" xr:uid="{00000000-0005-0000-0000-0000A06B0000}"/>
    <cellStyle name="Normal 25 5 2 3" xfId="27308" xr:uid="{00000000-0005-0000-0000-0000A16B0000}"/>
    <cellStyle name="Normal 25 5 2 4" xfId="27309" xr:uid="{00000000-0005-0000-0000-0000A26B0000}"/>
    <cellStyle name="Normal 25 5 3" xfId="27310" xr:uid="{00000000-0005-0000-0000-0000A36B0000}"/>
    <cellStyle name="Normal 25 5 3 2" xfId="27311" xr:uid="{00000000-0005-0000-0000-0000A46B0000}"/>
    <cellStyle name="Normal 25 5 3 3" xfId="27312" xr:uid="{00000000-0005-0000-0000-0000A56B0000}"/>
    <cellStyle name="Normal 25 5 4" xfId="27313" xr:uid="{00000000-0005-0000-0000-0000A66B0000}"/>
    <cellStyle name="Normal 25 5 5" xfId="27314" xr:uid="{00000000-0005-0000-0000-0000A76B0000}"/>
    <cellStyle name="Normal 25 5_Order Book" xfId="27315" xr:uid="{00000000-0005-0000-0000-0000A86B0000}"/>
    <cellStyle name="Normal 25 6" xfId="27316" xr:uid="{00000000-0005-0000-0000-0000A96B0000}"/>
    <cellStyle name="Normal 25 6 2" xfId="27317" xr:uid="{00000000-0005-0000-0000-0000AA6B0000}"/>
    <cellStyle name="Normal 25 6 2 2" xfId="27318" xr:uid="{00000000-0005-0000-0000-0000AB6B0000}"/>
    <cellStyle name="Normal 25 6 2 2 2" xfId="27319" xr:uid="{00000000-0005-0000-0000-0000AC6B0000}"/>
    <cellStyle name="Normal 25 6 2 2 3" xfId="27320" xr:uid="{00000000-0005-0000-0000-0000AD6B0000}"/>
    <cellStyle name="Normal 25 6 2 3" xfId="27321" xr:uid="{00000000-0005-0000-0000-0000AE6B0000}"/>
    <cellStyle name="Normal 25 6 2 4" xfId="27322" xr:uid="{00000000-0005-0000-0000-0000AF6B0000}"/>
    <cellStyle name="Normal 25 6 3" xfId="27323" xr:uid="{00000000-0005-0000-0000-0000B06B0000}"/>
    <cellStyle name="Normal 25 6 3 2" xfId="27324" xr:uid="{00000000-0005-0000-0000-0000B16B0000}"/>
    <cellStyle name="Normal 25 6 3 3" xfId="27325" xr:uid="{00000000-0005-0000-0000-0000B26B0000}"/>
    <cellStyle name="Normal 25 6 4" xfId="27326" xr:uid="{00000000-0005-0000-0000-0000B36B0000}"/>
    <cellStyle name="Normal 25 6 5" xfId="27327" xr:uid="{00000000-0005-0000-0000-0000B46B0000}"/>
    <cellStyle name="Normal 25 6_Order Book" xfId="27328" xr:uid="{00000000-0005-0000-0000-0000B56B0000}"/>
    <cellStyle name="Normal 25 7" xfId="27329" xr:uid="{00000000-0005-0000-0000-0000B66B0000}"/>
    <cellStyle name="Normal 25 8" xfId="27330" xr:uid="{00000000-0005-0000-0000-0000B76B0000}"/>
    <cellStyle name="Normal 25 8 2" xfId="27331" xr:uid="{00000000-0005-0000-0000-0000B86B0000}"/>
    <cellStyle name="Normal 25 8 2 2" xfId="27332" xr:uid="{00000000-0005-0000-0000-0000B96B0000}"/>
    <cellStyle name="Normal 25 8 2 3" xfId="27333" xr:uid="{00000000-0005-0000-0000-0000BA6B0000}"/>
    <cellStyle name="Normal 25 8 3" xfId="27334" xr:uid="{00000000-0005-0000-0000-0000BB6B0000}"/>
    <cellStyle name="Normal 25 8 4" xfId="27335" xr:uid="{00000000-0005-0000-0000-0000BC6B0000}"/>
    <cellStyle name="Normal 25 9" xfId="27336" xr:uid="{00000000-0005-0000-0000-0000BD6B0000}"/>
    <cellStyle name="Normal 25 9 2" xfId="27337" xr:uid="{00000000-0005-0000-0000-0000BE6B0000}"/>
    <cellStyle name="Normal 25 9 3" xfId="27338" xr:uid="{00000000-0005-0000-0000-0000BF6B0000}"/>
    <cellStyle name="Normal 25_Order Book" xfId="27339" xr:uid="{00000000-0005-0000-0000-0000C06B0000}"/>
    <cellStyle name="Normal 250" xfId="2693" xr:uid="{00000000-0005-0000-0000-0000C16B0000}"/>
    <cellStyle name="Normal 250 10" xfId="27340" xr:uid="{00000000-0005-0000-0000-0000C26B0000}"/>
    <cellStyle name="Normal 250 11" xfId="27341" xr:uid="{00000000-0005-0000-0000-0000C36B0000}"/>
    <cellStyle name="Normal 250 2" xfId="27342" xr:uid="{00000000-0005-0000-0000-0000C46B0000}"/>
    <cellStyle name="Normal 250 2 2" xfId="27343" xr:uid="{00000000-0005-0000-0000-0000C56B0000}"/>
    <cellStyle name="Normal 250 2 2 2" xfId="27344" xr:uid="{00000000-0005-0000-0000-0000C66B0000}"/>
    <cellStyle name="Normal 250 2 2 2 2" xfId="27345" xr:uid="{00000000-0005-0000-0000-0000C76B0000}"/>
    <cellStyle name="Normal 250 2 2 2 2 2" xfId="27346" xr:uid="{00000000-0005-0000-0000-0000C86B0000}"/>
    <cellStyle name="Normal 250 2 2 2 2 3" xfId="27347" xr:uid="{00000000-0005-0000-0000-0000C96B0000}"/>
    <cellStyle name="Normal 250 2 2 2 3" xfId="27348" xr:uid="{00000000-0005-0000-0000-0000CA6B0000}"/>
    <cellStyle name="Normal 250 2 2 2 3 2" xfId="27349" xr:uid="{00000000-0005-0000-0000-0000CB6B0000}"/>
    <cellStyle name="Normal 250 2 2 2 3 3" xfId="27350" xr:uid="{00000000-0005-0000-0000-0000CC6B0000}"/>
    <cellStyle name="Normal 250 2 2 2 4" xfId="27351" xr:uid="{00000000-0005-0000-0000-0000CD6B0000}"/>
    <cellStyle name="Normal 250 2 2 2 5" xfId="27352" xr:uid="{00000000-0005-0000-0000-0000CE6B0000}"/>
    <cellStyle name="Normal 250 2 2 2 6" xfId="27353" xr:uid="{00000000-0005-0000-0000-0000CF6B0000}"/>
    <cellStyle name="Normal 250 2 2 3" xfId="27354" xr:uid="{00000000-0005-0000-0000-0000D06B0000}"/>
    <cellStyle name="Normal 250 2 2 3 2" xfId="27355" xr:uid="{00000000-0005-0000-0000-0000D16B0000}"/>
    <cellStyle name="Normal 250 2 2 3 3" xfId="27356" xr:uid="{00000000-0005-0000-0000-0000D26B0000}"/>
    <cellStyle name="Normal 250 2 2 4" xfId="27357" xr:uid="{00000000-0005-0000-0000-0000D36B0000}"/>
    <cellStyle name="Normal 250 2 2 4 2" xfId="27358" xr:uid="{00000000-0005-0000-0000-0000D46B0000}"/>
    <cellStyle name="Normal 250 2 2 4 3" xfId="27359" xr:uid="{00000000-0005-0000-0000-0000D56B0000}"/>
    <cellStyle name="Normal 250 2 2 5" xfId="27360" xr:uid="{00000000-0005-0000-0000-0000D66B0000}"/>
    <cellStyle name="Normal 250 2 2 6" xfId="27361" xr:uid="{00000000-0005-0000-0000-0000D76B0000}"/>
    <cellStyle name="Normal 250 2 2 7" xfId="27362" xr:uid="{00000000-0005-0000-0000-0000D86B0000}"/>
    <cellStyle name="Normal 250 2 2 8" xfId="27363" xr:uid="{00000000-0005-0000-0000-0000D96B0000}"/>
    <cellStyle name="Normal 250 2 3" xfId="27364" xr:uid="{00000000-0005-0000-0000-0000DA6B0000}"/>
    <cellStyle name="Normal 250 2 3 2" xfId="27365" xr:uid="{00000000-0005-0000-0000-0000DB6B0000}"/>
    <cellStyle name="Normal 250 2 3 2 2" xfId="27366" xr:uid="{00000000-0005-0000-0000-0000DC6B0000}"/>
    <cellStyle name="Normal 250 2 3 2 3" xfId="27367" xr:uid="{00000000-0005-0000-0000-0000DD6B0000}"/>
    <cellStyle name="Normal 250 2 3 3" xfId="27368" xr:uid="{00000000-0005-0000-0000-0000DE6B0000}"/>
    <cellStyle name="Normal 250 2 3 3 2" xfId="27369" xr:uid="{00000000-0005-0000-0000-0000DF6B0000}"/>
    <cellStyle name="Normal 250 2 3 3 3" xfId="27370" xr:uid="{00000000-0005-0000-0000-0000E06B0000}"/>
    <cellStyle name="Normal 250 2 3 4" xfId="27371" xr:uid="{00000000-0005-0000-0000-0000E16B0000}"/>
    <cellStyle name="Normal 250 2 3 5" xfId="27372" xr:uid="{00000000-0005-0000-0000-0000E26B0000}"/>
    <cellStyle name="Normal 250 2 3 6" xfId="27373" xr:uid="{00000000-0005-0000-0000-0000E36B0000}"/>
    <cellStyle name="Normal 250 2 4" xfId="27374" xr:uid="{00000000-0005-0000-0000-0000E46B0000}"/>
    <cellStyle name="Normal 250 2 4 2" xfId="27375" xr:uid="{00000000-0005-0000-0000-0000E56B0000}"/>
    <cellStyle name="Normal 250 2 4 3" xfId="27376" xr:uid="{00000000-0005-0000-0000-0000E66B0000}"/>
    <cellStyle name="Normal 250 2 5" xfId="27377" xr:uid="{00000000-0005-0000-0000-0000E76B0000}"/>
    <cellStyle name="Normal 250 2 5 2" xfId="27378" xr:uid="{00000000-0005-0000-0000-0000E86B0000}"/>
    <cellStyle name="Normal 250 2 5 3" xfId="27379" xr:uid="{00000000-0005-0000-0000-0000E96B0000}"/>
    <cellStyle name="Normal 250 2 6" xfId="27380" xr:uid="{00000000-0005-0000-0000-0000EA6B0000}"/>
    <cellStyle name="Normal 250 2 7" xfId="27381" xr:uid="{00000000-0005-0000-0000-0000EB6B0000}"/>
    <cellStyle name="Normal 250 2 8" xfId="27382" xr:uid="{00000000-0005-0000-0000-0000EC6B0000}"/>
    <cellStyle name="Normal 250 2 9" xfId="27383" xr:uid="{00000000-0005-0000-0000-0000ED6B0000}"/>
    <cellStyle name="Normal 250 3" xfId="27384" xr:uid="{00000000-0005-0000-0000-0000EE6B0000}"/>
    <cellStyle name="Normal 250 3 2" xfId="27385" xr:uid="{00000000-0005-0000-0000-0000EF6B0000}"/>
    <cellStyle name="Normal 250 3 2 2" xfId="27386" xr:uid="{00000000-0005-0000-0000-0000F06B0000}"/>
    <cellStyle name="Normal 250 3 2 2 2" xfId="27387" xr:uid="{00000000-0005-0000-0000-0000F16B0000}"/>
    <cellStyle name="Normal 250 3 2 2 3" xfId="27388" xr:uid="{00000000-0005-0000-0000-0000F26B0000}"/>
    <cellStyle name="Normal 250 3 2 3" xfId="27389" xr:uid="{00000000-0005-0000-0000-0000F36B0000}"/>
    <cellStyle name="Normal 250 3 2 3 2" xfId="27390" xr:uid="{00000000-0005-0000-0000-0000F46B0000}"/>
    <cellStyle name="Normal 250 3 2 3 3" xfId="27391" xr:uid="{00000000-0005-0000-0000-0000F56B0000}"/>
    <cellStyle name="Normal 250 3 2 4" xfId="27392" xr:uid="{00000000-0005-0000-0000-0000F66B0000}"/>
    <cellStyle name="Normal 250 3 2 5" xfId="27393" xr:uid="{00000000-0005-0000-0000-0000F76B0000}"/>
    <cellStyle name="Normal 250 3 2 6" xfId="27394" xr:uid="{00000000-0005-0000-0000-0000F86B0000}"/>
    <cellStyle name="Normal 250 3 3" xfId="27395" xr:uid="{00000000-0005-0000-0000-0000F96B0000}"/>
    <cellStyle name="Normal 250 3 3 2" xfId="27396" xr:uid="{00000000-0005-0000-0000-0000FA6B0000}"/>
    <cellStyle name="Normal 250 3 3 3" xfId="27397" xr:uid="{00000000-0005-0000-0000-0000FB6B0000}"/>
    <cellStyle name="Normal 250 3 4" xfId="27398" xr:uid="{00000000-0005-0000-0000-0000FC6B0000}"/>
    <cellStyle name="Normal 250 3 4 2" xfId="27399" xr:uid="{00000000-0005-0000-0000-0000FD6B0000}"/>
    <cellStyle name="Normal 250 3 4 3" xfId="27400" xr:uid="{00000000-0005-0000-0000-0000FE6B0000}"/>
    <cellStyle name="Normal 250 3 5" xfId="27401" xr:uid="{00000000-0005-0000-0000-0000FF6B0000}"/>
    <cellStyle name="Normal 250 3 6" xfId="27402" xr:uid="{00000000-0005-0000-0000-0000006C0000}"/>
    <cellStyle name="Normal 250 3 7" xfId="27403" xr:uid="{00000000-0005-0000-0000-0000016C0000}"/>
    <cellStyle name="Normal 250 3 8" xfId="27404" xr:uid="{00000000-0005-0000-0000-0000026C0000}"/>
    <cellStyle name="Normal 250 4" xfId="27405" xr:uid="{00000000-0005-0000-0000-0000036C0000}"/>
    <cellStyle name="Normal 250 4 2" xfId="27406" xr:uid="{00000000-0005-0000-0000-0000046C0000}"/>
    <cellStyle name="Normal 250 4 2 2" xfId="27407" xr:uid="{00000000-0005-0000-0000-0000056C0000}"/>
    <cellStyle name="Normal 250 4 2 3" xfId="27408" xr:uid="{00000000-0005-0000-0000-0000066C0000}"/>
    <cellStyle name="Normal 250 4 3" xfId="27409" xr:uid="{00000000-0005-0000-0000-0000076C0000}"/>
    <cellStyle name="Normal 250 4 3 2" xfId="27410" xr:uid="{00000000-0005-0000-0000-0000086C0000}"/>
    <cellStyle name="Normal 250 4 3 3" xfId="27411" xr:uid="{00000000-0005-0000-0000-0000096C0000}"/>
    <cellStyle name="Normal 250 4 4" xfId="27412" xr:uid="{00000000-0005-0000-0000-00000A6C0000}"/>
    <cellStyle name="Normal 250 4 5" xfId="27413" xr:uid="{00000000-0005-0000-0000-00000B6C0000}"/>
    <cellStyle name="Normal 250 4 6" xfId="27414" xr:uid="{00000000-0005-0000-0000-00000C6C0000}"/>
    <cellStyle name="Normal 250 5" xfId="27415" xr:uid="{00000000-0005-0000-0000-00000D6C0000}"/>
    <cellStyle name="Normal 250 5 2" xfId="27416" xr:uid="{00000000-0005-0000-0000-00000E6C0000}"/>
    <cellStyle name="Normal 250 5 3" xfId="27417" xr:uid="{00000000-0005-0000-0000-00000F6C0000}"/>
    <cellStyle name="Normal 250 6" xfId="27418" xr:uid="{00000000-0005-0000-0000-0000106C0000}"/>
    <cellStyle name="Normal 250 6 2" xfId="27419" xr:uid="{00000000-0005-0000-0000-0000116C0000}"/>
    <cellStyle name="Normal 250 6 3" xfId="27420" xr:uid="{00000000-0005-0000-0000-0000126C0000}"/>
    <cellStyle name="Normal 250 7" xfId="27421" xr:uid="{00000000-0005-0000-0000-0000136C0000}"/>
    <cellStyle name="Normal 250 8" xfId="27422" xr:uid="{00000000-0005-0000-0000-0000146C0000}"/>
    <cellStyle name="Normal 250 9" xfId="27423" xr:uid="{00000000-0005-0000-0000-0000156C0000}"/>
    <cellStyle name="Normal 251" xfId="2694" xr:uid="{00000000-0005-0000-0000-0000166C0000}"/>
    <cellStyle name="Normal 251 10" xfId="27424" xr:uid="{00000000-0005-0000-0000-0000176C0000}"/>
    <cellStyle name="Normal 251 11" xfId="27425" xr:uid="{00000000-0005-0000-0000-0000186C0000}"/>
    <cellStyle name="Normal 251 2" xfId="2695" xr:uid="{00000000-0005-0000-0000-0000196C0000}"/>
    <cellStyle name="Normal 251 2 10" xfId="27426" xr:uid="{00000000-0005-0000-0000-00001A6C0000}"/>
    <cellStyle name="Normal 251 2 2" xfId="27427" xr:uid="{00000000-0005-0000-0000-00001B6C0000}"/>
    <cellStyle name="Normal 251 2 2 2" xfId="27428" xr:uid="{00000000-0005-0000-0000-00001C6C0000}"/>
    <cellStyle name="Normal 251 2 2 2 2" xfId="27429" xr:uid="{00000000-0005-0000-0000-00001D6C0000}"/>
    <cellStyle name="Normal 251 2 2 2 2 2" xfId="27430" xr:uid="{00000000-0005-0000-0000-00001E6C0000}"/>
    <cellStyle name="Normal 251 2 2 2 2 3" xfId="27431" xr:uid="{00000000-0005-0000-0000-00001F6C0000}"/>
    <cellStyle name="Normal 251 2 2 2 3" xfId="27432" xr:uid="{00000000-0005-0000-0000-0000206C0000}"/>
    <cellStyle name="Normal 251 2 2 2 3 2" xfId="27433" xr:uid="{00000000-0005-0000-0000-0000216C0000}"/>
    <cellStyle name="Normal 251 2 2 2 3 3" xfId="27434" xr:uid="{00000000-0005-0000-0000-0000226C0000}"/>
    <cellStyle name="Normal 251 2 2 2 4" xfId="27435" xr:uid="{00000000-0005-0000-0000-0000236C0000}"/>
    <cellStyle name="Normal 251 2 2 2 5" xfId="27436" xr:uid="{00000000-0005-0000-0000-0000246C0000}"/>
    <cellStyle name="Normal 251 2 2 2 6" xfId="27437" xr:uid="{00000000-0005-0000-0000-0000256C0000}"/>
    <cellStyle name="Normal 251 2 2 3" xfId="27438" xr:uid="{00000000-0005-0000-0000-0000266C0000}"/>
    <cellStyle name="Normal 251 2 2 3 2" xfId="27439" xr:uid="{00000000-0005-0000-0000-0000276C0000}"/>
    <cellStyle name="Normal 251 2 2 3 3" xfId="27440" xr:uid="{00000000-0005-0000-0000-0000286C0000}"/>
    <cellStyle name="Normal 251 2 2 4" xfId="27441" xr:uid="{00000000-0005-0000-0000-0000296C0000}"/>
    <cellStyle name="Normal 251 2 2 4 2" xfId="27442" xr:uid="{00000000-0005-0000-0000-00002A6C0000}"/>
    <cellStyle name="Normal 251 2 2 4 3" xfId="27443" xr:uid="{00000000-0005-0000-0000-00002B6C0000}"/>
    <cellStyle name="Normal 251 2 2 5" xfId="27444" xr:uid="{00000000-0005-0000-0000-00002C6C0000}"/>
    <cellStyle name="Normal 251 2 2 6" xfId="27445" xr:uid="{00000000-0005-0000-0000-00002D6C0000}"/>
    <cellStyle name="Normal 251 2 2 7" xfId="27446" xr:uid="{00000000-0005-0000-0000-00002E6C0000}"/>
    <cellStyle name="Normal 251 2 2 8" xfId="27447" xr:uid="{00000000-0005-0000-0000-00002F6C0000}"/>
    <cellStyle name="Normal 251 2 3" xfId="27448" xr:uid="{00000000-0005-0000-0000-0000306C0000}"/>
    <cellStyle name="Normal 251 2 3 2" xfId="27449" xr:uid="{00000000-0005-0000-0000-0000316C0000}"/>
    <cellStyle name="Normal 251 2 3 2 2" xfId="27450" xr:uid="{00000000-0005-0000-0000-0000326C0000}"/>
    <cellStyle name="Normal 251 2 3 2 3" xfId="27451" xr:uid="{00000000-0005-0000-0000-0000336C0000}"/>
    <cellStyle name="Normal 251 2 3 3" xfId="27452" xr:uid="{00000000-0005-0000-0000-0000346C0000}"/>
    <cellStyle name="Normal 251 2 3 3 2" xfId="27453" xr:uid="{00000000-0005-0000-0000-0000356C0000}"/>
    <cellStyle name="Normal 251 2 3 3 3" xfId="27454" xr:uid="{00000000-0005-0000-0000-0000366C0000}"/>
    <cellStyle name="Normal 251 2 3 4" xfId="27455" xr:uid="{00000000-0005-0000-0000-0000376C0000}"/>
    <cellStyle name="Normal 251 2 3 5" xfId="27456" xr:uid="{00000000-0005-0000-0000-0000386C0000}"/>
    <cellStyle name="Normal 251 2 3 6" xfId="27457" xr:uid="{00000000-0005-0000-0000-0000396C0000}"/>
    <cellStyle name="Normal 251 2 4" xfId="27458" xr:uid="{00000000-0005-0000-0000-00003A6C0000}"/>
    <cellStyle name="Normal 251 2 4 2" xfId="27459" xr:uid="{00000000-0005-0000-0000-00003B6C0000}"/>
    <cellStyle name="Normal 251 2 4 3" xfId="27460" xr:uid="{00000000-0005-0000-0000-00003C6C0000}"/>
    <cellStyle name="Normal 251 2 5" xfId="27461" xr:uid="{00000000-0005-0000-0000-00003D6C0000}"/>
    <cellStyle name="Normal 251 2 5 2" xfId="27462" xr:uid="{00000000-0005-0000-0000-00003E6C0000}"/>
    <cellStyle name="Normal 251 2 5 3" xfId="27463" xr:uid="{00000000-0005-0000-0000-00003F6C0000}"/>
    <cellStyle name="Normal 251 2 6" xfId="27464" xr:uid="{00000000-0005-0000-0000-0000406C0000}"/>
    <cellStyle name="Normal 251 2 7" xfId="27465" xr:uid="{00000000-0005-0000-0000-0000416C0000}"/>
    <cellStyle name="Normal 251 2 8" xfId="27466" xr:uid="{00000000-0005-0000-0000-0000426C0000}"/>
    <cellStyle name="Normal 251 2 9" xfId="27467" xr:uid="{00000000-0005-0000-0000-0000436C0000}"/>
    <cellStyle name="Normal 251 3" xfId="27468" xr:uid="{00000000-0005-0000-0000-0000446C0000}"/>
    <cellStyle name="Normal 251 3 2" xfId="27469" xr:uid="{00000000-0005-0000-0000-0000456C0000}"/>
    <cellStyle name="Normal 251 3 2 2" xfId="27470" xr:uid="{00000000-0005-0000-0000-0000466C0000}"/>
    <cellStyle name="Normal 251 3 2 2 2" xfId="27471" xr:uid="{00000000-0005-0000-0000-0000476C0000}"/>
    <cellStyle name="Normal 251 3 2 2 3" xfId="27472" xr:uid="{00000000-0005-0000-0000-0000486C0000}"/>
    <cellStyle name="Normal 251 3 2 3" xfId="27473" xr:uid="{00000000-0005-0000-0000-0000496C0000}"/>
    <cellStyle name="Normal 251 3 2 3 2" xfId="27474" xr:uid="{00000000-0005-0000-0000-00004A6C0000}"/>
    <cellStyle name="Normal 251 3 2 3 3" xfId="27475" xr:uid="{00000000-0005-0000-0000-00004B6C0000}"/>
    <cellStyle name="Normal 251 3 2 4" xfId="27476" xr:uid="{00000000-0005-0000-0000-00004C6C0000}"/>
    <cellStyle name="Normal 251 3 2 5" xfId="27477" xr:uid="{00000000-0005-0000-0000-00004D6C0000}"/>
    <cellStyle name="Normal 251 3 2 6" xfId="27478" xr:uid="{00000000-0005-0000-0000-00004E6C0000}"/>
    <cellStyle name="Normal 251 3 3" xfId="27479" xr:uid="{00000000-0005-0000-0000-00004F6C0000}"/>
    <cellStyle name="Normal 251 3 3 2" xfId="27480" xr:uid="{00000000-0005-0000-0000-0000506C0000}"/>
    <cellStyle name="Normal 251 3 3 3" xfId="27481" xr:uid="{00000000-0005-0000-0000-0000516C0000}"/>
    <cellStyle name="Normal 251 3 4" xfId="27482" xr:uid="{00000000-0005-0000-0000-0000526C0000}"/>
    <cellStyle name="Normal 251 3 4 2" xfId="27483" xr:uid="{00000000-0005-0000-0000-0000536C0000}"/>
    <cellStyle name="Normal 251 3 4 3" xfId="27484" xr:uid="{00000000-0005-0000-0000-0000546C0000}"/>
    <cellStyle name="Normal 251 3 5" xfId="27485" xr:uid="{00000000-0005-0000-0000-0000556C0000}"/>
    <cellStyle name="Normal 251 3 6" xfId="27486" xr:uid="{00000000-0005-0000-0000-0000566C0000}"/>
    <cellStyle name="Normal 251 3 7" xfId="27487" xr:uid="{00000000-0005-0000-0000-0000576C0000}"/>
    <cellStyle name="Normal 251 3 8" xfId="27488" xr:uid="{00000000-0005-0000-0000-0000586C0000}"/>
    <cellStyle name="Normal 251 4" xfId="27489" xr:uid="{00000000-0005-0000-0000-0000596C0000}"/>
    <cellStyle name="Normal 251 4 2" xfId="27490" xr:uid="{00000000-0005-0000-0000-00005A6C0000}"/>
    <cellStyle name="Normal 251 4 2 2" xfId="27491" xr:uid="{00000000-0005-0000-0000-00005B6C0000}"/>
    <cellStyle name="Normal 251 4 2 3" xfId="27492" xr:uid="{00000000-0005-0000-0000-00005C6C0000}"/>
    <cellStyle name="Normal 251 4 3" xfId="27493" xr:uid="{00000000-0005-0000-0000-00005D6C0000}"/>
    <cellStyle name="Normal 251 4 3 2" xfId="27494" xr:uid="{00000000-0005-0000-0000-00005E6C0000}"/>
    <cellStyle name="Normal 251 4 3 3" xfId="27495" xr:uid="{00000000-0005-0000-0000-00005F6C0000}"/>
    <cellStyle name="Normal 251 4 4" xfId="27496" xr:uid="{00000000-0005-0000-0000-0000606C0000}"/>
    <cellStyle name="Normal 251 4 5" xfId="27497" xr:uid="{00000000-0005-0000-0000-0000616C0000}"/>
    <cellStyle name="Normal 251 4 6" xfId="27498" xr:uid="{00000000-0005-0000-0000-0000626C0000}"/>
    <cellStyle name="Normal 251 5" xfId="27499" xr:uid="{00000000-0005-0000-0000-0000636C0000}"/>
    <cellStyle name="Normal 251 5 2" xfId="27500" xr:uid="{00000000-0005-0000-0000-0000646C0000}"/>
    <cellStyle name="Normal 251 5 3" xfId="27501" xr:uid="{00000000-0005-0000-0000-0000656C0000}"/>
    <cellStyle name="Normal 251 6" xfId="27502" xr:uid="{00000000-0005-0000-0000-0000666C0000}"/>
    <cellStyle name="Normal 251 6 2" xfId="27503" xr:uid="{00000000-0005-0000-0000-0000676C0000}"/>
    <cellStyle name="Normal 251 6 3" xfId="27504" xr:uid="{00000000-0005-0000-0000-0000686C0000}"/>
    <cellStyle name="Normal 251 7" xfId="27505" xr:uid="{00000000-0005-0000-0000-0000696C0000}"/>
    <cellStyle name="Normal 251 8" xfId="27506" xr:uid="{00000000-0005-0000-0000-00006A6C0000}"/>
    <cellStyle name="Normal 251 9" xfId="27507" xr:uid="{00000000-0005-0000-0000-00006B6C0000}"/>
    <cellStyle name="Normal 252" xfId="2696" xr:uid="{00000000-0005-0000-0000-00006C6C0000}"/>
    <cellStyle name="Normal 252 10" xfId="27508" xr:uid="{00000000-0005-0000-0000-00006D6C0000}"/>
    <cellStyle name="Normal 252 11" xfId="27509" xr:uid="{00000000-0005-0000-0000-00006E6C0000}"/>
    <cellStyle name="Normal 252 2" xfId="2697" xr:uid="{00000000-0005-0000-0000-00006F6C0000}"/>
    <cellStyle name="Normal 252 2 10" xfId="27510" xr:uid="{00000000-0005-0000-0000-0000706C0000}"/>
    <cellStyle name="Normal 252 2 2" xfId="27511" xr:uid="{00000000-0005-0000-0000-0000716C0000}"/>
    <cellStyle name="Normal 252 2 2 2" xfId="27512" xr:uid="{00000000-0005-0000-0000-0000726C0000}"/>
    <cellStyle name="Normal 252 2 2 2 2" xfId="27513" xr:uid="{00000000-0005-0000-0000-0000736C0000}"/>
    <cellStyle name="Normal 252 2 2 2 2 2" xfId="27514" xr:uid="{00000000-0005-0000-0000-0000746C0000}"/>
    <cellStyle name="Normal 252 2 2 2 2 3" xfId="27515" xr:uid="{00000000-0005-0000-0000-0000756C0000}"/>
    <cellStyle name="Normal 252 2 2 2 3" xfId="27516" xr:uid="{00000000-0005-0000-0000-0000766C0000}"/>
    <cellStyle name="Normal 252 2 2 2 3 2" xfId="27517" xr:uid="{00000000-0005-0000-0000-0000776C0000}"/>
    <cellStyle name="Normal 252 2 2 2 3 3" xfId="27518" xr:uid="{00000000-0005-0000-0000-0000786C0000}"/>
    <cellStyle name="Normal 252 2 2 2 4" xfId="27519" xr:uid="{00000000-0005-0000-0000-0000796C0000}"/>
    <cellStyle name="Normal 252 2 2 2 5" xfId="27520" xr:uid="{00000000-0005-0000-0000-00007A6C0000}"/>
    <cellStyle name="Normal 252 2 2 2 6" xfId="27521" xr:uid="{00000000-0005-0000-0000-00007B6C0000}"/>
    <cellStyle name="Normal 252 2 2 3" xfId="27522" xr:uid="{00000000-0005-0000-0000-00007C6C0000}"/>
    <cellStyle name="Normal 252 2 2 3 2" xfId="27523" xr:uid="{00000000-0005-0000-0000-00007D6C0000}"/>
    <cellStyle name="Normal 252 2 2 3 3" xfId="27524" xr:uid="{00000000-0005-0000-0000-00007E6C0000}"/>
    <cellStyle name="Normal 252 2 2 4" xfId="27525" xr:uid="{00000000-0005-0000-0000-00007F6C0000}"/>
    <cellStyle name="Normal 252 2 2 4 2" xfId="27526" xr:uid="{00000000-0005-0000-0000-0000806C0000}"/>
    <cellStyle name="Normal 252 2 2 4 3" xfId="27527" xr:uid="{00000000-0005-0000-0000-0000816C0000}"/>
    <cellStyle name="Normal 252 2 2 5" xfId="27528" xr:uid="{00000000-0005-0000-0000-0000826C0000}"/>
    <cellStyle name="Normal 252 2 2 6" xfId="27529" xr:uid="{00000000-0005-0000-0000-0000836C0000}"/>
    <cellStyle name="Normal 252 2 2 7" xfId="27530" xr:uid="{00000000-0005-0000-0000-0000846C0000}"/>
    <cellStyle name="Normal 252 2 2 8" xfId="27531" xr:uid="{00000000-0005-0000-0000-0000856C0000}"/>
    <cellStyle name="Normal 252 2 3" xfId="27532" xr:uid="{00000000-0005-0000-0000-0000866C0000}"/>
    <cellStyle name="Normal 252 2 3 2" xfId="27533" xr:uid="{00000000-0005-0000-0000-0000876C0000}"/>
    <cellStyle name="Normal 252 2 3 2 2" xfId="27534" xr:uid="{00000000-0005-0000-0000-0000886C0000}"/>
    <cellStyle name="Normal 252 2 3 2 3" xfId="27535" xr:uid="{00000000-0005-0000-0000-0000896C0000}"/>
    <cellStyle name="Normal 252 2 3 3" xfId="27536" xr:uid="{00000000-0005-0000-0000-00008A6C0000}"/>
    <cellStyle name="Normal 252 2 3 3 2" xfId="27537" xr:uid="{00000000-0005-0000-0000-00008B6C0000}"/>
    <cellStyle name="Normal 252 2 3 3 3" xfId="27538" xr:uid="{00000000-0005-0000-0000-00008C6C0000}"/>
    <cellStyle name="Normal 252 2 3 4" xfId="27539" xr:uid="{00000000-0005-0000-0000-00008D6C0000}"/>
    <cellStyle name="Normal 252 2 3 5" xfId="27540" xr:uid="{00000000-0005-0000-0000-00008E6C0000}"/>
    <cellStyle name="Normal 252 2 3 6" xfId="27541" xr:uid="{00000000-0005-0000-0000-00008F6C0000}"/>
    <cellStyle name="Normal 252 2 4" xfId="27542" xr:uid="{00000000-0005-0000-0000-0000906C0000}"/>
    <cellStyle name="Normal 252 2 4 2" xfId="27543" xr:uid="{00000000-0005-0000-0000-0000916C0000}"/>
    <cellStyle name="Normal 252 2 4 3" xfId="27544" xr:uid="{00000000-0005-0000-0000-0000926C0000}"/>
    <cellStyle name="Normal 252 2 5" xfId="27545" xr:uid="{00000000-0005-0000-0000-0000936C0000}"/>
    <cellStyle name="Normal 252 2 5 2" xfId="27546" xr:uid="{00000000-0005-0000-0000-0000946C0000}"/>
    <cellStyle name="Normal 252 2 5 3" xfId="27547" xr:uid="{00000000-0005-0000-0000-0000956C0000}"/>
    <cellStyle name="Normal 252 2 6" xfId="27548" xr:uid="{00000000-0005-0000-0000-0000966C0000}"/>
    <cellStyle name="Normal 252 2 7" xfId="27549" xr:uid="{00000000-0005-0000-0000-0000976C0000}"/>
    <cellStyle name="Normal 252 2 8" xfId="27550" xr:uid="{00000000-0005-0000-0000-0000986C0000}"/>
    <cellStyle name="Normal 252 2 9" xfId="27551" xr:uid="{00000000-0005-0000-0000-0000996C0000}"/>
    <cellStyle name="Normal 252 3" xfId="27552" xr:uid="{00000000-0005-0000-0000-00009A6C0000}"/>
    <cellStyle name="Normal 252 3 2" xfId="27553" xr:uid="{00000000-0005-0000-0000-00009B6C0000}"/>
    <cellStyle name="Normal 252 3 2 2" xfId="27554" xr:uid="{00000000-0005-0000-0000-00009C6C0000}"/>
    <cellStyle name="Normal 252 3 2 2 2" xfId="27555" xr:uid="{00000000-0005-0000-0000-00009D6C0000}"/>
    <cellStyle name="Normal 252 3 2 2 3" xfId="27556" xr:uid="{00000000-0005-0000-0000-00009E6C0000}"/>
    <cellStyle name="Normal 252 3 2 3" xfId="27557" xr:uid="{00000000-0005-0000-0000-00009F6C0000}"/>
    <cellStyle name="Normal 252 3 2 3 2" xfId="27558" xr:uid="{00000000-0005-0000-0000-0000A06C0000}"/>
    <cellStyle name="Normal 252 3 2 3 3" xfId="27559" xr:uid="{00000000-0005-0000-0000-0000A16C0000}"/>
    <cellStyle name="Normal 252 3 2 4" xfId="27560" xr:uid="{00000000-0005-0000-0000-0000A26C0000}"/>
    <cellStyle name="Normal 252 3 2 5" xfId="27561" xr:uid="{00000000-0005-0000-0000-0000A36C0000}"/>
    <cellStyle name="Normal 252 3 2 6" xfId="27562" xr:uid="{00000000-0005-0000-0000-0000A46C0000}"/>
    <cellStyle name="Normal 252 3 3" xfId="27563" xr:uid="{00000000-0005-0000-0000-0000A56C0000}"/>
    <cellStyle name="Normal 252 3 3 2" xfId="27564" xr:uid="{00000000-0005-0000-0000-0000A66C0000}"/>
    <cellStyle name="Normal 252 3 3 3" xfId="27565" xr:uid="{00000000-0005-0000-0000-0000A76C0000}"/>
    <cellStyle name="Normal 252 3 4" xfId="27566" xr:uid="{00000000-0005-0000-0000-0000A86C0000}"/>
    <cellStyle name="Normal 252 3 4 2" xfId="27567" xr:uid="{00000000-0005-0000-0000-0000A96C0000}"/>
    <cellStyle name="Normal 252 3 4 3" xfId="27568" xr:uid="{00000000-0005-0000-0000-0000AA6C0000}"/>
    <cellStyle name="Normal 252 3 5" xfId="27569" xr:uid="{00000000-0005-0000-0000-0000AB6C0000}"/>
    <cellStyle name="Normal 252 3 6" xfId="27570" xr:uid="{00000000-0005-0000-0000-0000AC6C0000}"/>
    <cellStyle name="Normal 252 3 7" xfId="27571" xr:uid="{00000000-0005-0000-0000-0000AD6C0000}"/>
    <cellStyle name="Normal 252 3 8" xfId="27572" xr:uid="{00000000-0005-0000-0000-0000AE6C0000}"/>
    <cellStyle name="Normal 252 4" xfId="27573" xr:uid="{00000000-0005-0000-0000-0000AF6C0000}"/>
    <cellStyle name="Normal 252 4 2" xfId="27574" xr:uid="{00000000-0005-0000-0000-0000B06C0000}"/>
    <cellStyle name="Normal 252 4 2 2" xfId="27575" xr:uid="{00000000-0005-0000-0000-0000B16C0000}"/>
    <cellStyle name="Normal 252 4 2 3" xfId="27576" xr:uid="{00000000-0005-0000-0000-0000B26C0000}"/>
    <cellStyle name="Normal 252 4 3" xfId="27577" xr:uid="{00000000-0005-0000-0000-0000B36C0000}"/>
    <cellStyle name="Normal 252 4 3 2" xfId="27578" xr:uid="{00000000-0005-0000-0000-0000B46C0000}"/>
    <cellStyle name="Normal 252 4 3 3" xfId="27579" xr:uid="{00000000-0005-0000-0000-0000B56C0000}"/>
    <cellStyle name="Normal 252 4 4" xfId="27580" xr:uid="{00000000-0005-0000-0000-0000B66C0000}"/>
    <cellStyle name="Normal 252 4 5" xfId="27581" xr:uid="{00000000-0005-0000-0000-0000B76C0000}"/>
    <cellStyle name="Normal 252 4 6" xfId="27582" xr:uid="{00000000-0005-0000-0000-0000B86C0000}"/>
    <cellStyle name="Normal 252 5" xfId="27583" xr:uid="{00000000-0005-0000-0000-0000B96C0000}"/>
    <cellStyle name="Normal 252 5 2" xfId="27584" xr:uid="{00000000-0005-0000-0000-0000BA6C0000}"/>
    <cellStyle name="Normal 252 5 3" xfId="27585" xr:uid="{00000000-0005-0000-0000-0000BB6C0000}"/>
    <cellStyle name="Normal 252 6" xfId="27586" xr:uid="{00000000-0005-0000-0000-0000BC6C0000}"/>
    <cellStyle name="Normal 252 6 2" xfId="27587" xr:uid="{00000000-0005-0000-0000-0000BD6C0000}"/>
    <cellStyle name="Normal 252 6 3" xfId="27588" xr:uid="{00000000-0005-0000-0000-0000BE6C0000}"/>
    <cellStyle name="Normal 252 7" xfId="27589" xr:uid="{00000000-0005-0000-0000-0000BF6C0000}"/>
    <cellStyle name="Normal 252 8" xfId="27590" xr:uid="{00000000-0005-0000-0000-0000C06C0000}"/>
    <cellStyle name="Normal 252 9" xfId="27591" xr:uid="{00000000-0005-0000-0000-0000C16C0000}"/>
    <cellStyle name="Normal 253" xfId="2698" xr:uid="{00000000-0005-0000-0000-0000C26C0000}"/>
    <cellStyle name="Normal 253 10" xfId="27592" xr:uid="{00000000-0005-0000-0000-0000C36C0000}"/>
    <cellStyle name="Normal 253 11" xfId="27593" xr:uid="{00000000-0005-0000-0000-0000C46C0000}"/>
    <cellStyle name="Normal 253 2" xfId="2699" xr:uid="{00000000-0005-0000-0000-0000C56C0000}"/>
    <cellStyle name="Normal 253 2 10" xfId="27594" xr:uid="{00000000-0005-0000-0000-0000C66C0000}"/>
    <cellStyle name="Normal 253 2 2" xfId="27595" xr:uid="{00000000-0005-0000-0000-0000C76C0000}"/>
    <cellStyle name="Normal 253 2 2 2" xfId="27596" xr:uid="{00000000-0005-0000-0000-0000C86C0000}"/>
    <cellStyle name="Normal 253 2 2 2 2" xfId="27597" xr:uid="{00000000-0005-0000-0000-0000C96C0000}"/>
    <cellStyle name="Normal 253 2 2 2 2 2" xfId="27598" xr:uid="{00000000-0005-0000-0000-0000CA6C0000}"/>
    <cellStyle name="Normal 253 2 2 2 2 3" xfId="27599" xr:uid="{00000000-0005-0000-0000-0000CB6C0000}"/>
    <cellStyle name="Normal 253 2 2 2 3" xfId="27600" xr:uid="{00000000-0005-0000-0000-0000CC6C0000}"/>
    <cellStyle name="Normal 253 2 2 2 3 2" xfId="27601" xr:uid="{00000000-0005-0000-0000-0000CD6C0000}"/>
    <cellStyle name="Normal 253 2 2 2 3 3" xfId="27602" xr:uid="{00000000-0005-0000-0000-0000CE6C0000}"/>
    <cellStyle name="Normal 253 2 2 2 4" xfId="27603" xr:uid="{00000000-0005-0000-0000-0000CF6C0000}"/>
    <cellStyle name="Normal 253 2 2 2 5" xfId="27604" xr:uid="{00000000-0005-0000-0000-0000D06C0000}"/>
    <cellStyle name="Normal 253 2 2 2 6" xfId="27605" xr:uid="{00000000-0005-0000-0000-0000D16C0000}"/>
    <cellStyle name="Normal 253 2 2 3" xfId="27606" xr:uid="{00000000-0005-0000-0000-0000D26C0000}"/>
    <cellStyle name="Normal 253 2 2 3 2" xfId="27607" xr:uid="{00000000-0005-0000-0000-0000D36C0000}"/>
    <cellStyle name="Normal 253 2 2 3 3" xfId="27608" xr:uid="{00000000-0005-0000-0000-0000D46C0000}"/>
    <cellStyle name="Normal 253 2 2 4" xfId="27609" xr:uid="{00000000-0005-0000-0000-0000D56C0000}"/>
    <cellStyle name="Normal 253 2 2 4 2" xfId="27610" xr:uid="{00000000-0005-0000-0000-0000D66C0000}"/>
    <cellStyle name="Normal 253 2 2 4 3" xfId="27611" xr:uid="{00000000-0005-0000-0000-0000D76C0000}"/>
    <cellStyle name="Normal 253 2 2 5" xfId="27612" xr:uid="{00000000-0005-0000-0000-0000D86C0000}"/>
    <cellStyle name="Normal 253 2 2 6" xfId="27613" xr:uid="{00000000-0005-0000-0000-0000D96C0000}"/>
    <cellStyle name="Normal 253 2 2 7" xfId="27614" xr:uid="{00000000-0005-0000-0000-0000DA6C0000}"/>
    <cellStyle name="Normal 253 2 2 8" xfId="27615" xr:uid="{00000000-0005-0000-0000-0000DB6C0000}"/>
    <cellStyle name="Normal 253 2 3" xfId="27616" xr:uid="{00000000-0005-0000-0000-0000DC6C0000}"/>
    <cellStyle name="Normal 253 2 3 2" xfId="27617" xr:uid="{00000000-0005-0000-0000-0000DD6C0000}"/>
    <cellStyle name="Normal 253 2 3 2 2" xfId="27618" xr:uid="{00000000-0005-0000-0000-0000DE6C0000}"/>
    <cellStyle name="Normal 253 2 3 2 3" xfId="27619" xr:uid="{00000000-0005-0000-0000-0000DF6C0000}"/>
    <cellStyle name="Normal 253 2 3 3" xfId="27620" xr:uid="{00000000-0005-0000-0000-0000E06C0000}"/>
    <cellStyle name="Normal 253 2 3 3 2" xfId="27621" xr:uid="{00000000-0005-0000-0000-0000E16C0000}"/>
    <cellStyle name="Normal 253 2 3 3 3" xfId="27622" xr:uid="{00000000-0005-0000-0000-0000E26C0000}"/>
    <cellStyle name="Normal 253 2 3 4" xfId="27623" xr:uid="{00000000-0005-0000-0000-0000E36C0000}"/>
    <cellStyle name="Normal 253 2 3 5" xfId="27624" xr:uid="{00000000-0005-0000-0000-0000E46C0000}"/>
    <cellStyle name="Normal 253 2 3 6" xfId="27625" xr:uid="{00000000-0005-0000-0000-0000E56C0000}"/>
    <cellStyle name="Normal 253 2 4" xfId="27626" xr:uid="{00000000-0005-0000-0000-0000E66C0000}"/>
    <cellStyle name="Normal 253 2 4 2" xfId="27627" xr:uid="{00000000-0005-0000-0000-0000E76C0000}"/>
    <cellStyle name="Normal 253 2 4 3" xfId="27628" xr:uid="{00000000-0005-0000-0000-0000E86C0000}"/>
    <cellStyle name="Normal 253 2 5" xfId="27629" xr:uid="{00000000-0005-0000-0000-0000E96C0000}"/>
    <cellStyle name="Normal 253 2 5 2" xfId="27630" xr:uid="{00000000-0005-0000-0000-0000EA6C0000}"/>
    <cellStyle name="Normal 253 2 5 3" xfId="27631" xr:uid="{00000000-0005-0000-0000-0000EB6C0000}"/>
    <cellStyle name="Normal 253 2 6" xfId="27632" xr:uid="{00000000-0005-0000-0000-0000EC6C0000}"/>
    <cellStyle name="Normal 253 2 7" xfId="27633" xr:uid="{00000000-0005-0000-0000-0000ED6C0000}"/>
    <cellStyle name="Normal 253 2 8" xfId="27634" xr:uid="{00000000-0005-0000-0000-0000EE6C0000}"/>
    <cellStyle name="Normal 253 2 9" xfId="27635" xr:uid="{00000000-0005-0000-0000-0000EF6C0000}"/>
    <cellStyle name="Normal 253 3" xfId="27636" xr:uid="{00000000-0005-0000-0000-0000F06C0000}"/>
    <cellStyle name="Normal 253 3 2" xfId="27637" xr:uid="{00000000-0005-0000-0000-0000F16C0000}"/>
    <cellStyle name="Normal 253 3 2 2" xfId="27638" xr:uid="{00000000-0005-0000-0000-0000F26C0000}"/>
    <cellStyle name="Normal 253 3 2 2 2" xfId="27639" xr:uid="{00000000-0005-0000-0000-0000F36C0000}"/>
    <cellStyle name="Normal 253 3 2 2 3" xfId="27640" xr:uid="{00000000-0005-0000-0000-0000F46C0000}"/>
    <cellStyle name="Normal 253 3 2 3" xfId="27641" xr:uid="{00000000-0005-0000-0000-0000F56C0000}"/>
    <cellStyle name="Normal 253 3 2 3 2" xfId="27642" xr:uid="{00000000-0005-0000-0000-0000F66C0000}"/>
    <cellStyle name="Normal 253 3 2 3 3" xfId="27643" xr:uid="{00000000-0005-0000-0000-0000F76C0000}"/>
    <cellStyle name="Normal 253 3 2 4" xfId="27644" xr:uid="{00000000-0005-0000-0000-0000F86C0000}"/>
    <cellStyle name="Normal 253 3 2 5" xfId="27645" xr:uid="{00000000-0005-0000-0000-0000F96C0000}"/>
    <cellStyle name="Normal 253 3 2 6" xfId="27646" xr:uid="{00000000-0005-0000-0000-0000FA6C0000}"/>
    <cellStyle name="Normal 253 3 3" xfId="27647" xr:uid="{00000000-0005-0000-0000-0000FB6C0000}"/>
    <cellStyle name="Normal 253 3 3 2" xfId="27648" xr:uid="{00000000-0005-0000-0000-0000FC6C0000}"/>
    <cellStyle name="Normal 253 3 3 3" xfId="27649" xr:uid="{00000000-0005-0000-0000-0000FD6C0000}"/>
    <cellStyle name="Normal 253 3 4" xfId="27650" xr:uid="{00000000-0005-0000-0000-0000FE6C0000}"/>
    <cellStyle name="Normal 253 3 4 2" xfId="27651" xr:uid="{00000000-0005-0000-0000-0000FF6C0000}"/>
    <cellStyle name="Normal 253 3 4 3" xfId="27652" xr:uid="{00000000-0005-0000-0000-0000006D0000}"/>
    <cellStyle name="Normal 253 3 5" xfId="27653" xr:uid="{00000000-0005-0000-0000-0000016D0000}"/>
    <cellStyle name="Normal 253 3 6" xfId="27654" xr:uid="{00000000-0005-0000-0000-0000026D0000}"/>
    <cellStyle name="Normal 253 3 7" xfId="27655" xr:uid="{00000000-0005-0000-0000-0000036D0000}"/>
    <cellStyle name="Normal 253 3 8" xfId="27656" xr:uid="{00000000-0005-0000-0000-0000046D0000}"/>
    <cellStyle name="Normal 253 4" xfId="27657" xr:uid="{00000000-0005-0000-0000-0000056D0000}"/>
    <cellStyle name="Normal 253 4 2" xfId="27658" xr:uid="{00000000-0005-0000-0000-0000066D0000}"/>
    <cellStyle name="Normal 253 4 2 2" xfId="27659" xr:uid="{00000000-0005-0000-0000-0000076D0000}"/>
    <cellStyle name="Normal 253 4 2 3" xfId="27660" xr:uid="{00000000-0005-0000-0000-0000086D0000}"/>
    <cellStyle name="Normal 253 4 3" xfId="27661" xr:uid="{00000000-0005-0000-0000-0000096D0000}"/>
    <cellStyle name="Normal 253 4 3 2" xfId="27662" xr:uid="{00000000-0005-0000-0000-00000A6D0000}"/>
    <cellStyle name="Normal 253 4 3 3" xfId="27663" xr:uid="{00000000-0005-0000-0000-00000B6D0000}"/>
    <cellStyle name="Normal 253 4 4" xfId="27664" xr:uid="{00000000-0005-0000-0000-00000C6D0000}"/>
    <cellStyle name="Normal 253 4 5" xfId="27665" xr:uid="{00000000-0005-0000-0000-00000D6D0000}"/>
    <cellStyle name="Normal 253 4 6" xfId="27666" xr:uid="{00000000-0005-0000-0000-00000E6D0000}"/>
    <cellStyle name="Normal 253 5" xfId="27667" xr:uid="{00000000-0005-0000-0000-00000F6D0000}"/>
    <cellStyle name="Normal 253 5 2" xfId="27668" xr:uid="{00000000-0005-0000-0000-0000106D0000}"/>
    <cellStyle name="Normal 253 5 3" xfId="27669" xr:uid="{00000000-0005-0000-0000-0000116D0000}"/>
    <cellStyle name="Normal 253 6" xfId="27670" xr:uid="{00000000-0005-0000-0000-0000126D0000}"/>
    <cellStyle name="Normal 253 6 2" xfId="27671" xr:uid="{00000000-0005-0000-0000-0000136D0000}"/>
    <cellStyle name="Normal 253 6 3" xfId="27672" xr:uid="{00000000-0005-0000-0000-0000146D0000}"/>
    <cellStyle name="Normal 253 7" xfId="27673" xr:uid="{00000000-0005-0000-0000-0000156D0000}"/>
    <cellStyle name="Normal 253 8" xfId="27674" xr:uid="{00000000-0005-0000-0000-0000166D0000}"/>
    <cellStyle name="Normal 253 9" xfId="27675" xr:uid="{00000000-0005-0000-0000-0000176D0000}"/>
    <cellStyle name="Normal 254" xfId="2700" xr:uid="{00000000-0005-0000-0000-0000186D0000}"/>
    <cellStyle name="Normal 254 10" xfId="27676" xr:uid="{00000000-0005-0000-0000-0000196D0000}"/>
    <cellStyle name="Normal 254 11" xfId="27677" xr:uid="{00000000-0005-0000-0000-00001A6D0000}"/>
    <cellStyle name="Normal 254 2" xfId="27678" xr:uid="{00000000-0005-0000-0000-00001B6D0000}"/>
    <cellStyle name="Normal 254 2 2" xfId="27679" xr:uid="{00000000-0005-0000-0000-00001C6D0000}"/>
    <cellStyle name="Normal 254 2 2 2" xfId="27680" xr:uid="{00000000-0005-0000-0000-00001D6D0000}"/>
    <cellStyle name="Normal 254 2 2 2 2" xfId="27681" xr:uid="{00000000-0005-0000-0000-00001E6D0000}"/>
    <cellStyle name="Normal 254 2 2 2 2 2" xfId="27682" xr:uid="{00000000-0005-0000-0000-00001F6D0000}"/>
    <cellStyle name="Normal 254 2 2 2 2 3" xfId="27683" xr:uid="{00000000-0005-0000-0000-0000206D0000}"/>
    <cellStyle name="Normal 254 2 2 2 3" xfId="27684" xr:uid="{00000000-0005-0000-0000-0000216D0000}"/>
    <cellStyle name="Normal 254 2 2 2 3 2" xfId="27685" xr:uid="{00000000-0005-0000-0000-0000226D0000}"/>
    <cellStyle name="Normal 254 2 2 2 3 3" xfId="27686" xr:uid="{00000000-0005-0000-0000-0000236D0000}"/>
    <cellStyle name="Normal 254 2 2 2 4" xfId="27687" xr:uid="{00000000-0005-0000-0000-0000246D0000}"/>
    <cellStyle name="Normal 254 2 2 2 5" xfId="27688" xr:uid="{00000000-0005-0000-0000-0000256D0000}"/>
    <cellStyle name="Normal 254 2 2 2 6" xfId="27689" xr:uid="{00000000-0005-0000-0000-0000266D0000}"/>
    <cellStyle name="Normal 254 2 2 3" xfId="27690" xr:uid="{00000000-0005-0000-0000-0000276D0000}"/>
    <cellStyle name="Normal 254 2 2 3 2" xfId="27691" xr:uid="{00000000-0005-0000-0000-0000286D0000}"/>
    <cellStyle name="Normal 254 2 2 3 3" xfId="27692" xr:uid="{00000000-0005-0000-0000-0000296D0000}"/>
    <cellStyle name="Normal 254 2 2 4" xfId="27693" xr:uid="{00000000-0005-0000-0000-00002A6D0000}"/>
    <cellStyle name="Normal 254 2 2 4 2" xfId="27694" xr:uid="{00000000-0005-0000-0000-00002B6D0000}"/>
    <cellStyle name="Normal 254 2 2 4 3" xfId="27695" xr:uid="{00000000-0005-0000-0000-00002C6D0000}"/>
    <cellStyle name="Normal 254 2 2 5" xfId="27696" xr:uid="{00000000-0005-0000-0000-00002D6D0000}"/>
    <cellStyle name="Normal 254 2 2 6" xfId="27697" xr:uid="{00000000-0005-0000-0000-00002E6D0000}"/>
    <cellStyle name="Normal 254 2 2 7" xfId="27698" xr:uid="{00000000-0005-0000-0000-00002F6D0000}"/>
    <cellStyle name="Normal 254 2 2 8" xfId="27699" xr:uid="{00000000-0005-0000-0000-0000306D0000}"/>
    <cellStyle name="Normal 254 2 3" xfId="27700" xr:uid="{00000000-0005-0000-0000-0000316D0000}"/>
    <cellStyle name="Normal 254 2 3 2" xfId="27701" xr:uid="{00000000-0005-0000-0000-0000326D0000}"/>
    <cellStyle name="Normal 254 2 3 2 2" xfId="27702" xr:uid="{00000000-0005-0000-0000-0000336D0000}"/>
    <cellStyle name="Normal 254 2 3 2 3" xfId="27703" xr:uid="{00000000-0005-0000-0000-0000346D0000}"/>
    <cellStyle name="Normal 254 2 3 3" xfId="27704" xr:uid="{00000000-0005-0000-0000-0000356D0000}"/>
    <cellStyle name="Normal 254 2 3 3 2" xfId="27705" xr:uid="{00000000-0005-0000-0000-0000366D0000}"/>
    <cellStyle name="Normal 254 2 3 3 3" xfId="27706" xr:uid="{00000000-0005-0000-0000-0000376D0000}"/>
    <cellStyle name="Normal 254 2 3 4" xfId="27707" xr:uid="{00000000-0005-0000-0000-0000386D0000}"/>
    <cellStyle name="Normal 254 2 3 5" xfId="27708" xr:uid="{00000000-0005-0000-0000-0000396D0000}"/>
    <cellStyle name="Normal 254 2 3 6" xfId="27709" xr:uid="{00000000-0005-0000-0000-00003A6D0000}"/>
    <cellStyle name="Normal 254 2 4" xfId="27710" xr:uid="{00000000-0005-0000-0000-00003B6D0000}"/>
    <cellStyle name="Normal 254 2 4 2" xfId="27711" xr:uid="{00000000-0005-0000-0000-00003C6D0000}"/>
    <cellStyle name="Normal 254 2 4 3" xfId="27712" xr:uid="{00000000-0005-0000-0000-00003D6D0000}"/>
    <cellStyle name="Normal 254 2 5" xfId="27713" xr:uid="{00000000-0005-0000-0000-00003E6D0000}"/>
    <cellStyle name="Normal 254 2 5 2" xfId="27714" xr:uid="{00000000-0005-0000-0000-00003F6D0000}"/>
    <cellStyle name="Normal 254 2 5 3" xfId="27715" xr:uid="{00000000-0005-0000-0000-0000406D0000}"/>
    <cellStyle name="Normal 254 2 6" xfId="27716" xr:uid="{00000000-0005-0000-0000-0000416D0000}"/>
    <cellStyle name="Normal 254 2 7" xfId="27717" xr:uid="{00000000-0005-0000-0000-0000426D0000}"/>
    <cellStyle name="Normal 254 2 8" xfId="27718" xr:uid="{00000000-0005-0000-0000-0000436D0000}"/>
    <cellStyle name="Normal 254 2 9" xfId="27719" xr:uid="{00000000-0005-0000-0000-0000446D0000}"/>
    <cellStyle name="Normal 254 3" xfId="27720" xr:uid="{00000000-0005-0000-0000-0000456D0000}"/>
    <cellStyle name="Normal 254 3 2" xfId="27721" xr:uid="{00000000-0005-0000-0000-0000466D0000}"/>
    <cellStyle name="Normal 254 3 2 2" xfId="27722" xr:uid="{00000000-0005-0000-0000-0000476D0000}"/>
    <cellStyle name="Normal 254 3 2 2 2" xfId="27723" xr:uid="{00000000-0005-0000-0000-0000486D0000}"/>
    <cellStyle name="Normal 254 3 2 2 3" xfId="27724" xr:uid="{00000000-0005-0000-0000-0000496D0000}"/>
    <cellStyle name="Normal 254 3 2 3" xfId="27725" xr:uid="{00000000-0005-0000-0000-00004A6D0000}"/>
    <cellStyle name="Normal 254 3 2 3 2" xfId="27726" xr:uid="{00000000-0005-0000-0000-00004B6D0000}"/>
    <cellStyle name="Normal 254 3 2 3 3" xfId="27727" xr:uid="{00000000-0005-0000-0000-00004C6D0000}"/>
    <cellStyle name="Normal 254 3 2 4" xfId="27728" xr:uid="{00000000-0005-0000-0000-00004D6D0000}"/>
    <cellStyle name="Normal 254 3 2 5" xfId="27729" xr:uid="{00000000-0005-0000-0000-00004E6D0000}"/>
    <cellStyle name="Normal 254 3 2 6" xfId="27730" xr:uid="{00000000-0005-0000-0000-00004F6D0000}"/>
    <cellStyle name="Normal 254 3 3" xfId="27731" xr:uid="{00000000-0005-0000-0000-0000506D0000}"/>
    <cellStyle name="Normal 254 3 3 2" xfId="27732" xr:uid="{00000000-0005-0000-0000-0000516D0000}"/>
    <cellStyle name="Normal 254 3 3 3" xfId="27733" xr:uid="{00000000-0005-0000-0000-0000526D0000}"/>
    <cellStyle name="Normal 254 3 4" xfId="27734" xr:uid="{00000000-0005-0000-0000-0000536D0000}"/>
    <cellStyle name="Normal 254 3 4 2" xfId="27735" xr:uid="{00000000-0005-0000-0000-0000546D0000}"/>
    <cellStyle name="Normal 254 3 4 3" xfId="27736" xr:uid="{00000000-0005-0000-0000-0000556D0000}"/>
    <cellStyle name="Normal 254 3 5" xfId="27737" xr:uid="{00000000-0005-0000-0000-0000566D0000}"/>
    <cellStyle name="Normal 254 3 6" xfId="27738" xr:uid="{00000000-0005-0000-0000-0000576D0000}"/>
    <cellStyle name="Normal 254 3 7" xfId="27739" xr:uid="{00000000-0005-0000-0000-0000586D0000}"/>
    <cellStyle name="Normal 254 3 8" xfId="27740" xr:uid="{00000000-0005-0000-0000-0000596D0000}"/>
    <cellStyle name="Normal 254 4" xfId="27741" xr:uid="{00000000-0005-0000-0000-00005A6D0000}"/>
    <cellStyle name="Normal 254 4 2" xfId="27742" xr:uid="{00000000-0005-0000-0000-00005B6D0000}"/>
    <cellStyle name="Normal 254 4 2 2" xfId="27743" xr:uid="{00000000-0005-0000-0000-00005C6D0000}"/>
    <cellStyle name="Normal 254 4 2 3" xfId="27744" xr:uid="{00000000-0005-0000-0000-00005D6D0000}"/>
    <cellStyle name="Normal 254 4 3" xfId="27745" xr:uid="{00000000-0005-0000-0000-00005E6D0000}"/>
    <cellStyle name="Normal 254 4 3 2" xfId="27746" xr:uid="{00000000-0005-0000-0000-00005F6D0000}"/>
    <cellStyle name="Normal 254 4 3 3" xfId="27747" xr:uid="{00000000-0005-0000-0000-0000606D0000}"/>
    <cellStyle name="Normal 254 4 4" xfId="27748" xr:uid="{00000000-0005-0000-0000-0000616D0000}"/>
    <cellStyle name="Normal 254 4 5" xfId="27749" xr:uid="{00000000-0005-0000-0000-0000626D0000}"/>
    <cellStyle name="Normal 254 4 6" xfId="27750" xr:uid="{00000000-0005-0000-0000-0000636D0000}"/>
    <cellStyle name="Normal 254 5" xfId="27751" xr:uid="{00000000-0005-0000-0000-0000646D0000}"/>
    <cellStyle name="Normal 254 5 2" xfId="27752" xr:uid="{00000000-0005-0000-0000-0000656D0000}"/>
    <cellStyle name="Normal 254 5 3" xfId="27753" xr:uid="{00000000-0005-0000-0000-0000666D0000}"/>
    <cellStyle name="Normal 254 6" xfId="27754" xr:uid="{00000000-0005-0000-0000-0000676D0000}"/>
    <cellStyle name="Normal 254 6 2" xfId="27755" xr:uid="{00000000-0005-0000-0000-0000686D0000}"/>
    <cellStyle name="Normal 254 6 3" xfId="27756" xr:uid="{00000000-0005-0000-0000-0000696D0000}"/>
    <cellStyle name="Normal 254 7" xfId="27757" xr:uid="{00000000-0005-0000-0000-00006A6D0000}"/>
    <cellStyle name="Normal 254 8" xfId="27758" xr:uid="{00000000-0005-0000-0000-00006B6D0000}"/>
    <cellStyle name="Normal 254 9" xfId="27759" xr:uid="{00000000-0005-0000-0000-00006C6D0000}"/>
    <cellStyle name="Normal 255" xfId="2701" xr:uid="{00000000-0005-0000-0000-00006D6D0000}"/>
    <cellStyle name="Normal 255 10" xfId="27760" xr:uid="{00000000-0005-0000-0000-00006E6D0000}"/>
    <cellStyle name="Normal 255 11" xfId="27761" xr:uid="{00000000-0005-0000-0000-00006F6D0000}"/>
    <cellStyle name="Normal 255 2" xfId="2702" xr:uid="{00000000-0005-0000-0000-0000706D0000}"/>
    <cellStyle name="Normal 255 2 10" xfId="27762" xr:uid="{00000000-0005-0000-0000-0000716D0000}"/>
    <cellStyle name="Normal 255 2 2" xfId="27763" xr:uid="{00000000-0005-0000-0000-0000726D0000}"/>
    <cellStyle name="Normal 255 2 2 2" xfId="27764" xr:uid="{00000000-0005-0000-0000-0000736D0000}"/>
    <cellStyle name="Normal 255 2 2 2 2" xfId="27765" xr:uid="{00000000-0005-0000-0000-0000746D0000}"/>
    <cellStyle name="Normal 255 2 2 2 2 2" xfId="27766" xr:uid="{00000000-0005-0000-0000-0000756D0000}"/>
    <cellStyle name="Normal 255 2 2 2 2 3" xfId="27767" xr:uid="{00000000-0005-0000-0000-0000766D0000}"/>
    <cellStyle name="Normal 255 2 2 2 3" xfId="27768" xr:uid="{00000000-0005-0000-0000-0000776D0000}"/>
    <cellStyle name="Normal 255 2 2 2 3 2" xfId="27769" xr:uid="{00000000-0005-0000-0000-0000786D0000}"/>
    <cellStyle name="Normal 255 2 2 2 3 3" xfId="27770" xr:uid="{00000000-0005-0000-0000-0000796D0000}"/>
    <cellStyle name="Normal 255 2 2 2 4" xfId="27771" xr:uid="{00000000-0005-0000-0000-00007A6D0000}"/>
    <cellStyle name="Normal 255 2 2 2 5" xfId="27772" xr:uid="{00000000-0005-0000-0000-00007B6D0000}"/>
    <cellStyle name="Normal 255 2 2 2 6" xfId="27773" xr:uid="{00000000-0005-0000-0000-00007C6D0000}"/>
    <cellStyle name="Normal 255 2 2 3" xfId="27774" xr:uid="{00000000-0005-0000-0000-00007D6D0000}"/>
    <cellStyle name="Normal 255 2 2 3 2" xfId="27775" xr:uid="{00000000-0005-0000-0000-00007E6D0000}"/>
    <cellStyle name="Normal 255 2 2 3 3" xfId="27776" xr:uid="{00000000-0005-0000-0000-00007F6D0000}"/>
    <cellStyle name="Normal 255 2 2 4" xfId="27777" xr:uid="{00000000-0005-0000-0000-0000806D0000}"/>
    <cellStyle name="Normal 255 2 2 4 2" xfId="27778" xr:uid="{00000000-0005-0000-0000-0000816D0000}"/>
    <cellStyle name="Normal 255 2 2 4 3" xfId="27779" xr:uid="{00000000-0005-0000-0000-0000826D0000}"/>
    <cellStyle name="Normal 255 2 2 5" xfId="27780" xr:uid="{00000000-0005-0000-0000-0000836D0000}"/>
    <cellStyle name="Normal 255 2 2 6" xfId="27781" xr:uid="{00000000-0005-0000-0000-0000846D0000}"/>
    <cellStyle name="Normal 255 2 2 7" xfId="27782" xr:uid="{00000000-0005-0000-0000-0000856D0000}"/>
    <cellStyle name="Normal 255 2 2 8" xfId="27783" xr:uid="{00000000-0005-0000-0000-0000866D0000}"/>
    <cellStyle name="Normal 255 2 3" xfId="27784" xr:uid="{00000000-0005-0000-0000-0000876D0000}"/>
    <cellStyle name="Normal 255 2 3 2" xfId="27785" xr:uid="{00000000-0005-0000-0000-0000886D0000}"/>
    <cellStyle name="Normal 255 2 3 2 2" xfId="27786" xr:uid="{00000000-0005-0000-0000-0000896D0000}"/>
    <cellStyle name="Normal 255 2 3 2 3" xfId="27787" xr:uid="{00000000-0005-0000-0000-00008A6D0000}"/>
    <cellStyle name="Normal 255 2 3 3" xfId="27788" xr:uid="{00000000-0005-0000-0000-00008B6D0000}"/>
    <cellStyle name="Normal 255 2 3 3 2" xfId="27789" xr:uid="{00000000-0005-0000-0000-00008C6D0000}"/>
    <cellStyle name="Normal 255 2 3 3 3" xfId="27790" xr:uid="{00000000-0005-0000-0000-00008D6D0000}"/>
    <cellStyle name="Normal 255 2 3 4" xfId="27791" xr:uid="{00000000-0005-0000-0000-00008E6D0000}"/>
    <cellStyle name="Normal 255 2 3 5" xfId="27792" xr:uid="{00000000-0005-0000-0000-00008F6D0000}"/>
    <cellStyle name="Normal 255 2 3 6" xfId="27793" xr:uid="{00000000-0005-0000-0000-0000906D0000}"/>
    <cellStyle name="Normal 255 2 4" xfId="27794" xr:uid="{00000000-0005-0000-0000-0000916D0000}"/>
    <cellStyle name="Normal 255 2 4 2" xfId="27795" xr:uid="{00000000-0005-0000-0000-0000926D0000}"/>
    <cellStyle name="Normal 255 2 4 3" xfId="27796" xr:uid="{00000000-0005-0000-0000-0000936D0000}"/>
    <cellStyle name="Normal 255 2 5" xfId="27797" xr:uid="{00000000-0005-0000-0000-0000946D0000}"/>
    <cellStyle name="Normal 255 2 5 2" xfId="27798" xr:uid="{00000000-0005-0000-0000-0000956D0000}"/>
    <cellStyle name="Normal 255 2 5 3" xfId="27799" xr:uid="{00000000-0005-0000-0000-0000966D0000}"/>
    <cellStyle name="Normal 255 2 6" xfId="27800" xr:uid="{00000000-0005-0000-0000-0000976D0000}"/>
    <cellStyle name="Normal 255 2 7" xfId="27801" xr:uid="{00000000-0005-0000-0000-0000986D0000}"/>
    <cellStyle name="Normal 255 2 8" xfId="27802" xr:uid="{00000000-0005-0000-0000-0000996D0000}"/>
    <cellStyle name="Normal 255 2 9" xfId="27803" xr:uid="{00000000-0005-0000-0000-00009A6D0000}"/>
    <cellStyle name="Normal 255 3" xfId="27804" xr:uid="{00000000-0005-0000-0000-00009B6D0000}"/>
    <cellStyle name="Normal 255 3 2" xfId="27805" xr:uid="{00000000-0005-0000-0000-00009C6D0000}"/>
    <cellStyle name="Normal 255 3 2 2" xfId="27806" xr:uid="{00000000-0005-0000-0000-00009D6D0000}"/>
    <cellStyle name="Normal 255 3 2 2 2" xfId="27807" xr:uid="{00000000-0005-0000-0000-00009E6D0000}"/>
    <cellStyle name="Normal 255 3 2 2 3" xfId="27808" xr:uid="{00000000-0005-0000-0000-00009F6D0000}"/>
    <cellStyle name="Normal 255 3 2 3" xfId="27809" xr:uid="{00000000-0005-0000-0000-0000A06D0000}"/>
    <cellStyle name="Normal 255 3 2 3 2" xfId="27810" xr:uid="{00000000-0005-0000-0000-0000A16D0000}"/>
    <cellStyle name="Normal 255 3 2 3 3" xfId="27811" xr:uid="{00000000-0005-0000-0000-0000A26D0000}"/>
    <cellStyle name="Normal 255 3 2 4" xfId="27812" xr:uid="{00000000-0005-0000-0000-0000A36D0000}"/>
    <cellStyle name="Normal 255 3 2 5" xfId="27813" xr:uid="{00000000-0005-0000-0000-0000A46D0000}"/>
    <cellStyle name="Normal 255 3 2 6" xfId="27814" xr:uid="{00000000-0005-0000-0000-0000A56D0000}"/>
    <cellStyle name="Normal 255 3 3" xfId="27815" xr:uid="{00000000-0005-0000-0000-0000A66D0000}"/>
    <cellStyle name="Normal 255 3 3 2" xfId="27816" xr:uid="{00000000-0005-0000-0000-0000A76D0000}"/>
    <cellStyle name="Normal 255 3 3 3" xfId="27817" xr:uid="{00000000-0005-0000-0000-0000A86D0000}"/>
    <cellStyle name="Normal 255 3 4" xfId="27818" xr:uid="{00000000-0005-0000-0000-0000A96D0000}"/>
    <cellStyle name="Normal 255 3 4 2" xfId="27819" xr:uid="{00000000-0005-0000-0000-0000AA6D0000}"/>
    <cellStyle name="Normal 255 3 4 3" xfId="27820" xr:uid="{00000000-0005-0000-0000-0000AB6D0000}"/>
    <cellStyle name="Normal 255 3 5" xfId="27821" xr:uid="{00000000-0005-0000-0000-0000AC6D0000}"/>
    <cellStyle name="Normal 255 3 6" xfId="27822" xr:uid="{00000000-0005-0000-0000-0000AD6D0000}"/>
    <cellStyle name="Normal 255 3 7" xfId="27823" xr:uid="{00000000-0005-0000-0000-0000AE6D0000}"/>
    <cellStyle name="Normal 255 3 8" xfId="27824" xr:uid="{00000000-0005-0000-0000-0000AF6D0000}"/>
    <cellStyle name="Normal 255 4" xfId="27825" xr:uid="{00000000-0005-0000-0000-0000B06D0000}"/>
    <cellStyle name="Normal 255 4 2" xfId="27826" xr:uid="{00000000-0005-0000-0000-0000B16D0000}"/>
    <cellStyle name="Normal 255 4 2 2" xfId="27827" xr:uid="{00000000-0005-0000-0000-0000B26D0000}"/>
    <cellStyle name="Normal 255 4 2 3" xfId="27828" xr:uid="{00000000-0005-0000-0000-0000B36D0000}"/>
    <cellStyle name="Normal 255 4 3" xfId="27829" xr:uid="{00000000-0005-0000-0000-0000B46D0000}"/>
    <cellStyle name="Normal 255 4 3 2" xfId="27830" xr:uid="{00000000-0005-0000-0000-0000B56D0000}"/>
    <cellStyle name="Normal 255 4 3 3" xfId="27831" xr:uid="{00000000-0005-0000-0000-0000B66D0000}"/>
    <cellStyle name="Normal 255 4 4" xfId="27832" xr:uid="{00000000-0005-0000-0000-0000B76D0000}"/>
    <cellStyle name="Normal 255 4 5" xfId="27833" xr:uid="{00000000-0005-0000-0000-0000B86D0000}"/>
    <cellStyle name="Normal 255 4 6" xfId="27834" xr:uid="{00000000-0005-0000-0000-0000B96D0000}"/>
    <cellStyle name="Normal 255 5" xfId="27835" xr:uid="{00000000-0005-0000-0000-0000BA6D0000}"/>
    <cellStyle name="Normal 255 5 2" xfId="27836" xr:uid="{00000000-0005-0000-0000-0000BB6D0000}"/>
    <cellStyle name="Normal 255 5 3" xfId="27837" xr:uid="{00000000-0005-0000-0000-0000BC6D0000}"/>
    <cellStyle name="Normal 255 6" xfId="27838" xr:uid="{00000000-0005-0000-0000-0000BD6D0000}"/>
    <cellStyle name="Normal 255 6 2" xfId="27839" xr:uid="{00000000-0005-0000-0000-0000BE6D0000}"/>
    <cellStyle name="Normal 255 6 3" xfId="27840" xr:uid="{00000000-0005-0000-0000-0000BF6D0000}"/>
    <cellStyle name="Normal 255 7" xfId="27841" xr:uid="{00000000-0005-0000-0000-0000C06D0000}"/>
    <cellStyle name="Normal 255 8" xfId="27842" xr:uid="{00000000-0005-0000-0000-0000C16D0000}"/>
    <cellStyle name="Normal 255 9" xfId="27843" xr:uid="{00000000-0005-0000-0000-0000C26D0000}"/>
    <cellStyle name="Normal 256" xfId="2703" xr:uid="{00000000-0005-0000-0000-0000C36D0000}"/>
    <cellStyle name="Normal 256 10" xfId="27844" xr:uid="{00000000-0005-0000-0000-0000C46D0000}"/>
    <cellStyle name="Normal 256 11" xfId="27845" xr:uid="{00000000-0005-0000-0000-0000C56D0000}"/>
    <cellStyle name="Normal 256 2" xfId="27846" xr:uid="{00000000-0005-0000-0000-0000C66D0000}"/>
    <cellStyle name="Normal 256 2 2" xfId="27847" xr:uid="{00000000-0005-0000-0000-0000C76D0000}"/>
    <cellStyle name="Normal 256 2 2 2" xfId="27848" xr:uid="{00000000-0005-0000-0000-0000C86D0000}"/>
    <cellStyle name="Normal 256 2 2 2 2" xfId="27849" xr:uid="{00000000-0005-0000-0000-0000C96D0000}"/>
    <cellStyle name="Normal 256 2 2 2 2 2" xfId="27850" xr:uid="{00000000-0005-0000-0000-0000CA6D0000}"/>
    <cellStyle name="Normal 256 2 2 2 2 3" xfId="27851" xr:uid="{00000000-0005-0000-0000-0000CB6D0000}"/>
    <cellStyle name="Normal 256 2 2 2 3" xfId="27852" xr:uid="{00000000-0005-0000-0000-0000CC6D0000}"/>
    <cellStyle name="Normal 256 2 2 2 3 2" xfId="27853" xr:uid="{00000000-0005-0000-0000-0000CD6D0000}"/>
    <cellStyle name="Normal 256 2 2 2 3 3" xfId="27854" xr:uid="{00000000-0005-0000-0000-0000CE6D0000}"/>
    <cellStyle name="Normal 256 2 2 2 4" xfId="27855" xr:uid="{00000000-0005-0000-0000-0000CF6D0000}"/>
    <cellStyle name="Normal 256 2 2 2 5" xfId="27856" xr:uid="{00000000-0005-0000-0000-0000D06D0000}"/>
    <cellStyle name="Normal 256 2 2 2 6" xfId="27857" xr:uid="{00000000-0005-0000-0000-0000D16D0000}"/>
    <cellStyle name="Normal 256 2 2 3" xfId="27858" xr:uid="{00000000-0005-0000-0000-0000D26D0000}"/>
    <cellStyle name="Normal 256 2 2 3 2" xfId="27859" xr:uid="{00000000-0005-0000-0000-0000D36D0000}"/>
    <cellStyle name="Normal 256 2 2 3 3" xfId="27860" xr:uid="{00000000-0005-0000-0000-0000D46D0000}"/>
    <cellStyle name="Normal 256 2 2 4" xfId="27861" xr:uid="{00000000-0005-0000-0000-0000D56D0000}"/>
    <cellStyle name="Normal 256 2 2 4 2" xfId="27862" xr:uid="{00000000-0005-0000-0000-0000D66D0000}"/>
    <cellStyle name="Normal 256 2 2 4 3" xfId="27863" xr:uid="{00000000-0005-0000-0000-0000D76D0000}"/>
    <cellStyle name="Normal 256 2 2 5" xfId="27864" xr:uid="{00000000-0005-0000-0000-0000D86D0000}"/>
    <cellStyle name="Normal 256 2 2 6" xfId="27865" xr:uid="{00000000-0005-0000-0000-0000D96D0000}"/>
    <cellStyle name="Normal 256 2 2 7" xfId="27866" xr:uid="{00000000-0005-0000-0000-0000DA6D0000}"/>
    <cellStyle name="Normal 256 2 2 8" xfId="27867" xr:uid="{00000000-0005-0000-0000-0000DB6D0000}"/>
    <cellStyle name="Normal 256 2 3" xfId="27868" xr:uid="{00000000-0005-0000-0000-0000DC6D0000}"/>
    <cellStyle name="Normal 256 2 3 2" xfId="27869" xr:uid="{00000000-0005-0000-0000-0000DD6D0000}"/>
    <cellStyle name="Normal 256 2 3 2 2" xfId="27870" xr:uid="{00000000-0005-0000-0000-0000DE6D0000}"/>
    <cellStyle name="Normal 256 2 3 2 3" xfId="27871" xr:uid="{00000000-0005-0000-0000-0000DF6D0000}"/>
    <cellStyle name="Normal 256 2 3 3" xfId="27872" xr:uid="{00000000-0005-0000-0000-0000E06D0000}"/>
    <cellStyle name="Normal 256 2 3 3 2" xfId="27873" xr:uid="{00000000-0005-0000-0000-0000E16D0000}"/>
    <cellStyle name="Normal 256 2 3 3 3" xfId="27874" xr:uid="{00000000-0005-0000-0000-0000E26D0000}"/>
    <cellStyle name="Normal 256 2 3 4" xfId="27875" xr:uid="{00000000-0005-0000-0000-0000E36D0000}"/>
    <cellStyle name="Normal 256 2 3 5" xfId="27876" xr:uid="{00000000-0005-0000-0000-0000E46D0000}"/>
    <cellStyle name="Normal 256 2 3 6" xfId="27877" xr:uid="{00000000-0005-0000-0000-0000E56D0000}"/>
    <cellStyle name="Normal 256 2 4" xfId="27878" xr:uid="{00000000-0005-0000-0000-0000E66D0000}"/>
    <cellStyle name="Normal 256 2 4 2" xfId="27879" xr:uid="{00000000-0005-0000-0000-0000E76D0000}"/>
    <cellStyle name="Normal 256 2 4 3" xfId="27880" xr:uid="{00000000-0005-0000-0000-0000E86D0000}"/>
    <cellStyle name="Normal 256 2 5" xfId="27881" xr:uid="{00000000-0005-0000-0000-0000E96D0000}"/>
    <cellStyle name="Normal 256 2 5 2" xfId="27882" xr:uid="{00000000-0005-0000-0000-0000EA6D0000}"/>
    <cellStyle name="Normal 256 2 5 3" xfId="27883" xr:uid="{00000000-0005-0000-0000-0000EB6D0000}"/>
    <cellStyle name="Normal 256 2 6" xfId="27884" xr:uid="{00000000-0005-0000-0000-0000EC6D0000}"/>
    <cellStyle name="Normal 256 2 7" xfId="27885" xr:uid="{00000000-0005-0000-0000-0000ED6D0000}"/>
    <cellStyle name="Normal 256 2 8" xfId="27886" xr:uid="{00000000-0005-0000-0000-0000EE6D0000}"/>
    <cellStyle name="Normal 256 2 9" xfId="27887" xr:uid="{00000000-0005-0000-0000-0000EF6D0000}"/>
    <cellStyle name="Normal 256 3" xfId="27888" xr:uid="{00000000-0005-0000-0000-0000F06D0000}"/>
    <cellStyle name="Normal 256 3 2" xfId="27889" xr:uid="{00000000-0005-0000-0000-0000F16D0000}"/>
    <cellStyle name="Normal 256 3 2 2" xfId="27890" xr:uid="{00000000-0005-0000-0000-0000F26D0000}"/>
    <cellStyle name="Normal 256 3 2 2 2" xfId="27891" xr:uid="{00000000-0005-0000-0000-0000F36D0000}"/>
    <cellStyle name="Normal 256 3 2 2 3" xfId="27892" xr:uid="{00000000-0005-0000-0000-0000F46D0000}"/>
    <cellStyle name="Normal 256 3 2 3" xfId="27893" xr:uid="{00000000-0005-0000-0000-0000F56D0000}"/>
    <cellStyle name="Normal 256 3 2 3 2" xfId="27894" xr:uid="{00000000-0005-0000-0000-0000F66D0000}"/>
    <cellStyle name="Normal 256 3 2 3 3" xfId="27895" xr:uid="{00000000-0005-0000-0000-0000F76D0000}"/>
    <cellStyle name="Normal 256 3 2 4" xfId="27896" xr:uid="{00000000-0005-0000-0000-0000F86D0000}"/>
    <cellStyle name="Normal 256 3 2 5" xfId="27897" xr:uid="{00000000-0005-0000-0000-0000F96D0000}"/>
    <cellStyle name="Normal 256 3 2 6" xfId="27898" xr:uid="{00000000-0005-0000-0000-0000FA6D0000}"/>
    <cellStyle name="Normal 256 3 3" xfId="27899" xr:uid="{00000000-0005-0000-0000-0000FB6D0000}"/>
    <cellStyle name="Normal 256 3 3 2" xfId="27900" xr:uid="{00000000-0005-0000-0000-0000FC6D0000}"/>
    <cellStyle name="Normal 256 3 3 3" xfId="27901" xr:uid="{00000000-0005-0000-0000-0000FD6D0000}"/>
    <cellStyle name="Normal 256 3 4" xfId="27902" xr:uid="{00000000-0005-0000-0000-0000FE6D0000}"/>
    <cellStyle name="Normal 256 3 4 2" xfId="27903" xr:uid="{00000000-0005-0000-0000-0000FF6D0000}"/>
    <cellStyle name="Normal 256 3 4 3" xfId="27904" xr:uid="{00000000-0005-0000-0000-0000006E0000}"/>
    <cellStyle name="Normal 256 3 5" xfId="27905" xr:uid="{00000000-0005-0000-0000-0000016E0000}"/>
    <cellStyle name="Normal 256 3 6" xfId="27906" xr:uid="{00000000-0005-0000-0000-0000026E0000}"/>
    <cellStyle name="Normal 256 3 7" xfId="27907" xr:uid="{00000000-0005-0000-0000-0000036E0000}"/>
    <cellStyle name="Normal 256 3 8" xfId="27908" xr:uid="{00000000-0005-0000-0000-0000046E0000}"/>
    <cellStyle name="Normal 256 4" xfId="27909" xr:uid="{00000000-0005-0000-0000-0000056E0000}"/>
    <cellStyle name="Normal 256 4 2" xfId="27910" xr:uid="{00000000-0005-0000-0000-0000066E0000}"/>
    <cellStyle name="Normal 256 4 2 2" xfId="27911" xr:uid="{00000000-0005-0000-0000-0000076E0000}"/>
    <cellStyle name="Normal 256 4 2 3" xfId="27912" xr:uid="{00000000-0005-0000-0000-0000086E0000}"/>
    <cellStyle name="Normal 256 4 3" xfId="27913" xr:uid="{00000000-0005-0000-0000-0000096E0000}"/>
    <cellStyle name="Normal 256 4 3 2" xfId="27914" xr:uid="{00000000-0005-0000-0000-00000A6E0000}"/>
    <cellStyle name="Normal 256 4 3 3" xfId="27915" xr:uid="{00000000-0005-0000-0000-00000B6E0000}"/>
    <cellStyle name="Normal 256 4 4" xfId="27916" xr:uid="{00000000-0005-0000-0000-00000C6E0000}"/>
    <cellStyle name="Normal 256 4 5" xfId="27917" xr:uid="{00000000-0005-0000-0000-00000D6E0000}"/>
    <cellStyle name="Normal 256 4 6" xfId="27918" xr:uid="{00000000-0005-0000-0000-00000E6E0000}"/>
    <cellStyle name="Normal 256 5" xfId="27919" xr:uid="{00000000-0005-0000-0000-00000F6E0000}"/>
    <cellStyle name="Normal 256 5 2" xfId="27920" xr:uid="{00000000-0005-0000-0000-0000106E0000}"/>
    <cellStyle name="Normal 256 5 3" xfId="27921" xr:uid="{00000000-0005-0000-0000-0000116E0000}"/>
    <cellStyle name="Normal 256 6" xfId="27922" xr:uid="{00000000-0005-0000-0000-0000126E0000}"/>
    <cellStyle name="Normal 256 6 2" xfId="27923" xr:uid="{00000000-0005-0000-0000-0000136E0000}"/>
    <cellStyle name="Normal 256 6 3" xfId="27924" xr:uid="{00000000-0005-0000-0000-0000146E0000}"/>
    <cellStyle name="Normal 256 7" xfId="27925" xr:uid="{00000000-0005-0000-0000-0000156E0000}"/>
    <cellStyle name="Normal 256 8" xfId="27926" xr:uid="{00000000-0005-0000-0000-0000166E0000}"/>
    <cellStyle name="Normal 256 9" xfId="27927" xr:uid="{00000000-0005-0000-0000-0000176E0000}"/>
    <cellStyle name="Normal 257" xfId="2704" xr:uid="{00000000-0005-0000-0000-0000186E0000}"/>
    <cellStyle name="Normal 257 10" xfId="27928" xr:uid="{00000000-0005-0000-0000-0000196E0000}"/>
    <cellStyle name="Normal 257 11" xfId="27929" xr:uid="{00000000-0005-0000-0000-00001A6E0000}"/>
    <cellStyle name="Normal 257 2" xfId="2705" xr:uid="{00000000-0005-0000-0000-00001B6E0000}"/>
    <cellStyle name="Normal 257 2 10" xfId="27930" xr:uid="{00000000-0005-0000-0000-00001C6E0000}"/>
    <cellStyle name="Normal 257 2 2" xfId="27931" xr:uid="{00000000-0005-0000-0000-00001D6E0000}"/>
    <cellStyle name="Normal 257 2 2 2" xfId="27932" xr:uid="{00000000-0005-0000-0000-00001E6E0000}"/>
    <cellStyle name="Normal 257 2 2 2 2" xfId="27933" xr:uid="{00000000-0005-0000-0000-00001F6E0000}"/>
    <cellStyle name="Normal 257 2 2 2 2 2" xfId="27934" xr:uid="{00000000-0005-0000-0000-0000206E0000}"/>
    <cellStyle name="Normal 257 2 2 2 2 3" xfId="27935" xr:uid="{00000000-0005-0000-0000-0000216E0000}"/>
    <cellStyle name="Normal 257 2 2 2 3" xfId="27936" xr:uid="{00000000-0005-0000-0000-0000226E0000}"/>
    <cellStyle name="Normal 257 2 2 2 3 2" xfId="27937" xr:uid="{00000000-0005-0000-0000-0000236E0000}"/>
    <cellStyle name="Normal 257 2 2 2 3 3" xfId="27938" xr:uid="{00000000-0005-0000-0000-0000246E0000}"/>
    <cellStyle name="Normal 257 2 2 2 4" xfId="27939" xr:uid="{00000000-0005-0000-0000-0000256E0000}"/>
    <cellStyle name="Normal 257 2 2 2 5" xfId="27940" xr:uid="{00000000-0005-0000-0000-0000266E0000}"/>
    <cellStyle name="Normal 257 2 2 2 6" xfId="27941" xr:uid="{00000000-0005-0000-0000-0000276E0000}"/>
    <cellStyle name="Normal 257 2 2 3" xfId="27942" xr:uid="{00000000-0005-0000-0000-0000286E0000}"/>
    <cellStyle name="Normal 257 2 2 3 2" xfId="27943" xr:uid="{00000000-0005-0000-0000-0000296E0000}"/>
    <cellStyle name="Normal 257 2 2 3 3" xfId="27944" xr:uid="{00000000-0005-0000-0000-00002A6E0000}"/>
    <cellStyle name="Normal 257 2 2 4" xfId="27945" xr:uid="{00000000-0005-0000-0000-00002B6E0000}"/>
    <cellStyle name="Normal 257 2 2 4 2" xfId="27946" xr:uid="{00000000-0005-0000-0000-00002C6E0000}"/>
    <cellStyle name="Normal 257 2 2 4 3" xfId="27947" xr:uid="{00000000-0005-0000-0000-00002D6E0000}"/>
    <cellStyle name="Normal 257 2 2 5" xfId="27948" xr:uid="{00000000-0005-0000-0000-00002E6E0000}"/>
    <cellStyle name="Normal 257 2 2 6" xfId="27949" xr:uid="{00000000-0005-0000-0000-00002F6E0000}"/>
    <cellStyle name="Normal 257 2 2 7" xfId="27950" xr:uid="{00000000-0005-0000-0000-0000306E0000}"/>
    <cellStyle name="Normal 257 2 2 8" xfId="27951" xr:uid="{00000000-0005-0000-0000-0000316E0000}"/>
    <cellStyle name="Normal 257 2 3" xfId="27952" xr:uid="{00000000-0005-0000-0000-0000326E0000}"/>
    <cellStyle name="Normal 257 2 3 2" xfId="27953" xr:uid="{00000000-0005-0000-0000-0000336E0000}"/>
    <cellStyle name="Normal 257 2 3 2 2" xfId="27954" xr:uid="{00000000-0005-0000-0000-0000346E0000}"/>
    <cellStyle name="Normal 257 2 3 2 3" xfId="27955" xr:uid="{00000000-0005-0000-0000-0000356E0000}"/>
    <cellStyle name="Normal 257 2 3 3" xfId="27956" xr:uid="{00000000-0005-0000-0000-0000366E0000}"/>
    <cellStyle name="Normal 257 2 3 3 2" xfId="27957" xr:uid="{00000000-0005-0000-0000-0000376E0000}"/>
    <cellStyle name="Normal 257 2 3 3 3" xfId="27958" xr:uid="{00000000-0005-0000-0000-0000386E0000}"/>
    <cellStyle name="Normal 257 2 3 4" xfId="27959" xr:uid="{00000000-0005-0000-0000-0000396E0000}"/>
    <cellStyle name="Normal 257 2 3 5" xfId="27960" xr:uid="{00000000-0005-0000-0000-00003A6E0000}"/>
    <cellStyle name="Normal 257 2 3 6" xfId="27961" xr:uid="{00000000-0005-0000-0000-00003B6E0000}"/>
    <cellStyle name="Normal 257 2 4" xfId="27962" xr:uid="{00000000-0005-0000-0000-00003C6E0000}"/>
    <cellStyle name="Normal 257 2 4 2" xfId="27963" xr:uid="{00000000-0005-0000-0000-00003D6E0000}"/>
    <cellStyle name="Normal 257 2 4 3" xfId="27964" xr:uid="{00000000-0005-0000-0000-00003E6E0000}"/>
    <cellStyle name="Normal 257 2 5" xfId="27965" xr:uid="{00000000-0005-0000-0000-00003F6E0000}"/>
    <cellStyle name="Normal 257 2 5 2" xfId="27966" xr:uid="{00000000-0005-0000-0000-0000406E0000}"/>
    <cellStyle name="Normal 257 2 5 3" xfId="27967" xr:uid="{00000000-0005-0000-0000-0000416E0000}"/>
    <cellStyle name="Normal 257 2 6" xfId="27968" xr:uid="{00000000-0005-0000-0000-0000426E0000}"/>
    <cellStyle name="Normal 257 2 7" xfId="27969" xr:uid="{00000000-0005-0000-0000-0000436E0000}"/>
    <cellStyle name="Normal 257 2 8" xfId="27970" xr:uid="{00000000-0005-0000-0000-0000446E0000}"/>
    <cellStyle name="Normal 257 2 9" xfId="27971" xr:uid="{00000000-0005-0000-0000-0000456E0000}"/>
    <cellStyle name="Normal 257 3" xfId="27972" xr:uid="{00000000-0005-0000-0000-0000466E0000}"/>
    <cellStyle name="Normal 257 3 2" xfId="27973" xr:uid="{00000000-0005-0000-0000-0000476E0000}"/>
    <cellStyle name="Normal 257 3 2 2" xfId="27974" xr:uid="{00000000-0005-0000-0000-0000486E0000}"/>
    <cellStyle name="Normal 257 3 2 2 2" xfId="27975" xr:uid="{00000000-0005-0000-0000-0000496E0000}"/>
    <cellStyle name="Normal 257 3 2 2 3" xfId="27976" xr:uid="{00000000-0005-0000-0000-00004A6E0000}"/>
    <cellStyle name="Normal 257 3 2 3" xfId="27977" xr:uid="{00000000-0005-0000-0000-00004B6E0000}"/>
    <cellStyle name="Normal 257 3 2 3 2" xfId="27978" xr:uid="{00000000-0005-0000-0000-00004C6E0000}"/>
    <cellStyle name="Normal 257 3 2 3 3" xfId="27979" xr:uid="{00000000-0005-0000-0000-00004D6E0000}"/>
    <cellStyle name="Normal 257 3 2 4" xfId="27980" xr:uid="{00000000-0005-0000-0000-00004E6E0000}"/>
    <cellStyle name="Normal 257 3 2 5" xfId="27981" xr:uid="{00000000-0005-0000-0000-00004F6E0000}"/>
    <cellStyle name="Normal 257 3 2 6" xfId="27982" xr:uid="{00000000-0005-0000-0000-0000506E0000}"/>
    <cellStyle name="Normal 257 3 3" xfId="27983" xr:uid="{00000000-0005-0000-0000-0000516E0000}"/>
    <cellStyle name="Normal 257 3 3 2" xfId="27984" xr:uid="{00000000-0005-0000-0000-0000526E0000}"/>
    <cellStyle name="Normal 257 3 3 3" xfId="27985" xr:uid="{00000000-0005-0000-0000-0000536E0000}"/>
    <cellStyle name="Normal 257 3 4" xfId="27986" xr:uid="{00000000-0005-0000-0000-0000546E0000}"/>
    <cellStyle name="Normal 257 3 4 2" xfId="27987" xr:uid="{00000000-0005-0000-0000-0000556E0000}"/>
    <cellStyle name="Normal 257 3 4 3" xfId="27988" xr:uid="{00000000-0005-0000-0000-0000566E0000}"/>
    <cellStyle name="Normal 257 3 5" xfId="27989" xr:uid="{00000000-0005-0000-0000-0000576E0000}"/>
    <cellStyle name="Normal 257 3 6" xfId="27990" xr:uid="{00000000-0005-0000-0000-0000586E0000}"/>
    <cellStyle name="Normal 257 3 7" xfId="27991" xr:uid="{00000000-0005-0000-0000-0000596E0000}"/>
    <cellStyle name="Normal 257 3 8" xfId="27992" xr:uid="{00000000-0005-0000-0000-00005A6E0000}"/>
    <cellStyle name="Normal 257 4" xfId="27993" xr:uid="{00000000-0005-0000-0000-00005B6E0000}"/>
    <cellStyle name="Normal 257 4 2" xfId="27994" xr:uid="{00000000-0005-0000-0000-00005C6E0000}"/>
    <cellStyle name="Normal 257 4 2 2" xfId="27995" xr:uid="{00000000-0005-0000-0000-00005D6E0000}"/>
    <cellStyle name="Normal 257 4 2 3" xfId="27996" xr:uid="{00000000-0005-0000-0000-00005E6E0000}"/>
    <cellStyle name="Normal 257 4 3" xfId="27997" xr:uid="{00000000-0005-0000-0000-00005F6E0000}"/>
    <cellStyle name="Normal 257 4 3 2" xfId="27998" xr:uid="{00000000-0005-0000-0000-0000606E0000}"/>
    <cellStyle name="Normal 257 4 3 3" xfId="27999" xr:uid="{00000000-0005-0000-0000-0000616E0000}"/>
    <cellStyle name="Normal 257 4 4" xfId="28000" xr:uid="{00000000-0005-0000-0000-0000626E0000}"/>
    <cellStyle name="Normal 257 4 5" xfId="28001" xr:uid="{00000000-0005-0000-0000-0000636E0000}"/>
    <cellStyle name="Normal 257 4 6" xfId="28002" xr:uid="{00000000-0005-0000-0000-0000646E0000}"/>
    <cellStyle name="Normal 257 5" xfId="28003" xr:uid="{00000000-0005-0000-0000-0000656E0000}"/>
    <cellStyle name="Normal 257 5 2" xfId="28004" xr:uid="{00000000-0005-0000-0000-0000666E0000}"/>
    <cellStyle name="Normal 257 5 3" xfId="28005" xr:uid="{00000000-0005-0000-0000-0000676E0000}"/>
    <cellStyle name="Normal 257 6" xfId="28006" xr:uid="{00000000-0005-0000-0000-0000686E0000}"/>
    <cellStyle name="Normal 257 6 2" xfId="28007" xr:uid="{00000000-0005-0000-0000-0000696E0000}"/>
    <cellStyle name="Normal 257 6 3" xfId="28008" xr:uid="{00000000-0005-0000-0000-00006A6E0000}"/>
    <cellStyle name="Normal 257 7" xfId="28009" xr:uid="{00000000-0005-0000-0000-00006B6E0000}"/>
    <cellStyle name="Normal 257 8" xfId="28010" xr:uid="{00000000-0005-0000-0000-00006C6E0000}"/>
    <cellStyle name="Normal 257 9" xfId="28011" xr:uid="{00000000-0005-0000-0000-00006D6E0000}"/>
    <cellStyle name="Normal 258" xfId="2706" xr:uid="{00000000-0005-0000-0000-00006E6E0000}"/>
    <cellStyle name="Normal 258 10" xfId="28012" xr:uid="{00000000-0005-0000-0000-00006F6E0000}"/>
    <cellStyle name="Normal 258 11" xfId="28013" xr:uid="{00000000-0005-0000-0000-0000706E0000}"/>
    <cellStyle name="Normal 258 2" xfId="2707" xr:uid="{00000000-0005-0000-0000-0000716E0000}"/>
    <cellStyle name="Normal 258 2 10" xfId="28014" xr:uid="{00000000-0005-0000-0000-0000726E0000}"/>
    <cellStyle name="Normal 258 2 2" xfId="28015" xr:uid="{00000000-0005-0000-0000-0000736E0000}"/>
    <cellStyle name="Normal 258 2 2 2" xfId="28016" xr:uid="{00000000-0005-0000-0000-0000746E0000}"/>
    <cellStyle name="Normal 258 2 2 2 2" xfId="28017" xr:uid="{00000000-0005-0000-0000-0000756E0000}"/>
    <cellStyle name="Normal 258 2 2 2 2 2" xfId="28018" xr:uid="{00000000-0005-0000-0000-0000766E0000}"/>
    <cellStyle name="Normal 258 2 2 2 2 3" xfId="28019" xr:uid="{00000000-0005-0000-0000-0000776E0000}"/>
    <cellStyle name="Normal 258 2 2 2 3" xfId="28020" xr:uid="{00000000-0005-0000-0000-0000786E0000}"/>
    <cellStyle name="Normal 258 2 2 2 3 2" xfId="28021" xr:uid="{00000000-0005-0000-0000-0000796E0000}"/>
    <cellStyle name="Normal 258 2 2 2 3 3" xfId="28022" xr:uid="{00000000-0005-0000-0000-00007A6E0000}"/>
    <cellStyle name="Normal 258 2 2 2 4" xfId="28023" xr:uid="{00000000-0005-0000-0000-00007B6E0000}"/>
    <cellStyle name="Normal 258 2 2 2 5" xfId="28024" xr:uid="{00000000-0005-0000-0000-00007C6E0000}"/>
    <cellStyle name="Normal 258 2 2 2 6" xfId="28025" xr:uid="{00000000-0005-0000-0000-00007D6E0000}"/>
    <cellStyle name="Normal 258 2 2 3" xfId="28026" xr:uid="{00000000-0005-0000-0000-00007E6E0000}"/>
    <cellStyle name="Normal 258 2 2 3 2" xfId="28027" xr:uid="{00000000-0005-0000-0000-00007F6E0000}"/>
    <cellStyle name="Normal 258 2 2 3 3" xfId="28028" xr:uid="{00000000-0005-0000-0000-0000806E0000}"/>
    <cellStyle name="Normal 258 2 2 4" xfId="28029" xr:uid="{00000000-0005-0000-0000-0000816E0000}"/>
    <cellStyle name="Normal 258 2 2 4 2" xfId="28030" xr:uid="{00000000-0005-0000-0000-0000826E0000}"/>
    <cellStyle name="Normal 258 2 2 4 3" xfId="28031" xr:uid="{00000000-0005-0000-0000-0000836E0000}"/>
    <cellStyle name="Normal 258 2 2 5" xfId="28032" xr:uid="{00000000-0005-0000-0000-0000846E0000}"/>
    <cellStyle name="Normal 258 2 2 6" xfId="28033" xr:uid="{00000000-0005-0000-0000-0000856E0000}"/>
    <cellStyle name="Normal 258 2 2 7" xfId="28034" xr:uid="{00000000-0005-0000-0000-0000866E0000}"/>
    <cellStyle name="Normal 258 2 2 8" xfId="28035" xr:uid="{00000000-0005-0000-0000-0000876E0000}"/>
    <cellStyle name="Normal 258 2 3" xfId="28036" xr:uid="{00000000-0005-0000-0000-0000886E0000}"/>
    <cellStyle name="Normal 258 2 3 2" xfId="28037" xr:uid="{00000000-0005-0000-0000-0000896E0000}"/>
    <cellStyle name="Normal 258 2 3 2 2" xfId="28038" xr:uid="{00000000-0005-0000-0000-00008A6E0000}"/>
    <cellStyle name="Normal 258 2 3 2 3" xfId="28039" xr:uid="{00000000-0005-0000-0000-00008B6E0000}"/>
    <cellStyle name="Normal 258 2 3 3" xfId="28040" xr:uid="{00000000-0005-0000-0000-00008C6E0000}"/>
    <cellStyle name="Normal 258 2 3 3 2" xfId="28041" xr:uid="{00000000-0005-0000-0000-00008D6E0000}"/>
    <cellStyle name="Normal 258 2 3 3 3" xfId="28042" xr:uid="{00000000-0005-0000-0000-00008E6E0000}"/>
    <cellStyle name="Normal 258 2 3 4" xfId="28043" xr:uid="{00000000-0005-0000-0000-00008F6E0000}"/>
    <cellStyle name="Normal 258 2 3 5" xfId="28044" xr:uid="{00000000-0005-0000-0000-0000906E0000}"/>
    <cellStyle name="Normal 258 2 3 6" xfId="28045" xr:uid="{00000000-0005-0000-0000-0000916E0000}"/>
    <cellStyle name="Normal 258 2 4" xfId="28046" xr:uid="{00000000-0005-0000-0000-0000926E0000}"/>
    <cellStyle name="Normal 258 2 4 2" xfId="28047" xr:uid="{00000000-0005-0000-0000-0000936E0000}"/>
    <cellStyle name="Normal 258 2 4 3" xfId="28048" xr:uid="{00000000-0005-0000-0000-0000946E0000}"/>
    <cellStyle name="Normal 258 2 5" xfId="28049" xr:uid="{00000000-0005-0000-0000-0000956E0000}"/>
    <cellStyle name="Normal 258 2 5 2" xfId="28050" xr:uid="{00000000-0005-0000-0000-0000966E0000}"/>
    <cellStyle name="Normal 258 2 5 3" xfId="28051" xr:uid="{00000000-0005-0000-0000-0000976E0000}"/>
    <cellStyle name="Normal 258 2 6" xfId="28052" xr:uid="{00000000-0005-0000-0000-0000986E0000}"/>
    <cellStyle name="Normal 258 2 7" xfId="28053" xr:uid="{00000000-0005-0000-0000-0000996E0000}"/>
    <cellStyle name="Normal 258 2 8" xfId="28054" xr:uid="{00000000-0005-0000-0000-00009A6E0000}"/>
    <cellStyle name="Normal 258 2 9" xfId="28055" xr:uid="{00000000-0005-0000-0000-00009B6E0000}"/>
    <cellStyle name="Normal 258 3" xfId="28056" xr:uid="{00000000-0005-0000-0000-00009C6E0000}"/>
    <cellStyle name="Normal 258 3 2" xfId="28057" xr:uid="{00000000-0005-0000-0000-00009D6E0000}"/>
    <cellStyle name="Normal 258 3 2 2" xfId="28058" xr:uid="{00000000-0005-0000-0000-00009E6E0000}"/>
    <cellStyle name="Normal 258 3 2 2 2" xfId="28059" xr:uid="{00000000-0005-0000-0000-00009F6E0000}"/>
    <cellStyle name="Normal 258 3 2 2 3" xfId="28060" xr:uid="{00000000-0005-0000-0000-0000A06E0000}"/>
    <cellStyle name="Normal 258 3 2 3" xfId="28061" xr:uid="{00000000-0005-0000-0000-0000A16E0000}"/>
    <cellStyle name="Normal 258 3 2 3 2" xfId="28062" xr:uid="{00000000-0005-0000-0000-0000A26E0000}"/>
    <cellStyle name="Normal 258 3 2 3 3" xfId="28063" xr:uid="{00000000-0005-0000-0000-0000A36E0000}"/>
    <cellStyle name="Normal 258 3 2 4" xfId="28064" xr:uid="{00000000-0005-0000-0000-0000A46E0000}"/>
    <cellStyle name="Normal 258 3 2 5" xfId="28065" xr:uid="{00000000-0005-0000-0000-0000A56E0000}"/>
    <cellStyle name="Normal 258 3 2 6" xfId="28066" xr:uid="{00000000-0005-0000-0000-0000A66E0000}"/>
    <cellStyle name="Normal 258 3 3" xfId="28067" xr:uid="{00000000-0005-0000-0000-0000A76E0000}"/>
    <cellStyle name="Normal 258 3 3 2" xfId="28068" xr:uid="{00000000-0005-0000-0000-0000A86E0000}"/>
    <cellStyle name="Normal 258 3 3 3" xfId="28069" xr:uid="{00000000-0005-0000-0000-0000A96E0000}"/>
    <cellStyle name="Normal 258 3 4" xfId="28070" xr:uid="{00000000-0005-0000-0000-0000AA6E0000}"/>
    <cellStyle name="Normal 258 3 4 2" xfId="28071" xr:uid="{00000000-0005-0000-0000-0000AB6E0000}"/>
    <cellStyle name="Normal 258 3 4 3" xfId="28072" xr:uid="{00000000-0005-0000-0000-0000AC6E0000}"/>
    <cellStyle name="Normal 258 3 5" xfId="28073" xr:uid="{00000000-0005-0000-0000-0000AD6E0000}"/>
    <cellStyle name="Normal 258 3 6" xfId="28074" xr:uid="{00000000-0005-0000-0000-0000AE6E0000}"/>
    <cellStyle name="Normal 258 3 7" xfId="28075" xr:uid="{00000000-0005-0000-0000-0000AF6E0000}"/>
    <cellStyle name="Normal 258 3 8" xfId="28076" xr:uid="{00000000-0005-0000-0000-0000B06E0000}"/>
    <cellStyle name="Normal 258 4" xfId="28077" xr:uid="{00000000-0005-0000-0000-0000B16E0000}"/>
    <cellStyle name="Normal 258 4 2" xfId="28078" xr:uid="{00000000-0005-0000-0000-0000B26E0000}"/>
    <cellStyle name="Normal 258 4 2 2" xfId="28079" xr:uid="{00000000-0005-0000-0000-0000B36E0000}"/>
    <cellStyle name="Normal 258 4 2 3" xfId="28080" xr:uid="{00000000-0005-0000-0000-0000B46E0000}"/>
    <cellStyle name="Normal 258 4 3" xfId="28081" xr:uid="{00000000-0005-0000-0000-0000B56E0000}"/>
    <cellStyle name="Normal 258 4 3 2" xfId="28082" xr:uid="{00000000-0005-0000-0000-0000B66E0000}"/>
    <cellStyle name="Normal 258 4 3 3" xfId="28083" xr:uid="{00000000-0005-0000-0000-0000B76E0000}"/>
    <cellStyle name="Normal 258 4 4" xfId="28084" xr:uid="{00000000-0005-0000-0000-0000B86E0000}"/>
    <cellStyle name="Normal 258 4 5" xfId="28085" xr:uid="{00000000-0005-0000-0000-0000B96E0000}"/>
    <cellStyle name="Normal 258 4 6" xfId="28086" xr:uid="{00000000-0005-0000-0000-0000BA6E0000}"/>
    <cellStyle name="Normal 258 5" xfId="28087" xr:uid="{00000000-0005-0000-0000-0000BB6E0000}"/>
    <cellStyle name="Normal 258 5 2" xfId="28088" xr:uid="{00000000-0005-0000-0000-0000BC6E0000}"/>
    <cellStyle name="Normal 258 5 3" xfId="28089" xr:uid="{00000000-0005-0000-0000-0000BD6E0000}"/>
    <cellStyle name="Normal 258 6" xfId="28090" xr:uid="{00000000-0005-0000-0000-0000BE6E0000}"/>
    <cellStyle name="Normal 258 6 2" xfId="28091" xr:uid="{00000000-0005-0000-0000-0000BF6E0000}"/>
    <cellStyle name="Normal 258 6 3" xfId="28092" xr:uid="{00000000-0005-0000-0000-0000C06E0000}"/>
    <cellStyle name="Normal 258 7" xfId="28093" xr:uid="{00000000-0005-0000-0000-0000C16E0000}"/>
    <cellStyle name="Normal 258 8" xfId="28094" xr:uid="{00000000-0005-0000-0000-0000C26E0000}"/>
    <cellStyle name="Normal 258 9" xfId="28095" xr:uid="{00000000-0005-0000-0000-0000C36E0000}"/>
    <cellStyle name="Normal 259" xfId="2708" xr:uid="{00000000-0005-0000-0000-0000C46E0000}"/>
    <cellStyle name="Normal 259 10" xfId="28096" xr:uid="{00000000-0005-0000-0000-0000C56E0000}"/>
    <cellStyle name="Normal 259 11" xfId="28097" xr:uid="{00000000-0005-0000-0000-0000C66E0000}"/>
    <cellStyle name="Normal 259 2" xfId="2709" xr:uid="{00000000-0005-0000-0000-0000C76E0000}"/>
    <cellStyle name="Normal 259 2 10" xfId="28098" xr:uid="{00000000-0005-0000-0000-0000C86E0000}"/>
    <cellStyle name="Normal 259 2 2" xfId="28099" xr:uid="{00000000-0005-0000-0000-0000C96E0000}"/>
    <cellStyle name="Normal 259 2 2 2" xfId="28100" xr:uid="{00000000-0005-0000-0000-0000CA6E0000}"/>
    <cellStyle name="Normal 259 2 2 2 2" xfId="28101" xr:uid="{00000000-0005-0000-0000-0000CB6E0000}"/>
    <cellStyle name="Normal 259 2 2 2 2 2" xfId="28102" xr:uid="{00000000-0005-0000-0000-0000CC6E0000}"/>
    <cellStyle name="Normal 259 2 2 2 2 3" xfId="28103" xr:uid="{00000000-0005-0000-0000-0000CD6E0000}"/>
    <cellStyle name="Normal 259 2 2 2 3" xfId="28104" xr:uid="{00000000-0005-0000-0000-0000CE6E0000}"/>
    <cellStyle name="Normal 259 2 2 2 3 2" xfId="28105" xr:uid="{00000000-0005-0000-0000-0000CF6E0000}"/>
    <cellStyle name="Normal 259 2 2 2 3 3" xfId="28106" xr:uid="{00000000-0005-0000-0000-0000D06E0000}"/>
    <cellStyle name="Normal 259 2 2 2 4" xfId="28107" xr:uid="{00000000-0005-0000-0000-0000D16E0000}"/>
    <cellStyle name="Normal 259 2 2 2 5" xfId="28108" xr:uid="{00000000-0005-0000-0000-0000D26E0000}"/>
    <cellStyle name="Normal 259 2 2 2 6" xfId="28109" xr:uid="{00000000-0005-0000-0000-0000D36E0000}"/>
    <cellStyle name="Normal 259 2 2 3" xfId="28110" xr:uid="{00000000-0005-0000-0000-0000D46E0000}"/>
    <cellStyle name="Normal 259 2 2 3 2" xfId="28111" xr:uid="{00000000-0005-0000-0000-0000D56E0000}"/>
    <cellStyle name="Normal 259 2 2 3 3" xfId="28112" xr:uid="{00000000-0005-0000-0000-0000D66E0000}"/>
    <cellStyle name="Normal 259 2 2 4" xfId="28113" xr:uid="{00000000-0005-0000-0000-0000D76E0000}"/>
    <cellStyle name="Normal 259 2 2 4 2" xfId="28114" xr:uid="{00000000-0005-0000-0000-0000D86E0000}"/>
    <cellStyle name="Normal 259 2 2 4 3" xfId="28115" xr:uid="{00000000-0005-0000-0000-0000D96E0000}"/>
    <cellStyle name="Normal 259 2 2 5" xfId="28116" xr:uid="{00000000-0005-0000-0000-0000DA6E0000}"/>
    <cellStyle name="Normal 259 2 2 6" xfId="28117" xr:uid="{00000000-0005-0000-0000-0000DB6E0000}"/>
    <cellStyle name="Normal 259 2 2 7" xfId="28118" xr:uid="{00000000-0005-0000-0000-0000DC6E0000}"/>
    <cellStyle name="Normal 259 2 2 8" xfId="28119" xr:uid="{00000000-0005-0000-0000-0000DD6E0000}"/>
    <cellStyle name="Normal 259 2 3" xfId="28120" xr:uid="{00000000-0005-0000-0000-0000DE6E0000}"/>
    <cellStyle name="Normal 259 2 3 2" xfId="28121" xr:uid="{00000000-0005-0000-0000-0000DF6E0000}"/>
    <cellStyle name="Normal 259 2 3 2 2" xfId="28122" xr:uid="{00000000-0005-0000-0000-0000E06E0000}"/>
    <cellStyle name="Normal 259 2 3 2 3" xfId="28123" xr:uid="{00000000-0005-0000-0000-0000E16E0000}"/>
    <cellStyle name="Normal 259 2 3 3" xfId="28124" xr:uid="{00000000-0005-0000-0000-0000E26E0000}"/>
    <cellStyle name="Normal 259 2 3 3 2" xfId="28125" xr:uid="{00000000-0005-0000-0000-0000E36E0000}"/>
    <cellStyle name="Normal 259 2 3 3 3" xfId="28126" xr:uid="{00000000-0005-0000-0000-0000E46E0000}"/>
    <cellStyle name="Normal 259 2 3 4" xfId="28127" xr:uid="{00000000-0005-0000-0000-0000E56E0000}"/>
    <cellStyle name="Normal 259 2 3 5" xfId="28128" xr:uid="{00000000-0005-0000-0000-0000E66E0000}"/>
    <cellStyle name="Normal 259 2 3 6" xfId="28129" xr:uid="{00000000-0005-0000-0000-0000E76E0000}"/>
    <cellStyle name="Normal 259 2 4" xfId="28130" xr:uid="{00000000-0005-0000-0000-0000E86E0000}"/>
    <cellStyle name="Normal 259 2 4 2" xfId="28131" xr:uid="{00000000-0005-0000-0000-0000E96E0000}"/>
    <cellStyle name="Normal 259 2 4 3" xfId="28132" xr:uid="{00000000-0005-0000-0000-0000EA6E0000}"/>
    <cellStyle name="Normal 259 2 5" xfId="28133" xr:uid="{00000000-0005-0000-0000-0000EB6E0000}"/>
    <cellStyle name="Normal 259 2 5 2" xfId="28134" xr:uid="{00000000-0005-0000-0000-0000EC6E0000}"/>
    <cellStyle name="Normal 259 2 5 3" xfId="28135" xr:uid="{00000000-0005-0000-0000-0000ED6E0000}"/>
    <cellStyle name="Normal 259 2 6" xfId="28136" xr:uid="{00000000-0005-0000-0000-0000EE6E0000}"/>
    <cellStyle name="Normal 259 2 7" xfId="28137" xr:uid="{00000000-0005-0000-0000-0000EF6E0000}"/>
    <cellStyle name="Normal 259 2 8" xfId="28138" xr:uid="{00000000-0005-0000-0000-0000F06E0000}"/>
    <cellStyle name="Normal 259 2 9" xfId="28139" xr:uid="{00000000-0005-0000-0000-0000F16E0000}"/>
    <cellStyle name="Normal 259 3" xfId="28140" xr:uid="{00000000-0005-0000-0000-0000F26E0000}"/>
    <cellStyle name="Normal 259 3 2" xfId="28141" xr:uid="{00000000-0005-0000-0000-0000F36E0000}"/>
    <cellStyle name="Normal 259 3 2 2" xfId="28142" xr:uid="{00000000-0005-0000-0000-0000F46E0000}"/>
    <cellStyle name="Normal 259 3 2 2 2" xfId="28143" xr:uid="{00000000-0005-0000-0000-0000F56E0000}"/>
    <cellStyle name="Normal 259 3 2 2 3" xfId="28144" xr:uid="{00000000-0005-0000-0000-0000F66E0000}"/>
    <cellStyle name="Normal 259 3 2 3" xfId="28145" xr:uid="{00000000-0005-0000-0000-0000F76E0000}"/>
    <cellStyle name="Normal 259 3 2 3 2" xfId="28146" xr:uid="{00000000-0005-0000-0000-0000F86E0000}"/>
    <cellStyle name="Normal 259 3 2 3 3" xfId="28147" xr:uid="{00000000-0005-0000-0000-0000F96E0000}"/>
    <cellStyle name="Normal 259 3 2 4" xfId="28148" xr:uid="{00000000-0005-0000-0000-0000FA6E0000}"/>
    <cellStyle name="Normal 259 3 2 5" xfId="28149" xr:uid="{00000000-0005-0000-0000-0000FB6E0000}"/>
    <cellStyle name="Normal 259 3 2 6" xfId="28150" xr:uid="{00000000-0005-0000-0000-0000FC6E0000}"/>
    <cellStyle name="Normal 259 3 3" xfId="28151" xr:uid="{00000000-0005-0000-0000-0000FD6E0000}"/>
    <cellStyle name="Normal 259 3 3 2" xfId="28152" xr:uid="{00000000-0005-0000-0000-0000FE6E0000}"/>
    <cellStyle name="Normal 259 3 3 3" xfId="28153" xr:uid="{00000000-0005-0000-0000-0000FF6E0000}"/>
    <cellStyle name="Normal 259 3 4" xfId="28154" xr:uid="{00000000-0005-0000-0000-0000006F0000}"/>
    <cellStyle name="Normal 259 3 4 2" xfId="28155" xr:uid="{00000000-0005-0000-0000-0000016F0000}"/>
    <cellStyle name="Normal 259 3 4 3" xfId="28156" xr:uid="{00000000-0005-0000-0000-0000026F0000}"/>
    <cellStyle name="Normal 259 3 5" xfId="28157" xr:uid="{00000000-0005-0000-0000-0000036F0000}"/>
    <cellStyle name="Normal 259 3 6" xfId="28158" xr:uid="{00000000-0005-0000-0000-0000046F0000}"/>
    <cellStyle name="Normal 259 3 7" xfId="28159" xr:uid="{00000000-0005-0000-0000-0000056F0000}"/>
    <cellStyle name="Normal 259 3 8" xfId="28160" xr:uid="{00000000-0005-0000-0000-0000066F0000}"/>
    <cellStyle name="Normal 259 4" xfId="28161" xr:uid="{00000000-0005-0000-0000-0000076F0000}"/>
    <cellStyle name="Normal 259 4 2" xfId="28162" xr:uid="{00000000-0005-0000-0000-0000086F0000}"/>
    <cellStyle name="Normal 259 4 2 2" xfId="28163" xr:uid="{00000000-0005-0000-0000-0000096F0000}"/>
    <cellStyle name="Normal 259 4 2 3" xfId="28164" xr:uid="{00000000-0005-0000-0000-00000A6F0000}"/>
    <cellStyle name="Normal 259 4 3" xfId="28165" xr:uid="{00000000-0005-0000-0000-00000B6F0000}"/>
    <cellStyle name="Normal 259 4 3 2" xfId="28166" xr:uid="{00000000-0005-0000-0000-00000C6F0000}"/>
    <cellStyle name="Normal 259 4 3 3" xfId="28167" xr:uid="{00000000-0005-0000-0000-00000D6F0000}"/>
    <cellStyle name="Normal 259 4 4" xfId="28168" xr:uid="{00000000-0005-0000-0000-00000E6F0000}"/>
    <cellStyle name="Normal 259 4 5" xfId="28169" xr:uid="{00000000-0005-0000-0000-00000F6F0000}"/>
    <cellStyle name="Normal 259 4 6" xfId="28170" xr:uid="{00000000-0005-0000-0000-0000106F0000}"/>
    <cellStyle name="Normal 259 5" xfId="28171" xr:uid="{00000000-0005-0000-0000-0000116F0000}"/>
    <cellStyle name="Normal 259 5 2" xfId="28172" xr:uid="{00000000-0005-0000-0000-0000126F0000}"/>
    <cellStyle name="Normal 259 5 3" xfId="28173" xr:uid="{00000000-0005-0000-0000-0000136F0000}"/>
    <cellStyle name="Normal 259 6" xfId="28174" xr:uid="{00000000-0005-0000-0000-0000146F0000}"/>
    <cellStyle name="Normal 259 6 2" xfId="28175" xr:uid="{00000000-0005-0000-0000-0000156F0000}"/>
    <cellStyle name="Normal 259 6 3" xfId="28176" xr:uid="{00000000-0005-0000-0000-0000166F0000}"/>
    <cellStyle name="Normal 259 7" xfId="28177" xr:uid="{00000000-0005-0000-0000-0000176F0000}"/>
    <cellStyle name="Normal 259 8" xfId="28178" xr:uid="{00000000-0005-0000-0000-0000186F0000}"/>
    <cellStyle name="Normal 259 9" xfId="28179" xr:uid="{00000000-0005-0000-0000-0000196F0000}"/>
    <cellStyle name="Normal 26" xfId="2710" xr:uid="{00000000-0005-0000-0000-00001A6F0000}"/>
    <cellStyle name="Normal 26 2" xfId="2711" xr:uid="{00000000-0005-0000-0000-00001B6F0000}"/>
    <cellStyle name="Normal 26 2 2" xfId="28180" xr:uid="{00000000-0005-0000-0000-00001C6F0000}"/>
    <cellStyle name="Normal 26 3" xfId="28181" xr:uid="{00000000-0005-0000-0000-00001D6F0000}"/>
    <cellStyle name="Normal 26 4" xfId="28182" xr:uid="{00000000-0005-0000-0000-00001E6F0000}"/>
    <cellStyle name="Normal 26 5" xfId="28183" xr:uid="{00000000-0005-0000-0000-00001F6F0000}"/>
    <cellStyle name="Normal 260" xfId="2712" xr:uid="{00000000-0005-0000-0000-0000206F0000}"/>
    <cellStyle name="Normal 260 10" xfId="28184" xr:uid="{00000000-0005-0000-0000-0000216F0000}"/>
    <cellStyle name="Normal 260 11" xfId="28185" xr:uid="{00000000-0005-0000-0000-0000226F0000}"/>
    <cellStyle name="Normal 260 2" xfId="2713" xr:uid="{00000000-0005-0000-0000-0000236F0000}"/>
    <cellStyle name="Normal 260 2 10" xfId="28186" xr:uid="{00000000-0005-0000-0000-0000246F0000}"/>
    <cellStyle name="Normal 260 2 2" xfId="28187" xr:uid="{00000000-0005-0000-0000-0000256F0000}"/>
    <cellStyle name="Normal 260 2 2 2" xfId="28188" xr:uid="{00000000-0005-0000-0000-0000266F0000}"/>
    <cellStyle name="Normal 260 2 2 2 2" xfId="28189" xr:uid="{00000000-0005-0000-0000-0000276F0000}"/>
    <cellStyle name="Normal 260 2 2 2 2 2" xfId="28190" xr:uid="{00000000-0005-0000-0000-0000286F0000}"/>
    <cellStyle name="Normal 260 2 2 2 2 3" xfId="28191" xr:uid="{00000000-0005-0000-0000-0000296F0000}"/>
    <cellStyle name="Normal 260 2 2 2 3" xfId="28192" xr:uid="{00000000-0005-0000-0000-00002A6F0000}"/>
    <cellStyle name="Normal 260 2 2 2 3 2" xfId="28193" xr:uid="{00000000-0005-0000-0000-00002B6F0000}"/>
    <cellStyle name="Normal 260 2 2 2 3 3" xfId="28194" xr:uid="{00000000-0005-0000-0000-00002C6F0000}"/>
    <cellStyle name="Normal 260 2 2 2 4" xfId="28195" xr:uid="{00000000-0005-0000-0000-00002D6F0000}"/>
    <cellStyle name="Normal 260 2 2 2 5" xfId="28196" xr:uid="{00000000-0005-0000-0000-00002E6F0000}"/>
    <cellStyle name="Normal 260 2 2 2 6" xfId="28197" xr:uid="{00000000-0005-0000-0000-00002F6F0000}"/>
    <cellStyle name="Normal 260 2 2 3" xfId="28198" xr:uid="{00000000-0005-0000-0000-0000306F0000}"/>
    <cellStyle name="Normal 260 2 2 3 2" xfId="28199" xr:uid="{00000000-0005-0000-0000-0000316F0000}"/>
    <cellStyle name="Normal 260 2 2 3 3" xfId="28200" xr:uid="{00000000-0005-0000-0000-0000326F0000}"/>
    <cellStyle name="Normal 260 2 2 4" xfId="28201" xr:uid="{00000000-0005-0000-0000-0000336F0000}"/>
    <cellStyle name="Normal 260 2 2 4 2" xfId="28202" xr:uid="{00000000-0005-0000-0000-0000346F0000}"/>
    <cellStyle name="Normal 260 2 2 4 3" xfId="28203" xr:uid="{00000000-0005-0000-0000-0000356F0000}"/>
    <cellStyle name="Normal 260 2 2 5" xfId="28204" xr:uid="{00000000-0005-0000-0000-0000366F0000}"/>
    <cellStyle name="Normal 260 2 2 6" xfId="28205" xr:uid="{00000000-0005-0000-0000-0000376F0000}"/>
    <cellStyle name="Normal 260 2 2 7" xfId="28206" xr:uid="{00000000-0005-0000-0000-0000386F0000}"/>
    <cellStyle name="Normal 260 2 2 8" xfId="28207" xr:uid="{00000000-0005-0000-0000-0000396F0000}"/>
    <cellStyle name="Normal 260 2 3" xfId="28208" xr:uid="{00000000-0005-0000-0000-00003A6F0000}"/>
    <cellStyle name="Normal 260 2 3 2" xfId="28209" xr:uid="{00000000-0005-0000-0000-00003B6F0000}"/>
    <cellStyle name="Normal 260 2 3 2 2" xfId="28210" xr:uid="{00000000-0005-0000-0000-00003C6F0000}"/>
    <cellStyle name="Normal 260 2 3 2 3" xfId="28211" xr:uid="{00000000-0005-0000-0000-00003D6F0000}"/>
    <cellStyle name="Normal 260 2 3 3" xfId="28212" xr:uid="{00000000-0005-0000-0000-00003E6F0000}"/>
    <cellStyle name="Normal 260 2 3 3 2" xfId="28213" xr:uid="{00000000-0005-0000-0000-00003F6F0000}"/>
    <cellStyle name="Normal 260 2 3 3 3" xfId="28214" xr:uid="{00000000-0005-0000-0000-0000406F0000}"/>
    <cellStyle name="Normal 260 2 3 4" xfId="28215" xr:uid="{00000000-0005-0000-0000-0000416F0000}"/>
    <cellStyle name="Normal 260 2 3 5" xfId="28216" xr:uid="{00000000-0005-0000-0000-0000426F0000}"/>
    <cellStyle name="Normal 260 2 3 6" xfId="28217" xr:uid="{00000000-0005-0000-0000-0000436F0000}"/>
    <cellStyle name="Normal 260 2 4" xfId="28218" xr:uid="{00000000-0005-0000-0000-0000446F0000}"/>
    <cellStyle name="Normal 260 2 4 2" xfId="28219" xr:uid="{00000000-0005-0000-0000-0000456F0000}"/>
    <cellStyle name="Normal 260 2 4 3" xfId="28220" xr:uid="{00000000-0005-0000-0000-0000466F0000}"/>
    <cellStyle name="Normal 260 2 5" xfId="28221" xr:uid="{00000000-0005-0000-0000-0000476F0000}"/>
    <cellStyle name="Normal 260 2 5 2" xfId="28222" xr:uid="{00000000-0005-0000-0000-0000486F0000}"/>
    <cellStyle name="Normal 260 2 5 3" xfId="28223" xr:uid="{00000000-0005-0000-0000-0000496F0000}"/>
    <cellStyle name="Normal 260 2 6" xfId="28224" xr:uid="{00000000-0005-0000-0000-00004A6F0000}"/>
    <cellStyle name="Normal 260 2 7" xfId="28225" xr:uid="{00000000-0005-0000-0000-00004B6F0000}"/>
    <cellStyle name="Normal 260 2 8" xfId="28226" xr:uid="{00000000-0005-0000-0000-00004C6F0000}"/>
    <cellStyle name="Normal 260 2 9" xfId="28227" xr:uid="{00000000-0005-0000-0000-00004D6F0000}"/>
    <cellStyle name="Normal 260 3" xfId="28228" xr:uid="{00000000-0005-0000-0000-00004E6F0000}"/>
    <cellStyle name="Normal 260 3 2" xfId="28229" xr:uid="{00000000-0005-0000-0000-00004F6F0000}"/>
    <cellStyle name="Normal 260 3 2 2" xfId="28230" xr:uid="{00000000-0005-0000-0000-0000506F0000}"/>
    <cellStyle name="Normal 260 3 2 2 2" xfId="28231" xr:uid="{00000000-0005-0000-0000-0000516F0000}"/>
    <cellStyle name="Normal 260 3 2 2 3" xfId="28232" xr:uid="{00000000-0005-0000-0000-0000526F0000}"/>
    <cellStyle name="Normal 260 3 2 3" xfId="28233" xr:uid="{00000000-0005-0000-0000-0000536F0000}"/>
    <cellStyle name="Normal 260 3 2 3 2" xfId="28234" xr:uid="{00000000-0005-0000-0000-0000546F0000}"/>
    <cellStyle name="Normal 260 3 2 3 3" xfId="28235" xr:uid="{00000000-0005-0000-0000-0000556F0000}"/>
    <cellStyle name="Normal 260 3 2 4" xfId="28236" xr:uid="{00000000-0005-0000-0000-0000566F0000}"/>
    <cellStyle name="Normal 260 3 2 5" xfId="28237" xr:uid="{00000000-0005-0000-0000-0000576F0000}"/>
    <cellStyle name="Normal 260 3 2 6" xfId="28238" xr:uid="{00000000-0005-0000-0000-0000586F0000}"/>
    <cellStyle name="Normal 260 3 3" xfId="28239" xr:uid="{00000000-0005-0000-0000-0000596F0000}"/>
    <cellStyle name="Normal 260 3 3 2" xfId="28240" xr:uid="{00000000-0005-0000-0000-00005A6F0000}"/>
    <cellStyle name="Normal 260 3 3 3" xfId="28241" xr:uid="{00000000-0005-0000-0000-00005B6F0000}"/>
    <cellStyle name="Normal 260 3 4" xfId="28242" xr:uid="{00000000-0005-0000-0000-00005C6F0000}"/>
    <cellStyle name="Normal 260 3 4 2" xfId="28243" xr:uid="{00000000-0005-0000-0000-00005D6F0000}"/>
    <cellStyle name="Normal 260 3 4 3" xfId="28244" xr:uid="{00000000-0005-0000-0000-00005E6F0000}"/>
    <cellStyle name="Normal 260 3 5" xfId="28245" xr:uid="{00000000-0005-0000-0000-00005F6F0000}"/>
    <cellStyle name="Normal 260 3 6" xfId="28246" xr:uid="{00000000-0005-0000-0000-0000606F0000}"/>
    <cellStyle name="Normal 260 3 7" xfId="28247" xr:uid="{00000000-0005-0000-0000-0000616F0000}"/>
    <cellStyle name="Normal 260 3 8" xfId="28248" xr:uid="{00000000-0005-0000-0000-0000626F0000}"/>
    <cellStyle name="Normal 260 4" xfId="28249" xr:uid="{00000000-0005-0000-0000-0000636F0000}"/>
    <cellStyle name="Normal 260 4 2" xfId="28250" xr:uid="{00000000-0005-0000-0000-0000646F0000}"/>
    <cellStyle name="Normal 260 4 2 2" xfId="28251" xr:uid="{00000000-0005-0000-0000-0000656F0000}"/>
    <cellStyle name="Normal 260 4 2 3" xfId="28252" xr:uid="{00000000-0005-0000-0000-0000666F0000}"/>
    <cellStyle name="Normal 260 4 3" xfId="28253" xr:uid="{00000000-0005-0000-0000-0000676F0000}"/>
    <cellStyle name="Normal 260 4 3 2" xfId="28254" xr:uid="{00000000-0005-0000-0000-0000686F0000}"/>
    <cellStyle name="Normal 260 4 3 3" xfId="28255" xr:uid="{00000000-0005-0000-0000-0000696F0000}"/>
    <cellStyle name="Normal 260 4 4" xfId="28256" xr:uid="{00000000-0005-0000-0000-00006A6F0000}"/>
    <cellStyle name="Normal 260 4 5" xfId="28257" xr:uid="{00000000-0005-0000-0000-00006B6F0000}"/>
    <cellStyle name="Normal 260 4 6" xfId="28258" xr:uid="{00000000-0005-0000-0000-00006C6F0000}"/>
    <cellStyle name="Normal 260 5" xfId="28259" xr:uid="{00000000-0005-0000-0000-00006D6F0000}"/>
    <cellStyle name="Normal 260 5 2" xfId="28260" xr:uid="{00000000-0005-0000-0000-00006E6F0000}"/>
    <cellStyle name="Normal 260 5 3" xfId="28261" xr:uid="{00000000-0005-0000-0000-00006F6F0000}"/>
    <cellStyle name="Normal 260 6" xfId="28262" xr:uid="{00000000-0005-0000-0000-0000706F0000}"/>
    <cellStyle name="Normal 260 6 2" xfId="28263" xr:uid="{00000000-0005-0000-0000-0000716F0000}"/>
    <cellStyle name="Normal 260 6 3" xfId="28264" xr:uid="{00000000-0005-0000-0000-0000726F0000}"/>
    <cellStyle name="Normal 260 7" xfId="28265" xr:uid="{00000000-0005-0000-0000-0000736F0000}"/>
    <cellStyle name="Normal 260 8" xfId="28266" xr:uid="{00000000-0005-0000-0000-0000746F0000}"/>
    <cellStyle name="Normal 260 9" xfId="28267" xr:uid="{00000000-0005-0000-0000-0000756F0000}"/>
    <cellStyle name="Normal 261" xfId="2714" xr:uid="{00000000-0005-0000-0000-0000766F0000}"/>
    <cellStyle name="Normal 261 10" xfId="28268" xr:uid="{00000000-0005-0000-0000-0000776F0000}"/>
    <cellStyle name="Normal 261 11" xfId="28269" xr:uid="{00000000-0005-0000-0000-0000786F0000}"/>
    <cellStyle name="Normal 261 2" xfId="2715" xr:uid="{00000000-0005-0000-0000-0000796F0000}"/>
    <cellStyle name="Normal 261 2 10" xfId="28270" xr:uid="{00000000-0005-0000-0000-00007A6F0000}"/>
    <cellStyle name="Normal 261 2 2" xfId="28271" xr:uid="{00000000-0005-0000-0000-00007B6F0000}"/>
    <cellStyle name="Normal 261 2 2 2" xfId="28272" xr:uid="{00000000-0005-0000-0000-00007C6F0000}"/>
    <cellStyle name="Normal 261 2 2 2 2" xfId="28273" xr:uid="{00000000-0005-0000-0000-00007D6F0000}"/>
    <cellStyle name="Normal 261 2 2 2 2 2" xfId="28274" xr:uid="{00000000-0005-0000-0000-00007E6F0000}"/>
    <cellStyle name="Normal 261 2 2 2 2 3" xfId="28275" xr:uid="{00000000-0005-0000-0000-00007F6F0000}"/>
    <cellStyle name="Normal 261 2 2 2 3" xfId="28276" xr:uid="{00000000-0005-0000-0000-0000806F0000}"/>
    <cellStyle name="Normal 261 2 2 2 3 2" xfId="28277" xr:uid="{00000000-0005-0000-0000-0000816F0000}"/>
    <cellStyle name="Normal 261 2 2 2 3 3" xfId="28278" xr:uid="{00000000-0005-0000-0000-0000826F0000}"/>
    <cellStyle name="Normal 261 2 2 2 4" xfId="28279" xr:uid="{00000000-0005-0000-0000-0000836F0000}"/>
    <cellStyle name="Normal 261 2 2 2 5" xfId="28280" xr:uid="{00000000-0005-0000-0000-0000846F0000}"/>
    <cellStyle name="Normal 261 2 2 2 6" xfId="28281" xr:uid="{00000000-0005-0000-0000-0000856F0000}"/>
    <cellStyle name="Normal 261 2 2 3" xfId="28282" xr:uid="{00000000-0005-0000-0000-0000866F0000}"/>
    <cellStyle name="Normal 261 2 2 3 2" xfId="28283" xr:uid="{00000000-0005-0000-0000-0000876F0000}"/>
    <cellStyle name="Normal 261 2 2 3 3" xfId="28284" xr:uid="{00000000-0005-0000-0000-0000886F0000}"/>
    <cellStyle name="Normal 261 2 2 4" xfId="28285" xr:uid="{00000000-0005-0000-0000-0000896F0000}"/>
    <cellStyle name="Normal 261 2 2 4 2" xfId="28286" xr:uid="{00000000-0005-0000-0000-00008A6F0000}"/>
    <cellStyle name="Normal 261 2 2 4 3" xfId="28287" xr:uid="{00000000-0005-0000-0000-00008B6F0000}"/>
    <cellStyle name="Normal 261 2 2 5" xfId="28288" xr:uid="{00000000-0005-0000-0000-00008C6F0000}"/>
    <cellStyle name="Normal 261 2 2 6" xfId="28289" xr:uid="{00000000-0005-0000-0000-00008D6F0000}"/>
    <cellStyle name="Normal 261 2 2 7" xfId="28290" xr:uid="{00000000-0005-0000-0000-00008E6F0000}"/>
    <cellStyle name="Normal 261 2 2 8" xfId="28291" xr:uid="{00000000-0005-0000-0000-00008F6F0000}"/>
    <cellStyle name="Normal 261 2 3" xfId="28292" xr:uid="{00000000-0005-0000-0000-0000906F0000}"/>
    <cellStyle name="Normal 261 2 3 2" xfId="28293" xr:uid="{00000000-0005-0000-0000-0000916F0000}"/>
    <cellStyle name="Normal 261 2 3 2 2" xfId="28294" xr:uid="{00000000-0005-0000-0000-0000926F0000}"/>
    <cellStyle name="Normal 261 2 3 2 3" xfId="28295" xr:uid="{00000000-0005-0000-0000-0000936F0000}"/>
    <cellStyle name="Normal 261 2 3 3" xfId="28296" xr:uid="{00000000-0005-0000-0000-0000946F0000}"/>
    <cellStyle name="Normal 261 2 3 3 2" xfId="28297" xr:uid="{00000000-0005-0000-0000-0000956F0000}"/>
    <cellStyle name="Normal 261 2 3 3 3" xfId="28298" xr:uid="{00000000-0005-0000-0000-0000966F0000}"/>
    <cellStyle name="Normal 261 2 3 4" xfId="28299" xr:uid="{00000000-0005-0000-0000-0000976F0000}"/>
    <cellStyle name="Normal 261 2 3 5" xfId="28300" xr:uid="{00000000-0005-0000-0000-0000986F0000}"/>
    <cellStyle name="Normal 261 2 3 6" xfId="28301" xr:uid="{00000000-0005-0000-0000-0000996F0000}"/>
    <cellStyle name="Normal 261 2 4" xfId="28302" xr:uid="{00000000-0005-0000-0000-00009A6F0000}"/>
    <cellStyle name="Normal 261 2 4 2" xfId="28303" xr:uid="{00000000-0005-0000-0000-00009B6F0000}"/>
    <cellStyle name="Normal 261 2 4 3" xfId="28304" xr:uid="{00000000-0005-0000-0000-00009C6F0000}"/>
    <cellStyle name="Normal 261 2 5" xfId="28305" xr:uid="{00000000-0005-0000-0000-00009D6F0000}"/>
    <cellStyle name="Normal 261 2 5 2" xfId="28306" xr:uid="{00000000-0005-0000-0000-00009E6F0000}"/>
    <cellStyle name="Normal 261 2 5 3" xfId="28307" xr:uid="{00000000-0005-0000-0000-00009F6F0000}"/>
    <cellStyle name="Normal 261 2 6" xfId="28308" xr:uid="{00000000-0005-0000-0000-0000A06F0000}"/>
    <cellStyle name="Normal 261 2 7" xfId="28309" xr:uid="{00000000-0005-0000-0000-0000A16F0000}"/>
    <cellStyle name="Normal 261 2 8" xfId="28310" xr:uid="{00000000-0005-0000-0000-0000A26F0000}"/>
    <cellStyle name="Normal 261 2 9" xfId="28311" xr:uid="{00000000-0005-0000-0000-0000A36F0000}"/>
    <cellStyle name="Normal 261 3" xfId="28312" xr:uid="{00000000-0005-0000-0000-0000A46F0000}"/>
    <cellStyle name="Normal 261 3 2" xfId="28313" xr:uid="{00000000-0005-0000-0000-0000A56F0000}"/>
    <cellStyle name="Normal 261 3 2 2" xfId="28314" xr:uid="{00000000-0005-0000-0000-0000A66F0000}"/>
    <cellStyle name="Normal 261 3 2 2 2" xfId="28315" xr:uid="{00000000-0005-0000-0000-0000A76F0000}"/>
    <cellStyle name="Normal 261 3 2 2 3" xfId="28316" xr:uid="{00000000-0005-0000-0000-0000A86F0000}"/>
    <cellStyle name="Normal 261 3 2 3" xfId="28317" xr:uid="{00000000-0005-0000-0000-0000A96F0000}"/>
    <cellStyle name="Normal 261 3 2 3 2" xfId="28318" xr:uid="{00000000-0005-0000-0000-0000AA6F0000}"/>
    <cellStyle name="Normal 261 3 2 3 3" xfId="28319" xr:uid="{00000000-0005-0000-0000-0000AB6F0000}"/>
    <cellStyle name="Normal 261 3 2 4" xfId="28320" xr:uid="{00000000-0005-0000-0000-0000AC6F0000}"/>
    <cellStyle name="Normal 261 3 2 5" xfId="28321" xr:uid="{00000000-0005-0000-0000-0000AD6F0000}"/>
    <cellStyle name="Normal 261 3 2 6" xfId="28322" xr:uid="{00000000-0005-0000-0000-0000AE6F0000}"/>
    <cellStyle name="Normal 261 3 3" xfId="28323" xr:uid="{00000000-0005-0000-0000-0000AF6F0000}"/>
    <cellStyle name="Normal 261 3 3 2" xfId="28324" xr:uid="{00000000-0005-0000-0000-0000B06F0000}"/>
    <cellStyle name="Normal 261 3 3 3" xfId="28325" xr:uid="{00000000-0005-0000-0000-0000B16F0000}"/>
    <cellStyle name="Normal 261 3 4" xfId="28326" xr:uid="{00000000-0005-0000-0000-0000B26F0000}"/>
    <cellStyle name="Normal 261 3 4 2" xfId="28327" xr:uid="{00000000-0005-0000-0000-0000B36F0000}"/>
    <cellStyle name="Normal 261 3 4 3" xfId="28328" xr:uid="{00000000-0005-0000-0000-0000B46F0000}"/>
    <cellStyle name="Normal 261 3 5" xfId="28329" xr:uid="{00000000-0005-0000-0000-0000B56F0000}"/>
    <cellStyle name="Normal 261 3 6" xfId="28330" xr:uid="{00000000-0005-0000-0000-0000B66F0000}"/>
    <cellStyle name="Normal 261 3 7" xfId="28331" xr:uid="{00000000-0005-0000-0000-0000B76F0000}"/>
    <cellStyle name="Normal 261 3 8" xfId="28332" xr:uid="{00000000-0005-0000-0000-0000B86F0000}"/>
    <cellStyle name="Normal 261 4" xfId="28333" xr:uid="{00000000-0005-0000-0000-0000B96F0000}"/>
    <cellStyle name="Normal 261 4 2" xfId="28334" xr:uid="{00000000-0005-0000-0000-0000BA6F0000}"/>
    <cellStyle name="Normal 261 4 2 2" xfId="28335" xr:uid="{00000000-0005-0000-0000-0000BB6F0000}"/>
    <cellStyle name="Normal 261 4 2 3" xfId="28336" xr:uid="{00000000-0005-0000-0000-0000BC6F0000}"/>
    <cellStyle name="Normal 261 4 3" xfId="28337" xr:uid="{00000000-0005-0000-0000-0000BD6F0000}"/>
    <cellStyle name="Normal 261 4 3 2" xfId="28338" xr:uid="{00000000-0005-0000-0000-0000BE6F0000}"/>
    <cellStyle name="Normal 261 4 3 3" xfId="28339" xr:uid="{00000000-0005-0000-0000-0000BF6F0000}"/>
    <cellStyle name="Normal 261 4 4" xfId="28340" xr:uid="{00000000-0005-0000-0000-0000C06F0000}"/>
    <cellStyle name="Normal 261 4 5" xfId="28341" xr:uid="{00000000-0005-0000-0000-0000C16F0000}"/>
    <cellStyle name="Normal 261 4 6" xfId="28342" xr:uid="{00000000-0005-0000-0000-0000C26F0000}"/>
    <cellStyle name="Normal 261 5" xfId="28343" xr:uid="{00000000-0005-0000-0000-0000C36F0000}"/>
    <cellStyle name="Normal 261 5 2" xfId="28344" xr:uid="{00000000-0005-0000-0000-0000C46F0000}"/>
    <cellStyle name="Normal 261 5 3" xfId="28345" xr:uid="{00000000-0005-0000-0000-0000C56F0000}"/>
    <cellStyle name="Normal 261 6" xfId="28346" xr:uid="{00000000-0005-0000-0000-0000C66F0000}"/>
    <cellStyle name="Normal 261 6 2" xfId="28347" xr:uid="{00000000-0005-0000-0000-0000C76F0000}"/>
    <cellStyle name="Normal 261 6 3" xfId="28348" xr:uid="{00000000-0005-0000-0000-0000C86F0000}"/>
    <cellStyle name="Normal 261 7" xfId="28349" xr:uid="{00000000-0005-0000-0000-0000C96F0000}"/>
    <cellStyle name="Normal 261 8" xfId="28350" xr:uid="{00000000-0005-0000-0000-0000CA6F0000}"/>
    <cellStyle name="Normal 261 9" xfId="28351" xr:uid="{00000000-0005-0000-0000-0000CB6F0000}"/>
    <cellStyle name="Normal 262" xfId="2716" xr:uid="{00000000-0005-0000-0000-0000CC6F0000}"/>
    <cellStyle name="Normal 262 10" xfId="28352" xr:uid="{00000000-0005-0000-0000-0000CD6F0000}"/>
    <cellStyle name="Normal 262 11" xfId="28353" xr:uid="{00000000-0005-0000-0000-0000CE6F0000}"/>
    <cellStyle name="Normal 262 2" xfId="28354" xr:uid="{00000000-0005-0000-0000-0000CF6F0000}"/>
    <cellStyle name="Normal 262 2 2" xfId="28355" xr:uid="{00000000-0005-0000-0000-0000D06F0000}"/>
    <cellStyle name="Normal 262 2 2 2" xfId="28356" xr:uid="{00000000-0005-0000-0000-0000D16F0000}"/>
    <cellStyle name="Normal 262 2 2 2 2" xfId="28357" xr:uid="{00000000-0005-0000-0000-0000D26F0000}"/>
    <cellStyle name="Normal 262 2 2 2 2 2" xfId="28358" xr:uid="{00000000-0005-0000-0000-0000D36F0000}"/>
    <cellStyle name="Normal 262 2 2 2 2 3" xfId="28359" xr:uid="{00000000-0005-0000-0000-0000D46F0000}"/>
    <cellStyle name="Normal 262 2 2 2 3" xfId="28360" xr:uid="{00000000-0005-0000-0000-0000D56F0000}"/>
    <cellStyle name="Normal 262 2 2 2 3 2" xfId="28361" xr:uid="{00000000-0005-0000-0000-0000D66F0000}"/>
    <cellStyle name="Normal 262 2 2 2 3 3" xfId="28362" xr:uid="{00000000-0005-0000-0000-0000D76F0000}"/>
    <cellStyle name="Normal 262 2 2 2 4" xfId="28363" xr:uid="{00000000-0005-0000-0000-0000D86F0000}"/>
    <cellStyle name="Normal 262 2 2 2 5" xfId="28364" xr:uid="{00000000-0005-0000-0000-0000D96F0000}"/>
    <cellStyle name="Normal 262 2 2 2 6" xfId="28365" xr:uid="{00000000-0005-0000-0000-0000DA6F0000}"/>
    <cellStyle name="Normal 262 2 2 3" xfId="28366" xr:uid="{00000000-0005-0000-0000-0000DB6F0000}"/>
    <cellStyle name="Normal 262 2 2 3 2" xfId="28367" xr:uid="{00000000-0005-0000-0000-0000DC6F0000}"/>
    <cellStyle name="Normal 262 2 2 3 3" xfId="28368" xr:uid="{00000000-0005-0000-0000-0000DD6F0000}"/>
    <cellStyle name="Normal 262 2 2 4" xfId="28369" xr:uid="{00000000-0005-0000-0000-0000DE6F0000}"/>
    <cellStyle name="Normal 262 2 2 4 2" xfId="28370" xr:uid="{00000000-0005-0000-0000-0000DF6F0000}"/>
    <cellStyle name="Normal 262 2 2 4 3" xfId="28371" xr:uid="{00000000-0005-0000-0000-0000E06F0000}"/>
    <cellStyle name="Normal 262 2 2 5" xfId="28372" xr:uid="{00000000-0005-0000-0000-0000E16F0000}"/>
    <cellStyle name="Normal 262 2 2 6" xfId="28373" xr:uid="{00000000-0005-0000-0000-0000E26F0000}"/>
    <cellStyle name="Normal 262 2 2 7" xfId="28374" xr:uid="{00000000-0005-0000-0000-0000E36F0000}"/>
    <cellStyle name="Normal 262 2 2 8" xfId="28375" xr:uid="{00000000-0005-0000-0000-0000E46F0000}"/>
    <cellStyle name="Normal 262 2 3" xfId="28376" xr:uid="{00000000-0005-0000-0000-0000E56F0000}"/>
    <cellStyle name="Normal 262 2 3 2" xfId="28377" xr:uid="{00000000-0005-0000-0000-0000E66F0000}"/>
    <cellStyle name="Normal 262 2 3 2 2" xfId="28378" xr:uid="{00000000-0005-0000-0000-0000E76F0000}"/>
    <cellStyle name="Normal 262 2 3 2 3" xfId="28379" xr:uid="{00000000-0005-0000-0000-0000E86F0000}"/>
    <cellStyle name="Normal 262 2 3 3" xfId="28380" xr:uid="{00000000-0005-0000-0000-0000E96F0000}"/>
    <cellStyle name="Normal 262 2 3 3 2" xfId="28381" xr:uid="{00000000-0005-0000-0000-0000EA6F0000}"/>
    <cellStyle name="Normal 262 2 3 3 3" xfId="28382" xr:uid="{00000000-0005-0000-0000-0000EB6F0000}"/>
    <cellStyle name="Normal 262 2 3 4" xfId="28383" xr:uid="{00000000-0005-0000-0000-0000EC6F0000}"/>
    <cellStyle name="Normal 262 2 3 5" xfId="28384" xr:uid="{00000000-0005-0000-0000-0000ED6F0000}"/>
    <cellStyle name="Normal 262 2 3 6" xfId="28385" xr:uid="{00000000-0005-0000-0000-0000EE6F0000}"/>
    <cellStyle name="Normal 262 2 4" xfId="28386" xr:uid="{00000000-0005-0000-0000-0000EF6F0000}"/>
    <cellStyle name="Normal 262 2 4 2" xfId="28387" xr:uid="{00000000-0005-0000-0000-0000F06F0000}"/>
    <cellStyle name="Normal 262 2 4 3" xfId="28388" xr:uid="{00000000-0005-0000-0000-0000F16F0000}"/>
    <cellStyle name="Normal 262 2 5" xfId="28389" xr:uid="{00000000-0005-0000-0000-0000F26F0000}"/>
    <cellStyle name="Normal 262 2 5 2" xfId="28390" xr:uid="{00000000-0005-0000-0000-0000F36F0000}"/>
    <cellStyle name="Normal 262 2 5 3" xfId="28391" xr:uid="{00000000-0005-0000-0000-0000F46F0000}"/>
    <cellStyle name="Normal 262 2 6" xfId="28392" xr:uid="{00000000-0005-0000-0000-0000F56F0000}"/>
    <cellStyle name="Normal 262 2 7" xfId="28393" xr:uid="{00000000-0005-0000-0000-0000F66F0000}"/>
    <cellStyle name="Normal 262 2 8" xfId="28394" xr:uid="{00000000-0005-0000-0000-0000F76F0000}"/>
    <cellStyle name="Normal 262 2 9" xfId="28395" xr:uid="{00000000-0005-0000-0000-0000F86F0000}"/>
    <cellStyle name="Normal 262 3" xfId="28396" xr:uid="{00000000-0005-0000-0000-0000F96F0000}"/>
    <cellStyle name="Normal 262 3 2" xfId="28397" xr:uid="{00000000-0005-0000-0000-0000FA6F0000}"/>
    <cellStyle name="Normal 262 3 2 2" xfId="28398" xr:uid="{00000000-0005-0000-0000-0000FB6F0000}"/>
    <cellStyle name="Normal 262 3 2 2 2" xfId="28399" xr:uid="{00000000-0005-0000-0000-0000FC6F0000}"/>
    <cellStyle name="Normal 262 3 2 2 3" xfId="28400" xr:uid="{00000000-0005-0000-0000-0000FD6F0000}"/>
    <cellStyle name="Normal 262 3 2 3" xfId="28401" xr:uid="{00000000-0005-0000-0000-0000FE6F0000}"/>
    <cellStyle name="Normal 262 3 2 3 2" xfId="28402" xr:uid="{00000000-0005-0000-0000-0000FF6F0000}"/>
    <cellStyle name="Normal 262 3 2 3 3" xfId="28403" xr:uid="{00000000-0005-0000-0000-000000700000}"/>
    <cellStyle name="Normal 262 3 2 4" xfId="28404" xr:uid="{00000000-0005-0000-0000-000001700000}"/>
    <cellStyle name="Normal 262 3 2 5" xfId="28405" xr:uid="{00000000-0005-0000-0000-000002700000}"/>
    <cellStyle name="Normal 262 3 2 6" xfId="28406" xr:uid="{00000000-0005-0000-0000-000003700000}"/>
    <cellStyle name="Normal 262 3 3" xfId="28407" xr:uid="{00000000-0005-0000-0000-000004700000}"/>
    <cellStyle name="Normal 262 3 3 2" xfId="28408" xr:uid="{00000000-0005-0000-0000-000005700000}"/>
    <cellStyle name="Normal 262 3 3 3" xfId="28409" xr:uid="{00000000-0005-0000-0000-000006700000}"/>
    <cellStyle name="Normal 262 3 4" xfId="28410" xr:uid="{00000000-0005-0000-0000-000007700000}"/>
    <cellStyle name="Normal 262 3 4 2" xfId="28411" xr:uid="{00000000-0005-0000-0000-000008700000}"/>
    <cellStyle name="Normal 262 3 4 3" xfId="28412" xr:uid="{00000000-0005-0000-0000-000009700000}"/>
    <cellStyle name="Normal 262 3 5" xfId="28413" xr:uid="{00000000-0005-0000-0000-00000A700000}"/>
    <cellStyle name="Normal 262 3 6" xfId="28414" xr:uid="{00000000-0005-0000-0000-00000B700000}"/>
    <cellStyle name="Normal 262 3 7" xfId="28415" xr:uid="{00000000-0005-0000-0000-00000C700000}"/>
    <cellStyle name="Normal 262 3 8" xfId="28416" xr:uid="{00000000-0005-0000-0000-00000D700000}"/>
    <cellStyle name="Normal 262 4" xfId="28417" xr:uid="{00000000-0005-0000-0000-00000E700000}"/>
    <cellStyle name="Normal 262 4 2" xfId="28418" xr:uid="{00000000-0005-0000-0000-00000F700000}"/>
    <cellStyle name="Normal 262 4 2 2" xfId="28419" xr:uid="{00000000-0005-0000-0000-000010700000}"/>
    <cellStyle name="Normal 262 4 2 3" xfId="28420" xr:uid="{00000000-0005-0000-0000-000011700000}"/>
    <cellStyle name="Normal 262 4 3" xfId="28421" xr:uid="{00000000-0005-0000-0000-000012700000}"/>
    <cellStyle name="Normal 262 4 3 2" xfId="28422" xr:uid="{00000000-0005-0000-0000-000013700000}"/>
    <cellStyle name="Normal 262 4 3 3" xfId="28423" xr:uid="{00000000-0005-0000-0000-000014700000}"/>
    <cellStyle name="Normal 262 4 4" xfId="28424" xr:uid="{00000000-0005-0000-0000-000015700000}"/>
    <cellStyle name="Normal 262 4 5" xfId="28425" xr:uid="{00000000-0005-0000-0000-000016700000}"/>
    <cellStyle name="Normal 262 4 6" xfId="28426" xr:uid="{00000000-0005-0000-0000-000017700000}"/>
    <cellStyle name="Normal 262 5" xfId="28427" xr:uid="{00000000-0005-0000-0000-000018700000}"/>
    <cellStyle name="Normal 262 5 2" xfId="28428" xr:uid="{00000000-0005-0000-0000-000019700000}"/>
    <cellStyle name="Normal 262 5 3" xfId="28429" xr:uid="{00000000-0005-0000-0000-00001A700000}"/>
    <cellStyle name="Normal 262 6" xfId="28430" xr:uid="{00000000-0005-0000-0000-00001B700000}"/>
    <cellStyle name="Normal 262 6 2" xfId="28431" xr:uid="{00000000-0005-0000-0000-00001C700000}"/>
    <cellStyle name="Normal 262 6 3" xfId="28432" xr:uid="{00000000-0005-0000-0000-00001D700000}"/>
    <cellStyle name="Normal 262 7" xfId="28433" xr:uid="{00000000-0005-0000-0000-00001E700000}"/>
    <cellStyle name="Normal 262 8" xfId="28434" xr:uid="{00000000-0005-0000-0000-00001F700000}"/>
    <cellStyle name="Normal 262 9" xfId="28435" xr:uid="{00000000-0005-0000-0000-000020700000}"/>
    <cellStyle name="Normal 263" xfId="2717" xr:uid="{00000000-0005-0000-0000-000021700000}"/>
    <cellStyle name="Normal 263 10" xfId="28436" xr:uid="{00000000-0005-0000-0000-000022700000}"/>
    <cellStyle name="Normal 263 11" xfId="28437" xr:uid="{00000000-0005-0000-0000-000023700000}"/>
    <cellStyle name="Normal 263 2" xfId="2718" xr:uid="{00000000-0005-0000-0000-000024700000}"/>
    <cellStyle name="Normal 263 2 10" xfId="28438" xr:uid="{00000000-0005-0000-0000-000025700000}"/>
    <cellStyle name="Normal 263 2 2" xfId="28439" xr:uid="{00000000-0005-0000-0000-000026700000}"/>
    <cellStyle name="Normal 263 2 2 2" xfId="28440" xr:uid="{00000000-0005-0000-0000-000027700000}"/>
    <cellStyle name="Normal 263 2 2 2 2" xfId="28441" xr:uid="{00000000-0005-0000-0000-000028700000}"/>
    <cellStyle name="Normal 263 2 2 2 2 2" xfId="28442" xr:uid="{00000000-0005-0000-0000-000029700000}"/>
    <cellStyle name="Normal 263 2 2 2 2 3" xfId="28443" xr:uid="{00000000-0005-0000-0000-00002A700000}"/>
    <cellStyle name="Normal 263 2 2 2 3" xfId="28444" xr:uid="{00000000-0005-0000-0000-00002B700000}"/>
    <cellStyle name="Normal 263 2 2 2 3 2" xfId="28445" xr:uid="{00000000-0005-0000-0000-00002C700000}"/>
    <cellStyle name="Normal 263 2 2 2 3 3" xfId="28446" xr:uid="{00000000-0005-0000-0000-00002D700000}"/>
    <cellStyle name="Normal 263 2 2 2 4" xfId="28447" xr:uid="{00000000-0005-0000-0000-00002E700000}"/>
    <cellStyle name="Normal 263 2 2 2 5" xfId="28448" xr:uid="{00000000-0005-0000-0000-00002F700000}"/>
    <cellStyle name="Normal 263 2 2 2 6" xfId="28449" xr:uid="{00000000-0005-0000-0000-000030700000}"/>
    <cellStyle name="Normal 263 2 2 3" xfId="28450" xr:uid="{00000000-0005-0000-0000-000031700000}"/>
    <cellStyle name="Normal 263 2 2 3 2" xfId="28451" xr:uid="{00000000-0005-0000-0000-000032700000}"/>
    <cellStyle name="Normal 263 2 2 3 3" xfId="28452" xr:uid="{00000000-0005-0000-0000-000033700000}"/>
    <cellStyle name="Normal 263 2 2 4" xfId="28453" xr:uid="{00000000-0005-0000-0000-000034700000}"/>
    <cellStyle name="Normal 263 2 2 4 2" xfId="28454" xr:uid="{00000000-0005-0000-0000-000035700000}"/>
    <cellStyle name="Normal 263 2 2 4 3" xfId="28455" xr:uid="{00000000-0005-0000-0000-000036700000}"/>
    <cellStyle name="Normal 263 2 2 5" xfId="28456" xr:uid="{00000000-0005-0000-0000-000037700000}"/>
    <cellStyle name="Normal 263 2 2 6" xfId="28457" xr:uid="{00000000-0005-0000-0000-000038700000}"/>
    <cellStyle name="Normal 263 2 2 7" xfId="28458" xr:uid="{00000000-0005-0000-0000-000039700000}"/>
    <cellStyle name="Normal 263 2 2 8" xfId="28459" xr:uid="{00000000-0005-0000-0000-00003A700000}"/>
    <cellStyle name="Normal 263 2 3" xfId="28460" xr:uid="{00000000-0005-0000-0000-00003B700000}"/>
    <cellStyle name="Normal 263 2 3 2" xfId="28461" xr:uid="{00000000-0005-0000-0000-00003C700000}"/>
    <cellStyle name="Normal 263 2 3 2 2" xfId="28462" xr:uid="{00000000-0005-0000-0000-00003D700000}"/>
    <cellStyle name="Normal 263 2 3 2 3" xfId="28463" xr:uid="{00000000-0005-0000-0000-00003E700000}"/>
    <cellStyle name="Normal 263 2 3 3" xfId="28464" xr:uid="{00000000-0005-0000-0000-00003F700000}"/>
    <cellStyle name="Normal 263 2 3 3 2" xfId="28465" xr:uid="{00000000-0005-0000-0000-000040700000}"/>
    <cellStyle name="Normal 263 2 3 3 3" xfId="28466" xr:uid="{00000000-0005-0000-0000-000041700000}"/>
    <cellStyle name="Normal 263 2 3 4" xfId="28467" xr:uid="{00000000-0005-0000-0000-000042700000}"/>
    <cellStyle name="Normal 263 2 3 5" xfId="28468" xr:uid="{00000000-0005-0000-0000-000043700000}"/>
    <cellStyle name="Normal 263 2 3 6" xfId="28469" xr:uid="{00000000-0005-0000-0000-000044700000}"/>
    <cellStyle name="Normal 263 2 4" xfId="28470" xr:uid="{00000000-0005-0000-0000-000045700000}"/>
    <cellStyle name="Normal 263 2 4 2" xfId="28471" xr:uid="{00000000-0005-0000-0000-000046700000}"/>
    <cellStyle name="Normal 263 2 4 3" xfId="28472" xr:uid="{00000000-0005-0000-0000-000047700000}"/>
    <cellStyle name="Normal 263 2 5" xfId="28473" xr:uid="{00000000-0005-0000-0000-000048700000}"/>
    <cellStyle name="Normal 263 2 5 2" xfId="28474" xr:uid="{00000000-0005-0000-0000-000049700000}"/>
    <cellStyle name="Normal 263 2 5 3" xfId="28475" xr:uid="{00000000-0005-0000-0000-00004A700000}"/>
    <cellStyle name="Normal 263 2 6" xfId="28476" xr:uid="{00000000-0005-0000-0000-00004B700000}"/>
    <cellStyle name="Normal 263 2 7" xfId="28477" xr:uid="{00000000-0005-0000-0000-00004C700000}"/>
    <cellStyle name="Normal 263 2 8" xfId="28478" xr:uid="{00000000-0005-0000-0000-00004D700000}"/>
    <cellStyle name="Normal 263 2 9" xfId="28479" xr:uid="{00000000-0005-0000-0000-00004E700000}"/>
    <cellStyle name="Normal 263 3" xfId="28480" xr:uid="{00000000-0005-0000-0000-00004F700000}"/>
    <cellStyle name="Normal 263 3 2" xfId="28481" xr:uid="{00000000-0005-0000-0000-000050700000}"/>
    <cellStyle name="Normal 263 3 2 2" xfId="28482" xr:uid="{00000000-0005-0000-0000-000051700000}"/>
    <cellStyle name="Normal 263 3 2 2 2" xfId="28483" xr:uid="{00000000-0005-0000-0000-000052700000}"/>
    <cellStyle name="Normal 263 3 2 2 3" xfId="28484" xr:uid="{00000000-0005-0000-0000-000053700000}"/>
    <cellStyle name="Normal 263 3 2 3" xfId="28485" xr:uid="{00000000-0005-0000-0000-000054700000}"/>
    <cellStyle name="Normal 263 3 2 3 2" xfId="28486" xr:uid="{00000000-0005-0000-0000-000055700000}"/>
    <cellStyle name="Normal 263 3 2 3 3" xfId="28487" xr:uid="{00000000-0005-0000-0000-000056700000}"/>
    <cellStyle name="Normal 263 3 2 4" xfId="28488" xr:uid="{00000000-0005-0000-0000-000057700000}"/>
    <cellStyle name="Normal 263 3 2 5" xfId="28489" xr:uid="{00000000-0005-0000-0000-000058700000}"/>
    <cellStyle name="Normal 263 3 2 6" xfId="28490" xr:uid="{00000000-0005-0000-0000-000059700000}"/>
    <cellStyle name="Normal 263 3 3" xfId="28491" xr:uid="{00000000-0005-0000-0000-00005A700000}"/>
    <cellStyle name="Normal 263 3 3 2" xfId="28492" xr:uid="{00000000-0005-0000-0000-00005B700000}"/>
    <cellStyle name="Normal 263 3 3 3" xfId="28493" xr:uid="{00000000-0005-0000-0000-00005C700000}"/>
    <cellStyle name="Normal 263 3 4" xfId="28494" xr:uid="{00000000-0005-0000-0000-00005D700000}"/>
    <cellStyle name="Normal 263 3 4 2" xfId="28495" xr:uid="{00000000-0005-0000-0000-00005E700000}"/>
    <cellStyle name="Normal 263 3 4 3" xfId="28496" xr:uid="{00000000-0005-0000-0000-00005F700000}"/>
    <cellStyle name="Normal 263 3 5" xfId="28497" xr:uid="{00000000-0005-0000-0000-000060700000}"/>
    <cellStyle name="Normal 263 3 6" xfId="28498" xr:uid="{00000000-0005-0000-0000-000061700000}"/>
    <cellStyle name="Normal 263 3 7" xfId="28499" xr:uid="{00000000-0005-0000-0000-000062700000}"/>
    <cellStyle name="Normal 263 3 8" xfId="28500" xr:uid="{00000000-0005-0000-0000-000063700000}"/>
    <cellStyle name="Normal 263 4" xfId="28501" xr:uid="{00000000-0005-0000-0000-000064700000}"/>
    <cellStyle name="Normal 263 4 2" xfId="28502" xr:uid="{00000000-0005-0000-0000-000065700000}"/>
    <cellStyle name="Normal 263 4 2 2" xfId="28503" xr:uid="{00000000-0005-0000-0000-000066700000}"/>
    <cellStyle name="Normal 263 4 2 3" xfId="28504" xr:uid="{00000000-0005-0000-0000-000067700000}"/>
    <cellStyle name="Normal 263 4 3" xfId="28505" xr:uid="{00000000-0005-0000-0000-000068700000}"/>
    <cellStyle name="Normal 263 4 3 2" xfId="28506" xr:uid="{00000000-0005-0000-0000-000069700000}"/>
    <cellStyle name="Normal 263 4 3 3" xfId="28507" xr:uid="{00000000-0005-0000-0000-00006A700000}"/>
    <cellStyle name="Normal 263 4 4" xfId="28508" xr:uid="{00000000-0005-0000-0000-00006B700000}"/>
    <cellStyle name="Normal 263 4 5" xfId="28509" xr:uid="{00000000-0005-0000-0000-00006C700000}"/>
    <cellStyle name="Normal 263 4 6" xfId="28510" xr:uid="{00000000-0005-0000-0000-00006D700000}"/>
    <cellStyle name="Normal 263 5" xfId="28511" xr:uid="{00000000-0005-0000-0000-00006E700000}"/>
    <cellStyle name="Normal 263 5 2" xfId="28512" xr:uid="{00000000-0005-0000-0000-00006F700000}"/>
    <cellStyle name="Normal 263 5 3" xfId="28513" xr:uid="{00000000-0005-0000-0000-000070700000}"/>
    <cellStyle name="Normal 263 6" xfId="28514" xr:uid="{00000000-0005-0000-0000-000071700000}"/>
    <cellStyle name="Normal 263 6 2" xfId="28515" xr:uid="{00000000-0005-0000-0000-000072700000}"/>
    <cellStyle name="Normal 263 6 3" xfId="28516" xr:uid="{00000000-0005-0000-0000-000073700000}"/>
    <cellStyle name="Normal 263 7" xfId="28517" xr:uid="{00000000-0005-0000-0000-000074700000}"/>
    <cellStyle name="Normal 263 8" xfId="28518" xr:uid="{00000000-0005-0000-0000-000075700000}"/>
    <cellStyle name="Normal 263 9" xfId="28519" xr:uid="{00000000-0005-0000-0000-000076700000}"/>
    <cellStyle name="Normal 264" xfId="2719" xr:uid="{00000000-0005-0000-0000-000077700000}"/>
    <cellStyle name="Normal 264 10" xfId="28520" xr:uid="{00000000-0005-0000-0000-000078700000}"/>
    <cellStyle name="Normal 264 11" xfId="28521" xr:uid="{00000000-0005-0000-0000-000079700000}"/>
    <cellStyle name="Normal 264 2" xfId="2720" xr:uid="{00000000-0005-0000-0000-00007A700000}"/>
    <cellStyle name="Normal 264 2 10" xfId="28522" xr:uid="{00000000-0005-0000-0000-00007B700000}"/>
    <cellStyle name="Normal 264 2 2" xfId="28523" xr:uid="{00000000-0005-0000-0000-00007C700000}"/>
    <cellStyle name="Normal 264 2 2 2" xfId="28524" xr:uid="{00000000-0005-0000-0000-00007D700000}"/>
    <cellStyle name="Normal 264 2 2 2 2" xfId="28525" xr:uid="{00000000-0005-0000-0000-00007E700000}"/>
    <cellStyle name="Normal 264 2 2 2 2 2" xfId="28526" xr:uid="{00000000-0005-0000-0000-00007F700000}"/>
    <cellStyle name="Normal 264 2 2 2 2 3" xfId="28527" xr:uid="{00000000-0005-0000-0000-000080700000}"/>
    <cellStyle name="Normal 264 2 2 2 3" xfId="28528" xr:uid="{00000000-0005-0000-0000-000081700000}"/>
    <cellStyle name="Normal 264 2 2 2 3 2" xfId="28529" xr:uid="{00000000-0005-0000-0000-000082700000}"/>
    <cellStyle name="Normal 264 2 2 2 3 3" xfId="28530" xr:uid="{00000000-0005-0000-0000-000083700000}"/>
    <cellStyle name="Normal 264 2 2 2 4" xfId="28531" xr:uid="{00000000-0005-0000-0000-000084700000}"/>
    <cellStyle name="Normal 264 2 2 2 5" xfId="28532" xr:uid="{00000000-0005-0000-0000-000085700000}"/>
    <cellStyle name="Normal 264 2 2 2 6" xfId="28533" xr:uid="{00000000-0005-0000-0000-000086700000}"/>
    <cellStyle name="Normal 264 2 2 3" xfId="28534" xr:uid="{00000000-0005-0000-0000-000087700000}"/>
    <cellStyle name="Normal 264 2 2 3 2" xfId="28535" xr:uid="{00000000-0005-0000-0000-000088700000}"/>
    <cellStyle name="Normal 264 2 2 3 3" xfId="28536" xr:uid="{00000000-0005-0000-0000-000089700000}"/>
    <cellStyle name="Normal 264 2 2 4" xfId="28537" xr:uid="{00000000-0005-0000-0000-00008A700000}"/>
    <cellStyle name="Normal 264 2 2 4 2" xfId="28538" xr:uid="{00000000-0005-0000-0000-00008B700000}"/>
    <cellStyle name="Normal 264 2 2 4 3" xfId="28539" xr:uid="{00000000-0005-0000-0000-00008C700000}"/>
    <cellStyle name="Normal 264 2 2 5" xfId="28540" xr:uid="{00000000-0005-0000-0000-00008D700000}"/>
    <cellStyle name="Normal 264 2 2 6" xfId="28541" xr:uid="{00000000-0005-0000-0000-00008E700000}"/>
    <cellStyle name="Normal 264 2 2 7" xfId="28542" xr:uid="{00000000-0005-0000-0000-00008F700000}"/>
    <cellStyle name="Normal 264 2 2 8" xfId="28543" xr:uid="{00000000-0005-0000-0000-000090700000}"/>
    <cellStyle name="Normal 264 2 3" xfId="28544" xr:uid="{00000000-0005-0000-0000-000091700000}"/>
    <cellStyle name="Normal 264 2 3 2" xfId="28545" xr:uid="{00000000-0005-0000-0000-000092700000}"/>
    <cellStyle name="Normal 264 2 3 2 2" xfId="28546" xr:uid="{00000000-0005-0000-0000-000093700000}"/>
    <cellStyle name="Normal 264 2 3 2 3" xfId="28547" xr:uid="{00000000-0005-0000-0000-000094700000}"/>
    <cellStyle name="Normal 264 2 3 3" xfId="28548" xr:uid="{00000000-0005-0000-0000-000095700000}"/>
    <cellStyle name="Normal 264 2 3 3 2" xfId="28549" xr:uid="{00000000-0005-0000-0000-000096700000}"/>
    <cellStyle name="Normal 264 2 3 3 3" xfId="28550" xr:uid="{00000000-0005-0000-0000-000097700000}"/>
    <cellStyle name="Normal 264 2 3 4" xfId="28551" xr:uid="{00000000-0005-0000-0000-000098700000}"/>
    <cellStyle name="Normal 264 2 3 5" xfId="28552" xr:uid="{00000000-0005-0000-0000-000099700000}"/>
    <cellStyle name="Normal 264 2 3 6" xfId="28553" xr:uid="{00000000-0005-0000-0000-00009A700000}"/>
    <cellStyle name="Normal 264 2 4" xfId="28554" xr:uid="{00000000-0005-0000-0000-00009B700000}"/>
    <cellStyle name="Normal 264 2 4 2" xfId="28555" xr:uid="{00000000-0005-0000-0000-00009C700000}"/>
    <cellStyle name="Normal 264 2 4 3" xfId="28556" xr:uid="{00000000-0005-0000-0000-00009D700000}"/>
    <cellStyle name="Normal 264 2 5" xfId="28557" xr:uid="{00000000-0005-0000-0000-00009E700000}"/>
    <cellStyle name="Normal 264 2 5 2" xfId="28558" xr:uid="{00000000-0005-0000-0000-00009F700000}"/>
    <cellStyle name="Normal 264 2 5 3" xfId="28559" xr:uid="{00000000-0005-0000-0000-0000A0700000}"/>
    <cellStyle name="Normal 264 2 6" xfId="28560" xr:uid="{00000000-0005-0000-0000-0000A1700000}"/>
    <cellStyle name="Normal 264 2 7" xfId="28561" xr:uid="{00000000-0005-0000-0000-0000A2700000}"/>
    <cellStyle name="Normal 264 2 8" xfId="28562" xr:uid="{00000000-0005-0000-0000-0000A3700000}"/>
    <cellStyle name="Normal 264 2 9" xfId="28563" xr:uid="{00000000-0005-0000-0000-0000A4700000}"/>
    <cellStyle name="Normal 264 3" xfId="28564" xr:uid="{00000000-0005-0000-0000-0000A5700000}"/>
    <cellStyle name="Normal 264 3 2" xfId="28565" xr:uid="{00000000-0005-0000-0000-0000A6700000}"/>
    <cellStyle name="Normal 264 3 2 2" xfId="28566" xr:uid="{00000000-0005-0000-0000-0000A7700000}"/>
    <cellStyle name="Normal 264 3 2 2 2" xfId="28567" xr:uid="{00000000-0005-0000-0000-0000A8700000}"/>
    <cellStyle name="Normal 264 3 2 2 3" xfId="28568" xr:uid="{00000000-0005-0000-0000-0000A9700000}"/>
    <cellStyle name="Normal 264 3 2 3" xfId="28569" xr:uid="{00000000-0005-0000-0000-0000AA700000}"/>
    <cellStyle name="Normal 264 3 2 3 2" xfId="28570" xr:uid="{00000000-0005-0000-0000-0000AB700000}"/>
    <cellStyle name="Normal 264 3 2 3 3" xfId="28571" xr:uid="{00000000-0005-0000-0000-0000AC700000}"/>
    <cellStyle name="Normal 264 3 2 4" xfId="28572" xr:uid="{00000000-0005-0000-0000-0000AD700000}"/>
    <cellStyle name="Normal 264 3 2 5" xfId="28573" xr:uid="{00000000-0005-0000-0000-0000AE700000}"/>
    <cellStyle name="Normal 264 3 2 6" xfId="28574" xr:uid="{00000000-0005-0000-0000-0000AF700000}"/>
    <cellStyle name="Normal 264 3 3" xfId="28575" xr:uid="{00000000-0005-0000-0000-0000B0700000}"/>
    <cellStyle name="Normal 264 3 3 2" xfId="28576" xr:uid="{00000000-0005-0000-0000-0000B1700000}"/>
    <cellStyle name="Normal 264 3 3 3" xfId="28577" xr:uid="{00000000-0005-0000-0000-0000B2700000}"/>
    <cellStyle name="Normal 264 3 4" xfId="28578" xr:uid="{00000000-0005-0000-0000-0000B3700000}"/>
    <cellStyle name="Normal 264 3 4 2" xfId="28579" xr:uid="{00000000-0005-0000-0000-0000B4700000}"/>
    <cellStyle name="Normal 264 3 4 3" xfId="28580" xr:uid="{00000000-0005-0000-0000-0000B5700000}"/>
    <cellStyle name="Normal 264 3 5" xfId="28581" xr:uid="{00000000-0005-0000-0000-0000B6700000}"/>
    <cellStyle name="Normal 264 3 6" xfId="28582" xr:uid="{00000000-0005-0000-0000-0000B7700000}"/>
    <cellStyle name="Normal 264 3 7" xfId="28583" xr:uid="{00000000-0005-0000-0000-0000B8700000}"/>
    <cellStyle name="Normal 264 3 8" xfId="28584" xr:uid="{00000000-0005-0000-0000-0000B9700000}"/>
    <cellStyle name="Normal 264 4" xfId="28585" xr:uid="{00000000-0005-0000-0000-0000BA700000}"/>
    <cellStyle name="Normal 264 4 2" xfId="28586" xr:uid="{00000000-0005-0000-0000-0000BB700000}"/>
    <cellStyle name="Normal 264 4 2 2" xfId="28587" xr:uid="{00000000-0005-0000-0000-0000BC700000}"/>
    <cellStyle name="Normal 264 4 2 3" xfId="28588" xr:uid="{00000000-0005-0000-0000-0000BD700000}"/>
    <cellStyle name="Normal 264 4 3" xfId="28589" xr:uid="{00000000-0005-0000-0000-0000BE700000}"/>
    <cellStyle name="Normal 264 4 3 2" xfId="28590" xr:uid="{00000000-0005-0000-0000-0000BF700000}"/>
    <cellStyle name="Normal 264 4 3 3" xfId="28591" xr:uid="{00000000-0005-0000-0000-0000C0700000}"/>
    <cellStyle name="Normal 264 4 4" xfId="28592" xr:uid="{00000000-0005-0000-0000-0000C1700000}"/>
    <cellStyle name="Normal 264 4 5" xfId="28593" xr:uid="{00000000-0005-0000-0000-0000C2700000}"/>
    <cellStyle name="Normal 264 4 6" xfId="28594" xr:uid="{00000000-0005-0000-0000-0000C3700000}"/>
    <cellStyle name="Normal 264 5" xfId="28595" xr:uid="{00000000-0005-0000-0000-0000C4700000}"/>
    <cellStyle name="Normal 264 5 2" xfId="28596" xr:uid="{00000000-0005-0000-0000-0000C5700000}"/>
    <cellStyle name="Normal 264 5 3" xfId="28597" xr:uid="{00000000-0005-0000-0000-0000C6700000}"/>
    <cellStyle name="Normal 264 6" xfId="28598" xr:uid="{00000000-0005-0000-0000-0000C7700000}"/>
    <cellStyle name="Normal 264 6 2" xfId="28599" xr:uid="{00000000-0005-0000-0000-0000C8700000}"/>
    <cellStyle name="Normal 264 6 3" xfId="28600" xr:uid="{00000000-0005-0000-0000-0000C9700000}"/>
    <cellStyle name="Normal 264 7" xfId="28601" xr:uid="{00000000-0005-0000-0000-0000CA700000}"/>
    <cellStyle name="Normal 264 8" xfId="28602" xr:uid="{00000000-0005-0000-0000-0000CB700000}"/>
    <cellStyle name="Normal 264 9" xfId="28603" xr:uid="{00000000-0005-0000-0000-0000CC700000}"/>
    <cellStyle name="Normal 265" xfId="2721" xr:uid="{00000000-0005-0000-0000-0000CD700000}"/>
    <cellStyle name="Normal 265 10" xfId="28604" xr:uid="{00000000-0005-0000-0000-0000CE700000}"/>
    <cellStyle name="Normal 265 11" xfId="28605" xr:uid="{00000000-0005-0000-0000-0000CF700000}"/>
    <cellStyle name="Normal 265 2" xfId="2722" xr:uid="{00000000-0005-0000-0000-0000D0700000}"/>
    <cellStyle name="Normal 265 2 10" xfId="28606" xr:uid="{00000000-0005-0000-0000-0000D1700000}"/>
    <cellStyle name="Normal 265 2 2" xfId="28607" xr:uid="{00000000-0005-0000-0000-0000D2700000}"/>
    <cellStyle name="Normal 265 2 2 2" xfId="28608" xr:uid="{00000000-0005-0000-0000-0000D3700000}"/>
    <cellStyle name="Normal 265 2 2 2 2" xfId="28609" xr:uid="{00000000-0005-0000-0000-0000D4700000}"/>
    <cellStyle name="Normal 265 2 2 2 2 2" xfId="28610" xr:uid="{00000000-0005-0000-0000-0000D5700000}"/>
    <cellStyle name="Normal 265 2 2 2 2 3" xfId="28611" xr:uid="{00000000-0005-0000-0000-0000D6700000}"/>
    <cellStyle name="Normal 265 2 2 2 3" xfId="28612" xr:uid="{00000000-0005-0000-0000-0000D7700000}"/>
    <cellStyle name="Normal 265 2 2 2 3 2" xfId="28613" xr:uid="{00000000-0005-0000-0000-0000D8700000}"/>
    <cellStyle name="Normal 265 2 2 2 3 3" xfId="28614" xr:uid="{00000000-0005-0000-0000-0000D9700000}"/>
    <cellStyle name="Normal 265 2 2 2 4" xfId="28615" xr:uid="{00000000-0005-0000-0000-0000DA700000}"/>
    <cellStyle name="Normal 265 2 2 2 5" xfId="28616" xr:uid="{00000000-0005-0000-0000-0000DB700000}"/>
    <cellStyle name="Normal 265 2 2 2 6" xfId="28617" xr:uid="{00000000-0005-0000-0000-0000DC700000}"/>
    <cellStyle name="Normal 265 2 2 3" xfId="28618" xr:uid="{00000000-0005-0000-0000-0000DD700000}"/>
    <cellStyle name="Normal 265 2 2 3 2" xfId="28619" xr:uid="{00000000-0005-0000-0000-0000DE700000}"/>
    <cellStyle name="Normal 265 2 2 3 3" xfId="28620" xr:uid="{00000000-0005-0000-0000-0000DF700000}"/>
    <cellStyle name="Normal 265 2 2 4" xfId="28621" xr:uid="{00000000-0005-0000-0000-0000E0700000}"/>
    <cellStyle name="Normal 265 2 2 4 2" xfId="28622" xr:uid="{00000000-0005-0000-0000-0000E1700000}"/>
    <cellStyle name="Normal 265 2 2 4 3" xfId="28623" xr:uid="{00000000-0005-0000-0000-0000E2700000}"/>
    <cellStyle name="Normal 265 2 2 5" xfId="28624" xr:uid="{00000000-0005-0000-0000-0000E3700000}"/>
    <cellStyle name="Normal 265 2 2 6" xfId="28625" xr:uid="{00000000-0005-0000-0000-0000E4700000}"/>
    <cellStyle name="Normal 265 2 2 7" xfId="28626" xr:uid="{00000000-0005-0000-0000-0000E5700000}"/>
    <cellStyle name="Normal 265 2 2 8" xfId="28627" xr:uid="{00000000-0005-0000-0000-0000E6700000}"/>
    <cellStyle name="Normal 265 2 3" xfId="28628" xr:uid="{00000000-0005-0000-0000-0000E7700000}"/>
    <cellStyle name="Normal 265 2 3 2" xfId="28629" xr:uid="{00000000-0005-0000-0000-0000E8700000}"/>
    <cellStyle name="Normal 265 2 3 2 2" xfId="28630" xr:uid="{00000000-0005-0000-0000-0000E9700000}"/>
    <cellStyle name="Normal 265 2 3 2 3" xfId="28631" xr:uid="{00000000-0005-0000-0000-0000EA700000}"/>
    <cellStyle name="Normal 265 2 3 3" xfId="28632" xr:uid="{00000000-0005-0000-0000-0000EB700000}"/>
    <cellStyle name="Normal 265 2 3 3 2" xfId="28633" xr:uid="{00000000-0005-0000-0000-0000EC700000}"/>
    <cellStyle name="Normal 265 2 3 3 3" xfId="28634" xr:uid="{00000000-0005-0000-0000-0000ED700000}"/>
    <cellStyle name="Normal 265 2 3 4" xfId="28635" xr:uid="{00000000-0005-0000-0000-0000EE700000}"/>
    <cellStyle name="Normal 265 2 3 5" xfId="28636" xr:uid="{00000000-0005-0000-0000-0000EF700000}"/>
    <cellStyle name="Normal 265 2 3 6" xfId="28637" xr:uid="{00000000-0005-0000-0000-0000F0700000}"/>
    <cellStyle name="Normal 265 2 4" xfId="28638" xr:uid="{00000000-0005-0000-0000-0000F1700000}"/>
    <cellStyle name="Normal 265 2 4 2" xfId="28639" xr:uid="{00000000-0005-0000-0000-0000F2700000}"/>
    <cellStyle name="Normal 265 2 4 3" xfId="28640" xr:uid="{00000000-0005-0000-0000-0000F3700000}"/>
    <cellStyle name="Normal 265 2 5" xfId="28641" xr:uid="{00000000-0005-0000-0000-0000F4700000}"/>
    <cellStyle name="Normal 265 2 5 2" xfId="28642" xr:uid="{00000000-0005-0000-0000-0000F5700000}"/>
    <cellStyle name="Normal 265 2 5 3" xfId="28643" xr:uid="{00000000-0005-0000-0000-0000F6700000}"/>
    <cellStyle name="Normal 265 2 6" xfId="28644" xr:uid="{00000000-0005-0000-0000-0000F7700000}"/>
    <cellStyle name="Normal 265 2 7" xfId="28645" xr:uid="{00000000-0005-0000-0000-0000F8700000}"/>
    <cellStyle name="Normal 265 2 8" xfId="28646" xr:uid="{00000000-0005-0000-0000-0000F9700000}"/>
    <cellStyle name="Normal 265 2 9" xfId="28647" xr:uid="{00000000-0005-0000-0000-0000FA700000}"/>
    <cellStyle name="Normal 265 3" xfId="28648" xr:uid="{00000000-0005-0000-0000-0000FB700000}"/>
    <cellStyle name="Normal 265 3 2" xfId="28649" xr:uid="{00000000-0005-0000-0000-0000FC700000}"/>
    <cellStyle name="Normal 265 3 2 2" xfId="28650" xr:uid="{00000000-0005-0000-0000-0000FD700000}"/>
    <cellStyle name="Normal 265 3 2 2 2" xfId="28651" xr:uid="{00000000-0005-0000-0000-0000FE700000}"/>
    <cellStyle name="Normal 265 3 2 2 3" xfId="28652" xr:uid="{00000000-0005-0000-0000-0000FF700000}"/>
    <cellStyle name="Normal 265 3 2 3" xfId="28653" xr:uid="{00000000-0005-0000-0000-000000710000}"/>
    <cellStyle name="Normal 265 3 2 3 2" xfId="28654" xr:uid="{00000000-0005-0000-0000-000001710000}"/>
    <cellStyle name="Normal 265 3 2 3 3" xfId="28655" xr:uid="{00000000-0005-0000-0000-000002710000}"/>
    <cellStyle name="Normal 265 3 2 4" xfId="28656" xr:uid="{00000000-0005-0000-0000-000003710000}"/>
    <cellStyle name="Normal 265 3 2 5" xfId="28657" xr:uid="{00000000-0005-0000-0000-000004710000}"/>
    <cellStyle name="Normal 265 3 2 6" xfId="28658" xr:uid="{00000000-0005-0000-0000-000005710000}"/>
    <cellStyle name="Normal 265 3 3" xfId="28659" xr:uid="{00000000-0005-0000-0000-000006710000}"/>
    <cellStyle name="Normal 265 3 3 2" xfId="28660" xr:uid="{00000000-0005-0000-0000-000007710000}"/>
    <cellStyle name="Normal 265 3 3 3" xfId="28661" xr:uid="{00000000-0005-0000-0000-000008710000}"/>
    <cellStyle name="Normal 265 3 4" xfId="28662" xr:uid="{00000000-0005-0000-0000-000009710000}"/>
    <cellStyle name="Normal 265 3 4 2" xfId="28663" xr:uid="{00000000-0005-0000-0000-00000A710000}"/>
    <cellStyle name="Normal 265 3 4 3" xfId="28664" xr:uid="{00000000-0005-0000-0000-00000B710000}"/>
    <cellStyle name="Normal 265 3 5" xfId="28665" xr:uid="{00000000-0005-0000-0000-00000C710000}"/>
    <cellStyle name="Normal 265 3 6" xfId="28666" xr:uid="{00000000-0005-0000-0000-00000D710000}"/>
    <cellStyle name="Normal 265 3 7" xfId="28667" xr:uid="{00000000-0005-0000-0000-00000E710000}"/>
    <cellStyle name="Normal 265 3 8" xfId="28668" xr:uid="{00000000-0005-0000-0000-00000F710000}"/>
    <cellStyle name="Normal 265 4" xfId="28669" xr:uid="{00000000-0005-0000-0000-000010710000}"/>
    <cellStyle name="Normal 265 4 2" xfId="28670" xr:uid="{00000000-0005-0000-0000-000011710000}"/>
    <cellStyle name="Normal 265 4 2 2" xfId="28671" xr:uid="{00000000-0005-0000-0000-000012710000}"/>
    <cellStyle name="Normal 265 4 2 3" xfId="28672" xr:uid="{00000000-0005-0000-0000-000013710000}"/>
    <cellStyle name="Normal 265 4 3" xfId="28673" xr:uid="{00000000-0005-0000-0000-000014710000}"/>
    <cellStyle name="Normal 265 4 3 2" xfId="28674" xr:uid="{00000000-0005-0000-0000-000015710000}"/>
    <cellStyle name="Normal 265 4 3 3" xfId="28675" xr:uid="{00000000-0005-0000-0000-000016710000}"/>
    <cellStyle name="Normal 265 4 4" xfId="28676" xr:uid="{00000000-0005-0000-0000-000017710000}"/>
    <cellStyle name="Normal 265 4 5" xfId="28677" xr:uid="{00000000-0005-0000-0000-000018710000}"/>
    <cellStyle name="Normal 265 4 6" xfId="28678" xr:uid="{00000000-0005-0000-0000-000019710000}"/>
    <cellStyle name="Normal 265 5" xfId="28679" xr:uid="{00000000-0005-0000-0000-00001A710000}"/>
    <cellStyle name="Normal 265 5 2" xfId="28680" xr:uid="{00000000-0005-0000-0000-00001B710000}"/>
    <cellStyle name="Normal 265 5 3" xfId="28681" xr:uid="{00000000-0005-0000-0000-00001C710000}"/>
    <cellStyle name="Normal 265 6" xfId="28682" xr:uid="{00000000-0005-0000-0000-00001D710000}"/>
    <cellStyle name="Normal 265 6 2" xfId="28683" xr:uid="{00000000-0005-0000-0000-00001E710000}"/>
    <cellStyle name="Normal 265 6 3" xfId="28684" xr:uid="{00000000-0005-0000-0000-00001F710000}"/>
    <cellStyle name="Normal 265 7" xfId="28685" xr:uid="{00000000-0005-0000-0000-000020710000}"/>
    <cellStyle name="Normal 265 8" xfId="28686" xr:uid="{00000000-0005-0000-0000-000021710000}"/>
    <cellStyle name="Normal 265 9" xfId="28687" xr:uid="{00000000-0005-0000-0000-000022710000}"/>
    <cellStyle name="Normal 266" xfId="2723" xr:uid="{00000000-0005-0000-0000-000023710000}"/>
    <cellStyle name="Normal 266 10" xfId="28688" xr:uid="{00000000-0005-0000-0000-000024710000}"/>
    <cellStyle name="Normal 266 11" xfId="28689" xr:uid="{00000000-0005-0000-0000-000025710000}"/>
    <cellStyle name="Normal 266 2" xfId="2724" xr:uid="{00000000-0005-0000-0000-000026710000}"/>
    <cellStyle name="Normal 266 2 10" xfId="28690" xr:uid="{00000000-0005-0000-0000-000027710000}"/>
    <cellStyle name="Normal 266 2 2" xfId="28691" xr:uid="{00000000-0005-0000-0000-000028710000}"/>
    <cellStyle name="Normal 266 2 2 2" xfId="28692" xr:uid="{00000000-0005-0000-0000-000029710000}"/>
    <cellStyle name="Normal 266 2 2 2 2" xfId="28693" xr:uid="{00000000-0005-0000-0000-00002A710000}"/>
    <cellStyle name="Normal 266 2 2 2 2 2" xfId="28694" xr:uid="{00000000-0005-0000-0000-00002B710000}"/>
    <cellStyle name="Normal 266 2 2 2 2 3" xfId="28695" xr:uid="{00000000-0005-0000-0000-00002C710000}"/>
    <cellStyle name="Normal 266 2 2 2 3" xfId="28696" xr:uid="{00000000-0005-0000-0000-00002D710000}"/>
    <cellStyle name="Normal 266 2 2 2 3 2" xfId="28697" xr:uid="{00000000-0005-0000-0000-00002E710000}"/>
    <cellStyle name="Normal 266 2 2 2 3 3" xfId="28698" xr:uid="{00000000-0005-0000-0000-00002F710000}"/>
    <cellStyle name="Normal 266 2 2 2 4" xfId="28699" xr:uid="{00000000-0005-0000-0000-000030710000}"/>
    <cellStyle name="Normal 266 2 2 2 5" xfId="28700" xr:uid="{00000000-0005-0000-0000-000031710000}"/>
    <cellStyle name="Normal 266 2 2 2 6" xfId="28701" xr:uid="{00000000-0005-0000-0000-000032710000}"/>
    <cellStyle name="Normal 266 2 2 3" xfId="28702" xr:uid="{00000000-0005-0000-0000-000033710000}"/>
    <cellStyle name="Normal 266 2 2 3 2" xfId="28703" xr:uid="{00000000-0005-0000-0000-000034710000}"/>
    <cellStyle name="Normal 266 2 2 3 3" xfId="28704" xr:uid="{00000000-0005-0000-0000-000035710000}"/>
    <cellStyle name="Normal 266 2 2 4" xfId="28705" xr:uid="{00000000-0005-0000-0000-000036710000}"/>
    <cellStyle name="Normal 266 2 2 4 2" xfId="28706" xr:uid="{00000000-0005-0000-0000-000037710000}"/>
    <cellStyle name="Normal 266 2 2 4 3" xfId="28707" xr:uid="{00000000-0005-0000-0000-000038710000}"/>
    <cellStyle name="Normal 266 2 2 5" xfId="28708" xr:uid="{00000000-0005-0000-0000-000039710000}"/>
    <cellStyle name="Normal 266 2 2 6" xfId="28709" xr:uid="{00000000-0005-0000-0000-00003A710000}"/>
    <cellStyle name="Normal 266 2 2 7" xfId="28710" xr:uid="{00000000-0005-0000-0000-00003B710000}"/>
    <cellStyle name="Normal 266 2 2 8" xfId="28711" xr:uid="{00000000-0005-0000-0000-00003C710000}"/>
    <cellStyle name="Normal 266 2 3" xfId="28712" xr:uid="{00000000-0005-0000-0000-00003D710000}"/>
    <cellStyle name="Normal 266 2 3 2" xfId="28713" xr:uid="{00000000-0005-0000-0000-00003E710000}"/>
    <cellStyle name="Normal 266 2 3 2 2" xfId="28714" xr:uid="{00000000-0005-0000-0000-00003F710000}"/>
    <cellStyle name="Normal 266 2 3 2 3" xfId="28715" xr:uid="{00000000-0005-0000-0000-000040710000}"/>
    <cellStyle name="Normal 266 2 3 3" xfId="28716" xr:uid="{00000000-0005-0000-0000-000041710000}"/>
    <cellStyle name="Normal 266 2 3 3 2" xfId="28717" xr:uid="{00000000-0005-0000-0000-000042710000}"/>
    <cellStyle name="Normal 266 2 3 3 3" xfId="28718" xr:uid="{00000000-0005-0000-0000-000043710000}"/>
    <cellStyle name="Normal 266 2 3 4" xfId="28719" xr:uid="{00000000-0005-0000-0000-000044710000}"/>
    <cellStyle name="Normal 266 2 3 5" xfId="28720" xr:uid="{00000000-0005-0000-0000-000045710000}"/>
    <cellStyle name="Normal 266 2 3 6" xfId="28721" xr:uid="{00000000-0005-0000-0000-000046710000}"/>
    <cellStyle name="Normal 266 2 4" xfId="28722" xr:uid="{00000000-0005-0000-0000-000047710000}"/>
    <cellStyle name="Normal 266 2 4 2" xfId="28723" xr:uid="{00000000-0005-0000-0000-000048710000}"/>
    <cellStyle name="Normal 266 2 4 3" xfId="28724" xr:uid="{00000000-0005-0000-0000-000049710000}"/>
    <cellStyle name="Normal 266 2 5" xfId="28725" xr:uid="{00000000-0005-0000-0000-00004A710000}"/>
    <cellStyle name="Normal 266 2 5 2" xfId="28726" xr:uid="{00000000-0005-0000-0000-00004B710000}"/>
    <cellStyle name="Normal 266 2 5 3" xfId="28727" xr:uid="{00000000-0005-0000-0000-00004C710000}"/>
    <cellStyle name="Normal 266 2 6" xfId="28728" xr:uid="{00000000-0005-0000-0000-00004D710000}"/>
    <cellStyle name="Normal 266 2 7" xfId="28729" xr:uid="{00000000-0005-0000-0000-00004E710000}"/>
    <cellStyle name="Normal 266 2 8" xfId="28730" xr:uid="{00000000-0005-0000-0000-00004F710000}"/>
    <cellStyle name="Normal 266 2 9" xfId="28731" xr:uid="{00000000-0005-0000-0000-000050710000}"/>
    <cellStyle name="Normal 266 3" xfId="28732" xr:uid="{00000000-0005-0000-0000-000051710000}"/>
    <cellStyle name="Normal 266 3 2" xfId="28733" xr:uid="{00000000-0005-0000-0000-000052710000}"/>
    <cellStyle name="Normal 266 3 2 2" xfId="28734" xr:uid="{00000000-0005-0000-0000-000053710000}"/>
    <cellStyle name="Normal 266 3 2 2 2" xfId="28735" xr:uid="{00000000-0005-0000-0000-000054710000}"/>
    <cellStyle name="Normal 266 3 2 2 3" xfId="28736" xr:uid="{00000000-0005-0000-0000-000055710000}"/>
    <cellStyle name="Normal 266 3 2 3" xfId="28737" xr:uid="{00000000-0005-0000-0000-000056710000}"/>
    <cellStyle name="Normal 266 3 2 3 2" xfId="28738" xr:uid="{00000000-0005-0000-0000-000057710000}"/>
    <cellStyle name="Normal 266 3 2 3 3" xfId="28739" xr:uid="{00000000-0005-0000-0000-000058710000}"/>
    <cellStyle name="Normal 266 3 2 4" xfId="28740" xr:uid="{00000000-0005-0000-0000-000059710000}"/>
    <cellStyle name="Normal 266 3 2 5" xfId="28741" xr:uid="{00000000-0005-0000-0000-00005A710000}"/>
    <cellStyle name="Normal 266 3 2 6" xfId="28742" xr:uid="{00000000-0005-0000-0000-00005B710000}"/>
    <cellStyle name="Normal 266 3 3" xfId="28743" xr:uid="{00000000-0005-0000-0000-00005C710000}"/>
    <cellStyle name="Normal 266 3 3 2" xfId="28744" xr:uid="{00000000-0005-0000-0000-00005D710000}"/>
    <cellStyle name="Normal 266 3 3 3" xfId="28745" xr:uid="{00000000-0005-0000-0000-00005E710000}"/>
    <cellStyle name="Normal 266 3 4" xfId="28746" xr:uid="{00000000-0005-0000-0000-00005F710000}"/>
    <cellStyle name="Normal 266 3 4 2" xfId="28747" xr:uid="{00000000-0005-0000-0000-000060710000}"/>
    <cellStyle name="Normal 266 3 4 3" xfId="28748" xr:uid="{00000000-0005-0000-0000-000061710000}"/>
    <cellStyle name="Normal 266 3 5" xfId="28749" xr:uid="{00000000-0005-0000-0000-000062710000}"/>
    <cellStyle name="Normal 266 3 6" xfId="28750" xr:uid="{00000000-0005-0000-0000-000063710000}"/>
    <cellStyle name="Normal 266 3 7" xfId="28751" xr:uid="{00000000-0005-0000-0000-000064710000}"/>
    <cellStyle name="Normal 266 3 8" xfId="28752" xr:uid="{00000000-0005-0000-0000-000065710000}"/>
    <cellStyle name="Normal 266 4" xfId="28753" xr:uid="{00000000-0005-0000-0000-000066710000}"/>
    <cellStyle name="Normal 266 4 2" xfId="28754" xr:uid="{00000000-0005-0000-0000-000067710000}"/>
    <cellStyle name="Normal 266 4 2 2" xfId="28755" xr:uid="{00000000-0005-0000-0000-000068710000}"/>
    <cellStyle name="Normal 266 4 2 3" xfId="28756" xr:uid="{00000000-0005-0000-0000-000069710000}"/>
    <cellStyle name="Normal 266 4 3" xfId="28757" xr:uid="{00000000-0005-0000-0000-00006A710000}"/>
    <cellStyle name="Normal 266 4 3 2" xfId="28758" xr:uid="{00000000-0005-0000-0000-00006B710000}"/>
    <cellStyle name="Normal 266 4 3 3" xfId="28759" xr:uid="{00000000-0005-0000-0000-00006C710000}"/>
    <cellStyle name="Normal 266 4 4" xfId="28760" xr:uid="{00000000-0005-0000-0000-00006D710000}"/>
    <cellStyle name="Normal 266 4 5" xfId="28761" xr:uid="{00000000-0005-0000-0000-00006E710000}"/>
    <cellStyle name="Normal 266 4 6" xfId="28762" xr:uid="{00000000-0005-0000-0000-00006F710000}"/>
    <cellStyle name="Normal 266 5" xfId="28763" xr:uid="{00000000-0005-0000-0000-000070710000}"/>
    <cellStyle name="Normal 266 5 2" xfId="28764" xr:uid="{00000000-0005-0000-0000-000071710000}"/>
    <cellStyle name="Normal 266 5 3" xfId="28765" xr:uid="{00000000-0005-0000-0000-000072710000}"/>
    <cellStyle name="Normal 266 6" xfId="28766" xr:uid="{00000000-0005-0000-0000-000073710000}"/>
    <cellStyle name="Normal 266 6 2" xfId="28767" xr:uid="{00000000-0005-0000-0000-000074710000}"/>
    <cellStyle name="Normal 266 6 3" xfId="28768" xr:uid="{00000000-0005-0000-0000-000075710000}"/>
    <cellStyle name="Normal 266 7" xfId="28769" xr:uid="{00000000-0005-0000-0000-000076710000}"/>
    <cellStyle name="Normal 266 8" xfId="28770" xr:uid="{00000000-0005-0000-0000-000077710000}"/>
    <cellStyle name="Normal 266 9" xfId="28771" xr:uid="{00000000-0005-0000-0000-000078710000}"/>
    <cellStyle name="Normal 267" xfId="2725" xr:uid="{00000000-0005-0000-0000-000079710000}"/>
    <cellStyle name="Normal 267 10" xfId="28772" xr:uid="{00000000-0005-0000-0000-00007A710000}"/>
    <cellStyle name="Normal 267 11" xfId="28773" xr:uid="{00000000-0005-0000-0000-00007B710000}"/>
    <cellStyle name="Normal 267 2" xfId="28774" xr:uid="{00000000-0005-0000-0000-00007C710000}"/>
    <cellStyle name="Normal 267 2 2" xfId="28775" xr:uid="{00000000-0005-0000-0000-00007D710000}"/>
    <cellStyle name="Normal 267 2 2 2" xfId="28776" xr:uid="{00000000-0005-0000-0000-00007E710000}"/>
    <cellStyle name="Normal 267 2 2 2 2" xfId="28777" xr:uid="{00000000-0005-0000-0000-00007F710000}"/>
    <cellStyle name="Normal 267 2 2 2 2 2" xfId="28778" xr:uid="{00000000-0005-0000-0000-000080710000}"/>
    <cellStyle name="Normal 267 2 2 2 2 3" xfId="28779" xr:uid="{00000000-0005-0000-0000-000081710000}"/>
    <cellStyle name="Normal 267 2 2 2 3" xfId="28780" xr:uid="{00000000-0005-0000-0000-000082710000}"/>
    <cellStyle name="Normal 267 2 2 2 3 2" xfId="28781" xr:uid="{00000000-0005-0000-0000-000083710000}"/>
    <cellStyle name="Normal 267 2 2 2 3 3" xfId="28782" xr:uid="{00000000-0005-0000-0000-000084710000}"/>
    <cellStyle name="Normal 267 2 2 2 4" xfId="28783" xr:uid="{00000000-0005-0000-0000-000085710000}"/>
    <cellStyle name="Normal 267 2 2 2 5" xfId="28784" xr:uid="{00000000-0005-0000-0000-000086710000}"/>
    <cellStyle name="Normal 267 2 2 2 6" xfId="28785" xr:uid="{00000000-0005-0000-0000-000087710000}"/>
    <cellStyle name="Normal 267 2 2 3" xfId="28786" xr:uid="{00000000-0005-0000-0000-000088710000}"/>
    <cellStyle name="Normal 267 2 2 3 2" xfId="28787" xr:uid="{00000000-0005-0000-0000-000089710000}"/>
    <cellStyle name="Normal 267 2 2 3 3" xfId="28788" xr:uid="{00000000-0005-0000-0000-00008A710000}"/>
    <cellStyle name="Normal 267 2 2 4" xfId="28789" xr:uid="{00000000-0005-0000-0000-00008B710000}"/>
    <cellStyle name="Normal 267 2 2 4 2" xfId="28790" xr:uid="{00000000-0005-0000-0000-00008C710000}"/>
    <cellStyle name="Normal 267 2 2 4 3" xfId="28791" xr:uid="{00000000-0005-0000-0000-00008D710000}"/>
    <cellStyle name="Normal 267 2 2 5" xfId="28792" xr:uid="{00000000-0005-0000-0000-00008E710000}"/>
    <cellStyle name="Normal 267 2 2 6" xfId="28793" xr:uid="{00000000-0005-0000-0000-00008F710000}"/>
    <cellStyle name="Normal 267 2 2 7" xfId="28794" xr:uid="{00000000-0005-0000-0000-000090710000}"/>
    <cellStyle name="Normal 267 2 2 8" xfId="28795" xr:uid="{00000000-0005-0000-0000-000091710000}"/>
    <cellStyle name="Normal 267 2 3" xfId="28796" xr:uid="{00000000-0005-0000-0000-000092710000}"/>
    <cellStyle name="Normal 267 2 3 2" xfId="28797" xr:uid="{00000000-0005-0000-0000-000093710000}"/>
    <cellStyle name="Normal 267 2 3 2 2" xfId="28798" xr:uid="{00000000-0005-0000-0000-000094710000}"/>
    <cellStyle name="Normal 267 2 3 2 3" xfId="28799" xr:uid="{00000000-0005-0000-0000-000095710000}"/>
    <cellStyle name="Normal 267 2 3 3" xfId="28800" xr:uid="{00000000-0005-0000-0000-000096710000}"/>
    <cellStyle name="Normal 267 2 3 3 2" xfId="28801" xr:uid="{00000000-0005-0000-0000-000097710000}"/>
    <cellStyle name="Normal 267 2 3 3 3" xfId="28802" xr:uid="{00000000-0005-0000-0000-000098710000}"/>
    <cellStyle name="Normal 267 2 3 4" xfId="28803" xr:uid="{00000000-0005-0000-0000-000099710000}"/>
    <cellStyle name="Normal 267 2 3 5" xfId="28804" xr:uid="{00000000-0005-0000-0000-00009A710000}"/>
    <cellStyle name="Normal 267 2 3 6" xfId="28805" xr:uid="{00000000-0005-0000-0000-00009B710000}"/>
    <cellStyle name="Normal 267 2 4" xfId="28806" xr:uid="{00000000-0005-0000-0000-00009C710000}"/>
    <cellStyle name="Normal 267 2 4 2" xfId="28807" xr:uid="{00000000-0005-0000-0000-00009D710000}"/>
    <cellStyle name="Normal 267 2 4 3" xfId="28808" xr:uid="{00000000-0005-0000-0000-00009E710000}"/>
    <cellStyle name="Normal 267 2 5" xfId="28809" xr:uid="{00000000-0005-0000-0000-00009F710000}"/>
    <cellStyle name="Normal 267 2 5 2" xfId="28810" xr:uid="{00000000-0005-0000-0000-0000A0710000}"/>
    <cellStyle name="Normal 267 2 5 3" xfId="28811" xr:uid="{00000000-0005-0000-0000-0000A1710000}"/>
    <cellStyle name="Normal 267 2 6" xfId="28812" xr:uid="{00000000-0005-0000-0000-0000A2710000}"/>
    <cellStyle name="Normal 267 2 7" xfId="28813" xr:uid="{00000000-0005-0000-0000-0000A3710000}"/>
    <cellStyle name="Normal 267 2 8" xfId="28814" xr:uid="{00000000-0005-0000-0000-0000A4710000}"/>
    <cellStyle name="Normal 267 2 9" xfId="28815" xr:uid="{00000000-0005-0000-0000-0000A5710000}"/>
    <cellStyle name="Normal 267 3" xfId="28816" xr:uid="{00000000-0005-0000-0000-0000A6710000}"/>
    <cellStyle name="Normal 267 3 2" xfId="28817" xr:uid="{00000000-0005-0000-0000-0000A7710000}"/>
    <cellStyle name="Normal 267 3 2 2" xfId="28818" xr:uid="{00000000-0005-0000-0000-0000A8710000}"/>
    <cellStyle name="Normal 267 3 2 2 2" xfId="28819" xr:uid="{00000000-0005-0000-0000-0000A9710000}"/>
    <cellStyle name="Normal 267 3 2 2 3" xfId="28820" xr:uid="{00000000-0005-0000-0000-0000AA710000}"/>
    <cellStyle name="Normal 267 3 2 3" xfId="28821" xr:uid="{00000000-0005-0000-0000-0000AB710000}"/>
    <cellStyle name="Normal 267 3 2 3 2" xfId="28822" xr:uid="{00000000-0005-0000-0000-0000AC710000}"/>
    <cellStyle name="Normal 267 3 2 3 3" xfId="28823" xr:uid="{00000000-0005-0000-0000-0000AD710000}"/>
    <cellStyle name="Normal 267 3 2 4" xfId="28824" xr:uid="{00000000-0005-0000-0000-0000AE710000}"/>
    <cellStyle name="Normal 267 3 2 5" xfId="28825" xr:uid="{00000000-0005-0000-0000-0000AF710000}"/>
    <cellStyle name="Normal 267 3 2 6" xfId="28826" xr:uid="{00000000-0005-0000-0000-0000B0710000}"/>
    <cellStyle name="Normal 267 3 3" xfId="28827" xr:uid="{00000000-0005-0000-0000-0000B1710000}"/>
    <cellStyle name="Normal 267 3 3 2" xfId="28828" xr:uid="{00000000-0005-0000-0000-0000B2710000}"/>
    <cellStyle name="Normal 267 3 3 3" xfId="28829" xr:uid="{00000000-0005-0000-0000-0000B3710000}"/>
    <cellStyle name="Normal 267 3 4" xfId="28830" xr:uid="{00000000-0005-0000-0000-0000B4710000}"/>
    <cellStyle name="Normal 267 3 4 2" xfId="28831" xr:uid="{00000000-0005-0000-0000-0000B5710000}"/>
    <cellStyle name="Normal 267 3 4 3" xfId="28832" xr:uid="{00000000-0005-0000-0000-0000B6710000}"/>
    <cellStyle name="Normal 267 3 5" xfId="28833" xr:uid="{00000000-0005-0000-0000-0000B7710000}"/>
    <cellStyle name="Normal 267 3 6" xfId="28834" xr:uid="{00000000-0005-0000-0000-0000B8710000}"/>
    <cellStyle name="Normal 267 3 7" xfId="28835" xr:uid="{00000000-0005-0000-0000-0000B9710000}"/>
    <cellStyle name="Normal 267 3 8" xfId="28836" xr:uid="{00000000-0005-0000-0000-0000BA710000}"/>
    <cellStyle name="Normal 267 4" xfId="28837" xr:uid="{00000000-0005-0000-0000-0000BB710000}"/>
    <cellStyle name="Normal 267 4 2" xfId="28838" xr:uid="{00000000-0005-0000-0000-0000BC710000}"/>
    <cellStyle name="Normal 267 4 2 2" xfId="28839" xr:uid="{00000000-0005-0000-0000-0000BD710000}"/>
    <cellStyle name="Normal 267 4 2 3" xfId="28840" xr:uid="{00000000-0005-0000-0000-0000BE710000}"/>
    <cellStyle name="Normal 267 4 3" xfId="28841" xr:uid="{00000000-0005-0000-0000-0000BF710000}"/>
    <cellStyle name="Normal 267 4 3 2" xfId="28842" xr:uid="{00000000-0005-0000-0000-0000C0710000}"/>
    <cellStyle name="Normal 267 4 3 3" xfId="28843" xr:uid="{00000000-0005-0000-0000-0000C1710000}"/>
    <cellStyle name="Normal 267 4 4" xfId="28844" xr:uid="{00000000-0005-0000-0000-0000C2710000}"/>
    <cellStyle name="Normal 267 4 5" xfId="28845" xr:uid="{00000000-0005-0000-0000-0000C3710000}"/>
    <cellStyle name="Normal 267 4 6" xfId="28846" xr:uid="{00000000-0005-0000-0000-0000C4710000}"/>
    <cellStyle name="Normal 267 5" xfId="28847" xr:uid="{00000000-0005-0000-0000-0000C5710000}"/>
    <cellStyle name="Normal 267 5 2" xfId="28848" xr:uid="{00000000-0005-0000-0000-0000C6710000}"/>
    <cellStyle name="Normal 267 5 3" xfId="28849" xr:uid="{00000000-0005-0000-0000-0000C7710000}"/>
    <cellStyle name="Normal 267 6" xfId="28850" xr:uid="{00000000-0005-0000-0000-0000C8710000}"/>
    <cellStyle name="Normal 267 6 2" xfId="28851" xr:uid="{00000000-0005-0000-0000-0000C9710000}"/>
    <cellStyle name="Normal 267 6 3" xfId="28852" xr:uid="{00000000-0005-0000-0000-0000CA710000}"/>
    <cellStyle name="Normal 267 7" xfId="28853" xr:uid="{00000000-0005-0000-0000-0000CB710000}"/>
    <cellStyle name="Normal 267 8" xfId="28854" xr:uid="{00000000-0005-0000-0000-0000CC710000}"/>
    <cellStyle name="Normal 267 9" xfId="28855" xr:uid="{00000000-0005-0000-0000-0000CD710000}"/>
    <cellStyle name="Normal 268" xfId="2726" xr:uid="{00000000-0005-0000-0000-0000CE710000}"/>
    <cellStyle name="Normal 268 10" xfId="28856" xr:uid="{00000000-0005-0000-0000-0000CF710000}"/>
    <cellStyle name="Normal 268 11" xfId="28857" xr:uid="{00000000-0005-0000-0000-0000D0710000}"/>
    <cellStyle name="Normal 268 2" xfId="2727" xr:uid="{00000000-0005-0000-0000-0000D1710000}"/>
    <cellStyle name="Normal 268 2 10" xfId="28858" xr:uid="{00000000-0005-0000-0000-0000D2710000}"/>
    <cellStyle name="Normal 268 2 2" xfId="28859" xr:uid="{00000000-0005-0000-0000-0000D3710000}"/>
    <cellStyle name="Normal 268 2 2 2" xfId="28860" xr:uid="{00000000-0005-0000-0000-0000D4710000}"/>
    <cellStyle name="Normal 268 2 2 2 2" xfId="28861" xr:uid="{00000000-0005-0000-0000-0000D5710000}"/>
    <cellStyle name="Normal 268 2 2 2 2 2" xfId="28862" xr:uid="{00000000-0005-0000-0000-0000D6710000}"/>
    <cellStyle name="Normal 268 2 2 2 2 3" xfId="28863" xr:uid="{00000000-0005-0000-0000-0000D7710000}"/>
    <cellStyle name="Normal 268 2 2 2 3" xfId="28864" xr:uid="{00000000-0005-0000-0000-0000D8710000}"/>
    <cellStyle name="Normal 268 2 2 2 3 2" xfId="28865" xr:uid="{00000000-0005-0000-0000-0000D9710000}"/>
    <cellStyle name="Normal 268 2 2 2 3 3" xfId="28866" xr:uid="{00000000-0005-0000-0000-0000DA710000}"/>
    <cellStyle name="Normal 268 2 2 2 4" xfId="28867" xr:uid="{00000000-0005-0000-0000-0000DB710000}"/>
    <cellStyle name="Normal 268 2 2 2 5" xfId="28868" xr:uid="{00000000-0005-0000-0000-0000DC710000}"/>
    <cellStyle name="Normal 268 2 2 2 6" xfId="28869" xr:uid="{00000000-0005-0000-0000-0000DD710000}"/>
    <cellStyle name="Normal 268 2 2 3" xfId="28870" xr:uid="{00000000-0005-0000-0000-0000DE710000}"/>
    <cellStyle name="Normal 268 2 2 3 2" xfId="28871" xr:uid="{00000000-0005-0000-0000-0000DF710000}"/>
    <cellStyle name="Normal 268 2 2 3 3" xfId="28872" xr:uid="{00000000-0005-0000-0000-0000E0710000}"/>
    <cellStyle name="Normal 268 2 2 4" xfId="28873" xr:uid="{00000000-0005-0000-0000-0000E1710000}"/>
    <cellStyle name="Normal 268 2 2 4 2" xfId="28874" xr:uid="{00000000-0005-0000-0000-0000E2710000}"/>
    <cellStyle name="Normal 268 2 2 4 3" xfId="28875" xr:uid="{00000000-0005-0000-0000-0000E3710000}"/>
    <cellStyle name="Normal 268 2 2 5" xfId="28876" xr:uid="{00000000-0005-0000-0000-0000E4710000}"/>
    <cellStyle name="Normal 268 2 2 6" xfId="28877" xr:uid="{00000000-0005-0000-0000-0000E5710000}"/>
    <cellStyle name="Normal 268 2 2 7" xfId="28878" xr:uid="{00000000-0005-0000-0000-0000E6710000}"/>
    <cellStyle name="Normal 268 2 2 8" xfId="28879" xr:uid="{00000000-0005-0000-0000-0000E7710000}"/>
    <cellStyle name="Normal 268 2 3" xfId="28880" xr:uid="{00000000-0005-0000-0000-0000E8710000}"/>
    <cellStyle name="Normal 268 2 3 2" xfId="28881" xr:uid="{00000000-0005-0000-0000-0000E9710000}"/>
    <cellStyle name="Normal 268 2 3 2 2" xfId="28882" xr:uid="{00000000-0005-0000-0000-0000EA710000}"/>
    <cellStyle name="Normal 268 2 3 2 3" xfId="28883" xr:uid="{00000000-0005-0000-0000-0000EB710000}"/>
    <cellStyle name="Normal 268 2 3 3" xfId="28884" xr:uid="{00000000-0005-0000-0000-0000EC710000}"/>
    <cellStyle name="Normal 268 2 3 3 2" xfId="28885" xr:uid="{00000000-0005-0000-0000-0000ED710000}"/>
    <cellStyle name="Normal 268 2 3 3 3" xfId="28886" xr:uid="{00000000-0005-0000-0000-0000EE710000}"/>
    <cellStyle name="Normal 268 2 3 4" xfId="28887" xr:uid="{00000000-0005-0000-0000-0000EF710000}"/>
    <cellStyle name="Normal 268 2 3 5" xfId="28888" xr:uid="{00000000-0005-0000-0000-0000F0710000}"/>
    <cellStyle name="Normal 268 2 3 6" xfId="28889" xr:uid="{00000000-0005-0000-0000-0000F1710000}"/>
    <cellStyle name="Normal 268 2 4" xfId="28890" xr:uid="{00000000-0005-0000-0000-0000F2710000}"/>
    <cellStyle name="Normal 268 2 4 2" xfId="28891" xr:uid="{00000000-0005-0000-0000-0000F3710000}"/>
    <cellStyle name="Normal 268 2 4 3" xfId="28892" xr:uid="{00000000-0005-0000-0000-0000F4710000}"/>
    <cellStyle name="Normal 268 2 5" xfId="28893" xr:uid="{00000000-0005-0000-0000-0000F5710000}"/>
    <cellStyle name="Normal 268 2 5 2" xfId="28894" xr:uid="{00000000-0005-0000-0000-0000F6710000}"/>
    <cellStyle name="Normal 268 2 5 3" xfId="28895" xr:uid="{00000000-0005-0000-0000-0000F7710000}"/>
    <cellStyle name="Normal 268 2 6" xfId="28896" xr:uid="{00000000-0005-0000-0000-0000F8710000}"/>
    <cellStyle name="Normal 268 2 7" xfId="28897" xr:uid="{00000000-0005-0000-0000-0000F9710000}"/>
    <cellStyle name="Normal 268 2 8" xfId="28898" xr:uid="{00000000-0005-0000-0000-0000FA710000}"/>
    <cellStyle name="Normal 268 2 9" xfId="28899" xr:uid="{00000000-0005-0000-0000-0000FB710000}"/>
    <cellStyle name="Normal 268 3" xfId="28900" xr:uid="{00000000-0005-0000-0000-0000FC710000}"/>
    <cellStyle name="Normal 268 3 2" xfId="28901" xr:uid="{00000000-0005-0000-0000-0000FD710000}"/>
    <cellStyle name="Normal 268 3 2 2" xfId="28902" xr:uid="{00000000-0005-0000-0000-0000FE710000}"/>
    <cellStyle name="Normal 268 3 2 2 2" xfId="28903" xr:uid="{00000000-0005-0000-0000-0000FF710000}"/>
    <cellStyle name="Normal 268 3 2 2 3" xfId="28904" xr:uid="{00000000-0005-0000-0000-000000720000}"/>
    <cellStyle name="Normal 268 3 2 3" xfId="28905" xr:uid="{00000000-0005-0000-0000-000001720000}"/>
    <cellStyle name="Normal 268 3 2 3 2" xfId="28906" xr:uid="{00000000-0005-0000-0000-000002720000}"/>
    <cellStyle name="Normal 268 3 2 3 3" xfId="28907" xr:uid="{00000000-0005-0000-0000-000003720000}"/>
    <cellStyle name="Normal 268 3 2 4" xfId="28908" xr:uid="{00000000-0005-0000-0000-000004720000}"/>
    <cellStyle name="Normal 268 3 2 5" xfId="28909" xr:uid="{00000000-0005-0000-0000-000005720000}"/>
    <cellStyle name="Normal 268 3 2 6" xfId="28910" xr:uid="{00000000-0005-0000-0000-000006720000}"/>
    <cellStyle name="Normal 268 3 3" xfId="28911" xr:uid="{00000000-0005-0000-0000-000007720000}"/>
    <cellStyle name="Normal 268 3 3 2" xfId="28912" xr:uid="{00000000-0005-0000-0000-000008720000}"/>
    <cellStyle name="Normal 268 3 3 3" xfId="28913" xr:uid="{00000000-0005-0000-0000-000009720000}"/>
    <cellStyle name="Normal 268 3 4" xfId="28914" xr:uid="{00000000-0005-0000-0000-00000A720000}"/>
    <cellStyle name="Normal 268 3 4 2" xfId="28915" xr:uid="{00000000-0005-0000-0000-00000B720000}"/>
    <cellStyle name="Normal 268 3 4 3" xfId="28916" xr:uid="{00000000-0005-0000-0000-00000C720000}"/>
    <cellStyle name="Normal 268 3 5" xfId="28917" xr:uid="{00000000-0005-0000-0000-00000D720000}"/>
    <cellStyle name="Normal 268 3 6" xfId="28918" xr:uid="{00000000-0005-0000-0000-00000E720000}"/>
    <cellStyle name="Normal 268 3 7" xfId="28919" xr:uid="{00000000-0005-0000-0000-00000F720000}"/>
    <cellStyle name="Normal 268 3 8" xfId="28920" xr:uid="{00000000-0005-0000-0000-000010720000}"/>
    <cellStyle name="Normal 268 4" xfId="28921" xr:uid="{00000000-0005-0000-0000-000011720000}"/>
    <cellStyle name="Normal 268 4 2" xfId="28922" xr:uid="{00000000-0005-0000-0000-000012720000}"/>
    <cellStyle name="Normal 268 4 2 2" xfId="28923" xr:uid="{00000000-0005-0000-0000-000013720000}"/>
    <cellStyle name="Normal 268 4 2 3" xfId="28924" xr:uid="{00000000-0005-0000-0000-000014720000}"/>
    <cellStyle name="Normal 268 4 3" xfId="28925" xr:uid="{00000000-0005-0000-0000-000015720000}"/>
    <cellStyle name="Normal 268 4 3 2" xfId="28926" xr:uid="{00000000-0005-0000-0000-000016720000}"/>
    <cellStyle name="Normal 268 4 3 3" xfId="28927" xr:uid="{00000000-0005-0000-0000-000017720000}"/>
    <cellStyle name="Normal 268 4 4" xfId="28928" xr:uid="{00000000-0005-0000-0000-000018720000}"/>
    <cellStyle name="Normal 268 4 5" xfId="28929" xr:uid="{00000000-0005-0000-0000-000019720000}"/>
    <cellStyle name="Normal 268 4 6" xfId="28930" xr:uid="{00000000-0005-0000-0000-00001A720000}"/>
    <cellStyle name="Normal 268 5" xfId="28931" xr:uid="{00000000-0005-0000-0000-00001B720000}"/>
    <cellStyle name="Normal 268 5 2" xfId="28932" xr:uid="{00000000-0005-0000-0000-00001C720000}"/>
    <cellStyle name="Normal 268 5 3" xfId="28933" xr:uid="{00000000-0005-0000-0000-00001D720000}"/>
    <cellStyle name="Normal 268 6" xfId="28934" xr:uid="{00000000-0005-0000-0000-00001E720000}"/>
    <cellStyle name="Normal 268 6 2" xfId="28935" xr:uid="{00000000-0005-0000-0000-00001F720000}"/>
    <cellStyle name="Normal 268 6 3" xfId="28936" xr:uid="{00000000-0005-0000-0000-000020720000}"/>
    <cellStyle name="Normal 268 7" xfId="28937" xr:uid="{00000000-0005-0000-0000-000021720000}"/>
    <cellStyle name="Normal 268 8" xfId="28938" xr:uid="{00000000-0005-0000-0000-000022720000}"/>
    <cellStyle name="Normal 268 9" xfId="28939" xr:uid="{00000000-0005-0000-0000-000023720000}"/>
    <cellStyle name="Normal 269" xfId="2728" xr:uid="{00000000-0005-0000-0000-000024720000}"/>
    <cellStyle name="Normal 269 10" xfId="28940" xr:uid="{00000000-0005-0000-0000-000025720000}"/>
    <cellStyle name="Normal 269 11" xfId="28941" xr:uid="{00000000-0005-0000-0000-000026720000}"/>
    <cellStyle name="Normal 269 2" xfId="2729" xr:uid="{00000000-0005-0000-0000-000027720000}"/>
    <cellStyle name="Normal 269 2 10" xfId="28942" xr:uid="{00000000-0005-0000-0000-000028720000}"/>
    <cellStyle name="Normal 269 2 2" xfId="28943" xr:uid="{00000000-0005-0000-0000-000029720000}"/>
    <cellStyle name="Normal 269 2 2 2" xfId="28944" xr:uid="{00000000-0005-0000-0000-00002A720000}"/>
    <cellStyle name="Normal 269 2 2 2 2" xfId="28945" xr:uid="{00000000-0005-0000-0000-00002B720000}"/>
    <cellStyle name="Normal 269 2 2 2 2 2" xfId="28946" xr:uid="{00000000-0005-0000-0000-00002C720000}"/>
    <cellStyle name="Normal 269 2 2 2 2 3" xfId="28947" xr:uid="{00000000-0005-0000-0000-00002D720000}"/>
    <cellStyle name="Normal 269 2 2 2 3" xfId="28948" xr:uid="{00000000-0005-0000-0000-00002E720000}"/>
    <cellStyle name="Normal 269 2 2 2 3 2" xfId="28949" xr:uid="{00000000-0005-0000-0000-00002F720000}"/>
    <cellStyle name="Normal 269 2 2 2 3 3" xfId="28950" xr:uid="{00000000-0005-0000-0000-000030720000}"/>
    <cellStyle name="Normal 269 2 2 2 4" xfId="28951" xr:uid="{00000000-0005-0000-0000-000031720000}"/>
    <cellStyle name="Normal 269 2 2 2 5" xfId="28952" xr:uid="{00000000-0005-0000-0000-000032720000}"/>
    <cellStyle name="Normal 269 2 2 2 6" xfId="28953" xr:uid="{00000000-0005-0000-0000-000033720000}"/>
    <cellStyle name="Normal 269 2 2 3" xfId="28954" xr:uid="{00000000-0005-0000-0000-000034720000}"/>
    <cellStyle name="Normal 269 2 2 3 2" xfId="28955" xr:uid="{00000000-0005-0000-0000-000035720000}"/>
    <cellStyle name="Normal 269 2 2 3 3" xfId="28956" xr:uid="{00000000-0005-0000-0000-000036720000}"/>
    <cellStyle name="Normal 269 2 2 4" xfId="28957" xr:uid="{00000000-0005-0000-0000-000037720000}"/>
    <cellStyle name="Normal 269 2 2 4 2" xfId="28958" xr:uid="{00000000-0005-0000-0000-000038720000}"/>
    <cellStyle name="Normal 269 2 2 4 3" xfId="28959" xr:uid="{00000000-0005-0000-0000-000039720000}"/>
    <cellStyle name="Normal 269 2 2 5" xfId="28960" xr:uid="{00000000-0005-0000-0000-00003A720000}"/>
    <cellStyle name="Normal 269 2 2 6" xfId="28961" xr:uid="{00000000-0005-0000-0000-00003B720000}"/>
    <cellStyle name="Normal 269 2 2 7" xfId="28962" xr:uid="{00000000-0005-0000-0000-00003C720000}"/>
    <cellStyle name="Normal 269 2 2 8" xfId="28963" xr:uid="{00000000-0005-0000-0000-00003D720000}"/>
    <cellStyle name="Normal 269 2 3" xfId="28964" xr:uid="{00000000-0005-0000-0000-00003E720000}"/>
    <cellStyle name="Normal 269 2 3 2" xfId="28965" xr:uid="{00000000-0005-0000-0000-00003F720000}"/>
    <cellStyle name="Normal 269 2 3 2 2" xfId="28966" xr:uid="{00000000-0005-0000-0000-000040720000}"/>
    <cellStyle name="Normal 269 2 3 2 3" xfId="28967" xr:uid="{00000000-0005-0000-0000-000041720000}"/>
    <cellStyle name="Normal 269 2 3 3" xfId="28968" xr:uid="{00000000-0005-0000-0000-000042720000}"/>
    <cellStyle name="Normal 269 2 3 3 2" xfId="28969" xr:uid="{00000000-0005-0000-0000-000043720000}"/>
    <cellStyle name="Normal 269 2 3 3 3" xfId="28970" xr:uid="{00000000-0005-0000-0000-000044720000}"/>
    <cellStyle name="Normal 269 2 3 4" xfId="28971" xr:uid="{00000000-0005-0000-0000-000045720000}"/>
    <cellStyle name="Normal 269 2 3 5" xfId="28972" xr:uid="{00000000-0005-0000-0000-000046720000}"/>
    <cellStyle name="Normal 269 2 3 6" xfId="28973" xr:uid="{00000000-0005-0000-0000-000047720000}"/>
    <cellStyle name="Normal 269 2 4" xfId="28974" xr:uid="{00000000-0005-0000-0000-000048720000}"/>
    <cellStyle name="Normal 269 2 4 2" xfId="28975" xr:uid="{00000000-0005-0000-0000-000049720000}"/>
    <cellStyle name="Normal 269 2 4 3" xfId="28976" xr:uid="{00000000-0005-0000-0000-00004A720000}"/>
    <cellStyle name="Normal 269 2 5" xfId="28977" xr:uid="{00000000-0005-0000-0000-00004B720000}"/>
    <cellStyle name="Normal 269 2 5 2" xfId="28978" xr:uid="{00000000-0005-0000-0000-00004C720000}"/>
    <cellStyle name="Normal 269 2 5 3" xfId="28979" xr:uid="{00000000-0005-0000-0000-00004D720000}"/>
    <cellStyle name="Normal 269 2 6" xfId="28980" xr:uid="{00000000-0005-0000-0000-00004E720000}"/>
    <cellStyle name="Normal 269 2 7" xfId="28981" xr:uid="{00000000-0005-0000-0000-00004F720000}"/>
    <cellStyle name="Normal 269 2 8" xfId="28982" xr:uid="{00000000-0005-0000-0000-000050720000}"/>
    <cellStyle name="Normal 269 2 9" xfId="28983" xr:uid="{00000000-0005-0000-0000-000051720000}"/>
    <cellStyle name="Normal 269 3" xfId="28984" xr:uid="{00000000-0005-0000-0000-000052720000}"/>
    <cellStyle name="Normal 269 3 2" xfId="28985" xr:uid="{00000000-0005-0000-0000-000053720000}"/>
    <cellStyle name="Normal 269 3 2 2" xfId="28986" xr:uid="{00000000-0005-0000-0000-000054720000}"/>
    <cellStyle name="Normal 269 3 2 2 2" xfId="28987" xr:uid="{00000000-0005-0000-0000-000055720000}"/>
    <cellStyle name="Normal 269 3 2 2 3" xfId="28988" xr:uid="{00000000-0005-0000-0000-000056720000}"/>
    <cellStyle name="Normal 269 3 2 3" xfId="28989" xr:uid="{00000000-0005-0000-0000-000057720000}"/>
    <cellStyle name="Normal 269 3 2 3 2" xfId="28990" xr:uid="{00000000-0005-0000-0000-000058720000}"/>
    <cellStyle name="Normal 269 3 2 3 3" xfId="28991" xr:uid="{00000000-0005-0000-0000-000059720000}"/>
    <cellStyle name="Normal 269 3 2 4" xfId="28992" xr:uid="{00000000-0005-0000-0000-00005A720000}"/>
    <cellStyle name="Normal 269 3 2 5" xfId="28993" xr:uid="{00000000-0005-0000-0000-00005B720000}"/>
    <cellStyle name="Normal 269 3 2 6" xfId="28994" xr:uid="{00000000-0005-0000-0000-00005C720000}"/>
    <cellStyle name="Normal 269 3 3" xfId="28995" xr:uid="{00000000-0005-0000-0000-00005D720000}"/>
    <cellStyle name="Normal 269 3 3 2" xfId="28996" xr:uid="{00000000-0005-0000-0000-00005E720000}"/>
    <cellStyle name="Normal 269 3 3 3" xfId="28997" xr:uid="{00000000-0005-0000-0000-00005F720000}"/>
    <cellStyle name="Normal 269 3 4" xfId="28998" xr:uid="{00000000-0005-0000-0000-000060720000}"/>
    <cellStyle name="Normal 269 3 4 2" xfId="28999" xr:uid="{00000000-0005-0000-0000-000061720000}"/>
    <cellStyle name="Normal 269 3 4 3" xfId="29000" xr:uid="{00000000-0005-0000-0000-000062720000}"/>
    <cellStyle name="Normal 269 3 5" xfId="29001" xr:uid="{00000000-0005-0000-0000-000063720000}"/>
    <cellStyle name="Normal 269 3 6" xfId="29002" xr:uid="{00000000-0005-0000-0000-000064720000}"/>
    <cellStyle name="Normal 269 3 7" xfId="29003" xr:uid="{00000000-0005-0000-0000-000065720000}"/>
    <cellStyle name="Normal 269 3 8" xfId="29004" xr:uid="{00000000-0005-0000-0000-000066720000}"/>
    <cellStyle name="Normal 269 4" xfId="29005" xr:uid="{00000000-0005-0000-0000-000067720000}"/>
    <cellStyle name="Normal 269 4 2" xfId="29006" xr:uid="{00000000-0005-0000-0000-000068720000}"/>
    <cellStyle name="Normal 269 4 2 2" xfId="29007" xr:uid="{00000000-0005-0000-0000-000069720000}"/>
    <cellStyle name="Normal 269 4 2 3" xfId="29008" xr:uid="{00000000-0005-0000-0000-00006A720000}"/>
    <cellStyle name="Normal 269 4 3" xfId="29009" xr:uid="{00000000-0005-0000-0000-00006B720000}"/>
    <cellStyle name="Normal 269 4 3 2" xfId="29010" xr:uid="{00000000-0005-0000-0000-00006C720000}"/>
    <cellStyle name="Normal 269 4 3 3" xfId="29011" xr:uid="{00000000-0005-0000-0000-00006D720000}"/>
    <cellStyle name="Normal 269 4 4" xfId="29012" xr:uid="{00000000-0005-0000-0000-00006E720000}"/>
    <cellStyle name="Normal 269 4 5" xfId="29013" xr:uid="{00000000-0005-0000-0000-00006F720000}"/>
    <cellStyle name="Normal 269 4 6" xfId="29014" xr:uid="{00000000-0005-0000-0000-000070720000}"/>
    <cellStyle name="Normal 269 5" xfId="29015" xr:uid="{00000000-0005-0000-0000-000071720000}"/>
    <cellStyle name="Normal 269 5 2" xfId="29016" xr:uid="{00000000-0005-0000-0000-000072720000}"/>
    <cellStyle name="Normal 269 5 3" xfId="29017" xr:uid="{00000000-0005-0000-0000-000073720000}"/>
    <cellStyle name="Normal 269 6" xfId="29018" xr:uid="{00000000-0005-0000-0000-000074720000}"/>
    <cellStyle name="Normal 269 6 2" xfId="29019" xr:uid="{00000000-0005-0000-0000-000075720000}"/>
    <cellStyle name="Normal 269 6 3" xfId="29020" xr:uid="{00000000-0005-0000-0000-000076720000}"/>
    <cellStyle name="Normal 269 7" xfId="29021" xr:uid="{00000000-0005-0000-0000-000077720000}"/>
    <cellStyle name="Normal 269 8" xfId="29022" xr:uid="{00000000-0005-0000-0000-000078720000}"/>
    <cellStyle name="Normal 269 9" xfId="29023" xr:uid="{00000000-0005-0000-0000-000079720000}"/>
    <cellStyle name="Normal 27" xfId="2730" xr:uid="{00000000-0005-0000-0000-00007A720000}"/>
    <cellStyle name="Normal 27 2" xfId="29024" xr:uid="{00000000-0005-0000-0000-00007B720000}"/>
    <cellStyle name="Normal 27 2 2" xfId="29025" xr:uid="{00000000-0005-0000-0000-00007C720000}"/>
    <cellStyle name="Normal 27 2 3" xfId="29026" xr:uid="{00000000-0005-0000-0000-00007D720000}"/>
    <cellStyle name="Normal 27 3" xfId="29027" xr:uid="{00000000-0005-0000-0000-00007E720000}"/>
    <cellStyle name="Normal 27 4" xfId="29028" xr:uid="{00000000-0005-0000-0000-00007F720000}"/>
    <cellStyle name="Normal 27 5" xfId="29029" xr:uid="{00000000-0005-0000-0000-000080720000}"/>
    <cellStyle name="Normal 270" xfId="2731" xr:uid="{00000000-0005-0000-0000-000081720000}"/>
    <cellStyle name="Normal 270 10" xfId="29030" xr:uid="{00000000-0005-0000-0000-000082720000}"/>
    <cellStyle name="Normal 270 11" xfId="29031" xr:uid="{00000000-0005-0000-0000-000083720000}"/>
    <cellStyle name="Normal 270 2" xfId="29032" xr:uid="{00000000-0005-0000-0000-000084720000}"/>
    <cellStyle name="Normal 270 2 2" xfId="29033" xr:uid="{00000000-0005-0000-0000-000085720000}"/>
    <cellStyle name="Normal 270 2 2 2" xfId="29034" xr:uid="{00000000-0005-0000-0000-000086720000}"/>
    <cellStyle name="Normal 270 2 2 2 2" xfId="29035" xr:uid="{00000000-0005-0000-0000-000087720000}"/>
    <cellStyle name="Normal 270 2 2 2 2 2" xfId="29036" xr:uid="{00000000-0005-0000-0000-000088720000}"/>
    <cellStyle name="Normal 270 2 2 2 2 3" xfId="29037" xr:uid="{00000000-0005-0000-0000-000089720000}"/>
    <cellStyle name="Normal 270 2 2 2 3" xfId="29038" xr:uid="{00000000-0005-0000-0000-00008A720000}"/>
    <cellStyle name="Normal 270 2 2 2 3 2" xfId="29039" xr:uid="{00000000-0005-0000-0000-00008B720000}"/>
    <cellStyle name="Normal 270 2 2 2 3 3" xfId="29040" xr:uid="{00000000-0005-0000-0000-00008C720000}"/>
    <cellStyle name="Normal 270 2 2 2 4" xfId="29041" xr:uid="{00000000-0005-0000-0000-00008D720000}"/>
    <cellStyle name="Normal 270 2 2 2 5" xfId="29042" xr:uid="{00000000-0005-0000-0000-00008E720000}"/>
    <cellStyle name="Normal 270 2 2 2 6" xfId="29043" xr:uid="{00000000-0005-0000-0000-00008F720000}"/>
    <cellStyle name="Normal 270 2 2 3" xfId="29044" xr:uid="{00000000-0005-0000-0000-000090720000}"/>
    <cellStyle name="Normal 270 2 2 3 2" xfId="29045" xr:uid="{00000000-0005-0000-0000-000091720000}"/>
    <cellStyle name="Normal 270 2 2 3 3" xfId="29046" xr:uid="{00000000-0005-0000-0000-000092720000}"/>
    <cellStyle name="Normal 270 2 2 4" xfId="29047" xr:uid="{00000000-0005-0000-0000-000093720000}"/>
    <cellStyle name="Normal 270 2 2 4 2" xfId="29048" xr:uid="{00000000-0005-0000-0000-000094720000}"/>
    <cellStyle name="Normal 270 2 2 4 3" xfId="29049" xr:uid="{00000000-0005-0000-0000-000095720000}"/>
    <cellStyle name="Normal 270 2 2 5" xfId="29050" xr:uid="{00000000-0005-0000-0000-000096720000}"/>
    <cellStyle name="Normal 270 2 2 6" xfId="29051" xr:uid="{00000000-0005-0000-0000-000097720000}"/>
    <cellStyle name="Normal 270 2 2 7" xfId="29052" xr:uid="{00000000-0005-0000-0000-000098720000}"/>
    <cellStyle name="Normal 270 2 2 8" xfId="29053" xr:uid="{00000000-0005-0000-0000-000099720000}"/>
    <cellStyle name="Normal 270 2 3" xfId="29054" xr:uid="{00000000-0005-0000-0000-00009A720000}"/>
    <cellStyle name="Normal 270 2 3 2" xfId="29055" xr:uid="{00000000-0005-0000-0000-00009B720000}"/>
    <cellStyle name="Normal 270 2 3 2 2" xfId="29056" xr:uid="{00000000-0005-0000-0000-00009C720000}"/>
    <cellStyle name="Normal 270 2 3 2 3" xfId="29057" xr:uid="{00000000-0005-0000-0000-00009D720000}"/>
    <cellStyle name="Normal 270 2 3 3" xfId="29058" xr:uid="{00000000-0005-0000-0000-00009E720000}"/>
    <cellStyle name="Normal 270 2 3 3 2" xfId="29059" xr:uid="{00000000-0005-0000-0000-00009F720000}"/>
    <cellStyle name="Normal 270 2 3 3 3" xfId="29060" xr:uid="{00000000-0005-0000-0000-0000A0720000}"/>
    <cellStyle name="Normal 270 2 3 4" xfId="29061" xr:uid="{00000000-0005-0000-0000-0000A1720000}"/>
    <cellStyle name="Normal 270 2 3 5" xfId="29062" xr:uid="{00000000-0005-0000-0000-0000A2720000}"/>
    <cellStyle name="Normal 270 2 3 6" xfId="29063" xr:uid="{00000000-0005-0000-0000-0000A3720000}"/>
    <cellStyle name="Normal 270 2 4" xfId="29064" xr:uid="{00000000-0005-0000-0000-0000A4720000}"/>
    <cellStyle name="Normal 270 2 4 2" xfId="29065" xr:uid="{00000000-0005-0000-0000-0000A5720000}"/>
    <cellStyle name="Normal 270 2 4 3" xfId="29066" xr:uid="{00000000-0005-0000-0000-0000A6720000}"/>
    <cellStyle name="Normal 270 2 5" xfId="29067" xr:uid="{00000000-0005-0000-0000-0000A7720000}"/>
    <cellStyle name="Normal 270 2 5 2" xfId="29068" xr:uid="{00000000-0005-0000-0000-0000A8720000}"/>
    <cellStyle name="Normal 270 2 5 3" xfId="29069" xr:uid="{00000000-0005-0000-0000-0000A9720000}"/>
    <cellStyle name="Normal 270 2 6" xfId="29070" xr:uid="{00000000-0005-0000-0000-0000AA720000}"/>
    <cellStyle name="Normal 270 2 7" xfId="29071" xr:uid="{00000000-0005-0000-0000-0000AB720000}"/>
    <cellStyle name="Normal 270 2 8" xfId="29072" xr:uid="{00000000-0005-0000-0000-0000AC720000}"/>
    <cellStyle name="Normal 270 2 9" xfId="29073" xr:uid="{00000000-0005-0000-0000-0000AD720000}"/>
    <cellStyle name="Normal 270 3" xfId="29074" xr:uid="{00000000-0005-0000-0000-0000AE720000}"/>
    <cellStyle name="Normal 270 3 2" xfId="29075" xr:uid="{00000000-0005-0000-0000-0000AF720000}"/>
    <cellStyle name="Normal 270 3 2 2" xfId="29076" xr:uid="{00000000-0005-0000-0000-0000B0720000}"/>
    <cellStyle name="Normal 270 3 2 2 2" xfId="29077" xr:uid="{00000000-0005-0000-0000-0000B1720000}"/>
    <cellStyle name="Normal 270 3 2 2 3" xfId="29078" xr:uid="{00000000-0005-0000-0000-0000B2720000}"/>
    <cellStyle name="Normal 270 3 2 3" xfId="29079" xr:uid="{00000000-0005-0000-0000-0000B3720000}"/>
    <cellStyle name="Normal 270 3 2 3 2" xfId="29080" xr:uid="{00000000-0005-0000-0000-0000B4720000}"/>
    <cellStyle name="Normal 270 3 2 3 3" xfId="29081" xr:uid="{00000000-0005-0000-0000-0000B5720000}"/>
    <cellStyle name="Normal 270 3 2 4" xfId="29082" xr:uid="{00000000-0005-0000-0000-0000B6720000}"/>
    <cellStyle name="Normal 270 3 2 5" xfId="29083" xr:uid="{00000000-0005-0000-0000-0000B7720000}"/>
    <cellStyle name="Normal 270 3 2 6" xfId="29084" xr:uid="{00000000-0005-0000-0000-0000B8720000}"/>
    <cellStyle name="Normal 270 3 3" xfId="29085" xr:uid="{00000000-0005-0000-0000-0000B9720000}"/>
    <cellStyle name="Normal 270 3 3 2" xfId="29086" xr:uid="{00000000-0005-0000-0000-0000BA720000}"/>
    <cellStyle name="Normal 270 3 3 3" xfId="29087" xr:uid="{00000000-0005-0000-0000-0000BB720000}"/>
    <cellStyle name="Normal 270 3 4" xfId="29088" xr:uid="{00000000-0005-0000-0000-0000BC720000}"/>
    <cellStyle name="Normal 270 3 4 2" xfId="29089" xr:uid="{00000000-0005-0000-0000-0000BD720000}"/>
    <cellStyle name="Normal 270 3 4 3" xfId="29090" xr:uid="{00000000-0005-0000-0000-0000BE720000}"/>
    <cellStyle name="Normal 270 3 5" xfId="29091" xr:uid="{00000000-0005-0000-0000-0000BF720000}"/>
    <cellStyle name="Normal 270 3 6" xfId="29092" xr:uid="{00000000-0005-0000-0000-0000C0720000}"/>
    <cellStyle name="Normal 270 3 7" xfId="29093" xr:uid="{00000000-0005-0000-0000-0000C1720000}"/>
    <cellStyle name="Normal 270 3 8" xfId="29094" xr:uid="{00000000-0005-0000-0000-0000C2720000}"/>
    <cellStyle name="Normal 270 4" xfId="29095" xr:uid="{00000000-0005-0000-0000-0000C3720000}"/>
    <cellStyle name="Normal 270 4 2" xfId="29096" xr:uid="{00000000-0005-0000-0000-0000C4720000}"/>
    <cellStyle name="Normal 270 4 2 2" xfId="29097" xr:uid="{00000000-0005-0000-0000-0000C5720000}"/>
    <cellStyle name="Normal 270 4 2 3" xfId="29098" xr:uid="{00000000-0005-0000-0000-0000C6720000}"/>
    <cellStyle name="Normal 270 4 3" xfId="29099" xr:uid="{00000000-0005-0000-0000-0000C7720000}"/>
    <cellStyle name="Normal 270 4 3 2" xfId="29100" xr:uid="{00000000-0005-0000-0000-0000C8720000}"/>
    <cellStyle name="Normal 270 4 3 3" xfId="29101" xr:uid="{00000000-0005-0000-0000-0000C9720000}"/>
    <cellStyle name="Normal 270 4 4" xfId="29102" xr:uid="{00000000-0005-0000-0000-0000CA720000}"/>
    <cellStyle name="Normal 270 4 5" xfId="29103" xr:uid="{00000000-0005-0000-0000-0000CB720000}"/>
    <cellStyle name="Normal 270 4 6" xfId="29104" xr:uid="{00000000-0005-0000-0000-0000CC720000}"/>
    <cellStyle name="Normal 270 5" xfId="29105" xr:uid="{00000000-0005-0000-0000-0000CD720000}"/>
    <cellStyle name="Normal 270 5 2" xfId="29106" xr:uid="{00000000-0005-0000-0000-0000CE720000}"/>
    <cellStyle name="Normal 270 5 3" xfId="29107" xr:uid="{00000000-0005-0000-0000-0000CF720000}"/>
    <cellStyle name="Normal 270 6" xfId="29108" xr:uid="{00000000-0005-0000-0000-0000D0720000}"/>
    <cellStyle name="Normal 270 6 2" xfId="29109" xr:uid="{00000000-0005-0000-0000-0000D1720000}"/>
    <cellStyle name="Normal 270 6 3" xfId="29110" xr:uid="{00000000-0005-0000-0000-0000D2720000}"/>
    <cellStyle name="Normal 270 7" xfId="29111" xr:uid="{00000000-0005-0000-0000-0000D3720000}"/>
    <cellStyle name="Normal 270 8" xfId="29112" xr:uid="{00000000-0005-0000-0000-0000D4720000}"/>
    <cellStyle name="Normal 270 9" xfId="29113" xr:uid="{00000000-0005-0000-0000-0000D5720000}"/>
    <cellStyle name="Normal 271" xfId="2732" xr:uid="{00000000-0005-0000-0000-0000D6720000}"/>
    <cellStyle name="Normal 271 10" xfId="29114" xr:uid="{00000000-0005-0000-0000-0000D7720000}"/>
    <cellStyle name="Normal 271 11" xfId="29115" xr:uid="{00000000-0005-0000-0000-0000D8720000}"/>
    <cellStyle name="Normal 271 2" xfId="2733" xr:uid="{00000000-0005-0000-0000-0000D9720000}"/>
    <cellStyle name="Normal 271 2 10" xfId="29116" xr:uid="{00000000-0005-0000-0000-0000DA720000}"/>
    <cellStyle name="Normal 271 2 2" xfId="29117" xr:uid="{00000000-0005-0000-0000-0000DB720000}"/>
    <cellStyle name="Normal 271 2 2 2" xfId="29118" xr:uid="{00000000-0005-0000-0000-0000DC720000}"/>
    <cellStyle name="Normal 271 2 2 2 2" xfId="29119" xr:uid="{00000000-0005-0000-0000-0000DD720000}"/>
    <cellStyle name="Normal 271 2 2 2 2 2" xfId="29120" xr:uid="{00000000-0005-0000-0000-0000DE720000}"/>
    <cellStyle name="Normal 271 2 2 2 2 3" xfId="29121" xr:uid="{00000000-0005-0000-0000-0000DF720000}"/>
    <cellStyle name="Normal 271 2 2 2 3" xfId="29122" xr:uid="{00000000-0005-0000-0000-0000E0720000}"/>
    <cellStyle name="Normal 271 2 2 2 3 2" xfId="29123" xr:uid="{00000000-0005-0000-0000-0000E1720000}"/>
    <cellStyle name="Normal 271 2 2 2 3 3" xfId="29124" xr:uid="{00000000-0005-0000-0000-0000E2720000}"/>
    <cellStyle name="Normal 271 2 2 2 4" xfId="29125" xr:uid="{00000000-0005-0000-0000-0000E3720000}"/>
    <cellStyle name="Normal 271 2 2 2 5" xfId="29126" xr:uid="{00000000-0005-0000-0000-0000E4720000}"/>
    <cellStyle name="Normal 271 2 2 2 6" xfId="29127" xr:uid="{00000000-0005-0000-0000-0000E5720000}"/>
    <cellStyle name="Normal 271 2 2 3" xfId="29128" xr:uid="{00000000-0005-0000-0000-0000E6720000}"/>
    <cellStyle name="Normal 271 2 2 3 2" xfId="29129" xr:uid="{00000000-0005-0000-0000-0000E7720000}"/>
    <cellStyle name="Normal 271 2 2 3 3" xfId="29130" xr:uid="{00000000-0005-0000-0000-0000E8720000}"/>
    <cellStyle name="Normal 271 2 2 4" xfId="29131" xr:uid="{00000000-0005-0000-0000-0000E9720000}"/>
    <cellStyle name="Normal 271 2 2 4 2" xfId="29132" xr:uid="{00000000-0005-0000-0000-0000EA720000}"/>
    <cellStyle name="Normal 271 2 2 4 3" xfId="29133" xr:uid="{00000000-0005-0000-0000-0000EB720000}"/>
    <cellStyle name="Normal 271 2 2 5" xfId="29134" xr:uid="{00000000-0005-0000-0000-0000EC720000}"/>
    <cellStyle name="Normal 271 2 2 6" xfId="29135" xr:uid="{00000000-0005-0000-0000-0000ED720000}"/>
    <cellStyle name="Normal 271 2 2 7" xfId="29136" xr:uid="{00000000-0005-0000-0000-0000EE720000}"/>
    <cellStyle name="Normal 271 2 2 8" xfId="29137" xr:uid="{00000000-0005-0000-0000-0000EF720000}"/>
    <cellStyle name="Normal 271 2 3" xfId="29138" xr:uid="{00000000-0005-0000-0000-0000F0720000}"/>
    <cellStyle name="Normal 271 2 3 2" xfId="29139" xr:uid="{00000000-0005-0000-0000-0000F1720000}"/>
    <cellStyle name="Normal 271 2 3 2 2" xfId="29140" xr:uid="{00000000-0005-0000-0000-0000F2720000}"/>
    <cellStyle name="Normal 271 2 3 2 3" xfId="29141" xr:uid="{00000000-0005-0000-0000-0000F3720000}"/>
    <cellStyle name="Normal 271 2 3 3" xfId="29142" xr:uid="{00000000-0005-0000-0000-0000F4720000}"/>
    <cellStyle name="Normal 271 2 3 3 2" xfId="29143" xr:uid="{00000000-0005-0000-0000-0000F5720000}"/>
    <cellStyle name="Normal 271 2 3 3 3" xfId="29144" xr:uid="{00000000-0005-0000-0000-0000F6720000}"/>
    <cellStyle name="Normal 271 2 3 4" xfId="29145" xr:uid="{00000000-0005-0000-0000-0000F7720000}"/>
    <cellStyle name="Normal 271 2 3 5" xfId="29146" xr:uid="{00000000-0005-0000-0000-0000F8720000}"/>
    <cellStyle name="Normal 271 2 3 6" xfId="29147" xr:uid="{00000000-0005-0000-0000-0000F9720000}"/>
    <cellStyle name="Normal 271 2 4" xfId="29148" xr:uid="{00000000-0005-0000-0000-0000FA720000}"/>
    <cellStyle name="Normal 271 2 4 2" xfId="29149" xr:uid="{00000000-0005-0000-0000-0000FB720000}"/>
    <cellStyle name="Normal 271 2 4 3" xfId="29150" xr:uid="{00000000-0005-0000-0000-0000FC720000}"/>
    <cellStyle name="Normal 271 2 5" xfId="29151" xr:uid="{00000000-0005-0000-0000-0000FD720000}"/>
    <cellStyle name="Normal 271 2 5 2" xfId="29152" xr:uid="{00000000-0005-0000-0000-0000FE720000}"/>
    <cellStyle name="Normal 271 2 5 3" xfId="29153" xr:uid="{00000000-0005-0000-0000-0000FF720000}"/>
    <cellStyle name="Normal 271 2 6" xfId="29154" xr:uid="{00000000-0005-0000-0000-000000730000}"/>
    <cellStyle name="Normal 271 2 7" xfId="29155" xr:uid="{00000000-0005-0000-0000-000001730000}"/>
    <cellStyle name="Normal 271 2 8" xfId="29156" xr:uid="{00000000-0005-0000-0000-000002730000}"/>
    <cellStyle name="Normal 271 2 9" xfId="29157" xr:uid="{00000000-0005-0000-0000-000003730000}"/>
    <cellStyle name="Normal 271 3" xfId="29158" xr:uid="{00000000-0005-0000-0000-000004730000}"/>
    <cellStyle name="Normal 271 3 2" xfId="29159" xr:uid="{00000000-0005-0000-0000-000005730000}"/>
    <cellStyle name="Normal 271 3 2 2" xfId="29160" xr:uid="{00000000-0005-0000-0000-000006730000}"/>
    <cellStyle name="Normal 271 3 2 2 2" xfId="29161" xr:uid="{00000000-0005-0000-0000-000007730000}"/>
    <cellStyle name="Normal 271 3 2 2 3" xfId="29162" xr:uid="{00000000-0005-0000-0000-000008730000}"/>
    <cellStyle name="Normal 271 3 2 3" xfId="29163" xr:uid="{00000000-0005-0000-0000-000009730000}"/>
    <cellStyle name="Normal 271 3 2 3 2" xfId="29164" xr:uid="{00000000-0005-0000-0000-00000A730000}"/>
    <cellStyle name="Normal 271 3 2 3 3" xfId="29165" xr:uid="{00000000-0005-0000-0000-00000B730000}"/>
    <cellStyle name="Normal 271 3 2 4" xfId="29166" xr:uid="{00000000-0005-0000-0000-00000C730000}"/>
    <cellStyle name="Normal 271 3 2 5" xfId="29167" xr:uid="{00000000-0005-0000-0000-00000D730000}"/>
    <cellStyle name="Normal 271 3 2 6" xfId="29168" xr:uid="{00000000-0005-0000-0000-00000E730000}"/>
    <cellStyle name="Normal 271 3 3" xfId="29169" xr:uid="{00000000-0005-0000-0000-00000F730000}"/>
    <cellStyle name="Normal 271 3 3 2" xfId="29170" xr:uid="{00000000-0005-0000-0000-000010730000}"/>
    <cellStyle name="Normal 271 3 3 3" xfId="29171" xr:uid="{00000000-0005-0000-0000-000011730000}"/>
    <cellStyle name="Normal 271 3 4" xfId="29172" xr:uid="{00000000-0005-0000-0000-000012730000}"/>
    <cellStyle name="Normal 271 3 4 2" xfId="29173" xr:uid="{00000000-0005-0000-0000-000013730000}"/>
    <cellStyle name="Normal 271 3 4 3" xfId="29174" xr:uid="{00000000-0005-0000-0000-000014730000}"/>
    <cellStyle name="Normal 271 3 5" xfId="29175" xr:uid="{00000000-0005-0000-0000-000015730000}"/>
    <cellStyle name="Normal 271 3 6" xfId="29176" xr:uid="{00000000-0005-0000-0000-000016730000}"/>
    <cellStyle name="Normal 271 3 7" xfId="29177" xr:uid="{00000000-0005-0000-0000-000017730000}"/>
    <cellStyle name="Normal 271 3 8" xfId="29178" xr:uid="{00000000-0005-0000-0000-000018730000}"/>
    <cellStyle name="Normal 271 4" xfId="29179" xr:uid="{00000000-0005-0000-0000-000019730000}"/>
    <cellStyle name="Normal 271 4 2" xfId="29180" xr:uid="{00000000-0005-0000-0000-00001A730000}"/>
    <cellStyle name="Normal 271 4 2 2" xfId="29181" xr:uid="{00000000-0005-0000-0000-00001B730000}"/>
    <cellStyle name="Normal 271 4 2 3" xfId="29182" xr:uid="{00000000-0005-0000-0000-00001C730000}"/>
    <cellStyle name="Normal 271 4 3" xfId="29183" xr:uid="{00000000-0005-0000-0000-00001D730000}"/>
    <cellStyle name="Normal 271 4 3 2" xfId="29184" xr:uid="{00000000-0005-0000-0000-00001E730000}"/>
    <cellStyle name="Normal 271 4 3 3" xfId="29185" xr:uid="{00000000-0005-0000-0000-00001F730000}"/>
    <cellStyle name="Normal 271 4 4" xfId="29186" xr:uid="{00000000-0005-0000-0000-000020730000}"/>
    <cellStyle name="Normal 271 4 5" xfId="29187" xr:uid="{00000000-0005-0000-0000-000021730000}"/>
    <cellStyle name="Normal 271 4 6" xfId="29188" xr:uid="{00000000-0005-0000-0000-000022730000}"/>
    <cellStyle name="Normal 271 5" xfId="29189" xr:uid="{00000000-0005-0000-0000-000023730000}"/>
    <cellStyle name="Normal 271 5 2" xfId="29190" xr:uid="{00000000-0005-0000-0000-000024730000}"/>
    <cellStyle name="Normal 271 5 3" xfId="29191" xr:uid="{00000000-0005-0000-0000-000025730000}"/>
    <cellStyle name="Normal 271 6" xfId="29192" xr:uid="{00000000-0005-0000-0000-000026730000}"/>
    <cellStyle name="Normal 271 6 2" xfId="29193" xr:uid="{00000000-0005-0000-0000-000027730000}"/>
    <cellStyle name="Normal 271 6 3" xfId="29194" xr:uid="{00000000-0005-0000-0000-000028730000}"/>
    <cellStyle name="Normal 271 7" xfId="29195" xr:uid="{00000000-0005-0000-0000-000029730000}"/>
    <cellStyle name="Normal 271 8" xfId="29196" xr:uid="{00000000-0005-0000-0000-00002A730000}"/>
    <cellStyle name="Normal 271 9" xfId="29197" xr:uid="{00000000-0005-0000-0000-00002B730000}"/>
    <cellStyle name="Normal 272" xfId="2734" xr:uid="{00000000-0005-0000-0000-00002C730000}"/>
    <cellStyle name="Normal 272 10" xfId="29198" xr:uid="{00000000-0005-0000-0000-00002D730000}"/>
    <cellStyle name="Normal 272 11" xfId="29199" xr:uid="{00000000-0005-0000-0000-00002E730000}"/>
    <cellStyle name="Normal 272 2" xfId="2735" xr:uid="{00000000-0005-0000-0000-00002F730000}"/>
    <cellStyle name="Normal 272 2 10" xfId="29200" xr:uid="{00000000-0005-0000-0000-000030730000}"/>
    <cellStyle name="Normal 272 2 2" xfId="29201" xr:uid="{00000000-0005-0000-0000-000031730000}"/>
    <cellStyle name="Normal 272 2 2 2" xfId="29202" xr:uid="{00000000-0005-0000-0000-000032730000}"/>
    <cellStyle name="Normal 272 2 2 2 2" xfId="29203" xr:uid="{00000000-0005-0000-0000-000033730000}"/>
    <cellStyle name="Normal 272 2 2 2 2 2" xfId="29204" xr:uid="{00000000-0005-0000-0000-000034730000}"/>
    <cellStyle name="Normal 272 2 2 2 2 3" xfId="29205" xr:uid="{00000000-0005-0000-0000-000035730000}"/>
    <cellStyle name="Normal 272 2 2 2 3" xfId="29206" xr:uid="{00000000-0005-0000-0000-000036730000}"/>
    <cellStyle name="Normal 272 2 2 2 3 2" xfId="29207" xr:uid="{00000000-0005-0000-0000-000037730000}"/>
    <cellStyle name="Normal 272 2 2 2 3 3" xfId="29208" xr:uid="{00000000-0005-0000-0000-000038730000}"/>
    <cellStyle name="Normal 272 2 2 2 4" xfId="29209" xr:uid="{00000000-0005-0000-0000-000039730000}"/>
    <cellStyle name="Normal 272 2 2 2 5" xfId="29210" xr:uid="{00000000-0005-0000-0000-00003A730000}"/>
    <cellStyle name="Normal 272 2 2 2 6" xfId="29211" xr:uid="{00000000-0005-0000-0000-00003B730000}"/>
    <cellStyle name="Normal 272 2 2 3" xfId="29212" xr:uid="{00000000-0005-0000-0000-00003C730000}"/>
    <cellStyle name="Normal 272 2 2 3 2" xfId="29213" xr:uid="{00000000-0005-0000-0000-00003D730000}"/>
    <cellStyle name="Normal 272 2 2 3 3" xfId="29214" xr:uid="{00000000-0005-0000-0000-00003E730000}"/>
    <cellStyle name="Normal 272 2 2 4" xfId="29215" xr:uid="{00000000-0005-0000-0000-00003F730000}"/>
    <cellStyle name="Normal 272 2 2 4 2" xfId="29216" xr:uid="{00000000-0005-0000-0000-000040730000}"/>
    <cellStyle name="Normal 272 2 2 4 3" xfId="29217" xr:uid="{00000000-0005-0000-0000-000041730000}"/>
    <cellStyle name="Normal 272 2 2 5" xfId="29218" xr:uid="{00000000-0005-0000-0000-000042730000}"/>
    <cellStyle name="Normal 272 2 2 6" xfId="29219" xr:uid="{00000000-0005-0000-0000-000043730000}"/>
    <cellStyle name="Normal 272 2 2 7" xfId="29220" xr:uid="{00000000-0005-0000-0000-000044730000}"/>
    <cellStyle name="Normal 272 2 2 8" xfId="29221" xr:uid="{00000000-0005-0000-0000-000045730000}"/>
    <cellStyle name="Normal 272 2 3" xfId="29222" xr:uid="{00000000-0005-0000-0000-000046730000}"/>
    <cellStyle name="Normal 272 2 3 2" xfId="29223" xr:uid="{00000000-0005-0000-0000-000047730000}"/>
    <cellStyle name="Normal 272 2 3 2 2" xfId="29224" xr:uid="{00000000-0005-0000-0000-000048730000}"/>
    <cellStyle name="Normal 272 2 3 2 3" xfId="29225" xr:uid="{00000000-0005-0000-0000-000049730000}"/>
    <cellStyle name="Normal 272 2 3 3" xfId="29226" xr:uid="{00000000-0005-0000-0000-00004A730000}"/>
    <cellStyle name="Normal 272 2 3 3 2" xfId="29227" xr:uid="{00000000-0005-0000-0000-00004B730000}"/>
    <cellStyle name="Normal 272 2 3 3 3" xfId="29228" xr:uid="{00000000-0005-0000-0000-00004C730000}"/>
    <cellStyle name="Normal 272 2 3 4" xfId="29229" xr:uid="{00000000-0005-0000-0000-00004D730000}"/>
    <cellStyle name="Normal 272 2 3 5" xfId="29230" xr:uid="{00000000-0005-0000-0000-00004E730000}"/>
    <cellStyle name="Normal 272 2 3 6" xfId="29231" xr:uid="{00000000-0005-0000-0000-00004F730000}"/>
    <cellStyle name="Normal 272 2 4" xfId="29232" xr:uid="{00000000-0005-0000-0000-000050730000}"/>
    <cellStyle name="Normal 272 2 4 2" xfId="29233" xr:uid="{00000000-0005-0000-0000-000051730000}"/>
    <cellStyle name="Normal 272 2 4 3" xfId="29234" xr:uid="{00000000-0005-0000-0000-000052730000}"/>
    <cellStyle name="Normal 272 2 5" xfId="29235" xr:uid="{00000000-0005-0000-0000-000053730000}"/>
    <cellStyle name="Normal 272 2 5 2" xfId="29236" xr:uid="{00000000-0005-0000-0000-000054730000}"/>
    <cellStyle name="Normal 272 2 5 3" xfId="29237" xr:uid="{00000000-0005-0000-0000-000055730000}"/>
    <cellStyle name="Normal 272 2 6" xfId="29238" xr:uid="{00000000-0005-0000-0000-000056730000}"/>
    <cellStyle name="Normal 272 2 7" xfId="29239" xr:uid="{00000000-0005-0000-0000-000057730000}"/>
    <cellStyle name="Normal 272 2 8" xfId="29240" xr:uid="{00000000-0005-0000-0000-000058730000}"/>
    <cellStyle name="Normal 272 2 9" xfId="29241" xr:uid="{00000000-0005-0000-0000-000059730000}"/>
    <cellStyle name="Normal 272 3" xfId="29242" xr:uid="{00000000-0005-0000-0000-00005A730000}"/>
    <cellStyle name="Normal 272 3 2" xfId="29243" xr:uid="{00000000-0005-0000-0000-00005B730000}"/>
    <cellStyle name="Normal 272 3 2 2" xfId="29244" xr:uid="{00000000-0005-0000-0000-00005C730000}"/>
    <cellStyle name="Normal 272 3 2 2 2" xfId="29245" xr:uid="{00000000-0005-0000-0000-00005D730000}"/>
    <cellStyle name="Normal 272 3 2 2 3" xfId="29246" xr:uid="{00000000-0005-0000-0000-00005E730000}"/>
    <cellStyle name="Normal 272 3 2 3" xfId="29247" xr:uid="{00000000-0005-0000-0000-00005F730000}"/>
    <cellStyle name="Normal 272 3 2 3 2" xfId="29248" xr:uid="{00000000-0005-0000-0000-000060730000}"/>
    <cellStyle name="Normal 272 3 2 3 3" xfId="29249" xr:uid="{00000000-0005-0000-0000-000061730000}"/>
    <cellStyle name="Normal 272 3 2 4" xfId="29250" xr:uid="{00000000-0005-0000-0000-000062730000}"/>
    <cellStyle name="Normal 272 3 2 5" xfId="29251" xr:uid="{00000000-0005-0000-0000-000063730000}"/>
    <cellStyle name="Normal 272 3 2 6" xfId="29252" xr:uid="{00000000-0005-0000-0000-000064730000}"/>
    <cellStyle name="Normal 272 3 3" xfId="29253" xr:uid="{00000000-0005-0000-0000-000065730000}"/>
    <cellStyle name="Normal 272 3 3 2" xfId="29254" xr:uid="{00000000-0005-0000-0000-000066730000}"/>
    <cellStyle name="Normal 272 3 3 3" xfId="29255" xr:uid="{00000000-0005-0000-0000-000067730000}"/>
    <cellStyle name="Normal 272 3 4" xfId="29256" xr:uid="{00000000-0005-0000-0000-000068730000}"/>
    <cellStyle name="Normal 272 3 4 2" xfId="29257" xr:uid="{00000000-0005-0000-0000-000069730000}"/>
    <cellStyle name="Normal 272 3 4 3" xfId="29258" xr:uid="{00000000-0005-0000-0000-00006A730000}"/>
    <cellStyle name="Normal 272 3 5" xfId="29259" xr:uid="{00000000-0005-0000-0000-00006B730000}"/>
    <cellStyle name="Normal 272 3 6" xfId="29260" xr:uid="{00000000-0005-0000-0000-00006C730000}"/>
    <cellStyle name="Normal 272 3 7" xfId="29261" xr:uid="{00000000-0005-0000-0000-00006D730000}"/>
    <cellStyle name="Normal 272 3 8" xfId="29262" xr:uid="{00000000-0005-0000-0000-00006E730000}"/>
    <cellStyle name="Normal 272 4" xfId="29263" xr:uid="{00000000-0005-0000-0000-00006F730000}"/>
    <cellStyle name="Normal 272 4 2" xfId="29264" xr:uid="{00000000-0005-0000-0000-000070730000}"/>
    <cellStyle name="Normal 272 4 2 2" xfId="29265" xr:uid="{00000000-0005-0000-0000-000071730000}"/>
    <cellStyle name="Normal 272 4 2 3" xfId="29266" xr:uid="{00000000-0005-0000-0000-000072730000}"/>
    <cellStyle name="Normal 272 4 3" xfId="29267" xr:uid="{00000000-0005-0000-0000-000073730000}"/>
    <cellStyle name="Normal 272 4 3 2" xfId="29268" xr:uid="{00000000-0005-0000-0000-000074730000}"/>
    <cellStyle name="Normal 272 4 3 3" xfId="29269" xr:uid="{00000000-0005-0000-0000-000075730000}"/>
    <cellStyle name="Normal 272 4 4" xfId="29270" xr:uid="{00000000-0005-0000-0000-000076730000}"/>
    <cellStyle name="Normal 272 4 5" xfId="29271" xr:uid="{00000000-0005-0000-0000-000077730000}"/>
    <cellStyle name="Normal 272 4 6" xfId="29272" xr:uid="{00000000-0005-0000-0000-000078730000}"/>
    <cellStyle name="Normal 272 5" xfId="29273" xr:uid="{00000000-0005-0000-0000-000079730000}"/>
    <cellStyle name="Normal 272 5 2" xfId="29274" xr:uid="{00000000-0005-0000-0000-00007A730000}"/>
    <cellStyle name="Normal 272 5 3" xfId="29275" xr:uid="{00000000-0005-0000-0000-00007B730000}"/>
    <cellStyle name="Normal 272 6" xfId="29276" xr:uid="{00000000-0005-0000-0000-00007C730000}"/>
    <cellStyle name="Normal 272 6 2" xfId="29277" xr:uid="{00000000-0005-0000-0000-00007D730000}"/>
    <cellStyle name="Normal 272 6 3" xfId="29278" xr:uid="{00000000-0005-0000-0000-00007E730000}"/>
    <cellStyle name="Normal 272 7" xfId="29279" xr:uid="{00000000-0005-0000-0000-00007F730000}"/>
    <cellStyle name="Normal 272 8" xfId="29280" xr:uid="{00000000-0005-0000-0000-000080730000}"/>
    <cellStyle name="Normal 272 9" xfId="29281" xr:uid="{00000000-0005-0000-0000-000081730000}"/>
    <cellStyle name="Normal 273" xfId="2736" xr:uid="{00000000-0005-0000-0000-000082730000}"/>
    <cellStyle name="Normal 273 10" xfId="29282" xr:uid="{00000000-0005-0000-0000-000083730000}"/>
    <cellStyle name="Normal 273 11" xfId="29283" xr:uid="{00000000-0005-0000-0000-000084730000}"/>
    <cellStyle name="Normal 273 2" xfId="2737" xr:uid="{00000000-0005-0000-0000-000085730000}"/>
    <cellStyle name="Normal 273 2 10" xfId="29284" xr:uid="{00000000-0005-0000-0000-000086730000}"/>
    <cellStyle name="Normal 273 2 2" xfId="29285" xr:uid="{00000000-0005-0000-0000-000087730000}"/>
    <cellStyle name="Normal 273 2 2 2" xfId="29286" xr:uid="{00000000-0005-0000-0000-000088730000}"/>
    <cellStyle name="Normal 273 2 2 2 2" xfId="29287" xr:uid="{00000000-0005-0000-0000-000089730000}"/>
    <cellStyle name="Normal 273 2 2 2 2 2" xfId="29288" xr:uid="{00000000-0005-0000-0000-00008A730000}"/>
    <cellStyle name="Normal 273 2 2 2 2 3" xfId="29289" xr:uid="{00000000-0005-0000-0000-00008B730000}"/>
    <cellStyle name="Normal 273 2 2 2 3" xfId="29290" xr:uid="{00000000-0005-0000-0000-00008C730000}"/>
    <cellStyle name="Normal 273 2 2 2 3 2" xfId="29291" xr:uid="{00000000-0005-0000-0000-00008D730000}"/>
    <cellStyle name="Normal 273 2 2 2 3 3" xfId="29292" xr:uid="{00000000-0005-0000-0000-00008E730000}"/>
    <cellStyle name="Normal 273 2 2 2 4" xfId="29293" xr:uid="{00000000-0005-0000-0000-00008F730000}"/>
    <cellStyle name="Normal 273 2 2 2 5" xfId="29294" xr:uid="{00000000-0005-0000-0000-000090730000}"/>
    <cellStyle name="Normal 273 2 2 2 6" xfId="29295" xr:uid="{00000000-0005-0000-0000-000091730000}"/>
    <cellStyle name="Normal 273 2 2 3" xfId="29296" xr:uid="{00000000-0005-0000-0000-000092730000}"/>
    <cellStyle name="Normal 273 2 2 3 2" xfId="29297" xr:uid="{00000000-0005-0000-0000-000093730000}"/>
    <cellStyle name="Normal 273 2 2 3 3" xfId="29298" xr:uid="{00000000-0005-0000-0000-000094730000}"/>
    <cellStyle name="Normal 273 2 2 4" xfId="29299" xr:uid="{00000000-0005-0000-0000-000095730000}"/>
    <cellStyle name="Normal 273 2 2 4 2" xfId="29300" xr:uid="{00000000-0005-0000-0000-000096730000}"/>
    <cellStyle name="Normal 273 2 2 4 3" xfId="29301" xr:uid="{00000000-0005-0000-0000-000097730000}"/>
    <cellStyle name="Normal 273 2 2 5" xfId="29302" xr:uid="{00000000-0005-0000-0000-000098730000}"/>
    <cellStyle name="Normal 273 2 2 6" xfId="29303" xr:uid="{00000000-0005-0000-0000-000099730000}"/>
    <cellStyle name="Normal 273 2 2 7" xfId="29304" xr:uid="{00000000-0005-0000-0000-00009A730000}"/>
    <cellStyle name="Normal 273 2 2 8" xfId="29305" xr:uid="{00000000-0005-0000-0000-00009B730000}"/>
    <cellStyle name="Normal 273 2 3" xfId="29306" xr:uid="{00000000-0005-0000-0000-00009C730000}"/>
    <cellStyle name="Normal 273 2 3 2" xfId="29307" xr:uid="{00000000-0005-0000-0000-00009D730000}"/>
    <cellStyle name="Normal 273 2 3 2 2" xfId="29308" xr:uid="{00000000-0005-0000-0000-00009E730000}"/>
    <cellStyle name="Normal 273 2 3 2 3" xfId="29309" xr:uid="{00000000-0005-0000-0000-00009F730000}"/>
    <cellStyle name="Normal 273 2 3 3" xfId="29310" xr:uid="{00000000-0005-0000-0000-0000A0730000}"/>
    <cellStyle name="Normal 273 2 3 3 2" xfId="29311" xr:uid="{00000000-0005-0000-0000-0000A1730000}"/>
    <cellStyle name="Normal 273 2 3 3 3" xfId="29312" xr:uid="{00000000-0005-0000-0000-0000A2730000}"/>
    <cellStyle name="Normal 273 2 3 4" xfId="29313" xr:uid="{00000000-0005-0000-0000-0000A3730000}"/>
    <cellStyle name="Normal 273 2 3 5" xfId="29314" xr:uid="{00000000-0005-0000-0000-0000A4730000}"/>
    <cellStyle name="Normal 273 2 3 6" xfId="29315" xr:uid="{00000000-0005-0000-0000-0000A5730000}"/>
    <cellStyle name="Normal 273 2 4" xfId="29316" xr:uid="{00000000-0005-0000-0000-0000A6730000}"/>
    <cellStyle name="Normal 273 2 4 2" xfId="29317" xr:uid="{00000000-0005-0000-0000-0000A7730000}"/>
    <cellStyle name="Normal 273 2 4 3" xfId="29318" xr:uid="{00000000-0005-0000-0000-0000A8730000}"/>
    <cellStyle name="Normal 273 2 5" xfId="29319" xr:uid="{00000000-0005-0000-0000-0000A9730000}"/>
    <cellStyle name="Normal 273 2 5 2" xfId="29320" xr:uid="{00000000-0005-0000-0000-0000AA730000}"/>
    <cellStyle name="Normal 273 2 5 3" xfId="29321" xr:uid="{00000000-0005-0000-0000-0000AB730000}"/>
    <cellStyle name="Normal 273 2 6" xfId="29322" xr:uid="{00000000-0005-0000-0000-0000AC730000}"/>
    <cellStyle name="Normal 273 2 7" xfId="29323" xr:uid="{00000000-0005-0000-0000-0000AD730000}"/>
    <cellStyle name="Normal 273 2 8" xfId="29324" xr:uid="{00000000-0005-0000-0000-0000AE730000}"/>
    <cellStyle name="Normal 273 2 9" xfId="29325" xr:uid="{00000000-0005-0000-0000-0000AF730000}"/>
    <cellStyle name="Normal 273 3" xfId="29326" xr:uid="{00000000-0005-0000-0000-0000B0730000}"/>
    <cellStyle name="Normal 273 3 2" xfId="29327" xr:uid="{00000000-0005-0000-0000-0000B1730000}"/>
    <cellStyle name="Normal 273 3 2 2" xfId="29328" xr:uid="{00000000-0005-0000-0000-0000B2730000}"/>
    <cellStyle name="Normal 273 3 2 2 2" xfId="29329" xr:uid="{00000000-0005-0000-0000-0000B3730000}"/>
    <cellStyle name="Normal 273 3 2 2 3" xfId="29330" xr:uid="{00000000-0005-0000-0000-0000B4730000}"/>
    <cellStyle name="Normal 273 3 2 3" xfId="29331" xr:uid="{00000000-0005-0000-0000-0000B5730000}"/>
    <cellStyle name="Normal 273 3 2 3 2" xfId="29332" xr:uid="{00000000-0005-0000-0000-0000B6730000}"/>
    <cellStyle name="Normal 273 3 2 3 3" xfId="29333" xr:uid="{00000000-0005-0000-0000-0000B7730000}"/>
    <cellStyle name="Normal 273 3 2 4" xfId="29334" xr:uid="{00000000-0005-0000-0000-0000B8730000}"/>
    <cellStyle name="Normal 273 3 2 5" xfId="29335" xr:uid="{00000000-0005-0000-0000-0000B9730000}"/>
    <cellStyle name="Normal 273 3 2 6" xfId="29336" xr:uid="{00000000-0005-0000-0000-0000BA730000}"/>
    <cellStyle name="Normal 273 3 3" xfId="29337" xr:uid="{00000000-0005-0000-0000-0000BB730000}"/>
    <cellStyle name="Normal 273 3 3 2" xfId="29338" xr:uid="{00000000-0005-0000-0000-0000BC730000}"/>
    <cellStyle name="Normal 273 3 3 3" xfId="29339" xr:uid="{00000000-0005-0000-0000-0000BD730000}"/>
    <cellStyle name="Normal 273 3 4" xfId="29340" xr:uid="{00000000-0005-0000-0000-0000BE730000}"/>
    <cellStyle name="Normal 273 3 4 2" xfId="29341" xr:uid="{00000000-0005-0000-0000-0000BF730000}"/>
    <cellStyle name="Normal 273 3 4 3" xfId="29342" xr:uid="{00000000-0005-0000-0000-0000C0730000}"/>
    <cellStyle name="Normal 273 3 5" xfId="29343" xr:uid="{00000000-0005-0000-0000-0000C1730000}"/>
    <cellStyle name="Normal 273 3 6" xfId="29344" xr:uid="{00000000-0005-0000-0000-0000C2730000}"/>
    <cellStyle name="Normal 273 3 7" xfId="29345" xr:uid="{00000000-0005-0000-0000-0000C3730000}"/>
    <cellStyle name="Normal 273 3 8" xfId="29346" xr:uid="{00000000-0005-0000-0000-0000C4730000}"/>
    <cellStyle name="Normal 273 4" xfId="29347" xr:uid="{00000000-0005-0000-0000-0000C5730000}"/>
    <cellStyle name="Normal 273 4 2" xfId="29348" xr:uid="{00000000-0005-0000-0000-0000C6730000}"/>
    <cellStyle name="Normal 273 4 2 2" xfId="29349" xr:uid="{00000000-0005-0000-0000-0000C7730000}"/>
    <cellStyle name="Normal 273 4 2 3" xfId="29350" xr:uid="{00000000-0005-0000-0000-0000C8730000}"/>
    <cellStyle name="Normal 273 4 3" xfId="29351" xr:uid="{00000000-0005-0000-0000-0000C9730000}"/>
    <cellStyle name="Normal 273 4 3 2" xfId="29352" xr:uid="{00000000-0005-0000-0000-0000CA730000}"/>
    <cellStyle name="Normal 273 4 3 3" xfId="29353" xr:uid="{00000000-0005-0000-0000-0000CB730000}"/>
    <cellStyle name="Normal 273 4 4" xfId="29354" xr:uid="{00000000-0005-0000-0000-0000CC730000}"/>
    <cellStyle name="Normal 273 4 5" xfId="29355" xr:uid="{00000000-0005-0000-0000-0000CD730000}"/>
    <cellStyle name="Normal 273 4 6" xfId="29356" xr:uid="{00000000-0005-0000-0000-0000CE730000}"/>
    <cellStyle name="Normal 273 5" xfId="29357" xr:uid="{00000000-0005-0000-0000-0000CF730000}"/>
    <cellStyle name="Normal 273 5 2" xfId="29358" xr:uid="{00000000-0005-0000-0000-0000D0730000}"/>
    <cellStyle name="Normal 273 5 3" xfId="29359" xr:uid="{00000000-0005-0000-0000-0000D1730000}"/>
    <cellStyle name="Normal 273 6" xfId="29360" xr:uid="{00000000-0005-0000-0000-0000D2730000}"/>
    <cellStyle name="Normal 273 6 2" xfId="29361" xr:uid="{00000000-0005-0000-0000-0000D3730000}"/>
    <cellStyle name="Normal 273 6 3" xfId="29362" xr:uid="{00000000-0005-0000-0000-0000D4730000}"/>
    <cellStyle name="Normal 273 7" xfId="29363" xr:uid="{00000000-0005-0000-0000-0000D5730000}"/>
    <cellStyle name="Normal 273 8" xfId="29364" xr:uid="{00000000-0005-0000-0000-0000D6730000}"/>
    <cellStyle name="Normal 273 9" xfId="29365" xr:uid="{00000000-0005-0000-0000-0000D7730000}"/>
    <cellStyle name="Normal 274" xfId="2738" xr:uid="{00000000-0005-0000-0000-0000D8730000}"/>
    <cellStyle name="Normal 274 10" xfId="29366" xr:uid="{00000000-0005-0000-0000-0000D9730000}"/>
    <cellStyle name="Normal 274 11" xfId="29367" xr:uid="{00000000-0005-0000-0000-0000DA730000}"/>
    <cellStyle name="Normal 274 2" xfId="2739" xr:uid="{00000000-0005-0000-0000-0000DB730000}"/>
    <cellStyle name="Normal 274 2 10" xfId="29368" xr:uid="{00000000-0005-0000-0000-0000DC730000}"/>
    <cellStyle name="Normal 274 2 2" xfId="29369" xr:uid="{00000000-0005-0000-0000-0000DD730000}"/>
    <cellStyle name="Normal 274 2 2 2" xfId="29370" xr:uid="{00000000-0005-0000-0000-0000DE730000}"/>
    <cellStyle name="Normal 274 2 2 2 2" xfId="29371" xr:uid="{00000000-0005-0000-0000-0000DF730000}"/>
    <cellStyle name="Normal 274 2 2 2 2 2" xfId="29372" xr:uid="{00000000-0005-0000-0000-0000E0730000}"/>
    <cellStyle name="Normal 274 2 2 2 2 3" xfId="29373" xr:uid="{00000000-0005-0000-0000-0000E1730000}"/>
    <cellStyle name="Normal 274 2 2 2 3" xfId="29374" xr:uid="{00000000-0005-0000-0000-0000E2730000}"/>
    <cellStyle name="Normal 274 2 2 2 3 2" xfId="29375" xr:uid="{00000000-0005-0000-0000-0000E3730000}"/>
    <cellStyle name="Normal 274 2 2 2 3 3" xfId="29376" xr:uid="{00000000-0005-0000-0000-0000E4730000}"/>
    <cellStyle name="Normal 274 2 2 2 4" xfId="29377" xr:uid="{00000000-0005-0000-0000-0000E5730000}"/>
    <cellStyle name="Normal 274 2 2 2 5" xfId="29378" xr:uid="{00000000-0005-0000-0000-0000E6730000}"/>
    <cellStyle name="Normal 274 2 2 2 6" xfId="29379" xr:uid="{00000000-0005-0000-0000-0000E7730000}"/>
    <cellStyle name="Normal 274 2 2 3" xfId="29380" xr:uid="{00000000-0005-0000-0000-0000E8730000}"/>
    <cellStyle name="Normal 274 2 2 3 2" xfId="29381" xr:uid="{00000000-0005-0000-0000-0000E9730000}"/>
    <cellStyle name="Normal 274 2 2 3 3" xfId="29382" xr:uid="{00000000-0005-0000-0000-0000EA730000}"/>
    <cellStyle name="Normal 274 2 2 4" xfId="29383" xr:uid="{00000000-0005-0000-0000-0000EB730000}"/>
    <cellStyle name="Normal 274 2 2 4 2" xfId="29384" xr:uid="{00000000-0005-0000-0000-0000EC730000}"/>
    <cellStyle name="Normal 274 2 2 4 3" xfId="29385" xr:uid="{00000000-0005-0000-0000-0000ED730000}"/>
    <cellStyle name="Normal 274 2 2 5" xfId="29386" xr:uid="{00000000-0005-0000-0000-0000EE730000}"/>
    <cellStyle name="Normal 274 2 2 6" xfId="29387" xr:uid="{00000000-0005-0000-0000-0000EF730000}"/>
    <cellStyle name="Normal 274 2 2 7" xfId="29388" xr:uid="{00000000-0005-0000-0000-0000F0730000}"/>
    <cellStyle name="Normal 274 2 2 8" xfId="29389" xr:uid="{00000000-0005-0000-0000-0000F1730000}"/>
    <cellStyle name="Normal 274 2 3" xfId="29390" xr:uid="{00000000-0005-0000-0000-0000F2730000}"/>
    <cellStyle name="Normal 274 2 3 2" xfId="29391" xr:uid="{00000000-0005-0000-0000-0000F3730000}"/>
    <cellStyle name="Normal 274 2 3 2 2" xfId="29392" xr:uid="{00000000-0005-0000-0000-0000F4730000}"/>
    <cellStyle name="Normal 274 2 3 2 3" xfId="29393" xr:uid="{00000000-0005-0000-0000-0000F5730000}"/>
    <cellStyle name="Normal 274 2 3 3" xfId="29394" xr:uid="{00000000-0005-0000-0000-0000F6730000}"/>
    <cellStyle name="Normal 274 2 3 3 2" xfId="29395" xr:uid="{00000000-0005-0000-0000-0000F7730000}"/>
    <cellStyle name="Normal 274 2 3 3 3" xfId="29396" xr:uid="{00000000-0005-0000-0000-0000F8730000}"/>
    <cellStyle name="Normal 274 2 3 4" xfId="29397" xr:uid="{00000000-0005-0000-0000-0000F9730000}"/>
    <cellStyle name="Normal 274 2 3 5" xfId="29398" xr:uid="{00000000-0005-0000-0000-0000FA730000}"/>
    <cellStyle name="Normal 274 2 3 6" xfId="29399" xr:uid="{00000000-0005-0000-0000-0000FB730000}"/>
    <cellStyle name="Normal 274 2 4" xfId="29400" xr:uid="{00000000-0005-0000-0000-0000FC730000}"/>
    <cellStyle name="Normal 274 2 4 2" xfId="29401" xr:uid="{00000000-0005-0000-0000-0000FD730000}"/>
    <cellStyle name="Normal 274 2 4 3" xfId="29402" xr:uid="{00000000-0005-0000-0000-0000FE730000}"/>
    <cellStyle name="Normal 274 2 5" xfId="29403" xr:uid="{00000000-0005-0000-0000-0000FF730000}"/>
    <cellStyle name="Normal 274 2 5 2" xfId="29404" xr:uid="{00000000-0005-0000-0000-000000740000}"/>
    <cellStyle name="Normal 274 2 5 3" xfId="29405" xr:uid="{00000000-0005-0000-0000-000001740000}"/>
    <cellStyle name="Normal 274 2 6" xfId="29406" xr:uid="{00000000-0005-0000-0000-000002740000}"/>
    <cellStyle name="Normal 274 2 7" xfId="29407" xr:uid="{00000000-0005-0000-0000-000003740000}"/>
    <cellStyle name="Normal 274 2 8" xfId="29408" xr:uid="{00000000-0005-0000-0000-000004740000}"/>
    <cellStyle name="Normal 274 2 9" xfId="29409" xr:uid="{00000000-0005-0000-0000-000005740000}"/>
    <cellStyle name="Normal 274 3" xfId="29410" xr:uid="{00000000-0005-0000-0000-000006740000}"/>
    <cellStyle name="Normal 274 3 2" xfId="29411" xr:uid="{00000000-0005-0000-0000-000007740000}"/>
    <cellStyle name="Normal 274 3 2 2" xfId="29412" xr:uid="{00000000-0005-0000-0000-000008740000}"/>
    <cellStyle name="Normal 274 3 2 2 2" xfId="29413" xr:uid="{00000000-0005-0000-0000-000009740000}"/>
    <cellStyle name="Normal 274 3 2 2 3" xfId="29414" xr:uid="{00000000-0005-0000-0000-00000A740000}"/>
    <cellStyle name="Normal 274 3 2 3" xfId="29415" xr:uid="{00000000-0005-0000-0000-00000B740000}"/>
    <cellStyle name="Normal 274 3 2 3 2" xfId="29416" xr:uid="{00000000-0005-0000-0000-00000C740000}"/>
    <cellStyle name="Normal 274 3 2 3 3" xfId="29417" xr:uid="{00000000-0005-0000-0000-00000D740000}"/>
    <cellStyle name="Normal 274 3 2 4" xfId="29418" xr:uid="{00000000-0005-0000-0000-00000E740000}"/>
    <cellStyle name="Normal 274 3 2 5" xfId="29419" xr:uid="{00000000-0005-0000-0000-00000F740000}"/>
    <cellStyle name="Normal 274 3 2 6" xfId="29420" xr:uid="{00000000-0005-0000-0000-000010740000}"/>
    <cellStyle name="Normal 274 3 3" xfId="29421" xr:uid="{00000000-0005-0000-0000-000011740000}"/>
    <cellStyle name="Normal 274 3 3 2" xfId="29422" xr:uid="{00000000-0005-0000-0000-000012740000}"/>
    <cellStyle name="Normal 274 3 3 3" xfId="29423" xr:uid="{00000000-0005-0000-0000-000013740000}"/>
    <cellStyle name="Normal 274 3 4" xfId="29424" xr:uid="{00000000-0005-0000-0000-000014740000}"/>
    <cellStyle name="Normal 274 3 4 2" xfId="29425" xr:uid="{00000000-0005-0000-0000-000015740000}"/>
    <cellStyle name="Normal 274 3 4 3" xfId="29426" xr:uid="{00000000-0005-0000-0000-000016740000}"/>
    <cellStyle name="Normal 274 3 5" xfId="29427" xr:uid="{00000000-0005-0000-0000-000017740000}"/>
    <cellStyle name="Normal 274 3 6" xfId="29428" xr:uid="{00000000-0005-0000-0000-000018740000}"/>
    <cellStyle name="Normal 274 3 7" xfId="29429" xr:uid="{00000000-0005-0000-0000-000019740000}"/>
    <cellStyle name="Normal 274 3 8" xfId="29430" xr:uid="{00000000-0005-0000-0000-00001A740000}"/>
    <cellStyle name="Normal 274 4" xfId="29431" xr:uid="{00000000-0005-0000-0000-00001B740000}"/>
    <cellStyle name="Normal 274 4 2" xfId="29432" xr:uid="{00000000-0005-0000-0000-00001C740000}"/>
    <cellStyle name="Normal 274 4 2 2" xfId="29433" xr:uid="{00000000-0005-0000-0000-00001D740000}"/>
    <cellStyle name="Normal 274 4 2 3" xfId="29434" xr:uid="{00000000-0005-0000-0000-00001E740000}"/>
    <cellStyle name="Normal 274 4 3" xfId="29435" xr:uid="{00000000-0005-0000-0000-00001F740000}"/>
    <cellStyle name="Normal 274 4 3 2" xfId="29436" xr:uid="{00000000-0005-0000-0000-000020740000}"/>
    <cellStyle name="Normal 274 4 3 3" xfId="29437" xr:uid="{00000000-0005-0000-0000-000021740000}"/>
    <cellStyle name="Normal 274 4 4" xfId="29438" xr:uid="{00000000-0005-0000-0000-000022740000}"/>
    <cellStyle name="Normal 274 4 5" xfId="29439" xr:uid="{00000000-0005-0000-0000-000023740000}"/>
    <cellStyle name="Normal 274 4 6" xfId="29440" xr:uid="{00000000-0005-0000-0000-000024740000}"/>
    <cellStyle name="Normal 274 5" xfId="29441" xr:uid="{00000000-0005-0000-0000-000025740000}"/>
    <cellStyle name="Normal 274 5 2" xfId="29442" xr:uid="{00000000-0005-0000-0000-000026740000}"/>
    <cellStyle name="Normal 274 5 3" xfId="29443" xr:uid="{00000000-0005-0000-0000-000027740000}"/>
    <cellStyle name="Normal 274 6" xfId="29444" xr:uid="{00000000-0005-0000-0000-000028740000}"/>
    <cellStyle name="Normal 274 6 2" xfId="29445" xr:uid="{00000000-0005-0000-0000-000029740000}"/>
    <cellStyle name="Normal 274 6 3" xfId="29446" xr:uid="{00000000-0005-0000-0000-00002A740000}"/>
    <cellStyle name="Normal 274 7" xfId="29447" xr:uid="{00000000-0005-0000-0000-00002B740000}"/>
    <cellStyle name="Normal 274 8" xfId="29448" xr:uid="{00000000-0005-0000-0000-00002C740000}"/>
    <cellStyle name="Normal 274 9" xfId="29449" xr:uid="{00000000-0005-0000-0000-00002D740000}"/>
    <cellStyle name="Normal 275" xfId="2740" xr:uid="{00000000-0005-0000-0000-00002E740000}"/>
    <cellStyle name="Normal 275 10" xfId="29450" xr:uid="{00000000-0005-0000-0000-00002F740000}"/>
    <cellStyle name="Normal 275 11" xfId="29451" xr:uid="{00000000-0005-0000-0000-000030740000}"/>
    <cellStyle name="Normal 275 2" xfId="2741" xr:uid="{00000000-0005-0000-0000-000031740000}"/>
    <cellStyle name="Normal 275 2 10" xfId="29452" xr:uid="{00000000-0005-0000-0000-000032740000}"/>
    <cellStyle name="Normal 275 2 2" xfId="29453" xr:uid="{00000000-0005-0000-0000-000033740000}"/>
    <cellStyle name="Normal 275 2 2 2" xfId="29454" xr:uid="{00000000-0005-0000-0000-000034740000}"/>
    <cellStyle name="Normal 275 2 2 2 2" xfId="29455" xr:uid="{00000000-0005-0000-0000-000035740000}"/>
    <cellStyle name="Normal 275 2 2 2 2 2" xfId="29456" xr:uid="{00000000-0005-0000-0000-000036740000}"/>
    <cellStyle name="Normal 275 2 2 2 2 3" xfId="29457" xr:uid="{00000000-0005-0000-0000-000037740000}"/>
    <cellStyle name="Normal 275 2 2 2 3" xfId="29458" xr:uid="{00000000-0005-0000-0000-000038740000}"/>
    <cellStyle name="Normal 275 2 2 2 3 2" xfId="29459" xr:uid="{00000000-0005-0000-0000-000039740000}"/>
    <cellStyle name="Normal 275 2 2 2 3 3" xfId="29460" xr:uid="{00000000-0005-0000-0000-00003A740000}"/>
    <cellStyle name="Normal 275 2 2 2 4" xfId="29461" xr:uid="{00000000-0005-0000-0000-00003B740000}"/>
    <cellStyle name="Normal 275 2 2 2 5" xfId="29462" xr:uid="{00000000-0005-0000-0000-00003C740000}"/>
    <cellStyle name="Normal 275 2 2 2 6" xfId="29463" xr:uid="{00000000-0005-0000-0000-00003D740000}"/>
    <cellStyle name="Normal 275 2 2 3" xfId="29464" xr:uid="{00000000-0005-0000-0000-00003E740000}"/>
    <cellStyle name="Normal 275 2 2 3 2" xfId="29465" xr:uid="{00000000-0005-0000-0000-00003F740000}"/>
    <cellStyle name="Normal 275 2 2 3 3" xfId="29466" xr:uid="{00000000-0005-0000-0000-000040740000}"/>
    <cellStyle name="Normal 275 2 2 4" xfId="29467" xr:uid="{00000000-0005-0000-0000-000041740000}"/>
    <cellStyle name="Normal 275 2 2 4 2" xfId="29468" xr:uid="{00000000-0005-0000-0000-000042740000}"/>
    <cellStyle name="Normal 275 2 2 4 3" xfId="29469" xr:uid="{00000000-0005-0000-0000-000043740000}"/>
    <cellStyle name="Normal 275 2 2 5" xfId="29470" xr:uid="{00000000-0005-0000-0000-000044740000}"/>
    <cellStyle name="Normal 275 2 2 6" xfId="29471" xr:uid="{00000000-0005-0000-0000-000045740000}"/>
    <cellStyle name="Normal 275 2 2 7" xfId="29472" xr:uid="{00000000-0005-0000-0000-000046740000}"/>
    <cellStyle name="Normal 275 2 2 8" xfId="29473" xr:uid="{00000000-0005-0000-0000-000047740000}"/>
    <cellStyle name="Normal 275 2 3" xfId="29474" xr:uid="{00000000-0005-0000-0000-000048740000}"/>
    <cellStyle name="Normal 275 2 3 2" xfId="29475" xr:uid="{00000000-0005-0000-0000-000049740000}"/>
    <cellStyle name="Normal 275 2 3 2 2" xfId="29476" xr:uid="{00000000-0005-0000-0000-00004A740000}"/>
    <cellStyle name="Normal 275 2 3 2 3" xfId="29477" xr:uid="{00000000-0005-0000-0000-00004B740000}"/>
    <cellStyle name="Normal 275 2 3 3" xfId="29478" xr:uid="{00000000-0005-0000-0000-00004C740000}"/>
    <cellStyle name="Normal 275 2 3 3 2" xfId="29479" xr:uid="{00000000-0005-0000-0000-00004D740000}"/>
    <cellStyle name="Normal 275 2 3 3 3" xfId="29480" xr:uid="{00000000-0005-0000-0000-00004E740000}"/>
    <cellStyle name="Normal 275 2 3 4" xfId="29481" xr:uid="{00000000-0005-0000-0000-00004F740000}"/>
    <cellStyle name="Normal 275 2 3 5" xfId="29482" xr:uid="{00000000-0005-0000-0000-000050740000}"/>
    <cellStyle name="Normal 275 2 3 6" xfId="29483" xr:uid="{00000000-0005-0000-0000-000051740000}"/>
    <cellStyle name="Normal 275 2 4" xfId="29484" xr:uid="{00000000-0005-0000-0000-000052740000}"/>
    <cellStyle name="Normal 275 2 4 2" xfId="29485" xr:uid="{00000000-0005-0000-0000-000053740000}"/>
    <cellStyle name="Normal 275 2 4 3" xfId="29486" xr:uid="{00000000-0005-0000-0000-000054740000}"/>
    <cellStyle name="Normal 275 2 5" xfId="29487" xr:uid="{00000000-0005-0000-0000-000055740000}"/>
    <cellStyle name="Normal 275 2 5 2" xfId="29488" xr:uid="{00000000-0005-0000-0000-000056740000}"/>
    <cellStyle name="Normal 275 2 5 3" xfId="29489" xr:uid="{00000000-0005-0000-0000-000057740000}"/>
    <cellStyle name="Normal 275 2 6" xfId="29490" xr:uid="{00000000-0005-0000-0000-000058740000}"/>
    <cellStyle name="Normal 275 2 7" xfId="29491" xr:uid="{00000000-0005-0000-0000-000059740000}"/>
    <cellStyle name="Normal 275 2 8" xfId="29492" xr:uid="{00000000-0005-0000-0000-00005A740000}"/>
    <cellStyle name="Normal 275 2 9" xfId="29493" xr:uid="{00000000-0005-0000-0000-00005B740000}"/>
    <cellStyle name="Normal 275 3" xfId="29494" xr:uid="{00000000-0005-0000-0000-00005C740000}"/>
    <cellStyle name="Normal 275 3 2" xfId="29495" xr:uid="{00000000-0005-0000-0000-00005D740000}"/>
    <cellStyle name="Normal 275 3 2 2" xfId="29496" xr:uid="{00000000-0005-0000-0000-00005E740000}"/>
    <cellStyle name="Normal 275 3 2 2 2" xfId="29497" xr:uid="{00000000-0005-0000-0000-00005F740000}"/>
    <cellStyle name="Normal 275 3 2 2 3" xfId="29498" xr:uid="{00000000-0005-0000-0000-000060740000}"/>
    <cellStyle name="Normal 275 3 2 3" xfId="29499" xr:uid="{00000000-0005-0000-0000-000061740000}"/>
    <cellStyle name="Normal 275 3 2 3 2" xfId="29500" xr:uid="{00000000-0005-0000-0000-000062740000}"/>
    <cellStyle name="Normal 275 3 2 3 3" xfId="29501" xr:uid="{00000000-0005-0000-0000-000063740000}"/>
    <cellStyle name="Normal 275 3 2 4" xfId="29502" xr:uid="{00000000-0005-0000-0000-000064740000}"/>
    <cellStyle name="Normal 275 3 2 5" xfId="29503" xr:uid="{00000000-0005-0000-0000-000065740000}"/>
    <cellStyle name="Normal 275 3 2 6" xfId="29504" xr:uid="{00000000-0005-0000-0000-000066740000}"/>
    <cellStyle name="Normal 275 3 3" xfId="29505" xr:uid="{00000000-0005-0000-0000-000067740000}"/>
    <cellStyle name="Normal 275 3 3 2" xfId="29506" xr:uid="{00000000-0005-0000-0000-000068740000}"/>
    <cellStyle name="Normal 275 3 3 3" xfId="29507" xr:uid="{00000000-0005-0000-0000-000069740000}"/>
    <cellStyle name="Normal 275 3 4" xfId="29508" xr:uid="{00000000-0005-0000-0000-00006A740000}"/>
    <cellStyle name="Normal 275 3 4 2" xfId="29509" xr:uid="{00000000-0005-0000-0000-00006B740000}"/>
    <cellStyle name="Normal 275 3 4 3" xfId="29510" xr:uid="{00000000-0005-0000-0000-00006C740000}"/>
    <cellStyle name="Normal 275 3 5" xfId="29511" xr:uid="{00000000-0005-0000-0000-00006D740000}"/>
    <cellStyle name="Normal 275 3 6" xfId="29512" xr:uid="{00000000-0005-0000-0000-00006E740000}"/>
    <cellStyle name="Normal 275 3 7" xfId="29513" xr:uid="{00000000-0005-0000-0000-00006F740000}"/>
    <cellStyle name="Normal 275 3 8" xfId="29514" xr:uid="{00000000-0005-0000-0000-000070740000}"/>
    <cellStyle name="Normal 275 4" xfId="29515" xr:uid="{00000000-0005-0000-0000-000071740000}"/>
    <cellStyle name="Normal 275 4 2" xfId="29516" xr:uid="{00000000-0005-0000-0000-000072740000}"/>
    <cellStyle name="Normal 275 4 2 2" xfId="29517" xr:uid="{00000000-0005-0000-0000-000073740000}"/>
    <cellStyle name="Normal 275 4 2 3" xfId="29518" xr:uid="{00000000-0005-0000-0000-000074740000}"/>
    <cellStyle name="Normal 275 4 3" xfId="29519" xr:uid="{00000000-0005-0000-0000-000075740000}"/>
    <cellStyle name="Normal 275 4 3 2" xfId="29520" xr:uid="{00000000-0005-0000-0000-000076740000}"/>
    <cellStyle name="Normal 275 4 3 3" xfId="29521" xr:uid="{00000000-0005-0000-0000-000077740000}"/>
    <cellStyle name="Normal 275 4 4" xfId="29522" xr:uid="{00000000-0005-0000-0000-000078740000}"/>
    <cellStyle name="Normal 275 4 5" xfId="29523" xr:uid="{00000000-0005-0000-0000-000079740000}"/>
    <cellStyle name="Normal 275 4 6" xfId="29524" xr:uid="{00000000-0005-0000-0000-00007A740000}"/>
    <cellStyle name="Normal 275 5" xfId="29525" xr:uid="{00000000-0005-0000-0000-00007B740000}"/>
    <cellStyle name="Normal 275 5 2" xfId="29526" xr:uid="{00000000-0005-0000-0000-00007C740000}"/>
    <cellStyle name="Normal 275 5 3" xfId="29527" xr:uid="{00000000-0005-0000-0000-00007D740000}"/>
    <cellStyle name="Normal 275 6" xfId="29528" xr:uid="{00000000-0005-0000-0000-00007E740000}"/>
    <cellStyle name="Normal 275 6 2" xfId="29529" xr:uid="{00000000-0005-0000-0000-00007F740000}"/>
    <cellStyle name="Normal 275 6 3" xfId="29530" xr:uid="{00000000-0005-0000-0000-000080740000}"/>
    <cellStyle name="Normal 275 7" xfId="29531" xr:uid="{00000000-0005-0000-0000-000081740000}"/>
    <cellStyle name="Normal 275 8" xfId="29532" xr:uid="{00000000-0005-0000-0000-000082740000}"/>
    <cellStyle name="Normal 275 9" xfId="29533" xr:uid="{00000000-0005-0000-0000-000083740000}"/>
    <cellStyle name="Normal 276" xfId="2742" xr:uid="{00000000-0005-0000-0000-000084740000}"/>
    <cellStyle name="Normal 276 10" xfId="29534" xr:uid="{00000000-0005-0000-0000-000085740000}"/>
    <cellStyle name="Normal 276 11" xfId="29535" xr:uid="{00000000-0005-0000-0000-000086740000}"/>
    <cellStyle name="Normal 276 2" xfId="2743" xr:uid="{00000000-0005-0000-0000-000087740000}"/>
    <cellStyle name="Normal 276 2 10" xfId="29536" xr:uid="{00000000-0005-0000-0000-000088740000}"/>
    <cellStyle name="Normal 276 2 2" xfId="29537" xr:uid="{00000000-0005-0000-0000-000089740000}"/>
    <cellStyle name="Normal 276 2 2 2" xfId="29538" xr:uid="{00000000-0005-0000-0000-00008A740000}"/>
    <cellStyle name="Normal 276 2 2 2 2" xfId="29539" xr:uid="{00000000-0005-0000-0000-00008B740000}"/>
    <cellStyle name="Normal 276 2 2 2 2 2" xfId="29540" xr:uid="{00000000-0005-0000-0000-00008C740000}"/>
    <cellStyle name="Normal 276 2 2 2 2 3" xfId="29541" xr:uid="{00000000-0005-0000-0000-00008D740000}"/>
    <cellStyle name="Normal 276 2 2 2 3" xfId="29542" xr:uid="{00000000-0005-0000-0000-00008E740000}"/>
    <cellStyle name="Normal 276 2 2 2 3 2" xfId="29543" xr:uid="{00000000-0005-0000-0000-00008F740000}"/>
    <cellStyle name="Normal 276 2 2 2 3 3" xfId="29544" xr:uid="{00000000-0005-0000-0000-000090740000}"/>
    <cellStyle name="Normal 276 2 2 2 4" xfId="29545" xr:uid="{00000000-0005-0000-0000-000091740000}"/>
    <cellStyle name="Normal 276 2 2 2 5" xfId="29546" xr:uid="{00000000-0005-0000-0000-000092740000}"/>
    <cellStyle name="Normal 276 2 2 2 6" xfId="29547" xr:uid="{00000000-0005-0000-0000-000093740000}"/>
    <cellStyle name="Normal 276 2 2 3" xfId="29548" xr:uid="{00000000-0005-0000-0000-000094740000}"/>
    <cellStyle name="Normal 276 2 2 3 2" xfId="29549" xr:uid="{00000000-0005-0000-0000-000095740000}"/>
    <cellStyle name="Normal 276 2 2 3 3" xfId="29550" xr:uid="{00000000-0005-0000-0000-000096740000}"/>
    <cellStyle name="Normal 276 2 2 4" xfId="29551" xr:uid="{00000000-0005-0000-0000-000097740000}"/>
    <cellStyle name="Normal 276 2 2 4 2" xfId="29552" xr:uid="{00000000-0005-0000-0000-000098740000}"/>
    <cellStyle name="Normal 276 2 2 4 3" xfId="29553" xr:uid="{00000000-0005-0000-0000-000099740000}"/>
    <cellStyle name="Normal 276 2 2 5" xfId="29554" xr:uid="{00000000-0005-0000-0000-00009A740000}"/>
    <cellStyle name="Normal 276 2 2 6" xfId="29555" xr:uid="{00000000-0005-0000-0000-00009B740000}"/>
    <cellStyle name="Normal 276 2 2 7" xfId="29556" xr:uid="{00000000-0005-0000-0000-00009C740000}"/>
    <cellStyle name="Normal 276 2 2 8" xfId="29557" xr:uid="{00000000-0005-0000-0000-00009D740000}"/>
    <cellStyle name="Normal 276 2 3" xfId="29558" xr:uid="{00000000-0005-0000-0000-00009E740000}"/>
    <cellStyle name="Normal 276 2 3 2" xfId="29559" xr:uid="{00000000-0005-0000-0000-00009F740000}"/>
    <cellStyle name="Normal 276 2 3 2 2" xfId="29560" xr:uid="{00000000-0005-0000-0000-0000A0740000}"/>
    <cellStyle name="Normal 276 2 3 2 3" xfId="29561" xr:uid="{00000000-0005-0000-0000-0000A1740000}"/>
    <cellStyle name="Normal 276 2 3 3" xfId="29562" xr:uid="{00000000-0005-0000-0000-0000A2740000}"/>
    <cellStyle name="Normal 276 2 3 3 2" xfId="29563" xr:uid="{00000000-0005-0000-0000-0000A3740000}"/>
    <cellStyle name="Normal 276 2 3 3 3" xfId="29564" xr:uid="{00000000-0005-0000-0000-0000A4740000}"/>
    <cellStyle name="Normal 276 2 3 4" xfId="29565" xr:uid="{00000000-0005-0000-0000-0000A5740000}"/>
    <cellStyle name="Normal 276 2 3 5" xfId="29566" xr:uid="{00000000-0005-0000-0000-0000A6740000}"/>
    <cellStyle name="Normal 276 2 3 6" xfId="29567" xr:uid="{00000000-0005-0000-0000-0000A7740000}"/>
    <cellStyle name="Normal 276 2 4" xfId="29568" xr:uid="{00000000-0005-0000-0000-0000A8740000}"/>
    <cellStyle name="Normal 276 2 4 2" xfId="29569" xr:uid="{00000000-0005-0000-0000-0000A9740000}"/>
    <cellStyle name="Normal 276 2 4 3" xfId="29570" xr:uid="{00000000-0005-0000-0000-0000AA740000}"/>
    <cellStyle name="Normal 276 2 5" xfId="29571" xr:uid="{00000000-0005-0000-0000-0000AB740000}"/>
    <cellStyle name="Normal 276 2 5 2" xfId="29572" xr:uid="{00000000-0005-0000-0000-0000AC740000}"/>
    <cellStyle name="Normal 276 2 5 3" xfId="29573" xr:uid="{00000000-0005-0000-0000-0000AD740000}"/>
    <cellStyle name="Normal 276 2 6" xfId="29574" xr:uid="{00000000-0005-0000-0000-0000AE740000}"/>
    <cellStyle name="Normal 276 2 7" xfId="29575" xr:uid="{00000000-0005-0000-0000-0000AF740000}"/>
    <cellStyle name="Normal 276 2 8" xfId="29576" xr:uid="{00000000-0005-0000-0000-0000B0740000}"/>
    <cellStyle name="Normal 276 2 9" xfId="29577" xr:uid="{00000000-0005-0000-0000-0000B1740000}"/>
    <cellStyle name="Normal 276 3" xfId="29578" xr:uid="{00000000-0005-0000-0000-0000B2740000}"/>
    <cellStyle name="Normal 276 3 2" xfId="29579" xr:uid="{00000000-0005-0000-0000-0000B3740000}"/>
    <cellStyle name="Normal 276 3 2 2" xfId="29580" xr:uid="{00000000-0005-0000-0000-0000B4740000}"/>
    <cellStyle name="Normal 276 3 2 2 2" xfId="29581" xr:uid="{00000000-0005-0000-0000-0000B5740000}"/>
    <cellStyle name="Normal 276 3 2 2 3" xfId="29582" xr:uid="{00000000-0005-0000-0000-0000B6740000}"/>
    <cellStyle name="Normal 276 3 2 3" xfId="29583" xr:uid="{00000000-0005-0000-0000-0000B7740000}"/>
    <cellStyle name="Normal 276 3 2 3 2" xfId="29584" xr:uid="{00000000-0005-0000-0000-0000B8740000}"/>
    <cellStyle name="Normal 276 3 2 3 3" xfId="29585" xr:uid="{00000000-0005-0000-0000-0000B9740000}"/>
    <cellStyle name="Normal 276 3 2 4" xfId="29586" xr:uid="{00000000-0005-0000-0000-0000BA740000}"/>
    <cellStyle name="Normal 276 3 2 5" xfId="29587" xr:uid="{00000000-0005-0000-0000-0000BB740000}"/>
    <cellStyle name="Normal 276 3 2 6" xfId="29588" xr:uid="{00000000-0005-0000-0000-0000BC740000}"/>
    <cellStyle name="Normal 276 3 3" xfId="29589" xr:uid="{00000000-0005-0000-0000-0000BD740000}"/>
    <cellStyle name="Normal 276 3 3 2" xfId="29590" xr:uid="{00000000-0005-0000-0000-0000BE740000}"/>
    <cellStyle name="Normal 276 3 3 3" xfId="29591" xr:uid="{00000000-0005-0000-0000-0000BF740000}"/>
    <cellStyle name="Normal 276 3 4" xfId="29592" xr:uid="{00000000-0005-0000-0000-0000C0740000}"/>
    <cellStyle name="Normal 276 3 4 2" xfId="29593" xr:uid="{00000000-0005-0000-0000-0000C1740000}"/>
    <cellStyle name="Normal 276 3 4 3" xfId="29594" xr:uid="{00000000-0005-0000-0000-0000C2740000}"/>
    <cellStyle name="Normal 276 3 5" xfId="29595" xr:uid="{00000000-0005-0000-0000-0000C3740000}"/>
    <cellStyle name="Normal 276 3 6" xfId="29596" xr:uid="{00000000-0005-0000-0000-0000C4740000}"/>
    <cellStyle name="Normal 276 3 7" xfId="29597" xr:uid="{00000000-0005-0000-0000-0000C5740000}"/>
    <cellStyle name="Normal 276 3 8" xfId="29598" xr:uid="{00000000-0005-0000-0000-0000C6740000}"/>
    <cellStyle name="Normal 276 4" xfId="29599" xr:uid="{00000000-0005-0000-0000-0000C7740000}"/>
    <cellStyle name="Normal 276 4 2" xfId="29600" xr:uid="{00000000-0005-0000-0000-0000C8740000}"/>
    <cellStyle name="Normal 276 4 2 2" xfId="29601" xr:uid="{00000000-0005-0000-0000-0000C9740000}"/>
    <cellStyle name="Normal 276 4 2 3" xfId="29602" xr:uid="{00000000-0005-0000-0000-0000CA740000}"/>
    <cellStyle name="Normal 276 4 3" xfId="29603" xr:uid="{00000000-0005-0000-0000-0000CB740000}"/>
    <cellStyle name="Normal 276 4 3 2" xfId="29604" xr:uid="{00000000-0005-0000-0000-0000CC740000}"/>
    <cellStyle name="Normal 276 4 3 3" xfId="29605" xr:uid="{00000000-0005-0000-0000-0000CD740000}"/>
    <cellStyle name="Normal 276 4 4" xfId="29606" xr:uid="{00000000-0005-0000-0000-0000CE740000}"/>
    <cellStyle name="Normal 276 4 5" xfId="29607" xr:uid="{00000000-0005-0000-0000-0000CF740000}"/>
    <cellStyle name="Normal 276 4 6" xfId="29608" xr:uid="{00000000-0005-0000-0000-0000D0740000}"/>
    <cellStyle name="Normal 276 5" xfId="29609" xr:uid="{00000000-0005-0000-0000-0000D1740000}"/>
    <cellStyle name="Normal 276 5 2" xfId="29610" xr:uid="{00000000-0005-0000-0000-0000D2740000}"/>
    <cellStyle name="Normal 276 5 3" xfId="29611" xr:uid="{00000000-0005-0000-0000-0000D3740000}"/>
    <cellStyle name="Normal 276 6" xfId="29612" xr:uid="{00000000-0005-0000-0000-0000D4740000}"/>
    <cellStyle name="Normal 276 6 2" xfId="29613" xr:uid="{00000000-0005-0000-0000-0000D5740000}"/>
    <cellStyle name="Normal 276 6 3" xfId="29614" xr:uid="{00000000-0005-0000-0000-0000D6740000}"/>
    <cellStyle name="Normal 276 7" xfId="29615" xr:uid="{00000000-0005-0000-0000-0000D7740000}"/>
    <cellStyle name="Normal 276 8" xfId="29616" xr:uid="{00000000-0005-0000-0000-0000D8740000}"/>
    <cellStyle name="Normal 276 9" xfId="29617" xr:uid="{00000000-0005-0000-0000-0000D9740000}"/>
    <cellStyle name="Normal 277" xfId="2744" xr:uid="{00000000-0005-0000-0000-0000DA740000}"/>
    <cellStyle name="Normal 277 10" xfId="29618" xr:uid="{00000000-0005-0000-0000-0000DB740000}"/>
    <cellStyle name="Normal 277 11" xfId="29619" xr:uid="{00000000-0005-0000-0000-0000DC740000}"/>
    <cellStyle name="Normal 277 2" xfId="2745" xr:uid="{00000000-0005-0000-0000-0000DD740000}"/>
    <cellStyle name="Normal 277 2 10" xfId="29620" xr:uid="{00000000-0005-0000-0000-0000DE740000}"/>
    <cellStyle name="Normal 277 2 2" xfId="29621" xr:uid="{00000000-0005-0000-0000-0000DF740000}"/>
    <cellStyle name="Normal 277 2 2 2" xfId="29622" xr:uid="{00000000-0005-0000-0000-0000E0740000}"/>
    <cellStyle name="Normal 277 2 2 2 2" xfId="29623" xr:uid="{00000000-0005-0000-0000-0000E1740000}"/>
    <cellStyle name="Normal 277 2 2 2 2 2" xfId="29624" xr:uid="{00000000-0005-0000-0000-0000E2740000}"/>
    <cellStyle name="Normal 277 2 2 2 2 3" xfId="29625" xr:uid="{00000000-0005-0000-0000-0000E3740000}"/>
    <cellStyle name="Normal 277 2 2 2 3" xfId="29626" xr:uid="{00000000-0005-0000-0000-0000E4740000}"/>
    <cellStyle name="Normal 277 2 2 2 3 2" xfId="29627" xr:uid="{00000000-0005-0000-0000-0000E5740000}"/>
    <cellStyle name="Normal 277 2 2 2 3 3" xfId="29628" xr:uid="{00000000-0005-0000-0000-0000E6740000}"/>
    <cellStyle name="Normal 277 2 2 2 4" xfId="29629" xr:uid="{00000000-0005-0000-0000-0000E7740000}"/>
    <cellStyle name="Normal 277 2 2 2 5" xfId="29630" xr:uid="{00000000-0005-0000-0000-0000E8740000}"/>
    <cellStyle name="Normal 277 2 2 2 6" xfId="29631" xr:uid="{00000000-0005-0000-0000-0000E9740000}"/>
    <cellStyle name="Normal 277 2 2 3" xfId="29632" xr:uid="{00000000-0005-0000-0000-0000EA740000}"/>
    <cellStyle name="Normal 277 2 2 3 2" xfId="29633" xr:uid="{00000000-0005-0000-0000-0000EB740000}"/>
    <cellStyle name="Normal 277 2 2 3 3" xfId="29634" xr:uid="{00000000-0005-0000-0000-0000EC740000}"/>
    <cellStyle name="Normal 277 2 2 4" xfId="29635" xr:uid="{00000000-0005-0000-0000-0000ED740000}"/>
    <cellStyle name="Normal 277 2 2 4 2" xfId="29636" xr:uid="{00000000-0005-0000-0000-0000EE740000}"/>
    <cellStyle name="Normal 277 2 2 4 3" xfId="29637" xr:uid="{00000000-0005-0000-0000-0000EF740000}"/>
    <cellStyle name="Normal 277 2 2 5" xfId="29638" xr:uid="{00000000-0005-0000-0000-0000F0740000}"/>
    <cellStyle name="Normal 277 2 2 6" xfId="29639" xr:uid="{00000000-0005-0000-0000-0000F1740000}"/>
    <cellStyle name="Normal 277 2 2 7" xfId="29640" xr:uid="{00000000-0005-0000-0000-0000F2740000}"/>
    <cellStyle name="Normal 277 2 2 8" xfId="29641" xr:uid="{00000000-0005-0000-0000-0000F3740000}"/>
    <cellStyle name="Normal 277 2 3" xfId="29642" xr:uid="{00000000-0005-0000-0000-0000F4740000}"/>
    <cellStyle name="Normal 277 2 3 2" xfId="29643" xr:uid="{00000000-0005-0000-0000-0000F5740000}"/>
    <cellStyle name="Normal 277 2 3 2 2" xfId="29644" xr:uid="{00000000-0005-0000-0000-0000F6740000}"/>
    <cellStyle name="Normal 277 2 3 2 3" xfId="29645" xr:uid="{00000000-0005-0000-0000-0000F7740000}"/>
    <cellStyle name="Normal 277 2 3 3" xfId="29646" xr:uid="{00000000-0005-0000-0000-0000F8740000}"/>
    <cellStyle name="Normal 277 2 3 3 2" xfId="29647" xr:uid="{00000000-0005-0000-0000-0000F9740000}"/>
    <cellStyle name="Normal 277 2 3 3 3" xfId="29648" xr:uid="{00000000-0005-0000-0000-0000FA740000}"/>
    <cellStyle name="Normal 277 2 3 4" xfId="29649" xr:uid="{00000000-0005-0000-0000-0000FB740000}"/>
    <cellStyle name="Normal 277 2 3 5" xfId="29650" xr:uid="{00000000-0005-0000-0000-0000FC740000}"/>
    <cellStyle name="Normal 277 2 3 6" xfId="29651" xr:uid="{00000000-0005-0000-0000-0000FD740000}"/>
    <cellStyle name="Normal 277 2 4" xfId="29652" xr:uid="{00000000-0005-0000-0000-0000FE740000}"/>
    <cellStyle name="Normal 277 2 4 2" xfId="29653" xr:uid="{00000000-0005-0000-0000-0000FF740000}"/>
    <cellStyle name="Normal 277 2 4 3" xfId="29654" xr:uid="{00000000-0005-0000-0000-000000750000}"/>
    <cellStyle name="Normal 277 2 5" xfId="29655" xr:uid="{00000000-0005-0000-0000-000001750000}"/>
    <cellStyle name="Normal 277 2 5 2" xfId="29656" xr:uid="{00000000-0005-0000-0000-000002750000}"/>
    <cellStyle name="Normal 277 2 5 3" xfId="29657" xr:uid="{00000000-0005-0000-0000-000003750000}"/>
    <cellStyle name="Normal 277 2 6" xfId="29658" xr:uid="{00000000-0005-0000-0000-000004750000}"/>
    <cellStyle name="Normal 277 2 7" xfId="29659" xr:uid="{00000000-0005-0000-0000-000005750000}"/>
    <cellStyle name="Normal 277 2 8" xfId="29660" xr:uid="{00000000-0005-0000-0000-000006750000}"/>
    <cellStyle name="Normal 277 2 9" xfId="29661" xr:uid="{00000000-0005-0000-0000-000007750000}"/>
    <cellStyle name="Normal 277 3" xfId="29662" xr:uid="{00000000-0005-0000-0000-000008750000}"/>
    <cellStyle name="Normal 277 3 2" xfId="29663" xr:uid="{00000000-0005-0000-0000-000009750000}"/>
    <cellStyle name="Normal 277 3 2 2" xfId="29664" xr:uid="{00000000-0005-0000-0000-00000A750000}"/>
    <cellStyle name="Normal 277 3 2 2 2" xfId="29665" xr:uid="{00000000-0005-0000-0000-00000B750000}"/>
    <cellStyle name="Normal 277 3 2 2 3" xfId="29666" xr:uid="{00000000-0005-0000-0000-00000C750000}"/>
    <cellStyle name="Normal 277 3 2 3" xfId="29667" xr:uid="{00000000-0005-0000-0000-00000D750000}"/>
    <cellStyle name="Normal 277 3 2 3 2" xfId="29668" xr:uid="{00000000-0005-0000-0000-00000E750000}"/>
    <cellStyle name="Normal 277 3 2 3 3" xfId="29669" xr:uid="{00000000-0005-0000-0000-00000F750000}"/>
    <cellStyle name="Normal 277 3 2 4" xfId="29670" xr:uid="{00000000-0005-0000-0000-000010750000}"/>
    <cellStyle name="Normal 277 3 2 5" xfId="29671" xr:uid="{00000000-0005-0000-0000-000011750000}"/>
    <cellStyle name="Normal 277 3 2 6" xfId="29672" xr:uid="{00000000-0005-0000-0000-000012750000}"/>
    <cellStyle name="Normal 277 3 3" xfId="29673" xr:uid="{00000000-0005-0000-0000-000013750000}"/>
    <cellStyle name="Normal 277 3 3 2" xfId="29674" xr:uid="{00000000-0005-0000-0000-000014750000}"/>
    <cellStyle name="Normal 277 3 3 3" xfId="29675" xr:uid="{00000000-0005-0000-0000-000015750000}"/>
    <cellStyle name="Normal 277 3 4" xfId="29676" xr:uid="{00000000-0005-0000-0000-000016750000}"/>
    <cellStyle name="Normal 277 3 4 2" xfId="29677" xr:uid="{00000000-0005-0000-0000-000017750000}"/>
    <cellStyle name="Normal 277 3 4 3" xfId="29678" xr:uid="{00000000-0005-0000-0000-000018750000}"/>
    <cellStyle name="Normal 277 3 5" xfId="29679" xr:uid="{00000000-0005-0000-0000-000019750000}"/>
    <cellStyle name="Normal 277 3 6" xfId="29680" xr:uid="{00000000-0005-0000-0000-00001A750000}"/>
    <cellStyle name="Normal 277 3 7" xfId="29681" xr:uid="{00000000-0005-0000-0000-00001B750000}"/>
    <cellStyle name="Normal 277 3 8" xfId="29682" xr:uid="{00000000-0005-0000-0000-00001C750000}"/>
    <cellStyle name="Normal 277 4" xfId="29683" xr:uid="{00000000-0005-0000-0000-00001D750000}"/>
    <cellStyle name="Normal 277 4 2" xfId="29684" xr:uid="{00000000-0005-0000-0000-00001E750000}"/>
    <cellStyle name="Normal 277 4 2 2" xfId="29685" xr:uid="{00000000-0005-0000-0000-00001F750000}"/>
    <cellStyle name="Normal 277 4 2 3" xfId="29686" xr:uid="{00000000-0005-0000-0000-000020750000}"/>
    <cellStyle name="Normal 277 4 3" xfId="29687" xr:uid="{00000000-0005-0000-0000-000021750000}"/>
    <cellStyle name="Normal 277 4 3 2" xfId="29688" xr:uid="{00000000-0005-0000-0000-000022750000}"/>
    <cellStyle name="Normal 277 4 3 3" xfId="29689" xr:uid="{00000000-0005-0000-0000-000023750000}"/>
    <cellStyle name="Normal 277 4 4" xfId="29690" xr:uid="{00000000-0005-0000-0000-000024750000}"/>
    <cellStyle name="Normal 277 4 5" xfId="29691" xr:uid="{00000000-0005-0000-0000-000025750000}"/>
    <cellStyle name="Normal 277 4 6" xfId="29692" xr:uid="{00000000-0005-0000-0000-000026750000}"/>
    <cellStyle name="Normal 277 5" xfId="29693" xr:uid="{00000000-0005-0000-0000-000027750000}"/>
    <cellStyle name="Normal 277 5 2" xfId="29694" xr:uid="{00000000-0005-0000-0000-000028750000}"/>
    <cellStyle name="Normal 277 5 3" xfId="29695" xr:uid="{00000000-0005-0000-0000-000029750000}"/>
    <cellStyle name="Normal 277 6" xfId="29696" xr:uid="{00000000-0005-0000-0000-00002A750000}"/>
    <cellStyle name="Normal 277 6 2" xfId="29697" xr:uid="{00000000-0005-0000-0000-00002B750000}"/>
    <cellStyle name="Normal 277 6 3" xfId="29698" xr:uid="{00000000-0005-0000-0000-00002C750000}"/>
    <cellStyle name="Normal 277 7" xfId="29699" xr:uid="{00000000-0005-0000-0000-00002D750000}"/>
    <cellStyle name="Normal 277 8" xfId="29700" xr:uid="{00000000-0005-0000-0000-00002E750000}"/>
    <cellStyle name="Normal 277 9" xfId="29701" xr:uid="{00000000-0005-0000-0000-00002F750000}"/>
    <cellStyle name="Normal 278" xfId="2746" xr:uid="{00000000-0005-0000-0000-000030750000}"/>
    <cellStyle name="Normal 278 10" xfId="29702" xr:uid="{00000000-0005-0000-0000-000031750000}"/>
    <cellStyle name="Normal 278 11" xfId="29703" xr:uid="{00000000-0005-0000-0000-000032750000}"/>
    <cellStyle name="Normal 278 2" xfId="29704" xr:uid="{00000000-0005-0000-0000-000033750000}"/>
    <cellStyle name="Normal 278 2 2" xfId="29705" xr:uid="{00000000-0005-0000-0000-000034750000}"/>
    <cellStyle name="Normal 278 2 2 2" xfId="29706" xr:uid="{00000000-0005-0000-0000-000035750000}"/>
    <cellStyle name="Normal 278 2 2 2 2" xfId="29707" xr:uid="{00000000-0005-0000-0000-000036750000}"/>
    <cellStyle name="Normal 278 2 2 2 2 2" xfId="29708" xr:uid="{00000000-0005-0000-0000-000037750000}"/>
    <cellStyle name="Normal 278 2 2 2 2 3" xfId="29709" xr:uid="{00000000-0005-0000-0000-000038750000}"/>
    <cellStyle name="Normal 278 2 2 2 3" xfId="29710" xr:uid="{00000000-0005-0000-0000-000039750000}"/>
    <cellStyle name="Normal 278 2 2 2 3 2" xfId="29711" xr:uid="{00000000-0005-0000-0000-00003A750000}"/>
    <cellStyle name="Normal 278 2 2 2 3 3" xfId="29712" xr:uid="{00000000-0005-0000-0000-00003B750000}"/>
    <cellStyle name="Normal 278 2 2 2 4" xfId="29713" xr:uid="{00000000-0005-0000-0000-00003C750000}"/>
    <cellStyle name="Normal 278 2 2 2 5" xfId="29714" xr:uid="{00000000-0005-0000-0000-00003D750000}"/>
    <cellStyle name="Normal 278 2 2 2 6" xfId="29715" xr:uid="{00000000-0005-0000-0000-00003E750000}"/>
    <cellStyle name="Normal 278 2 2 3" xfId="29716" xr:uid="{00000000-0005-0000-0000-00003F750000}"/>
    <cellStyle name="Normal 278 2 2 3 2" xfId="29717" xr:uid="{00000000-0005-0000-0000-000040750000}"/>
    <cellStyle name="Normal 278 2 2 3 3" xfId="29718" xr:uid="{00000000-0005-0000-0000-000041750000}"/>
    <cellStyle name="Normal 278 2 2 4" xfId="29719" xr:uid="{00000000-0005-0000-0000-000042750000}"/>
    <cellStyle name="Normal 278 2 2 4 2" xfId="29720" xr:uid="{00000000-0005-0000-0000-000043750000}"/>
    <cellStyle name="Normal 278 2 2 4 3" xfId="29721" xr:uid="{00000000-0005-0000-0000-000044750000}"/>
    <cellStyle name="Normal 278 2 2 5" xfId="29722" xr:uid="{00000000-0005-0000-0000-000045750000}"/>
    <cellStyle name="Normal 278 2 2 6" xfId="29723" xr:uid="{00000000-0005-0000-0000-000046750000}"/>
    <cellStyle name="Normal 278 2 2 7" xfId="29724" xr:uid="{00000000-0005-0000-0000-000047750000}"/>
    <cellStyle name="Normal 278 2 2 8" xfId="29725" xr:uid="{00000000-0005-0000-0000-000048750000}"/>
    <cellStyle name="Normal 278 2 3" xfId="29726" xr:uid="{00000000-0005-0000-0000-000049750000}"/>
    <cellStyle name="Normal 278 2 3 2" xfId="29727" xr:uid="{00000000-0005-0000-0000-00004A750000}"/>
    <cellStyle name="Normal 278 2 3 2 2" xfId="29728" xr:uid="{00000000-0005-0000-0000-00004B750000}"/>
    <cellStyle name="Normal 278 2 3 2 3" xfId="29729" xr:uid="{00000000-0005-0000-0000-00004C750000}"/>
    <cellStyle name="Normal 278 2 3 3" xfId="29730" xr:uid="{00000000-0005-0000-0000-00004D750000}"/>
    <cellStyle name="Normal 278 2 3 3 2" xfId="29731" xr:uid="{00000000-0005-0000-0000-00004E750000}"/>
    <cellStyle name="Normal 278 2 3 3 3" xfId="29732" xr:uid="{00000000-0005-0000-0000-00004F750000}"/>
    <cellStyle name="Normal 278 2 3 4" xfId="29733" xr:uid="{00000000-0005-0000-0000-000050750000}"/>
    <cellStyle name="Normal 278 2 3 5" xfId="29734" xr:uid="{00000000-0005-0000-0000-000051750000}"/>
    <cellStyle name="Normal 278 2 3 6" xfId="29735" xr:uid="{00000000-0005-0000-0000-000052750000}"/>
    <cellStyle name="Normal 278 2 4" xfId="29736" xr:uid="{00000000-0005-0000-0000-000053750000}"/>
    <cellStyle name="Normal 278 2 4 2" xfId="29737" xr:uid="{00000000-0005-0000-0000-000054750000}"/>
    <cellStyle name="Normal 278 2 4 3" xfId="29738" xr:uid="{00000000-0005-0000-0000-000055750000}"/>
    <cellStyle name="Normal 278 2 5" xfId="29739" xr:uid="{00000000-0005-0000-0000-000056750000}"/>
    <cellStyle name="Normal 278 2 5 2" xfId="29740" xr:uid="{00000000-0005-0000-0000-000057750000}"/>
    <cellStyle name="Normal 278 2 5 3" xfId="29741" xr:uid="{00000000-0005-0000-0000-000058750000}"/>
    <cellStyle name="Normal 278 2 6" xfId="29742" xr:uid="{00000000-0005-0000-0000-000059750000}"/>
    <cellStyle name="Normal 278 2 7" xfId="29743" xr:uid="{00000000-0005-0000-0000-00005A750000}"/>
    <cellStyle name="Normal 278 2 8" xfId="29744" xr:uid="{00000000-0005-0000-0000-00005B750000}"/>
    <cellStyle name="Normal 278 2 9" xfId="29745" xr:uid="{00000000-0005-0000-0000-00005C750000}"/>
    <cellStyle name="Normal 278 3" xfId="29746" xr:uid="{00000000-0005-0000-0000-00005D750000}"/>
    <cellStyle name="Normal 278 3 2" xfId="29747" xr:uid="{00000000-0005-0000-0000-00005E750000}"/>
    <cellStyle name="Normal 278 3 2 2" xfId="29748" xr:uid="{00000000-0005-0000-0000-00005F750000}"/>
    <cellStyle name="Normal 278 3 2 2 2" xfId="29749" xr:uid="{00000000-0005-0000-0000-000060750000}"/>
    <cellStyle name="Normal 278 3 2 2 3" xfId="29750" xr:uid="{00000000-0005-0000-0000-000061750000}"/>
    <cellStyle name="Normal 278 3 2 3" xfId="29751" xr:uid="{00000000-0005-0000-0000-000062750000}"/>
    <cellStyle name="Normal 278 3 2 3 2" xfId="29752" xr:uid="{00000000-0005-0000-0000-000063750000}"/>
    <cellStyle name="Normal 278 3 2 3 3" xfId="29753" xr:uid="{00000000-0005-0000-0000-000064750000}"/>
    <cellStyle name="Normal 278 3 2 4" xfId="29754" xr:uid="{00000000-0005-0000-0000-000065750000}"/>
    <cellStyle name="Normal 278 3 2 5" xfId="29755" xr:uid="{00000000-0005-0000-0000-000066750000}"/>
    <cellStyle name="Normal 278 3 2 6" xfId="29756" xr:uid="{00000000-0005-0000-0000-000067750000}"/>
    <cellStyle name="Normal 278 3 3" xfId="29757" xr:uid="{00000000-0005-0000-0000-000068750000}"/>
    <cellStyle name="Normal 278 3 3 2" xfId="29758" xr:uid="{00000000-0005-0000-0000-000069750000}"/>
    <cellStyle name="Normal 278 3 3 3" xfId="29759" xr:uid="{00000000-0005-0000-0000-00006A750000}"/>
    <cellStyle name="Normal 278 3 4" xfId="29760" xr:uid="{00000000-0005-0000-0000-00006B750000}"/>
    <cellStyle name="Normal 278 3 4 2" xfId="29761" xr:uid="{00000000-0005-0000-0000-00006C750000}"/>
    <cellStyle name="Normal 278 3 4 3" xfId="29762" xr:uid="{00000000-0005-0000-0000-00006D750000}"/>
    <cellStyle name="Normal 278 3 5" xfId="29763" xr:uid="{00000000-0005-0000-0000-00006E750000}"/>
    <cellStyle name="Normal 278 3 6" xfId="29764" xr:uid="{00000000-0005-0000-0000-00006F750000}"/>
    <cellStyle name="Normal 278 3 7" xfId="29765" xr:uid="{00000000-0005-0000-0000-000070750000}"/>
    <cellStyle name="Normal 278 3 8" xfId="29766" xr:uid="{00000000-0005-0000-0000-000071750000}"/>
    <cellStyle name="Normal 278 4" xfId="29767" xr:uid="{00000000-0005-0000-0000-000072750000}"/>
    <cellStyle name="Normal 278 4 2" xfId="29768" xr:uid="{00000000-0005-0000-0000-000073750000}"/>
    <cellStyle name="Normal 278 4 2 2" xfId="29769" xr:uid="{00000000-0005-0000-0000-000074750000}"/>
    <cellStyle name="Normal 278 4 2 3" xfId="29770" xr:uid="{00000000-0005-0000-0000-000075750000}"/>
    <cellStyle name="Normal 278 4 3" xfId="29771" xr:uid="{00000000-0005-0000-0000-000076750000}"/>
    <cellStyle name="Normal 278 4 3 2" xfId="29772" xr:uid="{00000000-0005-0000-0000-000077750000}"/>
    <cellStyle name="Normal 278 4 3 3" xfId="29773" xr:uid="{00000000-0005-0000-0000-000078750000}"/>
    <cellStyle name="Normal 278 4 4" xfId="29774" xr:uid="{00000000-0005-0000-0000-000079750000}"/>
    <cellStyle name="Normal 278 4 5" xfId="29775" xr:uid="{00000000-0005-0000-0000-00007A750000}"/>
    <cellStyle name="Normal 278 4 6" xfId="29776" xr:uid="{00000000-0005-0000-0000-00007B750000}"/>
    <cellStyle name="Normal 278 5" xfId="29777" xr:uid="{00000000-0005-0000-0000-00007C750000}"/>
    <cellStyle name="Normal 278 5 2" xfId="29778" xr:uid="{00000000-0005-0000-0000-00007D750000}"/>
    <cellStyle name="Normal 278 5 3" xfId="29779" xr:uid="{00000000-0005-0000-0000-00007E750000}"/>
    <cellStyle name="Normal 278 6" xfId="29780" xr:uid="{00000000-0005-0000-0000-00007F750000}"/>
    <cellStyle name="Normal 278 6 2" xfId="29781" xr:uid="{00000000-0005-0000-0000-000080750000}"/>
    <cellStyle name="Normal 278 6 3" xfId="29782" xr:uid="{00000000-0005-0000-0000-000081750000}"/>
    <cellStyle name="Normal 278 7" xfId="29783" xr:uid="{00000000-0005-0000-0000-000082750000}"/>
    <cellStyle name="Normal 278 8" xfId="29784" xr:uid="{00000000-0005-0000-0000-000083750000}"/>
    <cellStyle name="Normal 278 9" xfId="29785" xr:uid="{00000000-0005-0000-0000-000084750000}"/>
    <cellStyle name="Normal 279" xfId="2747" xr:uid="{00000000-0005-0000-0000-000085750000}"/>
    <cellStyle name="Normal 279 10" xfId="29786" xr:uid="{00000000-0005-0000-0000-000086750000}"/>
    <cellStyle name="Normal 279 11" xfId="29787" xr:uid="{00000000-0005-0000-0000-000087750000}"/>
    <cellStyle name="Normal 279 2" xfId="2748" xr:uid="{00000000-0005-0000-0000-000088750000}"/>
    <cellStyle name="Normal 279 2 10" xfId="29788" xr:uid="{00000000-0005-0000-0000-000089750000}"/>
    <cellStyle name="Normal 279 2 2" xfId="29789" xr:uid="{00000000-0005-0000-0000-00008A750000}"/>
    <cellStyle name="Normal 279 2 2 2" xfId="29790" xr:uid="{00000000-0005-0000-0000-00008B750000}"/>
    <cellStyle name="Normal 279 2 2 2 2" xfId="29791" xr:uid="{00000000-0005-0000-0000-00008C750000}"/>
    <cellStyle name="Normal 279 2 2 2 2 2" xfId="29792" xr:uid="{00000000-0005-0000-0000-00008D750000}"/>
    <cellStyle name="Normal 279 2 2 2 2 3" xfId="29793" xr:uid="{00000000-0005-0000-0000-00008E750000}"/>
    <cellStyle name="Normal 279 2 2 2 3" xfId="29794" xr:uid="{00000000-0005-0000-0000-00008F750000}"/>
    <cellStyle name="Normal 279 2 2 2 3 2" xfId="29795" xr:uid="{00000000-0005-0000-0000-000090750000}"/>
    <cellStyle name="Normal 279 2 2 2 3 3" xfId="29796" xr:uid="{00000000-0005-0000-0000-000091750000}"/>
    <cellStyle name="Normal 279 2 2 2 4" xfId="29797" xr:uid="{00000000-0005-0000-0000-000092750000}"/>
    <cellStyle name="Normal 279 2 2 2 5" xfId="29798" xr:uid="{00000000-0005-0000-0000-000093750000}"/>
    <cellStyle name="Normal 279 2 2 2 6" xfId="29799" xr:uid="{00000000-0005-0000-0000-000094750000}"/>
    <cellStyle name="Normal 279 2 2 3" xfId="29800" xr:uid="{00000000-0005-0000-0000-000095750000}"/>
    <cellStyle name="Normal 279 2 2 3 2" xfId="29801" xr:uid="{00000000-0005-0000-0000-000096750000}"/>
    <cellStyle name="Normal 279 2 2 3 3" xfId="29802" xr:uid="{00000000-0005-0000-0000-000097750000}"/>
    <cellStyle name="Normal 279 2 2 4" xfId="29803" xr:uid="{00000000-0005-0000-0000-000098750000}"/>
    <cellStyle name="Normal 279 2 2 4 2" xfId="29804" xr:uid="{00000000-0005-0000-0000-000099750000}"/>
    <cellStyle name="Normal 279 2 2 4 3" xfId="29805" xr:uid="{00000000-0005-0000-0000-00009A750000}"/>
    <cellStyle name="Normal 279 2 2 5" xfId="29806" xr:uid="{00000000-0005-0000-0000-00009B750000}"/>
    <cellStyle name="Normal 279 2 2 6" xfId="29807" xr:uid="{00000000-0005-0000-0000-00009C750000}"/>
    <cellStyle name="Normal 279 2 2 7" xfId="29808" xr:uid="{00000000-0005-0000-0000-00009D750000}"/>
    <cellStyle name="Normal 279 2 2 8" xfId="29809" xr:uid="{00000000-0005-0000-0000-00009E750000}"/>
    <cellStyle name="Normal 279 2 3" xfId="29810" xr:uid="{00000000-0005-0000-0000-00009F750000}"/>
    <cellStyle name="Normal 279 2 3 2" xfId="29811" xr:uid="{00000000-0005-0000-0000-0000A0750000}"/>
    <cellStyle name="Normal 279 2 3 2 2" xfId="29812" xr:uid="{00000000-0005-0000-0000-0000A1750000}"/>
    <cellStyle name="Normal 279 2 3 2 3" xfId="29813" xr:uid="{00000000-0005-0000-0000-0000A2750000}"/>
    <cellStyle name="Normal 279 2 3 3" xfId="29814" xr:uid="{00000000-0005-0000-0000-0000A3750000}"/>
    <cellStyle name="Normal 279 2 3 3 2" xfId="29815" xr:uid="{00000000-0005-0000-0000-0000A4750000}"/>
    <cellStyle name="Normal 279 2 3 3 3" xfId="29816" xr:uid="{00000000-0005-0000-0000-0000A5750000}"/>
    <cellStyle name="Normal 279 2 3 4" xfId="29817" xr:uid="{00000000-0005-0000-0000-0000A6750000}"/>
    <cellStyle name="Normal 279 2 3 5" xfId="29818" xr:uid="{00000000-0005-0000-0000-0000A7750000}"/>
    <cellStyle name="Normal 279 2 3 6" xfId="29819" xr:uid="{00000000-0005-0000-0000-0000A8750000}"/>
    <cellStyle name="Normal 279 2 4" xfId="29820" xr:uid="{00000000-0005-0000-0000-0000A9750000}"/>
    <cellStyle name="Normal 279 2 4 2" xfId="29821" xr:uid="{00000000-0005-0000-0000-0000AA750000}"/>
    <cellStyle name="Normal 279 2 4 3" xfId="29822" xr:uid="{00000000-0005-0000-0000-0000AB750000}"/>
    <cellStyle name="Normal 279 2 5" xfId="29823" xr:uid="{00000000-0005-0000-0000-0000AC750000}"/>
    <cellStyle name="Normal 279 2 5 2" xfId="29824" xr:uid="{00000000-0005-0000-0000-0000AD750000}"/>
    <cellStyle name="Normal 279 2 5 3" xfId="29825" xr:uid="{00000000-0005-0000-0000-0000AE750000}"/>
    <cellStyle name="Normal 279 2 6" xfId="29826" xr:uid="{00000000-0005-0000-0000-0000AF750000}"/>
    <cellStyle name="Normal 279 2 7" xfId="29827" xr:uid="{00000000-0005-0000-0000-0000B0750000}"/>
    <cellStyle name="Normal 279 2 8" xfId="29828" xr:uid="{00000000-0005-0000-0000-0000B1750000}"/>
    <cellStyle name="Normal 279 2 9" xfId="29829" xr:uid="{00000000-0005-0000-0000-0000B2750000}"/>
    <cellStyle name="Normal 279 3" xfId="29830" xr:uid="{00000000-0005-0000-0000-0000B3750000}"/>
    <cellStyle name="Normal 279 3 2" xfId="29831" xr:uid="{00000000-0005-0000-0000-0000B4750000}"/>
    <cellStyle name="Normal 279 3 2 2" xfId="29832" xr:uid="{00000000-0005-0000-0000-0000B5750000}"/>
    <cellStyle name="Normal 279 3 2 2 2" xfId="29833" xr:uid="{00000000-0005-0000-0000-0000B6750000}"/>
    <cellStyle name="Normal 279 3 2 2 3" xfId="29834" xr:uid="{00000000-0005-0000-0000-0000B7750000}"/>
    <cellStyle name="Normal 279 3 2 3" xfId="29835" xr:uid="{00000000-0005-0000-0000-0000B8750000}"/>
    <cellStyle name="Normal 279 3 2 3 2" xfId="29836" xr:uid="{00000000-0005-0000-0000-0000B9750000}"/>
    <cellStyle name="Normal 279 3 2 3 3" xfId="29837" xr:uid="{00000000-0005-0000-0000-0000BA750000}"/>
    <cellStyle name="Normal 279 3 2 4" xfId="29838" xr:uid="{00000000-0005-0000-0000-0000BB750000}"/>
    <cellStyle name="Normal 279 3 2 5" xfId="29839" xr:uid="{00000000-0005-0000-0000-0000BC750000}"/>
    <cellStyle name="Normal 279 3 2 6" xfId="29840" xr:uid="{00000000-0005-0000-0000-0000BD750000}"/>
    <cellStyle name="Normal 279 3 3" xfId="29841" xr:uid="{00000000-0005-0000-0000-0000BE750000}"/>
    <cellStyle name="Normal 279 3 3 2" xfId="29842" xr:uid="{00000000-0005-0000-0000-0000BF750000}"/>
    <cellStyle name="Normal 279 3 3 3" xfId="29843" xr:uid="{00000000-0005-0000-0000-0000C0750000}"/>
    <cellStyle name="Normal 279 3 4" xfId="29844" xr:uid="{00000000-0005-0000-0000-0000C1750000}"/>
    <cellStyle name="Normal 279 3 4 2" xfId="29845" xr:uid="{00000000-0005-0000-0000-0000C2750000}"/>
    <cellStyle name="Normal 279 3 4 3" xfId="29846" xr:uid="{00000000-0005-0000-0000-0000C3750000}"/>
    <cellStyle name="Normal 279 3 5" xfId="29847" xr:uid="{00000000-0005-0000-0000-0000C4750000}"/>
    <cellStyle name="Normal 279 3 6" xfId="29848" xr:uid="{00000000-0005-0000-0000-0000C5750000}"/>
    <cellStyle name="Normal 279 3 7" xfId="29849" xr:uid="{00000000-0005-0000-0000-0000C6750000}"/>
    <cellStyle name="Normal 279 3 8" xfId="29850" xr:uid="{00000000-0005-0000-0000-0000C7750000}"/>
    <cellStyle name="Normal 279 4" xfId="29851" xr:uid="{00000000-0005-0000-0000-0000C8750000}"/>
    <cellStyle name="Normal 279 4 2" xfId="29852" xr:uid="{00000000-0005-0000-0000-0000C9750000}"/>
    <cellStyle name="Normal 279 4 2 2" xfId="29853" xr:uid="{00000000-0005-0000-0000-0000CA750000}"/>
    <cellStyle name="Normal 279 4 2 3" xfId="29854" xr:uid="{00000000-0005-0000-0000-0000CB750000}"/>
    <cellStyle name="Normal 279 4 3" xfId="29855" xr:uid="{00000000-0005-0000-0000-0000CC750000}"/>
    <cellStyle name="Normal 279 4 3 2" xfId="29856" xr:uid="{00000000-0005-0000-0000-0000CD750000}"/>
    <cellStyle name="Normal 279 4 3 3" xfId="29857" xr:uid="{00000000-0005-0000-0000-0000CE750000}"/>
    <cellStyle name="Normal 279 4 4" xfId="29858" xr:uid="{00000000-0005-0000-0000-0000CF750000}"/>
    <cellStyle name="Normal 279 4 5" xfId="29859" xr:uid="{00000000-0005-0000-0000-0000D0750000}"/>
    <cellStyle name="Normal 279 4 6" xfId="29860" xr:uid="{00000000-0005-0000-0000-0000D1750000}"/>
    <cellStyle name="Normal 279 5" xfId="29861" xr:uid="{00000000-0005-0000-0000-0000D2750000}"/>
    <cellStyle name="Normal 279 5 2" xfId="29862" xr:uid="{00000000-0005-0000-0000-0000D3750000}"/>
    <cellStyle name="Normal 279 5 3" xfId="29863" xr:uid="{00000000-0005-0000-0000-0000D4750000}"/>
    <cellStyle name="Normal 279 6" xfId="29864" xr:uid="{00000000-0005-0000-0000-0000D5750000}"/>
    <cellStyle name="Normal 279 6 2" xfId="29865" xr:uid="{00000000-0005-0000-0000-0000D6750000}"/>
    <cellStyle name="Normal 279 6 3" xfId="29866" xr:uid="{00000000-0005-0000-0000-0000D7750000}"/>
    <cellStyle name="Normal 279 7" xfId="29867" xr:uid="{00000000-0005-0000-0000-0000D8750000}"/>
    <cellStyle name="Normal 279 8" xfId="29868" xr:uid="{00000000-0005-0000-0000-0000D9750000}"/>
    <cellStyle name="Normal 279 9" xfId="29869" xr:uid="{00000000-0005-0000-0000-0000DA750000}"/>
    <cellStyle name="Normal 28" xfId="2749" xr:uid="{00000000-0005-0000-0000-0000DB750000}"/>
    <cellStyle name="Normal 28 10" xfId="29870" xr:uid="{00000000-0005-0000-0000-0000DC750000}"/>
    <cellStyle name="Normal 28 11" xfId="29871" xr:uid="{00000000-0005-0000-0000-0000DD750000}"/>
    <cellStyle name="Normal 28 12" xfId="29872" xr:uid="{00000000-0005-0000-0000-0000DE750000}"/>
    <cellStyle name="Normal 28 2" xfId="2750" xr:uid="{00000000-0005-0000-0000-0000DF750000}"/>
    <cellStyle name="Normal 28 2 10" xfId="29873" xr:uid="{00000000-0005-0000-0000-0000E0750000}"/>
    <cellStyle name="Normal 28 2 11" xfId="29874" xr:uid="{00000000-0005-0000-0000-0000E1750000}"/>
    <cellStyle name="Normal 28 2 2" xfId="29875" xr:uid="{00000000-0005-0000-0000-0000E2750000}"/>
    <cellStyle name="Normal 28 2 2 2" xfId="29876" xr:uid="{00000000-0005-0000-0000-0000E3750000}"/>
    <cellStyle name="Normal 28 2 2 2 2" xfId="29877" xr:uid="{00000000-0005-0000-0000-0000E4750000}"/>
    <cellStyle name="Normal 28 2 2 2 2 2" xfId="29878" xr:uid="{00000000-0005-0000-0000-0000E5750000}"/>
    <cellStyle name="Normal 28 2 2 2 2 3" xfId="29879" xr:uid="{00000000-0005-0000-0000-0000E6750000}"/>
    <cellStyle name="Normal 28 2 2 2 3" xfId="29880" xr:uid="{00000000-0005-0000-0000-0000E7750000}"/>
    <cellStyle name="Normal 28 2 2 2 4" xfId="29881" xr:uid="{00000000-0005-0000-0000-0000E8750000}"/>
    <cellStyle name="Normal 28 2 2 3" xfId="29882" xr:uid="{00000000-0005-0000-0000-0000E9750000}"/>
    <cellStyle name="Normal 28 2 2 3 2" xfId="29883" xr:uid="{00000000-0005-0000-0000-0000EA750000}"/>
    <cellStyle name="Normal 28 2 2 3 3" xfId="29884" xr:uid="{00000000-0005-0000-0000-0000EB750000}"/>
    <cellStyle name="Normal 28 2 2 4" xfId="29885" xr:uid="{00000000-0005-0000-0000-0000EC750000}"/>
    <cellStyle name="Normal 28 2 2 5" xfId="29886" xr:uid="{00000000-0005-0000-0000-0000ED750000}"/>
    <cellStyle name="Normal 28 2 2_Order Book" xfId="29887" xr:uid="{00000000-0005-0000-0000-0000EE750000}"/>
    <cellStyle name="Normal 28 2 3" xfId="29888" xr:uid="{00000000-0005-0000-0000-0000EF750000}"/>
    <cellStyle name="Normal 28 2 3 2" xfId="29889" xr:uid="{00000000-0005-0000-0000-0000F0750000}"/>
    <cellStyle name="Normal 28 2 3 2 2" xfId="29890" xr:uid="{00000000-0005-0000-0000-0000F1750000}"/>
    <cellStyle name="Normal 28 2 3 2 2 2" xfId="29891" xr:uid="{00000000-0005-0000-0000-0000F2750000}"/>
    <cellStyle name="Normal 28 2 3 2 2 3" xfId="29892" xr:uid="{00000000-0005-0000-0000-0000F3750000}"/>
    <cellStyle name="Normal 28 2 3 2 3" xfId="29893" xr:uid="{00000000-0005-0000-0000-0000F4750000}"/>
    <cellStyle name="Normal 28 2 3 2 4" xfId="29894" xr:uid="{00000000-0005-0000-0000-0000F5750000}"/>
    <cellStyle name="Normal 28 2 3 3" xfId="29895" xr:uid="{00000000-0005-0000-0000-0000F6750000}"/>
    <cellStyle name="Normal 28 2 3 3 2" xfId="29896" xr:uid="{00000000-0005-0000-0000-0000F7750000}"/>
    <cellStyle name="Normal 28 2 3 3 3" xfId="29897" xr:uid="{00000000-0005-0000-0000-0000F8750000}"/>
    <cellStyle name="Normal 28 2 3 4" xfId="29898" xr:uid="{00000000-0005-0000-0000-0000F9750000}"/>
    <cellStyle name="Normal 28 2 3 5" xfId="29899" xr:uid="{00000000-0005-0000-0000-0000FA750000}"/>
    <cellStyle name="Normal 28 2 3_Order Book" xfId="29900" xr:uid="{00000000-0005-0000-0000-0000FB750000}"/>
    <cellStyle name="Normal 28 2 4" xfId="29901" xr:uid="{00000000-0005-0000-0000-0000FC750000}"/>
    <cellStyle name="Normal 28 2 4 2" xfId="29902" xr:uid="{00000000-0005-0000-0000-0000FD750000}"/>
    <cellStyle name="Normal 28 2 4 2 2" xfId="29903" xr:uid="{00000000-0005-0000-0000-0000FE750000}"/>
    <cellStyle name="Normal 28 2 4 2 3" xfId="29904" xr:uid="{00000000-0005-0000-0000-0000FF750000}"/>
    <cellStyle name="Normal 28 2 4 3" xfId="29905" xr:uid="{00000000-0005-0000-0000-000000760000}"/>
    <cellStyle name="Normal 28 2 4 4" xfId="29906" xr:uid="{00000000-0005-0000-0000-000001760000}"/>
    <cellStyle name="Normal 28 2 5" xfId="29907" xr:uid="{00000000-0005-0000-0000-000002760000}"/>
    <cellStyle name="Normal 28 2 5 2" xfId="29908" xr:uid="{00000000-0005-0000-0000-000003760000}"/>
    <cellStyle name="Normal 28 2 5 3" xfId="29909" xr:uid="{00000000-0005-0000-0000-000004760000}"/>
    <cellStyle name="Normal 28 2 6" xfId="29910" xr:uid="{00000000-0005-0000-0000-000005760000}"/>
    <cellStyle name="Normal 28 2 7" xfId="29911" xr:uid="{00000000-0005-0000-0000-000006760000}"/>
    <cellStyle name="Normal 28 2 8" xfId="29912" xr:uid="{00000000-0005-0000-0000-000007760000}"/>
    <cellStyle name="Normal 28 2 9" xfId="29913" xr:uid="{00000000-0005-0000-0000-000008760000}"/>
    <cellStyle name="Normal 28 2_Order Book" xfId="29914" xr:uid="{00000000-0005-0000-0000-000009760000}"/>
    <cellStyle name="Normal 28 3" xfId="29915" xr:uid="{00000000-0005-0000-0000-00000A760000}"/>
    <cellStyle name="Normal 28 3 2" xfId="29916" xr:uid="{00000000-0005-0000-0000-00000B760000}"/>
    <cellStyle name="Normal 28 3 2 2" xfId="29917" xr:uid="{00000000-0005-0000-0000-00000C760000}"/>
    <cellStyle name="Normal 28 3 2 2 2" xfId="29918" xr:uid="{00000000-0005-0000-0000-00000D760000}"/>
    <cellStyle name="Normal 28 3 2 2 2 2" xfId="29919" xr:uid="{00000000-0005-0000-0000-00000E760000}"/>
    <cellStyle name="Normal 28 3 2 2 2 3" xfId="29920" xr:uid="{00000000-0005-0000-0000-00000F760000}"/>
    <cellStyle name="Normal 28 3 2 2 3" xfId="29921" xr:uid="{00000000-0005-0000-0000-000010760000}"/>
    <cellStyle name="Normal 28 3 2 2 4" xfId="29922" xr:uid="{00000000-0005-0000-0000-000011760000}"/>
    <cellStyle name="Normal 28 3 2 3" xfId="29923" xr:uid="{00000000-0005-0000-0000-000012760000}"/>
    <cellStyle name="Normal 28 3 2 3 2" xfId="29924" xr:uid="{00000000-0005-0000-0000-000013760000}"/>
    <cellStyle name="Normal 28 3 2 3 3" xfId="29925" xr:uid="{00000000-0005-0000-0000-000014760000}"/>
    <cellStyle name="Normal 28 3 2 4" xfId="29926" xr:uid="{00000000-0005-0000-0000-000015760000}"/>
    <cellStyle name="Normal 28 3 2 5" xfId="29927" xr:uid="{00000000-0005-0000-0000-000016760000}"/>
    <cellStyle name="Normal 28 3 2_Order Book" xfId="29928" xr:uid="{00000000-0005-0000-0000-000017760000}"/>
    <cellStyle name="Normal 28 3 3" xfId="29929" xr:uid="{00000000-0005-0000-0000-000018760000}"/>
    <cellStyle name="Normal 28 3 3 2" xfId="29930" xr:uid="{00000000-0005-0000-0000-000019760000}"/>
    <cellStyle name="Normal 28 3 3 2 2" xfId="29931" xr:uid="{00000000-0005-0000-0000-00001A760000}"/>
    <cellStyle name="Normal 28 3 3 2 3" xfId="29932" xr:uid="{00000000-0005-0000-0000-00001B760000}"/>
    <cellStyle name="Normal 28 3 3 3" xfId="29933" xr:uid="{00000000-0005-0000-0000-00001C760000}"/>
    <cellStyle name="Normal 28 3 3 4" xfId="29934" xr:uid="{00000000-0005-0000-0000-00001D760000}"/>
    <cellStyle name="Normal 28 3 4" xfId="29935" xr:uid="{00000000-0005-0000-0000-00001E760000}"/>
    <cellStyle name="Normal 28 3 4 2" xfId="29936" xr:uid="{00000000-0005-0000-0000-00001F760000}"/>
    <cellStyle name="Normal 28 3 4 3" xfId="29937" xr:uid="{00000000-0005-0000-0000-000020760000}"/>
    <cellStyle name="Normal 28 3 5" xfId="29938" xr:uid="{00000000-0005-0000-0000-000021760000}"/>
    <cellStyle name="Normal 28 3 6" xfId="29939" xr:uid="{00000000-0005-0000-0000-000022760000}"/>
    <cellStyle name="Normal 28 3 7" xfId="29940" xr:uid="{00000000-0005-0000-0000-000023760000}"/>
    <cellStyle name="Normal 28 3_Order Book" xfId="29941" xr:uid="{00000000-0005-0000-0000-000024760000}"/>
    <cellStyle name="Normal 28 4" xfId="29942" xr:uid="{00000000-0005-0000-0000-000025760000}"/>
    <cellStyle name="Normal 28 4 2" xfId="29943" xr:uid="{00000000-0005-0000-0000-000026760000}"/>
    <cellStyle name="Normal 28 4 2 2" xfId="29944" xr:uid="{00000000-0005-0000-0000-000027760000}"/>
    <cellStyle name="Normal 28 4 2 2 2" xfId="29945" xr:uid="{00000000-0005-0000-0000-000028760000}"/>
    <cellStyle name="Normal 28 4 2 2 3" xfId="29946" xr:uid="{00000000-0005-0000-0000-000029760000}"/>
    <cellStyle name="Normal 28 4 2 3" xfId="29947" xr:uid="{00000000-0005-0000-0000-00002A760000}"/>
    <cellStyle name="Normal 28 4 2 4" xfId="29948" xr:uid="{00000000-0005-0000-0000-00002B760000}"/>
    <cellStyle name="Normal 28 4 3" xfId="29949" xr:uid="{00000000-0005-0000-0000-00002C760000}"/>
    <cellStyle name="Normal 28 4 3 2" xfId="29950" xr:uid="{00000000-0005-0000-0000-00002D760000}"/>
    <cellStyle name="Normal 28 4 3 3" xfId="29951" xr:uid="{00000000-0005-0000-0000-00002E760000}"/>
    <cellStyle name="Normal 28 4 4" xfId="29952" xr:uid="{00000000-0005-0000-0000-00002F760000}"/>
    <cellStyle name="Normal 28 4 5" xfId="29953" xr:uid="{00000000-0005-0000-0000-000030760000}"/>
    <cellStyle name="Normal 28 4 6" xfId="29954" xr:uid="{00000000-0005-0000-0000-000031760000}"/>
    <cellStyle name="Normal 28 4_Order Book" xfId="29955" xr:uid="{00000000-0005-0000-0000-000032760000}"/>
    <cellStyle name="Normal 28 5" xfId="29956" xr:uid="{00000000-0005-0000-0000-000033760000}"/>
    <cellStyle name="Normal 28 5 2" xfId="29957" xr:uid="{00000000-0005-0000-0000-000034760000}"/>
    <cellStyle name="Normal 28 5 2 2" xfId="29958" xr:uid="{00000000-0005-0000-0000-000035760000}"/>
    <cellStyle name="Normal 28 5 2 2 2" xfId="29959" xr:uid="{00000000-0005-0000-0000-000036760000}"/>
    <cellStyle name="Normal 28 5 2 2 3" xfId="29960" xr:uid="{00000000-0005-0000-0000-000037760000}"/>
    <cellStyle name="Normal 28 5 2 3" xfId="29961" xr:uid="{00000000-0005-0000-0000-000038760000}"/>
    <cellStyle name="Normal 28 5 2 4" xfId="29962" xr:uid="{00000000-0005-0000-0000-000039760000}"/>
    <cellStyle name="Normal 28 5 3" xfId="29963" xr:uid="{00000000-0005-0000-0000-00003A760000}"/>
    <cellStyle name="Normal 28 5 3 2" xfId="29964" xr:uid="{00000000-0005-0000-0000-00003B760000}"/>
    <cellStyle name="Normal 28 5 3 3" xfId="29965" xr:uid="{00000000-0005-0000-0000-00003C760000}"/>
    <cellStyle name="Normal 28 5 4" xfId="29966" xr:uid="{00000000-0005-0000-0000-00003D760000}"/>
    <cellStyle name="Normal 28 5 5" xfId="29967" xr:uid="{00000000-0005-0000-0000-00003E760000}"/>
    <cellStyle name="Normal 28 5_Order Book" xfId="29968" xr:uid="{00000000-0005-0000-0000-00003F760000}"/>
    <cellStyle name="Normal 28 6" xfId="29969" xr:uid="{00000000-0005-0000-0000-000040760000}"/>
    <cellStyle name="Normal 28 6 2" xfId="29970" xr:uid="{00000000-0005-0000-0000-000041760000}"/>
    <cellStyle name="Normal 28 6 2 2" xfId="29971" xr:uid="{00000000-0005-0000-0000-000042760000}"/>
    <cellStyle name="Normal 28 6 2 2 2" xfId="29972" xr:uid="{00000000-0005-0000-0000-000043760000}"/>
    <cellStyle name="Normal 28 6 2 2 3" xfId="29973" xr:uid="{00000000-0005-0000-0000-000044760000}"/>
    <cellStyle name="Normal 28 6 2 3" xfId="29974" xr:uid="{00000000-0005-0000-0000-000045760000}"/>
    <cellStyle name="Normal 28 6 2 4" xfId="29975" xr:uid="{00000000-0005-0000-0000-000046760000}"/>
    <cellStyle name="Normal 28 6 3" xfId="29976" xr:uid="{00000000-0005-0000-0000-000047760000}"/>
    <cellStyle name="Normal 28 6 3 2" xfId="29977" xr:uid="{00000000-0005-0000-0000-000048760000}"/>
    <cellStyle name="Normal 28 6 3 3" xfId="29978" xr:uid="{00000000-0005-0000-0000-000049760000}"/>
    <cellStyle name="Normal 28 6 4" xfId="29979" xr:uid="{00000000-0005-0000-0000-00004A760000}"/>
    <cellStyle name="Normal 28 6 5" xfId="29980" xr:uid="{00000000-0005-0000-0000-00004B760000}"/>
    <cellStyle name="Normal 28 6_Order Book" xfId="29981" xr:uid="{00000000-0005-0000-0000-00004C760000}"/>
    <cellStyle name="Normal 28 7" xfId="29982" xr:uid="{00000000-0005-0000-0000-00004D760000}"/>
    <cellStyle name="Normal 28 7 2" xfId="29983" xr:uid="{00000000-0005-0000-0000-00004E760000}"/>
    <cellStyle name="Normal 28 7 2 2" xfId="29984" xr:uid="{00000000-0005-0000-0000-00004F760000}"/>
    <cellStyle name="Normal 28 7 2 3" xfId="29985" xr:uid="{00000000-0005-0000-0000-000050760000}"/>
    <cellStyle name="Normal 28 7 3" xfId="29986" xr:uid="{00000000-0005-0000-0000-000051760000}"/>
    <cellStyle name="Normal 28 7 4" xfId="29987" xr:uid="{00000000-0005-0000-0000-000052760000}"/>
    <cellStyle name="Normal 28 8" xfId="29988" xr:uid="{00000000-0005-0000-0000-000053760000}"/>
    <cellStyle name="Normal 28 8 2" xfId="29989" xr:uid="{00000000-0005-0000-0000-000054760000}"/>
    <cellStyle name="Normal 28 8 3" xfId="29990" xr:uid="{00000000-0005-0000-0000-000055760000}"/>
    <cellStyle name="Normal 28 9" xfId="29991" xr:uid="{00000000-0005-0000-0000-000056760000}"/>
    <cellStyle name="Normal 28_Order Book" xfId="29992" xr:uid="{00000000-0005-0000-0000-000057760000}"/>
    <cellStyle name="Normal 280" xfId="2751" xr:uid="{00000000-0005-0000-0000-000058760000}"/>
    <cellStyle name="Normal 280 10" xfId="29993" xr:uid="{00000000-0005-0000-0000-000059760000}"/>
    <cellStyle name="Normal 280 11" xfId="29994" xr:uid="{00000000-0005-0000-0000-00005A760000}"/>
    <cellStyle name="Normal 280 2" xfId="2752" xr:uid="{00000000-0005-0000-0000-00005B760000}"/>
    <cellStyle name="Normal 280 2 10" xfId="29995" xr:uid="{00000000-0005-0000-0000-00005C760000}"/>
    <cellStyle name="Normal 280 2 2" xfId="29996" xr:uid="{00000000-0005-0000-0000-00005D760000}"/>
    <cellStyle name="Normal 280 2 2 2" xfId="29997" xr:uid="{00000000-0005-0000-0000-00005E760000}"/>
    <cellStyle name="Normal 280 2 2 2 2" xfId="29998" xr:uid="{00000000-0005-0000-0000-00005F760000}"/>
    <cellStyle name="Normal 280 2 2 2 2 2" xfId="29999" xr:uid="{00000000-0005-0000-0000-000060760000}"/>
    <cellStyle name="Normal 280 2 2 2 2 3" xfId="30000" xr:uid="{00000000-0005-0000-0000-000061760000}"/>
    <cellStyle name="Normal 280 2 2 2 3" xfId="30001" xr:uid="{00000000-0005-0000-0000-000062760000}"/>
    <cellStyle name="Normal 280 2 2 2 3 2" xfId="30002" xr:uid="{00000000-0005-0000-0000-000063760000}"/>
    <cellStyle name="Normal 280 2 2 2 3 3" xfId="30003" xr:uid="{00000000-0005-0000-0000-000064760000}"/>
    <cellStyle name="Normal 280 2 2 2 4" xfId="30004" xr:uid="{00000000-0005-0000-0000-000065760000}"/>
    <cellStyle name="Normal 280 2 2 2 5" xfId="30005" xr:uid="{00000000-0005-0000-0000-000066760000}"/>
    <cellStyle name="Normal 280 2 2 2 6" xfId="30006" xr:uid="{00000000-0005-0000-0000-000067760000}"/>
    <cellStyle name="Normal 280 2 2 3" xfId="30007" xr:uid="{00000000-0005-0000-0000-000068760000}"/>
    <cellStyle name="Normal 280 2 2 3 2" xfId="30008" xr:uid="{00000000-0005-0000-0000-000069760000}"/>
    <cellStyle name="Normal 280 2 2 3 3" xfId="30009" xr:uid="{00000000-0005-0000-0000-00006A760000}"/>
    <cellStyle name="Normal 280 2 2 4" xfId="30010" xr:uid="{00000000-0005-0000-0000-00006B760000}"/>
    <cellStyle name="Normal 280 2 2 4 2" xfId="30011" xr:uid="{00000000-0005-0000-0000-00006C760000}"/>
    <cellStyle name="Normal 280 2 2 4 3" xfId="30012" xr:uid="{00000000-0005-0000-0000-00006D760000}"/>
    <cellStyle name="Normal 280 2 2 5" xfId="30013" xr:uid="{00000000-0005-0000-0000-00006E760000}"/>
    <cellStyle name="Normal 280 2 2 6" xfId="30014" xr:uid="{00000000-0005-0000-0000-00006F760000}"/>
    <cellStyle name="Normal 280 2 2 7" xfId="30015" xr:uid="{00000000-0005-0000-0000-000070760000}"/>
    <cellStyle name="Normal 280 2 2 8" xfId="30016" xr:uid="{00000000-0005-0000-0000-000071760000}"/>
    <cellStyle name="Normal 280 2 3" xfId="30017" xr:uid="{00000000-0005-0000-0000-000072760000}"/>
    <cellStyle name="Normal 280 2 3 2" xfId="30018" xr:uid="{00000000-0005-0000-0000-000073760000}"/>
    <cellStyle name="Normal 280 2 3 2 2" xfId="30019" xr:uid="{00000000-0005-0000-0000-000074760000}"/>
    <cellStyle name="Normal 280 2 3 2 3" xfId="30020" xr:uid="{00000000-0005-0000-0000-000075760000}"/>
    <cellStyle name="Normal 280 2 3 3" xfId="30021" xr:uid="{00000000-0005-0000-0000-000076760000}"/>
    <cellStyle name="Normal 280 2 3 3 2" xfId="30022" xr:uid="{00000000-0005-0000-0000-000077760000}"/>
    <cellStyle name="Normal 280 2 3 3 3" xfId="30023" xr:uid="{00000000-0005-0000-0000-000078760000}"/>
    <cellStyle name="Normal 280 2 3 4" xfId="30024" xr:uid="{00000000-0005-0000-0000-000079760000}"/>
    <cellStyle name="Normal 280 2 3 5" xfId="30025" xr:uid="{00000000-0005-0000-0000-00007A760000}"/>
    <cellStyle name="Normal 280 2 3 6" xfId="30026" xr:uid="{00000000-0005-0000-0000-00007B760000}"/>
    <cellStyle name="Normal 280 2 4" xfId="30027" xr:uid="{00000000-0005-0000-0000-00007C760000}"/>
    <cellStyle name="Normal 280 2 4 2" xfId="30028" xr:uid="{00000000-0005-0000-0000-00007D760000}"/>
    <cellStyle name="Normal 280 2 4 3" xfId="30029" xr:uid="{00000000-0005-0000-0000-00007E760000}"/>
    <cellStyle name="Normal 280 2 5" xfId="30030" xr:uid="{00000000-0005-0000-0000-00007F760000}"/>
    <cellStyle name="Normal 280 2 5 2" xfId="30031" xr:uid="{00000000-0005-0000-0000-000080760000}"/>
    <cellStyle name="Normal 280 2 5 3" xfId="30032" xr:uid="{00000000-0005-0000-0000-000081760000}"/>
    <cellStyle name="Normal 280 2 6" xfId="30033" xr:uid="{00000000-0005-0000-0000-000082760000}"/>
    <cellStyle name="Normal 280 2 7" xfId="30034" xr:uid="{00000000-0005-0000-0000-000083760000}"/>
    <cellStyle name="Normal 280 2 8" xfId="30035" xr:uid="{00000000-0005-0000-0000-000084760000}"/>
    <cellStyle name="Normal 280 2 9" xfId="30036" xr:uid="{00000000-0005-0000-0000-000085760000}"/>
    <cellStyle name="Normal 280 3" xfId="30037" xr:uid="{00000000-0005-0000-0000-000086760000}"/>
    <cellStyle name="Normal 280 3 2" xfId="30038" xr:uid="{00000000-0005-0000-0000-000087760000}"/>
    <cellStyle name="Normal 280 3 2 2" xfId="30039" xr:uid="{00000000-0005-0000-0000-000088760000}"/>
    <cellStyle name="Normal 280 3 2 2 2" xfId="30040" xr:uid="{00000000-0005-0000-0000-000089760000}"/>
    <cellStyle name="Normal 280 3 2 2 3" xfId="30041" xr:uid="{00000000-0005-0000-0000-00008A760000}"/>
    <cellStyle name="Normal 280 3 2 3" xfId="30042" xr:uid="{00000000-0005-0000-0000-00008B760000}"/>
    <cellStyle name="Normal 280 3 2 3 2" xfId="30043" xr:uid="{00000000-0005-0000-0000-00008C760000}"/>
    <cellStyle name="Normal 280 3 2 3 3" xfId="30044" xr:uid="{00000000-0005-0000-0000-00008D760000}"/>
    <cellStyle name="Normal 280 3 2 4" xfId="30045" xr:uid="{00000000-0005-0000-0000-00008E760000}"/>
    <cellStyle name="Normal 280 3 2 5" xfId="30046" xr:uid="{00000000-0005-0000-0000-00008F760000}"/>
    <cellStyle name="Normal 280 3 2 6" xfId="30047" xr:uid="{00000000-0005-0000-0000-000090760000}"/>
    <cellStyle name="Normal 280 3 3" xfId="30048" xr:uid="{00000000-0005-0000-0000-000091760000}"/>
    <cellStyle name="Normal 280 3 3 2" xfId="30049" xr:uid="{00000000-0005-0000-0000-000092760000}"/>
    <cellStyle name="Normal 280 3 3 3" xfId="30050" xr:uid="{00000000-0005-0000-0000-000093760000}"/>
    <cellStyle name="Normal 280 3 4" xfId="30051" xr:uid="{00000000-0005-0000-0000-000094760000}"/>
    <cellStyle name="Normal 280 3 4 2" xfId="30052" xr:uid="{00000000-0005-0000-0000-000095760000}"/>
    <cellStyle name="Normal 280 3 4 3" xfId="30053" xr:uid="{00000000-0005-0000-0000-000096760000}"/>
    <cellStyle name="Normal 280 3 5" xfId="30054" xr:uid="{00000000-0005-0000-0000-000097760000}"/>
    <cellStyle name="Normal 280 3 6" xfId="30055" xr:uid="{00000000-0005-0000-0000-000098760000}"/>
    <cellStyle name="Normal 280 3 7" xfId="30056" xr:uid="{00000000-0005-0000-0000-000099760000}"/>
    <cellStyle name="Normal 280 3 8" xfId="30057" xr:uid="{00000000-0005-0000-0000-00009A760000}"/>
    <cellStyle name="Normal 280 4" xfId="30058" xr:uid="{00000000-0005-0000-0000-00009B760000}"/>
    <cellStyle name="Normal 280 4 2" xfId="30059" xr:uid="{00000000-0005-0000-0000-00009C760000}"/>
    <cellStyle name="Normal 280 4 2 2" xfId="30060" xr:uid="{00000000-0005-0000-0000-00009D760000}"/>
    <cellStyle name="Normal 280 4 2 3" xfId="30061" xr:uid="{00000000-0005-0000-0000-00009E760000}"/>
    <cellStyle name="Normal 280 4 3" xfId="30062" xr:uid="{00000000-0005-0000-0000-00009F760000}"/>
    <cellStyle name="Normal 280 4 3 2" xfId="30063" xr:uid="{00000000-0005-0000-0000-0000A0760000}"/>
    <cellStyle name="Normal 280 4 3 3" xfId="30064" xr:uid="{00000000-0005-0000-0000-0000A1760000}"/>
    <cellStyle name="Normal 280 4 4" xfId="30065" xr:uid="{00000000-0005-0000-0000-0000A2760000}"/>
    <cellStyle name="Normal 280 4 5" xfId="30066" xr:uid="{00000000-0005-0000-0000-0000A3760000}"/>
    <cellStyle name="Normal 280 4 6" xfId="30067" xr:uid="{00000000-0005-0000-0000-0000A4760000}"/>
    <cellStyle name="Normal 280 5" xfId="30068" xr:uid="{00000000-0005-0000-0000-0000A5760000}"/>
    <cellStyle name="Normal 280 5 2" xfId="30069" xr:uid="{00000000-0005-0000-0000-0000A6760000}"/>
    <cellStyle name="Normal 280 5 3" xfId="30070" xr:uid="{00000000-0005-0000-0000-0000A7760000}"/>
    <cellStyle name="Normal 280 6" xfId="30071" xr:uid="{00000000-0005-0000-0000-0000A8760000}"/>
    <cellStyle name="Normal 280 6 2" xfId="30072" xr:uid="{00000000-0005-0000-0000-0000A9760000}"/>
    <cellStyle name="Normal 280 6 3" xfId="30073" xr:uid="{00000000-0005-0000-0000-0000AA760000}"/>
    <cellStyle name="Normal 280 7" xfId="30074" xr:uid="{00000000-0005-0000-0000-0000AB760000}"/>
    <cellStyle name="Normal 280 8" xfId="30075" xr:uid="{00000000-0005-0000-0000-0000AC760000}"/>
    <cellStyle name="Normal 280 9" xfId="30076" xr:uid="{00000000-0005-0000-0000-0000AD760000}"/>
    <cellStyle name="Normal 281" xfId="2753" xr:uid="{00000000-0005-0000-0000-0000AE760000}"/>
    <cellStyle name="Normal 281 10" xfId="30077" xr:uid="{00000000-0005-0000-0000-0000AF760000}"/>
    <cellStyle name="Normal 281 11" xfId="30078" xr:uid="{00000000-0005-0000-0000-0000B0760000}"/>
    <cellStyle name="Normal 281 2" xfId="30079" xr:uid="{00000000-0005-0000-0000-0000B1760000}"/>
    <cellStyle name="Normal 281 2 2" xfId="30080" xr:uid="{00000000-0005-0000-0000-0000B2760000}"/>
    <cellStyle name="Normal 281 2 2 2" xfId="30081" xr:uid="{00000000-0005-0000-0000-0000B3760000}"/>
    <cellStyle name="Normal 281 2 2 2 2" xfId="30082" xr:uid="{00000000-0005-0000-0000-0000B4760000}"/>
    <cellStyle name="Normal 281 2 2 2 2 2" xfId="30083" xr:uid="{00000000-0005-0000-0000-0000B5760000}"/>
    <cellStyle name="Normal 281 2 2 2 2 3" xfId="30084" xr:uid="{00000000-0005-0000-0000-0000B6760000}"/>
    <cellStyle name="Normal 281 2 2 2 3" xfId="30085" xr:uid="{00000000-0005-0000-0000-0000B7760000}"/>
    <cellStyle name="Normal 281 2 2 2 3 2" xfId="30086" xr:uid="{00000000-0005-0000-0000-0000B8760000}"/>
    <cellStyle name="Normal 281 2 2 2 3 3" xfId="30087" xr:uid="{00000000-0005-0000-0000-0000B9760000}"/>
    <cellStyle name="Normal 281 2 2 2 4" xfId="30088" xr:uid="{00000000-0005-0000-0000-0000BA760000}"/>
    <cellStyle name="Normal 281 2 2 2 5" xfId="30089" xr:uid="{00000000-0005-0000-0000-0000BB760000}"/>
    <cellStyle name="Normal 281 2 2 2 6" xfId="30090" xr:uid="{00000000-0005-0000-0000-0000BC760000}"/>
    <cellStyle name="Normal 281 2 2 3" xfId="30091" xr:uid="{00000000-0005-0000-0000-0000BD760000}"/>
    <cellStyle name="Normal 281 2 2 3 2" xfId="30092" xr:uid="{00000000-0005-0000-0000-0000BE760000}"/>
    <cellStyle name="Normal 281 2 2 3 3" xfId="30093" xr:uid="{00000000-0005-0000-0000-0000BF760000}"/>
    <cellStyle name="Normal 281 2 2 4" xfId="30094" xr:uid="{00000000-0005-0000-0000-0000C0760000}"/>
    <cellStyle name="Normal 281 2 2 4 2" xfId="30095" xr:uid="{00000000-0005-0000-0000-0000C1760000}"/>
    <cellStyle name="Normal 281 2 2 4 3" xfId="30096" xr:uid="{00000000-0005-0000-0000-0000C2760000}"/>
    <cellStyle name="Normal 281 2 2 5" xfId="30097" xr:uid="{00000000-0005-0000-0000-0000C3760000}"/>
    <cellStyle name="Normal 281 2 2 6" xfId="30098" xr:uid="{00000000-0005-0000-0000-0000C4760000}"/>
    <cellStyle name="Normal 281 2 2 7" xfId="30099" xr:uid="{00000000-0005-0000-0000-0000C5760000}"/>
    <cellStyle name="Normal 281 2 2 8" xfId="30100" xr:uid="{00000000-0005-0000-0000-0000C6760000}"/>
    <cellStyle name="Normal 281 2 3" xfId="30101" xr:uid="{00000000-0005-0000-0000-0000C7760000}"/>
    <cellStyle name="Normal 281 2 3 2" xfId="30102" xr:uid="{00000000-0005-0000-0000-0000C8760000}"/>
    <cellStyle name="Normal 281 2 3 2 2" xfId="30103" xr:uid="{00000000-0005-0000-0000-0000C9760000}"/>
    <cellStyle name="Normal 281 2 3 2 3" xfId="30104" xr:uid="{00000000-0005-0000-0000-0000CA760000}"/>
    <cellStyle name="Normal 281 2 3 3" xfId="30105" xr:uid="{00000000-0005-0000-0000-0000CB760000}"/>
    <cellStyle name="Normal 281 2 3 3 2" xfId="30106" xr:uid="{00000000-0005-0000-0000-0000CC760000}"/>
    <cellStyle name="Normal 281 2 3 3 3" xfId="30107" xr:uid="{00000000-0005-0000-0000-0000CD760000}"/>
    <cellStyle name="Normal 281 2 3 4" xfId="30108" xr:uid="{00000000-0005-0000-0000-0000CE760000}"/>
    <cellStyle name="Normal 281 2 3 5" xfId="30109" xr:uid="{00000000-0005-0000-0000-0000CF760000}"/>
    <cellStyle name="Normal 281 2 3 6" xfId="30110" xr:uid="{00000000-0005-0000-0000-0000D0760000}"/>
    <cellStyle name="Normal 281 2 4" xfId="30111" xr:uid="{00000000-0005-0000-0000-0000D1760000}"/>
    <cellStyle name="Normal 281 2 4 2" xfId="30112" xr:uid="{00000000-0005-0000-0000-0000D2760000}"/>
    <cellStyle name="Normal 281 2 4 3" xfId="30113" xr:uid="{00000000-0005-0000-0000-0000D3760000}"/>
    <cellStyle name="Normal 281 2 5" xfId="30114" xr:uid="{00000000-0005-0000-0000-0000D4760000}"/>
    <cellStyle name="Normal 281 2 5 2" xfId="30115" xr:uid="{00000000-0005-0000-0000-0000D5760000}"/>
    <cellStyle name="Normal 281 2 5 3" xfId="30116" xr:uid="{00000000-0005-0000-0000-0000D6760000}"/>
    <cellStyle name="Normal 281 2 6" xfId="30117" xr:uid="{00000000-0005-0000-0000-0000D7760000}"/>
    <cellStyle name="Normal 281 2 7" xfId="30118" xr:uid="{00000000-0005-0000-0000-0000D8760000}"/>
    <cellStyle name="Normal 281 2 8" xfId="30119" xr:uid="{00000000-0005-0000-0000-0000D9760000}"/>
    <cellStyle name="Normal 281 2 9" xfId="30120" xr:uid="{00000000-0005-0000-0000-0000DA760000}"/>
    <cellStyle name="Normal 281 3" xfId="30121" xr:uid="{00000000-0005-0000-0000-0000DB760000}"/>
    <cellStyle name="Normal 281 3 2" xfId="30122" xr:uid="{00000000-0005-0000-0000-0000DC760000}"/>
    <cellStyle name="Normal 281 3 2 2" xfId="30123" xr:uid="{00000000-0005-0000-0000-0000DD760000}"/>
    <cellStyle name="Normal 281 3 2 2 2" xfId="30124" xr:uid="{00000000-0005-0000-0000-0000DE760000}"/>
    <cellStyle name="Normal 281 3 2 2 3" xfId="30125" xr:uid="{00000000-0005-0000-0000-0000DF760000}"/>
    <cellStyle name="Normal 281 3 2 3" xfId="30126" xr:uid="{00000000-0005-0000-0000-0000E0760000}"/>
    <cellStyle name="Normal 281 3 2 3 2" xfId="30127" xr:uid="{00000000-0005-0000-0000-0000E1760000}"/>
    <cellStyle name="Normal 281 3 2 3 3" xfId="30128" xr:uid="{00000000-0005-0000-0000-0000E2760000}"/>
    <cellStyle name="Normal 281 3 2 4" xfId="30129" xr:uid="{00000000-0005-0000-0000-0000E3760000}"/>
    <cellStyle name="Normal 281 3 2 5" xfId="30130" xr:uid="{00000000-0005-0000-0000-0000E4760000}"/>
    <cellStyle name="Normal 281 3 2 6" xfId="30131" xr:uid="{00000000-0005-0000-0000-0000E5760000}"/>
    <cellStyle name="Normal 281 3 3" xfId="30132" xr:uid="{00000000-0005-0000-0000-0000E6760000}"/>
    <cellStyle name="Normal 281 3 3 2" xfId="30133" xr:uid="{00000000-0005-0000-0000-0000E7760000}"/>
    <cellStyle name="Normal 281 3 3 3" xfId="30134" xr:uid="{00000000-0005-0000-0000-0000E8760000}"/>
    <cellStyle name="Normal 281 3 4" xfId="30135" xr:uid="{00000000-0005-0000-0000-0000E9760000}"/>
    <cellStyle name="Normal 281 3 4 2" xfId="30136" xr:uid="{00000000-0005-0000-0000-0000EA760000}"/>
    <cellStyle name="Normal 281 3 4 3" xfId="30137" xr:uid="{00000000-0005-0000-0000-0000EB760000}"/>
    <cellStyle name="Normal 281 3 5" xfId="30138" xr:uid="{00000000-0005-0000-0000-0000EC760000}"/>
    <cellStyle name="Normal 281 3 6" xfId="30139" xr:uid="{00000000-0005-0000-0000-0000ED760000}"/>
    <cellStyle name="Normal 281 3 7" xfId="30140" xr:uid="{00000000-0005-0000-0000-0000EE760000}"/>
    <cellStyle name="Normal 281 3 8" xfId="30141" xr:uid="{00000000-0005-0000-0000-0000EF760000}"/>
    <cellStyle name="Normal 281 4" xfId="30142" xr:uid="{00000000-0005-0000-0000-0000F0760000}"/>
    <cellStyle name="Normal 281 4 2" xfId="30143" xr:uid="{00000000-0005-0000-0000-0000F1760000}"/>
    <cellStyle name="Normal 281 4 2 2" xfId="30144" xr:uid="{00000000-0005-0000-0000-0000F2760000}"/>
    <cellStyle name="Normal 281 4 2 3" xfId="30145" xr:uid="{00000000-0005-0000-0000-0000F3760000}"/>
    <cellStyle name="Normal 281 4 3" xfId="30146" xr:uid="{00000000-0005-0000-0000-0000F4760000}"/>
    <cellStyle name="Normal 281 4 3 2" xfId="30147" xr:uid="{00000000-0005-0000-0000-0000F5760000}"/>
    <cellStyle name="Normal 281 4 3 3" xfId="30148" xr:uid="{00000000-0005-0000-0000-0000F6760000}"/>
    <cellStyle name="Normal 281 4 4" xfId="30149" xr:uid="{00000000-0005-0000-0000-0000F7760000}"/>
    <cellStyle name="Normal 281 4 5" xfId="30150" xr:uid="{00000000-0005-0000-0000-0000F8760000}"/>
    <cellStyle name="Normal 281 4 6" xfId="30151" xr:uid="{00000000-0005-0000-0000-0000F9760000}"/>
    <cellStyle name="Normal 281 5" xfId="30152" xr:uid="{00000000-0005-0000-0000-0000FA760000}"/>
    <cellStyle name="Normal 281 5 2" xfId="30153" xr:uid="{00000000-0005-0000-0000-0000FB760000}"/>
    <cellStyle name="Normal 281 5 3" xfId="30154" xr:uid="{00000000-0005-0000-0000-0000FC760000}"/>
    <cellStyle name="Normal 281 6" xfId="30155" xr:uid="{00000000-0005-0000-0000-0000FD760000}"/>
    <cellStyle name="Normal 281 6 2" xfId="30156" xr:uid="{00000000-0005-0000-0000-0000FE760000}"/>
    <cellStyle name="Normal 281 6 3" xfId="30157" xr:uid="{00000000-0005-0000-0000-0000FF760000}"/>
    <cellStyle name="Normal 281 7" xfId="30158" xr:uid="{00000000-0005-0000-0000-000000770000}"/>
    <cellStyle name="Normal 281 8" xfId="30159" xr:uid="{00000000-0005-0000-0000-000001770000}"/>
    <cellStyle name="Normal 281 9" xfId="30160" xr:uid="{00000000-0005-0000-0000-000002770000}"/>
    <cellStyle name="Normal 282" xfId="2754" xr:uid="{00000000-0005-0000-0000-000003770000}"/>
    <cellStyle name="Normal 282 10" xfId="30161" xr:uid="{00000000-0005-0000-0000-000004770000}"/>
    <cellStyle name="Normal 282 11" xfId="30162" xr:uid="{00000000-0005-0000-0000-000005770000}"/>
    <cellStyle name="Normal 282 2" xfId="2755" xr:uid="{00000000-0005-0000-0000-000006770000}"/>
    <cellStyle name="Normal 282 2 10" xfId="30163" xr:uid="{00000000-0005-0000-0000-000007770000}"/>
    <cellStyle name="Normal 282 2 2" xfId="30164" xr:uid="{00000000-0005-0000-0000-000008770000}"/>
    <cellStyle name="Normal 282 2 2 2" xfId="30165" xr:uid="{00000000-0005-0000-0000-000009770000}"/>
    <cellStyle name="Normal 282 2 2 2 2" xfId="30166" xr:uid="{00000000-0005-0000-0000-00000A770000}"/>
    <cellStyle name="Normal 282 2 2 2 2 2" xfId="30167" xr:uid="{00000000-0005-0000-0000-00000B770000}"/>
    <cellStyle name="Normal 282 2 2 2 2 3" xfId="30168" xr:uid="{00000000-0005-0000-0000-00000C770000}"/>
    <cellStyle name="Normal 282 2 2 2 3" xfId="30169" xr:uid="{00000000-0005-0000-0000-00000D770000}"/>
    <cellStyle name="Normal 282 2 2 2 3 2" xfId="30170" xr:uid="{00000000-0005-0000-0000-00000E770000}"/>
    <cellStyle name="Normal 282 2 2 2 3 3" xfId="30171" xr:uid="{00000000-0005-0000-0000-00000F770000}"/>
    <cellStyle name="Normal 282 2 2 2 4" xfId="30172" xr:uid="{00000000-0005-0000-0000-000010770000}"/>
    <cellStyle name="Normal 282 2 2 2 5" xfId="30173" xr:uid="{00000000-0005-0000-0000-000011770000}"/>
    <cellStyle name="Normal 282 2 2 2 6" xfId="30174" xr:uid="{00000000-0005-0000-0000-000012770000}"/>
    <cellStyle name="Normal 282 2 2 3" xfId="30175" xr:uid="{00000000-0005-0000-0000-000013770000}"/>
    <cellStyle name="Normal 282 2 2 3 2" xfId="30176" xr:uid="{00000000-0005-0000-0000-000014770000}"/>
    <cellStyle name="Normal 282 2 2 3 3" xfId="30177" xr:uid="{00000000-0005-0000-0000-000015770000}"/>
    <cellStyle name="Normal 282 2 2 4" xfId="30178" xr:uid="{00000000-0005-0000-0000-000016770000}"/>
    <cellStyle name="Normal 282 2 2 4 2" xfId="30179" xr:uid="{00000000-0005-0000-0000-000017770000}"/>
    <cellStyle name="Normal 282 2 2 4 3" xfId="30180" xr:uid="{00000000-0005-0000-0000-000018770000}"/>
    <cellStyle name="Normal 282 2 2 5" xfId="30181" xr:uid="{00000000-0005-0000-0000-000019770000}"/>
    <cellStyle name="Normal 282 2 2 6" xfId="30182" xr:uid="{00000000-0005-0000-0000-00001A770000}"/>
    <cellStyle name="Normal 282 2 2 7" xfId="30183" xr:uid="{00000000-0005-0000-0000-00001B770000}"/>
    <cellStyle name="Normal 282 2 2 8" xfId="30184" xr:uid="{00000000-0005-0000-0000-00001C770000}"/>
    <cellStyle name="Normal 282 2 3" xfId="30185" xr:uid="{00000000-0005-0000-0000-00001D770000}"/>
    <cellStyle name="Normal 282 2 3 2" xfId="30186" xr:uid="{00000000-0005-0000-0000-00001E770000}"/>
    <cellStyle name="Normal 282 2 3 2 2" xfId="30187" xr:uid="{00000000-0005-0000-0000-00001F770000}"/>
    <cellStyle name="Normal 282 2 3 2 3" xfId="30188" xr:uid="{00000000-0005-0000-0000-000020770000}"/>
    <cellStyle name="Normal 282 2 3 3" xfId="30189" xr:uid="{00000000-0005-0000-0000-000021770000}"/>
    <cellStyle name="Normal 282 2 3 3 2" xfId="30190" xr:uid="{00000000-0005-0000-0000-000022770000}"/>
    <cellStyle name="Normal 282 2 3 3 3" xfId="30191" xr:uid="{00000000-0005-0000-0000-000023770000}"/>
    <cellStyle name="Normal 282 2 3 4" xfId="30192" xr:uid="{00000000-0005-0000-0000-000024770000}"/>
    <cellStyle name="Normal 282 2 3 5" xfId="30193" xr:uid="{00000000-0005-0000-0000-000025770000}"/>
    <cellStyle name="Normal 282 2 3 6" xfId="30194" xr:uid="{00000000-0005-0000-0000-000026770000}"/>
    <cellStyle name="Normal 282 2 4" xfId="30195" xr:uid="{00000000-0005-0000-0000-000027770000}"/>
    <cellStyle name="Normal 282 2 4 2" xfId="30196" xr:uid="{00000000-0005-0000-0000-000028770000}"/>
    <cellStyle name="Normal 282 2 4 3" xfId="30197" xr:uid="{00000000-0005-0000-0000-000029770000}"/>
    <cellStyle name="Normal 282 2 5" xfId="30198" xr:uid="{00000000-0005-0000-0000-00002A770000}"/>
    <cellStyle name="Normal 282 2 5 2" xfId="30199" xr:uid="{00000000-0005-0000-0000-00002B770000}"/>
    <cellStyle name="Normal 282 2 5 3" xfId="30200" xr:uid="{00000000-0005-0000-0000-00002C770000}"/>
    <cellStyle name="Normal 282 2 6" xfId="30201" xr:uid="{00000000-0005-0000-0000-00002D770000}"/>
    <cellStyle name="Normal 282 2 7" xfId="30202" xr:uid="{00000000-0005-0000-0000-00002E770000}"/>
    <cellStyle name="Normal 282 2 8" xfId="30203" xr:uid="{00000000-0005-0000-0000-00002F770000}"/>
    <cellStyle name="Normal 282 2 9" xfId="30204" xr:uid="{00000000-0005-0000-0000-000030770000}"/>
    <cellStyle name="Normal 282 3" xfId="30205" xr:uid="{00000000-0005-0000-0000-000031770000}"/>
    <cellStyle name="Normal 282 3 2" xfId="30206" xr:uid="{00000000-0005-0000-0000-000032770000}"/>
    <cellStyle name="Normal 282 3 2 2" xfId="30207" xr:uid="{00000000-0005-0000-0000-000033770000}"/>
    <cellStyle name="Normal 282 3 2 2 2" xfId="30208" xr:uid="{00000000-0005-0000-0000-000034770000}"/>
    <cellStyle name="Normal 282 3 2 2 3" xfId="30209" xr:uid="{00000000-0005-0000-0000-000035770000}"/>
    <cellStyle name="Normal 282 3 2 3" xfId="30210" xr:uid="{00000000-0005-0000-0000-000036770000}"/>
    <cellStyle name="Normal 282 3 2 3 2" xfId="30211" xr:uid="{00000000-0005-0000-0000-000037770000}"/>
    <cellStyle name="Normal 282 3 2 3 3" xfId="30212" xr:uid="{00000000-0005-0000-0000-000038770000}"/>
    <cellStyle name="Normal 282 3 2 4" xfId="30213" xr:uid="{00000000-0005-0000-0000-000039770000}"/>
    <cellStyle name="Normal 282 3 2 5" xfId="30214" xr:uid="{00000000-0005-0000-0000-00003A770000}"/>
    <cellStyle name="Normal 282 3 2 6" xfId="30215" xr:uid="{00000000-0005-0000-0000-00003B770000}"/>
    <cellStyle name="Normal 282 3 3" xfId="30216" xr:uid="{00000000-0005-0000-0000-00003C770000}"/>
    <cellStyle name="Normal 282 3 3 2" xfId="30217" xr:uid="{00000000-0005-0000-0000-00003D770000}"/>
    <cellStyle name="Normal 282 3 3 3" xfId="30218" xr:uid="{00000000-0005-0000-0000-00003E770000}"/>
    <cellStyle name="Normal 282 3 4" xfId="30219" xr:uid="{00000000-0005-0000-0000-00003F770000}"/>
    <cellStyle name="Normal 282 3 4 2" xfId="30220" xr:uid="{00000000-0005-0000-0000-000040770000}"/>
    <cellStyle name="Normal 282 3 4 3" xfId="30221" xr:uid="{00000000-0005-0000-0000-000041770000}"/>
    <cellStyle name="Normal 282 3 5" xfId="30222" xr:uid="{00000000-0005-0000-0000-000042770000}"/>
    <cellStyle name="Normal 282 3 6" xfId="30223" xr:uid="{00000000-0005-0000-0000-000043770000}"/>
    <cellStyle name="Normal 282 3 7" xfId="30224" xr:uid="{00000000-0005-0000-0000-000044770000}"/>
    <cellStyle name="Normal 282 3 8" xfId="30225" xr:uid="{00000000-0005-0000-0000-000045770000}"/>
    <cellStyle name="Normal 282 4" xfId="30226" xr:uid="{00000000-0005-0000-0000-000046770000}"/>
    <cellStyle name="Normal 282 4 2" xfId="30227" xr:uid="{00000000-0005-0000-0000-000047770000}"/>
    <cellStyle name="Normal 282 4 2 2" xfId="30228" xr:uid="{00000000-0005-0000-0000-000048770000}"/>
    <cellStyle name="Normal 282 4 2 3" xfId="30229" xr:uid="{00000000-0005-0000-0000-000049770000}"/>
    <cellStyle name="Normal 282 4 3" xfId="30230" xr:uid="{00000000-0005-0000-0000-00004A770000}"/>
    <cellStyle name="Normal 282 4 3 2" xfId="30231" xr:uid="{00000000-0005-0000-0000-00004B770000}"/>
    <cellStyle name="Normal 282 4 3 3" xfId="30232" xr:uid="{00000000-0005-0000-0000-00004C770000}"/>
    <cellStyle name="Normal 282 4 4" xfId="30233" xr:uid="{00000000-0005-0000-0000-00004D770000}"/>
    <cellStyle name="Normal 282 4 5" xfId="30234" xr:uid="{00000000-0005-0000-0000-00004E770000}"/>
    <cellStyle name="Normal 282 4 6" xfId="30235" xr:uid="{00000000-0005-0000-0000-00004F770000}"/>
    <cellStyle name="Normal 282 5" xfId="30236" xr:uid="{00000000-0005-0000-0000-000050770000}"/>
    <cellStyle name="Normal 282 5 2" xfId="30237" xr:uid="{00000000-0005-0000-0000-000051770000}"/>
    <cellStyle name="Normal 282 5 3" xfId="30238" xr:uid="{00000000-0005-0000-0000-000052770000}"/>
    <cellStyle name="Normal 282 6" xfId="30239" xr:uid="{00000000-0005-0000-0000-000053770000}"/>
    <cellStyle name="Normal 282 6 2" xfId="30240" xr:uid="{00000000-0005-0000-0000-000054770000}"/>
    <cellStyle name="Normal 282 6 3" xfId="30241" xr:uid="{00000000-0005-0000-0000-000055770000}"/>
    <cellStyle name="Normal 282 7" xfId="30242" xr:uid="{00000000-0005-0000-0000-000056770000}"/>
    <cellStyle name="Normal 282 8" xfId="30243" xr:uid="{00000000-0005-0000-0000-000057770000}"/>
    <cellStyle name="Normal 282 9" xfId="30244" xr:uid="{00000000-0005-0000-0000-000058770000}"/>
    <cellStyle name="Normal 283" xfId="2756" xr:uid="{00000000-0005-0000-0000-000059770000}"/>
    <cellStyle name="Normal 283 10" xfId="30245" xr:uid="{00000000-0005-0000-0000-00005A770000}"/>
    <cellStyle name="Normal 283 11" xfId="30246" xr:uid="{00000000-0005-0000-0000-00005B770000}"/>
    <cellStyle name="Normal 283 2" xfId="2757" xr:uid="{00000000-0005-0000-0000-00005C770000}"/>
    <cellStyle name="Normal 283 2 10" xfId="30247" xr:uid="{00000000-0005-0000-0000-00005D770000}"/>
    <cellStyle name="Normal 283 2 2" xfId="30248" xr:uid="{00000000-0005-0000-0000-00005E770000}"/>
    <cellStyle name="Normal 283 2 2 2" xfId="30249" xr:uid="{00000000-0005-0000-0000-00005F770000}"/>
    <cellStyle name="Normal 283 2 2 2 2" xfId="30250" xr:uid="{00000000-0005-0000-0000-000060770000}"/>
    <cellStyle name="Normal 283 2 2 2 2 2" xfId="30251" xr:uid="{00000000-0005-0000-0000-000061770000}"/>
    <cellStyle name="Normal 283 2 2 2 2 3" xfId="30252" xr:uid="{00000000-0005-0000-0000-000062770000}"/>
    <cellStyle name="Normal 283 2 2 2 3" xfId="30253" xr:uid="{00000000-0005-0000-0000-000063770000}"/>
    <cellStyle name="Normal 283 2 2 2 3 2" xfId="30254" xr:uid="{00000000-0005-0000-0000-000064770000}"/>
    <cellStyle name="Normal 283 2 2 2 3 3" xfId="30255" xr:uid="{00000000-0005-0000-0000-000065770000}"/>
    <cellStyle name="Normal 283 2 2 2 4" xfId="30256" xr:uid="{00000000-0005-0000-0000-000066770000}"/>
    <cellStyle name="Normal 283 2 2 2 5" xfId="30257" xr:uid="{00000000-0005-0000-0000-000067770000}"/>
    <cellStyle name="Normal 283 2 2 2 6" xfId="30258" xr:uid="{00000000-0005-0000-0000-000068770000}"/>
    <cellStyle name="Normal 283 2 2 3" xfId="30259" xr:uid="{00000000-0005-0000-0000-000069770000}"/>
    <cellStyle name="Normal 283 2 2 3 2" xfId="30260" xr:uid="{00000000-0005-0000-0000-00006A770000}"/>
    <cellStyle name="Normal 283 2 2 3 3" xfId="30261" xr:uid="{00000000-0005-0000-0000-00006B770000}"/>
    <cellStyle name="Normal 283 2 2 4" xfId="30262" xr:uid="{00000000-0005-0000-0000-00006C770000}"/>
    <cellStyle name="Normal 283 2 2 4 2" xfId="30263" xr:uid="{00000000-0005-0000-0000-00006D770000}"/>
    <cellStyle name="Normal 283 2 2 4 3" xfId="30264" xr:uid="{00000000-0005-0000-0000-00006E770000}"/>
    <cellStyle name="Normal 283 2 2 5" xfId="30265" xr:uid="{00000000-0005-0000-0000-00006F770000}"/>
    <cellStyle name="Normal 283 2 2 6" xfId="30266" xr:uid="{00000000-0005-0000-0000-000070770000}"/>
    <cellStyle name="Normal 283 2 2 7" xfId="30267" xr:uid="{00000000-0005-0000-0000-000071770000}"/>
    <cellStyle name="Normal 283 2 2 8" xfId="30268" xr:uid="{00000000-0005-0000-0000-000072770000}"/>
    <cellStyle name="Normal 283 2 3" xfId="30269" xr:uid="{00000000-0005-0000-0000-000073770000}"/>
    <cellStyle name="Normal 283 2 3 2" xfId="30270" xr:uid="{00000000-0005-0000-0000-000074770000}"/>
    <cellStyle name="Normal 283 2 3 2 2" xfId="30271" xr:uid="{00000000-0005-0000-0000-000075770000}"/>
    <cellStyle name="Normal 283 2 3 2 3" xfId="30272" xr:uid="{00000000-0005-0000-0000-000076770000}"/>
    <cellStyle name="Normal 283 2 3 3" xfId="30273" xr:uid="{00000000-0005-0000-0000-000077770000}"/>
    <cellStyle name="Normal 283 2 3 3 2" xfId="30274" xr:uid="{00000000-0005-0000-0000-000078770000}"/>
    <cellStyle name="Normal 283 2 3 3 3" xfId="30275" xr:uid="{00000000-0005-0000-0000-000079770000}"/>
    <cellStyle name="Normal 283 2 3 4" xfId="30276" xr:uid="{00000000-0005-0000-0000-00007A770000}"/>
    <cellStyle name="Normal 283 2 3 5" xfId="30277" xr:uid="{00000000-0005-0000-0000-00007B770000}"/>
    <cellStyle name="Normal 283 2 3 6" xfId="30278" xr:uid="{00000000-0005-0000-0000-00007C770000}"/>
    <cellStyle name="Normal 283 2 4" xfId="30279" xr:uid="{00000000-0005-0000-0000-00007D770000}"/>
    <cellStyle name="Normal 283 2 4 2" xfId="30280" xr:uid="{00000000-0005-0000-0000-00007E770000}"/>
    <cellStyle name="Normal 283 2 4 3" xfId="30281" xr:uid="{00000000-0005-0000-0000-00007F770000}"/>
    <cellStyle name="Normal 283 2 5" xfId="30282" xr:uid="{00000000-0005-0000-0000-000080770000}"/>
    <cellStyle name="Normal 283 2 5 2" xfId="30283" xr:uid="{00000000-0005-0000-0000-000081770000}"/>
    <cellStyle name="Normal 283 2 5 3" xfId="30284" xr:uid="{00000000-0005-0000-0000-000082770000}"/>
    <cellStyle name="Normal 283 2 6" xfId="30285" xr:uid="{00000000-0005-0000-0000-000083770000}"/>
    <cellStyle name="Normal 283 2 7" xfId="30286" xr:uid="{00000000-0005-0000-0000-000084770000}"/>
    <cellStyle name="Normal 283 2 8" xfId="30287" xr:uid="{00000000-0005-0000-0000-000085770000}"/>
    <cellStyle name="Normal 283 2 9" xfId="30288" xr:uid="{00000000-0005-0000-0000-000086770000}"/>
    <cellStyle name="Normal 283 3" xfId="30289" xr:uid="{00000000-0005-0000-0000-000087770000}"/>
    <cellStyle name="Normal 283 3 2" xfId="30290" xr:uid="{00000000-0005-0000-0000-000088770000}"/>
    <cellStyle name="Normal 283 3 2 2" xfId="30291" xr:uid="{00000000-0005-0000-0000-000089770000}"/>
    <cellStyle name="Normal 283 3 2 2 2" xfId="30292" xr:uid="{00000000-0005-0000-0000-00008A770000}"/>
    <cellStyle name="Normal 283 3 2 2 3" xfId="30293" xr:uid="{00000000-0005-0000-0000-00008B770000}"/>
    <cellStyle name="Normal 283 3 2 3" xfId="30294" xr:uid="{00000000-0005-0000-0000-00008C770000}"/>
    <cellStyle name="Normal 283 3 2 3 2" xfId="30295" xr:uid="{00000000-0005-0000-0000-00008D770000}"/>
    <cellStyle name="Normal 283 3 2 3 3" xfId="30296" xr:uid="{00000000-0005-0000-0000-00008E770000}"/>
    <cellStyle name="Normal 283 3 2 4" xfId="30297" xr:uid="{00000000-0005-0000-0000-00008F770000}"/>
    <cellStyle name="Normal 283 3 2 5" xfId="30298" xr:uid="{00000000-0005-0000-0000-000090770000}"/>
    <cellStyle name="Normal 283 3 2 6" xfId="30299" xr:uid="{00000000-0005-0000-0000-000091770000}"/>
    <cellStyle name="Normal 283 3 3" xfId="30300" xr:uid="{00000000-0005-0000-0000-000092770000}"/>
    <cellStyle name="Normal 283 3 3 2" xfId="30301" xr:uid="{00000000-0005-0000-0000-000093770000}"/>
    <cellStyle name="Normal 283 3 3 3" xfId="30302" xr:uid="{00000000-0005-0000-0000-000094770000}"/>
    <cellStyle name="Normal 283 3 4" xfId="30303" xr:uid="{00000000-0005-0000-0000-000095770000}"/>
    <cellStyle name="Normal 283 3 4 2" xfId="30304" xr:uid="{00000000-0005-0000-0000-000096770000}"/>
    <cellStyle name="Normal 283 3 4 3" xfId="30305" xr:uid="{00000000-0005-0000-0000-000097770000}"/>
    <cellStyle name="Normal 283 3 5" xfId="30306" xr:uid="{00000000-0005-0000-0000-000098770000}"/>
    <cellStyle name="Normal 283 3 6" xfId="30307" xr:uid="{00000000-0005-0000-0000-000099770000}"/>
    <cellStyle name="Normal 283 3 7" xfId="30308" xr:uid="{00000000-0005-0000-0000-00009A770000}"/>
    <cellStyle name="Normal 283 3 8" xfId="30309" xr:uid="{00000000-0005-0000-0000-00009B770000}"/>
    <cellStyle name="Normal 283 4" xfId="30310" xr:uid="{00000000-0005-0000-0000-00009C770000}"/>
    <cellStyle name="Normal 283 4 2" xfId="30311" xr:uid="{00000000-0005-0000-0000-00009D770000}"/>
    <cellStyle name="Normal 283 4 2 2" xfId="30312" xr:uid="{00000000-0005-0000-0000-00009E770000}"/>
    <cellStyle name="Normal 283 4 2 3" xfId="30313" xr:uid="{00000000-0005-0000-0000-00009F770000}"/>
    <cellStyle name="Normal 283 4 3" xfId="30314" xr:uid="{00000000-0005-0000-0000-0000A0770000}"/>
    <cellStyle name="Normal 283 4 3 2" xfId="30315" xr:uid="{00000000-0005-0000-0000-0000A1770000}"/>
    <cellStyle name="Normal 283 4 3 3" xfId="30316" xr:uid="{00000000-0005-0000-0000-0000A2770000}"/>
    <cellStyle name="Normal 283 4 4" xfId="30317" xr:uid="{00000000-0005-0000-0000-0000A3770000}"/>
    <cellStyle name="Normal 283 4 5" xfId="30318" xr:uid="{00000000-0005-0000-0000-0000A4770000}"/>
    <cellStyle name="Normal 283 4 6" xfId="30319" xr:uid="{00000000-0005-0000-0000-0000A5770000}"/>
    <cellStyle name="Normal 283 5" xfId="30320" xr:uid="{00000000-0005-0000-0000-0000A6770000}"/>
    <cellStyle name="Normal 283 5 2" xfId="30321" xr:uid="{00000000-0005-0000-0000-0000A7770000}"/>
    <cellStyle name="Normal 283 5 3" xfId="30322" xr:uid="{00000000-0005-0000-0000-0000A8770000}"/>
    <cellStyle name="Normal 283 6" xfId="30323" xr:uid="{00000000-0005-0000-0000-0000A9770000}"/>
    <cellStyle name="Normal 283 6 2" xfId="30324" xr:uid="{00000000-0005-0000-0000-0000AA770000}"/>
    <cellStyle name="Normal 283 6 3" xfId="30325" xr:uid="{00000000-0005-0000-0000-0000AB770000}"/>
    <cellStyle name="Normal 283 7" xfId="30326" xr:uid="{00000000-0005-0000-0000-0000AC770000}"/>
    <cellStyle name="Normal 283 8" xfId="30327" xr:uid="{00000000-0005-0000-0000-0000AD770000}"/>
    <cellStyle name="Normal 283 9" xfId="30328" xr:uid="{00000000-0005-0000-0000-0000AE770000}"/>
    <cellStyle name="Normal 284" xfId="2758" xr:uid="{00000000-0005-0000-0000-0000AF770000}"/>
    <cellStyle name="Normal 284 10" xfId="30329" xr:uid="{00000000-0005-0000-0000-0000B0770000}"/>
    <cellStyle name="Normal 284 11" xfId="30330" xr:uid="{00000000-0005-0000-0000-0000B1770000}"/>
    <cellStyle name="Normal 284 2" xfId="2759" xr:uid="{00000000-0005-0000-0000-0000B2770000}"/>
    <cellStyle name="Normal 284 2 10" xfId="30331" xr:uid="{00000000-0005-0000-0000-0000B3770000}"/>
    <cellStyle name="Normal 284 2 2" xfId="30332" xr:uid="{00000000-0005-0000-0000-0000B4770000}"/>
    <cellStyle name="Normal 284 2 2 2" xfId="30333" xr:uid="{00000000-0005-0000-0000-0000B5770000}"/>
    <cellStyle name="Normal 284 2 2 2 2" xfId="30334" xr:uid="{00000000-0005-0000-0000-0000B6770000}"/>
    <cellStyle name="Normal 284 2 2 2 2 2" xfId="30335" xr:uid="{00000000-0005-0000-0000-0000B7770000}"/>
    <cellStyle name="Normal 284 2 2 2 2 3" xfId="30336" xr:uid="{00000000-0005-0000-0000-0000B8770000}"/>
    <cellStyle name="Normal 284 2 2 2 3" xfId="30337" xr:uid="{00000000-0005-0000-0000-0000B9770000}"/>
    <cellStyle name="Normal 284 2 2 2 3 2" xfId="30338" xr:uid="{00000000-0005-0000-0000-0000BA770000}"/>
    <cellStyle name="Normal 284 2 2 2 3 3" xfId="30339" xr:uid="{00000000-0005-0000-0000-0000BB770000}"/>
    <cellStyle name="Normal 284 2 2 2 4" xfId="30340" xr:uid="{00000000-0005-0000-0000-0000BC770000}"/>
    <cellStyle name="Normal 284 2 2 2 5" xfId="30341" xr:uid="{00000000-0005-0000-0000-0000BD770000}"/>
    <cellStyle name="Normal 284 2 2 2 6" xfId="30342" xr:uid="{00000000-0005-0000-0000-0000BE770000}"/>
    <cellStyle name="Normal 284 2 2 3" xfId="30343" xr:uid="{00000000-0005-0000-0000-0000BF770000}"/>
    <cellStyle name="Normal 284 2 2 3 2" xfId="30344" xr:uid="{00000000-0005-0000-0000-0000C0770000}"/>
    <cellStyle name="Normal 284 2 2 3 3" xfId="30345" xr:uid="{00000000-0005-0000-0000-0000C1770000}"/>
    <cellStyle name="Normal 284 2 2 4" xfId="30346" xr:uid="{00000000-0005-0000-0000-0000C2770000}"/>
    <cellStyle name="Normal 284 2 2 4 2" xfId="30347" xr:uid="{00000000-0005-0000-0000-0000C3770000}"/>
    <cellStyle name="Normal 284 2 2 4 3" xfId="30348" xr:uid="{00000000-0005-0000-0000-0000C4770000}"/>
    <cellStyle name="Normal 284 2 2 5" xfId="30349" xr:uid="{00000000-0005-0000-0000-0000C5770000}"/>
    <cellStyle name="Normal 284 2 2 6" xfId="30350" xr:uid="{00000000-0005-0000-0000-0000C6770000}"/>
    <cellStyle name="Normal 284 2 2 7" xfId="30351" xr:uid="{00000000-0005-0000-0000-0000C7770000}"/>
    <cellStyle name="Normal 284 2 2 8" xfId="30352" xr:uid="{00000000-0005-0000-0000-0000C8770000}"/>
    <cellStyle name="Normal 284 2 3" xfId="30353" xr:uid="{00000000-0005-0000-0000-0000C9770000}"/>
    <cellStyle name="Normal 284 2 3 2" xfId="30354" xr:uid="{00000000-0005-0000-0000-0000CA770000}"/>
    <cellStyle name="Normal 284 2 3 2 2" xfId="30355" xr:uid="{00000000-0005-0000-0000-0000CB770000}"/>
    <cellStyle name="Normal 284 2 3 2 3" xfId="30356" xr:uid="{00000000-0005-0000-0000-0000CC770000}"/>
    <cellStyle name="Normal 284 2 3 3" xfId="30357" xr:uid="{00000000-0005-0000-0000-0000CD770000}"/>
    <cellStyle name="Normal 284 2 3 3 2" xfId="30358" xr:uid="{00000000-0005-0000-0000-0000CE770000}"/>
    <cellStyle name="Normal 284 2 3 3 3" xfId="30359" xr:uid="{00000000-0005-0000-0000-0000CF770000}"/>
    <cellStyle name="Normal 284 2 3 4" xfId="30360" xr:uid="{00000000-0005-0000-0000-0000D0770000}"/>
    <cellStyle name="Normal 284 2 3 5" xfId="30361" xr:uid="{00000000-0005-0000-0000-0000D1770000}"/>
    <cellStyle name="Normal 284 2 3 6" xfId="30362" xr:uid="{00000000-0005-0000-0000-0000D2770000}"/>
    <cellStyle name="Normal 284 2 4" xfId="30363" xr:uid="{00000000-0005-0000-0000-0000D3770000}"/>
    <cellStyle name="Normal 284 2 4 2" xfId="30364" xr:uid="{00000000-0005-0000-0000-0000D4770000}"/>
    <cellStyle name="Normal 284 2 4 3" xfId="30365" xr:uid="{00000000-0005-0000-0000-0000D5770000}"/>
    <cellStyle name="Normal 284 2 5" xfId="30366" xr:uid="{00000000-0005-0000-0000-0000D6770000}"/>
    <cellStyle name="Normal 284 2 5 2" xfId="30367" xr:uid="{00000000-0005-0000-0000-0000D7770000}"/>
    <cellStyle name="Normal 284 2 5 3" xfId="30368" xr:uid="{00000000-0005-0000-0000-0000D8770000}"/>
    <cellStyle name="Normal 284 2 6" xfId="30369" xr:uid="{00000000-0005-0000-0000-0000D9770000}"/>
    <cellStyle name="Normal 284 2 7" xfId="30370" xr:uid="{00000000-0005-0000-0000-0000DA770000}"/>
    <cellStyle name="Normal 284 2 8" xfId="30371" xr:uid="{00000000-0005-0000-0000-0000DB770000}"/>
    <cellStyle name="Normal 284 2 9" xfId="30372" xr:uid="{00000000-0005-0000-0000-0000DC770000}"/>
    <cellStyle name="Normal 284 3" xfId="30373" xr:uid="{00000000-0005-0000-0000-0000DD770000}"/>
    <cellStyle name="Normal 284 3 2" xfId="30374" xr:uid="{00000000-0005-0000-0000-0000DE770000}"/>
    <cellStyle name="Normal 284 3 2 2" xfId="30375" xr:uid="{00000000-0005-0000-0000-0000DF770000}"/>
    <cellStyle name="Normal 284 3 2 2 2" xfId="30376" xr:uid="{00000000-0005-0000-0000-0000E0770000}"/>
    <cellStyle name="Normal 284 3 2 2 3" xfId="30377" xr:uid="{00000000-0005-0000-0000-0000E1770000}"/>
    <cellStyle name="Normal 284 3 2 3" xfId="30378" xr:uid="{00000000-0005-0000-0000-0000E2770000}"/>
    <cellStyle name="Normal 284 3 2 3 2" xfId="30379" xr:uid="{00000000-0005-0000-0000-0000E3770000}"/>
    <cellStyle name="Normal 284 3 2 3 3" xfId="30380" xr:uid="{00000000-0005-0000-0000-0000E4770000}"/>
    <cellStyle name="Normal 284 3 2 4" xfId="30381" xr:uid="{00000000-0005-0000-0000-0000E5770000}"/>
    <cellStyle name="Normal 284 3 2 5" xfId="30382" xr:uid="{00000000-0005-0000-0000-0000E6770000}"/>
    <cellStyle name="Normal 284 3 2 6" xfId="30383" xr:uid="{00000000-0005-0000-0000-0000E7770000}"/>
    <cellStyle name="Normal 284 3 3" xfId="30384" xr:uid="{00000000-0005-0000-0000-0000E8770000}"/>
    <cellStyle name="Normal 284 3 3 2" xfId="30385" xr:uid="{00000000-0005-0000-0000-0000E9770000}"/>
    <cellStyle name="Normal 284 3 3 3" xfId="30386" xr:uid="{00000000-0005-0000-0000-0000EA770000}"/>
    <cellStyle name="Normal 284 3 4" xfId="30387" xr:uid="{00000000-0005-0000-0000-0000EB770000}"/>
    <cellStyle name="Normal 284 3 4 2" xfId="30388" xr:uid="{00000000-0005-0000-0000-0000EC770000}"/>
    <cellStyle name="Normal 284 3 4 3" xfId="30389" xr:uid="{00000000-0005-0000-0000-0000ED770000}"/>
    <cellStyle name="Normal 284 3 5" xfId="30390" xr:uid="{00000000-0005-0000-0000-0000EE770000}"/>
    <cellStyle name="Normal 284 3 6" xfId="30391" xr:uid="{00000000-0005-0000-0000-0000EF770000}"/>
    <cellStyle name="Normal 284 3 7" xfId="30392" xr:uid="{00000000-0005-0000-0000-0000F0770000}"/>
    <cellStyle name="Normal 284 3 8" xfId="30393" xr:uid="{00000000-0005-0000-0000-0000F1770000}"/>
    <cellStyle name="Normal 284 4" xfId="30394" xr:uid="{00000000-0005-0000-0000-0000F2770000}"/>
    <cellStyle name="Normal 284 4 2" xfId="30395" xr:uid="{00000000-0005-0000-0000-0000F3770000}"/>
    <cellStyle name="Normal 284 4 2 2" xfId="30396" xr:uid="{00000000-0005-0000-0000-0000F4770000}"/>
    <cellStyle name="Normal 284 4 2 3" xfId="30397" xr:uid="{00000000-0005-0000-0000-0000F5770000}"/>
    <cellStyle name="Normal 284 4 3" xfId="30398" xr:uid="{00000000-0005-0000-0000-0000F6770000}"/>
    <cellStyle name="Normal 284 4 3 2" xfId="30399" xr:uid="{00000000-0005-0000-0000-0000F7770000}"/>
    <cellStyle name="Normal 284 4 3 3" xfId="30400" xr:uid="{00000000-0005-0000-0000-0000F8770000}"/>
    <cellStyle name="Normal 284 4 4" xfId="30401" xr:uid="{00000000-0005-0000-0000-0000F9770000}"/>
    <cellStyle name="Normal 284 4 5" xfId="30402" xr:uid="{00000000-0005-0000-0000-0000FA770000}"/>
    <cellStyle name="Normal 284 4 6" xfId="30403" xr:uid="{00000000-0005-0000-0000-0000FB770000}"/>
    <cellStyle name="Normal 284 5" xfId="30404" xr:uid="{00000000-0005-0000-0000-0000FC770000}"/>
    <cellStyle name="Normal 284 5 2" xfId="30405" xr:uid="{00000000-0005-0000-0000-0000FD770000}"/>
    <cellStyle name="Normal 284 5 3" xfId="30406" xr:uid="{00000000-0005-0000-0000-0000FE770000}"/>
    <cellStyle name="Normal 284 6" xfId="30407" xr:uid="{00000000-0005-0000-0000-0000FF770000}"/>
    <cellStyle name="Normal 284 6 2" xfId="30408" xr:uid="{00000000-0005-0000-0000-000000780000}"/>
    <cellStyle name="Normal 284 6 3" xfId="30409" xr:uid="{00000000-0005-0000-0000-000001780000}"/>
    <cellStyle name="Normal 284 7" xfId="30410" xr:uid="{00000000-0005-0000-0000-000002780000}"/>
    <cellStyle name="Normal 284 8" xfId="30411" xr:uid="{00000000-0005-0000-0000-000003780000}"/>
    <cellStyle name="Normal 284 9" xfId="30412" xr:uid="{00000000-0005-0000-0000-000004780000}"/>
    <cellStyle name="Normal 285" xfId="2760" xr:uid="{00000000-0005-0000-0000-000005780000}"/>
    <cellStyle name="Normal 285 10" xfId="30413" xr:uid="{00000000-0005-0000-0000-000006780000}"/>
    <cellStyle name="Normal 285 11" xfId="30414" xr:uid="{00000000-0005-0000-0000-000007780000}"/>
    <cellStyle name="Normal 285 2" xfId="2761" xr:uid="{00000000-0005-0000-0000-000008780000}"/>
    <cellStyle name="Normal 285 2 10" xfId="30415" xr:uid="{00000000-0005-0000-0000-000009780000}"/>
    <cellStyle name="Normal 285 2 2" xfId="30416" xr:uid="{00000000-0005-0000-0000-00000A780000}"/>
    <cellStyle name="Normal 285 2 2 2" xfId="30417" xr:uid="{00000000-0005-0000-0000-00000B780000}"/>
    <cellStyle name="Normal 285 2 2 2 2" xfId="30418" xr:uid="{00000000-0005-0000-0000-00000C780000}"/>
    <cellStyle name="Normal 285 2 2 2 2 2" xfId="30419" xr:uid="{00000000-0005-0000-0000-00000D780000}"/>
    <cellStyle name="Normal 285 2 2 2 2 3" xfId="30420" xr:uid="{00000000-0005-0000-0000-00000E780000}"/>
    <cellStyle name="Normal 285 2 2 2 3" xfId="30421" xr:uid="{00000000-0005-0000-0000-00000F780000}"/>
    <cellStyle name="Normal 285 2 2 2 3 2" xfId="30422" xr:uid="{00000000-0005-0000-0000-000010780000}"/>
    <cellStyle name="Normal 285 2 2 2 3 3" xfId="30423" xr:uid="{00000000-0005-0000-0000-000011780000}"/>
    <cellStyle name="Normal 285 2 2 2 4" xfId="30424" xr:uid="{00000000-0005-0000-0000-000012780000}"/>
    <cellStyle name="Normal 285 2 2 2 5" xfId="30425" xr:uid="{00000000-0005-0000-0000-000013780000}"/>
    <cellStyle name="Normal 285 2 2 2 6" xfId="30426" xr:uid="{00000000-0005-0000-0000-000014780000}"/>
    <cellStyle name="Normal 285 2 2 3" xfId="30427" xr:uid="{00000000-0005-0000-0000-000015780000}"/>
    <cellStyle name="Normal 285 2 2 3 2" xfId="30428" xr:uid="{00000000-0005-0000-0000-000016780000}"/>
    <cellStyle name="Normal 285 2 2 3 3" xfId="30429" xr:uid="{00000000-0005-0000-0000-000017780000}"/>
    <cellStyle name="Normal 285 2 2 4" xfId="30430" xr:uid="{00000000-0005-0000-0000-000018780000}"/>
    <cellStyle name="Normal 285 2 2 4 2" xfId="30431" xr:uid="{00000000-0005-0000-0000-000019780000}"/>
    <cellStyle name="Normal 285 2 2 4 3" xfId="30432" xr:uid="{00000000-0005-0000-0000-00001A780000}"/>
    <cellStyle name="Normal 285 2 2 5" xfId="30433" xr:uid="{00000000-0005-0000-0000-00001B780000}"/>
    <cellStyle name="Normal 285 2 2 6" xfId="30434" xr:uid="{00000000-0005-0000-0000-00001C780000}"/>
    <cellStyle name="Normal 285 2 2 7" xfId="30435" xr:uid="{00000000-0005-0000-0000-00001D780000}"/>
    <cellStyle name="Normal 285 2 2 8" xfId="30436" xr:uid="{00000000-0005-0000-0000-00001E780000}"/>
    <cellStyle name="Normal 285 2 3" xfId="30437" xr:uid="{00000000-0005-0000-0000-00001F780000}"/>
    <cellStyle name="Normal 285 2 3 2" xfId="30438" xr:uid="{00000000-0005-0000-0000-000020780000}"/>
    <cellStyle name="Normal 285 2 3 2 2" xfId="30439" xr:uid="{00000000-0005-0000-0000-000021780000}"/>
    <cellStyle name="Normal 285 2 3 2 3" xfId="30440" xr:uid="{00000000-0005-0000-0000-000022780000}"/>
    <cellStyle name="Normal 285 2 3 3" xfId="30441" xr:uid="{00000000-0005-0000-0000-000023780000}"/>
    <cellStyle name="Normal 285 2 3 3 2" xfId="30442" xr:uid="{00000000-0005-0000-0000-000024780000}"/>
    <cellStyle name="Normal 285 2 3 3 3" xfId="30443" xr:uid="{00000000-0005-0000-0000-000025780000}"/>
    <cellStyle name="Normal 285 2 3 4" xfId="30444" xr:uid="{00000000-0005-0000-0000-000026780000}"/>
    <cellStyle name="Normal 285 2 3 5" xfId="30445" xr:uid="{00000000-0005-0000-0000-000027780000}"/>
    <cellStyle name="Normal 285 2 3 6" xfId="30446" xr:uid="{00000000-0005-0000-0000-000028780000}"/>
    <cellStyle name="Normal 285 2 4" xfId="30447" xr:uid="{00000000-0005-0000-0000-000029780000}"/>
    <cellStyle name="Normal 285 2 4 2" xfId="30448" xr:uid="{00000000-0005-0000-0000-00002A780000}"/>
    <cellStyle name="Normal 285 2 4 3" xfId="30449" xr:uid="{00000000-0005-0000-0000-00002B780000}"/>
    <cellStyle name="Normal 285 2 5" xfId="30450" xr:uid="{00000000-0005-0000-0000-00002C780000}"/>
    <cellStyle name="Normal 285 2 5 2" xfId="30451" xr:uid="{00000000-0005-0000-0000-00002D780000}"/>
    <cellStyle name="Normal 285 2 5 3" xfId="30452" xr:uid="{00000000-0005-0000-0000-00002E780000}"/>
    <cellStyle name="Normal 285 2 6" xfId="30453" xr:uid="{00000000-0005-0000-0000-00002F780000}"/>
    <cellStyle name="Normal 285 2 7" xfId="30454" xr:uid="{00000000-0005-0000-0000-000030780000}"/>
    <cellStyle name="Normal 285 2 8" xfId="30455" xr:uid="{00000000-0005-0000-0000-000031780000}"/>
    <cellStyle name="Normal 285 2 9" xfId="30456" xr:uid="{00000000-0005-0000-0000-000032780000}"/>
    <cellStyle name="Normal 285 3" xfId="30457" xr:uid="{00000000-0005-0000-0000-000033780000}"/>
    <cellStyle name="Normal 285 3 2" xfId="30458" xr:uid="{00000000-0005-0000-0000-000034780000}"/>
    <cellStyle name="Normal 285 3 2 2" xfId="30459" xr:uid="{00000000-0005-0000-0000-000035780000}"/>
    <cellStyle name="Normal 285 3 2 2 2" xfId="30460" xr:uid="{00000000-0005-0000-0000-000036780000}"/>
    <cellStyle name="Normal 285 3 2 2 3" xfId="30461" xr:uid="{00000000-0005-0000-0000-000037780000}"/>
    <cellStyle name="Normal 285 3 2 3" xfId="30462" xr:uid="{00000000-0005-0000-0000-000038780000}"/>
    <cellStyle name="Normal 285 3 2 3 2" xfId="30463" xr:uid="{00000000-0005-0000-0000-000039780000}"/>
    <cellStyle name="Normal 285 3 2 3 3" xfId="30464" xr:uid="{00000000-0005-0000-0000-00003A780000}"/>
    <cellStyle name="Normal 285 3 2 4" xfId="30465" xr:uid="{00000000-0005-0000-0000-00003B780000}"/>
    <cellStyle name="Normal 285 3 2 5" xfId="30466" xr:uid="{00000000-0005-0000-0000-00003C780000}"/>
    <cellStyle name="Normal 285 3 2 6" xfId="30467" xr:uid="{00000000-0005-0000-0000-00003D780000}"/>
    <cellStyle name="Normal 285 3 3" xfId="30468" xr:uid="{00000000-0005-0000-0000-00003E780000}"/>
    <cellStyle name="Normal 285 3 3 2" xfId="30469" xr:uid="{00000000-0005-0000-0000-00003F780000}"/>
    <cellStyle name="Normal 285 3 3 3" xfId="30470" xr:uid="{00000000-0005-0000-0000-000040780000}"/>
    <cellStyle name="Normal 285 3 4" xfId="30471" xr:uid="{00000000-0005-0000-0000-000041780000}"/>
    <cellStyle name="Normal 285 3 4 2" xfId="30472" xr:uid="{00000000-0005-0000-0000-000042780000}"/>
    <cellStyle name="Normal 285 3 4 3" xfId="30473" xr:uid="{00000000-0005-0000-0000-000043780000}"/>
    <cellStyle name="Normal 285 3 5" xfId="30474" xr:uid="{00000000-0005-0000-0000-000044780000}"/>
    <cellStyle name="Normal 285 3 6" xfId="30475" xr:uid="{00000000-0005-0000-0000-000045780000}"/>
    <cellStyle name="Normal 285 3 7" xfId="30476" xr:uid="{00000000-0005-0000-0000-000046780000}"/>
    <cellStyle name="Normal 285 3 8" xfId="30477" xr:uid="{00000000-0005-0000-0000-000047780000}"/>
    <cellStyle name="Normal 285 4" xfId="30478" xr:uid="{00000000-0005-0000-0000-000048780000}"/>
    <cellStyle name="Normal 285 4 2" xfId="30479" xr:uid="{00000000-0005-0000-0000-000049780000}"/>
    <cellStyle name="Normal 285 4 2 2" xfId="30480" xr:uid="{00000000-0005-0000-0000-00004A780000}"/>
    <cellStyle name="Normal 285 4 2 3" xfId="30481" xr:uid="{00000000-0005-0000-0000-00004B780000}"/>
    <cellStyle name="Normal 285 4 3" xfId="30482" xr:uid="{00000000-0005-0000-0000-00004C780000}"/>
    <cellStyle name="Normal 285 4 3 2" xfId="30483" xr:uid="{00000000-0005-0000-0000-00004D780000}"/>
    <cellStyle name="Normal 285 4 3 3" xfId="30484" xr:uid="{00000000-0005-0000-0000-00004E780000}"/>
    <cellStyle name="Normal 285 4 4" xfId="30485" xr:uid="{00000000-0005-0000-0000-00004F780000}"/>
    <cellStyle name="Normal 285 4 5" xfId="30486" xr:uid="{00000000-0005-0000-0000-000050780000}"/>
    <cellStyle name="Normal 285 4 6" xfId="30487" xr:uid="{00000000-0005-0000-0000-000051780000}"/>
    <cellStyle name="Normal 285 5" xfId="30488" xr:uid="{00000000-0005-0000-0000-000052780000}"/>
    <cellStyle name="Normal 285 5 2" xfId="30489" xr:uid="{00000000-0005-0000-0000-000053780000}"/>
    <cellStyle name="Normal 285 5 3" xfId="30490" xr:uid="{00000000-0005-0000-0000-000054780000}"/>
    <cellStyle name="Normal 285 6" xfId="30491" xr:uid="{00000000-0005-0000-0000-000055780000}"/>
    <cellStyle name="Normal 285 6 2" xfId="30492" xr:uid="{00000000-0005-0000-0000-000056780000}"/>
    <cellStyle name="Normal 285 6 3" xfId="30493" xr:uid="{00000000-0005-0000-0000-000057780000}"/>
    <cellStyle name="Normal 285 7" xfId="30494" xr:uid="{00000000-0005-0000-0000-000058780000}"/>
    <cellStyle name="Normal 285 8" xfId="30495" xr:uid="{00000000-0005-0000-0000-000059780000}"/>
    <cellStyle name="Normal 285 9" xfId="30496" xr:uid="{00000000-0005-0000-0000-00005A780000}"/>
    <cellStyle name="Normal 286" xfId="2762" xr:uid="{00000000-0005-0000-0000-00005B780000}"/>
    <cellStyle name="Normal 286 10" xfId="30497" xr:uid="{00000000-0005-0000-0000-00005C780000}"/>
    <cellStyle name="Normal 286 11" xfId="30498" xr:uid="{00000000-0005-0000-0000-00005D780000}"/>
    <cellStyle name="Normal 286 2" xfId="2763" xr:uid="{00000000-0005-0000-0000-00005E780000}"/>
    <cellStyle name="Normal 286 2 10" xfId="30499" xr:uid="{00000000-0005-0000-0000-00005F780000}"/>
    <cellStyle name="Normal 286 2 2" xfId="30500" xr:uid="{00000000-0005-0000-0000-000060780000}"/>
    <cellStyle name="Normal 286 2 2 2" xfId="30501" xr:uid="{00000000-0005-0000-0000-000061780000}"/>
    <cellStyle name="Normal 286 2 2 2 2" xfId="30502" xr:uid="{00000000-0005-0000-0000-000062780000}"/>
    <cellStyle name="Normal 286 2 2 2 2 2" xfId="30503" xr:uid="{00000000-0005-0000-0000-000063780000}"/>
    <cellStyle name="Normal 286 2 2 2 2 3" xfId="30504" xr:uid="{00000000-0005-0000-0000-000064780000}"/>
    <cellStyle name="Normal 286 2 2 2 3" xfId="30505" xr:uid="{00000000-0005-0000-0000-000065780000}"/>
    <cellStyle name="Normal 286 2 2 2 3 2" xfId="30506" xr:uid="{00000000-0005-0000-0000-000066780000}"/>
    <cellStyle name="Normal 286 2 2 2 3 3" xfId="30507" xr:uid="{00000000-0005-0000-0000-000067780000}"/>
    <cellStyle name="Normal 286 2 2 2 4" xfId="30508" xr:uid="{00000000-0005-0000-0000-000068780000}"/>
    <cellStyle name="Normal 286 2 2 2 5" xfId="30509" xr:uid="{00000000-0005-0000-0000-000069780000}"/>
    <cellStyle name="Normal 286 2 2 2 6" xfId="30510" xr:uid="{00000000-0005-0000-0000-00006A780000}"/>
    <cellStyle name="Normal 286 2 2 3" xfId="30511" xr:uid="{00000000-0005-0000-0000-00006B780000}"/>
    <cellStyle name="Normal 286 2 2 3 2" xfId="30512" xr:uid="{00000000-0005-0000-0000-00006C780000}"/>
    <cellStyle name="Normal 286 2 2 3 3" xfId="30513" xr:uid="{00000000-0005-0000-0000-00006D780000}"/>
    <cellStyle name="Normal 286 2 2 4" xfId="30514" xr:uid="{00000000-0005-0000-0000-00006E780000}"/>
    <cellStyle name="Normal 286 2 2 4 2" xfId="30515" xr:uid="{00000000-0005-0000-0000-00006F780000}"/>
    <cellStyle name="Normal 286 2 2 4 3" xfId="30516" xr:uid="{00000000-0005-0000-0000-000070780000}"/>
    <cellStyle name="Normal 286 2 2 5" xfId="30517" xr:uid="{00000000-0005-0000-0000-000071780000}"/>
    <cellStyle name="Normal 286 2 2 6" xfId="30518" xr:uid="{00000000-0005-0000-0000-000072780000}"/>
    <cellStyle name="Normal 286 2 2 7" xfId="30519" xr:uid="{00000000-0005-0000-0000-000073780000}"/>
    <cellStyle name="Normal 286 2 2 8" xfId="30520" xr:uid="{00000000-0005-0000-0000-000074780000}"/>
    <cellStyle name="Normal 286 2 3" xfId="30521" xr:uid="{00000000-0005-0000-0000-000075780000}"/>
    <cellStyle name="Normal 286 2 3 2" xfId="30522" xr:uid="{00000000-0005-0000-0000-000076780000}"/>
    <cellStyle name="Normal 286 2 3 2 2" xfId="30523" xr:uid="{00000000-0005-0000-0000-000077780000}"/>
    <cellStyle name="Normal 286 2 3 2 3" xfId="30524" xr:uid="{00000000-0005-0000-0000-000078780000}"/>
    <cellStyle name="Normal 286 2 3 3" xfId="30525" xr:uid="{00000000-0005-0000-0000-000079780000}"/>
    <cellStyle name="Normal 286 2 3 3 2" xfId="30526" xr:uid="{00000000-0005-0000-0000-00007A780000}"/>
    <cellStyle name="Normal 286 2 3 3 3" xfId="30527" xr:uid="{00000000-0005-0000-0000-00007B780000}"/>
    <cellStyle name="Normal 286 2 3 4" xfId="30528" xr:uid="{00000000-0005-0000-0000-00007C780000}"/>
    <cellStyle name="Normal 286 2 3 5" xfId="30529" xr:uid="{00000000-0005-0000-0000-00007D780000}"/>
    <cellStyle name="Normal 286 2 3 6" xfId="30530" xr:uid="{00000000-0005-0000-0000-00007E780000}"/>
    <cellStyle name="Normal 286 2 4" xfId="30531" xr:uid="{00000000-0005-0000-0000-00007F780000}"/>
    <cellStyle name="Normal 286 2 4 2" xfId="30532" xr:uid="{00000000-0005-0000-0000-000080780000}"/>
    <cellStyle name="Normal 286 2 4 3" xfId="30533" xr:uid="{00000000-0005-0000-0000-000081780000}"/>
    <cellStyle name="Normal 286 2 5" xfId="30534" xr:uid="{00000000-0005-0000-0000-000082780000}"/>
    <cellStyle name="Normal 286 2 5 2" xfId="30535" xr:uid="{00000000-0005-0000-0000-000083780000}"/>
    <cellStyle name="Normal 286 2 5 3" xfId="30536" xr:uid="{00000000-0005-0000-0000-000084780000}"/>
    <cellStyle name="Normal 286 2 6" xfId="30537" xr:uid="{00000000-0005-0000-0000-000085780000}"/>
    <cellStyle name="Normal 286 2 7" xfId="30538" xr:uid="{00000000-0005-0000-0000-000086780000}"/>
    <cellStyle name="Normal 286 2 8" xfId="30539" xr:uid="{00000000-0005-0000-0000-000087780000}"/>
    <cellStyle name="Normal 286 2 9" xfId="30540" xr:uid="{00000000-0005-0000-0000-000088780000}"/>
    <cellStyle name="Normal 286 3" xfId="30541" xr:uid="{00000000-0005-0000-0000-000089780000}"/>
    <cellStyle name="Normal 286 3 2" xfId="30542" xr:uid="{00000000-0005-0000-0000-00008A780000}"/>
    <cellStyle name="Normal 286 3 2 2" xfId="30543" xr:uid="{00000000-0005-0000-0000-00008B780000}"/>
    <cellStyle name="Normal 286 3 2 2 2" xfId="30544" xr:uid="{00000000-0005-0000-0000-00008C780000}"/>
    <cellStyle name="Normal 286 3 2 2 3" xfId="30545" xr:uid="{00000000-0005-0000-0000-00008D780000}"/>
    <cellStyle name="Normal 286 3 2 3" xfId="30546" xr:uid="{00000000-0005-0000-0000-00008E780000}"/>
    <cellStyle name="Normal 286 3 2 3 2" xfId="30547" xr:uid="{00000000-0005-0000-0000-00008F780000}"/>
    <cellStyle name="Normal 286 3 2 3 3" xfId="30548" xr:uid="{00000000-0005-0000-0000-000090780000}"/>
    <cellStyle name="Normal 286 3 2 4" xfId="30549" xr:uid="{00000000-0005-0000-0000-000091780000}"/>
    <cellStyle name="Normal 286 3 2 5" xfId="30550" xr:uid="{00000000-0005-0000-0000-000092780000}"/>
    <cellStyle name="Normal 286 3 2 6" xfId="30551" xr:uid="{00000000-0005-0000-0000-000093780000}"/>
    <cellStyle name="Normal 286 3 3" xfId="30552" xr:uid="{00000000-0005-0000-0000-000094780000}"/>
    <cellStyle name="Normal 286 3 3 2" xfId="30553" xr:uid="{00000000-0005-0000-0000-000095780000}"/>
    <cellStyle name="Normal 286 3 3 3" xfId="30554" xr:uid="{00000000-0005-0000-0000-000096780000}"/>
    <cellStyle name="Normal 286 3 4" xfId="30555" xr:uid="{00000000-0005-0000-0000-000097780000}"/>
    <cellStyle name="Normal 286 3 4 2" xfId="30556" xr:uid="{00000000-0005-0000-0000-000098780000}"/>
    <cellStyle name="Normal 286 3 4 3" xfId="30557" xr:uid="{00000000-0005-0000-0000-000099780000}"/>
    <cellStyle name="Normal 286 3 5" xfId="30558" xr:uid="{00000000-0005-0000-0000-00009A780000}"/>
    <cellStyle name="Normal 286 3 6" xfId="30559" xr:uid="{00000000-0005-0000-0000-00009B780000}"/>
    <cellStyle name="Normal 286 3 7" xfId="30560" xr:uid="{00000000-0005-0000-0000-00009C780000}"/>
    <cellStyle name="Normal 286 3 8" xfId="30561" xr:uid="{00000000-0005-0000-0000-00009D780000}"/>
    <cellStyle name="Normal 286 4" xfId="30562" xr:uid="{00000000-0005-0000-0000-00009E780000}"/>
    <cellStyle name="Normal 286 4 2" xfId="30563" xr:uid="{00000000-0005-0000-0000-00009F780000}"/>
    <cellStyle name="Normal 286 4 2 2" xfId="30564" xr:uid="{00000000-0005-0000-0000-0000A0780000}"/>
    <cellStyle name="Normal 286 4 2 3" xfId="30565" xr:uid="{00000000-0005-0000-0000-0000A1780000}"/>
    <cellStyle name="Normal 286 4 3" xfId="30566" xr:uid="{00000000-0005-0000-0000-0000A2780000}"/>
    <cellStyle name="Normal 286 4 3 2" xfId="30567" xr:uid="{00000000-0005-0000-0000-0000A3780000}"/>
    <cellStyle name="Normal 286 4 3 3" xfId="30568" xr:uid="{00000000-0005-0000-0000-0000A4780000}"/>
    <cellStyle name="Normal 286 4 4" xfId="30569" xr:uid="{00000000-0005-0000-0000-0000A5780000}"/>
    <cellStyle name="Normal 286 4 5" xfId="30570" xr:uid="{00000000-0005-0000-0000-0000A6780000}"/>
    <cellStyle name="Normal 286 4 6" xfId="30571" xr:uid="{00000000-0005-0000-0000-0000A7780000}"/>
    <cellStyle name="Normal 286 5" xfId="30572" xr:uid="{00000000-0005-0000-0000-0000A8780000}"/>
    <cellStyle name="Normal 286 5 2" xfId="30573" xr:uid="{00000000-0005-0000-0000-0000A9780000}"/>
    <cellStyle name="Normal 286 5 3" xfId="30574" xr:uid="{00000000-0005-0000-0000-0000AA780000}"/>
    <cellStyle name="Normal 286 6" xfId="30575" xr:uid="{00000000-0005-0000-0000-0000AB780000}"/>
    <cellStyle name="Normal 286 6 2" xfId="30576" xr:uid="{00000000-0005-0000-0000-0000AC780000}"/>
    <cellStyle name="Normal 286 6 3" xfId="30577" xr:uid="{00000000-0005-0000-0000-0000AD780000}"/>
    <cellStyle name="Normal 286 7" xfId="30578" xr:uid="{00000000-0005-0000-0000-0000AE780000}"/>
    <cellStyle name="Normal 286 8" xfId="30579" xr:uid="{00000000-0005-0000-0000-0000AF780000}"/>
    <cellStyle name="Normal 286 9" xfId="30580" xr:uid="{00000000-0005-0000-0000-0000B0780000}"/>
    <cellStyle name="Normal 287" xfId="2764" xr:uid="{00000000-0005-0000-0000-0000B1780000}"/>
    <cellStyle name="Normal 287 10" xfId="30581" xr:uid="{00000000-0005-0000-0000-0000B2780000}"/>
    <cellStyle name="Normal 287 11" xfId="30582" xr:uid="{00000000-0005-0000-0000-0000B3780000}"/>
    <cellStyle name="Normal 287 2" xfId="2765" xr:uid="{00000000-0005-0000-0000-0000B4780000}"/>
    <cellStyle name="Normal 287 2 10" xfId="30583" xr:uid="{00000000-0005-0000-0000-0000B5780000}"/>
    <cellStyle name="Normal 287 2 2" xfId="30584" xr:uid="{00000000-0005-0000-0000-0000B6780000}"/>
    <cellStyle name="Normal 287 2 2 2" xfId="30585" xr:uid="{00000000-0005-0000-0000-0000B7780000}"/>
    <cellStyle name="Normal 287 2 2 2 2" xfId="30586" xr:uid="{00000000-0005-0000-0000-0000B8780000}"/>
    <cellStyle name="Normal 287 2 2 2 2 2" xfId="30587" xr:uid="{00000000-0005-0000-0000-0000B9780000}"/>
    <cellStyle name="Normal 287 2 2 2 2 3" xfId="30588" xr:uid="{00000000-0005-0000-0000-0000BA780000}"/>
    <cellStyle name="Normal 287 2 2 2 3" xfId="30589" xr:uid="{00000000-0005-0000-0000-0000BB780000}"/>
    <cellStyle name="Normal 287 2 2 2 3 2" xfId="30590" xr:uid="{00000000-0005-0000-0000-0000BC780000}"/>
    <cellStyle name="Normal 287 2 2 2 3 3" xfId="30591" xr:uid="{00000000-0005-0000-0000-0000BD780000}"/>
    <cellStyle name="Normal 287 2 2 2 4" xfId="30592" xr:uid="{00000000-0005-0000-0000-0000BE780000}"/>
    <cellStyle name="Normal 287 2 2 2 5" xfId="30593" xr:uid="{00000000-0005-0000-0000-0000BF780000}"/>
    <cellStyle name="Normal 287 2 2 2 6" xfId="30594" xr:uid="{00000000-0005-0000-0000-0000C0780000}"/>
    <cellStyle name="Normal 287 2 2 3" xfId="30595" xr:uid="{00000000-0005-0000-0000-0000C1780000}"/>
    <cellStyle name="Normal 287 2 2 3 2" xfId="30596" xr:uid="{00000000-0005-0000-0000-0000C2780000}"/>
    <cellStyle name="Normal 287 2 2 3 3" xfId="30597" xr:uid="{00000000-0005-0000-0000-0000C3780000}"/>
    <cellStyle name="Normal 287 2 2 4" xfId="30598" xr:uid="{00000000-0005-0000-0000-0000C4780000}"/>
    <cellStyle name="Normal 287 2 2 4 2" xfId="30599" xr:uid="{00000000-0005-0000-0000-0000C5780000}"/>
    <cellStyle name="Normal 287 2 2 4 3" xfId="30600" xr:uid="{00000000-0005-0000-0000-0000C6780000}"/>
    <cellStyle name="Normal 287 2 2 5" xfId="30601" xr:uid="{00000000-0005-0000-0000-0000C7780000}"/>
    <cellStyle name="Normal 287 2 2 6" xfId="30602" xr:uid="{00000000-0005-0000-0000-0000C8780000}"/>
    <cellStyle name="Normal 287 2 2 7" xfId="30603" xr:uid="{00000000-0005-0000-0000-0000C9780000}"/>
    <cellStyle name="Normal 287 2 2 8" xfId="30604" xr:uid="{00000000-0005-0000-0000-0000CA780000}"/>
    <cellStyle name="Normal 287 2 3" xfId="30605" xr:uid="{00000000-0005-0000-0000-0000CB780000}"/>
    <cellStyle name="Normal 287 2 3 2" xfId="30606" xr:uid="{00000000-0005-0000-0000-0000CC780000}"/>
    <cellStyle name="Normal 287 2 3 2 2" xfId="30607" xr:uid="{00000000-0005-0000-0000-0000CD780000}"/>
    <cellStyle name="Normal 287 2 3 2 3" xfId="30608" xr:uid="{00000000-0005-0000-0000-0000CE780000}"/>
    <cellStyle name="Normal 287 2 3 3" xfId="30609" xr:uid="{00000000-0005-0000-0000-0000CF780000}"/>
    <cellStyle name="Normal 287 2 3 3 2" xfId="30610" xr:uid="{00000000-0005-0000-0000-0000D0780000}"/>
    <cellStyle name="Normal 287 2 3 3 3" xfId="30611" xr:uid="{00000000-0005-0000-0000-0000D1780000}"/>
    <cellStyle name="Normal 287 2 3 4" xfId="30612" xr:uid="{00000000-0005-0000-0000-0000D2780000}"/>
    <cellStyle name="Normal 287 2 3 5" xfId="30613" xr:uid="{00000000-0005-0000-0000-0000D3780000}"/>
    <cellStyle name="Normal 287 2 3 6" xfId="30614" xr:uid="{00000000-0005-0000-0000-0000D4780000}"/>
    <cellStyle name="Normal 287 2 4" xfId="30615" xr:uid="{00000000-0005-0000-0000-0000D5780000}"/>
    <cellStyle name="Normal 287 2 4 2" xfId="30616" xr:uid="{00000000-0005-0000-0000-0000D6780000}"/>
    <cellStyle name="Normal 287 2 4 3" xfId="30617" xr:uid="{00000000-0005-0000-0000-0000D7780000}"/>
    <cellStyle name="Normal 287 2 5" xfId="30618" xr:uid="{00000000-0005-0000-0000-0000D8780000}"/>
    <cellStyle name="Normal 287 2 5 2" xfId="30619" xr:uid="{00000000-0005-0000-0000-0000D9780000}"/>
    <cellStyle name="Normal 287 2 5 3" xfId="30620" xr:uid="{00000000-0005-0000-0000-0000DA780000}"/>
    <cellStyle name="Normal 287 2 6" xfId="30621" xr:uid="{00000000-0005-0000-0000-0000DB780000}"/>
    <cellStyle name="Normal 287 2 7" xfId="30622" xr:uid="{00000000-0005-0000-0000-0000DC780000}"/>
    <cellStyle name="Normal 287 2 8" xfId="30623" xr:uid="{00000000-0005-0000-0000-0000DD780000}"/>
    <cellStyle name="Normal 287 2 9" xfId="30624" xr:uid="{00000000-0005-0000-0000-0000DE780000}"/>
    <cellStyle name="Normal 287 3" xfId="30625" xr:uid="{00000000-0005-0000-0000-0000DF780000}"/>
    <cellStyle name="Normal 287 3 2" xfId="30626" xr:uid="{00000000-0005-0000-0000-0000E0780000}"/>
    <cellStyle name="Normal 287 3 2 2" xfId="30627" xr:uid="{00000000-0005-0000-0000-0000E1780000}"/>
    <cellStyle name="Normal 287 3 2 2 2" xfId="30628" xr:uid="{00000000-0005-0000-0000-0000E2780000}"/>
    <cellStyle name="Normal 287 3 2 2 3" xfId="30629" xr:uid="{00000000-0005-0000-0000-0000E3780000}"/>
    <cellStyle name="Normal 287 3 2 3" xfId="30630" xr:uid="{00000000-0005-0000-0000-0000E4780000}"/>
    <cellStyle name="Normal 287 3 2 3 2" xfId="30631" xr:uid="{00000000-0005-0000-0000-0000E5780000}"/>
    <cellStyle name="Normal 287 3 2 3 3" xfId="30632" xr:uid="{00000000-0005-0000-0000-0000E6780000}"/>
    <cellStyle name="Normal 287 3 2 4" xfId="30633" xr:uid="{00000000-0005-0000-0000-0000E7780000}"/>
    <cellStyle name="Normal 287 3 2 5" xfId="30634" xr:uid="{00000000-0005-0000-0000-0000E8780000}"/>
    <cellStyle name="Normal 287 3 2 6" xfId="30635" xr:uid="{00000000-0005-0000-0000-0000E9780000}"/>
    <cellStyle name="Normal 287 3 3" xfId="30636" xr:uid="{00000000-0005-0000-0000-0000EA780000}"/>
    <cellStyle name="Normal 287 3 3 2" xfId="30637" xr:uid="{00000000-0005-0000-0000-0000EB780000}"/>
    <cellStyle name="Normal 287 3 3 3" xfId="30638" xr:uid="{00000000-0005-0000-0000-0000EC780000}"/>
    <cellStyle name="Normal 287 3 4" xfId="30639" xr:uid="{00000000-0005-0000-0000-0000ED780000}"/>
    <cellStyle name="Normal 287 3 4 2" xfId="30640" xr:uid="{00000000-0005-0000-0000-0000EE780000}"/>
    <cellStyle name="Normal 287 3 4 3" xfId="30641" xr:uid="{00000000-0005-0000-0000-0000EF780000}"/>
    <cellStyle name="Normal 287 3 5" xfId="30642" xr:uid="{00000000-0005-0000-0000-0000F0780000}"/>
    <cellStyle name="Normal 287 3 6" xfId="30643" xr:uid="{00000000-0005-0000-0000-0000F1780000}"/>
    <cellStyle name="Normal 287 3 7" xfId="30644" xr:uid="{00000000-0005-0000-0000-0000F2780000}"/>
    <cellStyle name="Normal 287 3 8" xfId="30645" xr:uid="{00000000-0005-0000-0000-0000F3780000}"/>
    <cellStyle name="Normal 287 4" xfId="30646" xr:uid="{00000000-0005-0000-0000-0000F4780000}"/>
    <cellStyle name="Normal 287 4 2" xfId="30647" xr:uid="{00000000-0005-0000-0000-0000F5780000}"/>
    <cellStyle name="Normal 287 4 2 2" xfId="30648" xr:uid="{00000000-0005-0000-0000-0000F6780000}"/>
    <cellStyle name="Normal 287 4 2 3" xfId="30649" xr:uid="{00000000-0005-0000-0000-0000F7780000}"/>
    <cellStyle name="Normal 287 4 3" xfId="30650" xr:uid="{00000000-0005-0000-0000-0000F8780000}"/>
    <cellStyle name="Normal 287 4 3 2" xfId="30651" xr:uid="{00000000-0005-0000-0000-0000F9780000}"/>
    <cellStyle name="Normal 287 4 3 3" xfId="30652" xr:uid="{00000000-0005-0000-0000-0000FA780000}"/>
    <cellStyle name="Normal 287 4 4" xfId="30653" xr:uid="{00000000-0005-0000-0000-0000FB780000}"/>
    <cellStyle name="Normal 287 4 5" xfId="30654" xr:uid="{00000000-0005-0000-0000-0000FC780000}"/>
    <cellStyle name="Normal 287 4 6" xfId="30655" xr:uid="{00000000-0005-0000-0000-0000FD780000}"/>
    <cellStyle name="Normal 287 5" xfId="30656" xr:uid="{00000000-0005-0000-0000-0000FE780000}"/>
    <cellStyle name="Normal 287 5 2" xfId="30657" xr:uid="{00000000-0005-0000-0000-0000FF780000}"/>
    <cellStyle name="Normal 287 5 3" xfId="30658" xr:uid="{00000000-0005-0000-0000-000000790000}"/>
    <cellStyle name="Normal 287 6" xfId="30659" xr:uid="{00000000-0005-0000-0000-000001790000}"/>
    <cellStyle name="Normal 287 6 2" xfId="30660" xr:uid="{00000000-0005-0000-0000-000002790000}"/>
    <cellStyle name="Normal 287 6 3" xfId="30661" xr:uid="{00000000-0005-0000-0000-000003790000}"/>
    <cellStyle name="Normal 287 7" xfId="30662" xr:uid="{00000000-0005-0000-0000-000004790000}"/>
    <cellStyle name="Normal 287 8" xfId="30663" xr:uid="{00000000-0005-0000-0000-000005790000}"/>
    <cellStyle name="Normal 287 9" xfId="30664" xr:uid="{00000000-0005-0000-0000-000006790000}"/>
    <cellStyle name="Normal 288" xfId="2766" xr:uid="{00000000-0005-0000-0000-000007790000}"/>
    <cellStyle name="Normal 288 10" xfId="30665" xr:uid="{00000000-0005-0000-0000-000008790000}"/>
    <cellStyle name="Normal 288 11" xfId="30666" xr:uid="{00000000-0005-0000-0000-000009790000}"/>
    <cellStyle name="Normal 288 2" xfId="2767" xr:uid="{00000000-0005-0000-0000-00000A790000}"/>
    <cellStyle name="Normal 288 2 10" xfId="30667" xr:uid="{00000000-0005-0000-0000-00000B790000}"/>
    <cellStyle name="Normal 288 2 2" xfId="30668" xr:uid="{00000000-0005-0000-0000-00000C790000}"/>
    <cellStyle name="Normal 288 2 2 2" xfId="30669" xr:uid="{00000000-0005-0000-0000-00000D790000}"/>
    <cellStyle name="Normal 288 2 2 2 2" xfId="30670" xr:uid="{00000000-0005-0000-0000-00000E790000}"/>
    <cellStyle name="Normal 288 2 2 2 2 2" xfId="30671" xr:uid="{00000000-0005-0000-0000-00000F790000}"/>
    <cellStyle name="Normal 288 2 2 2 2 3" xfId="30672" xr:uid="{00000000-0005-0000-0000-000010790000}"/>
    <cellStyle name="Normal 288 2 2 2 3" xfId="30673" xr:uid="{00000000-0005-0000-0000-000011790000}"/>
    <cellStyle name="Normal 288 2 2 2 3 2" xfId="30674" xr:uid="{00000000-0005-0000-0000-000012790000}"/>
    <cellStyle name="Normal 288 2 2 2 3 3" xfId="30675" xr:uid="{00000000-0005-0000-0000-000013790000}"/>
    <cellStyle name="Normal 288 2 2 2 4" xfId="30676" xr:uid="{00000000-0005-0000-0000-000014790000}"/>
    <cellStyle name="Normal 288 2 2 2 5" xfId="30677" xr:uid="{00000000-0005-0000-0000-000015790000}"/>
    <cellStyle name="Normal 288 2 2 2 6" xfId="30678" xr:uid="{00000000-0005-0000-0000-000016790000}"/>
    <cellStyle name="Normal 288 2 2 3" xfId="30679" xr:uid="{00000000-0005-0000-0000-000017790000}"/>
    <cellStyle name="Normal 288 2 2 3 2" xfId="30680" xr:uid="{00000000-0005-0000-0000-000018790000}"/>
    <cellStyle name="Normal 288 2 2 3 3" xfId="30681" xr:uid="{00000000-0005-0000-0000-000019790000}"/>
    <cellStyle name="Normal 288 2 2 4" xfId="30682" xr:uid="{00000000-0005-0000-0000-00001A790000}"/>
    <cellStyle name="Normal 288 2 2 4 2" xfId="30683" xr:uid="{00000000-0005-0000-0000-00001B790000}"/>
    <cellStyle name="Normal 288 2 2 4 3" xfId="30684" xr:uid="{00000000-0005-0000-0000-00001C790000}"/>
    <cellStyle name="Normal 288 2 2 5" xfId="30685" xr:uid="{00000000-0005-0000-0000-00001D790000}"/>
    <cellStyle name="Normal 288 2 2 6" xfId="30686" xr:uid="{00000000-0005-0000-0000-00001E790000}"/>
    <cellStyle name="Normal 288 2 2 7" xfId="30687" xr:uid="{00000000-0005-0000-0000-00001F790000}"/>
    <cellStyle name="Normal 288 2 2 8" xfId="30688" xr:uid="{00000000-0005-0000-0000-000020790000}"/>
    <cellStyle name="Normal 288 2 3" xfId="30689" xr:uid="{00000000-0005-0000-0000-000021790000}"/>
    <cellStyle name="Normal 288 2 3 2" xfId="30690" xr:uid="{00000000-0005-0000-0000-000022790000}"/>
    <cellStyle name="Normal 288 2 3 2 2" xfId="30691" xr:uid="{00000000-0005-0000-0000-000023790000}"/>
    <cellStyle name="Normal 288 2 3 2 3" xfId="30692" xr:uid="{00000000-0005-0000-0000-000024790000}"/>
    <cellStyle name="Normal 288 2 3 3" xfId="30693" xr:uid="{00000000-0005-0000-0000-000025790000}"/>
    <cellStyle name="Normal 288 2 3 3 2" xfId="30694" xr:uid="{00000000-0005-0000-0000-000026790000}"/>
    <cellStyle name="Normal 288 2 3 3 3" xfId="30695" xr:uid="{00000000-0005-0000-0000-000027790000}"/>
    <cellStyle name="Normal 288 2 3 4" xfId="30696" xr:uid="{00000000-0005-0000-0000-000028790000}"/>
    <cellStyle name="Normal 288 2 3 5" xfId="30697" xr:uid="{00000000-0005-0000-0000-000029790000}"/>
    <cellStyle name="Normal 288 2 3 6" xfId="30698" xr:uid="{00000000-0005-0000-0000-00002A790000}"/>
    <cellStyle name="Normal 288 2 4" xfId="30699" xr:uid="{00000000-0005-0000-0000-00002B790000}"/>
    <cellStyle name="Normal 288 2 4 2" xfId="30700" xr:uid="{00000000-0005-0000-0000-00002C790000}"/>
    <cellStyle name="Normal 288 2 4 3" xfId="30701" xr:uid="{00000000-0005-0000-0000-00002D790000}"/>
    <cellStyle name="Normal 288 2 5" xfId="30702" xr:uid="{00000000-0005-0000-0000-00002E790000}"/>
    <cellStyle name="Normal 288 2 5 2" xfId="30703" xr:uid="{00000000-0005-0000-0000-00002F790000}"/>
    <cellStyle name="Normal 288 2 5 3" xfId="30704" xr:uid="{00000000-0005-0000-0000-000030790000}"/>
    <cellStyle name="Normal 288 2 6" xfId="30705" xr:uid="{00000000-0005-0000-0000-000031790000}"/>
    <cellStyle name="Normal 288 2 7" xfId="30706" xr:uid="{00000000-0005-0000-0000-000032790000}"/>
    <cellStyle name="Normal 288 2 8" xfId="30707" xr:uid="{00000000-0005-0000-0000-000033790000}"/>
    <cellStyle name="Normal 288 2 9" xfId="30708" xr:uid="{00000000-0005-0000-0000-000034790000}"/>
    <cellStyle name="Normal 288 3" xfId="30709" xr:uid="{00000000-0005-0000-0000-000035790000}"/>
    <cellStyle name="Normal 288 3 2" xfId="30710" xr:uid="{00000000-0005-0000-0000-000036790000}"/>
    <cellStyle name="Normal 288 3 2 2" xfId="30711" xr:uid="{00000000-0005-0000-0000-000037790000}"/>
    <cellStyle name="Normal 288 3 2 2 2" xfId="30712" xr:uid="{00000000-0005-0000-0000-000038790000}"/>
    <cellStyle name="Normal 288 3 2 2 3" xfId="30713" xr:uid="{00000000-0005-0000-0000-000039790000}"/>
    <cellStyle name="Normal 288 3 2 3" xfId="30714" xr:uid="{00000000-0005-0000-0000-00003A790000}"/>
    <cellStyle name="Normal 288 3 2 3 2" xfId="30715" xr:uid="{00000000-0005-0000-0000-00003B790000}"/>
    <cellStyle name="Normal 288 3 2 3 3" xfId="30716" xr:uid="{00000000-0005-0000-0000-00003C790000}"/>
    <cellStyle name="Normal 288 3 2 4" xfId="30717" xr:uid="{00000000-0005-0000-0000-00003D790000}"/>
    <cellStyle name="Normal 288 3 2 5" xfId="30718" xr:uid="{00000000-0005-0000-0000-00003E790000}"/>
    <cellStyle name="Normal 288 3 2 6" xfId="30719" xr:uid="{00000000-0005-0000-0000-00003F790000}"/>
    <cellStyle name="Normal 288 3 3" xfId="30720" xr:uid="{00000000-0005-0000-0000-000040790000}"/>
    <cellStyle name="Normal 288 3 3 2" xfId="30721" xr:uid="{00000000-0005-0000-0000-000041790000}"/>
    <cellStyle name="Normal 288 3 3 3" xfId="30722" xr:uid="{00000000-0005-0000-0000-000042790000}"/>
    <cellStyle name="Normal 288 3 4" xfId="30723" xr:uid="{00000000-0005-0000-0000-000043790000}"/>
    <cellStyle name="Normal 288 3 4 2" xfId="30724" xr:uid="{00000000-0005-0000-0000-000044790000}"/>
    <cellStyle name="Normal 288 3 4 3" xfId="30725" xr:uid="{00000000-0005-0000-0000-000045790000}"/>
    <cellStyle name="Normal 288 3 5" xfId="30726" xr:uid="{00000000-0005-0000-0000-000046790000}"/>
    <cellStyle name="Normal 288 3 6" xfId="30727" xr:uid="{00000000-0005-0000-0000-000047790000}"/>
    <cellStyle name="Normal 288 3 7" xfId="30728" xr:uid="{00000000-0005-0000-0000-000048790000}"/>
    <cellStyle name="Normal 288 3 8" xfId="30729" xr:uid="{00000000-0005-0000-0000-000049790000}"/>
    <cellStyle name="Normal 288 4" xfId="30730" xr:uid="{00000000-0005-0000-0000-00004A790000}"/>
    <cellStyle name="Normal 288 4 2" xfId="30731" xr:uid="{00000000-0005-0000-0000-00004B790000}"/>
    <cellStyle name="Normal 288 4 2 2" xfId="30732" xr:uid="{00000000-0005-0000-0000-00004C790000}"/>
    <cellStyle name="Normal 288 4 2 3" xfId="30733" xr:uid="{00000000-0005-0000-0000-00004D790000}"/>
    <cellStyle name="Normal 288 4 3" xfId="30734" xr:uid="{00000000-0005-0000-0000-00004E790000}"/>
    <cellStyle name="Normal 288 4 3 2" xfId="30735" xr:uid="{00000000-0005-0000-0000-00004F790000}"/>
    <cellStyle name="Normal 288 4 3 3" xfId="30736" xr:uid="{00000000-0005-0000-0000-000050790000}"/>
    <cellStyle name="Normal 288 4 4" xfId="30737" xr:uid="{00000000-0005-0000-0000-000051790000}"/>
    <cellStyle name="Normal 288 4 5" xfId="30738" xr:uid="{00000000-0005-0000-0000-000052790000}"/>
    <cellStyle name="Normal 288 4 6" xfId="30739" xr:uid="{00000000-0005-0000-0000-000053790000}"/>
    <cellStyle name="Normal 288 5" xfId="30740" xr:uid="{00000000-0005-0000-0000-000054790000}"/>
    <cellStyle name="Normal 288 5 2" xfId="30741" xr:uid="{00000000-0005-0000-0000-000055790000}"/>
    <cellStyle name="Normal 288 5 3" xfId="30742" xr:uid="{00000000-0005-0000-0000-000056790000}"/>
    <cellStyle name="Normal 288 6" xfId="30743" xr:uid="{00000000-0005-0000-0000-000057790000}"/>
    <cellStyle name="Normal 288 6 2" xfId="30744" xr:uid="{00000000-0005-0000-0000-000058790000}"/>
    <cellStyle name="Normal 288 6 3" xfId="30745" xr:uid="{00000000-0005-0000-0000-000059790000}"/>
    <cellStyle name="Normal 288 7" xfId="30746" xr:uid="{00000000-0005-0000-0000-00005A790000}"/>
    <cellStyle name="Normal 288 8" xfId="30747" xr:uid="{00000000-0005-0000-0000-00005B790000}"/>
    <cellStyle name="Normal 288 9" xfId="30748" xr:uid="{00000000-0005-0000-0000-00005C790000}"/>
    <cellStyle name="Normal 289" xfId="2768" xr:uid="{00000000-0005-0000-0000-00005D790000}"/>
    <cellStyle name="Normal 289 10" xfId="30749" xr:uid="{00000000-0005-0000-0000-00005E790000}"/>
    <cellStyle name="Normal 289 11" xfId="30750" xr:uid="{00000000-0005-0000-0000-00005F790000}"/>
    <cellStyle name="Normal 289 2" xfId="2769" xr:uid="{00000000-0005-0000-0000-000060790000}"/>
    <cellStyle name="Normal 289 2 10" xfId="30751" xr:uid="{00000000-0005-0000-0000-000061790000}"/>
    <cellStyle name="Normal 289 2 2" xfId="30752" xr:uid="{00000000-0005-0000-0000-000062790000}"/>
    <cellStyle name="Normal 289 2 2 2" xfId="30753" xr:uid="{00000000-0005-0000-0000-000063790000}"/>
    <cellStyle name="Normal 289 2 2 2 2" xfId="30754" xr:uid="{00000000-0005-0000-0000-000064790000}"/>
    <cellStyle name="Normal 289 2 2 2 2 2" xfId="30755" xr:uid="{00000000-0005-0000-0000-000065790000}"/>
    <cellStyle name="Normal 289 2 2 2 2 3" xfId="30756" xr:uid="{00000000-0005-0000-0000-000066790000}"/>
    <cellStyle name="Normal 289 2 2 2 3" xfId="30757" xr:uid="{00000000-0005-0000-0000-000067790000}"/>
    <cellStyle name="Normal 289 2 2 2 3 2" xfId="30758" xr:uid="{00000000-0005-0000-0000-000068790000}"/>
    <cellStyle name="Normal 289 2 2 2 3 3" xfId="30759" xr:uid="{00000000-0005-0000-0000-000069790000}"/>
    <cellStyle name="Normal 289 2 2 2 4" xfId="30760" xr:uid="{00000000-0005-0000-0000-00006A790000}"/>
    <cellStyle name="Normal 289 2 2 2 5" xfId="30761" xr:uid="{00000000-0005-0000-0000-00006B790000}"/>
    <cellStyle name="Normal 289 2 2 2 6" xfId="30762" xr:uid="{00000000-0005-0000-0000-00006C790000}"/>
    <cellStyle name="Normal 289 2 2 3" xfId="30763" xr:uid="{00000000-0005-0000-0000-00006D790000}"/>
    <cellStyle name="Normal 289 2 2 3 2" xfId="30764" xr:uid="{00000000-0005-0000-0000-00006E790000}"/>
    <cellStyle name="Normal 289 2 2 3 3" xfId="30765" xr:uid="{00000000-0005-0000-0000-00006F790000}"/>
    <cellStyle name="Normal 289 2 2 4" xfId="30766" xr:uid="{00000000-0005-0000-0000-000070790000}"/>
    <cellStyle name="Normal 289 2 2 4 2" xfId="30767" xr:uid="{00000000-0005-0000-0000-000071790000}"/>
    <cellStyle name="Normal 289 2 2 4 3" xfId="30768" xr:uid="{00000000-0005-0000-0000-000072790000}"/>
    <cellStyle name="Normal 289 2 2 5" xfId="30769" xr:uid="{00000000-0005-0000-0000-000073790000}"/>
    <cellStyle name="Normal 289 2 2 6" xfId="30770" xr:uid="{00000000-0005-0000-0000-000074790000}"/>
    <cellStyle name="Normal 289 2 2 7" xfId="30771" xr:uid="{00000000-0005-0000-0000-000075790000}"/>
    <cellStyle name="Normal 289 2 2 8" xfId="30772" xr:uid="{00000000-0005-0000-0000-000076790000}"/>
    <cellStyle name="Normal 289 2 3" xfId="30773" xr:uid="{00000000-0005-0000-0000-000077790000}"/>
    <cellStyle name="Normal 289 2 3 2" xfId="30774" xr:uid="{00000000-0005-0000-0000-000078790000}"/>
    <cellStyle name="Normal 289 2 3 2 2" xfId="30775" xr:uid="{00000000-0005-0000-0000-000079790000}"/>
    <cellStyle name="Normal 289 2 3 2 3" xfId="30776" xr:uid="{00000000-0005-0000-0000-00007A790000}"/>
    <cellStyle name="Normal 289 2 3 3" xfId="30777" xr:uid="{00000000-0005-0000-0000-00007B790000}"/>
    <cellStyle name="Normal 289 2 3 3 2" xfId="30778" xr:uid="{00000000-0005-0000-0000-00007C790000}"/>
    <cellStyle name="Normal 289 2 3 3 3" xfId="30779" xr:uid="{00000000-0005-0000-0000-00007D790000}"/>
    <cellStyle name="Normal 289 2 3 4" xfId="30780" xr:uid="{00000000-0005-0000-0000-00007E790000}"/>
    <cellStyle name="Normal 289 2 3 5" xfId="30781" xr:uid="{00000000-0005-0000-0000-00007F790000}"/>
    <cellStyle name="Normal 289 2 3 6" xfId="30782" xr:uid="{00000000-0005-0000-0000-000080790000}"/>
    <cellStyle name="Normal 289 2 4" xfId="30783" xr:uid="{00000000-0005-0000-0000-000081790000}"/>
    <cellStyle name="Normal 289 2 4 2" xfId="30784" xr:uid="{00000000-0005-0000-0000-000082790000}"/>
    <cellStyle name="Normal 289 2 4 3" xfId="30785" xr:uid="{00000000-0005-0000-0000-000083790000}"/>
    <cellStyle name="Normal 289 2 5" xfId="30786" xr:uid="{00000000-0005-0000-0000-000084790000}"/>
    <cellStyle name="Normal 289 2 5 2" xfId="30787" xr:uid="{00000000-0005-0000-0000-000085790000}"/>
    <cellStyle name="Normal 289 2 5 3" xfId="30788" xr:uid="{00000000-0005-0000-0000-000086790000}"/>
    <cellStyle name="Normal 289 2 6" xfId="30789" xr:uid="{00000000-0005-0000-0000-000087790000}"/>
    <cellStyle name="Normal 289 2 7" xfId="30790" xr:uid="{00000000-0005-0000-0000-000088790000}"/>
    <cellStyle name="Normal 289 2 8" xfId="30791" xr:uid="{00000000-0005-0000-0000-000089790000}"/>
    <cellStyle name="Normal 289 2 9" xfId="30792" xr:uid="{00000000-0005-0000-0000-00008A790000}"/>
    <cellStyle name="Normal 289 3" xfId="30793" xr:uid="{00000000-0005-0000-0000-00008B790000}"/>
    <cellStyle name="Normal 289 3 2" xfId="30794" xr:uid="{00000000-0005-0000-0000-00008C790000}"/>
    <cellStyle name="Normal 289 3 2 2" xfId="30795" xr:uid="{00000000-0005-0000-0000-00008D790000}"/>
    <cellStyle name="Normal 289 3 2 2 2" xfId="30796" xr:uid="{00000000-0005-0000-0000-00008E790000}"/>
    <cellStyle name="Normal 289 3 2 2 3" xfId="30797" xr:uid="{00000000-0005-0000-0000-00008F790000}"/>
    <cellStyle name="Normal 289 3 2 3" xfId="30798" xr:uid="{00000000-0005-0000-0000-000090790000}"/>
    <cellStyle name="Normal 289 3 2 3 2" xfId="30799" xr:uid="{00000000-0005-0000-0000-000091790000}"/>
    <cellStyle name="Normal 289 3 2 3 3" xfId="30800" xr:uid="{00000000-0005-0000-0000-000092790000}"/>
    <cellStyle name="Normal 289 3 2 4" xfId="30801" xr:uid="{00000000-0005-0000-0000-000093790000}"/>
    <cellStyle name="Normal 289 3 2 5" xfId="30802" xr:uid="{00000000-0005-0000-0000-000094790000}"/>
    <cellStyle name="Normal 289 3 2 6" xfId="30803" xr:uid="{00000000-0005-0000-0000-000095790000}"/>
    <cellStyle name="Normal 289 3 3" xfId="30804" xr:uid="{00000000-0005-0000-0000-000096790000}"/>
    <cellStyle name="Normal 289 3 3 2" xfId="30805" xr:uid="{00000000-0005-0000-0000-000097790000}"/>
    <cellStyle name="Normal 289 3 3 3" xfId="30806" xr:uid="{00000000-0005-0000-0000-000098790000}"/>
    <cellStyle name="Normal 289 3 4" xfId="30807" xr:uid="{00000000-0005-0000-0000-000099790000}"/>
    <cellStyle name="Normal 289 3 4 2" xfId="30808" xr:uid="{00000000-0005-0000-0000-00009A790000}"/>
    <cellStyle name="Normal 289 3 4 3" xfId="30809" xr:uid="{00000000-0005-0000-0000-00009B790000}"/>
    <cellStyle name="Normal 289 3 5" xfId="30810" xr:uid="{00000000-0005-0000-0000-00009C790000}"/>
    <cellStyle name="Normal 289 3 6" xfId="30811" xr:uid="{00000000-0005-0000-0000-00009D790000}"/>
    <cellStyle name="Normal 289 3 7" xfId="30812" xr:uid="{00000000-0005-0000-0000-00009E790000}"/>
    <cellStyle name="Normal 289 3 8" xfId="30813" xr:uid="{00000000-0005-0000-0000-00009F790000}"/>
    <cellStyle name="Normal 289 4" xfId="30814" xr:uid="{00000000-0005-0000-0000-0000A0790000}"/>
    <cellStyle name="Normal 289 4 2" xfId="30815" xr:uid="{00000000-0005-0000-0000-0000A1790000}"/>
    <cellStyle name="Normal 289 4 2 2" xfId="30816" xr:uid="{00000000-0005-0000-0000-0000A2790000}"/>
    <cellStyle name="Normal 289 4 2 3" xfId="30817" xr:uid="{00000000-0005-0000-0000-0000A3790000}"/>
    <cellStyle name="Normal 289 4 3" xfId="30818" xr:uid="{00000000-0005-0000-0000-0000A4790000}"/>
    <cellStyle name="Normal 289 4 3 2" xfId="30819" xr:uid="{00000000-0005-0000-0000-0000A5790000}"/>
    <cellStyle name="Normal 289 4 3 3" xfId="30820" xr:uid="{00000000-0005-0000-0000-0000A6790000}"/>
    <cellStyle name="Normal 289 4 4" xfId="30821" xr:uid="{00000000-0005-0000-0000-0000A7790000}"/>
    <cellStyle name="Normal 289 4 5" xfId="30822" xr:uid="{00000000-0005-0000-0000-0000A8790000}"/>
    <cellStyle name="Normal 289 4 6" xfId="30823" xr:uid="{00000000-0005-0000-0000-0000A9790000}"/>
    <cellStyle name="Normal 289 5" xfId="30824" xr:uid="{00000000-0005-0000-0000-0000AA790000}"/>
    <cellStyle name="Normal 289 5 2" xfId="30825" xr:uid="{00000000-0005-0000-0000-0000AB790000}"/>
    <cellStyle name="Normal 289 5 3" xfId="30826" xr:uid="{00000000-0005-0000-0000-0000AC790000}"/>
    <cellStyle name="Normal 289 6" xfId="30827" xr:uid="{00000000-0005-0000-0000-0000AD790000}"/>
    <cellStyle name="Normal 289 6 2" xfId="30828" xr:uid="{00000000-0005-0000-0000-0000AE790000}"/>
    <cellStyle name="Normal 289 6 3" xfId="30829" xr:uid="{00000000-0005-0000-0000-0000AF790000}"/>
    <cellStyle name="Normal 289 7" xfId="30830" xr:uid="{00000000-0005-0000-0000-0000B0790000}"/>
    <cellStyle name="Normal 289 8" xfId="30831" xr:uid="{00000000-0005-0000-0000-0000B1790000}"/>
    <cellStyle name="Normal 289 9" xfId="30832" xr:uid="{00000000-0005-0000-0000-0000B2790000}"/>
    <cellStyle name="Normal 29" xfId="2770" xr:uid="{00000000-0005-0000-0000-0000B3790000}"/>
    <cellStyle name="Normal 29 2" xfId="2771" xr:uid="{00000000-0005-0000-0000-0000B4790000}"/>
    <cellStyle name="Normal 29 3" xfId="30833" xr:uid="{00000000-0005-0000-0000-0000B5790000}"/>
    <cellStyle name="Normal 29 3 2" xfId="30834" xr:uid="{00000000-0005-0000-0000-0000B6790000}"/>
    <cellStyle name="Normal 29 4" xfId="30835" xr:uid="{00000000-0005-0000-0000-0000B7790000}"/>
    <cellStyle name="Normal 29 5" xfId="30836" xr:uid="{00000000-0005-0000-0000-0000B8790000}"/>
    <cellStyle name="Normal 290" xfId="2772" xr:uid="{00000000-0005-0000-0000-0000B9790000}"/>
    <cellStyle name="Normal 290 10" xfId="30837" xr:uid="{00000000-0005-0000-0000-0000BA790000}"/>
    <cellStyle name="Normal 290 11" xfId="30838" xr:uid="{00000000-0005-0000-0000-0000BB790000}"/>
    <cellStyle name="Normal 290 2" xfId="30839" xr:uid="{00000000-0005-0000-0000-0000BC790000}"/>
    <cellStyle name="Normal 290 2 2" xfId="30840" xr:uid="{00000000-0005-0000-0000-0000BD790000}"/>
    <cellStyle name="Normal 290 2 2 2" xfId="30841" xr:uid="{00000000-0005-0000-0000-0000BE790000}"/>
    <cellStyle name="Normal 290 2 2 2 2" xfId="30842" xr:uid="{00000000-0005-0000-0000-0000BF790000}"/>
    <cellStyle name="Normal 290 2 2 2 2 2" xfId="30843" xr:uid="{00000000-0005-0000-0000-0000C0790000}"/>
    <cellStyle name="Normal 290 2 2 2 2 3" xfId="30844" xr:uid="{00000000-0005-0000-0000-0000C1790000}"/>
    <cellStyle name="Normal 290 2 2 2 3" xfId="30845" xr:uid="{00000000-0005-0000-0000-0000C2790000}"/>
    <cellStyle name="Normal 290 2 2 2 3 2" xfId="30846" xr:uid="{00000000-0005-0000-0000-0000C3790000}"/>
    <cellStyle name="Normal 290 2 2 2 3 3" xfId="30847" xr:uid="{00000000-0005-0000-0000-0000C4790000}"/>
    <cellStyle name="Normal 290 2 2 2 4" xfId="30848" xr:uid="{00000000-0005-0000-0000-0000C5790000}"/>
    <cellStyle name="Normal 290 2 2 2 5" xfId="30849" xr:uid="{00000000-0005-0000-0000-0000C6790000}"/>
    <cellStyle name="Normal 290 2 2 2 6" xfId="30850" xr:uid="{00000000-0005-0000-0000-0000C7790000}"/>
    <cellStyle name="Normal 290 2 2 3" xfId="30851" xr:uid="{00000000-0005-0000-0000-0000C8790000}"/>
    <cellStyle name="Normal 290 2 2 3 2" xfId="30852" xr:uid="{00000000-0005-0000-0000-0000C9790000}"/>
    <cellStyle name="Normal 290 2 2 3 3" xfId="30853" xr:uid="{00000000-0005-0000-0000-0000CA790000}"/>
    <cellStyle name="Normal 290 2 2 4" xfId="30854" xr:uid="{00000000-0005-0000-0000-0000CB790000}"/>
    <cellStyle name="Normal 290 2 2 4 2" xfId="30855" xr:uid="{00000000-0005-0000-0000-0000CC790000}"/>
    <cellStyle name="Normal 290 2 2 4 3" xfId="30856" xr:uid="{00000000-0005-0000-0000-0000CD790000}"/>
    <cellStyle name="Normal 290 2 2 5" xfId="30857" xr:uid="{00000000-0005-0000-0000-0000CE790000}"/>
    <cellStyle name="Normal 290 2 2 6" xfId="30858" xr:uid="{00000000-0005-0000-0000-0000CF790000}"/>
    <cellStyle name="Normal 290 2 2 7" xfId="30859" xr:uid="{00000000-0005-0000-0000-0000D0790000}"/>
    <cellStyle name="Normal 290 2 2 8" xfId="30860" xr:uid="{00000000-0005-0000-0000-0000D1790000}"/>
    <cellStyle name="Normal 290 2 3" xfId="30861" xr:uid="{00000000-0005-0000-0000-0000D2790000}"/>
    <cellStyle name="Normal 290 2 3 2" xfId="30862" xr:uid="{00000000-0005-0000-0000-0000D3790000}"/>
    <cellStyle name="Normal 290 2 3 2 2" xfId="30863" xr:uid="{00000000-0005-0000-0000-0000D4790000}"/>
    <cellStyle name="Normal 290 2 3 2 3" xfId="30864" xr:uid="{00000000-0005-0000-0000-0000D5790000}"/>
    <cellStyle name="Normal 290 2 3 3" xfId="30865" xr:uid="{00000000-0005-0000-0000-0000D6790000}"/>
    <cellStyle name="Normal 290 2 3 3 2" xfId="30866" xr:uid="{00000000-0005-0000-0000-0000D7790000}"/>
    <cellStyle name="Normal 290 2 3 3 3" xfId="30867" xr:uid="{00000000-0005-0000-0000-0000D8790000}"/>
    <cellStyle name="Normal 290 2 3 4" xfId="30868" xr:uid="{00000000-0005-0000-0000-0000D9790000}"/>
    <cellStyle name="Normal 290 2 3 5" xfId="30869" xr:uid="{00000000-0005-0000-0000-0000DA790000}"/>
    <cellStyle name="Normal 290 2 3 6" xfId="30870" xr:uid="{00000000-0005-0000-0000-0000DB790000}"/>
    <cellStyle name="Normal 290 2 4" xfId="30871" xr:uid="{00000000-0005-0000-0000-0000DC790000}"/>
    <cellStyle name="Normal 290 2 4 2" xfId="30872" xr:uid="{00000000-0005-0000-0000-0000DD790000}"/>
    <cellStyle name="Normal 290 2 4 3" xfId="30873" xr:uid="{00000000-0005-0000-0000-0000DE790000}"/>
    <cellStyle name="Normal 290 2 5" xfId="30874" xr:uid="{00000000-0005-0000-0000-0000DF790000}"/>
    <cellStyle name="Normal 290 2 5 2" xfId="30875" xr:uid="{00000000-0005-0000-0000-0000E0790000}"/>
    <cellStyle name="Normal 290 2 5 3" xfId="30876" xr:uid="{00000000-0005-0000-0000-0000E1790000}"/>
    <cellStyle name="Normal 290 2 6" xfId="30877" xr:uid="{00000000-0005-0000-0000-0000E2790000}"/>
    <cellStyle name="Normal 290 2 7" xfId="30878" xr:uid="{00000000-0005-0000-0000-0000E3790000}"/>
    <cellStyle name="Normal 290 2 8" xfId="30879" xr:uid="{00000000-0005-0000-0000-0000E4790000}"/>
    <cellStyle name="Normal 290 2 9" xfId="30880" xr:uid="{00000000-0005-0000-0000-0000E5790000}"/>
    <cellStyle name="Normal 290 3" xfId="30881" xr:uid="{00000000-0005-0000-0000-0000E6790000}"/>
    <cellStyle name="Normal 290 3 2" xfId="30882" xr:uid="{00000000-0005-0000-0000-0000E7790000}"/>
    <cellStyle name="Normal 290 3 2 2" xfId="30883" xr:uid="{00000000-0005-0000-0000-0000E8790000}"/>
    <cellStyle name="Normal 290 3 2 2 2" xfId="30884" xr:uid="{00000000-0005-0000-0000-0000E9790000}"/>
    <cellStyle name="Normal 290 3 2 2 3" xfId="30885" xr:uid="{00000000-0005-0000-0000-0000EA790000}"/>
    <cellStyle name="Normal 290 3 2 3" xfId="30886" xr:uid="{00000000-0005-0000-0000-0000EB790000}"/>
    <cellStyle name="Normal 290 3 2 3 2" xfId="30887" xr:uid="{00000000-0005-0000-0000-0000EC790000}"/>
    <cellStyle name="Normal 290 3 2 3 3" xfId="30888" xr:uid="{00000000-0005-0000-0000-0000ED790000}"/>
    <cellStyle name="Normal 290 3 2 4" xfId="30889" xr:uid="{00000000-0005-0000-0000-0000EE790000}"/>
    <cellStyle name="Normal 290 3 2 5" xfId="30890" xr:uid="{00000000-0005-0000-0000-0000EF790000}"/>
    <cellStyle name="Normal 290 3 2 6" xfId="30891" xr:uid="{00000000-0005-0000-0000-0000F0790000}"/>
    <cellStyle name="Normal 290 3 3" xfId="30892" xr:uid="{00000000-0005-0000-0000-0000F1790000}"/>
    <cellStyle name="Normal 290 3 3 2" xfId="30893" xr:uid="{00000000-0005-0000-0000-0000F2790000}"/>
    <cellStyle name="Normal 290 3 3 3" xfId="30894" xr:uid="{00000000-0005-0000-0000-0000F3790000}"/>
    <cellStyle name="Normal 290 3 4" xfId="30895" xr:uid="{00000000-0005-0000-0000-0000F4790000}"/>
    <cellStyle name="Normal 290 3 4 2" xfId="30896" xr:uid="{00000000-0005-0000-0000-0000F5790000}"/>
    <cellStyle name="Normal 290 3 4 3" xfId="30897" xr:uid="{00000000-0005-0000-0000-0000F6790000}"/>
    <cellStyle name="Normal 290 3 5" xfId="30898" xr:uid="{00000000-0005-0000-0000-0000F7790000}"/>
    <cellStyle name="Normal 290 3 6" xfId="30899" xr:uid="{00000000-0005-0000-0000-0000F8790000}"/>
    <cellStyle name="Normal 290 3 7" xfId="30900" xr:uid="{00000000-0005-0000-0000-0000F9790000}"/>
    <cellStyle name="Normal 290 3 8" xfId="30901" xr:uid="{00000000-0005-0000-0000-0000FA790000}"/>
    <cellStyle name="Normal 290 4" xfId="30902" xr:uid="{00000000-0005-0000-0000-0000FB790000}"/>
    <cellStyle name="Normal 290 4 2" xfId="30903" xr:uid="{00000000-0005-0000-0000-0000FC790000}"/>
    <cellStyle name="Normal 290 4 2 2" xfId="30904" xr:uid="{00000000-0005-0000-0000-0000FD790000}"/>
    <cellStyle name="Normal 290 4 2 3" xfId="30905" xr:uid="{00000000-0005-0000-0000-0000FE790000}"/>
    <cellStyle name="Normal 290 4 3" xfId="30906" xr:uid="{00000000-0005-0000-0000-0000FF790000}"/>
    <cellStyle name="Normal 290 4 3 2" xfId="30907" xr:uid="{00000000-0005-0000-0000-0000007A0000}"/>
    <cellStyle name="Normal 290 4 3 3" xfId="30908" xr:uid="{00000000-0005-0000-0000-0000017A0000}"/>
    <cellStyle name="Normal 290 4 4" xfId="30909" xr:uid="{00000000-0005-0000-0000-0000027A0000}"/>
    <cellStyle name="Normal 290 4 5" xfId="30910" xr:uid="{00000000-0005-0000-0000-0000037A0000}"/>
    <cellStyle name="Normal 290 4 6" xfId="30911" xr:uid="{00000000-0005-0000-0000-0000047A0000}"/>
    <cellStyle name="Normal 290 5" xfId="30912" xr:uid="{00000000-0005-0000-0000-0000057A0000}"/>
    <cellStyle name="Normal 290 5 2" xfId="30913" xr:uid="{00000000-0005-0000-0000-0000067A0000}"/>
    <cellStyle name="Normal 290 5 3" xfId="30914" xr:uid="{00000000-0005-0000-0000-0000077A0000}"/>
    <cellStyle name="Normal 290 6" xfId="30915" xr:uid="{00000000-0005-0000-0000-0000087A0000}"/>
    <cellStyle name="Normal 290 6 2" xfId="30916" xr:uid="{00000000-0005-0000-0000-0000097A0000}"/>
    <cellStyle name="Normal 290 6 3" xfId="30917" xr:uid="{00000000-0005-0000-0000-00000A7A0000}"/>
    <cellStyle name="Normal 290 7" xfId="30918" xr:uid="{00000000-0005-0000-0000-00000B7A0000}"/>
    <cellStyle name="Normal 290 8" xfId="30919" xr:uid="{00000000-0005-0000-0000-00000C7A0000}"/>
    <cellStyle name="Normal 290 9" xfId="30920" xr:uid="{00000000-0005-0000-0000-00000D7A0000}"/>
    <cellStyle name="Normal 291" xfId="2773" xr:uid="{00000000-0005-0000-0000-00000E7A0000}"/>
    <cellStyle name="Normal 291 10" xfId="30921" xr:uid="{00000000-0005-0000-0000-00000F7A0000}"/>
    <cellStyle name="Normal 291 11" xfId="30922" xr:uid="{00000000-0005-0000-0000-0000107A0000}"/>
    <cellStyle name="Normal 291 2" xfId="30923" xr:uid="{00000000-0005-0000-0000-0000117A0000}"/>
    <cellStyle name="Normal 291 2 2" xfId="30924" xr:uid="{00000000-0005-0000-0000-0000127A0000}"/>
    <cellStyle name="Normal 291 2 2 2" xfId="30925" xr:uid="{00000000-0005-0000-0000-0000137A0000}"/>
    <cellStyle name="Normal 291 2 2 2 2" xfId="30926" xr:uid="{00000000-0005-0000-0000-0000147A0000}"/>
    <cellStyle name="Normal 291 2 2 2 2 2" xfId="30927" xr:uid="{00000000-0005-0000-0000-0000157A0000}"/>
    <cellStyle name="Normal 291 2 2 2 2 3" xfId="30928" xr:uid="{00000000-0005-0000-0000-0000167A0000}"/>
    <cellStyle name="Normal 291 2 2 2 3" xfId="30929" xr:uid="{00000000-0005-0000-0000-0000177A0000}"/>
    <cellStyle name="Normal 291 2 2 2 3 2" xfId="30930" xr:uid="{00000000-0005-0000-0000-0000187A0000}"/>
    <cellStyle name="Normal 291 2 2 2 3 3" xfId="30931" xr:uid="{00000000-0005-0000-0000-0000197A0000}"/>
    <cellStyle name="Normal 291 2 2 2 4" xfId="30932" xr:uid="{00000000-0005-0000-0000-00001A7A0000}"/>
    <cellStyle name="Normal 291 2 2 2 5" xfId="30933" xr:uid="{00000000-0005-0000-0000-00001B7A0000}"/>
    <cellStyle name="Normal 291 2 2 2 6" xfId="30934" xr:uid="{00000000-0005-0000-0000-00001C7A0000}"/>
    <cellStyle name="Normal 291 2 2 3" xfId="30935" xr:uid="{00000000-0005-0000-0000-00001D7A0000}"/>
    <cellStyle name="Normal 291 2 2 3 2" xfId="30936" xr:uid="{00000000-0005-0000-0000-00001E7A0000}"/>
    <cellStyle name="Normal 291 2 2 3 3" xfId="30937" xr:uid="{00000000-0005-0000-0000-00001F7A0000}"/>
    <cellStyle name="Normal 291 2 2 4" xfId="30938" xr:uid="{00000000-0005-0000-0000-0000207A0000}"/>
    <cellStyle name="Normal 291 2 2 4 2" xfId="30939" xr:uid="{00000000-0005-0000-0000-0000217A0000}"/>
    <cellStyle name="Normal 291 2 2 4 3" xfId="30940" xr:uid="{00000000-0005-0000-0000-0000227A0000}"/>
    <cellStyle name="Normal 291 2 2 5" xfId="30941" xr:uid="{00000000-0005-0000-0000-0000237A0000}"/>
    <cellStyle name="Normal 291 2 2 6" xfId="30942" xr:uid="{00000000-0005-0000-0000-0000247A0000}"/>
    <cellStyle name="Normal 291 2 2 7" xfId="30943" xr:uid="{00000000-0005-0000-0000-0000257A0000}"/>
    <cellStyle name="Normal 291 2 2 8" xfId="30944" xr:uid="{00000000-0005-0000-0000-0000267A0000}"/>
    <cellStyle name="Normal 291 2 3" xfId="30945" xr:uid="{00000000-0005-0000-0000-0000277A0000}"/>
    <cellStyle name="Normal 291 2 3 2" xfId="30946" xr:uid="{00000000-0005-0000-0000-0000287A0000}"/>
    <cellStyle name="Normal 291 2 3 2 2" xfId="30947" xr:uid="{00000000-0005-0000-0000-0000297A0000}"/>
    <cellStyle name="Normal 291 2 3 2 3" xfId="30948" xr:uid="{00000000-0005-0000-0000-00002A7A0000}"/>
    <cellStyle name="Normal 291 2 3 3" xfId="30949" xr:uid="{00000000-0005-0000-0000-00002B7A0000}"/>
    <cellStyle name="Normal 291 2 3 3 2" xfId="30950" xr:uid="{00000000-0005-0000-0000-00002C7A0000}"/>
    <cellStyle name="Normal 291 2 3 3 3" xfId="30951" xr:uid="{00000000-0005-0000-0000-00002D7A0000}"/>
    <cellStyle name="Normal 291 2 3 4" xfId="30952" xr:uid="{00000000-0005-0000-0000-00002E7A0000}"/>
    <cellStyle name="Normal 291 2 3 5" xfId="30953" xr:uid="{00000000-0005-0000-0000-00002F7A0000}"/>
    <cellStyle name="Normal 291 2 3 6" xfId="30954" xr:uid="{00000000-0005-0000-0000-0000307A0000}"/>
    <cellStyle name="Normal 291 2 4" xfId="30955" xr:uid="{00000000-0005-0000-0000-0000317A0000}"/>
    <cellStyle name="Normal 291 2 4 2" xfId="30956" xr:uid="{00000000-0005-0000-0000-0000327A0000}"/>
    <cellStyle name="Normal 291 2 4 3" xfId="30957" xr:uid="{00000000-0005-0000-0000-0000337A0000}"/>
    <cellStyle name="Normal 291 2 5" xfId="30958" xr:uid="{00000000-0005-0000-0000-0000347A0000}"/>
    <cellStyle name="Normal 291 2 5 2" xfId="30959" xr:uid="{00000000-0005-0000-0000-0000357A0000}"/>
    <cellStyle name="Normal 291 2 5 3" xfId="30960" xr:uid="{00000000-0005-0000-0000-0000367A0000}"/>
    <cellStyle name="Normal 291 2 6" xfId="30961" xr:uid="{00000000-0005-0000-0000-0000377A0000}"/>
    <cellStyle name="Normal 291 2 7" xfId="30962" xr:uid="{00000000-0005-0000-0000-0000387A0000}"/>
    <cellStyle name="Normal 291 2 8" xfId="30963" xr:uid="{00000000-0005-0000-0000-0000397A0000}"/>
    <cellStyle name="Normal 291 2 9" xfId="30964" xr:uid="{00000000-0005-0000-0000-00003A7A0000}"/>
    <cellStyle name="Normal 291 3" xfId="30965" xr:uid="{00000000-0005-0000-0000-00003B7A0000}"/>
    <cellStyle name="Normal 291 3 2" xfId="30966" xr:uid="{00000000-0005-0000-0000-00003C7A0000}"/>
    <cellStyle name="Normal 291 3 2 2" xfId="30967" xr:uid="{00000000-0005-0000-0000-00003D7A0000}"/>
    <cellStyle name="Normal 291 3 2 2 2" xfId="30968" xr:uid="{00000000-0005-0000-0000-00003E7A0000}"/>
    <cellStyle name="Normal 291 3 2 2 3" xfId="30969" xr:uid="{00000000-0005-0000-0000-00003F7A0000}"/>
    <cellStyle name="Normal 291 3 2 3" xfId="30970" xr:uid="{00000000-0005-0000-0000-0000407A0000}"/>
    <cellStyle name="Normal 291 3 2 3 2" xfId="30971" xr:uid="{00000000-0005-0000-0000-0000417A0000}"/>
    <cellStyle name="Normal 291 3 2 3 3" xfId="30972" xr:uid="{00000000-0005-0000-0000-0000427A0000}"/>
    <cellStyle name="Normal 291 3 2 4" xfId="30973" xr:uid="{00000000-0005-0000-0000-0000437A0000}"/>
    <cellStyle name="Normal 291 3 2 5" xfId="30974" xr:uid="{00000000-0005-0000-0000-0000447A0000}"/>
    <cellStyle name="Normal 291 3 2 6" xfId="30975" xr:uid="{00000000-0005-0000-0000-0000457A0000}"/>
    <cellStyle name="Normal 291 3 3" xfId="30976" xr:uid="{00000000-0005-0000-0000-0000467A0000}"/>
    <cellStyle name="Normal 291 3 3 2" xfId="30977" xr:uid="{00000000-0005-0000-0000-0000477A0000}"/>
    <cellStyle name="Normal 291 3 3 3" xfId="30978" xr:uid="{00000000-0005-0000-0000-0000487A0000}"/>
    <cellStyle name="Normal 291 3 4" xfId="30979" xr:uid="{00000000-0005-0000-0000-0000497A0000}"/>
    <cellStyle name="Normal 291 3 4 2" xfId="30980" xr:uid="{00000000-0005-0000-0000-00004A7A0000}"/>
    <cellStyle name="Normal 291 3 4 3" xfId="30981" xr:uid="{00000000-0005-0000-0000-00004B7A0000}"/>
    <cellStyle name="Normal 291 3 5" xfId="30982" xr:uid="{00000000-0005-0000-0000-00004C7A0000}"/>
    <cellStyle name="Normal 291 3 6" xfId="30983" xr:uid="{00000000-0005-0000-0000-00004D7A0000}"/>
    <cellStyle name="Normal 291 3 7" xfId="30984" xr:uid="{00000000-0005-0000-0000-00004E7A0000}"/>
    <cellStyle name="Normal 291 3 8" xfId="30985" xr:uid="{00000000-0005-0000-0000-00004F7A0000}"/>
    <cellStyle name="Normal 291 4" xfId="30986" xr:uid="{00000000-0005-0000-0000-0000507A0000}"/>
    <cellStyle name="Normal 291 4 2" xfId="30987" xr:uid="{00000000-0005-0000-0000-0000517A0000}"/>
    <cellStyle name="Normal 291 4 2 2" xfId="30988" xr:uid="{00000000-0005-0000-0000-0000527A0000}"/>
    <cellStyle name="Normal 291 4 2 3" xfId="30989" xr:uid="{00000000-0005-0000-0000-0000537A0000}"/>
    <cellStyle name="Normal 291 4 3" xfId="30990" xr:uid="{00000000-0005-0000-0000-0000547A0000}"/>
    <cellStyle name="Normal 291 4 3 2" xfId="30991" xr:uid="{00000000-0005-0000-0000-0000557A0000}"/>
    <cellStyle name="Normal 291 4 3 3" xfId="30992" xr:uid="{00000000-0005-0000-0000-0000567A0000}"/>
    <cellStyle name="Normal 291 4 4" xfId="30993" xr:uid="{00000000-0005-0000-0000-0000577A0000}"/>
    <cellStyle name="Normal 291 4 5" xfId="30994" xr:uid="{00000000-0005-0000-0000-0000587A0000}"/>
    <cellStyle name="Normal 291 4 6" xfId="30995" xr:uid="{00000000-0005-0000-0000-0000597A0000}"/>
    <cellStyle name="Normal 291 5" xfId="30996" xr:uid="{00000000-0005-0000-0000-00005A7A0000}"/>
    <cellStyle name="Normal 291 5 2" xfId="30997" xr:uid="{00000000-0005-0000-0000-00005B7A0000}"/>
    <cellStyle name="Normal 291 5 3" xfId="30998" xr:uid="{00000000-0005-0000-0000-00005C7A0000}"/>
    <cellStyle name="Normal 291 6" xfId="30999" xr:uid="{00000000-0005-0000-0000-00005D7A0000}"/>
    <cellStyle name="Normal 291 6 2" xfId="31000" xr:uid="{00000000-0005-0000-0000-00005E7A0000}"/>
    <cellStyle name="Normal 291 6 3" xfId="31001" xr:uid="{00000000-0005-0000-0000-00005F7A0000}"/>
    <cellStyle name="Normal 291 7" xfId="31002" xr:uid="{00000000-0005-0000-0000-0000607A0000}"/>
    <cellStyle name="Normal 291 8" xfId="31003" xr:uid="{00000000-0005-0000-0000-0000617A0000}"/>
    <cellStyle name="Normal 291 9" xfId="31004" xr:uid="{00000000-0005-0000-0000-0000627A0000}"/>
    <cellStyle name="Normal 292" xfId="2774" xr:uid="{00000000-0005-0000-0000-0000637A0000}"/>
    <cellStyle name="Normal 292 10" xfId="31005" xr:uid="{00000000-0005-0000-0000-0000647A0000}"/>
    <cellStyle name="Normal 292 11" xfId="31006" xr:uid="{00000000-0005-0000-0000-0000657A0000}"/>
    <cellStyle name="Normal 292 2" xfId="31007" xr:uid="{00000000-0005-0000-0000-0000667A0000}"/>
    <cellStyle name="Normal 292 2 2" xfId="31008" xr:uid="{00000000-0005-0000-0000-0000677A0000}"/>
    <cellStyle name="Normal 292 2 2 2" xfId="31009" xr:uid="{00000000-0005-0000-0000-0000687A0000}"/>
    <cellStyle name="Normal 292 2 2 2 2" xfId="31010" xr:uid="{00000000-0005-0000-0000-0000697A0000}"/>
    <cellStyle name="Normal 292 2 2 2 2 2" xfId="31011" xr:uid="{00000000-0005-0000-0000-00006A7A0000}"/>
    <cellStyle name="Normal 292 2 2 2 2 3" xfId="31012" xr:uid="{00000000-0005-0000-0000-00006B7A0000}"/>
    <cellStyle name="Normal 292 2 2 2 3" xfId="31013" xr:uid="{00000000-0005-0000-0000-00006C7A0000}"/>
    <cellStyle name="Normal 292 2 2 2 3 2" xfId="31014" xr:uid="{00000000-0005-0000-0000-00006D7A0000}"/>
    <cellStyle name="Normal 292 2 2 2 3 3" xfId="31015" xr:uid="{00000000-0005-0000-0000-00006E7A0000}"/>
    <cellStyle name="Normal 292 2 2 2 4" xfId="31016" xr:uid="{00000000-0005-0000-0000-00006F7A0000}"/>
    <cellStyle name="Normal 292 2 2 2 5" xfId="31017" xr:uid="{00000000-0005-0000-0000-0000707A0000}"/>
    <cellStyle name="Normal 292 2 2 2 6" xfId="31018" xr:uid="{00000000-0005-0000-0000-0000717A0000}"/>
    <cellStyle name="Normal 292 2 2 3" xfId="31019" xr:uid="{00000000-0005-0000-0000-0000727A0000}"/>
    <cellStyle name="Normal 292 2 2 3 2" xfId="31020" xr:uid="{00000000-0005-0000-0000-0000737A0000}"/>
    <cellStyle name="Normal 292 2 2 3 3" xfId="31021" xr:uid="{00000000-0005-0000-0000-0000747A0000}"/>
    <cellStyle name="Normal 292 2 2 4" xfId="31022" xr:uid="{00000000-0005-0000-0000-0000757A0000}"/>
    <cellStyle name="Normal 292 2 2 4 2" xfId="31023" xr:uid="{00000000-0005-0000-0000-0000767A0000}"/>
    <cellStyle name="Normal 292 2 2 4 3" xfId="31024" xr:uid="{00000000-0005-0000-0000-0000777A0000}"/>
    <cellStyle name="Normal 292 2 2 5" xfId="31025" xr:uid="{00000000-0005-0000-0000-0000787A0000}"/>
    <cellStyle name="Normal 292 2 2 6" xfId="31026" xr:uid="{00000000-0005-0000-0000-0000797A0000}"/>
    <cellStyle name="Normal 292 2 2 7" xfId="31027" xr:uid="{00000000-0005-0000-0000-00007A7A0000}"/>
    <cellStyle name="Normal 292 2 2 8" xfId="31028" xr:uid="{00000000-0005-0000-0000-00007B7A0000}"/>
    <cellStyle name="Normal 292 2 3" xfId="31029" xr:uid="{00000000-0005-0000-0000-00007C7A0000}"/>
    <cellStyle name="Normal 292 2 3 2" xfId="31030" xr:uid="{00000000-0005-0000-0000-00007D7A0000}"/>
    <cellStyle name="Normal 292 2 3 2 2" xfId="31031" xr:uid="{00000000-0005-0000-0000-00007E7A0000}"/>
    <cellStyle name="Normal 292 2 3 2 3" xfId="31032" xr:uid="{00000000-0005-0000-0000-00007F7A0000}"/>
    <cellStyle name="Normal 292 2 3 3" xfId="31033" xr:uid="{00000000-0005-0000-0000-0000807A0000}"/>
    <cellStyle name="Normal 292 2 3 3 2" xfId="31034" xr:uid="{00000000-0005-0000-0000-0000817A0000}"/>
    <cellStyle name="Normal 292 2 3 3 3" xfId="31035" xr:uid="{00000000-0005-0000-0000-0000827A0000}"/>
    <cellStyle name="Normal 292 2 3 4" xfId="31036" xr:uid="{00000000-0005-0000-0000-0000837A0000}"/>
    <cellStyle name="Normal 292 2 3 5" xfId="31037" xr:uid="{00000000-0005-0000-0000-0000847A0000}"/>
    <cellStyle name="Normal 292 2 3 6" xfId="31038" xr:uid="{00000000-0005-0000-0000-0000857A0000}"/>
    <cellStyle name="Normal 292 2 4" xfId="31039" xr:uid="{00000000-0005-0000-0000-0000867A0000}"/>
    <cellStyle name="Normal 292 2 4 2" xfId="31040" xr:uid="{00000000-0005-0000-0000-0000877A0000}"/>
    <cellStyle name="Normal 292 2 4 3" xfId="31041" xr:uid="{00000000-0005-0000-0000-0000887A0000}"/>
    <cellStyle name="Normal 292 2 5" xfId="31042" xr:uid="{00000000-0005-0000-0000-0000897A0000}"/>
    <cellStyle name="Normal 292 2 5 2" xfId="31043" xr:uid="{00000000-0005-0000-0000-00008A7A0000}"/>
    <cellStyle name="Normal 292 2 5 3" xfId="31044" xr:uid="{00000000-0005-0000-0000-00008B7A0000}"/>
    <cellStyle name="Normal 292 2 6" xfId="31045" xr:uid="{00000000-0005-0000-0000-00008C7A0000}"/>
    <cellStyle name="Normal 292 2 7" xfId="31046" xr:uid="{00000000-0005-0000-0000-00008D7A0000}"/>
    <cellStyle name="Normal 292 2 8" xfId="31047" xr:uid="{00000000-0005-0000-0000-00008E7A0000}"/>
    <cellStyle name="Normal 292 2 9" xfId="31048" xr:uid="{00000000-0005-0000-0000-00008F7A0000}"/>
    <cellStyle name="Normal 292 3" xfId="31049" xr:uid="{00000000-0005-0000-0000-0000907A0000}"/>
    <cellStyle name="Normal 292 3 2" xfId="31050" xr:uid="{00000000-0005-0000-0000-0000917A0000}"/>
    <cellStyle name="Normal 292 3 2 2" xfId="31051" xr:uid="{00000000-0005-0000-0000-0000927A0000}"/>
    <cellStyle name="Normal 292 3 2 2 2" xfId="31052" xr:uid="{00000000-0005-0000-0000-0000937A0000}"/>
    <cellStyle name="Normal 292 3 2 2 3" xfId="31053" xr:uid="{00000000-0005-0000-0000-0000947A0000}"/>
    <cellStyle name="Normal 292 3 2 3" xfId="31054" xr:uid="{00000000-0005-0000-0000-0000957A0000}"/>
    <cellStyle name="Normal 292 3 2 3 2" xfId="31055" xr:uid="{00000000-0005-0000-0000-0000967A0000}"/>
    <cellStyle name="Normal 292 3 2 3 3" xfId="31056" xr:uid="{00000000-0005-0000-0000-0000977A0000}"/>
    <cellStyle name="Normal 292 3 2 4" xfId="31057" xr:uid="{00000000-0005-0000-0000-0000987A0000}"/>
    <cellStyle name="Normal 292 3 2 5" xfId="31058" xr:uid="{00000000-0005-0000-0000-0000997A0000}"/>
    <cellStyle name="Normal 292 3 2 6" xfId="31059" xr:uid="{00000000-0005-0000-0000-00009A7A0000}"/>
    <cellStyle name="Normal 292 3 3" xfId="31060" xr:uid="{00000000-0005-0000-0000-00009B7A0000}"/>
    <cellStyle name="Normal 292 3 3 2" xfId="31061" xr:uid="{00000000-0005-0000-0000-00009C7A0000}"/>
    <cellStyle name="Normal 292 3 3 3" xfId="31062" xr:uid="{00000000-0005-0000-0000-00009D7A0000}"/>
    <cellStyle name="Normal 292 3 4" xfId="31063" xr:uid="{00000000-0005-0000-0000-00009E7A0000}"/>
    <cellStyle name="Normal 292 3 4 2" xfId="31064" xr:uid="{00000000-0005-0000-0000-00009F7A0000}"/>
    <cellStyle name="Normal 292 3 4 3" xfId="31065" xr:uid="{00000000-0005-0000-0000-0000A07A0000}"/>
    <cellStyle name="Normal 292 3 5" xfId="31066" xr:uid="{00000000-0005-0000-0000-0000A17A0000}"/>
    <cellStyle name="Normal 292 3 6" xfId="31067" xr:uid="{00000000-0005-0000-0000-0000A27A0000}"/>
    <cellStyle name="Normal 292 3 7" xfId="31068" xr:uid="{00000000-0005-0000-0000-0000A37A0000}"/>
    <cellStyle name="Normal 292 3 8" xfId="31069" xr:uid="{00000000-0005-0000-0000-0000A47A0000}"/>
    <cellStyle name="Normal 292 4" xfId="31070" xr:uid="{00000000-0005-0000-0000-0000A57A0000}"/>
    <cellStyle name="Normal 292 4 2" xfId="31071" xr:uid="{00000000-0005-0000-0000-0000A67A0000}"/>
    <cellStyle name="Normal 292 4 2 2" xfId="31072" xr:uid="{00000000-0005-0000-0000-0000A77A0000}"/>
    <cellStyle name="Normal 292 4 2 3" xfId="31073" xr:uid="{00000000-0005-0000-0000-0000A87A0000}"/>
    <cellStyle name="Normal 292 4 3" xfId="31074" xr:uid="{00000000-0005-0000-0000-0000A97A0000}"/>
    <cellStyle name="Normal 292 4 3 2" xfId="31075" xr:uid="{00000000-0005-0000-0000-0000AA7A0000}"/>
    <cellStyle name="Normal 292 4 3 3" xfId="31076" xr:uid="{00000000-0005-0000-0000-0000AB7A0000}"/>
    <cellStyle name="Normal 292 4 4" xfId="31077" xr:uid="{00000000-0005-0000-0000-0000AC7A0000}"/>
    <cellStyle name="Normal 292 4 5" xfId="31078" xr:uid="{00000000-0005-0000-0000-0000AD7A0000}"/>
    <cellStyle name="Normal 292 4 6" xfId="31079" xr:uid="{00000000-0005-0000-0000-0000AE7A0000}"/>
    <cellStyle name="Normal 292 5" xfId="31080" xr:uid="{00000000-0005-0000-0000-0000AF7A0000}"/>
    <cellStyle name="Normal 292 5 2" xfId="31081" xr:uid="{00000000-0005-0000-0000-0000B07A0000}"/>
    <cellStyle name="Normal 292 5 3" xfId="31082" xr:uid="{00000000-0005-0000-0000-0000B17A0000}"/>
    <cellStyle name="Normal 292 6" xfId="31083" xr:uid="{00000000-0005-0000-0000-0000B27A0000}"/>
    <cellStyle name="Normal 292 6 2" xfId="31084" xr:uid="{00000000-0005-0000-0000-0000B37A0000}"/>
    <cellStyle name="Normal 292 6 3" xfId="31085" xr:uid="{00000000-0005-0000-0000-0000B47A0000}"/>
    <cellStyle name="Normal 292 7" xfId="31086" xr:uid="{00000000-0005-0000-0000-0000B57A0000}"/>
    <cellStyle name="Normal 292 8" xfId="31087" xr:uid="{00000000-0005-0000-0000-0000B67A0000}"/>
    <cellStyle name="Normal 292 9" xfId="31088" xr:uid="{00000000-0005-0000-0000-0000B77A0000}"/>
    <cellStyle name="Normal 293" xfId="2775" xr:uid="{00000000-0005-0000-0000-0000B87A0000}"/>
    <cellStyle name="Normal 293 10" xfId="31089" xr:uid="{00000000-0005-0000-0000-0000B97A0000}"/>
    <cellStyle name="Normal 293 11" xfId="31090" xr:uid="{00000000-0005-0000-0000-0000BA7A0000}"/>
    <cellStyle name="Normal 293 2" xfId="31091" xr:uid="{00000000-0005-0000-0000-0000BB7A0000}"/>
    <cellStyle name="Normal 293 2 2" xfId="31092" xr:uid="{00000000-0005-0000-0000-0000BC7A0000}"/>
    <cellStyle name="Normal 293 2 2 2" xfId="31093" xr:uid="{00000000-0005-0000-0000-0000BD7A0000}"/>
    <cellStyle name="Normal 293 2 2 2 2" xfId="31094" xr:uid="{00000000-0005-0000-0000-0000BE7A0000}"/>
    <cellStyle name="Normal 293 2 2 2 2 2" xfId="31095" xr:uid="{00000000-0005-0000-0000-0000BF7A0000}"/>
    <cellStyle name="Normal 293 2 2 2 2 3" xfId="31096" xr:uid="{00000000-0005-0000-0000-0000C07A0000}"/>
    <cellStyle name="Normal 293 2 2 2 3" xfId="31097" xr:uid="{00000000-0005-0000-0000-0000C17A0000}"/>
    <cellStyle name="Normal 293 2 2 2 3 2" xfId="31098" xr:uid="{00000000-0005-0000-0000-0000C27A0000}"/>
    <cellStyle name="Normal 293 2 2 2 3 3" xfId="31099" xr:uid="{00000000-0005-0000-0000-0000C37A0000}"/>
    <cellStyle name="Normal 293 2 2 2 4" xfId="31100" xr:uid="{00000000-0005-0000-0000-0000C47A0000}"/>
    <cellStyle name="Normal 293 2 2 2 5" xfId="31101" xr:uid="{00000000-0005-0000-0000-0000C57A0000}"/>
    <cellStyle name="Normal 293 2 2 2 6" xfId="31102" xr:uid="{00000000-0005-0000-0000-0000C67A0000}"/>
    <cellStyle name="Normal 293 2 2 3" xfId="31103" xr:uid="{00000000-0005-0000-0000-0000C77A0000}"/>
    <cellStyle name="Normal 293 2 2 3 2" xfId="31104" xr:uid="{00000000-0005-0000-0000-0000C87A0000}"/>
    <cellStyle name="Normal 293 2 2 3 3" xfId="31105" xr:uid="{00000000-0005-0000-0000-0000C97A0000}"/>
    <cellStyle name="Normal 293 2 2 4" xfId="31106" xr:uid="{00000000-0005-0000-0000-0000CA7A0000}"/>
    <cellStyle name="Normal 293 2 2 4 2" xfId="31107" xr:uid="{00000000-0005-0000-0000-0000CB7A0000}"/>
    <cellStyle name="Normal 293 2 2 4 3" xfId="31108" xr:uid="{00000000-0005-0000-0000-0000CC7A0000}"/>
    <cellStyle name="Normal 293 2 2 5" xfId="31109" xr:uid="{00000000-0005-0000-0000-0000CD7A0000}"/>
    <cellStyle name="Normal 293 2 2 6" xfId="31110" xr:uid="{00000000-0005-0000-0000-0000CE7A0000}"/>
    <cellStyle name="Normal 293 2 2 7" xfId="31111" xr:uid="{00000000-0005-0000-0000-0000CF7A0000}"/>
    <cellStyle name="Normal 293 2 2 8" xfId="31112" xr:uid="{00000000-0005-0000-0000-0000D07A0000}"/>
    <cellStyle name="Normal 293 2 3" xfId="31113" xr:uid="{00000000-0005-0000-0000-0000D17A0000}"/>
    <cellStyle name="Normal 293 2 3 2" xfId="31114" xr:uid="{00000000-0005-0000-0000-0000D27A0000}"/>
    <cellStyle name="Normal 293 2 3 2 2" xfId="31115" xr:uid="{00000000-0005-0000-0000-0000D37A0000}"/>
    <cellStyle name="Normal 293 2 3 2 3" xfId="31116" xr:uid="{00000000-0005-0000-0000-0000D47A0000}"/>
    <cellStyle name="Normal 293 2 3 3" xfId="31117" xr:uid="{00000000-0005-0000-0000-0000D57A0000}"/>
    <cellStyle name="Normal 293 2 3 3 2" xfId="31118" xr:uid="{00000000-0005-0000-0000-0000D67A0000}"/>
    <cellStyle name="Normal 293 2 3 3 3" xfId="31119" xr:uid="{00000000-0005-0000-0000-0000D77A0000}"/>
    <cellStyle name="Normal 293 2 3 4" xfId="31120" xr:uid="{00000000-0005-0000-0000-0000D87A0000}"/>
    <cellStyle name="Normal 293 2 3 5" xfId="31121" xr:uid="{00000000-0005-0000-0000-0000D97A0000}"/>
    <cellStyle name="Normal 293 2 3 6" xfId="31122" xr:uid="{00000000-0005-0000-0000-0000DA7A0000}"/>
    <cellStyle name="Normal 293 2 4" xfId="31123" xr:uid="{00000000-0005-0000-0000-0000DB7A0000}"/>
    <cellStyle name="Normal 293 2 4 2" xfId="31124" xr:uid="{00000000-0005-0000-0000-0000DC7A0000}"/>
    <cellStyle name="Normal 293 2 4 3" xfId="31125" xr:uid="{00000000-0005-0000-0000-0000DD7A0000}"/>
    <cellStyle name="Normal 293 2 5" xfId="31126" xr:uid="{00000000-0005-0000-0000-0000DE7A0000}"/>
    <cellStyle name="Normal 293 2 5 2" xfId="31127" xr:uid="{00000000-0005-0000-0000-0000DF7A0000}"/>
    <cellStyle name="Normal 293 2 5 3" xfId="31128" xr:uid="{00000000-0005-0000-0000-0000E07A0000}"/>
    <cellStyle name="Normal 293 2 6" xfId="31129" xr:uid="{00000000-0005-0000-0000-0000E17A0000}"/>
    <cellStyle name="Normal 293 2 7" xfId="31130" xr:uid="{00000000-0005-0000-0000-0000E27A0000}"/>
    <cellStyle name="Normal 293 2 8" xfId="31131" xr:uid="{00000000-0005-0000-0000-0000E37A0000}"/>
    <cellStyle name="Normal 293 2 9" xfId="31132" xr:uid="{00000000-0005-0000-0000-0000E47A0000}"/>
    <cellStyle name="Normal 293 3" xfId="31133" xr:uid="{00000000-0005-0000-0000-0000E57A0000}"/>
    <cellStyle name="Normal 293 3 2" xfId="31134" xr:uid="{00000000-0005-0000-0000-0000E67A0000}"/>
    <cellStyle name="Normal 293 3 2 2" xfId="31135" xr:uid="{00000000-0005-0000-0000-0000E77A0000}"/>
    <cellStyle name="Normal 293 3 2 2 2" xfId="31136" xr:uid="{00000000-0005-0000-0000-0000E87A0000}"/>
    <cellStyle name="Normal 293 3 2 2 3" xfId="31137" xr:uid="{00000000-0005-0000-0000-0000E97A0000}"/>
    <cellStyle name="Normal 293 3 2 3" xfId="31138" xr:uid="{00000000-0005-0000-0000-0000EA7A0000}"/>
    <cellStyle name="Normal 293 3 2 3 2" xfId="31139" xr:uid="{00000000-0005-0000-0000-0000EB7A0000}"/>
    <cellStyle name="Normal 293 3 2 3 3" xfId="31140" xr:uid="{00000000-0005-0000-0000-0000EC7A0000}"/>
    <cellStyle name="Normal 293 3 2 4" xfId="31141" xr:uid="{00000000-0005-0000-0000-0000ED7A0000}"/>
    <cellStyle name="Normal 293 3 2 5" xfId="31142" xr:uid="{00000000-0005-0000-0000-0000EE7A0000}"/>
    <cellStyle name="Normal 293 3 2 6" xfId="31143" xr:uid="{00000000-0005-0000-0000-0000EF7A0000}"/>
    <cellStyle name="Normal 293 3 3" xfId="31144" xr:uid="{00000000-0005-0000-0000-0000F07A0000}"/>
    <cellStyle name="Normal 293 3 3 2" xfId="31145" xr:uid="{00000000-0005-0000-0000-0000F17A0000}"/>
    <cellStyle name="Normal 293 3 3 3" xfId="31146" xr:uid="{00000000-0005-0000-0000-0000F27A0000}"/>
    <cellStyle name="Normal 293 3 4" xfId="31147" xr:uid="{00000000-0005-0000-0000-0000F37A0000}"/>
    <cellStyle name="Normal 293 3 4 2" xfId="31148" xr:uid="{00000000-0005-0000-0000-0000F47A0000}"/>
    <cellStyle name="Normal 293 3 4 3" xfId="31149" xr:uid="{00000000-0005-0000-0000-0000F57A0000}"/>
    <cellStyle name="Normal 293 3 5" xfId="31150" xr:uid="{00000000-0005-0000-0000-0000F67A0000}"/>
    <cellStyle name="Normal 293 3 6" xfId="31151" xr:uid="{00000000-0005-0000-0000-0000F77A0000}"/>
    <cellStyle name="Normal 293 3 7" xfId="31152" xr:uid="{00000000-0005-0000-0000-0000F87A0000}"/>
    <cellStyle name="Normal 293 3 8" xfId="31153" xr:uid="{00000000-0005-0000-0000-0000F97A0000}"/>
    <cellStyle name="Normal 293 4" xfId="31154" xr:uid="{00000000-0005-0000-0000-0000FA7A0000}"/>
    <cellStyle name="Normal 293 4 2" xfId="31155" xr:uid="{00000000-0005-0000-0000-0000FB7A0000}"/>
    <cellStyle name="Normal 293 4 2 2" xfId="31156" xr:uid="{00000000-0005-0000-0000-0000FC7A0000}"/>
    <cellStyle name="Normal 293 4 2 3" xfId="31157" xr:uid="{00000000-0005-0000-0000-0000FD7A0000}"/>
    <cellStyle name="Normal 293 4 3" xfId="31158" xr:uid="{00000000-0005-0000-0000-0000FE7A0000}"/>
    <cellStyle name="Normal 293 4 3 2" xfId="31159" xr:uid="{00000000-0005-0000-0000-0000FF7A0000}"/>
    <cellStyle name="Normal 293 4 3 3" xfId="31160" xr:uid="{00000000-0005-0000-0000-0000007B0000}"/>
    <cellStyle name="Normal 293 4 4" xfId="31161" xr:uid="{00000000-0005-0000-0000-0000017B0000}"/>
    <cellStyle name="Normal 293 4 5" xfId="31162" xr:uid="{00000000-0005-0000-0000-0000027B0000}"/>
    <cellStyle name="Normal 293 4 6" xfId="31163" xr:uid="{00000000-0005-0000-0000-0000037B0000}"/>
    <cellStyle name="Normal 293 5" xfId="31164" xr:uid="{00000000-0005-0000-0000-0000047B0000}"/>
    <cellStyle name="Normal 293 5 2" xfId="31165" xr:uid="{00000000-0005-0000-0000-0000057B0000}"/>
    <cellStyle name="Normal 293 5 3" xfId="31166" xr:uid="{00000000-0005-0000-0000-0000067B0000}"/>
    <cellStyle name="Normal 293 6" xfId="31167" xr:uid="{00000000-0005-0000-0000-0000077B0000}"/>
    <cellStyle name="Normal 293 6 2" xfId="31168" xr:uid="{00000000-0005-0000-0000-0000087B0000}"/>
    <cellStyle name="Normal 293 6 3" xfId="31169" xr:uid="{00000000-0005-0000-0000-0000097B0000}"/>
    <cellStyle name="Normal 293 7" xfId="31170" xr:uid="{00000000-0005-0000-0000-00000A7B0000}"/>
    <cellStyle name="Normal 293 8" xfId="31171" xr:uid="{00000000-0005-0000-0000-00000B7B0000}"/>
    <cellStyle name="Normal 293 9" xfId="31172" xr:uid="{00000000-0005-0000-0000-00000C7B0000}"/>
    <cellStyle name="Normal 294" xfId="2776" xr:uid="{00000000-0005-0000-0000-00000D7B0000}"/>
    <cellStyle name="Normal 294 10" xfId="31173" xr:uid="{00000000-0005-0000-0000-00000E7B0000}"/>
    <cellStyle name="Normal 294 11" xfId="31174" xr:uid="{00000000-0005-0000-0000-00000F7B0000}"/>
    <cellStyle name="Normal 294 2" xfId="31175" xr:uid="{00000000-0005-0000-0000-0000107B0000}"/>
    <cellStyle name="Normal 294 2 2" xfId="31176" xr:uid="{00000000-0005-0000-0000-0000117B0000}"/>
    <cellStyle name="Normal 294 2 2 2" xfId="31177" xr:uid="{00000000-0005-0000-0000-0000127B0000}"/>
    <cellStyle name="Normal 294 2 2 2 2" xfId="31178" xr:uid="{00000000-0005-0000-0000-0000137B0000}"/>
    <cellStyle name="Normal 294 2 2 2 2 2" xfId="31179" xr:uid="{00000000-0005-0000-0000-0000147B0000}"/>
    <cellStyle name="Normal 294 2 2 2 2 3" xfId="31180" xr:uid="{00000000-0005-0000-0000-0000157B0000}"/>
    <cellStyle name="Normal 294 2 2 2 3" xfId="31181" xr:uid="{00000000-0005-0000-0000-0000167B0000}"/>
    <cellStyle name="Normal 294 2 2 2 3 2" xfId="31182" xr:uid="{00000000-0005-0000-0000-0000177B0000}"/>
    <cellStyle name="Normal 294 2 2 2 3 3" xfId="31183" xr:uid="{00000000-0005-0000-0000-0000187B0000}"/>
    <cellStyle name="Normal 294 2 2 2 4" xfId="31184" xr:uid="{00000000-0005-0000-0000-0000197B0000}"/>
    <cellStyle name="Normal 294 2 2 2 5" xfId="31185" xr:uid="{00000000-0005-0000-0000-00001A7B0000}"/>
    <cellStyle name="Normal 294 2 2 2 6" xfId="31186" xr:uid="{00000000-0005-0000-0000-00001B7B0000}"/>
    <cellStyle name="Normal 294 2 2 3" xfId="31187" xr:uid="{00000000-0005-0000-0000-00001C7B0000}"/>
    <cellStyle name="Normal 294 2 2 3 2" xfId="31188" xr:uid="{00000000-0005-0000-0000-00001D7B0000}"/>
    <cellStyle name="Normal 294 2 2 3 3" xfId="31189" xr:uid="{00000000-0005-0000-0000-00001E7B0000}"/>
    <cellStyle name="Normal 294 2 2 4" xfId="31190" xr:uid="{00000000-0005-0000-0000-00001F7B0000}"/>
    <cellStyle name="Normal 294 2 2 4 2" xfId="31191" xr:uid="{00000000-0005-0000-0000-0000207B0000}"/>
    <cellStyle name="Normal 294 2 2 4 3" xfId="31192" xr:uid="{00000000-0005-0000-0000-0000217B0000}"/>
    <cellStyle name="Normal 294 2 2 5" xfId="31193" xr:uid="{00000000-0005-0000-0000-0000227B0000}"/>
    <cellStyle name="Normal 294 2 2 6" xfId="31194" xr:uid="{00000000-0005-0000-0000-0000237B0000}"/>
    <cellStyle name="Normal 294 2 2 7" xfId="31195" xr:uid="{00000000-0005-0000-0000-0000247B0000}"/>
    <cellStyle name="Normal 294 2 2 8" xfId="31196" xr:uid="{00000000-0005-0000-0000-0000257B0000}"/>
    <cellStyle name="Normal 294 2 3" xfId="31197" xr:uid="{00000000-0005-0000-0000-0000267B0000}"/>
    <cellStyle name="Normal 294 2 3 2" xfId="31198" xr:uid="{00000000-0005-0000-0000-0000277B0000}"/>
    <cellStyle name="Normal 294 2 3 2 2" xfId="31199" xr:uid="{00000000-0005-0000-0000-0000287B0000}"/>
    <cellStyle name="Normal 294 2 3 2 3" xfId="31200" xr:uid="{00000000-0005-0000-0000-0000297B0000}"/>
    <cellStyle name="Normal 294 2 3 3" xfId="31201" xr:uid="{00000000-0005-0000-0000-00002A7B0000}"/>
    <cellStyle name="Normal 294 2 3 3 2" xfId="31202" xr:uid="{00000000-0005-0000-0000-00002B7B0000}"/>
    <cellStyle name="Normal 294 2 3 3 3" xfId="31203" xr:uid="{00000000-0005-0000-0000-00002C7B0000}"/>
    <cellStyle name="Normal 294 2 3 4" xfId="31204" xr:uid="{00000000-0005-0000-0000-00002D7B0000}"/>
    <cellStyle name="Normal 294 2 3 5" xfId="31205" xr:uid="{00000000-0005-0000-0000-00002E7B0000}"/>
    <cellStyle name="Normal 294 2 3 6" xfId="31206" xr:uid="{00000000-0005-0000-0000-00002F7B0000}"/>
    <cellStyle name="Normal 294 2 4" xfId="31207" xr:uid="{00000000-0005-0000-0000-0000307B0000}"/>
    <cellStyle name="Normal 294 2 4 2" xfId="31208" xr:uid="{00000000-0005-0000-0000-0000317B0000}"/>
    <cellStyle name="Normal 294 2 4 3" xfId="31209" xr:uid="{00000000-0005-0000-0000-0000327B0000}"/>
    <cellStyle name="Normal 294 2 5" xfId="31210" xr:uid="{00000000-0005-0000-0000-0000337B0000}"/>
    <cellStyle name="Normal 294 2 5 2" xfId="31211" xr:uid="{00000000-0005-0000-0000-0000347B0000}"/>
    <cellStyle name="Normal 294 2 5 3" xfId="31212" xr:uid="{00000000-0005-0000-0000-0000357B0000}"/>
    <cellStyle name="Normal 294 2 6" xfId="31213" xr:uid="{00000000-0005-0000-0000-0000367B0000}"/>
    <cellStyle name="Normal 294 2 7" xfId="31214" xr:uid="{00000000-0005-0000-0000-0000377B0000}"/>
    <cellStyle name="Normal 294 2 8" xfId="31215" xr:uid="{00000000-0005-0000-0000-0000387B0000}"/>
    <cellStyle name="Normal 294 2 9" xfId="31216" xr:uid="{00000000-0005-0000-0000-0000397B0000}"/>
    <cellStyle name="Normal 294 3" xfId="31217" xr:uid="{00000000-0005-0000-0000-00003A7B0000}"/>
    <cellStyle name="Normal 294 3 2" xfId="31218" xr:uid="{00000000-0005-0000-0000-00003B7B0000}"/>
    <cellStyle name="Normal 294 3 2 2" xfId="31219" xr:uid="{00000000-0005-0000-0000-00003C7B0000}"/>
    <cellStyle name="Normal 294 3 2 2 2" xfId="31220" xr:uid="{00000000-0005-0000-0000-00003D7B0000}"/>
    <cellStyle name="Normal 294 3 2 2 3" xfId="31221" xr:uid="{00000000-0005-0000-0000-00003E7B0000}"/>
    <cellStyle name="Normal 294 3 2 3" xfId="31222" xr:uid="{00000000-0005-0000-0000-00003F7B0000}"/>
    <cellStyle name="Normal 294 3 2 3 2" xfId="31223" xr:uid="{00000000-0005-0000-0000-0000407B0000}"/>
    <cellStyle name="Normal 294 3 2 3 3" xfId="31224" xr:uid="{00000000-0005-0000-0000-0000417B0000}"/>
    <cellStyle name="Normal 294 3 2 4" xfId="31225" xr:uid="{00000000-0005-0000-0000-0000427B0000}"/>
    <cellStyle name="Normal 294 3 2 5" xfId="31226" xr:uid="{00000000-0005-0000-0000-0000437B0000}"/>
    <cellStyle name="Normal 294 3 2 6" xfId="31227" xr:uid="{00000000-0005-0000-0000-0000447B0000}"/>
    <cellStyle name="Normal 294 3 3" xfId="31228" xr:uid="{00000000-0005-0000-0000-0000457B0000}"/>
    <cellStyle name="Normal 294 3 3 2" xfId="31229" xr:uid="{00000000-0005-0000-0000-0000467B0000}"/>
    <cellStyle name="Normal 294 3 3 3" xfId="31230" xr:uid="{00000000-0005-0000-0000-0000477B0000}"/>
    <cellStyle name="Normal 294 3 4" xfId="31231" xr:uid="{00000000-0005-0000-0000-0000487B0000}"/>
    <cellStyle name="Normal 294 3 4 2" xfId="31232" xr:uid="{00000000-0005-0000-0000-0000497B0000}"/>
    <cellStyle name="Normal 294 3 4 3" xfId="31233" xr:uid="{00000000-0005-0000-0000-00004A7B0000}"/>
    <cellStyle name="Normal 294 3 5" xfId="31234" xr:uid="{00000000-0005-0000-0000-00004B7B0000}"/>
    <cellStyle name="Normal 294 3 6" xfId="31235" xr:uid="{00000000-0005-0000-0000-00004C7B0000}"/>
    <cellStyle name="Normal 294 3 7" xfId="31236" xr:uid="{00000000-0005-0000-0000-00004D7B0000}"/>
    <cellStyle name="Normal 294 3 8" xfId="31237" xr:uid="{00000000-0005-0000-0000-00004E7B0000}"/>
    <cellStyle name="Normal 294 4" xfId="31238" xr:uid="{00000000-0005-0000-0000-00004F7B0000}"/>
    <cellStyle name="Normal 294 4 2" xfId="31239" xr:uid="{00000000-0005-0000-0000-0000507B0000}"/>
    <cellStyle name="Normal 294 4 2 2" xfId="31240" xr:uid="{00000000-0005-0000-0000-0000517B0000}"/>
    <cellStyle name="Normal 294 4 2 3" xfId="31241" xr:uid="{00000000-0005-0000-0000-0000527B0000}"/>
    <cellStyle name="Normal 294 4 3" xfId="31242" xr:uid="{00000000-0005-0000-0000-0000537B0000}"/>
    <cellStyle name="Normal 294 4 3 2" xfId="31243" xr:uid="{00000000-0005-0000-0000-0000547B0000}"/>
    <cellStyle name="Normal 294 4 3 3" xfId="31244" xr:uid="{00000000-0005-0000-0000-0000557B0000}"/>
    <cellStyle name="Normal 294 4 4" xfId="31245" xr:uid="{00000000-0005-0000-0000-0000567B0000}"/>
    <cellStyle name="Normal 294 4 5" xfId="31246" xr:uid="{00000000-0005-0000-0000-0000577B0000}"/>
    <cellStyle name="Normal 294 4 6" xfId="31247" xr:uid="{00000000-0005-0000-0000-0000587B0000}"/>
    <cellStyle name="Normal 294 5" xfId="31248" xr:uid="{00000000-0005-0000-0000-0000597B0000}"/>
    <cellStyle name="Normal 294 5 2" xfId="31249" xr:uid="{00000000-0005-0000-0000-00005A7B0000}"/>
    <cellStyle name="Normal 294 5 3" xfId="31250" xr:uid="{00000000-0005-0000-0000-00005B7B0000}"/>
    <cellStyle name="Normal 294 6" xfId="31251" xr:uid="{00000000-0005-0000-0000-00005C7B0000}"/>
    <cellStyle name="Normal 294 6 2" xfId="31252" xr:uid="{00000000-0005-0000-0000-00005D7B0000}"/>
    <cellStyle name="Normal 294 6 3" xfId="31253" xr:uid="{00000000-0005-0000-0000-00005E7B0000}"/>
    <cellStyle name="Normal 294 7" xfId="31254" xr:uid="{00000000-0005-0000-0000-00005F7B0000}"/>
    <cellStyle name="Normal 294 8" xfId="31255" xr:uid="{00000000-0005-0000-0000-0000607B0000}"/>
    <cellStyle name="Normal 294 9" xfId="31256" xr:uid="{00000000-0005-0000-0000-0000617B0000}"/>
    <cellStyle name="Normal 295" xfId="2777" xr:uid="{00000000-0005-0000-0000-0000627B0000}"/>
    <cellStyle name="Normal 295 10" xfId="31257" xr:uid="{00000000-0005-0000-0000-0000637B0000}"/>
    <cellStyle name="Normal 295 11" xfId="31258" xr:uid="{00000000-0005-0000-0000-0000647B0000}"/>
    <cellStyle name="Normal 295 2" xfId="31259" xr:uid="{00000000-0005-0000-0000-0000657B0000}"/>
    <cellStyle name="Normal 295 2 2" xfId="31260" xr:uid="{00000000-0005-0000-0000-0000667B0000}"/>
    <cellStyle name="Normal 295 2 2 2" xfId="31261" xr:uid="{00000000-0005-0000-0000-0000677B0000}"/>
    <cellStyle name="Normal 295 2 2 2 2" xfId="31262" xr:uid="{00000000-0005-0000-0000-0000687B0000}"/>
    <cellStyle name="Normal 295 2 2 2 2 2" xfId="31263" xr:uid="{00000000-0005-0000-0000-0000697B0000}"/>
    <cellStyle name="Normal 295 2 2 2 2 3" xfId="31264" xr:uid="{00000000-0005-0000-0000-00006A7B0000}"/>
    <cellStyle name="Normal 295 2 2 2 3" xfId="31265" xr:uid="{00000000-0005-0000-0000-00006B7B0000}"/>
    <cellStyle name="Normal 295 2 2 2 3 2" xfId="31266" xr:uid="{00000000-0005-0000-0000-00006C7B0000}"/>
    <cellStyle name="Normal 295 2 2 2 3 3" xfId="31267" xr:uid="{00000000-0005-0000-0000-00006D7B0000}"/>
    <cellStyle name="Normal 295 2 2 2 4" xfId="31268" xr:uid="{00000000-0005-0000-0000-00006E7B0000}"/>
    <cellStyle name="Normal 295 2 2 2 5" xfId="31269" xr:uid="{00000000-0005-0000-0000-00006F7B0000}"/>
    <cellStyle name="Normal 295 2 2 2 6" xfId="31270" xr:uid="{00000000-0005-0000-0000-0000707B0000}"/>
    <cellStyle name="Normal 295 2 2 3" xfId="31271" xr:uid="{00000000-0005-0000-0000-0000717B0000}"/>
    <cellStyle name="Normal 295 2 2 3 2" xfId="31272" xr:uid="{00000000-0005-0000-0000-0000727B0000}"/>
    <cellStyle name="Normal 295 2 2 3 3" xfId="31273" xr:uid="{00000000-0005-0000-0000-0000737B0000}"/>
    <cellStyle name="Normal 295 2 2 4" xfId="31274" xr:uid="{00000000-0005-0000-0000-0000747B0000}"/>
    <cellStyle name="Normal 295 2 2 4 2" xfId="31275" xr:uid="{00000000-0005-0000-0000-0000757B0000}"/>
    <cellStyle name="Normal 295 2 2 4 3" xfId="31276" xr:uid="{00000000-0005-0000-0000-0000767B0000}"/>
    <cellStyle name="Normal 295 2 2 5" xfId="31277" xr:uid="{00000000-0005-0000-0000-0000777B0000}"/>
    <cellStyle name="Normal 295 2 2 6" xfId="31278" xr:uid="{00000000-0005-0000-0000-0000787B0000}"/>
    <cellStyle name="Normal 295 2 2 7" xfId="31279" xr:uid="{00000000-0005-0000-0000-0000797B0000}"/>
    <cellStyle name="Normal 295 2 2 8" xfId="31280" xr:uid="{00000000-0005-0000-0000-00007A7B0000}"/>
    <cellStyle name="Normal 295 2 3" xfId="31281" xr:uid="{00000000-0005-0000-0000-00007B7B0000}"/>
    <cellStyle name="Normal 295 2 3 2" xfId="31282" xr:uid="{00000000-0005-0000-0000-00007C7B0000}"/>
    <cellStyle name="Normal 295 2 3 2 2" xfId="31283" xr:uid="{00000000-0005-0000-0000-00007D7B0000}"/>
    <cellStyle name="Normal 295 2 3 2 3" xfId="31284" xr:uid="{00000000-0005-0000-0000-00007E7B0000}"/>
    <cellStyle name="Normal 295 2 3 3" xfId="31285" xr:uid="{00000000-0005-0000-0000-00007F7B0000}"/>
    <cellStyle name="Normal 295 2 3 3 2" xfId="31286" xr:uid="{00000000-0005-0000-0000-0000807B0000}"/>
    <cellStyle name="Normal 295 2 3 3 3" xfId="31287" xr:uid="{00000000-0005-0000-0000-0000817B0000}"/>
    <cellStyle name="Normal 295 2 3 4" xfId="31288" xr:uid="{00000000-0005-0000-0000-0000827B0000}"/>
    <cellStyle name="Normal 295 2 3 5" xfId="31289" xr:uid="{00000000-0005-0000-0000-0000837B0000}"/>
    <cellStyle name="Normal 295 2 3 6" xfId="31290" xr:uid="{00000000-0005-0000-0000-0000847B0000}"/>
    <cellStyle name="Normal 295 2 4" xfId="31291" xr:uid="{00000000-0005-0000-0000-0000857B0000}"/>
    <cellStyle name="Normal 295 2 4 2" xfId="31292" xr:uid="{00000000-0005-0000-0000-0000867B0000}"/>
    <cellStyle name="Normal 295 2 4 3" xfId="31293" xr:uid="{00000000-0005-0000-0000-0000877B0000}"/>
    <cellStyle name="Normal 295 2 5" xfId="31294" xr:uid="{00000000-0005-0000-0000-0000887B0000}"/>
    <cellStyle name="Normal 295 2 5 2" xfId="31295" xr:uid="{00000000-0005-0000-0000-0000897B0000}"/>
    <cellStyle name="Normal 295 2 5 3" xfId="31296" xr:uid="{00000000-0005-0000-0000-00008A7B0000}"/>
    <cellStyle name="Normal 295 2 6" xfId="31297" xr:uid="{00000000-0005-0000-0000-00008B7B0000}"/>
    <cellStyle name="Normal 295 2 7" xfId="31298" xr:uid="{00000000-0005-0000-0000-00008C7B0000}"/>
    <cellStyle name="Normal 295 2 8" xfId="31299" xr:uid="{00000000-0005-0000-0000-00008D7B0000}"/>
    <cellStyle name="Normal 295 2 9" xfId="31300" xr:uid="{00000000-0005-0000-0000-00008E7B0000}"/>
    <cellStyle name="Normal 295 3" xfId="31301" xr:uid="{00000000-0005-0000-0000-00008F7B0000}"/>
    <cellStyle name="Normal 295 3 2" xfId="31302" xr:uid="{00000000-0005-0000-0000-0000907B0000}"/>
    <cellStyle name="Normal 295 3 2 2" xfId="31303" xr:uid="{00000000-0005-0000-0000-0000917B0000}"/>
    <cellStyle name="Normal 295 3 2 2 2" xfId="31304" xr:uid="{00000000-0005-0000-0000-0000927B0000}"/>
    <cellStyle name="Normal 295 3 2 2 3" xfId="31305" xr:uid="{00000000-0005-0000-0000-0000937B0000}"/>
    <cellStyle name="Normal 295 3 2 3" xfId="31306" xr:uid="{00000000-0005-0000-0000-0000947B0000}"/>
    <cellStyle name="Normal 295 3 2 3 2" xfId="31307" xr:uid="{00000000-0005-0000-0000-0000957B0000}"/>
    <cellStyle name="Normal 295 3 2 3 3" xfId="31308" xr:uid="{00000000-0005-0000-0000-0000967B0000}"/>
    <cellStyle name="Normal 295 3 2 4" xfId="31309" xr:uid="{00000000-0005-0000-0000-0000977B0000}"/>
    <cellStyle name="Normal 295 3 2 5" xfId="31310" xr:uid="{00000000-0005-0000-0000-0000987B0000}"/>
    <cellStyle name="Normal 295 3 2 6" xfId="31311" xr:uid="{00000000-0005-0000-0000-0000997B0000}"/>
    <cellStyle name="Normal 295 3 3" xfId="31312" xr:uid="{00000000-0005-0000-0000-00009A7B0000}"/>
    <cellStyle name="Normal 295 3 3 2" xfId="31313" xr:uid="{00000000-0005-0000-0000-00009B7B0000}"/>
    <cellStyle name="Normal 295 3 3 3" xfId="31314" xr:uid="{00000000-0005-0000-0000-00009C7B0000}"/>
    <cellStyle name="Normal 295 3 4" xfId="31315" xr:uid="{00000000-0005-0000-0000-00009D7B0000}"/>
    <cellStyle name="Normal 295 3 4 2" xfId="31316" xr:uid="{00000000-0005-0000-0000-00009E7B0000}"/>
    <cellStyle name="Normal 295 3 4 3" xfId="31317" xr:uid="{00000000-0005-0000-0000-00009F7B0000}"/>
    <cellStyle name="Normal 295 3 5" xfId="31318" xr:uid="{00000000-0005-0000-0000-0000A07B0000}"/>
    <cellStyle name="Normal 295 3 6" xfId="31319" xr:uid="{00000000-0005-0000-0000-0000A17B0000}"/>
    <cellStyle name="Normal 295 3 7" xfId="31320" xr:uid="{00000000-0005-0000-0000-0000A27B0000}"/>
    <cellStyle name="Normal 295 3 8" xfId="31321" xr:uid="{00000000-0005-0000-0000-0000A37B0000}"/>
    <cellStyle name="Normal 295 4" xfId="31322" xr:uid="{00000000-0005-0000-0000-0000A47B0000}"/>
    <cellStyle name="Normal 295 4 2" xfId="31323" xr:uid="{00000000-0005-0000-0000-0000A57B0000}"/>
    <cellStyle name="Normal 295 4 2 2" xfId="31324" xr:uid="{00000000-0005-0000-0000-0000A67B0000}"/>
    <cellStyle name="Normal 295 4 2 3" xfId="31325" xr:uid="{00000000-0005-0000-0000-0000A77B0000}"/>
    <cellStyle name="Normal 295 4 3" xfId="31326" xr:uid="{00000000-0005-0000-0000-0000A87B0000}"/>
    <cellStyle name="Normal 295 4 3 2" xfId="31327" xr:uid="{00000000-0005-0000-0000-0000A97B0000}"/>
    <cellStyle name="Normal 295 4 3 3" xfId="31328" xr:uid="{00000000-0005-0000-0000-0000AA7B0000}"/>
    <cellStyle name="Normal 295 4 4" xfId="31329" xr:uid="{00000000-0005-0000-0000-0000AB7B0000}"/>
    <cellStyle name="Normal 295 4 5" xfId="31330" xr:uid="{00000000-0005-0000-0000-0000AC7B0000}"/>
    <cellStyle name="Normal 295 4 6" xfId="31331" xr:uid="{00000000-0005-0000-0000-0000AD7B0000}"/>
    <cellStyle name="Normal 295 5" xfId="31332" xr:uid="{00000000-0005-0000-0000-0000AE7B0000}"/>
    <cellStyle name="Normal 295 5 2" xfId="31333" xr:uid="{00000000-0005-0000-0000-0000AF7B0000}"/>
    <cellStyle name="Normal 295 5 3" xfId="31334" xr:uid="{00000000-0005-0000-0000-0000B07B0000}"/>
    <cellStyle name="Normal 295 6" xfId="31335" xr:uid="{00000000-0005-0000-0000-0000B17B0000}"/>
    <cellStyle name="Normal 295 6 2" xfId="31336" xr:uid="{00000000-0005-0000-0000-0000B27B0000}"/>
    <cellStyle name="Normal 295 6 3" xfId="31337" xr:uid="{00000000-0005-0000-0000-0000B37B0000}"/>
    <cellStyle name="Normal 295 7" xfId="31338" xr:uid="{00000000-0005-0000-0000-0000B47B0000}"/>
    <cellStyle name="Normal 295 8" xfId="31339" xr:uid="{00000000-0005-0000-0000-0000B57B0000}"/>
    <cellStyle name="Normal 295 9" xfId="31340" xr:uid="{00000000-0005-0000-0000-0000B67B0000}"/>
    <cellStyle name="Normal 296" xfId="2778" xr:uid="{00000000-0005-0000-0000-0000B77B0000}"/>
    <cellStyle name="Normal 296 10" xfId="31341" xr:uid="{00000000-0005-0000-0000-0000B87B0000}"/>
    <cellStyle name="Normal 296 11" xfId="31342" xr:uid="{00000000-0005-0000-0000-0000B97B0000}"/>
    <cellStyle name="Normal 296 2" xfId="31343" xr:uid="{00000000-0005-0000-0000-0000BA7B0000}"/>
    <cellStyle name="Normal 296 2 2" xfId="31344" xr:uid="{00000000-0005-0000-0000-0000BB7B0000}"/>
    <cellStyle name="Normal 296 2 2 2" xfId="31345" xr:uid="{00000000-0005-0000-0000-0000BC7B0000}"/>
    <cellStyle name="Normal 296 2 2 2 2" xfId="31346" xr:uid="{00000000-0005-0000-0000-0000BD7B0000}"/>
    <cellStyle name="Normal 296 2 2 2 2 2" xfId="31347" xr:uid="{00000000-0005-0000-0000-0000BE7B0000}"/>
    <cellStyle name="Normal 296 2 2 2 2 3" xfId="31348" xr:uid="{00000000-0005-0000-0000-0000BF7B0000}"/>
    <cellStyle name="Normal 296 2 2 2 3" xfId="31349" xr:uid="{00000000-0005-0000-0000-0000C07B0000}"/>
    <cellStyle name="Normal 296 2 2 2 3 2" xfId="31350" xr:uid="{00000000-0005-0000-0000-0000C17B0000}"/>
    <cellStyle name="Normal 296 2 2 2 3 3" xfId="31351" xr:uid="{00000000-0005-0000-0000-0000C27B0000}"/>
    <cellStyle name="Normal 296 2 2 2 4" xfId="31352" xr:uid="{00000000-0005-0000-0000-0000C37B0000}"/>
    <cellStyle name="Normal 296 2 2 2 5" xfId="31353" xr:uid="{00000000-0005-0000-0000-0000C47B0000}"/>
    <cellStyle name="Normal 296 2 2 2 6" xfId="31354" xr:uid="{00000000-0005-0000-0000-0000C57B0000}"/>
    <cellStyle name="Normal 296 2 2 3" xfId="31355" xr:uid="{00000000-0005-0000-0000-0000C67B0000}"/>
    <cellStyle name="Normal 296 2 2 3 2" xfId="31356" xr:uid="{00000000-0005-0000-0000-0000C77B0000}"/>
    <cellStyle name="Normal 296 2 2 3 3" xfId="31357" xr:uid="{00000000-0005-0000-0000-0000C87B0000}"/>
    <cellStyle name="Normal 296 2 2 4" xfId="31358" xr:uid="{00000000-0005-0000-0000-0000C97B0000}"/>
    <cellStyle name="Normal 296 2 2 4 2" xfId="31359" xr:uid="{00000000-0005-0000-0000-0000CA7B0000}"/>
    <cellStyle name="Normal 296 2 2 4 3" xfId="31360" xr:uid="{00000000-0005-0000-0000-0000CB7B0000}"/>
    <cellStyle name="Normal 296 2 2 5" xfId="31361" xr:uid="{00000000-0005-0000-0000-0000CC7B0000}"/>
    <cellStyle name="Normal 296 2 2 6" xfId="31362" xr:uid="{00000000-0005-0000-0000-0000CD7B0000}"/>
    <cellStyle name="Normal 296 2 2 7" xfId="31363" xr:uid="{00000000-0005-0000-0000-0000CE7B0000}"/>
    <cellStyle name="Normal 296 2 2 8" xfId="31364" xr:uid="{00000000-0005-0000-0000-0000CF7B0000}"/>
    <cellStyle name="Normal 296 2 3" xfId="31365" xr:uid="{00000000-0005-0000-0000-0000D07B0000}"/>
    <cellStyle name="Normal 296 2 3 2" xfId="31366" xr:uid="{00000000-0005-0000-0000-0000D17B0000}"/>
    <cellStyle name="Normal 296 2 3 2 2" xfId="31367" xr:uid="{00000000-0005-0000-0000-0000D27B0000}"/>
    <cellStyle name="Normal 296 2 3 2 3" xfId="31368" xr:uid="{00000000-0005-0000-0000-0000D37B0000}"/>
    <cellStyle name="Normal 296 2 3 3" xfId="31369" xr:uid="{00000000-0005-0000-0000-0000D47B0000}"/>
    <cellStyle name="Normal 296 2 3 3 2" xfId="31370" xr:uid="{00000000-0005-0000-0000-0000D57B0000}"/>
    <cellStyle name="Normal 296 2 3 3 3" xfId="31371" xr:uid="{00000000-0005-0000-0000-0000D67B0000}"/>
    <cellStyle name="Normal 296 2 3 4" xfId="31372" xr:uid="{00000000-0005-0000-0000-0000D77B0000}"/>
    <cellStyle name="Normal 296 2 3 5" xfId="31373" xr:uid="{00000000-0005-0000-0000-0000D87B0000}"/>
    <cellStyle name="Normal 296 2 3 6" xfId="31374" xr:uid="{00000000-0005-0000-0000-0000D97B0000}"/>
    <cellStyle name="Normal 296 2 4" xfId="31375" xr:uid="{00000000-0005-0000-0000-0000DA7B0000}"/>
    <cellStyle name="Normal 296 2 4 2" xfId="31376" xr:uid="{00000000-0005-0000-0000-0000DB7B0000}"/>
    <cellStyle name="Normal 296 2 4 3" xfId="31377" xr:uid="{00000000-0005-0000-0000-0000DC7B0000}"/>
    <cellStyle name="Normal 296 2 5" xfId="31378" xr:uid="{00000000-0005-0000-0000-0000DD7B0000}"/>
    <cellStyle name="Normal 296 2 5 2" xfId="31379" xr:uid="{00000000-0005-0000-0000-0000DE7B0000}"/>
    <cellStyle name="Normal 296 2 5 3" xfId="31380" xr:uid="{00000000-0005-0000-0000-0000DF7B0000}"/>
    <cellStyle name="Normal 296 2 6" xfId="31381" xr:uid="{00000000-0005-0000-0000-0000E07B0000}"/>
    <cellStyle name="Normal 296 2 7" xfId="31382" xr:uid="{00000000-0005-0000-0000-0000E17B0000}"/>
    <cellStyle name="Normal 296 2 8" xfId="31383" xr:uid="{00000000-0005-0000-0000-0000E27B0000}"/>
    <cellStyle name="Normal 296 2 9" xfId="31384" xr:uid="{00000000-0005-0000-0000-0000E37B0000}"/>
    <cellStyle name="Normal 296 3" xfId="31385" xr:uid="{00000000-0005-0000-0000-0000E47B0000}"/>
    <cellStyle name="Normal 296 3 2" xfId="31386" xr:uid="{00000000-0005-0000-0000-0000E57B0000}"/>
    <cellStyle name="Normal 296 3 2 2" xfId="31387" xr:uid="{00000000-0005-0000-0000-0000E67B0000}"/>
    <cellStyle name="Normal 296 3 2 2 2" xfId="31388" xr:uid="{00000000-0005-0000-0000-0000E77B0000}"/>
    <cellStyle name="Normal 296 3 2 2 3" xfId="31389" xr:uid="{00000000-0005-0000-0000-0000E87B0000}"/>
    <cellStyle name="Normal 296 3 2 3" xfId="31390" xr:uid="{00000000-0005-0000-0000-0000E97B0000}"/>
    <cellStyle name="Normal 296 3 2 3 2" xfId="31391" xr:uid="{00000000-0005-0000-0000-0000EA7B0000}"/>
    <cellStyle name="Normal 296 3 2 3 3" xfId="31392" xr:uid="{00000000-0005-0000-0000-0000EB7B0000}"/>
    <cellStyle name="Normal 296 3 2 4" xfId="31393" xr:uid="{00000000-0005-0000-0000-0000EC7B0000}"/>
    <cellStyle name="Normal 296 3 2 5" xfId="31394" xr:uid="{00000000-0005-0000-0000-0000ED7B0000}"/>
    <cellStyle name="Normal 296 3 2 6" xfId="31395" xr:uid="{00000000-0005-0000-0000-0000EE7B0000}"/>
    <cellStyle name="Normal 296 3 3" xfId="31396" xr:uid="{00000000-0005-0000-0000-0000EF7B0000}"/>
    <cellStyle name="Normal 296 3 3 2" xfId="31397" xr:uid="{00000000-0005-0000-0000-0000F07B0000}"/>
    <cellStyle name="Normal 296 3 3 3" xfId="31398" xr:uid="{00000000-0005-0000-0000-0000F17B0000}"/>
    <cellStyle name="Normal 296 3 4" xfId="31399" xr:uid="{00000000-0005-0000-0000-0000F27B0000}"/>
    <cellStyle name="Normal 296 3 4 2" xfId="31400" xr:uid="{00000000-0005-0000-0000-0000F37B0000}"/>
    <cellStyle name="Normal 296 3 4 3" xfId="31401" xr:uid="{00000000-0005-0000-0000-0000F47B0000}"/>
    <cellStyle name="Normal 296 3 5" xfId="31402" xr:uid="{00000000-0005-0000-0000-0000F57B0000}"/>
    <cellStyle name="Normal 296 3 6" xfId="31403" xr:uid="{00000000-0005-0000-0000-0000F67B0000}"/>
    <cellStyle name="Normal 296 3 7" xfId="31404" xr:uid="{00000000-0005-0000-0000-0000F77B0000}"/>
    <cellStyle name="Normal 296 3 8" xfId="31405" xr:uid="{00000000-0005-0000-0000-0000F87B0000}"/>
    <cellStyle name="Normal 296 4" xfId="31406" xr:uid="{00000000-0005-0000-0000-0000F97B0000}"/>
    <cellStyle name="Normal 296 4 2" xfId="31407" xr:uid="{00000000-0005-0000-0000-0000FA7B0000}"/>
    <cellStyle name="Normal 296 4 2 2" xfId="31408" xr:uid="{00000000-0005-0000-0000-0000FB7B0000}"/>
    <cellStyle name="Normal 296 4 2 3" xfId="31409" xr:uid="{00000000-0005-0000-0000-0000FC7B0000}"/>
    <cellStyle name="Normal 296 4 3" xfId="31410" xr:uid="{00000000-0005-0000-0000-0000FD7B0000}"/>
    <cellStyle name="Normal 296 4 3 2" xfId="31411" xr:uid="{00000000-0005-0000-0000-0000FE7B0000}"/>
    <cellStyle name="Normal 296 4 3 3" xfId="31412" xr:uid="{00000000-0005-0000-0000-0000FF7B0000}"/>
    <cellStyle name="Normal 296 4 4" xfId="31413" xr:uid="{00000000-0005-0000-0000-0000007C0000}"/>
    <cellStyle name="Normal 296 4 5" xfId="31414" xr:uid="{00000000-0005-0000-0000-0000017C0000}"/>
    <cellStyle name="Normal 296 4 6" xfId="31415" xr:uid="{00000000-0005-0000-0000-0000027C0000}"/>
    <cellStyle name="Normal 296 5" xfId="31416" xr:uid="{00000000-0005-0000-0000-0000037C0000}"/>
    <cellStyle name="Normal 296 5 2" xfId="31417" xr:uid="{00000000-0005-0000-0000-0000047C0000}"/>
    <cellStyle name="Normal 296 5 3" xfId="31418" xr:uid="{00000000-0005-0000-0000-0000057C0000}"/>
    <cellStyle name="Normal 296 6" xfId="31419" xr:uid="{00000000-0005-0000-0000-0000067C0000}"/>
    <cellStyle name="Normal 296 6 2" xfId="31420" xr:uid="{00000000-0005-0000-0000-0000077C0000}"/>
    <cellStyle name="Normal 296 6 3" xfId="31421" xr:uid="{00000000-0005-0000-0000-0000087C0000}"/>
    <cellStyle name="Normal 296 7" xfId="31422" xr:uid="{00000000-0005-0000-0000-0000097C0000}"/>
    <cellStyle name="Normal 296 8" xfId="31423" xr:uid="{00000000-0005-0000-0000-00000A7C0000}"/>
    <cellStyle name="Normal 296 9" xfId="31424" xr:uid="{00000000-0005-0000-0000-00000B7C0000}"/>
    <cellStyle name="Normal 297" xfId="2779" xr:uid="{00000000-0005-0000-0000-00000C7C0000}"/>
    <cellStyle name="Normal 297 10" xfId="31425" xr:uid="{00000000-0005-0000-0000-00000D7C0000}"/>
    <cellStyle name="Normal 297 11" xfId="31426" xr:uid="{00000000-0005-0000-0000-00000E7C0000}"/>
    <cellStyle name="Normal 297 2" xfId="31427" xr:uid="{00000000-0005-0000-0000-00000F7C0000}"/>
    <cellStyle name="Normal 297 2 2" xfId="31428" xr:uid="{00000000-0005-0000-0000-0000107C0000}"/>
    <cellStyle name="Normal 297 2 2 2" xfId="31429" xr:uid="{00000000-0005-0000-0000-0000117C0000}"/>
    <cellStyle name="Normal 297 2 2 2 2" xfId="31430" xr:uid="{00000000-0005-0000-0000-0000127C0000}"/>
    <cellStyle name="Normal 297 2 2 2 2 2" xfId="31431" xr:uid="{00000000-0005-0000-0000-0000137C0000}"/>
    <cellStyle name="Normal 297 2 2 2 2 3" xfId="31432" xr:uid="{00000000-0005-0000-0000-0000147C0000}"/>
    <cellStyle name="Normal 297 2 2 2 3" xfId="31433" xr:uid="{00000000-0005-0000-0000-0000157C0000}"/>
    <cellStyle name="Normal 297 2 2 2 3 2" xfId="31434" xr:uid="{00000000-0005-0000-0000-0000167C0000}"/>
    <cellStyle name="Normal 297 2 2 2 3 3" xfId="31435" xr:uid="{00000000-0005-0000-0000-0000177C0000}"/>
    <cellStyle name="Normal 297 2 2 2 4" xfId="31436" xr:uid="{00000000-0005-0000-0000-0000187C0000}"/>
    <cellStyle name="Normal 297 2 2 2 5" xfId="31437" xr:uid="{00000000-0005-0000-0000-0000197C0000}"/>
    <cellStyle name="Normal 297 2 2 2 6" xfId="31438" xr:uid="{00000000-0005-0000-0000-00001A7C0000}"/>
    <cellStyle name="Normal 297 2 2 3" xfId="31439" xr:uid="{00000000-0005-0000-0000-00001B7C0000}"/>
    <cellStyle name="Normal 297 2 2 3 2" xfId="31440" xr:uid="{00000000-0005-0000-0000-00001C7C0000}"/>
    <cellStyle name="Normal 297 2 2 3 3" xfId="31441" xr:uid="{00000000-0005-0000-0000-00001D7C0000}"/>
    <cellStyle name="Normal 297 2 2 4" xfId="31442" xr:uid="{00000000-0005-0000-0000-00001E7C0000}"/>
    <cellStyle name="Normal 297 2 2 4 2" xfId="31443" xr:uid="{00000000-0005-0000-0000-00001F7C0000}"/>
    <cellStyle name="Normal 297 2 2 4 3" xfId="31444" xr:uid="{00000000-0005-0000-0000-0000207C0000}"/>
    <cellStyle name="Normal 297 2 2 5" xfId="31445" xr:uid="{00000000-0005-0000-0000-0000217C0000}"/>
    <cellStyle name="Normal 297 2 2 6" xfId="31446" xr:uid="{00000000-0005-0000-0000-0000227C0000}"/>
    <cellStyle name="Normal 297 2 2 7" xfId="31447" xr:uid="{00000000-0005-0000-0000-0000237C0000}"/>
    <cellStyle name="Normal 297 2 2 8" xfId="31448" xr:uid="{00000000-0005-0000-0000-0000247C0000}"/>
    <cellStyle name="Normal 297 2 3" xfId="31449" xr:uid="{00000000-0005-0000-0000-0000257C0000}"/>
    <cellStyle name="Normal 297 2 3 2" xfId="31450" xr:uid="{00000000-0005-0000-0000-0000267C0000}"/>
    <cellStyle name="Normal 297 2 3 2 2" xfId="31451" xr:uid="{00000000-0005-0000-0000-0000277C0000}"/>
    <cellStyle name="Normal 297 2 3 2 3" xfId="31452" xr:uid="{00000000-0005-0000-0000-0000287C0000}"/>
    <cellStyle name="Normal 297 2 3 3" xfId="31453" xr:uid="{00000000-0005-0000-0000-0000297C0000}"/>
    <cellStyle name="Normal 297 2 3 3 2" xfId="31454" xr:uid="{00000000-0005-0000-0000-00002A7C0000}"/>
    <cellStyle name="Normal 297 2 3 3 3" xfId="31455" xr:uid="{00000000-0005-0000-0000-00002B7C0000}"/>
    <cellStyle name="Normal 297 2 3 4" xfId="31456" xr:uid="{00000000-0005-0000-0000-00002C7C0000}"/>
    <cellStyle name="Normal 297 2 3 5" xfId="31457" xr:uid="{00000000-0005-0000-0000-00002D7C0000}"/>
    <cellStyle name="Normal 297 2 3 6" xfId="31458" xr:uid="{00000000-0005-0000-0000-00002E7C0000}"/>
    <cellStyle name="Normal 297 2 4" xfId="31459" xr:uid="{00000000-0005-0000-0000-00002F7C0000}"/>
    <cellStyle name="Normal 297 2 4 2" xfId="31460" xr:uid="{00000000-0005-0000-0000-0000307C0000}"/>
    <cellStyle name="Normal 297 2 4 3" xfId="31461" xr:uid="{00000000-0005-0000-0000-0000317C0000}"/>
    <cellStyle name="Normal 297 2 5" xfId="31462" xr:uid="{00000000-0005-0000-0000-0000327C0000}"/>
    <cellStyle name="Normal 297 2 5 2" xfId="31463" xr:uid="{00000000-0005-0000-0000-0000337C0000}"/>
    <cellStyle name="Normal 297 2 5 3" xfId="31464" xr:uid="{00000000-0005-0000-0000-0000347C0000}"/>
    <cellStyle name="Normal 297 2 6" xfId="31465" xr:uid="{00000000-0005-0000-0000-0000357C0000}"/>
    <cellStyle name="Normal 297 2 7" xfId="31466" xr:uid="{00000000-0005-0000-0000-0000367C0000}"/>
    <cellStyle name="Normal 297 2 8" xfId="31467" xr:uid="{00000000-0005-0000-0000-0000377C0000}"/>
    <cellStyle name="Normal 297 2 9" xfId="31468" xr:uid="{00000000-0005-0000-0000-0000387C0000}"/>
    <cellStyle name="Normal 297 3" xfId="31469" xr:uid="{00000000-0005-0000-0000-0000397C0000}"/>
    <cellStyle name="Normal 297 3 2" xfId="31470" xr:uid="{00000000-0005-0000-0000-00003A7C0000}"/>
    <cellStyle name="Normal 297 3 2 2" xfId="31471" xr:uid="{00000000-0005-0000-0000-00003B7C0000}"/>
    <cellStyle name="Normal 297 3 2 2 2" xfId="31472" xr:uid="{00000000-0005-0000-0000-00003C7C0000}"/>
    <cellStyle name="Normal 297 3 2 2 3" xfId="31473" xr:uid="{00000000-0005-0000-0000-00003D7C0000}"/>
    <cellStyle name="Normal 297 3 2 3" xfId="31474" xr:uid="{00000000-0005-0000-0000-00003E7C0000}"/>
    <cellStyle name="Normal 297 3 2 3 2" xfId="31475" xr:uid="{00000000-0005-0000-0000-00003F7C0000}"/>
    <cellStyle name="Normal 297 3 2 3 3" xfId="31476" xr:uid="{00000000-0005-0000-0000-0000407C0000}"/>
    <cellStyle name="Normal 297 3 2 4" xfId="31477" xr:uid="{00000000-0005-0000-0000-0000417C0000}"/>
    <cellStyle name="Normal 297 3 2 5" xfId="31478" xr:uid="{00000000-0005-0000-0000-0000427C0000}"/>
    <cellStyle name="Normal 297 3 2 6" xfId="31479" xr:uid="{00000000-0005-0000-0000-0000437C0000}"/>
    <cellStyle name="Normal 297 3 3" xfId="31480" xr:uid="{00000000-0005-0000-0000-0000447C0000}"/>
    <cellStyle name="Normal 297 3 3 2" xfId="31481" xr:uid="{00000000-0005-0000-0000-0000457C0000}"/>
    <cellStyle name="Normal 297 3 3 3" xfId="31482" xr:uid="{00000000-0005-0000-0000-0000467C0000}"/>
    <cellStyle name="Normal 297 3 4" xfId="31483" xr:uid="{00000000-0005-0000-0000-0000477C0000}"/>
    <cellStyle name="Normal 297 3 4 2" xfId="31484" xr:uid="{00000000-0005-0000-0000-0000487C0000}"/>
    <cellStyle name="Normal 297 3 4 3" xfId="31485" xr:uid="{00000000-0005-0000-0000-0000497C0000}"/>
    <cellStyle name="Normal 297 3 5" xfId="31486" xr:uid="{00000000-0005-0000-0000-00004A7C0000}"/>
    <cellStyle name="Normal 297 3 6" xfId="31487" xr:uid="{00000000-0005-0000-0000-00004B7C0000}"/>
    <cellStyle name="Normal 297 3 7" xfId="31488" xr:uid="{00000000-0005-0000-0000-00004C7C0000}"/>
    <cellStyle name="Normal 297 3 8" xfId="31489" xr:uid="{00000000-0005-0000-0000-00004D7C0000}"/>
    <cellStyle name="Normal 297 4" xfId="31490" xr:uid="{00000000-0005-0000-0000-00004E7C0000}"/>
    <cellStyle name="Normal 297 4 2" xfId="31491" xr:uid="{00000000-0005-0000-0000-00004F7C0000}"/>
    <cellStyle name="Normal 297 4 2 2" xfId="31492" xr:uid="{00000000-0005-0000-0000-0000507C0000}"/>
    <cellStyle name="Normal 297 4 2 3" xfId="31493" xr:uid="{00000000-0005-0000-0000-0000517C0000}"/>
    <cellStyle name="Normal 297 4 3" xfId="31494" xr:uid="{00000000-0005-0000-0000-0000527C0000}"/>
    <cellStyle name="Normal 297 4 3 2" xfId="31495" xr:uid="{00000000-0005-0000-0000-0000537C0000}"/>
    <cellStyle name="Normal 297 4 3 3" xfId="31496" xr:uid="{00000000-0005-0000-0000-0000547C0000}"/>
    <cellStyle name="Normal 297 4 4" xfId="31497" xr:uid="{00000000-0005-0000-0000-0000557C0000}"/>
    <cellStyle name="Normal 297 4 5" xfId="31498" xr:uid="{00000000-0005-0000-0000-0000567C0000}"/>
    <cellStyle name="Normal 297 4 6" xfId="31499" xr:uid="{00000000-0005-0000-0000-0000577C0000}"/>
    <cellStyle name="Normal 297 5" xfId="31500" xr:uid="{00000000-0005-0000-0000-0000587C0000}"/>
    <cellStyle name="Normal 297 5 2" xfId="31501" xr:uid="{00000000-0005-0000-0000-0000597C0000}"/>
    <cellStyle name="Normal 297 5 3" xfId="31502" xr:uid="{00000000-0005-0000-0000-00005A7C0000}"/>
    <cellStyle name="Normal 297 6" xfId="31503" xr:uid="{00000000-0005-0000-0000-00005B7C0000}"/>
    <cellStyle name="Normal 297 6 2" xfId="31504" xr:uid="{00000000-0005-0000-0000-00005C7C0000}"/>
    <cellStyle name="Normal 297 6 3" xfId="31505" xr:uid="{00000000-0005-0000-0000-00005D7C0000}"/>
    <cellStyle name="Normal 297 7" xfId="31506" xr:uid="{00000000-0005-0000-0000-00005E7C0000}"/>
    <cellStyle name="Normal 297 8" xfId="31507" xr:uid="{00000000-0005-0000-0000-00005F7C0000}"/>
    <cellStyle name="Normal 297 9" xfId="31508" xr:uid="{00000000-0005-0000-0000-0000607C0000}"/>
    <cellStyle name="Normal 298" xfId="2780" xr:uid="{00000000-0005-0000-0000-0000617C0000}"/>
    <cellStyle name="Normal 298 10" xfId="31509" xr:uid="{00000000-0005-0000-0000-0000627C0000}"/>
    <cellStyle name="Normal 298 11" xfId="31510" xr:uid="{00000000-0005-0000-0000-0000637C0000}"/>
    <cellStyle name="Normal 298 2" xfId="31511" xr:uid="{00000000-0005-0000-0000-0000647C0000}"/>
    <cellStyle name="Normal 298 2 2" xfId="31512" xr:uid="{00000000-0005-0000-0000-0000657C0000}"/>
    <cellStyle name="Normal 298 2 2 2" xfId="31513" xr:uid="{00000000-0005-0000-0000-0000667C0000}"/>
    <cellStyle name="Normal 298 2 2 2 2" xfId="31514" xr:uid="{00000000-0005-0000-0000-0000677C0000}"/>
    <cellStyle name="Normal 298 2 2 2 2 2" xfId="31515" xr:uid="{00000000-0005-0000-0000-0000687C0000}"/>
    <cellStyle name="Normal 298 2 2 2 2 3" xfId="31516" xr:uid="{00000000-0005-0000-0000-0000697C0000}"/>
    <cellStyle name="Normal 298 2 2 2 3" xfId="31517" xr:uid="{00000000-0005-0000-0000-00006A7C0000}"/>
    <cellStyle name="Normal 298 2 2 2 3 2" xfId="31518" xr:uid="{00000000-0005-0000-0000-00006B7C0000}"/>
    <cellStyle name="Normal 298 2 2 2 3 3" xfId="31519" xr:uid="{00000000-0005-0000-0000-00006C7C0000}"/>
    <cellStyle name="Normal 298 2 2 2 4" xfId="31520" xr:uid="{00000000-0005-0000-0000-00006D7C0000}"/>
    <cellStyle name="Normal 298 2 2 2 5" xfId="31521" xr:uid="{00000000-0005-0000-0000-00006E7C0000}"/>
    <cellStyle name="Normal 298 2 2 2 6" xfId="31522" xr:uid="{00000000-0005-0000-0000-00006F7C0000}"/>
    <cellStyle name="Normal 298 2 2 3" xfId="31523" xr:uid="{00000000-0005-0000-0000-0000707C0000}"/>
    <cellStyle name="Normal 298 2 2 3 2" xfId="31524" xr:uid="{00000000-0005-0000-0000-0000717C0000}"/>
    <cellStyle name="Normal 298 2 2 3 3" xfId="31525" xr:uid="{00000000-0005-0000-0000-0000727C0000}"/>
    <cellStyle name="Normal 298 2 2 4" xfId="31526" xr:uid="{00000000-0005-0000-0000-0000737C0000}"/>
    <cellStyle name="Normal 298 2 2 4 2" xfId="31527" xr:uid="{00000000-0005-0000-0000-0000747C0000}"/>
    <cellStyle name="Normal 298 2 2 4 3" xfId="31528" xr:uid="{00000000-0005-0000-0000-0000757C0000}"/>
    <cellStyle name="Normal 298 2 2 5" xfId="31529" xr:uid="{00000000-0005-0000-0000-0000767C0000}"/>
    <cellStyle name="Normal 298 2 2 6" xfId="31530" xr:uid="{00000000-0005-0000-0000-0000777C0000}"/>
    <cellStyle name="Normal 298 2 2 7" xfId="31531" xr:uid="{00000000-0005-0000-0000-0000787C0000}"/>
    <cellStyle name="Normal 298 2 2 8" xfId="31532" xr:uid="{00000000-0005-0000-0000-0000797C0000}"/>
    <cellStyle name="Normal 298 2 3" xfId="31533" xr:uid="{00000000-0005-0000-0000-00007A7C0000}"/>
    <cellStyle name="Normal 298 2 3 2" xfId="31534" xr:uid="{00000000-0005-0000-0000-00007B7C0000}"/>
    <cellStyle name="Normal 298 2 3 2 2" xfId="31535" xr:uid="{00000000-0005-0000-0000-00007C7C0000}"/>
    <cellStyle name="Normal 298 2 3 2 3" xfId="31536" xr:uid="{00000000-0005-0000-0000-00007D7C0000}"/>
    <cellStyle name="Normal 298 2 3 3" xfId="31537" xr:uid="{00000000-0005-0000-0000-00007E7C0000}"/>
    <cellStyle name="Normal 298 2 3 3 2" xfId="31538" xr:uid="{00000000-0005-0000-0000-00007F7C0000}"/>
    <cellStyle name="Normal 298 2 3 3 3" xfId="31539" xr:uid="{00000000-0005-0000-0000-0000807C0000}"/>
    <cellStyle name="Normal 298 2 3 4" xfId="31540" xr:uid="{00000000-0005-0000-0000-0000817C0000}"/>
    <cellStyle name="Normal 298 2 3 5" xfId="31541" xr:uid="{00000000-0005-0000-0000-0000827C0000}"/>
    <cellStyle name="Normal 298 2 3 6" xfId="31542" xr:uid="{00000000-0005-0000-0000-0000837C0000}"/>
    <cellStyle name="Normal 298 2 4" xfId="31543" xr:uid="{00000000-0005-0000-0000-0000847C0000}"/>
    <cellStyle name="Normal 298 2 4 2" xfId="31544" xr:uid="{00000000-0005-0000-0000-0000857C0000}"/>
    <cellStyle name="Normal 298 2 4 3" xfId="31545" xr:uid="{00000000-0005-0000-0000-0000867C0000}"/>
    <cellStyle name="Normal 298 2 5" xfId="31546" xr:uid="{00000000-0005-0000-0000-0000877C0000}"/>
    <cellStyle name="Normal 298 2 5 2" xfId="31547" xr:uid="{00000000-0005-0000-0000-0000887C0000}"/>
    <cellStyle name="Normal 298 2 5 3" xfId="31548" xr:uid="{00000000-0005-0000-0000-0000897C0000}"/>
    <cellStyle name="Normal 298 2 6" xfId="31549" xr:uid="{00000000-0005-0000-0000-00008A7C0000}"/>
    <cellStyle name="Normal 298 2 7" xfId="31550" xr:uid="{00000000-0005-0000-0000-00008B7C0000}"/>
    <cellStyle name="Normal 298 2 8" xfId="31551" xr:uid="{00000000-0005-0000-0000-00008C7C0000}"/>
    <cellStyle name="Normal 298 2 9" xfId="31552" xr:uid="{00000000-0005-0000-0000-00008D7C0000}"/>
    <cellStyle name="Normal 298 3" xfId="31553" xr:uid="{00000000-0005-0000-0000-00008E7C0000}"/>
    <cellStyle name="Normal 298 3 2" xfId="31554" xr:uid="{00000000-0005-0000-0000-00008F7C0000}"/>
    <cellStyle name="Normal 298 3 2 2" xfId="31555" xr:uid="{00000000-0005-0000-0000-0000907C0000}"/>
    <cellStyle name="Normal 298 3 2 2 2" xfId="31556" xr:uid="{00000000-0005-0000-0000-0000917C0000}"/>
    <cellStyle name="Normal 298 3 2 2 3" xfId="31557" xr:uid="{00000000-0005-0000-0000-0000927C0000}"/>
    <cellStyle name="Normal 298 3 2 3" xfId="31558" xr:uid="{00000000-0005-0000-0000-0000937C0000}"/>
    <cellStyle name="Normal 298 3 2 3 2" xfId="31559" xr:uid="{00000000-0005-0000-0000-0000947C0000}"/>
    <cellStyle name="Normal 298 3 2 3 3" xfId="31560" xr:uid="{00000000-0005-0000-0000-0000957C0000}"/>
    <cellStyle name="Normal 298 3 2 4" xfId="31561" xr:uid="{00000000-0005-0000-0000-0000967C0000}"/>
    <cellStyle name="Normal 298 3 2 5" xfId="31562" xr:uid="{00000000-0005-0000-0000-0000977C0000}"/>
    <cellStyle name="Normal 298 3 2 6" xfId="31563" xr:uid="{00000000-0005-0000-0000-0000987C0000}"/>
    <cellStyle name="Normal 298 3 3" xfId="31564" xr:uid="{00000000-0005-0000-0000-0000997C0000}"/>
    <cellStyle name="Normal 298 3 3 2" xfId="31565" xr:uid="{00000000-0005-0000-0000-00009A7C0000}"/>
    <cellStyle name="Normal 298 3 3 3" xfId="31566" xr:uid="{00000000-0005-0000-0000-00009B7C0000}"/>
    <cellStyle name="Normal 298 3 4" xfId="31567" xr:uid="{00000000-0005-0000-0000-00009C7C0000}"/>
    <cellStyle name="Normal 298 3 4 2" xfId="31568" xr:uid="{00000000-0005-0000-0000-00009D7C0000}"/>
    <cellStyle name="Normal 298 3 4 3" xfId="31569" xr:uid="{00000000-0005-0000-0000-00009E7C0000}"/>
    <cellStyle name="Normal 298 3 5" xfId="31570" xr:uid="{00000000-0005-0000-0000-00009F7C0000}"/>
    <cellStyle name="Normal 298 3 6" xfId="31571" xr:uid="{00000000-0005-0000-0000-0000A07C0000}"/>
    <cellStyle name="Normal 298 3 7" xfId="31572" xr:uid="{00000000-0005-0000-0000-0000A17C0000}"/>
    <cellStyle name="Normal 298 3 8" xfId="31573" xr:uid="{00000000-0005-0000-0000-0000A27C0000}"/>
    <cellStyle name="Normal 298 4" xfId="31574" xr:uid="{00000000-0005-0000-0000-0000A37C0000}"/>
    <cellStyle name="Normal 298 4 2" xfId="31575" xr:uid="{00000000-0005-0000-0000-0000A47C0000}"/>
    <cellStyle name="Normal 298 4 2 2" xfId="31576" xr:uid="{00000000-0005-0000-0000-0000A57C0000}"/>
    <cellStyle name="Normal 298 4 2 3" xfId="31577" xr:uid="{00000000-0005-0000-0000-0000A67C0000}"/>
    <cellStyle name="Normal 298 4 3" xfId="31578" xr:uid="{00000000-0005-0000-0000-0000A77C0000}"/>
    <cellStyle name="Normal 298 4 3 2" xfId="31579" xr:uid="{00000000-0005-0000-0000-0000A87C0000}"/>
    <cellStyle name="Normal 298 4 3 3" xfId="31580" xr:uid="{00000000-0005-0000-0000-0000A97C0000}"/>
    <cellStyle name="Normal 298 4 4" xfId="31581" xr:uid="{00000000-0005-0000-0000-0000AA7C0000}"/>
    <cellStyle name="Normal 298 4 5" xfId="31582" xr:uid="{00000000-0005-0000-0000-0000AB7C0000}"/>
    <cellStyle name="Normal 298 4 6" xfId="31583" xr:uid="{00000000-0005-0000-0000-0000AC7C0000}"/>
    <cellStyle name="Normal 298 5" xfId="31584" xr:uid="{00000000-0005-0000-0000-0000AD7C0000}"/>
    <cellStyle name="Normal 298 5 2" xfId="31585" xr:uid="{00000000-0005-0000-0000-0000AE7C0000}"/>
    <cellStyle name="Normal 298 5 3" xfId="31586" xr:uid="{00000000-0005-0000-0000-0000AF7C0000}"/>
    <cellStyle name="Normal 298 6" xfId="31587" xr:uid="{00000000-0005-0000-0000-0000B07C0000}"/>
    <cellStyle name="Normal 298 6 2" xfId="31588" xr:uid="{00000000-0005-0000-0000-0000B17C0000}"/>
    <cellStyle name="Normal 298 6 3" xfId="31589" xr:uid="{00000000-0005-0000-0000-0000B27C0000}"/>
    <cellStyle name="Normal 298 7" xfId="31590" xr:uid="{00000000-0005-0000-0000-0000B37C0000}"/>
    <cellStyle name="Normal 298 8" xfId="31591" xr:uid="{00000000-0005-0000-0000-0000B47C0000}"/>
    <cellStyle name="Normal 298 9" xfId="31592" xr:uid="{00000000-0005-0000-0000-0000B57C0000}"/>
    <cellStyle name="Normal 299" xfId="2781" xr:uid="{00000000-0005-0000-0000-0000B67C0000}"/>
    <cellStyle name="Normal 299 10" xfId="31593" xr:uid="{00000000-0005-0000-0000-0000B77C0000}"/>
    <cellStyle name="Normal 299 11" xfId="31594" xr:uid="{00000000-0005-0000-0000-0000B87C0000}"/>
    <cellStyle name="Normal 299 2" xfId="31595" xr:uid="{00000000-0005-0000-0000-0000B97C0000}"/>
    <cellStyle name="Normal 299 2 2" xfId="31596" xr:uid="{00000000-0005-0000-0000-0000BA7C0000}"/>
    <cellStyle name="Normal 299 2 2 2" xfId="31597" xr:uid="{00000000-0005-0000-0000-0000BB7C0000}"/>
    <cellStyle name="Normal 299 2 2 2 2" xfId="31598" xr:uid="{00000000-0005-0000-0000-0000BC7C0000}"/>
    <cellStyle name="Normal 299 2 2 2 2 2" xfId="31599" xr:uid="{00000000-0005-0000-0000-0000BD7C0000}"/>
    <cellStyle name="Normal 299 2 2 2 2 3" xfId="31600" xr:uid="{00000000-0005-0000-0000-0000BE7C0000}"/>
    <cellStyle name="Normal 299 2 2 2 3" xfId="31601" xr:uid="{00000000-0005-0000-0000-0000BF7C0000}"/>
    <cellStyle name="Normal 299 2 2 2 3 2" xfId="31602" xr:uid="{00000000-0005-0000-0000-0000C07C0000}"/>
    <cellStyle name="Normal 299 2 2 2 3 3" xfId="31603" xr:uid="{00000000-0005-0000-0000-0000C17C0000}"/>
    <cellStyle name="Normal 299 2 2 2 4" xfId="31604" xr:uid="{00000000-0005-0000-0000-0000C27C0000}"/>
    <cellStyle name="Normal 299 2 2 2 5" xfId="31605" xr:uid="{00000000-0005-0000-0000-0000C37C0000}"/>
    <cellStyle name="Normal 299 2 2 2 6" xfId="31606" xr:uid="{00000000-0005-0000-0000-0000C47C0000}"/>
    <cellStyle name="Normal 299 2 2 3" xfId="31607" xr:uid="{00000000-0005-0000-0000-0000C57C0000}"/>
    <cellStyle name="Normal 299 2 2 3 2" xfId="31608" xr:uid="{00000000-0005-0000-0000-0000C67C0000}"/>
    <cellStyle name="Normal 299 2 2 3 3" xfId="31609" xr:uid="{00000000-0005-0000-0000-0000C77C0000}"/>
    <cellStyle name="Normal 299 2 2 4" xfId="31610" xr:uid="{00000000-0005-0000-0000-0000C87C0000}"/>
    <cellStyle name="Normal 299 2 2 4 2" xfId="31611" xr:uid="{00000000-0005-0000-0000-0000C97C0000}"/>
    <cellStyle name="Normal 299 2 2 4 3" xfId="31612" xr:uid="{00000000-0005-0000-0000-0000CA7C0000}"/>
    <cellStyle name="Normal 299 2 2 5" xfId="31613" xr:uid="{00000000-0005-0000-0000-0000CB7C0000}"/>
    <cellStyle name="Normal 299 2 2 6" xfId="31614" xr:uid="{00000000-0005-0000-0000-0000CC7C0000}"/>
    <cellStyle name="Normal 299 2 2 7" xfId="31615" xr:uid="{00000000-0005-0000-0000-0000CD7C0000}"/>
    <cellStyle name="Normal 299 2 2 8" xfId="31616" xr:uid="{00000000-0005-0000-0000-0000CE7C0000}"/>
    <cellStyle name="Normal 299 2 3" xfId="31617" xr:uid="{00000000-0005-0000-0000-0000CF7C0000}"/>
    <cellStyle name="Normal 299 2 3 2" xfId="31618" xr:uid="{00000000-0005-0000-0000-0000D07C0000}"/>
    <cellStyle name="Normal 299 2 3 2 2" xfId="31619" xr:uid="{00000000-0005-0000-0000-0000D17C0000}"/>
    <cellStyle name="Normal 299 2 3 2 3" xfId="31620" xr:uid="{00000000-0005-0000-0000-0000D27C0000}"/>
    <cellStyle name="Normal 299 2 3 3" xfId="31621" xr:uid="{00000000-0005-0000-0000-0000D37C0000}"/>
    <cellStyle name="Normal 299 2 3 3 2" xfId="31622" xr:uid="{00000000-0005-0000-0000-0000D47C0000}"/>
    <cellStyle name="Normal 299 2 3 3 3" xfId="31623" xr:uid="{00000000-0005-0000-0000-0000D57C0000}"/>
    <cellStyle name="Normal 299 2 3 4" xfId="31624" xr:uid="{00000000-0005-0000-0000-0000D67C0000}"/>
    <cellStyle name="Normal 299 2 3 5" xfId="31625" xr:uid="{00000000-0005-0000-0000-0000D77C0000}"/>
    <cellStyle name="Normal 299 2 3 6" xfId="31626" xr:uid="{00000000-0005-0000-0000-0000D87C0000}"/>
    <cellStyle name="Normal 299 2 4" xfId="31627" xr:uid="{00000000-0005-0000-0000-0000D97C0000}"/>
    <cellStyle name="Normal 299 2 4 2" xfId="31628" xr:uid="{00000000-0005-0000-0000-0000DA7C0000}"/>
    <cellStyle name="Normal 299 2 4 3" xfId="31629" xr:uid="{00000000-0005-0000-0000-0000DB7C0000}"/>
    <cellStyle name="Normal 299 2 5" xfId="31630" xr:uid="{00000000-0005-0000-0000-0000DC7C0000}"/>
    <cellStyle name="Normal 299 2 5 2" xfId="31631" xr:uid="{00000000-0005-0000-0000-0000DD7C0000}"/>
    <cellStyle name="Normal 299 2 5 3" xfId="31632" xr:uid="{00000000-0005-0000-0000-0000DE7C0000}"/>
    <cellStyle name="Normal 299 2 6" xfId="31633" xr:uid="{00000000-0005-0000-0000-0000DF7C0000}"/>
    <cellStyle name="Normal 299 2 7" xfId="31634" xr:uid="{00000000-0005-0000-0000-0000E07C0000}"/>
    <cellStyle name="Normal 299 2 8" xfId="31635" xr:uid="{00000000-0005-0000-0000-0000E17C0000}"/>
    <cellStyle name="Normal 299 2 9" xfId="31636" xr:uid="{00000000-0005-0000-0000-0000E27C0000}"/>
    <cellStyle name="Normal 299 3" xfId="31637" xr:uid="{00000000-0005-0000-0000-0000E37C0000}"/>
    <cellStyle name="Normal 299 3 2" xfId="31638" xr:uid="{00000000-0005-0000-0000-0000E47C0000}"/>
    <cellStyle name="Normal 299 3 2 2" xfId="31639" xr:uid="{00000000-0005-0000-0000-0000E57C0000}"/>
    <cellStyle name="Normal 299 3 2 2 2" xfId="31640" xr:uid="{00000000-0005-0000-0000-0000E67C0000}"/>
    <cellStyle name="Normal 299 3 2 2 3" xfId="31641" xr:uid="{00000000-0005-0000-0000-0000E77C0000}"/>
    <cellStyle name="Normal 299 3 2 3" xfId="31642" xr:uid="{00000000-0005-0000-0000-0000E87C0000}"/>
    <cellStyle name="Normal 299 3 2 3 2" xfId="31643" xr:uid="{00000000-0005-0000-0000-0000E97C0000}"/>
    <cellStyle name="Normal 299 3 2 3 3" xfId="31644" xr:uid="{00000000-0005-0000-0000-0000EA7C0000}"/>
    <cellStyle name="Normal 299 3 2 4" xfId="31645" xr:uid="{00000000-0005-0000-0000-0000EB7C0000}"/>
    <cellStyle name="Normal 299 3 2 5" xfId="31646" xr:uid="{00000000-0005-0000-0000-0000EC7C0000}"/>
    <cellStyle name="Normal 299 3 2 6" xfId="31647" xr:uid="{00000000-0005-0000-0000-0000ED7C0000}"/>
    <cellStyle name="Normal 299 3 3" xfId="31648" xr:uid="{00000000-0005-0000-0000-0000EE7C0000}"/>
    <cellStyle name="Normal 299 3 3 2" xfId="31649" xr:uid="{00000000-0005-0000-0000-0000EF7C0000}"/>
    <cellStyle name="Normal 299 3 3 3" xfId="31650" xr:uid="{00000000-0005-0000-0000-0000F07C0000}"/>
    <cellStyle name="Normal 299 3 4" xfId="31651" xr:uid="{00000000-0005-0000-0000-0000F17C0000}"/>
    <cellStyle name="Normal 299 3 4 2" xfId="31652" xr:uid="{00000000-0005-0000-0000-0000F27C0000}"/>
    <cellStyle name="Normal 299 3 4 3" xfId="31653" xr:uid="{00000000-0005-0000-0000-0000F37C0000}"/>
    <cellStyle name="Normal 299 3 5" xfId="31654" xr:uid="{00000000-0005-0000-0000-0000F47C0000}"/>
    <cellStyle name="Normal 299 3 6" xfId="31655" xr:uid="{00000000-0005-0000-0000-0000F57C0000}"/>
    <cellStyle name="Normal 299 3 7" xfId="31656" xr:uid="{00000000-0005-0000-0000-0000F67C0000}"/>
    <cellStyle name="Normal 299 3 8" xfId="31657" xr:uid="{00000000-0005-0000-0000-0000F77C0000}"/>
    <cellStyle name="Normal 299 4" xfId="31658" xr:uid="{00000000-0005-0000-0000-0000F87C0000}"/>
    <cellStyle name="Normal 299 4 2" xfId="31659" xr:uid="{00000000-0005-0000-0000-0000F97C0000}"/>
    <cellStyle name="Normal 299 4 2 2" xfId="31660" xr:uid="{00000000-0005-0000-0000-0000FA7C0000}"/>
    <cellStyle name="Normal 299 4 2 3" xfId="31661" xr:uid="{00000000-0005-0000-0000-0000FB7C0000}"/>
    <cellStyle name="Normal 299 4 3" xfId="31662" xr:uid="{00000000-0005-0000-0000-0000FC7C0000}"/>
    <cellStyle name="Normal 299 4 3 2" xfId="31663" xr:uid="{00000000-0005-0000-0000-0000FD7C0000}"/>
    <cellStyle name="Normal 299 4 3 3" xfId="31664" xr:uid="{00000000-0005-0000-0000-0000FE7C0000}"/>
    <cellStyle name="Normal 299 4 4" xfId="31665" xr:uid="{00000000-0005-0000-0000-0000FF7C0000}"/>
    <cellStyle name="Normal 299 4 5" xfId="31666" xr:uid="{00000000-0005-0000-0000-0000007D0000}"/>
    <cellStyle name="Normal 299 4 6" xfId="31667" xr:uid="{00000000-0005-0000-0000-0000017D0000}"/>
    <cellStyle name="Normal 299 5" xfId="31668" xr:uid="{00000000-0005-0000-0000-0000027D0000}"/>
    <cellStyle name="Normal 299 5 2" xfId="31669" xr:uid="{00000000-0005-0000-0000-0000037D0000}"/>
    <cellStyle name="Normal 299 5 3" xfId="31670" xr:uid="{00000000-0005-0000-0000-0000047D0000}"/>
    <cellStyle name="Normal 299 6" xfId="31671" xr:uid="{00000000-0005-0000-0000-0000057D0000}"/>
    <cellStyle name="Normal 299 6 2" xfId="31672" xr:uid="{00000000-0005-0000-0000-0000067D0000}"/>
    <cellStyle name="Normal 299 6 3" xfId="31673" xr:uid="{00000000-0005-0000-0000-0000077D0000}"/>
    <cellStyle name="Normal 299 7" xfId="31674" xr:uid="{00000000-0005-0000-0000-0000087D0000}"/>
    <cellStyle name="Normal 299 8" xfId="31675" xr:uid="{00000000-0005-0000-0000-0000097D0000}"/>
    <cellStyle name="Normal 299 9" xfId="31676" xr:uid="{00000000-0005-0000-0000-00000A7D0000}"/>
    <cellStyle name="Normal 3" xfId="2782" xr:uid="{00000000-0005-0000-0000-00000B7D0000}"/>
    <cellStyle name="Normal 3 10" xfId="2783" xr:uid="{00000000-0005-0000-0000-00000C7D0000}"/>
    <cellStyle name="Normal 3 10 2" xfId="2784" xr:uid="{00000000-0005-0000-0000-00000D7D0000}"/>
    <cellStyle name="Normal 3 10 3" xfId="31677" xr:uid="{00000000-0005-0000-0000-00000E7D0000}"/>
    <cellStyle name="Normal 3 11" xfId="2785" xr:uid="{00000000-0005-0000-0000-00000F7D0000}"/>
    <cellStyle name="Normal 3 11 2" xfId="2786" xr:uid="{00000000-0005-0000-0000-0000107D0000}"/>
    <cellStyle name="Normal 3 11 3" xfId="31678" xr:uid="{00000000-0005-0000-0000-0000117D0000}"/>
    <cellStyle name="Normal 3 12" xfId="2787" xr:uid="{00000000-0005-0000-0000-0000127D0000}"/>
    <cellStyle name="Normal 3 12 2" xfId="31679" xr:uid="{00000000-0005-0000-0000-0000137D0000}"/>
    <cellStyle name="Normal 3 12 2 2" xfId="31680" xr:uid="{00000000-0005-0000-0000-0000147D0000}"/>
    <cellStyle name="Normal 3 13" xfId="31681" xr:uid="{00000000-0005-0000-0000-0000157D0000}"/>
    <cellStyle name="Normal 3 14" xfId="31682" xr:uid="{00000000-0005-0000-0000-0000167D0000}"/>
    <cellStyle name="Normal 3 15" xfId="31683" xr:uid="{00000000-0005-0000-0000-0000177D0000}"/>
    <cellStyle name="Normal 3 16" xfId="31684" xr:uid="{00000000-0005-0000-0000-0000187D0000}"/>
    <cellStyle name="Normal 3 2" xfId="2788" xr:uid="{00000000-0005-0000-0000-0000197D0000}"/>
    <cellStyle name="Normal 3 2 10" xfId="31685" xr:uid="{00000000-0005-0000-0000-00001A7D0000}"/>
    <cellStyle name="Normal 3 2 11" xfId="31686" xr:uid="{00000000-0005-0000-0000-00001B7D0000}"/>
    <cellStyle name="Normal 3 2 12" xfId="31687" xr:uid="{00000000-0005-0000-0000-00001C7D0000}"/>
    <cellStyle name="Normal 3 2 13" xfId="31688" xr:uid="{00000000-0005-0000-0000-00001D7D0000}"/>
    <cellStyle name="Normal 3 2 2" xfId="2789" xr:uid="{00000000-0005-0000-0000-00001E7D0000}"/>
    <cellStyle name="Normal 3 2 2 10" xfId="31689" xr:uid="{00000000-0005-0000-0000-00001F7D0000}"/>
    <cellStyle name="Normal 3 2 2 11" xfId="31690" xr:uid="{00000000-0005-0000-0000-0000207D0000}"/>
    <cellStyle name="Normal 3 2 2 2" xfId="2790" xr:uid="{00000000-0005-0000-0000-0000217D0000}"/>
    <cellStyle name="Normal 3 2 2 2 2" xfId="2791" xr:uid="{00000000-0005-0000-0000-0000227D0000}"/>
    <cellStyle name="Normal 3 2 2 2 2 2" xfId="2792" xr:uid="{00000000-0005-0000-0000-0000237D0000}"/>
    <cellStyle name="Normal 3 2 2 2 2 2 2" xfId="2793" xr:uid="{00000000-0005-0000-0000-0000247D0000}"/>
    <cellStyle name="Normal 3 2 2 2 2 2 2 2" xfId="2794" xr:uid="{00000000-0005-0000-0000-0000257D0000}"/>
    <cellStyle name="Normal 3 2 2 2 2 2 2 2 2" xfId="2795" xr:uid="{00000000-0005-0000-0000-0000267D0000}"/>
    <cellStyle name="Normal 3 2 2 2 2 2 2 3" xfId="2796" xr:uid="{00000000-0005-0000-0000-0000277D0000}"/>
    <cellStyle name="Normal 3 2 2 2 2 2 3" xfId="2797" xr:uid="{00000000-0005-0000-0000-0000287D0000}"/>
    <cellStyle name="Normal 3 2 2 2 2 2 3 2" xfId="2798" xr:uid="{00000000-0005-0000-0000-0000297D0000}"/>
    <cellStyle name="Normal 3 2 2 2 2 2 3 2 2" xfId="2799" xr:uid="{00000000-0005-0000-0000-00002A7D0000}"/>
    <cellStyle name="Normal 3 2 2 2 2 2 3 3" xfId="2800" xr:uid="{00000000-0005-0000-0000-00002B7D0000}"/>
    <cellStyle name="Normal 3 2 2 2 2 2 4" xfId="2801" xr:uid="{00000000-0005-0000-0000-00002C7D0000}"/>
    <cellStyle name="Normal 3 2 2 2 2 2 4 2" xfId="2802" xr:uid="{00000000-0005-0000-0000-00002D7D0000}"/>
    <cellStyle name="Normal 3 2 2 2 2 2 5" xfId="2803" xr:uid="{00000000-0005-0000-0000-00002E7D0000}"/>
    <cellStyle name="Normal 3 2 2 2 2 3" xfId="2804" xr:uid="{00000000-0005-0000-0000-00002F7D0000}"/>
    <cellStyle name="Normal 3 2 2 2 2 3 2" xfId="2805" xr:uid="{00000000-0005-0000-0000-0000307D0000}"/>
    <cellStyle name="Normal 3 2 2 2 2 3 2 2" xfId="2806" xr:uid="{00000000-0005-0000-0000-0000317D0000}"/>
    <cellStyle name="Normal 3 2 2 2 2 3 3" xfId="2807" xr:uid="{00000000-0005-0000-0000-0000327D0000}"/>
    <cellStyle name="Normal 3 2 2 2 2 4" xfId="2808" xr:uid="{00000000-0005-0000-0000-0000337D0000}"/>
    <cellStyle name="Normal 3 2 2 2 2 4 2" xfId="2809" xr:uid="{00000000-0005-0000-0000-0000347D0000}"/>
    <cellStyle name="Normal 3 2 2 2 2 4 2 2" xfId="2810" xr:uid="{00000000-0005-0000-0000-0000357D0000}"/>
    <cellStyle name="Normal 3 2 2 2 2 4 3" xfId="2811" xr:uid="{00000000-0005-0000-0000-0000367D0000}"/>
    <cellStyle name="Normal 3 2 2 2 2 5" xfId="2812" xr:uid="{00000000-0005-0000-0000-0000377D0000}"/>
    <cellStyle name="Normal 3 2 2 2 2 5 2" xfId="2813" xr:uid="{00000000-0005-0000-0000-0000387D0000}"/>
    <cellStyle name="Normal 3 2 2 2 2 6" xfId="2814" xr:uid="{00000000-0005-0000-0000-0000397D0000}"/>
    <cellStyle name="Normal 3 2 2 2 3" xfId="2815" xr:uid="{00000000-0005-0000-0000-00003A7D0000}"/>
    <cellStyle name="Normal 3 2 2 2 3 2" xfId="2816" xr:uid="{00000000-0005-0000-0000-00003B7D0000}"/>
    <cellStyle name="Normal 3 2 2 2 3 2 2" xfId="2817" xr:uid="{00000000-0005-0000-0000-00003C7D0000}"/>
    <cellStyle name="Normal 3 2 2 2 3 2 2 2" xfId="2818" xr:uid="{00000000-0005-0000-0000-00003D7D0000}"/>
    <cellStyle name="Normal 3 2 2 2 3 2 3" xfId="2819" xr:uid="{00000000-0005-0000-0000-00003E7D0000}"/>
    <cellStyle name="Normal 3 2 2 2 3 3" xfId="2820" xr:uid="{00000000-0005-0000-0000-00003F7D0000}"/>
    <cellStyle name="Normal 3 2 2 2 3 3 2" xfId="2821" xr:uid="{00000000-0005-0000-0000-0000407D0000}"/>
    <cellStyle name="Normal 3 2 2 2 3 3 2 2" xfId="2822" xr:uid="{00000000-0005-0000-0000-0000417D0000}"/>
    <cellStyle name="Normal 3 2 2 2 3 3 3" xfId="2823" xr:uid="{00000000-0005-0000-0000-0000427D0000}"/>
    <cellStyle name="Normal 3 2 2 2 3 4" xfId="2824" xr:uid="{00000000-0005-0000-0000-0000437D0000}"/>
    <cellStyle name="Normal 3 2 2 2 3 4 2" xfId="2825" xr:uid="{00000000-0005-0000-0000-0000447D0000}"/>
    <cellStyle name="Normal 3 2 2 2 3 5" xfId="2826" xr:uid="{00000000-0005-0000-0000-0000457D0000}"/>
    <cellStyle name="Normal 3 2 2 2 4" xfId="2827" xr:uid="{00000000-0005-0000-0000-0000467D0000}"/>
    <cellStyle name="Normal 3 2 2 2 4 2" xfId="2828" xr:uid="{00000000-0005-0000-0000-0000477D0000}"/>
    <cellStyle name="Normal 3 2 2 2 4 2 2" xfId="2829" xr:uid="{00000000-0005-0000-0000-0000487D0000}"/>
    <cellStyle name="Normal 3 2 2 2 4 3" xfId="2830" xr:uid="{00000000-0005-0000-0000-0000497D0000}"/>
    <cellStyle name="Normal 3 2 2 2 5" xfId="2831" xr:uid="{00000000-0005-0000-0000-00004A7D0000}"/>
    <cellStyle name="Normal 3 2 2 2 5 2" xfId="2832" xr:uid="{00000000-0005-0000-0000-00004B7D0000}"/>
    <cellStyle name="Normal 3 2 2 2 5 2 2" xfId="2833" xr:uid="{00000000-0005-0000-0000-00004C7D0000}"/>
    <cellStyle name="Normal 3 2 2 2 5 3" xfId="2834" xr:uid="{00000000-0005-0000-0000-00004D7D0000}"/>
    <cellStyle name="Normal 3 2 2 2 6" xfId="2835" xr:uid="{00000000-0005-0000-0000-00004E7D0000}"/>
    <cellStyle name="Normal 3 2 2 2 6 2" xfId="2836" xr:uid="{00000000-0005-0000-0000-00004F7D0000}"/>
    <cellStyle name="Normal 3 2 2 2 7" xfId="2837" xr:uid="{00000000-0005-0000-0000-0000507D0000}"/>
    <cellStyle name="Normal 3 2 2 2 7 2" xfId="31691" xr:uid="{00000000-0005-0000-0000-0000517D0000}"/>
    <cellStyle name="Normal 3 2 2 2 8" xfId="31692" xr:uid="{00000000-0005-0000-0000-0000527D0000}"/>
    <cellStyle name="Normal 3 2 2 2 9" xfId="31693" xr:uid="{00000000-0005-0000-0000-0000537D0000}"/>
    <cellStyle name="Normal 3 2 2 3" xfId="2838" xr:uid="{00000000-0005-0000-0000-0000547D0000}"/>
    <cellStyle name="Normal 3 2 2 3 2" xfId="2839" xr:uid="{00000000-0005-0000-0000-0000557D0000}"/>
    <cellStyle name="Normal 3 2 2 3 2 2" xfId="2840" xr:uid="{00000000-0005-0000-0000-0000567D0000}"/>
    <cellStyle name="Normal 3 2 2 3 2 2 2" xfId="2841" xr:uid="{00000000-0005-0000-0000-0000577D0000}"/>
    <cellStyle name="Normal 3 2 2 3 2 2 2 2" xfId="2842" xr:uid="{00000000-0005-0000-0000-0000587D0000}"/>
    <cellStyle name="Normal 3 2 2 3 2 2 3" xfId="2843" xr:uid="{00000000-0005-0000-0000-0000597D0000}"/>
    <cellStyle name="Normal 3 2 2 3 2 3" xfId="2844" xr:uid="{00000000-0005-0000-0000-00005A7D0000}"/>
    <cellStyle name="Normal 3 2 2 3 2 3 2" xfId="2845" xr:uid="{00000000-0005-0000-0000-00005B7D0000}"/>
    <cellStyle name="Normal 3 2 2 3 2 3 2 2" xfId="2846" xr:uid="{00000000-0005-0000-0000-00005C7D0000}"/>
    <cellStyle name="Normal 3 2 2 3 2 3 3" xfId="2847" xr:uid="{00000000-0005-0000-0000-00005D7D0000}"/>
    <cellStyle name="Normal 3 2 2 3 2 4" xfId="2848" xr:uid="{00000000-0005-0000-0000-00005E7D0000}"/>
    <cellStyle name="Normal 3 2 2 3 2 4 2" xfId="2849" xr:uid="{00000000-0005-0000-0000-00005F7D0000}"/>
    <cellStyle name="Normal 3 2 2 3 2 5" xfId="2850" xr:uid="{00000000-0005-0000-0000-0000607D0000}"/>
    <cellStyle name="Normal 3 2 2 3 3" xfId="2851" xr:uid="{00000000-0005-0000-0000-0000617D0000}"/>
    <cellStyle name="Normal 3 2 2 3 3 2" xfId="2852" xr:uid="{00000000-0005-0000-0000-0000627D0000}"/>
    <cellStyle name="Normal 3 2 2 3 3 2 2" xfId="2853" xr:uid="{00000000-0005-0000-0000-0000637D0000}"/>
    <cellStyle name="Normal 3 2 2 3 3 3" xfId="2854" xr:uid="{00000000-0005-0000-0000-0000647D0000}"/>
    <cellStyle name="Normal 3 2 2 3 4" xfId="2855" xr:uid="{00000000-0005-0000-0000-0000657D0000}"/>
    <cellStyle name="Normal 3 2 2 3 4 2" xfId="2856" xr:uid="{00000000-0005-0000-0000-0000667D0000}"/>
    <cellStyle name="Normal 3 2 2 3 4 2 2" xfId="2857" xr:uid="{00000000-0005-0000-0000-0000677D0000}"/>
    <cellStyle name="Normal 3 2 2 3 4 3" xfId="2858" xr:uid="{00000000-0005-0000-0000-0000687D0000}"/>
    <cellStyle name="Normal 3 2 2 3 5" xfId="2859" xr:uid="{00000000-0005-0000-0000-0000697D0000}"/>
    <cellStyle name="Normal 3 2 2 3 5 2" xfId="2860" xr:uid="{00000000-0005-0000-0000-00006A7D0000}"/>
    <cellStyle name="Normal 3 2 2 3 6" xfId="2861" xr:uid="{00000000-0005-0000-0000-00006B7D0000}"/>
    <cellStyle name="Normal 3 2 2 4" xfId="2862" xr:uid="{00000000-0005-0000-0000-00006C7D0000}"/>
    <cellStyle name="Normal 3 2 2 4 2" xfId="2863" xr:uid="{00000000-0005-0000-0000-00006D7D0000}"/>
    <cellStyle name="Normal 3 2 2 4 2 2" xfId="2864" xr:uid="{00000000-0005-0000-0000-00006E7D0000}"/>
    <cellStyle name="Normal 3 2 2 4 2 2 2" xfId="2865" xr:uid="{00000000-0005-0000-0000-00006F7D0000}"/>
    <cellStyle name="Normal 3 2 2 4 2 3" xfId="2866" xr:uid="{00000000-0005-0000-0000-0000707D0000}"/>
    <cellStyle name="Normal 3 2 2 4 3" xfId="2867" xr:uid="{00000000-0005-0000-0000-0000717D0000}"/>
    <cellStyle name="Normal 3 2 2 4 3 2" xfId="2868" xr:uid="{00000000-0005-0000-0000-0000727D0000}"/>
    <cellStyle name="Normal 3 2 2 4 3 2 2" xfId="2869" xr:uid="{00000000-0005-0000-0000-0000737D0000}"/>
    <cellStyle name="Normal 3 2 2 4 3 3" xfId="2870" xr:uid="{00000000-0005-0000-0000-0000747D0000}"/>
    <cellStyle name="Normal 3 2 2 4 4" xfId="2871" xr:uid="{00000000-0005-0000-0000-0000757D0000}"/>
    <cellStyle name="Normal 3 2 2 4 4 2" xfId="2872" xr:uid="{00000000-0005-0000-0000-0000767D0000}"/>
    <cellStyle name="Normal 3 2 2 4 5" xfId="2873" xr:uid="{00000000-0005-0000-0000-0000777D0000}"/>
    <cellStyle name="Normal 3 2 2 5" xfId="2874" xr:uid="{00000000-0005-0000-0000-0000787D0000}"/>
    <cellStyle name="Normal 3 2 2 5 2" xfId="2875" xr:uid="{00000000-0005-0000-0000-0000797D0000}"/>
    <cellStyle name="Normal 3 2 2 5 2 2" xfId="2876" xr:uid="{00000000-0005-0000-0000-00007A7D0000}"/>
    <cellStyle name="Normal 3 2 2 5 3" xfId="2877" xr:uid="{00000000-0005-0000-0000-00007B7D0000}"/>
    <cellStyle name="Normal 3 2 2 6" xfId="2878" xr:uid="{00000000-0005-0000-0000-00007C7D0000}"/>
    <cellStyle name="Normal 3 2 2 6 2" xfId="2879" xr:uid="{00000000-0005-0000-0000-00007D7D0000}"/>
    <cellStyle name="Normal 3 2 2 6 2 2" xfId="2880" xr:uid="{00000000-0005-0000-0000-00007E7D0000}"/>
    <cellStyle name="Normal 3 2 2 6 3" xfId="2881" xr:uid="{00000000-0005-0000-0000-00007F7D0000}"/>
    <cellStyle name="Normal 3 2 2 7" xfId="2882" xr:uid="{00000000-0005-0000-0000-0000807D0000}"/>
    <cellStyle name="Normal 3 2 2 7 2" xfId="2883" xr:uid="{00000000-0005-0000-0000-0000817D0000}"/>
    <cellStyle name="Normal 3 2 2 8" xfId="2884" xr:uid="{00000000-0005-0000-0000-0000827D0000}"/>
    <cellStyle name="Normal 3 2 2 8 2" xfId="31694" xr:uid="{00000000-0005-0000-0000-0000837D0000}"/>
    <cellStyle name="Normal 3 2 2 9" xfId="31695" xr:uid="{00000000-0005-0000-0000-0000847D0000}"/>
    <cellStyle name="Normal 3 2 3" xfId="2885" xr:uid="{00000000-0005-0000-0000-0000857D0000}"/>
    <cellStyle name="Normal 3 2 3 2" xfId="2886" xr:uid="{00000000-0005-0000-0000-0000867D0000}"/>
    <cellStyle name="Normal 3 2 3 2 2" xfId="2887" xr:uid="{00000000-0005-0000-0000-0000877D0000}"/>
    <cellStyle name="Normal 3 2 3 2 2 2" xfId="2888" xr:uid="{00000000-0005-0000-0000-0000887D0000}"/>
    <cellStyle name="Normal 3 2 3 2 2 2 2" xfId="2889" xr:uid="{00000000-0005-0000-0000-0000897D0000}"/>
    <cellStyle name="Normal 3 2 3 2 2 2 2 2" xfId="2890" xr:uid="{00000000-0005-0000-0000-00008A7D0000}"/>
    <cellStyle name="Normal 3 2 3 2 2 2 3" xfId="2891" xr:uid="{00000000-0005-0000-0000-00008B7D0000}"/>
    <cellStyle name="Normal 3 2 3 2 2 3" xfId="2892" xr:uid="{00000000-0005-0000-0000-00008C7D0000}"/>
    <cellStyle name="Normal 3 2 3 2 2 3 2" xfId="2893" xr:uid="{00000000-0005-0000-0000-00008D7D0000}"/>
    <cellStyle name="Normal 3 2 3 2 2 3 2 2" xfId="2894" xr:uid="{00000000-0005-0000-0000-00008E7D0000}"/>
    <cellStyle name="Normal 3 2 3 2 2 3 3" xfId="2895" xr:uid="{00000000-0005-0000-0000-00008F7D0000}"/>
    <cellStyle name="Normal 3 2 3 2 2 4" xfId="2896" xr:uid="{00000000-0005-0000-0000-0000907D0000}"/>
    <cellStyle name="Normal 3 2 3 2 2 4 2" xfId="2897" xr:uid="{00000000-0005-0000-0000-0000917D0000}"/>
    <cellStyle name="Normal 3 2 3 2 2 5" xfId="2898" xr:uid="{00000000-0005-0000-0000-0000927D0000}"/>
    <cellStyle name="Normal 3 2 3 2 3" xfId="2899" xr:uid="{00000000-0005-0000-0000-0000937D0000}"/>
    <cellStyle name="Normal 3 2 3 2 3 2" xfId="2900" xr:uid="{00000000-0005-0000-0000-0000947D0000}"/>
    <cellStyle name="Normal 3 2 3 2 3 2 2" xfId="2901" xr:uid="{00000000-0005-0000-0000-0000957D0000}"/>
    <cellStyle name="Normal 3 2 3 2 3 3" xfId="2902" xr:uid="{00000000-0005-0000-0000-0000967D0000}"/>
    <cellStyle name="Normal 3 2 3 2 4" xfId="2903" xr:uid="{00000000-0005-0000-0000-0000977D0000}"/>
    <cellStyle name="Normal 3 2 3 2 4 2" xfId="2904" xr:uid="{00000000-0005-0000-0000-0000987D0000}"/>
    <cellStyle name="Normal 3 2 3 2 4 2 2" xfId="2905" xr:uid="{00000000-0005-0000-0000-0000997D0000}"/>
    <cellStyle name="Normal 3 2 3 2 4 3" xfId="2906" xr:uid="{00000000-0005-0000-0000-00009A7D0000}"/>
    <cellStyle name="Normal 3 2 3 2 5" xfId="2907" xr:uid="{00000000-0005-0000-0000-00009B7D0000}"/>
    <cellStyle name="Normal 3 2 3 2 5 2" xfId="2908" xr:uid="{00000000-0005-0000-0000-00009C7D0000}"/>
    <cellStyle name="Normal 3 2 3 2 6" xfId="2909" xr:uid="{00000000-0005-0000-0000-00009D7D0000}"/>
    <cellStyle name="Normal 3 2 3 3" xfId="2910" xr:uid="{00000000-0005-0000-0000-00009E7D0000}"/>
    <cellStyle name="Normal 3 2 3 3 2" xfId="2911" xr:uid="{00000000-0005-0000-0000-00009F7D0000}"/>
    <cellStyle name="Normal 3 2 3 3 2 2" xfId="2912" xr:uid="{00000000-0005-0000-0000-0000A07D0000}"/>
    <cellStyle name="Normal 3 2 3 3 2 2 2" xfId="2913" xr:uid="{00000000-0005-0000-0000-0000A17D0000}"/>
    <cellStyle name="Normal 3 2 3 3 2 3" xfId="2914" xr:uid="{00000000-0005-0000-0000-0000A27D0000}"/>
    <cellStyle name="Normal 3 2 3 3 3" xfId="2915" xr:uid="{00000000-0005-0000-0000-0000A37D0000}"/>
    <cellStyle name="Normal 3 2 3 3 3 2" xfId="2916" xr:uid="{00000000-0005-0000-0000-0000A47D0000}"/>
    <cellStyle name="Normal 3 2 3 3 3 2 2" xfId="2917" xr:uid="{00000000-0005-0000-0000-0000A57D0000}"/>
    <cellStyle name="Normal 3 2 3 3 3 3" xfId="2918" xr:uid="{00000000-0005-0000-0000-0000A67D0000}"/>
    <cellStyle name="Normal 3 2 3 3 4" xfId="2919" xr:uid="{00000000-0005-0000-0000-0000A77D0000}"/>
    <cellStyle name="Normal 3 2 3 3 4 2" xfId="2920" xr:uid="{00000000-0005-0000-0000-0000A87D0000}"/>
    <cellStyle name="Normal 3 2 3 3 5" xfId="2921" xr:uid="{00000000-0005-0000-0000-0000A97D0000}"/>
    <cellStyle name="Normal 3 2 3 4" xfId="2922" xr:uid="{00000000-0005-0000-0000-0000AA7D0000}"/>
    <cellStyle name="Normal 3 2 3 4 2" xfId="2923" xr:uid="{00000000-0005-0000-0000-0000AB7D0000}"/>
    <cellStyle name="Normal 3 2 3 4 2 2" xfId="2924" xr:uid="{00000000-0005-0000-0000-0000AC7D0000}"/>
    <cellStyle name="Normal 3 2 3 4 3" xfId="2925" xr:uid="{00000000-0005-0000-0000-0000AD7D0000}"/>
    <cellStyle name="Normal 3 2 3 5" xfId="2926" xr:uid="{00000000-0005-0000-0000-0000AE7D0000}"/>
    <cellStyle name="Normal 3 2 3 5 2" xfId="2927" xr:uid="{00000000-0005-0000-0000-0000AF7D0000}"/>
    <cellStyle name="Normal 3 2 3 5 2 2" xfId="2928" xr:uid="{00000000-0005-0000-0000-0000B07D0000}"/>
    <cellStyle name="Normal 3 2 3 5 3" xfId="2929" xr:uid="{00000000-0005-0000-0000-0000B17D0000}"/>
    <cellStyle name="Normal 3 2 3 6" xfId="2930" xr:uid="{00000000-0005-0000-0000-0000B27D0000}"/>
    <cellStyle name="Normal 3 2 3 6 2" xfId="2931" xr:uid="{00000000-0005-0000-0000-0000B37D0000}"/>
    <cellStyle name="Normal 3 2 3 7" xfId="2932" xr:uid="{00000000-0005-0000-0000-0000B47D0000}"/>
    <cellStyle name="Normal 3 2 3 7 2" xfId="31696" xr:uid="{00000000-0005-0000-0000-0000B57D0000}"/>
    <cellStyle name="Normal 3 2 3 8" xfId="31697" xr:uid="{00000000-0005-0000-0000-0000B67D0000}"/>
    <cellStyle name="Normal 3 2 3 9" xfId="31698" xr:uid="{00000000-0005-0000-0000-0000B77D0000}"/>
    <cellStyle name="Normal 3 2 4" xfId="2933" xr:uid="{00000000-0005-0000-0000-0000B87D0000}"/>
    <cellStyle name="Normal 3 2 4 2" xfId="2934" xr:uid="{00000000-0005-0000-0000-0000B97D0000}"/>
    <cellStyle name="Normal 3 2 4 2 2" xfId="2935" xr:uid="{00000000-0005-0000-0000-0000BA7D0000}"/>
    <cellStyle name="Normal 3 2 4 2 2 2" xfId="2936" xr:uid="{00000000-0005-0000-0000-0000BB7D0000}"/>
    <cellStyle name="Normal 3 2 4 2 2 2 2" xfId="2937" xr:uid="{00000000-0005-0000-0000-0000BC7D0000}"/>
    <cellStyle name="Normal 3 2 4 2 2 3" xfId="2938" xr:uid="{00000000-0005-0000-0000-0000BD7D0000}"/>
    <cellStyle name="Normal 3 2 4 2 3" xfId="2939" xr:uid="{00000000-0005-0000-0000-0000BE7D0000}"/>
    <cellStyle name="Normal 3 2 4 2 3 2" xfId="2940" xr:uid="{00000000-0005-0000-0000-0000BF7D0000}"/>
    <cellStyle name="Normal 3 2 4 2 3 2 2" xfId="2941" xr:uid="{00000000-0005-0000-0000-0000C07D0000}"/>
    <cellStyle name="Normal 3 2 4 2 3 3" xfId="2942" xr:uid="{00000000-0005-0000-0000-0000C17D0000}"/>
    <cellStyle name="Normal 3 2 4 2 4" xfId="2943" xr:uid="{00000000-0005-0000-0000-0000C27D0000}"/>
    <cellStyle name="Normal 3 2 4 2 4 2" xfId="2944" xr:uid="{00000000-0005-0000-0000-0000C37D0000}"/>
    <cellStyle name="Normal 3 2 4 2 5" xfId="2945" xr:uid="{00000000-0005-0000-0000-0000C47D0000}"/>
    <cellStyle name="Normal 3 2 4 3" xfId="2946" xr:uid="{00000000-0005-0000-0000-0000C57D0000}"/>
    <cellStyle name="Normal 3 2 4 3 2" xfId="2947" xr:uid="{00000000-0005-0000-0000-0000C67D0000}"/>
    <cellStyle name="Normal 3 2 4 3 2 2" xfId="2948" xr:uid="{00000000-0005-0000-0000-0000C77D0000}"/>
    <cellStyle name="Normal 3 2 4 3 3" xfId="2949" xr:uid="{00000000-0005-0000-0000-0000C87D0000}"/>
    <cellStyle name="Normal 3 2 4 4" xfId="2950" xr:uid="{00000000-0005-0000-0000-0000C97D0000}"/>
    <cellStyle name="Normal 3 2 4 4 2" xfId="2951" xr:uid="{00000000-0005-0000-0000-0000CA7D0000}"/>
    <cellStyle name="Normal 3 2 4 4 2 2" xfId="2952" xr:uid="{00000000-0005-0000-0000-0000CB7D0000}"/>
    <cellStyle name="Normal 3 2 4 4 3" xfId="2953" xr:uid="{00000000-0005-0000-0000-0000CC7D0000}"/>
    <cellStyle name="Normal 3 2 4 5" xfId="2954" xr:uid="{00000000-0005-0000-0000-0000CD7D0000}"/>
    <cellStyle name="Normal 3 2 4 5 2" xfId="2955" xr:uid="{00000000-0005-0000-0000-0000CE7D0000}"/>
    <cellStyle name="Normal 3 2 4 6" xfId="2956" xr:uid="{00000000-0005-0000-0000-0000CF7D0000}"/>
    <cellStyle name="Normal 3 2 4 7" xfId="31699" xr:uid="{00000000-0005-0000-0000-0000D07D0000}"/>
    <cellStyle name="Normal 3 2 5" xfId="2957" xr:uid="{00000000-0005-0000-0000-0000D17D0000}"/>
    <cellStyle name="Normal 3 2 5 2" xfId="2958" xr:uid="{00000000-0005-0000-0000-0000D27D0000}"/>
    <cellStyle name="Normal 3 2 5 2 2" xfId="2959" xr:uid="{00000000-0005-0000-0000-0000D37D0000}"/>
    <cellStyle name="Normal 3 2 5 2 2 2" xfId="2960" xr:uid="{00000000-0005-0000-0000-0000D47D0000}"/>
    <cellStyle name="Normal 3 2 5 2 3" xfId="2961" xr:uid="{00000000-0005-0000-0000-0000D57D0000}"/>
    <cellStyle name="Normal 3 2 5 3" xfId="2962" xr:uid="{00000000-0005-0000-0000-0000D67D0000}"/>
    <cellStyle name="Normal 3 2 5 3 2" xfId="2963" xr:uid="{00000000-0005-0000-0000-0000D77D0000}"/>
    <cellStyle name="Normal 3 2 5 3 2 2" xfId="2964" xr:uid="{00000000-0005-0000-0000-0000D87D0000}"/>
    <cellStyle name="Normal 3 2 5 3 3" xfId="2965" xr:uid="{00000000-0005-0000-0000-0000D97D0000}"/>
    <cellStyle name="Normal 3 2 5 4" xfId="2966" xr:uid="{00000000-0005-0000-0000-0000DA7D0000}"/>
    <cellStyle name="Normal 3 2 5 4 2" xfId="2967" xr:uid="{00000000-0005-0000-0000-0000DB7D0000}"/>
    <cellStyle name="Normal 3 2 5 5" xfId="2968" xr:uid="{00000000-0005-0000-0000-0000DC7D0000}"/>
    <cellStyle name="Normal 3 2 5 6" xfId="31700" xr:uid="{00000000-0005-0000-0000-0000DD7D0000}"/>
    <cellStyle name="Normal 3 2 6" xfId="2969" xr:uid="{00000000-0005-0000-0000-0000DE7D0000}"/>
    <cellStyle name="Normal 3 2 6 2" xfId="2970" xr:uid="{00000000-0005-0000-0000-0000DF7D0000}"/>
    <cellStyle name="Normal 3 2 6 2 2" xfId="2971" xr:uid="{00000000-0005-0000-0000-0000E07D0000}"/>
    <cellStyle name="Normal 3 2 6 3" xfId="2972" xr:uid="{00000000-0005-0000-0000-0000E17D0000}"/>
    <cellStyle name="Normal 3 2 7" xfId="2973" xr:uid="{00000000-0005-0000-0000-0000E27D0000}"/>
    <cellStyle name="Normal 3 2 7 2" xfId="2974" xr:uid="{00000000-0005-0000-0000-0000E37D0000}"/>
    <cellStyle name="Normal 3 2 7 2 2" xfId="2975" xr:uid="{00000000-0005-0000-0000-0000E47D0000}"/>
    <cellStyle name="Normal 3 2 7 3" xfId="2976" xr:uid="{00000000-0005-0000-0000-0000E57D0000}"/>
    <cellStyle name="Normal 3 2 8" xfId="2977" xr:uid="{00000000-0005-0000-0000-0000E67D0000}"/>
    <cellStyle name="Normal 3 2 8 2" xfId="2978" xr:uid="{00000000-0005-0000-0000-0000E77D0000}"/>
    <cellStyle name="Normal 3 2 9" xfId="2979" xr:uid="{00000000-0005-0000-0000-0000E87D0000}"/>
    <cellStyle name="Normal 3 2 9 2" xfId="31701" xr:uid="{00000000-0005-0000-0000-0000E97D0000}"/>
    <cellStyle name="Normal 3 3" xfId="2980" xr:uid="{00000000-0005-0000-0000-0000EA7D0000}"/>
    <cellStyle name="Normal 3 3 10" xfId="31702" xr:uid="{00000000-0005-0000-0000-0000EB7D0000}"/>
    <cellStyle name="Normal 3 3 11" xfId="31703" xr:uid="{00000000-0005-0000-0000-0000EC7D0000}"/>
    <cellStyle name="Normal 3 3 12" xfId="31704" xr:uid="{00000000-0005-0000-0000-0000ED7D0000}"/>
    <cellStyle name="Normal 3 3 2" xfId="2981" xr:uid="{00000000-0005-0000-0000-0000EE7D0000}"/>
    <cellStyle name="Normal 3 3 2 10" xfId="31705" xr:uid="{00000000-0005-0000-0000-0000EF7D0000}"/>
    <cellStyle name="Normal 3 3 2 2" xfId="2982" xr:uid="{00000000-0005-0000-0000-0000F07D0000}"/>
    <cellStyle name="Normal 3 3 2 2 2" xfId="2983" xr:uid="{00000000-0005-0000-0000-0000F17D0000}"/>
    <cellStyle name="Normal 3 3 2 2 2 2" xfId="2984" xr:uid="{00000000-0005-0000-0000-0000F27D0000}"/>
    <cellStyle name="Normal 3 3 2 2 2 2 2" xfId="2985" xr:uid="{00000000-0005-0000-0000-0000F37D0000}"/>
    <cellStyle name="Normal 3 3 2 2 2 2 2 2" xfId="2986" xr:uid="{00000000-0005-0000-0000-0000F47D0000}"/>
    <cellStyle name="Normal 3 3 2 2 2 2 3" xfId="2987" xr:uid="{00000000-0005-0000-0000-0000F57D0000}"/>
    <cellStyle name="Normal 3 3 2 2 2 3" xfId="2988" xr:uid="{00000000-0005-0000-0000-0000F67D0000}"/>
    <cellStyle name="Normal 3 3 2 2 2 3 2" xfId="2989" xr:uid="{00000000-0005-0000-0000-0000F77D0000}"/>
    <cellStyle name="Normal 3 3 2 2 2 3 2 2" xfId="2990" xr:uid="{00000000-0005-0000-0000-0000F87D0000}"/>
    <cellStyle name="Normal 3 3 2 2 2 3 3" xfId="2991" xr:uid="{00000000-0005-0000-0000-0000F97D0000}"/>
    <cellStyle name="Normal 3 3 2 2 2 4" xfId="2992" xr:uid="{00000000-0005-0000-0000-0000FA7D0000}"/>
    <cellStyle name="Normal 3 3 2 2 2 4 2" xfId="2993" xr:uid="{00000000-0005-0000-0000-0000FB7D0000}"/>
    <cellStyle name="Normal 3 3 2 2 2 5" xfId="2994" xr:uid="{00000000-0005-0000-0000-0000FC7D0000}"/>
    <cellStyle name="Normal 3 3 2 2 3" xfId="2995" xr:uid="{00000000-0005-0000-0000-0000FD7D0000}"/>
    <cellStyle name="Normal 3 3 2 2 3 2" xfId="2996" xr:uid="{00000000-0005-0000-0000-0000FE7D0000}"/>
    <cellStyle name="Normal 3 3 2 2 3 2 2" xfId="2997" xr:uid="{00000000-0005-0000-0000-0000FF7D0000}"/>
    <cellStyle name="Normal 3 3 2 2 3 3" xfId="2998" xr:uid="{00000000-0005-0000-0000-0000007E0000}"/>
    <cellStyle name="Normal 3 3 2 2 4" xfId="2999" xr:uid="{00000000-0005-0000-0000-0000017E0000}"/>
    <cellStyle name="Normal 3 3 2 2 4 2" xfId="3000" xr:uid="{00000000-0005-0000-0000-0000027E0000}"/>
    <cellStyle name="Normal 3 3 2 2 4 2 2" xfId="3001" xr:uid="{00000000-0005-0000-0000-0000037E0000}"/>
    <cellStyle name="Normal 3 3 2 2 4 3" xfId="3002" xr:uid="{00000000-0005-0000-0000-0000047E0000}"/>
    <cellStyle name="Normal 3 3 2 2 5" xfId="3003" xr:uid="{00000000-0005-0000-0000-0000057E0000}"/>
    <cellStyle name="Normal 3 3 2 2 5 2" xfId="3004" xr:uid="{00000000-0005-0000-0000-0000067E0000}"/>
    <cellStyle name="Normal 3 3 2 2 6" xfId="3005" xr:uid="{00000000-0005-0000-0000-0000077E0000}"/>
    <cellStyle name="Normal 3 3 2 3" xfId="3006" xr:uid="{00000000-0005-0000-0000-0000087E0000}"/>
    <cellStyle name="Normal 3 3 2 3 2" xfId="3007" xr:uid="{00000000-0005-0000-0000-0000097E0000}"/>
    <cellStyle name="Normal 3 3 2 3 2 2" xfId="3008" xr:uid="{00000000-0005-0000-0000-00000A7E0000}"/>
    <cellStyle name="Normal 3 3 2 3 2 2 2" xfId="3009" xr:uid="{00000000-0005-0000-0000-00000B7E0000}"/>
    <cellStyle name="Normal 3 3 2 3 2 3" xfId="3010" xr:uid="{00000000-0005-0000-0000-00000C7E0000}"/>
    <cellStyle name="Normal 3 3 2 3 3" xfId="3011" xr:uid="{00000000-0005-0000-0000-00000D7E0000}"/>
    <cellStyle name="Normal 3 3 2 3 3 2" xfId="3012" xr:uid="{00000000-0005-0000-0000-00000E7E0000}"/>
    <cellStyle name="Normal 3 3 2 3 3 2 2" xfId="3013" xr:uid="{00000000-0005-0000-0000-00000F7E0000}"/>
    <cellStyle name="Normal 3 3 2 3 3 3" xfId="3014" xr:uid="{00000000-0005-0000-0000-0000107E0000}"/>
    <cellStyle name="Normal 3 3 2 3 4" xfId="3015" xr:uid="{00000000-0005-0000-0000-0000117E0000}"/>
    <cellStyle name="Normal 3 3 2 3 4 2" xfId="3016" xr:uid="{00000000-0005-0000-0000-0000127E0000}"/>
    <cellStyle name="Normal 3 3 2 3 5" xfId="3017" xr:uid="{00000000-0005-0000-0000-0000137E0000}"/>
    <cellStyle name="Normal 3 3 2 4" xfId="3018" xr:uid="{00000000-0005-0000-0000-0000147E0000}"/>
    <cellStyle name="Normal 3 3 2 4 2" xfId="3019" xr:uid="{00000000-0005-0000-0000-0000157E0000}"/>
    <cellStyle name="Normal 3 3 2 4 2 2" xfId="3020" xr:uid="{00000000-0005-0000-0000-0000167E0000}"/>
    <cellStyle name="Normal 3 3 2 4 3" xfId="3021" xr:uid="{00000000-0005-0000-0000-0000177E0000}"/>
    <cellStyle name="Normal 3 3 2 5" xfId="3022" xr:uid="{00000000-0005-0000-0000-0000187E0000}"/>
    <cellStyle name="Normal 3 3 2 5 2" xfId="3023" xr:uid="{00000000-0005-0000-0000-0000197E0000}"/>
    <cellStyle name="Normal 3 3 2 5 2 2" xfId="3024" xr:uid="{00000000-0005-0000-0000-00001A7E0000}"/>
    <cellStyle name="Normal 3 3 2 5 3" xfId="3025" xr:uid="{00000000-0005-0000-0000-00001B7E0000}"/>
    <cellStyle name="Normal 3 3 2 6" xfId="3026" xr:uid="{00000000-0005-0000-0000-00001C7E0000}"/>
    <cellStyle name="Normal 3 3 2 6 2" xfId="3027" xr:uid="{00000000-0005-0000-0000-00001D7E0000}"/>
    <cellStyle name="Normal 3 3 2 7" xfId="3028" xr:uid="{00000000-0005-0000-0000-00001E7E0000}"/>
    <cellStyle name="Normal 3 3 2 7 2" xfId="31706" xr:uid="{00000000-0005-0000-0000-00001F7E0000}"/>
    <cellStyle name="Normal 3 3 2 8" xfId="31707" xr:uid="{00000000-0005-0000-0000-0000207E0000}"/>
    <cellStyle name="Normal 3 3 2 9" xfId="31708" xr:uid="{00000000-0005-0000-0000-0000217E0000}"/>
    <cellStyle name="Normal 3 3 3" xfId="3029" xr:uid="{00000000-0005-0000-0000-0000227E0000}"/>
    <cellStyle name="Normal 3 3 3 2" xfId="3030" xr:uid="{00000000-0005-0000-0000-0000237E0000}"/>
    <cellStyle name="Normal 3 3 3 2 2" xfId="3031" xr:uid="{00000000-0005-0000-0000-0000247E0000}"/>
    <cellStyle name="Normal 3 3 3 2 2 2" xfId="3032" xr:uid="{00000000-0005-0000-0000-0000257E0000}"/>
    <cellStyle name="Normal 3 3 3 2 2 2 2" xfId="3033" xr:uid="{00000000-0005-0000-0000-0000267E0000}"/>
    <cellStyle name="Normal 3 3 3 2 2 3" xfId="3034" xr:uid="{00000000-0005-0000-0000-0000277E0000}"/>
    <cellStyle name="Normal 3 3 3 2 3" xfId="3035" xr:uid="{00000000-0005-0000-0000-0000287E0000}"/>
    <cellStyle name="Normal 3 3 3 2 3 2" xfId="3036" xr:uid="{00000000-0005-0000-0000-0000297E0000}"/>
    <cellStyle name="Normal 3 3 3 2 3 2 2" xfId="3037" xr:uid="{00000000-0005-0000-0000-00002A7E0000}"/>
    <cellStyle name="Normal 3 3 3 2 3 3" xfId="3038" xr:uid="{00000000-0005-0000-0000-00002B7E0000}"/>
    <cellStyle name="Normal 3 3 3 2 4" xfId="3039" xr:uid="{00000000-0005-0000-0000-00002C7E0000}"/>
    <cellStyle name="Normal 3 3 3 2 4 2" xfId="3040" xr:uid="{00000000-0005-0000-0000-00002D7E0000}"/>
    <cellStyle name="Normal 3 3 3 2 5" xfId="3041" xr:uid="{00000000-0005-0000-0000-00002E7E0000}"/>
    <cellStyle name="Normal 3 3 3 3" xfId="3042" xr:uid="{00000000-0005-0000-0000-00002F7E0000}"/>
    <cellStyle name="Normal 3 3 3 3 2" xfId="3043" xr:uid="{00000000-0005-0000-0000-0000307E0000}"/>
    <cellStyle name="Normal 3 3 3 3 2 2" xfId="3044" xr:uid="{00000000-0005-0000-0000-0000317E0000}"/>
    <cellStyle name="Normal 3 3 3 3 3" xfId="3045" xr:uid="{00000000-0005-0000-0000-0000327E0000}"/>
    <cellStyle name="Normal 3 3 3 4" xfId="3046" xr:uid="{00000000-0005-0000-0000-0000337E0000}"/>
    <cellStyle name="Normal 3 3 3 4 2" xfId="3047" xr:uid="{00000000-0005-0000-0000-0000347E0000}"/>
    <cellStyle name="Normal 3 3 3 4 2 2" xfId="3048" xr:uid="{00000000-0005-0000-0000-0000357E0000}"/>
    <cellStyle name="Normal 3 3 3 4 3" xfId="3049" xr:uid="{00000000-0005-0000-0000-0000367E0000}"/>
    <cellStyle name="Normal 3 3 3 5" xfId="3050" xr:uid="{00000000-0005-0000-0000-0000377E0000}"/>
    <cellStyle name="Normal 3 3 3 5 2" xfId="3051" xr:uid="{00000000-0005-0000-0000-0000387E0000}"/>
    <cellStyle name="Normal 3 3 3 6" xfId="3052" xr:uid="{00000000-0005-0000-0000-0000397E0000}"/>
    <cellStyle name="Normal 3 3 3 7" xfId="31709" xr:uid="{00000000-0005-0000-0000-00003A7E0000}"/>
    <cellStyle name="Normal 3 3 4" xfId="3053" xr:uid="{00000000-0005-0000-0000-00003B7E0000}"/>
    <cellStyle name="Normal 3 3 4 2" xfId="3054" xr:uid="{00000000-0005-0000-0000-00003C7E0000}"/>
    <cellStyle name="Normal 3 3 4 2 2" xfId="3055" xr:uid="{00000000-0005-0000-0000-00003D7E0000}"/>
    <cellStyle name="Normal 3 3 4 2 2 2" xfId="3056" xr:uid="{00000000-0005-0000-0000-00003E7E0000}"/>
    <cellStyle name="Normal 3 3 4 2 3" xfId="3057" xr:uid="{00000000-0005-0000-0000-00003F7E0000}"/>
    <cellStyle name="Normal 3 3 4 3" xfId="3058" xr:uid="{00000000-0005-0000-0000-0000407E0000}"/>
    <cellStyle name="Normal 3 3 4 3 2" xfId="3059" xr:uid="{00000000-0005-0000-0000-0000417E0000}"/>
    <cellStyle name="Normal 3 3 4 3 2 2" xfId="3060" xr:uid="{00000000-0005-0000-0000-0000427E0000}"/>
    <cellStyle name="Normal 3 3 4 3 3" xfId="3061" xr:uid="{00000000-0005-0000-0000-0000437E0000}"/>
    <cellStyle name="Normal 3 3 4 4" xfId="3062" xr:uid="{00000000-0005-0000-0000-0000447E0000}"/>
    <cellStyle name="Normal 3 3 4 4 2" xfId="3063" xr:uid="{00000000-0005-0000-0000-0000457E0000}"/>
    <cellStyle name="Normal 3 3 4 5" xfId="3064" xr:uid="{00000000-0005-0000-0000-0000467E0000}"/>
    <cellStyle name="Normal 3 3 4 6" xfId="31710" xr:uid="{00000000-0005-0000-0000-0000477E0000}"/>
    <cellStyle name="Normal 3 3 5" xfId="3065" xr:uid="{00000000-0005-0000-0000-0000487E0000}"/>
    <cellStyle name="Normal 3 3 5 2" xfId="3066" xr:uid="{00000000-0005-0000-0000-0000497E0000}"/>
    <cellStyle name="Normal 3 3 5 2 2" xfId="3067" xr:uid="{00000000-0005-0000-0000-00004A7E0000}"/>
    <cellStyle name="Normal 3 3 5 3" xfId="3068" xr:uid="{00000000-0005-0000-0000-00004B7E0000}"/>
    <cellStyle name="Normal 3 3 5 4" xfId="31711" xr:uid="{00000000-0005-0000-0000-00004C7E0000}"/>
    <cellStyle name="Normal 3 3 6" xfId="3069" xr:uid="{00000000-0005-0000-0000-00004D7E0000}"/>
    <cellStyle name="Normal 3 3 6 2" xfId="3070" xr:uid="{00000000-0005-0000-0000-00004E7E0000}"/>
    <cellStyle name="Normal 3 3 6 2 2" xfId="3071" xr:uid="{00000000-0005-0000-0000-00004F7E0000}"/>
    <cellStyle name="Normal 3 3 6 3" xfId="3072" xr:uid="{00000000-0005-0000-0000-0000507E0000}"/>
    <cellStyle name="Normal 3 3 7" xfId="3073" xr:uid="{00000000-0005-0000-0000-0000517E0000}"/>
    <cellStyle name="Normal 3 3 7 2" xfId="3074" xr:uid="{00000000-0005-0000-0000-0000527E0000}"/>
    <cellStyle name="Normal 3 3 8" xfId="3075" xr:uid="{00000000-0005-0000-0000-0000537E0000}"/>
    <cellStyle name="Normal 3 3 8 2" xfId="31712" xr:uid="{00000000-0005-0000-0000-0000547E0000}"/>
    <cellStyle name="Normal 3 3 9" xfId="31713" xr:uid="{00000000-0005-0000-0000-0000557E0000}"/>
    <cellStyle name="Normal 3 4" xfId="3076" xr:uid="{00000000-0005-0000-0000-0000567E0000}"/>
    <cellStyle name="Normal 3 4 10" xfId="31714" xr:uid="{00000000-0005-0000-0000-0000577E0000}"/>
    <cellStyle name="Normal 3 4 11" xfId="31715" xr:uid="{00000000-0005-0000-0000-0000587E0000}"/>
    <cellStyle name="Normal 3 4 2" xfId="3077" xr:uid="{00000000-0005-0000-0000-0000597E0000}"/>
    <cellStyle name="Normal 3 4 2 2" xfId="3078" xr:uid="{00000000-0005-0000-0000-00005A7E0000}"/>
    <cellStyle name="Normal 3 4 2 2 2" xfId="3079" xr:uid="{00000000-0005-0000-0000-00005B7E0000}"/>
    <cellStyle name="Normal 3 4 2 2 2 2" xfId="3080" xr:uid="{00000000-0005-0000-0000-00005C7E0000}"/>
    <cellStyle name="Normal 3 4 2 2 2 2 2" xfId="3081" xr:uid="{00000000-0005-0000-0000-00005D7E0000}"/>
    <cellStyle name="Normal 3 4 2 2 2 3" xfId="3082" xr:uid="{00000000-0005-0000-0000-00005E7E0000}"/>
    <cellStyle name="Normal 3 4 2 2 3" xfId="3083" xr:uid="{00000000-0005-0000-0000-00005F7E0000}"/>
    <cellStyle name="Normal 3 4 2 2 3 2" xfId="3084" xr:uid="{00000000-0005-0000-0000-0000607E0000}"/>
    <cellStyle name="Normal 3 4 2 2 3 2 2" xfId="3085" xr:uid="{00000000-0005-0000-0000-0000617E0000}"/>
    <cellStyle name="Normal 3 4 2 2 3 3" xfId="3086" xr:uid="{00000000-0005-0000-0000-0000627E0000}"/>
    <cellStyle name="Normal 3 4 2 2 4" xfId="3087" xr:uid="{00000000-0005-0000-0000-0000637E0000}"/>
    <cellStyle name="Normal 3 4 2 2 4 2" xfId="3088" xr:uid="{00000000-0005-0000-0000-0000647E0000}"/>
    <cellStyle name="Normal 3 4 2 2 5" xfId="3089" xr:uid="{00000000-0005-0000-0000-0000657E0000}"/>
    <cellStyle name="Normal 3 4 2 3" xfId="3090" xr:uid="{00000000-0005-0000-0000-0000667E0000}"/>
    <cellStyle name="Normal 3 4 2 3 2" xfId="3091" xr:uid="{00000000-0005-0000-0000-0000677E0000}"/>
    <cellStyle name="Normal 3 4 2 3 2 2" xfId="3092" xr:uid="{00000000-0005-0000-0000-0000687E0000}"/>
    <cellStyle name="Normal 3 4 2 3 3" xfId="3093" xr:uid="{00000000-0005-0000-0000-0000697E0000}"/>
    <cellStyle name="Normal 3 4 2 4" xfId="3094" xr:uid="{00000000-0005-0000-0000-00006A7E0000}"/>
    <cellStyle name="Normal 3 4 2 4 2" xfId="3095" xr:uid="{00000000-0005-0000-0000-00006B7E0000}"/>
    <cellStyle name="Normal 3 4 2 4 2 2" xfId="3096" xr:uid="{00000000-0005-0000-0000-00006C7E0000}"/>
    <cellStyle name="Normal 3 4 2 4 3" xfId="3097" xr:uid="{00000000-0005-0000-0000-00006D7E0000}"/>
    <cellStyle name="Normal 3 4 2 5" xfId="3098" xr:uid="{00000000-0005-0000-0000-00006E7E0000}"/>
    <cellStyle name="Normal 3 4 2 5 2" xfId="3099" xr:uid="{00000000-0005-0000-0000-00006F7E0000}"/>
    <cellStyle name="Normal 3 4 2 6" xfId="3100" xr:uid="{00000000-0005-0000-0000-0000707E0000}"/>
    <cellStyle name="Normal 3 4 2 7" xfId="31716" xr:uid="{00000000-0005-0000-0000-0000717E0000}"/>
    <cellStyle name="Normal 3 4 2 8" xfId="31717" xr:uid="{00000000-0005-0000-0000-0000727E0000}"/>
    <cellStyle name="Normal 3 4 3" xfId="3101" xr:uid="{00000000-0005-0000-0000-0000737E0000}"/>
    <cellStyle name="Normal 3 4 3 2" xfId="3102" xr:uid="{00000000-0005-0000-0000-0000747E0000}"/>
    <cellStyle name="Normal 3 4 3 2 2" xfId="3103" xr:uid="{00000000-0005-0000-0000-0000757E0000}"/>
    <cellStyle name="Normal 3 4 3 2 2 2" xfId="3104" xr:uid="{00000000-0005-0000-0000-0000767E0000}"/>
    <cellStyle name="Normal 3 4 3 2 2 2 2" xfId="3105" xr:uid="{00000000-0005-0000-0000-0000777E0000}"/>
    <cellStyle name="Normal 3 4 3 2 2 3" xfId="3106" xr:uid="{00000000-0005-0000-0000-0000787E0000}"/>
    <cellStyle name="Normal 3 4 3 2 3" xfId="3107" xr:uid="{00000000-0005-0000-0000-0000797E0000}"/>
    <cellStyle name="Normal 3 4 3 2 3 2" xfId="3108" xr:uid="{00000000-0005-0000-0000-00007A7E0000}"/>
    <cellStyle name="Normal 3 4 3 2 3 2 2" xfId="3109" xr:uid="{00000000-0005-0000-0000-00007B7E0000}"/>
    <cellStyle name="Normal 3 4 3 2 3 3" xfId="3110" xr:uid="{00000000-0005-0000-0000-00007C7E0000}"/>
    <cellStyle name="Normal 3 4 3 2 4" xfId="3111" xr:uid="{00000000-0005-0000-0000-00007D7E0000}"/>
    <cellStyle name="Normal 3 4 3 2 4 2" xfId="3112" xr:uid="{00000000-0005-0000-0000-00007E7E0000}"/>
    <cellStyle name="Normal 3 4 3 2 5" xfId="3113" xr:uid="{00000000-0005-0000-0000-00007F7E0000}"/>
    <cellStyle name="Normal 3 4 3 3" xfId="3114" xr:uid="{00000000-0005-0000-0000-0000807E0000}"/>
    <cellStyle name="Normal 3 4 3 3 2" xfId="3115" xr:uid="{00000000-0005-0000-0000-0000817E0000}"/>
    <cellStyle name="Normal 3 4 3 3 2 2" xfId="3116" xr:uid="{00000000-0005-0000-0000-0000827E0000}"/>
    <cellStyle name="Normal 3 4 3 3 3" xfId="3117" xr:uid="{00000000-0005-0000-0000-0000837E0000}"/>
    <cellStyle name="Normal 3 4 3 4" xfId="3118" xr:uid="{00000000-0005-0000-0000-0000847E0000}"/>
    <cellStyle name="Normal 3 4 3 4 2" xfId="3119" xr:uid="{00000000-0005-0000-0000-0000857E0000}"/>
    <cellStyle name="Normal 3 4 3 4 2 2" xfId="3120" xr:uid="{00000000-0005-0000-0000-0000867E0000}"/>
    <cellStyle name="Normal 3 4 3 4 3" xfId="3121" xr:uid="{00000000-0005-0000-0000-0000877E0000}"/>
    <cellStyle name="Normal 3 4 3 5" xfId="3122" xr:uid="{00000000-0005-0000-0000-0000887E0000}"/>
    <cellStyle name="Normal 3 4 3 5 2" xfId="3123" xr:uid="{00000000-0005-0000-0000-0000897E0000}"/>
    <cellStyle name="Normal 3 4 3 6" xfId="3124" xr:uid="{00000000-0005-0000-0000-00008A7E0000}"/>
    <cellStyle name="Normal 3 4 3 7" xfId="31718" xr:uid="{00000000-0005-0000-0000-00008B7E0000}"/>
    <cellStyle name="Normal 3 4 4" xfId="3125" xr:uid="{00000000-0005-0000-0000-00008C7E0000}"/>
    <cellStyle name="Normal 3 4 4 2" xfId="3126" xr:uid="{00000000-0005-0000-0000-00008D7E0000}"/>
    <cellStyle name="Normal 3 4 4 2 2" xfId="3127" xr:uid="{00000000-0005-0000-0000-00008E7E0000}"/>
    <cellStyle name="Normal 3 4 4 2 2 2" xfId="3128" xr:uid="{00000000-0005-0000-0000-00008F7E0000}"/>
    <cellStyle name="Normal 3 4 4 2 3" xfId="3129" xr:uid="{00000000-0005-0000-0000-0000907E0000}"/>
    <cellStyle name="Normal 3 4 4 3" xfId="3130" xr:uid="{00000000-0005-0000-0000-0000917E0000}"/>
    <cellStyle name="Normal 3 4 4 3 2" xfId="3131" xr:uid="{00000000-0005-0000-0000-0000927E0000}"/>
    <cellStyle name="Normal 3 4 4 3 2 2" xfId="3132" xr:uid="{00000000-0005-0000-0000-0000937E0000}"/>
    <cellStyle name="Normal 3 4 4 3 3" xfId="3133" xr:uid="{00000000-0005-0000-0000-0000947E0000}"/>
    <cellStyle name="Normal 3 4 4 4" xfId="3134" xr:uid="{00000000-0005-0000-0000-0000957E0000}"/>
    <cellStyle name="Normal 3 4 4 4 2" xfId="3135" xr:uid="{00000000-0005-0000-0000-0000967E0000}"/>
    <cellStyle name="Normal 3 4 4 5" xfId="3136" xr:uid="{00000000-0005-0000-0000-0000977E0000}"/>
    <cellStyle name="Normal 3 4 4 6" xfId="31719" xr:uid="{00000000-0005-0000-0000-0000987E0000}"/>
    <cellStyle name="Normal 3 4 5" xfId="3137" xr:uid="{00000000-0005-0000-0000-0000997E0000}"/>
    <cellStyle name="Normal 3 4 5 2" xfId="3138" xr:uid="{00000000-0005-0000-0000-00009A7E0000}"/>
    <cellStyle name="Normal 3 4 5 2 2" xfId="3139" xr:uid="{00000000-0005-0000-0000-00009B7E0000}"/>
    <cellStyle name="Normal 3 4 5 3" xfId="3140" xr:uid="{00000000-0005-0000-0000-00009C7E0000}"/>
    <cellStyle name="Normal 3 4 5 4" xfId="31720" xr:uid="{00000000-0005-0000-0000-00009D7E0000}"/>
    <cellStyle name="Normal 3 4 6" xfId="3141" xr:uid="{00000000-0005-0000-0000-00009E7E0000}"/>
    <cellStyle name="Normal 3 4 6 2" xfId="3142" xr:uid="{00000000-0005-0000-0000-00009F7E0000}"/>
    <cellStyle name="Normal 3 4 6 2 2" xfId="3143" xr:uid="{00000000-0005-0000-0000-0000A07E0000}"/>
    <cellStyle name="Normal 3 4 6 3" xfId="3144" xr:uid="{00000000-0005-0000-0000-0000A17E0000}"/>
    <cellStyle name="Normal 3 4 7" xfId="3145" xr:uid="{00000000-0005-0000-0000-0000A27E0000}"/>
    <cellStyle name="Normal 3 4 7 2" xfId="3146" xr:uid="{00000000-0005-0000-0000-0000A37E0000}"/>
    <cellStyle name="Normal 3 4 8" xfId="3147" xr:uid="{00000000-0005-0000-0000-0000A47E0000}"/>
    <cellStyle name="Normal 3 4 8 2" xfId="31721" xr:uid="{00000000-0005-0000-0000-0000A57E0000}"/>
    <cellStyle name="Normal 3 4 9" xfId="31722" xr:uid="{00000000-0005-0000-0000-0000A67E0000}"/>
    <cellStyle name="Normal 3 5" xfId="3148" xr:uid="{00000000-0005-0000-0000-0000A77E0000}"/>
    <cellStyle name="Normal 3 5 2" xfId="3149" xr:uid="{00000000-0005-0000-0000-0000A87E0000}"/>
    <cellStyle name="Normal 3 5 2 2" xfId="3150" xr:uid="{00000000-0005-0000-0000-0000A97E0000}"/>
    <cellStyle name="Normal 3 5 2 2 2" xfId="3151" xr:uid="{00000000-0005-0000-0000-0000AA7E0000}"/>
    <cellStyle name="Normal 3 5 2 2 2 2" xfId="3152" xr:uid="{00000000-0005-0000-0000-0000AB7E0000}"/>
    <cellStyle name="Normal 3 5 2 2 3" xfId="3153" xr:uid="{00000000-0005-0000-0000-0000AC7E0000}"/>
    <cellStyle name="Normal 3 5 2 3" xfId="3154" xr:uid="{00000000-0005-0000-0000-0000AD7E0000}"/>
    <cellStyle name="Normal 3 5 2 3 2" xfId="3155" xr:uid="{00000000-0005-0000-0000-0000AE7E0000}"/>
    <cellStyle name="Normal 3 5 2 3 2 2" xfId="3156" xr:uid="{00000000-0005-0000-0000-0000AF7E0000}"/>
    <cellStyle name="Normal 3 5 2 3 3" xfId="3157" xr:uid="{00000000-0005-0000-0000-0000B07E0000}"/>
    <cellStyle name="Normal 3 5 2 4" xfId="3158" xr:uid="{00000000-0005-0000-0000-0000B17E0000}"/>
    <cellStyle name="Normal 3 5 2 4 2" xfId="3159" xr:uid="{00000000-0005-0000-0000-0000B27E0000}"/>
    <cellStyle name="Normal 3 5 2 5" xfId="3160" xr:uid="{00000000-0005-0000-0000-0000B37E0000}"/>
    <cellStyle name="Normal 3 5 2 6" xfId="31723" xr:uid="{00000000-0005-0000-0000-0000B47E0000}"/>
    <cellStyle name="Normal 3 5 2 7" xfId="31724" xr:uid="{00000000-0005-0000-0000-0000B57E0000}"/>
    <cellStyle name="Normal 3 5 3" xfId="3161" xr:uid="{00000000-0005-0000-0000-0000B67E0000}"/>
    <cellStyle name="Normal 3 5 3 2" xfId="3162" xr:uid="{00000000-0005-0000-0000-0000B77E0000}"/>
    <cellStyle name="Normal 3 5 3 2 2" xfId="3163" xr:uid="{00000000-0005-0000-0000-0000B87E0000}"/>
    <cellStyle name="Normal 3 5 3 3" xfId="3164" xr:uid="{00000000-0005-0000-0000-0000B97E0000}"/>
    <cellStyle name="Normal 3 5 3 4" xfId="31725" xr:uid="{00000000-0005-0000-0000-0000BA7E0000}"/>
    <cellStyle name="Normal 3 5 4" xfId="3165" xr:uid="{00000000-0005-0000-0000-0000BB7E0000}"/>
    <cellStyle name="Normal 3 5 4 2" xfId="3166" xr:uid="{00000000-0005-0000-0000-0000BC7E0000}"/>
    <cellStyle name="Normal 3 5 4 2 2" xfId="3167" xr:uid="{00000000-0005-0000-0000-0000BD7E0000}"/>
    <cellStyle name="Normal 3 5 4 3" xfId="3168" xr:uid="{00000000-0005-0000-0000-0000BE7E0000}"/>
    <cellStyle name="Normal 3 5 4 4" xfId="31726" xr:uid="{00000000-0005-0000-0000-0000BF7E0000}"/>
    <cellStyle name="Normal 3 5 5" xfId="3169" xr:uid="{00000000-0005-0000-0000-0000C07E0000}"/>
    <cellStyle name="Normal 3 5 5 2" xfId="3170" xr:uid="{00000000-0005-0000-0000-0000C17E0000}"/>
    <cellStyle name="Normal 3 5 5 3" xfId="31727" xr:uid="{00000000-0005-0000-0000-0000C27E0000}"/>
    <cellStyle name="Normal 3 5 6" xfId="3171" xr:uid="{00000000-0005-0000-0000-0000C37E0000}"/>
    <cellStyle name="Normal 3 5 6 2" xfId="31728" xr:uid="{00000000-0005-0000-0000-0000C47E0000}"/>
    <cellStyle name="Normal 3 5 7" xfId="31729" xr:uid="{00000000-0005-0000-0000-0000C57E0000}"/>
    <cellStyle name="Normal 3 5 8" xfId="31730" xr:uid="{00000000-0005-0000-0000-0000C67E0000}"/>
    <cellStyle name="Normal 3 5 9" xfId="31731" xr:uid="{00000000-0005-0000-0000-0000C77E0000}"/>
    <cellStyle name="Normal 3 6" xfId="3172" xr:uid="{00000000-0005-0000-0000-0000C87E0000}"/>
    <cellStyle name="Normal 3 6 2" xfId="3173" xr:uid="{00000000-0005-0000-0000-0000C97E0000}"/>
    <cellStyle name="Normal 3 6 2 2" xfId="3174" xr:uid="{00000000-0005-0000-0000-0000CA7E0000}"/>
    <cellStyle name="Normal 3 6 2 2 2" xfId="3175" xr:uid="{00000000-0005-0000-0000-0000CB7E0000}"/>
    <cellStyle name="Normal 3 6 2 3" xfId="3176" xr:uid="{00000000-0005-0000-0000-0000CC7E0000}"/>
    <cellStyle name="Normal 3 6 2 4" xfId="31732" xr:uid="{00000000-0005-0000-0000-0000CD7E0000}"/>
    <cellStyle name="Normal 3 6 2 5" xfId="31733" xr:uid="{00000000-0005-0000-0000-0000CE7E0000}"/>
    <cellStyle name="Normal 3 6 3" xfId="3177" xr:uid="{00000000-0005-0000-0000-0000CF7E0000}"/>
    <cellStyle name="Normal 3 6 3 2" xfId="3178" xr:uid="{00000000-0005-0000-0000-0000D07E0000}"/>
    <cellStyle name="Normal 3 6 3 2 2" xfId="3179" xr:uid="{00000000-0005-0000-0000-0000D17E0000}"/>
    <cellStyle name="Normal 3 6 3 3" xfId="3180" xr:uid="{00000000-0005-0000-0000-0000D27E0000}"/>
    <cellStyle name="Normal 3 6 3 4" xfId="31734" xr:uid="{00000000-0005-0000-0000-0000D37E0000}"/>
    <cellStyle name="Normal 3 6 4" xfId="3181" xr:uid="{00000000-0005-0000-0000-0000D47E0000}"/>
    <cellStyle name="Normal 3 6 4 2" xfId="3182" xr:uid="{00000000-0005-0000-0000-0000D57E0000}"/>
    <cellStyle name="Normal 3 6 4 3" xfId="31735" xr:uid="{00000000-0005-0000-0000-0000D67E0000}"/>
    <cellStyle name="Normal 3 6 5" xfId="3183" xr:uid="{00000000-0005-0000-0000-0000D77E0000}"/>
    <cellStyle name="Normal 3 6 5 2" xfId="31736" xr:uid="{00000000-0005-0000-0000-0000D87E0000}"/>
    <cellStyle name="Normal 3 6 5 3" xfId="31737" xr:uid="{00000000-0005-0000-0000-0000D97E0000}"/>
    <cellStyle name="Normal 3 6 6" xfId="31738" xr:uid="{00000000-0005-0000-0000-0000DA7E0000}"/>
    <cellStyle name="Normal 3 6 7" xfId="31739" xr:uid="{00000000-0005-0000-0000-0000DB7E0000}"/>
    <cellStyle name="Normal 3 6 8" xfId="31740" xr:uid="{00000000-0005-0000-0000-0000DC7E0000}"/>
    <cellStyle name="Normal 3 7" xfId="3184" xr:uid="{00000000-0005-0000-0000-0000DD7E0000}"/>
    <cellStyle name="Normal 3 7 2" xfId="3185" xr:uid="{00000000-0005-0000-0000-0000DE7E0000}"/>
    <cellStyle name="Normal 3 7 2 2" xfId="3186" xr:uid="{00000000-0005-0000-0000-0000DF7E0000}"/>
    <cellStyle name="Normal 3 7 2 3" xfId="3187" xr:uid="{00000000-0005-0000-0000-0000E07E0000}"/>
    <cellStyle name="Normal 3 7 2 4" xfId="31741" xr:uid="{00000000-0005-0000-0000-0000E17E0000}"/>
    <cellStyle name="Normal 3 7 3" xfId="3188" xr:uid="{00000000-0005-0000-0000-0000E27E0000}"/>
    <cellStyle name="Normal 3 7 3 2" xfId="31742" xr:uid="{00000000-0005-0000-0000-0000E37E0000}"/>
    <cellStyle name="Normal 3 7 3 3" xfId="31743" xr:uid="{00000000-0005-0000-0000-0000E47E0000}"/>
    <cellStyle name="Normal 3 7 4" xfId="3189" xr:uid="{00000000-0005-0000-0000-0000E57E0000}"/>
    <cellStyle name="Normal 3 7 4 2" xfId="31744" xr:uid="{00000000-0005-0000-0000-0000E67E0000}"/>
    <cellStyle name="Normal 3 7 5" xfId="31745" xr:uid="{00000000-0005-0000-0000-0000E77E0000}"/>
    <cellStyle name="Normal 3 7 5 2" xfId="31746" xr:uid="{00000000-0005-0000-0000-0000E87E0000}"/>
    <cellStyle name="Normal 3 7 6" xfId="31747" xr:uid="{00000000-0005-0000-0000-0000E97E0000}"/>
    <cellStyle name="Normal 3 7 7" xfId="31748" xr:uid="{00000000-0005-0000-0000-0000EA7E0000}"/>
    <cellStyle name="Normal 3 7 8" xfId="31749" xr:uid="{00000000-0005-0000-0000-0000EB7E0000}"/>
    <cellStyle name="Normal 3 8" xfId="3190" xr:uid="{00000000-0005-0000-0000-0000EC7E0000}"/>
    <cellStyle name="Normal 3 8 2" xfId="3191" xr:uid="{00000000-0005-0000-0000-0000ED7E0000}"/>
    <cellStyle name="Normal 3 8 2 2" xfId="3192" xr:uid="{00000000-0005-0000-0000-0000EE7E0000}"/>
    <cellStyle name="Normal 3 8 3" xfId="3193" xr:uid="{00000000-0005-0000-0000-0000EF7E0000}"/>
    <cellStyle name="Normal 3 8 4" xfId="31750" xr:uid="{00000000-0005-0000-0000-0000F07E0000}"/>
    <cellStyle name="Normal 3 8 5" xfId="31751" xr:uid="{00000000-0005-0000-0000-0000F17E0000}"/>
    <cellStyle name="Normal 3 9" xfId="3194" xr:uid="{00000000-0005-0000-0000-0000F27E0000}"/>
    <cellStyle name="Normal 3 9 2" xfId="3195" xr:uid="{00000000-0005-0000-0000-0000F37E0000}"/>
    <cellStyle name="Normal 3 9 2 2" xfId="3196" xr:uid="{00000000-0005-0000-0000-0000F47E0000}"/>
    <cellStyle name="Normal 3 9 3" xfId="3197" xr:uid="{00000000-0005-0000-0000-0000F57E0000}"/>
    <cellStyle name="Normal 3 9 4" xfId="31752" xr:uid="{00000000-0005-0000-0000-0000F67E0000}"/>
    <cellStyle name="Normal 30" xfId="9" xr:uid="{00000000-0005-0000-0000-0000F77E0000}"/>
    <cellStyle name="Normal 30 10" xfId="31753" xr:uid="{00000000-0005-0000-0000-0000F87E0000}"/>
    <cellStyle name="Normal 30 11" xfId="31754" xr:uid="{00000000-0005-0000-0000-0000F97E0000}"/>
    <cellStyle name="Normal 30 12" xfId="31755" xr:uid="{00000000-0005-0000-0000-0000FA7E0000}"/>
    <cellStyle name="Normal 30 13" xfId="31756" xr:uid="{00000000-0005-0000-0000-0000FB7E0000}"/>
    <cellStyle name="Normal 30 14" xfId="31757" xr:uid="{00000000-0005-0000-0000-0000FC7E0000}"/>
    <cellStyle name="Normal 30 2" xfId="3198" xr:uid="{00000000-0005-0000-0000-0000FD7E0000}"/>
    <cellStyle name="Normal 30 2 10" xfId="31758" xr:uid="{00000000-0005-0000-0000-0000FE7E0000}"/>
    <cellStyle name="Normal 30 2 2" xfId="3809" xr:uid="{00000000-0005-0000-0000-0000FF7E0000}"/>
    <cellStyle name="Normal 30 2 2 2" xfId="31759" xr:uid="{00000000-0005-0000-0000-0000007F0000}"/>
    <cellStyle name="Normal 30 2 2 2 2" xfId="31760" xr:uid="{00000000-0005-0000-0000-0000017F0000}"/>
    <cellStyle name="Normal 30 2 2 2 2 2" xfId="31761" xr:uid="{00000000-0005-0000-0000-0000027F0000}"/>
    <cellStyle name="Normal 30 2 2 2 2 3" xfId="31762" xr:uid="{00000000-0005-0000-0000-0000037F0000}"/>
    <cellStyle name="Normal 30 2 2 2 3" xfId="31763" xr:uid="{00000000-0005-0000-0000-0000047F0000}"/>
    <cellStyle name="Normal 30 2 2 2 3 2" xfId="31764" xr:uid="{00000000-0005-0000-0000-0000057F0000}"/>
    <cellStyle name="Normal 30 2 2 2 3 3" xfId="31765" xr:uid="{00000000-0005-0000-0000-0000067F0000}"/>
    <cellStyle name="Normal 30 2 2 2 4" xfId="31766" xr:uid="{00000000-0005-0000-0000-0000077F0000}"/>
    <cellStyle name="Normal 30 2 2 2 5" xfId="31767" xr:uid="{00000000-0005-0000-0000-0000087F0000}"/>
    <cellStyle name="Normal 30 2 2 2 6" xfId="31768" xr:uid="{00000000-0005-0000-0000-0000097F0000}"/>
    <cellStyle name="Normal 30 2 2 3" xfId="31769" xr:uid="{00000000-0005-0000-0000-00000A7F0000}"/>
    <cellStyle name="Normal 30 2 2 3 2" xfId="31770" xr:uid="{00000000-0005-0000-0000-00000B7F0000}"/>
    <cellStyle name="Normal 30 2 2 3 3" xfId="31771" xr:uid="{00000000-0005-0000-0000-00000C7F0000}"/>
    <cellStyle name="Normal 30 2 2 4" xfId="31772" xr:uid="{00000000-0005-0000-0000-00000D7F0000}"/>
    <cellStyle name="Normal 30 2 2 4 2" xfId="31773" xr:uid="{00000000-0005-0000-0000-00000E7F0000}"/>
    <cellStyle name="Normal 30 2 2 4 3" xfId="31774" xr:uid="{00000000-0005-0000-0000-00000F7F0000}"/>
    <cellStyle name="Normal 30 2 2 5" xfId="31775" xr:uid="{00000000-0005-0000-0000-0000107F0000}"/>
    <cellStyle name="Normal 30 2 2 6" xfId="31776" xr:uid="{00000000-0005-0000-0000-0000117F0000}"/>
    <cellStyle name="Normal 30 2 2 7" xfId="31777" xr:uid="{00000000-0005-0000-0000-0000127F0000}"/>
    <cellStyle name="Normal 30 2 2 8" xfId="31778" xr:uid="{00000000-0005-0000-0000-0000137F0000}"/>
    <cellStyle name="Normal 30 2 2 9" xfId="31779" xr:uid="{00000000-0005-0000-0000-0000147F0000}"/>
    <cellStyle name="Normal 30 2 3" xfId="31780" xr:uid="{00000000-0005-0000-0000-0000157F0000}"/>
    <cellStyle name="Normal 30 2 3 2" xfId="31781" xr:uid="{00000000-0005-0000-0000-0000167F0000}"/>
    <cellStyle name="Normal 30 2 3 2 2" xfId="31782" xr:uid="{00000000-0005-0000-0000-0000177F0000}"/>
    <cellStyle name="Normal 30 2 3 2 3" xfId="31783" xr:uid="{00000000-0005-0000-0000-0000187F0000}"/>
    <cellStyle name="Normal 30 2 3 3" xfId="31784" xr:uid="{00000000-0005-0000-0000-0000197F0000}"/>
    <cellStyle name="Normal 30 2 3 3 2" xfId="31785" xr:uid="{00000000-0005-0000-0000-00001A7F0000}"/>
    <cellStyle name="Normal 30 2 3 3 3" xfId="31786" xr:uid="{00000000-0005-0000-0000-00001B7F0000}"/>
    <cellStyle name="Normal 30 2 3 4" xfId="31787" xr:uid="{00000000-0005-0000-0000-00001C7F0000}"/>
    <cellStyle name="Normal 30 2 3 5" xfId="31788" xr:uid="{00000000-0005-0000-0000-00001D7F0000}"/>
    <cellStyle name="Normal 30 2 3 6" xfId="31789" xr:uid="{00000000-0005-0000-0000-00001E7F0000}"/>
    <cellStyle name="Normal 30 2 4" xfId="31790" xr:uid="{00000000-0005-0000-0000-00001F7F0000}"/>
    <cellStyle name="Normal 30 2 4 2" xfId="31791" xr:uid="{00000000-0005-0000-0000-0000207F0000}"/>
    <cellStyle name="Normal 30 2 4 3" xfId="31792" xr:uid="{00000000-0005-0000-0000-0000217F0000}"/>
    <cellStyle name="Normal 30 2 5" xfId="31793" xr:uid="{00000000-0005-0000-0000-0000227F0000}"/>
    <cellStyle name="Normal 30 2 5 2" xfId="31794" xr:uid="{00000000-0005-0000-0000-0000237F0000}"/>
    <cellStyle name="Normal 30 2 5 3" xfId="31795" xr:uid="{00000000-0005-0000-0000-0000247F0000}"/>
    <cellStyle name="Normal 30 2 6" xfId="31796" xr:uid="{00000000-0005-0000-0000-0000257F0000}"/>
    <cellStyle name="Normal 30 2 7" xfId="31797" xr:uid="{00000000-0005-0000-0000-0000267F0000}"/>
    <cellStyle name="Normal 30 2 8" xfId="31798" xr:uid="{00000000-0005-0000-0000-0000277F0000}"/>
    <cellStyle name="Normal 30 2 9" xfId="31799" xr:uid="{00000000-0005-0000-0000-0000287F0000}"/>
    <cellStyle name="Normal 30 3" xfId="31800" xr:uid="{00000000-0005-0000-0000-0000297F0000}"/>
    <cellStyle name="Normal 30 3 10" xfId="31801" xr:uid="{00000000-0005-0000-0000-00002A7F0000}"/>
    <cellStyle name="Normal 30 3 11" xfId="31802" xr:uid="{00000000-0005-0000-0000-00002B7F0000}"/>
    <cellStyle name="Normal 30 3 2" xfId="31803" xr:uid="{00000000-0005-0000-0000-00002C7F0000}"/>
    <cellStyle name="Normal 30 3 2 2" xfId="31804" xr:uid="{00000000-0005-0000-0000-00002D7F0000}"/>
    <cellStyle name="Normal 30 3 2 2 2" xfId="31805" xr:uid="{00000000-0005-0000-0000-00002E7F0000}"/>
    <cellStyle name="Normal 30 3 2 2 2 2" xfId="31806" xr:uid="{00000000-0005-0000-0000-00002F7F0000}"/>
    <cellStyle name="Normal 30 3 2 2 2 3" xfId="31807" xr:uid="{00000000-0005-0000-0000-0000307F0000}"/>
    <cellStyle name="Normal 30 3 2 2 2 4" xfId="31808" xr:uid="{00000000-0005-0000-0000-0000317F0000}"/>
    <cellStyle name="Normal 30 3 2 2 3" xfId="31809" xr:uid="{00000000-0005-0000-0000-0000327F0000}"/>
    <cellStyle name="Normal 30 3 2 2 3 2" xfId="31810" xr:uid="{00000000-0005-0000-0000-0000337F0000}"/>
    <cellStyle name="Normal 30 3 2 2 4" xfId="31811" xr:uid="{00000000-0005-0000-0000-0000347F0000}"/>
    <cellStyle name="Normal 30 3 2 2 5" xfId="31812" xr:uid="{00000000-0005-0000-0000-0000357F0000}"/>
    <cellStyle name="Normal 30 3 2 3" xfId="31813" xr:uid="{00000000-0005-0000-0000-0000367F0000}"/>
    <cellStyle name="Normal 30 3 2 3 2" xfId="31814" xr:uid="{00000000-0005-0000-0000-0000377F0000}"/>
    <cellStyle name="Normal 30 3 2 3 2 2" xfId="31815" xr:uid="{00000000-0005-0000-0000-0000387F0000}"/>
    <cellStyle name="Normal 30 3 2 3 3" xfId="31816" xr:uid="{00000000-0005-0000-0000-0000397F0000}"/>
    <cellStyle name="Normal 30 3 2 3 3 2" xfId="31817" xr:uid="{00000000-0005-0000-0000-00003A7F0000}"/>
    <cellStyle name="Normal 30 3 2 3 4" xfId="31818" xr:uid="{00000000-0005-0000-0000-00003B7F0000}"/>
    <cellStyle name="Normal 30 3 2 4" xfId="31819" xr:uid="{00000000-0005-0000-0000-00003C7F0000}"/>
    <cellStyle name="Normal 30 3 2 4 2" xfId="31820" xr:uid="{00000000-0005-0000-0000-00003D7F0000}"/>
    <cellStyle name="Normal 30 3 2 5" xfId="31821" xr:uid="{00000000-0005-0000-0000-00003E7F0000}"/>
    <cellStyle name="Normal 30 3 2 5 2" xfId="31822" xr:uid="{00000000-0005-0000-0000-00003F7F0000}"/>
    <cellStyle name="Normal 30 3 2 6" xfId="31823" xr:uid="{00000000-0005-0000-0000-0000407F0000}"/>
    <cellStyle name="Normal 30 3 2 7" xfId="31824" xr:uid="{00000000-0005-0000-0000-0000417F0000}"/>
    <cellStyle name="Normal 30 3 2_Order Book" xfId="31825" xr:uid="{00000000-0005-0000-0000-0000427F0000}"/>
    <cellStyle name="Normal 30 3 3" xfId="31826" xr:uid="{00000000-0005-0000-0000-0000437F0000}"/>
    <cellStyle name="Normal 30 3 3 2" xfId="31827" xr:uid="{00000000-0005-0000-0000-0000447F0000}"/>
    <cellStyle name="Normal 30 3 3 2 2" xfId="31828" xr:uid="{00000000-0005-0000-0000-0000457F0000}"/>
    <cellStyle name="Normal 30 3 3 2 3" xfId="31829" xr:uid="{00000000-0005-0000-0000-0000467F0000}"/>
    <cellStyle name="Normal 30 3 3 2 4" xfId="31830" xr:uid="{00000000-0005-0000-0000-0000477F0000}"/>
    <cellStyle name="Normal 30 3 3 3" xfId="31831" xr:uid="{00000000-0005-0000-0000-0000487F0000}"/>
    <cellStyle name="Normal 30 3 3 3 2" xfId="31832" xr:uid="{00000000-0005-0000-0000-0000497F0000}"/>
    <cellStyle name="Normal 30 3 3 4" xfId="31833" xr:uid="{00000000-0005-0000-0000-00004A7F0000}"/>
    <cellStyle name="Normal 30 3 3 5" xfId="31834" xr:uid="{00000000-0005-0000-0000-00004B7F0000}"/>
    <cellStyle name="Normal 30 3 4" xfId="31835" xr:uid="{00000000-0005-0000-0000-00004C7F0000}"/>
    <cellStyle name="Normal 30 3 4 2" xfId="31836" xr:uid="{00000000-0005-0000-0000-00004D7F0000}"/>
    <cellStyle name="Normal 30 3 4 2 2" xfId="31837" xr:uid="{00000000-0005-0000-0000-00004E7F0000}"/>
    <cellStyle name="Normal 30 3 4 3" xfId="31838" xr:uid="{00000000-0005-0000-0000-00004F7F0000}"/>
    <cellStyle name="Normal 30 3 4 3 2" xfId="31839" xr:uid="{00000000-0005-0000-0000-0000507F0000}"/>
    <cellStyle name="Normal 30 3 4 4" xfId="31840" xr:uid="{00000000-0005-0000-0000-0000517F0000}"/>
    <cellStyle name="Normal 30 3 5" xfId="31841" xr:uid="{00000000-0005-0000-0000-0000527F0000}"/>
    <cellStyle name="Normal 30 3 5 2" xfId="31842" xr:uid="{00000000-0005-0000-0000-0000537F0000}"/>
    <cellStyle name="Normal 30 3 6" xfId="31843" xr:uid="{00000000-0005-0000-0000-0000547F0000}"/>
    <cellStyle name="Normal 30 3 6 2" xfId="31844" xr:uid="{00000000-0005-0000-0000-0000557F0000}"/>
    <cellStyle name="Normal 30 3 7" xfId="31845" xr:uid="{00000000-0005-0000-0000-0000567F0000}"/>
    <cellStyle name="Normal 30 3 8" xfId="31846" xr:uid="{00000000-0005-0000-0000-0000577F0000}"/>
    <cellStyle name="Normal 30 3 9" xfId="31847" xr:uid="{00000000-0005-0000-0000-0000587F0000}"/>
    <cellStyle name="Normal 30 3_Order Book" xfId="31848" xr:uid="{00000000-0005-0000-0000-0000597F0000}"/>
    <cellStyle name="Normal 30 4" xfId="31849" xr:uid="{00000000-0005-0000-0000-00005A7F0000}"/>
    <cellStyle name="Normal 30 4 2" xfId="31850" xr:uid="{00000000-0005-0000-0000-00005B7F0000}"/>
    <cellStyle name="Normal 30 4 2 2" xfId="31851" xr:uid="{00000000-0005-0000-0000-00005C7F0000}"/>
    <cellStyle name="Normal 30 4 2 3" xfId="31852" xr:uid="{00000000-0005-0000-0000-00005D7F0000}"/>
    <cellStyle name="Normal 30 4 3" xfId="31853" xr:uid="{00000000-0005-0000-0000-00005E7F0000}"/>
    <cellStyle name="Normal 30 4 3 2" xfId="31854" xr:uid="{00000000-0005-0000-0000-00005F7F0000}"/>
    <cellStyle name="Normal 30 4 3 3" xfId="31855" xr:uid="{00000000-0005-0000-0000-0000607F0000}"/>
    <cellStyle name="Normal 30 4 4" xfId="31856" xr:uid="{00000000-0005-0000-0000-0000617F0000}"/>
    <cellStyle name="Normal 30 4 5" xfId="31857" xr:uid="{00000000-0005-0000-0000-0000627F0000}"/>
    <cellStyle name="Normal 30 4 6" xfId="31858" xr:uid="{00000000-0005-0000-0000-0000637F0000}"/>
    <cellStyle name="Normal 30 4 7" xfId="31859" xr:uid="{00000000-0005-0000-0000-0000647F0000}"/>
    <cellStyle name="Normal 30 5" xfId="31860" xr:uid="{00000000-0005-0000-0000-0000657F0000}"/>
    <cellStyle name="Normal 30 5 2" xfId="31861" xr:uid="{00000000-0005-0000-0000-0000667F0000}"/>
    <cellStyle name="Normal 30 5 3" xfId="31862" xr:uid="{00000000-0005-0000-0000-0000677F0000}"/>
    <cellStyle name="Normal 30 6" xfId="31863" xr:uid="{00000000-0005-0000-0000-0000687F0000}"/>
    <cellStyle name="Normal 30 6 2" xfId="31864" xr:uid="{00000000-0005-0000-0000-0000697F0000}"/>
    <cellStyle name="Normal 30 6 3" xfId="31865" xr:uid="{00000000-0005-0000-0000-00006A7F0000}"/>
    <cellStyle name="Normal 30 7" xfId="31866" xr:uid="{00000000-0005-0000-0000-00006B7F0000}"/>
    <cellStyle name="Normal 30 8" xfId="31867" xr:uid="{00000000-0005-0000-0000-00006C7F0000}"/>
    <cellStyle name="Normal 30 9" xfId="31868" xr:uid="{00000000-0005-0000-0000-00006D7F0000}"/>
    <cellStyle name="Normal 300" xfId="3199" xr:uid="{00000000-0005-0000-0000-00006E7F0000}"/>
    <cellStyle name="Normal 300 10" xfId="31869" xr:uid="{00000000-0005-0000-0000-00006F7F0000}"/>
    <cellStyle name="Normal 300 11" xfId="31870" xr:uid="{00000000-0005-0000-0000-0000707F0000}"/>
    <cellStyle name="Normal 300 2" xfId="31871" xr:uid="{00000000-0005-0000-0000-0000717F0000}"/>
    <cellStyle name="Normal 300 2 2" xfId="31872" xr:uid="{00000000-0005-0000-0000-0000727F0000}"/>
    <cellStyle name="Normal 300 2 2 2" xfId="31873" xr:uid="{00000000-0005-0000-0000-0000737F0000}"/>
    <cellStyle name="Normal 300 2 2 2 2" xfId="31874" xr:uid="{00000000-0005-0000-0000-0000747F0000}"/>
    <cellStyle name="Normal 300 2 2 2 2 2" xfId="31875" xr:uid="{00000000-0005-0000-0000-0000757F0000}"/>
    <cellStyle name="Normal 300 2 2 2 2 3" xfId="31876" xr:uid="{00000000-0005-0000-0000-0000767F0000}"/>
    <cellStyle name="Normal 300 2 2 2 3" xfId="31877" xr:uid="{00000000-0005-0000-0000-0000777F0000}"/>
    <cellStyle name="Normal 300 2 2 2 3 2" xfId="31878" xr:uid="{00000000-0005-0000-0000-0000787F0000}"/>
    <cellStyle name="Normal 300 2 2 2 3 3" xfId="31879" xr:uid="{00000000-0005-0000-0000-0000797F0000}"/>
    <cellStyle name="Normal 300 2 2 2 4" xfId="31880" xr:uid="{00000000-0005-0000-0000-00007A7F0000}"/>
    <cellStyle name="Normal 300 2 2 2 5" xfId="31881" xr:uid="{00000000-0005-0000-0000-00007B7F0000}"/>
    <cellStyle name="Normal 300 2 2 2 6" xfId="31882" xr:uid="{00000000-0005-0000-0000-00007C7F0000}"/>
    <cellStyle name="Normal 300 2 2 3" xfId="31883" xr:uid="{00000000-0005-0000-0000-00007D7F0000}"/>
    <cellStyle name="Normal 300 2 2 3 2" xfId="31884" xr:uid="{00000000-0005-0000-0000-00007E7F0000}"/>
    <cellStyle name="Normal 300 2 2 3 3" xfId="31885" xr:uid="{00000000-0005-0000-0000-00007F7F0000}"/>
    <cellStyle name="Normal 300 2 2 4" xfId="31886" xr:uid="{00000000-0005-0000-0000-0000807F0000}"/>
    <cellStyle name="Normal 300 2 2 4 2" xfId="31887" xr:uid="{00000000-0005-0000-0000-0000817F0000}"/>
    <cellStyle name="Normal 300 2 2 4 3" xfId="31888" xr:uid="{00000000-0005-0000-0000-0000827F0000}"/>
    <cellStyle name="Normal 300 2 2 5" xfId="31889" xr:uid="{00000000-0005-0000-0000-0000837F0000}"/>
    <cellStyle name="Normal 300 2 2 6" xfId="31890" xr:uid="{00000000-0005-0000-0000-0000847F0000}"/>
    <cellStyle name="Normal 300 2 2 7" xfId="31891" xr:uid="{00000000-0005-0000-0000-0000857F0000}"/>
    <cellStyle name="Normal 300 2 2 8" xfId="31892" xr:uid="{00000000-0005-0000-0000-0000867F0000}"/>
    <cellStyle name="Normal 300 2 3" xfId="31893" xr:uid="{00000000-0005-0000-0000-0000877F0000}"/>
    <cellStyle name="Normal 300 2 3 2" xfId="31894" xr:uid="{00000000-0005-0000-0000-0000887F0000}"/>
    <cellStyle name="Normal 300 2 3 2 2" xfId="31895" xr:uid="{00000000-0005-0000-0000-0000897F0000}"/>
    <cellStyle name="Normal 300 2 3 2 3" xfId="31896" xr:uid="{00000000-0005-0000-0000-00008A7F0000}"/>
    <cellStyle name="Normal 300 2 3 3" xfId="31897" xr:uid="{00000000-0005-0000-0000-00008B7F0000}"/>
    <cellStyle name="Normal 300 2 3 3 2" xfId="31898" xr:uid="{00000000-0005-0000-0000-00008C7F0000}"/>
    <cellStyle name="Normal 300 2 3 3 3" xfId="31899" xr:uid="{00000000-0005-0000-0000-00008D7F0000}"/>
    <cellStyle name="Normal 300 2 3 4" xfId="31900" xr:uid="{00000000-0005-0000-0000-00008E7F0000}"/>
    <cellStyle name="Normal 300 2 3 5" xfId="31901" xr:uid="{00000000-0005-0000-0000-00008F7F0000}"/>
    <cellStyle name="Normal 300 2 3 6" xfId="31902" xr:uid="{00000000-0005-0000-0000-0000907F0000}"/>
    <cellStyle name="Normal 300 2 4" xfId="31903" xr:uid="{00000000-0005-0000-0000-0000917F0000}"/>
    <cellStyle name="Normal 300 2 4 2" xfId="31904" xr:uid="{00000000-0005-0000-0000-0000927F0000}"/>
    <cellStyle name="Normal 300 2 4 3" xfId="31905" xr:uid="{00000000-0005-0000-0000-0000937F0000}"/>
    <cellStyle name="Normal 300 2 5" xfId="31906" xr:uid="{00000000-0005-0000-0000-0000947F0000}"/>
    <cellStyle name="Normal 300 2 5 2" xfId="31907" xr:uid="{00000000-0005-0000-0000-0000957F0000}"/>
    <cellStyle name="Normal 300 2 5 3" xfId="31908" xr:uid="{00000000-0005-0000-0000-0000967F0000}"/>
    <cellStyle name="Normal 300 2 6" xfId="31909" xr:uid="{00000000-0005-0000-0000-0000977F0000}"/>
    <cellStyle name="Normal 300 2 7" xfId="31910" xr:uid="{00000000-0005-0000-0000-0000987F0000}"/>
    <cellStyle name="Normal 300 2 8" xfId="31911" xr:uid="{00000000-0005-0000-0000-0000997F0000}"/>
    <cellStyle name="Normal 300 2 9" xfId="31912" xr:uid="{00000000-0005-0000-0000-00009A7F0000}"/>
    <cellStyle name="Normal 300 3" xfId="31913" xr:uid="{00000000-0005-0000-0000-00009B7F0000}"/>
    <cellStyle name="Normal 300 3 2" xfId="31914" xr:uid="{00000000-0005-0000-0000-00009C7F0000}"/>
    <cellStyle name="Normal 300 3 2 2" xfId="31915" xr:uid="{00000000-0005-0000-0000-00009D7F0000}"/>
    <cellStyle name="Normal 300 3 2 2 2" xfId="31916" xr:uid="{00000000-0005-0000-0000-00009E7F0000}"/>
    <cellStyle name="Normal 300 3 2 2 3" xfId="31917" xr:uid="{00000000-0005-0000-0000-00009F7F0000}"/>
    <cellStyle name="Normal 300 3 2 3" xfId="31918" xr:uid="{00000000-0005-0000-0000-0000A07F0000}"/>
    <cellStyle name="Normal 300 3 2 3 2" xfId="31919" xr:uid="{00000000-0005-0000-0000-0000A17F0000}"/>
    <cellStyle name="Normal 300 3 2 3 3" xfId="31920" xr:uid="{00000000-0005-0000-0000-0000A27F0000}"/>
    <cellStyle name="Normal 300 3 2 4" xfId="31921" xr:uid="{00000000-0005-0000-0000-0000A37F0000}"/>
    <cellStyle name="Normal 300 3 2 5" xfId="31922" xr:uid="{00000000-0005-0000-0000-0000A47F0000}"/>
    <cellStyle name="Normal 300 3 2 6" xfId="31923" xr:uid="{00000000-0005-0000-0000-0000A57F0000}"/>
    <cellStyle name="Normal 300 3 3" xfId="31924" xr:uid="{00000000-0005-0000-0000-0000A67F0000}"/>
    <cellStyle name="Normal 300 3 3 2" xfId="31925" xr:uid="{00000000-0005-0000-0000-0000A77F0000}"/>
    <cellStyle name="Normal 300 3 3 3" xfId="31926" xr:uid="{00000000-0005-0000-0000-0000A87F0000}"/>
    <cellStyle name="Normal 300 3 4" xfId="31927" xr:uid="{00000000-0005-0000-0000-0000A97F0000}"/>
    <cellStyle name="Normal 300 3 4 2" xfId="31928" xr:uid="{00000000-0005-0000-0000-0000AA7F0000}"/>
    <cellStyle name="Normal 300 3 4 3" xfId="31929" xr:uid="{00000000-0005-0000-0000-0000AB7F0000}"/>
    <cellStyle name="Normal 300 3 5" xfId="31930" xr:uid="{00000000-0005-0000-0000-0000AC7F0000}"/>
    <cellStyle name="Normal 300 3 6" xfId="31931" xr:uid="{00000000-0005-0000-0000-0000AD7F0000}"/>
    <cellStyle name="Normal 300 3 7" xfId="31932" xr:uid="{00000000-0005-0000-0000-0000AE7F0000}"/>
    <cellStyle name="Normal 300 3 8" xfId="31933" xr:uid="{00000000-0005-0000-0000-0000AF7F0000}"/>
    <cellStyle name="Normal 300 4" xfId="31934" xr:uid="{00000000-0005-0000-0000-0000B07F0000}"/>
    <cellStyle name="Normal 300 4 2" xfId="31935" xr:uid="{00000000-0005-0000-0000-0000B17F0000}"/>
    <cellStyle name="Normal 300 4 2 2" xfId="31936" xr:uid="{00000000-0005-0000-0000-0000B27F0000}"/>
    <cellStyle name="Normal 300 4 2 3" xfId="31937" xr:uid="{00000000-0005-0000-0000-0000B37F0000}"/>
    <cellStyle name="Normal 300 4 3" xfId="31938" xr:uid="{00000000-0005-0000-0000-0000B47F0000}"/>
    <cellStyle name="Normal 300 4 3 2" xfId="31939" xr:uid="{00000000-0005-0000-0000-0000B57F0000}"/>
    <cellStyle name="Normal 300 4 3 3" xfId="31940" xr:uid="{00000000-0005-0000-0000-0000B67F0000}"/>
    <cellStyle name="Normal 300 4 4" xfId="31941" xr:uid="{00000000-0005-0000-0000-0000B77F0000}"/>
    <cellStyle name="Normal 300 4 5" xfId="31942" xr:uid="{00000000-0005-0000-0000-0000B87F0000}"/>
    <cellStyle name="Normal 300 4 6" xfId="31943" xr:uid="{00000000-0005-0000-0000-0000B97F0000}"/>
    <cellStyle name="Normal 300 5" xfId="31944" xr:uid="{00000000-0005-0000-0000-0000BA7F0000}"/>
    <cellStyle name="Normal 300 5 2" xfId="31945" xr:uid="{00000000-0005-0000-0000-0000BB7F0000}"/>
    <cellStyle name="Normal 300 5 3" xfId="31946" xr:uid="{00000000-0005-0000-0000-0000BC7F0000}"/>
    <cellStyle name="Normal 300 6" xfId="31947" xr:uid="{00000000-0005-0000-0000-0000BD7F0000}"/>
    <cellStyle name="Normal 300 6 2" xfId="31948" xr:uid="{00000000-0005-0000-0000-0000BE7F0000}"/>
    <cellStyle name="Normal 300 6 3" xfId="31949" xr:uid="{00000000-0005-0000-0000-0000BF7F0000}"/>
    <cellStyle name="Normal 300 7" xfId="31950" xr:uid="{00000000-0005-0000-0000-0000C07F0000}"/>
    <cellStyle name="Normal 300 8" xfId="31951" xr:uid="{00000000-0005-0000-0000-0000C17F0000}"/>
    <cellStyle name="Normal 300 9" xfId="31952" xr:uid="{00000000-0005-0000-0000-0000C27F0000}"/>
    <cellStyle name="Normal 301" xfId="3200" xr:uid="{00000000-0005-0000-0000-0000C37F0000}"/>
    <cellStyle name="Normal 301 10" xfId="31953" xr:uid="{00000000-0005-0000-0000-0000C47F0000}"/>
    <cellStyle name="Normal 301 11" xfId="31954" xr:uid="{00000000-0005-0000-0000-0000C57F0000}"/>
    <cellStyle name="Normal 301 2" xfId="31955" xr:uid="{00000000-0005-0000-0000-0000C67F0000}"/>
    <cellStyle name="Normal 301 2 2" xfId="31956" xr:uid="{00000000-0005-0000-0000-0000C77F0000}"/>
    <cellStyle name="Normal 301 2 2 2" xfId="31957" xr:uid="{00000000-0005-0000-0000-0000C87F0000}"/>
    <cellStyle name="Normal 301 2 2 2 2" xfId="31958" xr:uid="{00000000-0005-0000-0000-0000C97F0000}"/>
    <cellStyle name="Normal 301 2 2 2 2 2" xfId="31959" xr:uid="{00000000-0005-0000-0000-0000CA7F0000}"/>
    <cellStyle name="Normal 301 2 2 2 2 3" xfId="31960" xr:uid="{00000000-0005-0000-0000-0000CB7F0000}"/>
    <cellStyle name="Normal 301 2 2 2 3" xfId="31961" xr:uid="{00000000-0005-0000-0000-0000CC7F0000}"/>
    <cellStyle name="Normal 301 2 2 2 3 2" xfId="31962" xr:uid="{00000000-0005-0000-0000-0000CD7F0000}"/>
    <cellStyle name="Normal 301 2 2 2 3 3" xfId="31963" xr:uid="{00000000-0005-0000-0000-0000CE7F0000}"/>
    <cellStyle name="Normal 301 2 2 2 4" xfId="31964" xr:uid="{00000000-0005-0000-0000-0000CF7F0000}"/>
    <cellStyle name="Normal 301 2 2 2 5" xfId="31965" xr:uid="{00000000-0005-0000-0000-0000D07F0000}"/>
    <cellStyle name="Normal 301 2 2 2 6" xfId="31966" xr:uid="{00000000-0005-0000-0000-0000D17F0000}"/>
    <cellStyle name="Normal 301 2 2 3" xfId="31967" xr:uid="{00000000-0005-0000-0000-0000D27F0000}"/>
    <cellStyle name="Normal 301 2 2 3 2" xfId="31968" xr:uid="{00000000-0005-0000-0000-0000D37F0000}"/>
    <cellStyle name="Normal 301 2 2 3 3" xfId="31969" xr:uid="{00000000-0005-0000-0000-0000D47F0000}"/>
    <cellStyle name="Normal 301 2 2 4" xfId="31970" xr:uid="{00000000-0005-0000-0000-0000D57F0000}"/>
    <cellStyle name="Normal 301 2 2 4 2" xfId="31971" xr:uid="{00000000-0005-0000-0000-0000D67F0000}"/>
    <cellStyle name="Normal 301 2 2 4 3" xfId="31972" xr:uid="{00000000-0005-0000-0000-0000D77F0000}"/>
    <cellStyle name="Normal 301 2 2 5" xfId="31973" xr:uid="{00000000-0005-0000-0000-0000D87F0000}"/>
    <cellStyle name="Normal 301 2 2 6" xfId="31974" xr:uid="{00000000-0005-0000-0000-0000D97F0000}"/>
    <cellStyle name="Normal 301 2 2 7" xfId="31975" xr:uid="{00000000-0005-0000-0000-0000DA7F0000}"/>
    <cellStyle name="Normal 301 2 2 8" xfId="31976" xr:uid="{00000000-0005-0000-0000-0000DB7F0000}"/>
    <cellStyle name="Normal 301 2 3" xfId="31977" xr:uid="{00000000-0005-0000-0000-0000DC7F0000}"/>
    <cellStyle name="Normal 301 2 3 2" xfId="31978" xr:uid="{00000000-0005-0000-0000-0000DD7F0000}"/>
    <cellStyle name="Normal 301 2 3 2 2" xfId="31979" xr:uid="{00000000-0005-0000-0000-0000DE7F0000}"/>
    <cellStyle name="Normal 301 2 3 2 3" xfId="31980" xr:uid="{00000000-0005-0000-0000-0000DF7F0000}"/>
    <cellStyle name="Normal 301 2 3 3" xfId="31981" xr:uid="{00000000-0005-0000-0000-0000E07F0000}"/>
    <cellStyle name="Normal 301 2 3 3 2" xfId="31982" xr:uid="{00000000-0005-0000-0000-0000E17F0000}"/>
    <cellStyle name="Normal 301 2 3 3 3" xfId="31983" xr:uid="{00000000-0005-0000-0000-0000E27F0000}"/>
    <cellStyle name="Normal 301 2 3 4" xfId="31984" xr:uid="{00000000-0005-0000-0000-0000E37F0000}"/>
    <cellStyle name="Normal 301 2 3 5" xfId="31985" xr:uid="{00000000-0005-0000-0000-0000E47F0000}"/>
    <cellStyle name="Normal 301 2 3 6" xfId="31986" xr:uid="{00000000-0005-0000-0000-0000E57F0000}"/>
    <cellStyle name="Normal 301 2 4" xfId="31987" xr:uid="{00000000-0005-0000-0000-0000E67F0000}"/>
    <cellStyle name="Normal 301 2 4 2" xfId="31988" xr:uid="{00000000-0005-0000-0000-0000E77F0000}"/>
    <cellStyle name="Normal 301 2 4 3" xfId="31989" xr:uid="{00000000-0005-0000-0000-0000E87F0000}"/>
    <cellStyle name="Normal 301 2 5" xfId="31990" xr:uid="{00000000-0005-0000-0000-0000E97F0000}"/>
    <cellStyle name="Normal 301 2 5 2" xfId="31991" xr:uid="{00000000-0005-0000-0000-0000EA7F0000}"/>
    <cellStyle name="Normal 301 2 5 3" xfId="31992" xr:uid="{00000000-0005-0000-0000-0000EB7F0000}"/>
    <cellStyle name="Normal 301 2 6" xfId="31993" xr:uid="{00000000-0005-0000-0000-0000EC7F0000}"/>
    <cellStyle name="Normal 301 2 7" xfId="31994" xr:uid="{00000000-0005-0000-0000-0000ED7F0000}"/>
    <cellStyle name="Normal 301 2 8" xfId="31995" xr:uid="{00000000-0005-0000-0000-0000EE7F0000}"/>
    <cellStyle name="Normal 301 2 9" xfId="31996" xr:uid="{00000000-0005-0000-0000-0000EF7F0000}"/>
    <cellStyle name="Normal 301 3" xfId="31997" xr:uid="{00000000-0005-0000-0000-0000F07F0000}"/>
    <cellStyle name="Normal 301 3 2" xfId="31998" xr:uid="{00000000-0005-0000-0000-0000F17F0000}"/>
    <cellStyle name="Normal 301 3 2 2" xfId="31999" xr:uid="{00000000-0005-0000-0000-0000F27F0000}"/>
    <cellStyle name="Normal 301 3 2 2 2" xfId="32000" xr:uid="{00000000-0005-0000-0000-0000F37F0000}"/>
    <cellStyle name="Normal 301 3 2 2 3" xfId="32001" xr:uid="{00000000-0005-0000-0000-0000F47F0000}"/>
    <cellStyle name="Normal 301 3 2 3" xfId="32002" xr:uid="{00000000-0005-0000-0000-0000F57F0000}"/>
    <cellStyle name="Normal 301 3 2 3 2" xfId="32003" xr:uid="{00000000-0005-0000-0000-0000F67F0000}"/>
    <cellStyle name="Normal 301 3 2 3 3" xfId="32004" xr:uid="{00000000-0005-0000-0000-0000F77F0000}"/>
    <cellStyle name="Normal 301 3 2 4" xfId="32005" xr:uid="{00000000-0005-0000-0000-0000F87F0000}"/>
    <cellStyle name="Normal 301 3 2 5" xfId="32006" xr:uid="{00000000-0005-0000-0000-0000F97F0000}"/>
    <cellStyle name="Normal 301 3 2 6" xfId="32007" xr:uid="{00000000-0005-0000-0000-0000FA7F0000}"/>
    <cellStyle name="Normal 301 3 3" xfId="32008" xr:uid="{00000000-0005-0000-0000-0000FB7F0000}"/>
    <cellStyle name="Normal 301 3 3 2" xfId="32009" xr:uid="{00000000-0005-0000-0000-0000FC7F0000}"/>
    <cellStyle name="Normal 301 3 3 3" xfId="32010" xr:uid="{00000000-0005-0000-0000-0000FD7F0000}"/>
    <cellStyle name="Normal 301 3 4" xfId="32011" xr:uid="{00000000-0005-0000-0000-0000FE7F0000}"/>
    <cellStyle name="Normal 301 3 4 2" xfId="32012" xr:uid="{00000000-0005-0000-0000-0000FF7F0000}"/>
    <cellStyle name="Normal 301 3 4 3" xfId="32013" xr:uid="{00000000-0005-0000-0000-000000800000}"/>
    <cellStyle name="Normal 301 3 5" xfId="32014" xr:uid="{00000000-0005-0000-0000-000001800000}"/>
    <cellStyle name="Normal 301 3 6" xfId="32015" xr:uid="{00000000-0005-0000-0000-000002800000}"/>
    <cellStyle name="Normal 301 3 7" xfId="32016" xr:uid="{00000000-0005-0000-0000-000003800000}"/>
    <cellStyle name="Normal 301 3 8" xfId="32017" xr:uid="{00000000-0005-0000-0000-000004800000}"/>
    <cellStyle name="Normal 301 4" xfId="32018" xr:uid="{00000000-0005-0000-0000-000005800000}"/>
    <cellStyle name="Normal 301 4 2" xfId="32019" xr:uid="{00000000-0005-0000-0000-000006800000}"/>
    <cellStyle name="Normal 301 4 2 2" xfId="32020" xr:uid="{00000000-0005-0000-0000-000007800000}"/>
    <cellStyle name="Normal 301 4 2 3" xfId="32021" xr:uid="{00000000-0005-0000-0000-000008800000}"/>
    <cellStyle name="Normal 301 4 3" xfId="32022" xr:uid="{00000000-0005-0000-0000-000009800000}"/>
    <cellStyle name="Normal 301 4 3 2" xfId="32023" xr:uid="{00000000-0005-0000-0000-00000A800000}"/>
    <cellStyle name="Normal 301 4 3 3" xfId="32024" xr:uid="{00000000-0005-0000-0000-00000B800000}"/>
    <cellStyle name="Normal 301 4 4" xfId="32025" xr:uid="{00000000-0005-0000-0000-00000C800000}"/>
    <cellStyle name="Normal 301 4 5" xfId="32026" xr:uid="{00000000-0005-0000-0000-00000D800000}"/>
    <cellStyle name="Normal 301 4 6" xfId="32027" xr:uid="{00000000-0005-0000-0000-00000E800000}"/>
    <cellStyle name="Normal 301 5" xfId="32028" xr:uid="{00000000-0005-0000-0000-00000F800000}"/>
    <cellStyle name="Normal 301 5 2" xfId="32029" xr:uid="{00000000-0005-0000-0000-000010800000}"/>
    <cellStyle name="Normal 301 5 3" xfId="32030" xr:uid="{00000000-0005-0000-0000-000011800000}"/>
    <cellStyle name="Normal 301 6" xfId="32031" xr:uid="{00000000-0005-0000-0000-000012800000}"/>
    <cellStyle name="Normal 301 6 2" xfId="32032" xr:uid="{00000000-0005-0000-0000-000013800000}"/>
    <cellStyle name="Normal 301 6 3" xfId="32033" xr:uid="{00000000-0005-0000-0000-000014800000}"/>
    <cellStyle name="Normal 301 7" xfId="32034" xr:uid="{00000000-0005-0000-0000-000015800000}"/>
    <cellStyle name="Normal 301 8" xfId="32035" xr:uid="{00000000-0005-0000-0000-000016800000}"/>
    <cellStyle name="Normal 301 9" xfId="32036" xr:uid="{00000000-0005-0000-0000-000017800000}"/>
    <cellStyle name="Normal 302" xfId="3201" xr:uid="{00000000-0005-0000-0000-000018800000}"/>
    <cellStyle name="Normal 302 10" xfId="32037" xr:uid="{00000000-0005-0000-0000-000019800000}"/>
    <cellStyle name="Normal 302 11" xfId="32038" xr:uid="{00000000-0005-0000-0000-00001A800000}"/>
    <cellStyle name="Normal 302 2" xfId="32039" xr:uid="{00000000-0005-0000-0000-00001B800000}"/>
    <cellStyle name="Normal 302 2 2" xfId="32040" xr:uid="{00000000-0005-0000-0000-00001C800000}"/>
    <cellStyle name="Normal 302 2 2 2" xfId="32041" xr:uid="{00000000-0005-0000-0000-00001D800000}"/>
    <cellStyle name="Normal 302 2 2 2 2" xfId="32042" xr:uid="{00000000-0005-0000-0000-00001E800000}"/>
    <cellStyle name="Normal 302 2 2 2 2 2" xfId="32043" xr:uid="{00000000-0005-0000-0000-00001F800000}"/>
    <cellStyle name="Normal 302 2 2 2 2 3" xfId="32044" xr:uid="{00000000-0005-0000-0000-000020800000}"/>
    <cellStyle name="Normal 302 2 2 2 3" xfId="32045" xr:uid="{00000000-0005-0000-0000-000021800000}"/>
    <cellStyle name="Normal 302 2 2 2 3 2" xfId="32046" xr:uid="{00000000-0005-0000-0000-000022800000}"/>
    <cellStyle name="Normal 302 2 2 2 3 3" xfId="32047" xr:uid="{00000000-0005-0000-0000-000023800000}"/>
    <cellStyle name="Normal 302 2 2 2 4" xfId="32048" xr:uid="{00000000-0005-0000-0000-000024800000}"/>
    <cellStyle name="Normal 302 2 2 2 5" xfId="32049" xr:uid="{00000000-0005-0000-0000-000025800000}"/>
    <cellStyle name="Normal 302 2 2 2 6" xfId="32050" xr:uid="{00000000-0005-0000-0000-000026800000}"/>
    <cellStyle name="Normal 302 2 2 3" xfId="32051" xr:uid="{00000000-0005-0000-0000-000027800000}"/>
    <cellStyle name="Normal 302 2 2 3 2" xfId="32052" xr:uid="{00000000-0005-0000-0000-000028800000}"/>
    <cellStyle name="Normal 302 2 2 3 3" xfId="32053" xr:uid="{00000000-0005-0000-0000-000029800000}"/>
    <cellStyle name="Normal 302 2 2 4" xfId="32054" xr:uid="{00000000-0005-0000-0000-00002A800000}"/>
    <cellStyle name="Normal 302 2 2 4 2" xfId="32055" xr:uid="{00000000-0005-0000-0000-00002B800000}"/>
    <cellStyle name="Normal 302 2 2 4 3" xfId="32056" xr:uid="{00000000-0005-0000-0000-00002C800000}"/>
    <cellStyle name="Normal 302 2 2 5" xfId="32057" xr:uid="{00000000-0005-0000-0000-00002D800000}"/>
    <cellStyle name="Normal 302 2 2 6" xfId="32058" xr:uid="{00000000-0005-0000-0000-00002E800000}"/>
    <cellStyle name="Normal 302 2 2 7" xfId="32059" xr:uid="{00000000-0005-0000-0000-00002F800000}"/>
    <cellStyle name="Normal 302 2 2 8" xfId="32060" xr:uid="{00000000-0005-0000-0000-000030800000}"/>
    <cellStyle name="Normal 302 2 3" xfId="32061" xr:uid="{00000000-0005-0000-0000-000031800000}"/>
    <cellStyle name="Normal 302 2 3 2" xfId="32062" xr:uid="{00000000-0005-0000-0000-000032800000}"/>
    <cellStyle name="Normal 302 2 3 2 2" xfId="32063" xr:uid="{00000000-0005-0000-0000-000033800000}"/>
    <cellStyle name="Normal 302 2 3 2 3" xfId="32064" xr:uid="{00000000-0005-0000-0000-000034800000}"/>
    <cellStyle name="Normal 302 2 3 3" xfId="32065" xr:uid="{00000000-0005-0000-0000-000035800000}"/>
    <cellStyle name="Normal 302 2 3 3 2" xfId="32066" xr:uid="{00000000-0005-0000-0000-000036800000}"/>
    <cellStyle name="Normal 302 2 3 3 3" xfId="32067" xr:uid="{00000000-0005-0000-0000-000037800000}"/>
    <cellStyle name="Normal 302 2 3 4" xfId="32068" xr:uid="{00000000-0005-0000-0000-000038800000}"/>
    <cellStyle name="Normal 302 2 3 5" xfId="32069" xr:uid="{00000000-0005-0000-0000-000039800000}"/>
    <cellStyle name="Normal 302 2 3 6" xfId="32070" xr:uid="{00000000-0005-0000-0000-00003A800000}"/>
    <cellStyle name="Normal 302 2 4" xfId="32071" xr:uid="{00000000-0005-0000-0000-00003B800000}"/>
    <cellStyle name="Normal 302 2 4 2" xfId="32072" xr:uid="{00000000-0005-0000-0000-00003C800000}"/>
    <cellStyle name="Normal 302 2 4 3" xfId="32073" xr:uid="{00000000-0005-0000-0000-00003D800000}"/>
    <cellStyle name="Normal 302 2 5" xfId="32074" xr:uid="{00000000-0005-0000-0000-00003E800000}"/>
    <cellStyle name="Normal 302 2 5 2" xfId="32075" xr:uid="{00000000-0005-0000-0000-00003F800000}"/>
    <cellStyle name="Normal 302 2 5 3" xfId="32076" xr:uid="{00000000-0005-0000-0000-000040800000}"/>
    <cellStyle name="Normal 302 2 6" xfId="32077" xr:uid="{00000000-0005-0000-0000-000041800000}"/>
    <cellStyle name="Normal 302 2 7" xfId="32078" xr:uid="{00000000-0005-0000-0000-000042800000}"/>
    <cellStyle name="Normal 302 2 8" xfId="32079" xr:uid="{00000000-0005-0000-0000-000043800000}"/>
    <cellStyle name="Normal 302 2 9" xfId="32080" xr:uid="{00000000-0005-0000-0000-000044800000}"/>
    <cellStyle name="Normal 302 3" xfId="32081" xr:uid="{00000000-0005-0000-0000-000045800000}"/>
    <cellStyle name="Normal 302 3 2" xfId="32082" xr:uid="{00000000-0005-0000-0000-000046800000}"/>
    <cellStyle name="Normal 302 3 2 2" xfId="32083" xr:uid="{00000000-0005-0000-0000-000047800000}"/>
    <cellStyle name="Normal 302 3 2 2 2" xfId="32084" xr:uid="{00000000-0005-0000-0000-000048800000}"/>
    <cellStyle name="Normal 302 3 2 2 3" xfId="32085" xr:uid="{00000000-0005-0000-0000-000049800000}"/>
    <cellStyle name="Normal 302 3 2 3" xfId="32086" xr:uid="{00000000-0005-0000-0000-00004A800000}"/>
    <cellStyle name="Normal 302 3 2 3 2" xfId="32087" xr:uid="{00000000-0005-0000-0000-00004B800000}"/>
    <cellStyle name="Normal 302 3 2 3 3" xfId="32088" xr:uid="{00000000-0005-0000-0000-00004C800000}"/>
    <cellStyle name="Normal 302 3 2 4" xfId="32089" xr:uid="{00000000-0005-0000-0000-00004D800000}"/>
    <cellStyle name="Normal 302 3 2 5" xfId="32090" xr:uid="{00000000-0005-0000-0000-00004E800000}"/>
    <cellStyle name="Normal 302 3 2 6" xfId="32091" xr:uid="{00000000-0005-0000-0000-00004F800000}"/>
    <cellStyle name="Normal 302 3 3" xfId="32092" xr:uid="{00000000-0005-0000-0000-000050800000}"/>
    <cellStyle name="Normal 302 3 3 2" xfId="32093" xr:uid="{00000000-0005-0000-0000-000051800000}"/>
    <cellStyle name="Normal 302 3 3 3" xfId="32094" xr:uid="{00000000-0005-0000-0000-000052800000}"/>
    <cellStyle name="Normal 302 3 4" xfId="32095" xr:uid="{00000000-0005-0000-0000-000053800000}"/>
    <cellStyle name="Normal 302 3 4 2" xfId="32096" xr:uid="{00000000-0005-0000-0000-000054800000}"/>
    <cellStyle name="Normal 302 3 4 3" xfId="32097" xr:uid="{00000000-0005-0000-0000-000055800000}"/>
    <cellStyle name="Normal 302 3 5" xfId="32098" xr:uid="{00000000-0005-0000-0000-000056800000}"/>
    <cellStyle name="Normal 302 3 6" xfId="32099" xr:uid="{00000000-0005-0000-0000-000057800000}"/>
    <cellStyle name="Normal 302 3 7" xfId="32100" xr:uid="{00000000-0005-0000-0000-000058800000}"/>
    <cellStyle name="Normal 302 3 8" xfId="32101" xr:uid="{00000000-0005-0000-0000-000059800000}"/>
    <cellStyle name="Normal 302 4" xfId="32102" xr:uid="{00000000-0005-0000-0000-00005A800000}"/>
    <cellStyle name="Normal 302 4 2" xfId="32103" xr:uid="{00000000-0005-0000-0000-00005B800000}"/>
    <cellStyle name="Normal 302 4 2 2" xfId="32104" xr:uid="{00000000-0005-0000-0000-00005C800000}"/>
    <cellStyle name="Normal 302 4 2 3" xfId="32105" xr:uid="{00000000-0005-0000-0000-00005D800000}"/>
    <cellStyle name="Normal 302 4 3" xfId="32106" xr:uid="{00000000-0005-0000-0000-00005E800000}"/>
    <cellStyle name="Normal 302 4 3 2" xfId="32107" xr:uid="{00000000-0005-0000-0000-00005F800000}"/>
    <cellStyle name="Normal 302 4 3 3" xfId="32108" xr:uid="{00000000-0005-0000-0000-000060800000}"/>
    <cellStyle name="Normal 302 4 4" xfId="32109" xr:uid="{00000000-0005-0000-0000-000061800000}"/>
    <cellStyle name="Normal 302 4 5" xfId="32110" xr:uid="{00000000-0005-0000-0000-000062800000}"/>
    <cellStyle name="Normal 302 4 6" xfId="32111" xr:uid="{00000000-0005-0000-0000-000063800000}"/>
    <cellStyle name="Normal 302 5" xfId="32112" xr:uid="{00000000-0005-0000-0000-000064800000}"/>
    <cellStyle name="Normal 302 5 2" xfId="32113" xr:uid="{00000000-0005-0000-0000-000065800000}"/>
    <cellStyle name="Normal 302 5 3" xfId="32114" xr:uid="{00000000-0005-0000-0000-000066800000}"/>
    <cellStyle name="Normal 302 6" xfId="32115" xr:uid="{00000000-0005-0000-0000-000067800000}"/>
    <cellStyle name="Normal 302 6 2" xfId="32116" xr:uid="{00000000-0005-0000-0000-000068800000}"/>
    <cellStyle name="Normal 302 6 3" xfId="32117" xr:uid="{00000000-0005-0000-0000-000069800000}"/>
    <cellStyle name="Normal 302 7" xfId="32118" xr:uid="{00000000-0005-0000-0000-00006A800000}"/>
    <cellStyle name="Normal 302 8" xfId="32119" xr:uid="{00000000-0005-0000-0000-00006B800000}"/>
    <cellStyle name="Normal 302 9" xfId="32120" xr:uid="{00000000-0005-0000-0000-00006C800000}"/>
    <cellStyle name="Normal 303" xfId="3202" xr:uid="{00000000-0005-0000-0000-00006D800000}"/>
    <cellStyle name="Normal 303 10" xfId="32121" xr:uid="{00000000-0005-0000-0000-00006E800000}"/>
    <cellStyle name="Normal 303 11" xfId="32122" xr:uid="{00000000-0005-0000-0000-00006F800000}"/>
    <cellStyle name="Normal 303 2" xfId="32123" xr:uid="{00000000-0005-0000-0000-000070800000}"/>
    <cellStyle name="Normal 303 2 2" xfId="32124" xr:uid="{00000000-0005-0000-0000-000071800000}"/>
    <cellStyle name="Normal 303 2 2 2" xfId="32125" xr:uid="{00000000-0005-0000-0000-000072800000}"/>
    <cellStyle name="Normal 303 2 2 2 2" xfId="32126" xr:uid="{00000000-0005-0000-0000-000073800000}"/>
    <cellStyle name="Normal 303 2 2 2 2 2" xfId="32127" xr:uid="{00000000-0005-0000-0000-000074800000}"/>
    <cellStyle name="Normal 303 2 2 2 2 3" xfId="32128" xr:uid="{00000000-0005-0000-0000-000075800000}"/>
    <cellStyle name="Normal 303 2 2 2 3" xfId="32129" xr:uid="{00000000-0005-0000-0000-000076800000}"/>
    <cellStyle name="Normal 303 2 2 2 3 2" xfId="32130" xr:uid="{00000000-0005-0000-0000-000077800000}"/>
    <cellStyle name="Normal 303 2 2 2 3 3" xfId="32131" xr:uid="{00000000-0005-0000-0000-000078800000}"/>
    <cellStyle name="Normal 303 2 2 2 4" xfId="32132" xr:uid="{00000000-0005-0000-0000-000079800000}"/>
    <cellStyle name="Normal 303 2 2 2 5" xfId="32133" xr:uid="{00000000-0005-0000-0000-00007A800000}"/>
    <cellStyle name="Normal 303 2 2 2 6" xfId="32134" xr:uid="{00000000-0005-0000-0000-00007B800000}"/>
    <cellStyle name="Normal 303 2 2 3" xfId="32135" xr:uid="{00000000-0005-0000-0000-00007C800000}"/>
    <cellStyle name="Normal 303 2 2 3 2" xfId="32136" xr:uid="{00000000-0005-0000-0000-00007D800000}"/>
    <cellStyle name="Normal 303 2 2 3 3" xfId="32137" xr:uid="{00000000-0005-0000-0000-00007E800000}"/>
    <cellStyle name="Normal 303 2 2 4" xfId="32138" xr:uid="{00000000-0005-0000-0000-00007F800000}"/>
    <cellStyle name="Normal 303 2 2 4 2" xfId="32139" xr:uid="{00000000-0005-0000-0000-000080800000}"/>
    <cellStyle name="Normal 303 2 2 4 3" xfId="32140" xr:uid="{00000000-0005-0000-0000-000081800000}"/>
    <cellStyle name="Normal 303 2 2 5" xfId="32141" xr:uid="{00000000-0005-0000-0000-000082800000}"/>
    <cellStyle name="Normal 303 2 2 6" xfId="32142" xr:uid="{00000000-0005-0000-0000-000083800000}"/>
    <cellStyle name="Normal 303 2 2 7" xfId="32143" xr:uid="{00000000-0005-0000-0000-000084800000}"/>
    <cellStyle name="Normal 303 2 2 8" xfId="32144" xr:uid="{00000000-0005-0000-0000-000085800000}"/>
    <cellStyle name="Normal 303 2 3" xfId="32145" xr:uid="{00000000-0005-0000-0000-000086800000}"/>
    <cellStyle name="Normal 303 2 3 2" xfId="32146" xr:uid="{00000000-0005-0000-0000-000087800000}"/>
    <cellStyle name="Normal 303 2 3 2 2" xfId="32147" xr:uid="{00000000-0005-0000-0000-000088800000}"/>
    <cellStyle name="Normal 303 2 3 2 3" xfId="32148" xr:uid="{00000000-0005-0000-0000-000089800000}"/>
    <cellStyle name="Normal 303 2 3 3" xfId="32149" xr:uid="{00000000-0005-0000-0000-00008A800000}"/>
    <cellStyle name="Normal 303 2 3 3 2" xfId="32150" xr:uid="{00000000-0005-0000-0000-00008B800000}"/>
    <cellStyle name="Normal 303 2 3 3 3" xfId="32151" xr:uid="{00000000-0005-0000-0000-00008C800000}"/>
    <cellStyle name="Normal 303 2 3 4" xfId="32152" xr:uid="{00000000-0005-0000-0000-00008D800000}"/>
    <cellStyle name="Normal 303 2 3 5" xfId="32153" xr:uid="{00000000-0005-0000-0000-00008E800000}"/>
    <cellStyle name="Normal 303 2 3 6" xfId="32154" xr:uid="{00000000-0005-0000-0000-00008F800000}"/>
    <cellStyle name="Normal 303 2 4" xfId="32155" xr:uid="{00000000-0005-0000-0000-000090800000}"/>
    <cellStyle name="Normal 303 2 4 2" xfId="32156" xr:uid="{00000000-0005-0000-0000-000091800000}"/>
    <cellStyle name="Normal 303 2 4 3" xfId="32157" xr:uid="{00000000-0005-0000-0000-000092800000}"/>
    <cellStyle name="Normal 303 2 5" xfId="32158" xr:uid="{00000000-0005-0000-0000-000093800000}"/>
    <cellStyle name="Normal 303 2 5 2" xfId="32159" xr:uid="{00000000-0005-0000-0000-000094800000}"/>
    <cellStyle name="Normal 303 2 5 3" xfId="32160" xr:uid="{00000000-0005-0000-0000-000095800000}"/>
    <cellStyle name="Normal 303 2 6" xfId="32161" xr:uid="{00000000-0005-0000-0000-000096800000}"/>
    <cellStyle name="Normal 303 2 7" xfId="32162" xr:uid="{00000000-0005-0000-0000-000097800000}"/>
    <cellStyle name="Normal 303 2 8" xfId="32163" xr:uid="{00000000-0005-0000-0000-000098800000}"/>
    <cellStyle name="Normal 303 2 9" xfId="32164" xr:uid="{00000000-0005-0000-0000-000099800000}"/>
    <cellStyle name="Normal 303 3" xfId="32165" xr:uid="{00000000-0005-0000-0000-00009A800000}"/>
    <cellStyle name="Normal 303 3 2" xfId="32166" xr:uid="{00000000-0005-0000-0000-00009B800000}"/>
    <cellStyle name="Normal 303 3 2 2" xfId="32167" xr:uid="{00000000-0005-0000-0000-00009C800000}"/>
    <cellStyle name="Normal 303 3 2 2 2" xfId="32168" xr:uid="{00000000-0005-0000-0000-00009D800000}"/>
    <cellStyle name="Normal 303 3 2 2 3" xfId="32169" xr:uid="{00000000-0005-0000-0000-00009E800000}"/>
    <cellStyle name="Normal 303 3 2 3" xfId="32170" xr:uid="{00000000-0005-0000-0000-00009F800000}"/>
    <cellStyle name="Normal 303 3 2 3 2" xfId="32171" xr:uid="{00000000-0005-0000-0000-0000A0800000}"/>
    <cellStyle name="Normal 303 3 2 3 3" xfId="32172" xr:uid="{00000000-0005-0000-0000-0000A1800000}"/>
    <cellStyle name="Normal 303 3 2 4" xfId="32173" xr:uid="{00000000-0005-0000-0000-0000A2800000}"/>
    <cellStyle name="Normal 303 3 2 5" xfId="32174" xr:uid="{00000000-0005-0000-0000-0000A3800000}"/>
    <cellStyle name="Normal 303 3 2 6" xfId="32175" xr:uid="{00000000-0005-0000-0000-0000A4800000}"/>
    <cellStyle name="Normal 303 3 3" xfId="32176" xr:uid="{00000000-0005-0000-0000-0000A5800000}"/>
    <cellStyle name="Normal 303 3 3 2" xfId="32177" xr:uid="{00000000-0005-0000-0000-0000A6800000}"/>
    <cellStyle name="Normal 303 3 3 3" xfId="32178" xr:uid="{00000000-0005-0000-0000-0000A7800000}"/>
    <cellStyle name="Normal 303 3 4" xfId="32179" xr:uid="{00000000-0005-0000-0000-0000A8800000}"/>
    <cellStyle name="Normal 303 3 4 2" xfId="32180" xr:uid="{00000000-0005-0000-0000-0000A9800000}"/>
    <cellStyle name="Normal 303 3 4 3" xfId="32181" xr:uid="{00000000-0005-0000-0000-0000AA800000}"/>
    <cellStyle name="Normal 303 3 5" xfId="32182" xr:uid="{00000000-0005-0000-0000-0000AB800000}"/>
    <cellStyle name="Normal 303 3 6" xfId="32183" xr:uid="{00000000-0005-0000-0000-0000AC800000}"/>
    <cellStyle name="Normal 303 3 7" xfId="32184" xr:uid="{00000000-0005-0000-0000-0000AD800000}"/>
    <cellStyle name="Normal 303 3 8" xfId="32185" xr:uid="{00000000-0005-0000-0000-0000AE800000}"/>
    <cellStyle name="Normal 303 4" xfId="32186" xr:uid="{00000000-0005-0000-0000-0000AF800000}"/>
    <cellStyle name="Normal 303 4 2" xfId="32187" xr:uid="{00000000-0005-0000-0000-0000B0800000}"/>
    <cellStyle name="Normal 303 4 2 2" xfId="32188" xr:uid="{00000000-0005-0000-0000-0000B1800000}"/>
    <cellStyle name="Normal 303 4 2 3" xfId="32189" xr:uid="{00000000-0005-0000-0000-0000B2800000}"/>
    <cellStyle name="Normal 303 4 3" xfId="32190" xr:uid="{00000000-0005-0000-0000-0000B3800000}"/>
    <cellStyle name="Normal 303 4 3 2" xfId="32191" xr:uid="{00000000-0005-0000-0000-0000B4800000}"/>
    <cellStyle name="Normal 303 4 3 3" xfId="32192" xr:uid="{00000000-0005-0000-0000-0000B5800000}"/>
    <cellStyle name="Normal 303 4 4" xfId="32193" xr:uid="{00000000-0005-0000-0000-0000B6800000}"/>
    <cellStyle name="Normal 303 4 5" xfId="32194" xr:uid="{00000000-0005-0000-0000-0000B7800000}"/>
    <cellStyle name="Normal 303 4 6" xfId="32195" xr:uid="{00000000-0005-0000-0000-0000B8800000}"/>
    <cellStyle name="Normal 303 5" xfId="32196" xr:uid="{00000000-0005-0000-0000-0000B9800000}"/>
    <cellStyle name="Normal 303 5 2" xfId="32197" xr:uid="{00000000-0005-0000-0000-0000BA800000}"/>
    <cellStyle name="Normal 303 5 3" xfId="32198" xr:uid="{00000000-0005-0000-0000-0000BB800000}"/>
    <cellStyle name="Normal 303 6" xfId="32199" xr:uid="{00000000-0005-0000-0000-0000BC800000}"/>
    <cellStyle name="Normal 303 6 2" xfId="32200" xr:uid="{00000000-0005-0000-0000-0000BD800000}"/>
    <cellStyle name="Normal 303 6 3" xfId="32201" xr:uid="{00000000-0005-0000-0000-0000BE800000}"/>
    <cellStyle name="Normal 303 7" xfId="32202" xr:uid="{00000000-0005-0000-0000-0000BF800000}"/>
    <cellStyle name="Normal 303 8" xfId="32203" xr:uid="{00000000-0005-0000-0000-0000C0800000}"/>
    <cellStyle name="Normal 303 9" xfId="32204" xr:uid="{00000000-0005-0000-0000-0000C1800000}"/>
    <cellStyle name="Normal 304" xfId="3203" xr:uid="{00000000-0005-0000-0000-0000C2800000}"/>
    <cellStyle name="Normal 304 10" xfId="32205" xr:uid="{00000000-0005-0000-0000-0000C3800000}"/>
    <cellStyle name="Normal 304 11" xfId="32206" xr:uid="{00000000-0005-0000-0000-0000C4800000}"/>
    <cellStyle name="Normal 304 2" xfId="32207" xr:uid="{00000000-0005-0000-0000-0000C5800000}"/>
    <cellStyle name="Normal 304 2 2" xfId="32208" xr:uid="{00000000-0005-0000-0000-0000C6800000}"/>
    <cellStyle name="Normal 304 2 2 2" xfId="32209" xr:uid="{00000000-0005-0000-0000-0000C7800000}"/>
    <cellStyle name="Normal 304 2 2 2 2" xfId="32210" xr:uid="{00000000-0005-0000-0000-0000C8800000}"/>
    <cellStyle name="Normal 304 2 2 2 2 2" xfId="32211" xr:uid="{00000000-0005-0000-0000-0000C9800000}"/>
    <cellStyle name="Normal 304 2 2 2 2 3" xfId="32212" xr:uid="{00000000-0005-0000-0000-0000CA800000}"/>
    <cellStyle name="Normal 304 2 2 2 3" xfId="32213" xr:uid="{00000000-0005-0000-0000-0000CB800000}"/>
    <cellStyle name="Normal 304 2 2 2 3 2" xfId="32214" xr:uid="{00000000-0005-0000-0000-0000CC800000}"/>
    <cellStyle name="Normal 304 2 2 2 3 3" xfId="32215" xr:uid="{00000000-0005-0000-0000-0000CD800000}"/>
    <cellStyle name="Normal 304 2 2 2 4" xfId="32216" xr:uid="{00000000-0005-0000-0000-0000CE800000}"/>
    <cellStyle name="Normal 304 2 2 2 5" xfId="32217" xr:uid="{00000000-0005-0000-0000-0000CF800000}"/>
    <cellStyle name="Normal 304 2 2 2 6" xfId="32218" xr:uid="{00000000-0005-0000-0000-0000D0800000}"/>
    <cellStyle name="Normal 304 2 2 3" xfId="32219" xr:uid="{00000000-0005-0000-0000-0000D1800000}"/>
    <cellStyle name="Normal 304 2 2 3 2" xfId="32220" xr:uid="{00000000-0005-0000-0000-0000D2800000}"/>
    <cellStyle name="Normal 304 2 2 3 3" xfId="32221" xr:uid="{00000000-0005-0000-0000-0000D3800000}"/>
    <cellStyle name="Normal 304 2 2 4" xfId="32222" xr:uid="{00000000-0005-0000-0000-0000D4800000}"/>
    <cellStyle name="Normal 304 2 2 4 2" xfId="32223" xr:uid="{00000000-0005-0000-0000-0000D5800000}"/>
    <cellStyle name="Normal 304 2 2 4 3" xfId="32224" xr:uid="{00000000-0005-0000-0000-0000D6800000}"/>
    <cellStyle name="Normal 304 2 2 5" xfId="32225" xr:uid="{00000000-0005-0000-0000-0000D7800000}"/>
    <cellStyle name="Normal 304 2 2 6" xfId="32226" xr:uid="{00000000-0005-0000-0000-0000D8800000}"/>
    <cellStyle name="Normal 304 2 2 7" xfId="32227" xr:uid="{00000000-0005-0000-0000-0000D9800000}"/>
    <cellStyle name="Normal 304 2 2 8" xfId="32228" xr:uid="{00000000-0005-0000-0000-0000DA800000}"/>
    <cellStyle name="Normal 304 2 3" xfId="32229" xr:uid="{00000000-0005-0000-0000-0000DB800000}"/>
    <cellStyle name="Normal 304 2 3 2" xfId="32230" xr:uid="{00000000-0005-0000-0000-0000DC800000}"/>
    <cellStyle name="Normal 304 2 3 2 2" xfId="32231" xr:uid="{00000000-0005-0000-0000-0000DD800000}"/>
    <cellStyle name="Normal 304 2 3 2 3" xfId="32232" xr:uid="{00000000-0005-0000-0000-0000DE800000}"/>
    <cellStyle name="Normal 304 2 3 3" xfId="32233" xr:uid="{00000000-0005-0000-0000-0000DF800000}"/>
    <cellStyle name="Normal 304 2 3 3 2" xfId="32234" xr:uid="{00000000-0005-0000-0000-0000E0800000}"/>
    <cellStyle name="Normal 304 2 3 3 3" xfId="32235" xr:uid="{00000000-0005-0000-0000-0000E1800000}"/>
    <cellStyle name="Normal 304 2 3 4" xfId="32236" xr:uid="{00000000-0005-0000-0000-0000E2800000}"/>
    <cellStyle name="Normal 304 2 3 5" xfId="32237" xr:uid="{00000000-0005-0000-0000-0000E3800000}"/>
    <cellStyle name="Normal 304 2 3 6" xfId="32238" xr:uid="{00000000-0005-0000-0000-0000E4800000}"/>
    <cellStyle name="Normal 304 2 4" xfId="32239" xr:uid="{00000000-0005-0000-0000-0000E5800000}"/>
    <cellStyle name="Normal 304 2 4 2" xfId="32240" xr:uid="{00000000-0005-0000-0000-0000E6800000}"/>
    <cellStyle name="Normal 304 2 4 3" xfId="32241" xr:uid="{00000000-0005-0000-0000-0000E7800000}"/>
    <cellStyle name="Normal 304 2 5" xfId="32242" xr:uid="{00000000-0005-0000-0000-0000E8800000}"/>
    <cellStyle name="Normal 304 2 5 2" xfId="32243" xr:uid="{00000000-0005-0000-0000-0000E9800000}"/>
    <cellStyle name="Normal 304 2 5 3" xfId="32244" xr:uid="{00000000-0005-0000-0000-0000EA800000}"/>
    <cellStyle name="Normal 304 2 6" xfId="32245" xr:uid="{00000000-0005-0000-0000-0000EB800000}"/>
    <cellStyle name="Normal 304 2 7" xfId="32246" xr:uid="{00000000-0005-0000-0000-0000EC800000}"/>
    <cellStyle name="Normal 304 2 8" xfId="32247" xr:uid="{00000000-0005-0000-0000-0000ED800000}"/>
    <cellStyle name="Normal 304 2 9" xfId="32248" xr:uid="{00000000-0005-0000-0000-0000EE800000}"/>
    <cellStyle name="Normal 304 3" xfId="32249" xr:uid="{00000000-0005-0000-0000-0000EF800000}"/>
    <cellStyle name="Normal 304 3 2" xfId="32250" xr:uid="{00000000-0005-0000-0000-0000F0800000}"/>
    <cellStyle name="Normal 304 3 2 2" xfId="32251" xr:uid="{00000000-0005-0000-0000-0000F1800000}"/>
    <cellStyle name="Normal 304 3 2 2 2" xfId="32252" xr:uid="{00000000-0005-0000-0000-0000F2800000}"/>
    <cellStyle name="Normal 304 3 2 2 3" xfId="32253" xr:uid="{00000000-0005-0000-0000-0000F3800000}"/>
    <cellStyle name="Normal 304 3 2 3" xfId="32254" xr:uid="{00000000-0005-0000-0000-0000F4800000}"/>
    <cellStyle name="Normal 304 3 2 3 2" xfId="32255" xr:uid="{00000000-0005-0000-0000-0000F5800000}"/>
    <cellStyle name="Normal 304 3 2 3 3" xfId="32256" xr:uid="{00000000-0005-0000-0000-0000F6800000}"/>
    <cellStyle name="Normal 304 3 2 4" xfId="32257" xr:uid="{00000000-0005-0000-0000-0000F7800000}"/>
    <cellStyle name="Normal 304 3 2 5" xfId="32258" xr:uid="{00000000-0005-0000-0000-0000F8800000}"/>
    <cellStyle name="Normal 304 3 2 6" xfId="32259" xr:uid="{00000000-0005-0000-0000-0000F9800000}"/>
    <cellStyle name="Normal 304 3 3" xfId="32260" xr:uid="{00000000-0005-0000-0000-0000FA800000}"/>
    <cellStyle name="Normal 304 3 3 2" xfId="32261" xr:uid="{00000000-0005-0000-0000-0000FB800000}"/>
    <cellStyle name="Normal 304 3 3 3" xfId="32262" xr:uid="{00000000-0005-0000-0000-0000FC800000}"/>
    <cellStyle name="Normal 304 3 4" xfId="32263" xr:uid="{00000000-0005-0000-0000-0000FD800000}"/>
    <cellStyle name="Normal 304 3 4 2" xfId="32264" xr:uid="{00000000-0005-0000-0000-0000FE800000}"/>
    <cellStyle name="Normal 304 3 4 3" xfId="32265" xr:uid="{00000000-0005-0000-0000-0000FF800000}"/>
    <cellStyle name="Normal 304 3 5" xfId="32266" xr:uid="{00000000-0005-0000-0000-000000810000}"/>
    <cellStyle name="Normal 304 3 6" xfId="32267" xr:uid="{00000000-0005-0000-0000-000001810000}"/>
    <cellStyle name="Normal 304 3 7" xfId="32268" xr:uid="{00000000-0005-0000-0000-000002810000}"/>
    <cellStyle name="Normal 304 3 8" xfId="32269" xr:uid="{00000000-0005-0000-0000-000003810000}"/>
    <cellStyle name="Normal 304 4" xfId="32270" xr:uid="{00000000-0005-0000-0000-000004810000}"/>
    <cellStyle name="Normal 304 4 2" xfId="32271" xr:uid="{00000000-0005-0000-0000-000005810000}"/>
    <cellStyle name="Normal 304 4 2 2" xfId="32272" xr:uid="{00000000-0005-0000-0000-000006810000}"/>
    <cellStyle name="Normal 304 4 2 3" xfId="32273" xr:uid="{00000000-0005-0000-0000-000007810000}"/>
    <cellStyle name="Normal 304 4 3" xfId="32274" xr:uid="{00000000-0005-0000-0000-000008810000}"/>
    <cellStyle name="Normal 304 4 3 2" xfId="32275" xr:uid="{00000000-0005-0000-0000-000009810000}"/>
    <cellStyle name="Normal 304 4 3 3" xfId="32276" xr:uid="{00000000-0005-0000-0000-00000A810000}"/>
    <cellStyle name="Normal 304 4 4" xfId="32277" xr:uid="{00000000-0005-0000-0000-00000B810000}"/>
    <cellStyle name="Normal 304 4 5" xfId="32278" xr:uid="{00000000-0005-0000-0000-00000C810000}"/>
    <cellStyle name="Normal 304 4 6" xfId="32279" xr:uid="{00000000-0005-0000-0000-00000D810000}"/>
    <cellStyle name="Normal 304 5" xfId="32280" xr:uid="{00000000-0005-0000-0000-00000E810000}"/>
    <cellStyle name="Normal 304 5 2" xfId="32281" xr:uid="{00000000-0005-0000-0000-00000F810000}"/>
    <cellStyle name="Normal 304 5 3" xfId="32282" xr:uid="{00000000-0005-0000-0000-000010810000}"/>
    <cellStyle name="Normal 304 6" xfId="32283" xr:uid="{00000000-0005-0000-0000-000011810000}"/>
    <cellStyle name="Normal 304 6 2" xfId="32284" xr:uid="{00000000-0005-0000-0000-000012810000}"/>
    <cellStyle name="Normal 304 6 3" xfId="32285" xr:uid="{00000000-0005-0000-0000-000013810000}"/>
    <cellStyle name="Normal 304 7" xfId="32286" xr:uid="{00000000-0005-0000-0000-000014810000}"/>
    <cellStyle name="Normal 304 8" xfId="32287" xr:uid="{00000000-0005-0000-0000-000015810000}"/>
    <cellStyle name="Normal 304 9" xfId="32288" xr:uid="{00000000-0005-0000-0000-000016810000}"/>
    <cellStyle name="Normal 305" xfId="3204" xr:uid="{00000000-0005-0000-0000-000017810000}"/>
    <cellStyle name="Normal 305 10" xfId="32289" xr:uid="{00000000-0005-0000-0000-000018810000}"/>
    <cellStyle name="Normal 305 11" xfId="32290" xr:uid="{00000000-0005-0000-0000-000019810000}"/>
    <cellStyle name="Normal 305 2" xfId="32291" xr:uid="{00000000-0005-0000-0000-00001A810000}"/>
    <cellStyle name="Normal 305 2 2" xfId="32292" xr:uid="{00000000-0005-0000-0000-00001B810000}"/>
    <cellStyle name="Normal 305 2 2 2" xfId="32293" xr:uid="{00000000-0005-0000-0000-00001C810000}"/>
    <cellStyle name="Normal 305 2 2 2 2" xfId="32294" xr:uid="{00000000-0005-0000-0000-00001D810000}"/>
    <cellStyle name="Normal 305 2 2 2 2 2" xfId="32295" xr:uid="{00000000-0005-0000-0000-00001E810000}"/>
    <cellStyle name="Normal 305 2 2 2 2 3" xfId="32296" xr:uid="{00000000-0005-0000-0000-00001F810000}"/>
    <cellStyle name="Normal 305 2 2 2 3" xfId="32297" xr:uid="{00000000-0005-0000-0000-000020810000}"/>
    <cellStyle name="Normal 305 2 2 2 3 2" xfId="32298" xr:uid="{00000000-0005-0000-0000-000021810000}"/>
    <cellStyle name="Normal 305 2 2 2 3 3" xfId="32299" xr:uid="{00000000-0005-0000-0000-000022810000}"/>
    <cellStyle name="Normal 305 2 2 2 4" xfId="32300" xr:uid="{00000000-0005-0000-0000-000023810000}"/>
    <cellStyle name="Normal 305 2 2 2 5" xfId="32301" xr:uid="{00000000-0005-0000-0000-000024810000}"/>
    <cellStyle name="Normal 305 2 2 2 6" xfId="32302" xr:uid="{00000000-0005-0000-0000-000025810000}"/>
    <cellStyle name="Normal 305 2 2 3" xfId="32303" xr:uid="{00000000-0005-0000-0000-000026810000}"/>
    <cellStyle name="Normal 305 2 2 3 2" xfId="32304" xr:uid="{00000000-0005-0000-0000-000027810000}"/>
    <cellStyle name="Normal 305 2 2 3 3" xfId="32305" xr:uid="{00000000-0005-0000-0000-000028810000}"/>
    <cellStyle name="Normal 305 2 2 4" xfId="32306" xr:uid="{00000000-0005-0000-0000-000029810000}"/>
    <cellStyle name="Normal 305 2 2 4 2" xfId="32307" xr:uid="{00000000-0005-0000-0000-00002A810000}"/>
    <cellStyle name="Normal 305 2 2 4 3" xfId="32308" xr:uid="{00000000-0005-0000-0000-00002B810000}"/>
    <cellStyle name="Normal 305 2 2 5" xfId="32309" xr:uid="{00000000-0005-0000-0000-00002C810000}"/>
    <cellStyle name="Normal 305 2 2 6" xfId="32310" xr:uid="{00000000-0005-0000-0000-00002D810000}"/>
    <cellStyle name="Normal 305 2 2 7" xfId="32311" xr:uid="{00000000-0005-0000-0000-00002E810000}"/>
    <cellStyle name="Normal 305 2 2 8" xfId="32312" xr:uid="{00000000-0005-0000-0000-00002F810000}"/>
    <cellStyle name="Normal 305 2 3" xfId="32313" xr:uid="{00000000-0005-0000-0000-000030810000}"/>
    <cellStyle name="Normal 305 2 3 2" xfId="32314" xr:uid="{00000000-0005-0000-0000-000031810000}"/>
    <cellStyle name="Normal 305 2 3 2 2" xfId="32315" xr:uid="{00000000-0005-0000-0000-000032810000}"/>
    <cellStyle name="Normal 305 2 3 2 3" xfId="32316" xr:uid="{00000000-0005-0000-0000-000033810000}"/>
    <cellStyle name="Normal 305 2 3 3" xfId="32317" xr:uid="{00000000-0005-0000-0000-000034810000}"/>
    <cellStyle name="Normal 305 2 3 3 2" xfId="32318" xr:uid="{00000000-0005-0000-0000-000035810000}"/>
    <cellStyle name="Normal 305 2 3 3 3" xfId="32319" xr:uid="{00000000-0005-0000-0000-000036810000}"/>
    <cellStyle name="Normal 305 2 3 4" xfId="32320" xr:uid="{00000000-0005-0000-0000-000037810000}"/>
    <cellStyle name="Normal 305 2 3 5" xfId="32321" xr:uid="{00000000-0005-0000-0000-000038810000}"/>
    <cellStyle name="Normal 305 2 3 6" xfId="32322" xr:uid="{00000000-0005-0000-0000-000039810000}"/>
    <cellStyle name="Normal 305 2 4" xfId="32323" xr:uid="{00000000-0005-0000-0000-00003A810000}"/>
    <cellStyle name="Normal 305 2 4 2" xfId="32324" xr:uid="{00000000-0005-0000-0000-00003B810000}"/>
    <cellStyle name="Normal 305 2 4 3" xfId="32325" xr:uid="{00000000-0005-0000-0000-00003C810000}"/>
    <cellStyle name="Normal 305 2 5" xfId="32326" xr:uid="{00000000-0005-0000-0000-00003D810000}"/>
    <cellStyle name="Normal 305 2 5 2" xfId="32327" xr:uid="{00000000-0005-0000-0000-00003E810000}"/>
    <cellStyle name="Normal 305 2 5 3" xfId="32328" xr:uid="{00000000-0005-0000-0000-00003F810000}"/>
    <cellStyle name="Normal 305 2 6" xfId="32329" xr:uid="{00000000-0005-0000-0000-000040810000}"/>
    <cellStyle name="Normal 305 2 7" xfId="32330" xr:uid="{00000000-0005-0000-0000-000041810000}"/>
    <cellStyle name="Normal 305 2 8" xfId="32331" xr:uid="{00000000-0005-0000-0000-000042810000}"/>
    <cellStyle name="Normal 305 2 9" xfId="32332" xr:uid="{00000000-0005-0000-0000-000043810000}"/>
    <cellStyle name="Normal 305 3" xfId="32333" xr:uid="{00000000-0005-0000-0000-000044810000}"/>
    <cellStyle name="Normal 305 3 2" xfId="32334" xr:uid="{00000000-0005-0000-0000-000045810000}"/>
    <cellStyle name="Normal 305 3 2 2" xfId="32335" xr:uid="{00000000-0005-0000-0000-000046810000}"/>
    <cellStyle name="Normal 305 3 2 2 2" xfId="32336" xr:uid="{00000000-0005-0000-0000-000047810000}"/>
    <cellStyle name="Normal 305 3 2 2 3" xfId="32337" xr:uid="{00000000-0005-0000-0000-000048810000}"/>
    <cellStyle name="Normal 305 3 2 3" xfId="32338" xr:uid="{00000000-0005-0000-0000-000049810000}"/>
    <cellStyle name="Normal 305 3 2 3 2" xfId="32339" xr:uid="{00000000-0005-0000-0000-00004A810000}"/>
    <cellStyle name="Normal 305 3 2 3 3" xfId="32340" xr:uid="{00000000-0005-0000-0000-00004B810000}"/>
    <cellStyle name="Normal 305 3 2 4" xfId="32341" xr:uid="{00000000-0005-0000-0000-00004C810000}"/>
    <cellStyle name="Normal 305 3 2 5" xfId="32342" xr:uid="{00000000-0005-0000-0000-00004D810000}"/>
    <cellStyle name="Normal 305 3 2 6" xfId="32343" xr:uid="{00000000-0005-0000-0000-00004E810000}"/>
    <cellStyle name="Normal 305 3 3" xfId="32344" xr:uid="{00000000-0005-0000-0000-00004F810000}"/>
    <cellStyle name="Normal 305 3 3 2" xfId="32345" xr:uid="{00000000-0005-0000-0000-000050810000}"/>
    <cellStyle name="Normal 305 3 3 3" xfId="32346" xr:uid="{00000000-0005-0000-0000-000051810000}"/>
    <cellStyle name="Normal 305 3 4" xfId="32347" xr:uid="{00000000-0005-0000-0000-000052810000}"/>
    <cellStyle name="Normal 305 3 4 2" xfId="32348" xr:uid="{00000000-0005-0000-0000-000053810000}"/>
    <cellStyle name="Normal 305 3 4 3" xfId="32349" xr:uid="{00000000-0005-0000-0000-000054810000}"/>
    <cellStyle name="Normal 305 3 5" xfId="32350" xr:uid="{00000000-0005-0000-0000-000055810000}"/>
    <cellStyle name="Normal 305 3 6" xfId="32351" xr:uid="{00000000-0005-0000-0000-000056810000}"/>
    <cellStyle name="Normal 305 3 7" xfId="32352" xr:uid="{00000000-0005-0000-0000-000057810000}"/>
    <cellStyle name="Normal 305 3 8" xfId="32353" xr:uid="{00000000-0005-0000-0000-000058810000}"/>
    <cellStyle name="Normal 305 4" xfId="32354" xr:uid="{00000000-0005-0000-0000-000059810000}"/>
    <cellStyle name="Normal 305 4 2" xfId="32355" xr:uid="{00000000-0005-0000-0000-00005A810000}"/>
    <cellStyle name="Normal 305 4 2 2" xfId="32356" xr:uid="{00000000-0005-0000-0000-00005B810000}"/>
    <cellStyle name="Normal 305 4 2 3" xfId="32357" xr:uid="{00000000-0005-0000-0000-00005C810000}"/>
    <cellStyle name="Normal 305 4 3" xfId="32358" xr:uid="{00000000-0005-0000-0000-00005D810000}"/>
    <cellStyle name="Normal 305 4 3 2" xfId="32359" xr:uid="{00000000-0005-0000-0000-00005E810000}"/>
    <cellStyle name="Normal 305 4 3 3" xfId="32360" xr:uid="{00000000-0005-0000-0000-00005F810000}"/>
    <cellStyle name="Normal 305 4 4" xfId="32361" xr:uid="{00000000-0005-0000-0000-000060810000}"/>
    <cellStyle name="Normal 305 4 5" xfId="32362" xr:uid="{00000000-0005-0000-0000-000061810000}"/>
    <cellStyle name="Normal 305 4 6" xfId="32363" xr:uid="{00000000-0005-0000-0000-000062810000}"/>
    <cellStyle name="Normal 305 5" xfId="32364" xr:uid="{00000000-0005-0000-0000-000063810000}"/>
    <cellStyle name="Normal 305 5 2" xfId="32365" xr:uid="{00000000-0005-0000-0000-000064810000}"/>
    <cellStyle name="Normal 305 5 3" xfId="32366" xr:uid="{00000000-0005-0000-0000-000065810000}"/>
    <cellStyle name="Normal 305 6" xfId="32367" xr:uid="{00000000-0005-0000-0000-000066810000}"/>
    <cellStyle name="Normal 305 6 2" xfId="32368" xr:uid="{00000000-0005-0000-0000-000067810000}"/>
    <cellStyle name="Normal 305 6 3" xfId="32369" xr:uid="{00000000-0005-0000-0000-000068810000}"/>
    <cellStyle name="Normal 305 7" xfId="32370" xr:uid="{00000000-0005-0000-0000-000069810000}"/>
    <cellStyle name="Normal 305 8" xfId="32371" xr:uid="{00000000-0005-0000-0000-00006A810000}"/>
    <cellStyle name="Normal 305 9" xfId="32372" xr:uid="{00000000-0005-0000-0000-00006B810000}"/>
    <cellStyle name="Normal 306" xfId="3205" xr:uid="{00000000-0005-0000-0000-00006C810000}"/>
    <cellStyle name="Normal 306 10" xfId="32373" xr:uid="{00000000-0005-0000-0000-00006D810000}"/>
    <cellStyle name="Normal 306 11" xfId="32374" xr:uid="{00000000-0005-0000-0000-00006E810000}"/>
    <cellStyle name="Normal 306 2" xfId="32375" xr:uid="{00000000-0005-0000-0000-00006F810000}"/>
    <cellStyle name="Normal 306 2 2" xfId="32376" xr:uid="{00000000-0005-0000-0000-000070810000}"/>
    <cellStyle name="Normal 306 2 2 2" xfId="32377" xr:uid="{00000000-0005-0000-0000-000071810000}"/>
    <cellStyle name="Normal 306 2 2 2 2" xfId="32378" xr:uid="{00000000-0005-0000-0000-000072810000}"/>
    <cellStyle name="Normal 306 2 2 2 2 2" xfId="32379" xr:uid="{00000000-0005-0000-0000-000073810000}"/>
    <cellStyle name="Normal 306 2 2 2 2 3" xfId="32380" xr:uid="{00000000-0005-0000-0000-000074810000}"/>
    <cellStyle name="Normal 306 2 2 2 3" xfId="32381" xr:uid="{00000000-0005-0000-0000-000075810000}"/>
    <cellStyle name="Normal 306 2 2 2 3 2" xfId="32382" xr:uid="{00000000-0005-0000-0000-000076810000}"/>
    <cellStyle name="Normal 306 2 2 2 3 3" xfId="32383" xr:uid="{00000000-0005-0000-0000-000077810000}"/>
    <cellStyle name="Normal 306 2 2 2 4" xfId="32384" xr:uid="{00000000-0005-0000-0000-000078810000}"/>
    <cellStyle name="Normal 306 2 2 2 5" xfId="32385" xr:uid="{00000000-0005-0000-0000-000079810000}"/>
    <cellStyle name="Normal 306 2 2 2 6" xfId="32386" xr:uid="{00000000-0005-0000-0000-00007A810000}"/>
    <cellStyle name="Normal 306 2 2 3" xfId="32387" xr:uid="{00000000-0005-0000-0000-00007B810000}"/>
    <cellStyle name="Normal 306 2 2 3 2" xfId="32388" xr:uid="{00000000-0005-0000-0000-00007C810000}"/>
    <cellStyle name="Normal 306 2 2 3 3" xfId="32389" xr:uid="{00000000-0005-0000-0000-00007D810000}"/>
    <cellStyle name="Normal 306 2 2 4" xfId="32390" xr:uid="{00000000-0005-0000-0000-00007E810000}"/>
    <cellStyle name="Normal 306 2 2 4 2" xfId="32391" xr:uid="{00000000-0005-0000-0000-00007F810000}"/>
    <cellStyle name="Normal 306 2 2 4 3" xfId="32392" xr:uid="{00000000-0005-0000-0000-000080810000}"/>
    <cellStyle name="Normal 306 2 2 5" xfId="32393" xr:uid="{00000000-0005-0000-0000-000081810000}"/>
    <cellStyle name="Normal 306 2 2 6" xfId="32394" xr:uid="{00000000-0005-0000-0000-000082810000}"/>
    <cellStyle name="Normal 306 2 2 7" xfId="32395" xr:uid="{00000000-0005-0000-0000-000083810000}"/>
    <cellStyle name="Normal 306 2 2 8" xfId="32396" xr:uid="{00000000-0005-0000-0000-000084810000}"/>
    <cellStyle name="Normal 306 2 3" xfId="32397" xr:uid="{00000000-0005-0000-0000-000085810000}"/>
    <cellStyle name="Normal 306 2 3 2" xfId="32398" xr:uid="{00000000-0005-0000-0000-000086810000}"/>
    <cellStyle name="Normal 306 2 3 2 2" xfId="32399" xr:uid="{00000000-0005-0000-0000-000087810000}"/>
    <cellStyle name="Normal 306 2 3 2 3" xfId="32400" xr:uid="{00000000-0005-0000-0000-000088810000}"/>
    <cellStyle name="Normal 306 2 3 3" xfId="32401" xr:uid="{00000000-0005-0000-0000-000089810000}"/>
    <cellStyle name="Normal 306 2 3 3 2" xfId="32402" xr:uid="{00000000-0005-0000-0000-00008A810000}"/>
    <cellStyle name="Normal 306 2 3 3 3" xfId="32403" xr:uid="{00000000-0005-0000-0000-00008B810000}"/>
    <cellStyle name="Normal 306 2 3 4" xfId="32404" xr:uid="{00000000-0005-0000-0000-00008C810000}"/>
    <cellStyle name="Normal 306 2 3 5" xfId="32405" xr:uid="{00000000-0005-0000-0000-00008D810000}"/>
    <cellStyle name="Normal 306 2 3 6" xfId="32406" xr:uid="{00000000-0005-0000-0000-00008E810000}"/>
    <cellStyle name="Normal 306 2 4" xfId="32407" xr:uid="{00000000-0005-0000-0000-00008F810000}"/>
    <cellStyle name="Normal 306 2 4 2" xfId="32408" xr:uid="{00000000-0005-0000-0000-000090810000}"/>
    <cellStyle name="Normal 306 2 4 3" xfId="32409" xr:uid="{00000000-0005-0000-0000-000091810000}"/>
    <cellStyle name="Normal 306 2 5" xfId="32410" xr:uid="{00000000-0005-0000-0000-000092810000}"/>
    <cellStyle name="Normal 306 2 5 2" xfId="32411" xr:uid="{00000000-0005-0000-0000-000093810000}"/>
    <cellStyle name="Normal 306 2 5 3" xfId="32412" xr:uid="{00000000-0005-0000-0000-000094810000}"/>
    <cellStyle name="Normal 306 2 6" xfId="32413" xr:uid="{00000000-0005-0000-0000-000095810000}"/>
    <cellStyle name="Normal 306 2 7" xfId="32414" xr:uid="{00000000-0005-0000-0000-000096810000}"/>
    <cellStyle name="Normal 306 2 8" xfId="32415" xr:uid="{00000000-0005-0000-0000-000097810000}"/>
    <cellStyle name="Normal 306 2 9" xfId="32416" xr:uid="{00000000-0005-0000-0000-000098810000}"/>
    <cellStyle name="Normal 306 3" xfId="32417" xr:uid="{00000000-0005-0000-0000-000099810000}"/>
    <cellStyle name="Normal 306 3 2" xfId="32418" xr:uid="{00000000-0005-0000-0000-00009A810000}"/>
    <cellStyle name="Normal 306 3 2 2" xfId="32419" xr:uid="{00000000-0005-0000-0000-00009B810000}"/>
    <cellStyle name="Normal 306 3 2 2 2" xfId="32420" xr:uid="{00000000-0005-0000-0000-00009C810000}"/>
    <cellStyle name="Normal 306 3 2 2 3" xfId="32421" xr:uid="{00000000-0005-0000-0000-00009D810000}"/>
    <cellStyle name="Normal 306 3 2 3" xfId="32422" xr:uid="{00000000-0005-0000-0000-00009E810000}"/>
    <cellStyle name="Normal 306 3 2 3 2" xfId="32423" xr:uid="{00000000-0005-0000-0000-00009F810000}"/>
    <cellStyle name="Normal 306 3 2 3 3" xfId="32424" xr:uid="{00000000-0005-0000-0000-0000A0810000}"/>
    <cellStyle name="Normal 306 3 2 4" xfId="32425" xr:uid="{00000000-0005-0000-0000-0000A1810000}"/>
    <cellStyle name="Normal 306 3 2 5" xfId="32426" xr:uid="{00000000-0005-0000-0000-0000A2810000}"/>
    <cellStyle name="Normal 306 3 2 6" xfId="32427" xr:uid="{00000000-0005-0000-0000-0000A3810000}"/>
    <cellStyle name="Normal 306 3 3" xfId="32428" xr:uid="{00000000-0005-0000-0000-0000A4810000}"/>
    <cellStyle name="Normal 306 3 3 2" xfId="32429" xr:uid="{00000000-0005-0000-0000-0000A5810000}"/>
    <cellStyle name="Normal 306 3 3 3" xfId="32430" xr:uid="{00000000-0005-0000-0000-0000A6810000}"/>
    <cellStyle name="Normal 306 3 4" xfId="32431" xr:uid="{00000000-0005-0000-0000-0000A7810000}"/>
    <cellStyle name="Normal 306 3 4 2" xfId="32432" xr:uid="{00000000-0005-0000-0000-0000A8810000}"/>
    <cellStyle name="Normal 306 3 4 3" xfId="32433" xr:uid="{00000000-0005-0000-0000-0000A9810000}"/>
    <cellStyle name="Normal 306 3 5" xfId="32434" xr:uid="{00000000-0005-0000-0000-0000AA810000}"/>
    <cellStyle name="Normal 306 3 6" xfId="32435" xr:uid="{00000000-0005-0000-0000-0000AB810000}"/>
    <cellStyle name="Normal 306 3 7" xfId="32436" xr:uid="{00000000-0005-0000-0000-0000AC810000}"/>
    <cellStyle name="Normal 306 3 8" xfId="32437" xr:uid="{00000000-0005-0000-0000-0000AD810000}"/>
    <cellStyle name="Normal 306 4" xfId="32438" xr:uid="{00000000-0005-0000-0000-0000AE810000}"/>
    <cellStyle name="Normal 306 4 2" xfId="32439" xr:uid="{00000000-0005-0000-0000-0000AF810000}"/>
    <cellStyle name="Normal 306 4 2 2" xfId="32440" xr:uid="{00000000-0005-0000-0000-0000B0810000}"/>
    <cellStyle name="Normal 306 4 2 3" xfId="32441" xr:uid="{00000000-0005-0000-0000-0000B1810000}"/>
    <cellStyle name="Normal 306 4 3" xfId="32442" xr:uid="{00000000-0005-0000-0000-0000B2810000}"/>
    <cellStyle name="Normal 306 4 3 2" xfId="32443" xr:uid="{00000000-0005-0000-0000-0000B3810000}"/>
    <cellStyle name="Normal 306 4 3 3" xfId="32444" xr:uid="{00000000-0005-0000-0000-0000B4810000}"/>
    <cellStyle name="Normal 306 4 4" xfId="32445" xr:uid="{00000000-0005-0000-0000-0000B5810000}"/>
    <cellStyle name="Normal 306 4 5" xfId="32446" xr:uid="{00000000-0005-0000-0000-0000B6810000}"/>
    <cellStyle name="Normal 306 4 6" xfId="32447" xr:uid="{00000000-0005-0000-0000-0000B7810000}"/>
    <cellStyle name="Normal 306 5" xfId="32448" xr:uid="{00000000-0005-0000-0000-0000B8810000}"/>
    <cellStyle name="Normal 306 5 2" xfId="32449" xr:uid="{00000000-0005-0000-0000-0000B9810000}"/>
    <cellStyle name="Normal 306 5 3" xfId="32450" xr:uid="{00000000-0005-0000-0000-0000BA810000}"/>
    <cellStyle name="Normal 306 6" xfId="32451" xr:uid="{00000000-0005-0000-0000-0000BB810000}"/>
    <cellStyle name="Normal 306 6 2" xfId="32452" xr:uid="{00000000-0005-0000-0000-0000BC810000}"/>
    <cellStyle name="Normal 306 6 3" xfId="32453" xr:uid="{00000000-0005-0000-0000-0000BD810000}"/>
    <cellStyle name="Normal 306 7" xfId="32454" xr:uid="{00000000-0005-0000-0000-0000BE810000}"/>
    <cellStyle name="Normal 306 8" xfId="32455" xr:uid="{00000000-0005-0000-0000-0000BF810000}"/>
    <cellStyle name="Normal 306 9" xfId="32456" xr:uid="{00000000-0005-0000-0000-0000C0810000}"/>
    <cellStyle name="Normal 307" xfId="3206" xr:uid="{00000000-0005-0000-0000-0000C1810000}"/>
    <cellStyle name="Normal 307 10" xfId="32457" xr:uid="{00000000-0005-0000-0000-0000C2810000}"/>
    <cellStyle name="Normal 307 11" xfId="32458" xr:uid="{00000000-0005-0000-0000-0000C3810000}"/>
    <cellStyle name="Normal 307 2" xfId="32459" xr:uid="{00000000-0005-0000-0000-0000C4810000}"/>
    <cellStyle name="Normal 307 2 2" xfId="32460" xr:uid="{00000000-0005-0000-0000-0000C5810000}"/>
    <cellStyle name="Normal 307 2 2 2" xfId="32461" xr:uid="{00000000-0005-0000-0000-0000C6810000}"/>
    <cellStyle name="Normal 307 2 2 2 2" xfId="32462" xr:uid="{00000000-0005-0000-0000-0000C7810000}"/>
    <cellStyle name="Normal 307 2 2 2 2 2" xfId="32463" xr:uid="{00000000-0005-0000-0000-0000C8810000}"/>
    <cellStyle name="Normal 307 2 2 2 2 3" xfId="32464" xr:uid="{00000000-0005-0000-0000-0000C9810000}"/>
    <cellStyle name="Normal 307 2 2 2 3" xfId="32465" xr:uid="{00000000-0005-0000-0000-0000CA810000}"/>
    <cellStyle name="Normal 307 2 2 2 3 2" xfId="32466" xr:uid="{00000000-0005-0000-0000-0000CB810000}"/>
    <cellStyle name="Normal 307 2 2 2 3 3" xfId="32467" xr:uid="{00000000-0005-0000-0000-0000CC810000}"/>
    <cellStyle name="Normal 307 2 2 2 4" xfId="32468" xr:uid="{00000000-0005-0000-0000-0000CD810000}"/>
    <cellStyle name="Normal 307 2 2 2 5" xfId="32469" xr:uid="{00000000-0005-0000-0000-0000CE810000}"/>
    <cellStyle name="Normal 307 2 2 2 6" xfId="32470" xr:uid="{00000000-0005-0000-0000-0000CF810000}"/>
    <cellStyle name="Normal 307 2 2 3" xfId="32471" xr:uid="{00000000-0005-0000-0000-0000D0810000}"/>
    <cellStyle name="Normal 307 2 2 3 2" xfId="32472" xr:uid="{00000000-0005-0000-0000-0000D1810000}"/>
    <cellStyle name="Normal 307 2 2 3 3" xfId="32473" xr:uid="{00000000-0005-0000-0000-0000D2810000}"/>
    <cellStyle name="Normal 307 2 2 4" xfId="32474" xr:uid="{00000000-0005-0000-0000-0000D3810000}"/>
    <cellStyle name="Normal 307 2 2 4 2" xfId="32475" xr:uid="{00000000-0005-0000-0000-0000D4810000}"/>
    <cellStyle name="Normal 307 2 2 4 3" xfId="32476" xr:uid="{00000000-0005-0000-0000-0000D5810000}"/>
    <cellStyle name="Normal 307 2 2 5" xfId="32477" xr:uid="{00000000-0005-0000-0000-0000D6810000}"/>
    <cellStyle name="Normal 307 2 2 6" xfId="32478" xr:uid="{00000000-0005-0000-0000-0000D7810000}"/>
    <cellStyle name="Normal 307 2 2 7" xfId="32479" xr:uid="{00000000-0005-0000-0000-0000D8810000}"/>
    <cellStyle name="Normal 307 2 2 8" xfId="32480" xr:uid="{00000000-0005-0000-0000-0000D9810000}"/>
    <cellStyle name="Normal 307 2 3" xfId="32481" xr:uid="{00000000-0005-0000-0000-0000DA810000}"/>
    <cellStyle name="Normal 307 2 3 2" xfId="32482" xr:uid="{00000000-0005-0000-0000-0000DB810000}"/>
    <cellStyle name="Normal 307 2 3 2 2" xfId="32483" xr:uid="{00000000-0005-0000-0000-0000DC810000}"/>
    <cellStyle name="Normal 307 2 3 2 3" xfId="32484" xr:uid="{00000000-0005-0000-0000-0000DD810000}"/>
    <cellStyle name="Normal 307 2 3 3" xfId="32485" xr:uid="{00000000-0005-0000-0000-0000DE810000}"/>
    <cellStyle name="Normal 307 2 3 3 2" xfId="32486" xr:uid="{00000000-0005-0000-0000-0000DF810000}"/>
    <cellStyle name="Normal 307 2 3 3 3" xfId="32487" xr:uid="{00000000-0005-0000-0000-0000E0810000}"/>
    <cellStyle name="Normal 307 2 3 4" xfId="32488" xr:uid="{00000000-0005-0000-0000-0000E1810000}"/>
    <cellStyle name="Normal 307 2 3 5" xfId="32489" xr:uid="{00000000-0005-0000-0000-0000E2810000}"/>
    <cellStyle name="Normal 307 2 3 6" xfId="32490" xr:uid="{00000000-0005-0000-0000-0000E3810000}"/>
    <cellStyle name="Normal 307 2 4" xfId="32491" xr:uid="{00000000-0005-0000-0000-0000E4810000}"/>
    <cellStyle name="Normal 307 2 4 2" xfId="32492" xr:uid="{00000000-0005-0000-0000-0000E5810000}"/>
    <cellStyle name="Normal 307 2 4 3" xfId="32493" xr:uid="{00000000-0005-0000-0000-0000E6810000}"/>
    <cellStyle name="Normal 307 2 5" xfId="32494" xr:uid="{00000000-0005-0000-0000-0000E7810000}"/>
    <cellStyle name="Normal 307 2 5 2" xfId="32495" xr:uid="{00000000-0005-0000-0000-0000E8810000}"/>
    <cellStyle name="Normal 307 2 5 3" xfId="32496" xr:uid="{00000000-0005-0000-0000-0000E9810000}"/>
    <cellStyle name="Normal 307 2 6" xfId="32497" xr:uid="{00000000-0005-0000-0000-0000EA810000}"/>
    <cellStyle name="Normal 307 2 7" xfId="32498" xr:uid="{00000000-0005-0000-0000-0000EB810000}"/>
    <cellStyle name="Normal 307 2 8" xfId="32499" xr:uid="{00000000-0005-0000-0000-0000EC810000}"/>
    <cellStyle name="Normal 307 2 9" xfId="32500" xr:uid="{00000000-0005-0000-0000-0000ED810000}"/>
    <cellStyle name="Normal 307 3" xfId="32501" xr:uid="{00000000-0005-0000-0000-0000EE810000}"/>
    <cellStyle name="Normal 307 3 2" xfId="32502" xr:uid="{00000000-0005-0000-0000-0000EF810000}"/>
    <cellStyle name="Normal 307 3 2 2" xfId="32503" xr:uid="{00000000-0005-0000-0000-0000F0810000}"/>
    <cellStyle name="Normal 307 3 2 2 2" xfId="32504" xr:uid="{00000000-0005-0000-0000-0000F1810000}"/>
    <cellStyle name="Normal 307 3 2 2 3" xfId="32505" xr:uid="{00000000-0005-0000-0000-0000F2810000}"/>
    <cellStyle name="Normal 307 3 2 3" xfId="32506" xr:uid="{00000000-0005-0000-0000-0000F3810000}"/>
    <cellStyle name="Normal 307 3 2 3 2" xfId="32507" xr:uid="{00000000-0005-0000-0000-0000F4810000}"/>
    <cellStyle name="Normal 307 3 2 3 3" xfId="32508" xr:uid="{00000000-0005-0000-0000-0000F5810000}"/>
    <cellStyle name="Normal 307 3 2 4" xfId="32509" xr:uid="{00000000-0005-0000-0000-0000F6810000}"/>
    <cellStyle name="Normal 307 3 2 5" xfId="32510" xr:uid="{00000000-0005-0000-0000-0000F7810000}"/>
    <cellStyle name="Normal 307 3 2 6" xfId="32511" xr:uid="{00000000-0005-0000-0000-0000F8810000}"/>
    <cellStyle name="Normal 307 3 3" xfId="32512" xr:uid="{00000000-0005-0000-0000-0000F9810000}"/>
    <cellStyle name="Normal 307 3 3 2" xfId="32513" xr:uid="{00000000-0005-0000-0000-0000FA810000}"/>
    <cellStyle name="Normal 307 3 3 3" xfId="32514" xr:uid="{00000000-0005-0000-0000-0000FB810000}"/>
    <cellStyle name="Normal 307 3 4" xfId="32515" xr:uid="{00000000-0005-0000-0000-0000FC810000}"/>
    <cellStyle name="Normal 307 3 4 2" xfId="32516" xr:uid="{00000000-0005-0000-0000-0000FD810000}"/>
    <cellStyle name="Normal 307 3 4 3" xfId="32517" xr:uid="{00000000-0005-0000-0000-0000FE810000}"/>
    <cellStyle name="Normal 307 3 5" xfId="32518" xr:uid="{00000000-0005-0000-0000-0000FF810000}"/>
    <cellStyle name="Normal 307 3 6" xfId="32519" xr:uid="{00000000-0005-0000-0000-000000820000}"/>
    <cellStyle name="Normal 307 3 7" xfId="32520" xr:uid="{00000000-0005-0000-0000-000001820000}"/>
    <cellStyle name="Normal 307 3 8" xfId="32521" xr:uid="{00000000-0005-0000-0000-000002820000}"/>
    <cellStyle name="Normal 307 4" xfId="32522" xr:uid="{00000000-0005-0000-0000-000003820000}"/>
    <cellStyle name="Normal 307 4 2" xfId="32523" xr:uid="{00000000-0005-0000-0000-000004820000}"/>
    <cellStyle name="Normal 307 4 2 2" xfId="32524" xr:uid="{00000000-0005-0000-0000-000005820000}"/>
    <cellStyle name="Normal 307 4 2 3" xfId="32525" xr:uid="{00000000-0005-0000-0000-000006820000}"/>
    <cellStyle name="Normal 307 4 3" xfId="32526" xr:uid="{00000000-0005-0000-0000-000007820000}"/>
    <cellStyle name="Normal 307 4 3 2" xfId="32527" xr:uid="{00000000-0005-0000-0000-000008820000}"/>
    <cellStyle name="Normal 307 4 3 3" xfId="32528" xr:uid="{00000000-0005-0000-0000-000009820000}"/>
    <cellStyle name="Normal 307 4 4" xfId="32529" xr:uid="{00000000-0005-0000-0000-00000A820000}"/>
    <cellStyle name="Normal 307 4 5" xfId="32530" xr:uid="{00000000-0005-0000-0000-00000B820000}"/>
    <cellStyle name="Normal 307 4 6" xfId="32531" xr:uid="{00000000-0005-0000-0000-00000C820000}"/>
    <cellStyle name="Normal 307 5" xfId="32532" xr:uid="{00000000-0005-0000-0000-00000D820000}"/>
    <cellStyle name="Normal 307 5 2" xfId="32533" xr:uid="{00000000-0005-0000-0000-00000E820000}"/>
    <cellStyle name="Normal 307 5 3" xfId="32534" xr:uid="{00000000-0005-0000-0000-00000F820000}"/>
    <cellStyle name="Normal 307 6" xfId="32535" xr:uid="{00000000-0005-0000-0000-000010820000}"/>
    <cellStyle name="Normal 307 6 2" xfId="32536" xr:uid="{00000000-0005-0000-0000-000011820000}"/>
    <cellStyle name="Normal 307 6 3" xfId="32537" xr:uid="{00000000-0005-0000-0000-000012820000}"/>
    <cellStyle name="Normal 307 7" xfId="32538" xr:uid="{00000000-0005-0000-0000-000013820000}"/>
    <cellStyle name="Normal 307 8" xfId="32539" xr:uid="{00000000-0005-0000-0000-000014820000}"/>
    <cellStyle name="Normal 307 9" xfId="32540" xr:uid="{00000000-0005-0000-0000-000015820000}"/>
    <cellStyle name="Normal 308" xfId="3207" xr:uid="{00000000-0005-0000-0000-000016820000}"/>
    <cellStyle name="Normal 308 10" xfId="32541" xr:uid="{00000000-0005-0000-0000-000017820000}"/>
    <cellStyle name="Normal 308 11" xfId="32542" xr:uid="{00000000-0005-0000-0000-000018820000}"/>
    <cellStyle name="Normal 308 2" xfId="32543" xr:uid="{00000000-0005-0000-0000-000019820000}"/>
    <cellStyle name="Normal 308 2 2" xfId="32544" xr:uid="{00000000-0005-0000-0000-00001A820000}"/>
    <cellStyle name="Normal 308 2 2 2" xfId="32545" xr:uid="{00000000-0005-0000-0000-00001B820000}"/>
    <cellStyle name="Normal 308 2 2 2 2" xfId="32546" xr:uid="{00000000-0005-0000-0000-00001C820000}"/>
    <cellStyle name="Normal 308 2 2 2 2 2" xfId="32547" xr:uid="{00000000-0005-0000-0000-00001D820000}"/>
    <cellStyle name="Normal 308 2 2 2 2 3" xfId="32548" xr:uid="{00000000-0005-0000-0000-00001E820000}"/>
    <cellStyle name="Normal 308 2 2 2 3" xfId="32549" xr:uid="{00000000-0005-0000-0000-00001F820000}"/>
    <cellStyle name="Normal 308 2 2 2 3 2" xfId="32550" xr:uid="{00000000-0005-0000-0000-000020820000}"/>
    <cellStyle name="Normal 308 2 2 2 3 3" xfId="32551" xr:uid="{00000000-0005-0000-0000-000021820000}"/>
    <cellStyle name="Normal 308 2 2 2 4" xfId="32552" xr:uid="{00000000-0005-0000-0000-000022820000}"/>
    <cellStyle name="Normal 308 2 2 2 5" xfId="32553" xr:uid="{00000000-0005-0000-0000-000023820000}"/>
    <cellStyle name="Normal 308 2 2 2 6" xfId="32554" xr:uid="{00000000-0005-0000-0000-000024820000}"/>
    <cellStyle name="Normal 308 2 2 3" xfId="32555" xr:uid="{00000000-0005-0000-0000-000025820000}"/>
    <cellStyle name="Normal 308 2 2 3 2" xfId="32556" xr:uid="{00000000-0005-0000-0000-000026820000}"/>
    <cellStyle name="Normal 308 2 2 3 3" xfId="32557" xr:uid="{00000000-0005-0000-0000-000027820000}"/>
    <cellStyle name="Normal 308 2 2 4" xfId="32558" xr:uid="{00000000-0005-0000-0000-000028820000}"/>
    <cellStyle name="Normal 308 2 2 4 2" xfId="32559" xr:uid="{00000000-0005-0000-0000-000029820000}"/>
    <cellStyle name="Normal 308 2 2 4 3" xfId="32560" xr:uid="{00000000-0005-0000-0000-00002A820000}"/>
    <cellStyle name="Normal 308 2 2 5" xfId="32561" xr:uid="{00000000-0005-0000-0000-00002B820000}"/>
    <cellStyle name="Normal 308 2 2 6" xfId="32562" xr:uid="{00000000-0005-0000-0000-00002C820000}"/>
    <cellStyle name="Normal 308 2 2 7" xfId="32563" xr:uid="{00000000-0005-0000-0000-00002D820000}"/>
    <cellStyle name="Normal 308 2 2 8" xfId="32564" xr:uid="{00000000-0005-0000-0000-00002E820000}"/>
    <cellStyle name="Normal 308 2 3" xfId="32565" xr:uid="{00000000-0005-0000-0000-00002F820000}"/>
    <cellStyle name="Normal 308 2 3 2" xfId="32566" xr:uid="{00000000-0005-0000-0000-000030820000}"/>
    <cellStyle name="Normal 308 2 3 2 2" xfId="32567" xr:uid="{00000000-0005-0000-0000-000031820000}"/>
    <cellStyle name="Normal 308 2 3 2 3" xfId="32568" xr:uid="{00000000-0005-0000-0000-000032820000}"/>
    <cellStyle name="Normal 308 2 3 3" xfId="32569" xr:uid="{00000000-0005-0000-0000-000033820000}"/>
    <cellStyle name="Normal 308 2 3 3 2" xfId="32570" xr:uid="{00000000-0005-0000-0000-000034820000}"/>
    <cellStyle name="Normal 308 2 3 3 3" xfId="32571" xr:uid="{00000000-0005-0000-0000-000035820000}"/>
    <cellStyle name="Normal 308 2 3 4" xfId="32572" xr:uid="{00000000-0005-0000-0000-000036820000}"/>
    <cellStyle name="Normal 308 2 3 5" xfId="32573" xr:uid="{00000000-0005-0000-0000-000037820000}"/>
    <cellStyle name="Normal 308 2 3 6" xfId="32574" xr:uid="{00000000-0005-0000-0000-000038820000}"/>
    <cellStyle name="Normal 308 2 4" xfId="32575" xr:uid="{00000000-0005-0000-0000-000039820000}"/>
    <cellStyle name="Normal 308 2 4 2" xfId="32576" xr:uid="{00000000-0005-0000-0000-00003A820000}"/>
    <cellStyle name="Normal 308 2 4 3" xfId="32577" xr:uid="{00000000-0005-0000-0000-00003B820000}"/>
    <cellStyle name="Normal 308 2 5" xfId="32578" xr:uid="{00000000-0005-0000-0000-00003C820000}"/>
    <cellStyle name="Normal 308 2 5 2" xfId="32579" xr:uid="{00000000-0005-0000-0000-00003D820000}"/>
    <cellStyle name="Normal 308 2 5 3" xfId="32580" xr:uid="{00000000-0005-0000-0000-00003E820000}"/>
    <cellStyle name="Normal 308 2 6" xfId="32581" xr:uid="{00000000-0005-0000-0000-00003F820000}"/>
    <cellStyle name="Normal 308 2 7" xfId="32582" xr:uid="{00000000-0005-0000-0000-000040820000}"/>
    <cellStyle name="Normal 308 2 8" xfId="32583" xr:uid="{00000000-0005-0000-0000-000041820000}"/>
    <cellStyle name="Normal 308 2 9" xfId="32584" xr:uid="{00000000-0005-0000-0000-000042820000}"/>
    <cellStyle name="Normal 308 3" xfId="32585" xr:uid="{00000000-0005-0000-0000-000043820000}"/>
    <cellStyle name="Normal 308 3 2" xfId="32586" xr:uid="{00000000-0005-0000-0000-000044820000}"/>
    <cellStyle name="Normal 308 3 2 2" xfId="32587" xr:uid="{00000000-0005-0000-0000-000045820000}"/>
    <cellStyle name="Normal 308 3 2 2 2" xfId="32588" xr:uid="{00000000-0005-0000-0000-000046820000}"/>
    <cellStyle name="Normal 308 3 2 2 3" xfId="32589" xr:uid="{00000000-0005-0000-0000-000047820000}"/>
    <cellStyle name="Normal 308 3 2 3" xfId="32590" xr:uid="{00000000-0005-0000-0000-000048820000}"/>
    <cellStyle name="Normal 308 3 2 3 2" xfId="32591" xr:uid="{00000000-0005-0000-0000-000049820000}"/>
    <cellStyle name="Normal 308 3 2 3 3" xfId="32592" xr:uid="{00000000-0005-0000-0000-00004A820000}"/>
    <cellStyle name="Normal 308 3 2 4" xfId="32593" xr:uid="{00000000-0005-0000-0000-00004B820000}"/>
    <cellStyle name="Normal 308 3 2 5" xfId="32594" xr:uid="{00000000-0005-0000-0000-00004C820000}"/>
    <cellStyle name="Normal 308 3 2 6" xfId="32595" xr:uid="{00000000-0005-0000-0000-00004D820000}"/>
    <cellStyle name="Normal 308 3 3" xfId="32596" xr:uid="{00000000-0005-0000-0000-00004E820000}"/>
    <cellStyle name="Normal 308 3 3 2" xfId="32597" xr:uid="{00000000-0005-0000-0000-00004F820000}"/>
    <cellStyle name="Normal 308 3 3 3" xfId="32598" xr:uid="{00000000-0005-0000-0000-000050820000}"/>
    <cellStyle name="Normal 308 3 4" xfId="32599" xr:uid="{00000000-0005-0000-0000-000051820000}"/>
    <cellStyle name="Normal 308 3 4 2" xfId="32600" xr:uid="{00000000-0005-0000-0000-000052820000}"/>
    <cellStyle name="Normal 308 3 4 3" xfId="32601" xr:uid="{00000000-0005-0000-0000-000053820000}"/>
    <cellStyle name="Normal 308 3 5" xfId="32602" xr:uid="{00000000-0005-0000-0000-000054820000}"/>
    <cellStyle name="Normal 308 3 6" xfId="32603" xr:uid="{00000000-0005-0000-0000-000055820000}"/>
    <cellStyle name="Normal 308 3 7" xfId="32604" xr:uid="{00000000-0005-0000-0000-000056820000}"/>
    <cellStyle name="Normal 308 3 8" xfId="32605" xr:uid="{00000000-0005-0000-0000-000057820000}"/>
    <cellStyle name="Normal 308 4" xfId="32606" xr:uid="{00000000-0005-0000-0000-000058820000}"/>
    <cellStyle name="Normal 308 4 2" xfId="32607" xr:uid="{00000000-0005-0000-0000-000059820000}"/>
    <cellStyle name="Normal 308 4 2 2" xfId="32608" xr:uid="{00000000-0005-0000-0000-00005A820000}"/>
    <cellStyle name="Normal 308 4 2 3" xfId="32609" xr:uid="{00000000-0005-0000-0000-00005B820000}"/>
    <cellStyle name="Normal 308 4 3" xfId="32610" xr:uid="{00000000-0005-0000-0000-00005C820000}"/>
    <cellStyle name="Normal 308 4 3 2" xfId="32611" xr:uid="{00000000-0005-0000-0000-00005D820000}"/>
    <cellStyle name="Normal 308 4 3 3" xfId="32612" xr:uid="{00000000-0005-0000-0000-00005E820000}"/>
    <cellStyle name="Normal 308 4 4" xfId="32613" xr:uid="{00000000-0005-0000-0000-00005F820000}"/>
    <cellStyle name="Normal 308 4 5" xfId="32614" xr:uid="{00000000-0005-0000-0000-000060820000}"/>
    <cellStyle name="Normal 308 4 6" xfId="32615" xr:uid="{00000000-0005-0000-0000-000061820000}"/>
    <cellStyle name="Normal 308 5" xfId="32616" xr:uid="{00000000-0005-0000-0000-000062820000}"/>
    <cellStyle name="Normal 308 5 2" xfId="32617" xr:uid="{00000000-0005-0000-0000-000063820000}"/>
    <cellStyle name="Normal 308 5 3" xfId="32618" xr:uid="{00000000-0005-0000-0000-000064820000}"/>
    <cellStyle name="Normal 308 6" xfId="32619" xr:uid="{00000000-0005-0000-0000-000065820000}"/>
    <cellStyle name="Normal 308 6 2" xfId="32620" xr:uid="{00000000-0005-0000-0000-000066820000}"/>
    <cellStyle name="Normal 308 6 3" xfId="32621" xr:uid="{00000000-0005-0000-0000-000067820000}"/>
    <cellStyle name="Normal 308 7" xfId="32622" xr:uid="{00000000-0005-0000-0000-000068820000}"/>
    <cellStyle name="Normal 308 8" xfId="32623" xr:uid="{00000000-0005-0000-0000-000069820000}"/>
    <cellStyle name="Normal 308 9" xfId="32624" xr:uid="{00000000-0005-0000-0000-00006A820000}"/>
    <cellStyle name="Normal 309" xfId="3208" xr:uid="{00000000-0005-0000-0000-00006B820000}"/>
    <cellStyle name="Normal 309 10" xfId="32625" xr:uid="{00000000-0005-0000-0000-00006C820000}"/>
    <cellStyle name="Normal 309 11" xfId="32626" xr:uid="{00000000-0005-0000-0000-00006D820000}"/>
    <cellStyle name="Normal 309 2" xfId="32627" xr:uid="{00000000-0005-0000-0000-00006E820000}"/>
    <cellStyle name="Normal 309 2 2" xfId="32628" xr:uid="{00000000-0005-0000-0000-00006F820000}"/>
    <cellStyle name="Normal 309 2 2 2" xfId="32629" xr:uid="{00000000-0005-0000-0000-000070820000}"/>
    <cellStyle name="Normal 309 2 2 2 2" xfId="32630" xr:uid="{00000000-0005-0000-0000-000071820000}"/>
    <cellStyle name="Normal 309 2 2 2 2 2" xfId="32631" xr:uid="{00000000-0005-0000-0000-000072820000}"/>
    <cellStyle name="Normal 309 2 2 2 2 3" xfId="32632" xr:uid="{00000000-0005-0000-0000-000073820000}"/>
    <cellStyle name="Normal 309 2 2 2 3" xfId="32633" xr:uid="{00000000-0005-0000-0000-000074820000}"/>
    <cellStyle name="Normal 309 2 2 2 3 2" xfId="32634" xr:uid="{00000000-0005-0000-0000-000075820000}"/>
    <cellStyle name="Normal 309 2 2 2 3 3" xfId="32635" xr:uid="{00000000-0005-0000-0000-000076820000}"/>
    <cellStyle name="Normal 309 2 2 2 4" xfId="32636" xr:uid="{00000000-0005-0000-0000-000077820000}"/>
    <cellStyle name="Normal 309 2 2 2 5" xfId="32637" xr:uid="{00000000-0005-0000-0000-000078820000}"/>
    <cellStyle name="Normal 309 2 2 2 6" xfId="32638" xr:uid="{00000000-0005-0000-0000-000079820000}"/>
    <cellStyle name="Normal 309 2 2 3" xfId="32639" xr:uid="{00000000-0005-0000-0000-00007A820000}"/>
    <cellStyle name="Normal 309 2 2 3 2" xfId="32640" xr:uid="{00000000-0005-0000-0000-00007B820000}"/>
    <cellStyle name="Normal 309 2 2 3 3" xfId="32641" xr:uid="{00000000-0005-0000-0000-00007C820000}"/>
    <cellStyle name="Normal 309 2 2 4" xfId="32642" xr:uid="{00000000-0005-0000-0000-00007D820000}"/>
    <cellStyle name="Normal 309 2 2 4 2" xfId="32643" xr:uid="{00000000-0005-0000-0000-00007E820000}"/>
    <cellStyle name="Normal 309 2 2 4 3" xfId="32644" xr:uid="{00000000-0005-0000-0000-00007F820000}"/>
    <cellStyle name="Normal 309 2 2 5" xfId="32645" xr:uid="{00000000-0005-0000-0000-000080820000}"/>
    <cellStyle name="Normal 309 2 2 6" xfId="32646" xr:uid="{00000000-0005-0000-0000-000081820000}"/>
    <cellStyle name="Normal 309 2 2 7" xfId="32647" xr:uid="{00000000-0005-0000-0000-000082820000}"/>
    <cellStyle name="Normal 309 2 2 8" xfId="32648" xr:uid="{00000000-0005-0000-0000-000083820000}"/>
    <cellStyle name="Normal 309 2 3" xfId="32649" xr:uid="{00000000-0005-0000-0000-000084820000}"/>
    <cellStyle name="Normal 309 2 3 2" xfId="32650" xr:uid="{00000000-0005-0000-0000-000085820000}"/>
    <cellStyle name="Normal 309 2 3 2 2" xfId="32651" xr:uid="{00000000-0005-0000-0000-000086820000}"/>
    <cellStyle name="Normal 309 2 3 2 3" xfId="32652" xr:uid="{00000000-0005-0000-0000-000087820000}"/>
    <cellStyle name="Normal 309 2 3 3" xfId="32653" xr:uid="{00000000-0005-0000-0000-000088820000}"/>
    <cellStyle name="Normal 309 2 3 3 2" xfId="32654" xr:uid="{00000000-0005-0000-0000-000089820000}"/>
    <cellStyle name="Normal 309 2 3 3 3" xfId="32655" xr:uid="{00000000-0005-0000-0000-00008A820000}"/>
    <cellStyle name="Normal 309 2 3 4" xfId="32656" xr:uid="{00000000-0005-0000-0000-00008B820000}"/>
    <cellStyle name="Normal 309 2 3 5" xfId="32657" xr:uid="{00000000-0005-0000-0000-00008C820000}"/>
    <cellStyle name="Normal 309 2 3 6" xfId="32658" xr:uid="{00000000-0005-0000-0000-00008D820000}"/>
    <cellStyle name="Normal 309 2 4" xfId="32659" xr:uid="{00000000-0005-0000-0000-00008E820000}"/>
    <cellStyle name="Normal 309 2 4 2" xfId="32660" xr:uid="{00000000-0005-0000-0000-00008F820000}"/>
    <cellStyle name="Normal 309 2 4 3" xfId="32661" xr:uid="{00000000-0005-0000-0000-000090820000}"/>
    <cellStyle name="Normal 309 2 5" xfId="32662" xr:uid="{00000000-0005-0000-0000-000091820000}"/>
    <cellStyle name="Normal 309 2 5 2" xfId="32663" xr:uid="{00000000-0005-0000-0000-000092820000}"/>
    <cellStyle name="Normal 309 2 5 3" xfId="32664" xr:uid="{00000000-0005-0000-0000-000093820000}"/>
    <cellStyle name="Normal 309 2 6" xfId="32665" xr:uid="{00000000-0005-0000-0000-000094820000}"/>
    <cellStyle name="Normal 309 2 7" xfId="32666" xr:uid="{00000000-0005-0000-0000-000095820000}"/>
    <cellStyle name="Normal 309 2 8" xfId="32667" xr:uid="{00000000-0005-0000-0000-000096820000}"/>
    <cellStyle name="Normal 309 2 9" xfId="32668" xr:uid="{00000000-0005-0000-0000-000097820000}"/>
    <cellStyle name="Normal 309 3" xfId="32669" xr:uid="{00000000-0005-0000-0000-000098820000}"/>
    <cellStyle name="Normal 309 3 2" xfId="32670" xr:uid="{00000000-0005-0000-0000-000099820000}"/>
    <cellStyle name="Normal 309 3 2 2" xfId="32671" xr:uid="{00000000-0005-0000-0000-00009A820000}"/>
    <cellStyle name="Normal 309 3 2 2 2" xfId="32672" xr:uid="{00000000-0005-0000-0000-00009B820000}"/>
    <cellStyle name="Normal 309 3 2 2 3" xfId="32673" xr:uid="{00000000-0005-0000-0000-00009C820000}"/>
    <cellStyle name="Normal 309 3 2 3" xfId="32674" xr:uid="{00000000-0005-0000-0000-00009D820000}"/>
    <cellStyle name="Normal 309 3 2 3 2" xfId="32675" xr:uid="{00000000-0005-0000-0000-00009E820000}"/>
    <cellStyle name="Normal 309 3 2 3 3" xfId="32676" xr:uid="{00000000-0005-0000-0000-00009F820000}"/>
    <cellStyle name="Normal 309 3 2 4" xfId="32677" xr:uid="{00000000-0005-0000-0000-0000A0820000}"/>
    <cellStyle name="Normal 309 3 2 5" xfId="32678" xr:uid="{00000000-0005-0000-0000-0000A1820000}"/>
    <cellStyle name="Normal 309 3 2 6" xfId="32679" xr:uid="{00000000-0005-0000-0000-0000A2820000}"/>
    <cellStyle name="Normal 309 3 3" xfId="32680" xr:uid="{00000000-0005-0000-0000-0000A3820000}"/>
    <cellStyle name="Normal 309 3 3 2" xfId="32681" xr:uid="{00000000-0005-0000-0000-0000A4820000}"/>
    <cellStyle name="Normal 309 3 3 3" xfId="32682" xr:uid="{00000000-0005-0000-0000-0000A5820000}"/>
    <cellStyle name="Normal 309 3 4" xfId="32683" xr:uid="{00000000-0005-0000-0000-0000A6820000}"/>
    <cellStyle name="Normal 309 3 4 2" xfId="32684" xr:uid="{00000000-0005-0000-0000-0000A7820000}"/>
    <cellStyle name="Normal 309 3 4 3" xfId="32685" xr:uid="{00000000-0005-0000-0000-0000A8820000}"/>
    <cellStyle name="Normal 309 3 5" xfId="32686" xr:uid="{00000000-0005-0000-0000-0000A9820000}"/>
    <cellStyle name="Normal 309 3 6" xfId="32687" xr:uid="{00000000-0005-0000-0000-0000AA820000}"/>
    <cellStyle name="Normal 309 3 7" xfId="32688" xr:uid="{00000000-0005-0000-0000-0000AB820000}"/>
    <cellStyle name="Normal 309 3 8" xfId="32689" xr:uid="{00000000-0005-0000-0000-0000AC820000}"/>
    <cellStyle name="Normal 309 4" xfId="32690" xr:uid="{00000000-0005-0000-0000-0000AD820000}"/>
    <cellStyle name="Normal 309 4 2" xfId="32691" xr:uid="{00000000-0005-0000-0000-0000AE820000}"/>
    <cellStyle name="Normal 309 4 2 2" xfId="32692" xr:uid="{00000000-0005-0000-0000-0000AF820000}"/>
    <cellStyle name="Normal 309 4 2 3" xfId="32693" xr:uid="{00000000-0005-0000-0000-0000B0820000}"/>
    <cellStyle name="Normal 309 4 3" xfId="32694" xr:uid="{00000000-0005-0000-0000-0000B1820000}"/>
    <cellStyle name="Normal 309 4 3 2" xfId="32695" xr:uid="{00000000-0005-0000-0000-0000B2820000}"/>
    <cellStyle name="Normal 309 4 3 3" xfId="32696" xr:uid="{00000000-0005-0000-0000-0000B3820000}"/>
    <cellStyle name="Normal 309 4 4" xfId="32697" xr:uid="{00000000-0005-0000-0000-0000B4820000}"/>
    <cellStyle name="Normal 309 4 5" xfId="32698" xr:uid="{00000000-0005-0000-0000-0000B5820000}"/>
    <cellStyle name="Normal 309 4 6" xfId="32699" xr:uid="{00000000-0005-0000-0000-0000B6820000}"/>
    <cellStyle name="Normal 309 5" xfId="32700" xr:uid="{00000000-0005-0000-0000-0000B7820000}"/>
    <cellStyle name="Normal 309 5 2" xfId="32701" xr:uid="{00000000-0005-0000-0000-0000B8820000}"/>
    <cellStyle name="Normal 309 5 3" xfId="32702" xr:uid="{00000000-0005-0000-0000-0000B9820000}"/>
    <cellStyle name="Normal 309 6" xfId="32703" xr:uid="{00000000-0005-0000-0000-0000BA820000}"/>
    <cellStyle name="Normal 309 6 2" xfId="32704" xr:uid="{00000000-0005-0000-0000-0000BB820000}"/>
    <cellStyle name="Normal 309 6 3" xfId="32705" xr:uid="{00000000-0005-0000-0000-0000BC820000}"/>
    <cellStyle name="Normal 309 7" xfId="32706" xr:uid="{00000000-0005-0000-0000-0000BD820000}"/>
    <cellStyle name="Normal 309 8" xfId="32707" xr:uid="{00000000-0005-0000-0000-0000BE820000}"/>
    <cellStyle name="Normal 309 9" xfId="32708" xr:uid="{00000000-0005-0000-0000-0000BF820000}"/>
    <cellStyle name="Normal 31" xfId="8" xr:uid="{00000000-0005-0000-0000-0000C0820000}"/>
    <cellStyle name="Normal 31 10" xfId="32709" xr:uid="{00000000-0005-0000-0000-0000C1820000}"/>
    <cellStyle name="Normal 31 11" xfId="32710" xr:uid="{00000000-0005-0000-0000-0000C2820000}"/>
    <cellStyle name="Normal 31 12" xfId="32711" xr:uid="{00000000-0005-0000-0000-0000C3820000}"/>
    <cellStyle name="Normal 31 13" xfId="32712" xr:uid="{00000000-0005-0000-0000-0000C4820000}"/>
    <cellStyle name="Normal 31 14" xfId="32713" xr:uid="{00000000-0005-0000-0000-0000C5820000}"/>
    <cellStyle name="Normal 31 2" xfId="32714" xr:uid="{00000000-0005-0000-0000-0000C6820000}"/>
    <cellStyle name="Normal 31 2 10" xfId="32715" xr:uid="{00000000-0005-0000-0000-0000C7820000}"/>
    <cellStyle name="Normal 31 2 2" xfId="32716" xr:uid="{00000000-0005-0000-0000-0000C8820000}"/>
    <cellStyle name="Normal 31 2 2 2" xfId="32717" xr:uid="{00000000-0005-0000-0000-0000C9820000}"/>
    <cellStyle name="Normal 31 2 2 2 2" xfId="32718" xr:uid="{00000000-0005-0000-0000-0000CA820000}"/>
    <cellStyle name="Normal 31 2 2 2 2 2" xfId="32719" xr:uid="{00000000-0005-0000-0000-0000CB820000}"/>
    <cellStyle name="Normal 31 2 2 2 2 3" xfId="32720" xr:uid="{00000000-0005-0000-0000-0000CC820000}"/>
    <cellStyle name="Normal 31 2 2 2 3" xfId="32721" xr:uid="{00000000-0005-0000-0000-0000CD820000}"/>
    <cellStyle name="Normal 31 2 2 2 3 2" xfId="32722" xr:uid="{00000000-0005-0000-0000-0000CE820000}"/>
    <cellStyle name="Normal 31 2 2 2 3 3" xfId="32723" xr:uid="{00000000-0005-0000-0000-0000CF820000}"/>
    <cellStyle name="Normal 31 2 2 2 4" xfId="32724" xr:uid="{00000000-0005-0000-0000-0000D0820000}"/>
    <cellStyle name="Normal 31 2 2 2 5" xfId="32725" xr:uid="{00000000-0005-0000-0000-0000D1820000}"/>
    <cellStyle name="Normal 31 2 2 2 6" xfId="32726" xr:uid="{00000000-0005-0000-0000-0000D2820000}"/>
    <cellStyle name="Normal 31 2 2 3" xfId="32727" xr:uid="{00000000-0005-0000-0000-0000D3820000}"/>
    <cellStyle name="Normal 31 2 2 3 2" xfId="32728" xr:uid="{00000000-0005-0000-0000-0000D4820000}"/>
    <cellStyle name="Normal 31 2 2 3 3" xfId="32729" xr:uid="{00000000-0005-0000-0000-0000D5820000}"/>
    <cellStyle name="Normal 31 2 2 4" xfId="32730" xr:uid="{00000000-0005-0000-0000-0000D6820000}"/>
    <cellStyle name="Normal 31 2 2 4 2" xfId="32731" xr:uid="{00000000-0005-0000-0000-0000D7820000}"/>
    <cellStyle name="Normal 31 2 2 4 3" xfId="32732" xr:uid="{00000000-0005-0000-0000-0000D8820000}"/>
    <cellStyle name="Normal 31 2 2 5" xfId="32733" xr:uid="{00000000-0005-0000-0000-0000D9820000}"/>
    <cellStyle name="Normal 31 2 2 6" xfId="32734" xr:uid="{00000000-0005-0000-0000-0000DA820000}"/>
    <cellStyle name="Normal 31 2 2 7" xfId="32735" xr:uid="{00000000-0005-0000-0000-0000DB820000}"/>
    <cellStyle name="Normal 31 2 2 8" xfId="32736" xr:uid="{00000000-0005-0000-0000-0000DC820000}"/>
    <cellStyle name="Normal 31 2 3" xfId="32737" xr:uid="{00000000-0005-0000-0000-0000DD820000}"/>
    <cellStyle name="Normal 31 2 3 2" xfId="32738" xr:uid="{00000000-0005-0000-0000-0000DE820000}"/>
    <cellStyle name="Normal 31 2 3 2 2" xfId="32739" xr:uid="{00000000-0005-0000-0000-0000DF820000}"/>
    <cellStyle name="Normal 31 2 3 2 3" xfId="32740" xr:uid="{00000000-0005-0000-0000-0000E0820000}"/>
    <cellStyle name="Normal 31 2 3 3" xfId="32741" xr:uid="{00000000-0005-0000-0000-0000E1820000}"/>
    <cellStyle name="Normal 31 2 3 3 2" xfId="32742" xr:uid="{00000000-0005-0000-0000-0000E2820000}"/>
    <cellStyle name="Normal 31 2 3 3 3" xfId="32743" xr:uid="{00000000-0005-0000-0000-0000E3820000}"/>
    <cellStyle name="Normal 31 2 3 4" xfId="32744" xr:uid="{00000000-0005-0000-0000-0000E4820000}"/>
    <cellStyle name="Normal 31 2 3 5" xfId="32745" xr:uid="{00000000-0005-0000-0000-0000E5820000}"/>
    <cellStyle name="Normal 31 2 3 6" xfId="32746" xr:uid="{00000000-0005-0000-0000-0000E6820000}"/>
    <cellStyle name="Normal 31 2 4" xfId="32747" xr:uid="{00000000-0005-0000-0000-0000E7820000}"/>
    <cellStyle name="Normal 31 2 4 2" xfId="32748" xr:uid="{00000000-0005-0000-0000-0000E8820000}"/>
    <cellStyle name="Normal 31 2 4 3" xfId="32749" xr:uid="{00000000-0005-0000-0000-0000E9820000}"/>
    <cellStyle name="Normal 31 2 5" xfId="32750" xr:uid="{00000000-0005-0000-0000-0000EA820000}"/>
    <cellStyle name="Normal 31 2 5 2" xfId="32751" xr:uid="{00000000-0005-0000-0000-0000EB820000}"/>
    <cellStyle name="Normal 31 2 5 3" xfId="32752" xr:uid="{00000000-0005-0000-0000-0000EC820000}"/>
    <cellStyle name="Normal 31 2 6" xfId="32753" xr:uid="{00000000-0005-0000-0000-0000ED820000}"/>
    <cellStyle name="Normal 31 2 7" xfId="32754" xr:uid="{00000000-0005-0000-0000-0000EE820000}"/>
    <cellStyle name="Normal 31 2 8" xfId="32755" xr:uid="{00000000-0005-0000-0000-0000EF820000}"/>
    <cellStyle name="Normal 31 2 9" xfId="32756" xr:uid="{00000000-0005-0000-0000-0000F0820000}"/>
    <cellStyle name="Normal 31 3" xfId="32757" xr:uid="{00000000-0005-0000-0000-0000F1820000}"/>
    <cellStyle name="Normal 31 3 10" xfId="32758" xr:uid="{00000000-0005-0000-0000-0000F2820000}"/>
    <cellStyle name="Normal 31 3 11" xfId="32759" xr:uid="{00000000-0005-0000-0000-0000F3820000}"/>
    <cellStyle name="Normal 31 3 2" xfId="32760" xr:uid="{00000000-0005-0000-0000-0000F4820000}"/>
    <cellStyle name="Normal 31 3 2 2" xfId="32761" xr:uid="{00000000-0005-0000-0000-0000F5820000}"/>
    <cellStyle name="Normal 31 3 2 2 2" xfId="32762" xr:uid="{00000000-0005-0000-0000-0000F6820000}"/>
    <cellStyle name="Normal 31 3 2 2 3" xfId="32763" xr:uid="{00000000-0005-0000-0000-0000F7820000}"/>
    <cellStyle name="Normal 31 3 2 3" xfId="32764" xr:uid="{00000000-0005-0000-0000-0000F8820000}"/>
    <cellStyle name="Normal 31 3 2 3 2" xfId="32765" xr:uid="{00000000-0005-0000-0000-0000F9820000}"/>
    <cellStyle name="Normal 31 3 2 3 3" xfId="32766" xr:uid="{00000000-0005-0000-0000-0000FA820000}"/>
    <cellStyle name="Normal 31 3 2 4" xfId="32767" xr:uid="{00000000-0005-0000-0000-0000FB820000}"/>
    <cellStyle name="Normal 31 3 2 5" xfId="32768" xr:uid="{00000000-0005-0000-0000-0000FC820000}"/>
    <cellStyle name="Normal 31 3 2 6" xfId="32769" xr:uid="{00000000-0005-0000-0000-0000FD820000}"/>
    <cellStyle name="Normal 31 3 3" xfId="32770" xr:uid="{00000000-0005-0000-0000-0000FE820000}"/>
    <cellStyle name="Normal 31 3 3 2" xfId="32771" xr:uid="{00000000-0005-0000-0000-0000FF820000}"/>
    <cellStyle name="Normal 31 3 3 3" xfId="32772" xr:uid="{00000000-0005-0000-0000-000000830000}"/>
    <cellStyle name="Normal 31 3 4" xfId="32773" xr:uid="{00000000-0005-0000-0000-000001830000}"/>
    <cellStyle name="Normal 31 3 4 2" xfId="32774" xr:uid="{00000000-0005-0000-0000-000002830000}"/>
    <cellStyle name="Normal 31 3 4 3" xfId="32775" xr:uid="{00000000-0005-0000-0000-000003830000}"/>
    <cellStyle name="Normal 31 3 5" xfId="32776" xr:uid="{00000000-0005-0000-0000-000004830000}"/>
    <cellStyle name="Normal 31 3 6" xfId="32777" xr:uid="{00000000-0005-0000-0000-000005830000}"/>
    <cellStyle name="Normal 31 3 7" xfId="32778" xr:uid="{00000000-0005-0000-0000-000006830000}"/>
    <cellStyle name="Normal 31 3 8" xfId="32779" xr:uid="{00000000-0005-0000-0000-000007830000}"/>
    <cellStyle name="Normal 31 3 9" xfId="32780" xr:uid="{00000000-0005-0000-0000-000008830000}"/>
    <cellStyle name="Normal 31 4" xfId="32781" xr:uid="{00000000-0005-0000-0000-000009830000}"/>
    <cellStyle name="Normal 31 4 2" xfId="32782" xr:uid="{00000000-0005-0000-0000-00000A830000}"/>
    <cellStyle name="Normal 31 4 2 2" xfId="32783" xr:uid="{00000000-0005-0000-0000-00000B830000}"/>
    <cellStyle name="Normal 31 4 2 3" xfId="32784" xr:uid="{00000000-0005-0000-0000-00000C830000}"/>
    <cellStyle name="Normal 31 4 3" xfId="32785" xr:uid="{00000000-0005-0000-0000-00000D830000}"/>
    <cellStyle name="Normal 31 4 3 2" xfId="32786" xr:uid="{00000000-0005-0000-0000-00000E830000}"/>
    <cellStyle name="Normal 31 4 3 3" xfId="32787" xr:uid="{00000000-0005-0000-0000-00000F830000}"/>
    <cellStyle name="Normal 31 4 4" xfId="32788" xr:uid="{00000000-0005-0000-0000-000010830000}"/>
    <cellStyle name="Normal 31 4 5" xfId="32789" xr:uid="{00000000-0005-0000-0000-000011830000}"/>
    <cellStyle name="Normal 31 4 6" xfId="32790" xr:uid="{00000000-0005-0000-0000-000012830000}"/>
    <cellStyle name="Normal 31 5" xfId="32791" xr:uid="{00000000-0005-0000-0000-000013830000}"/>
    <cellStyle name="Normal 31 5 2" xfId="32792" xr:uid="{00000000-0005-0000-0000-000014830000}"/>
    <cellStyle name="Normal 31 5 3" xfId="32793" xr:uid="{00000000-0005-0000-0000-000015830000}"/>
    <cellStyle name="Normal 31 6" xfId="32794" xr:uid="{00000000-0005-0000-0000-000016830000}"/>
    <cellStyle name="Normal 31 6 2" xfId="32795" xr:uid="{00000000-0005-0000-0000-000017830000}"/>
    <cellStyle name="Normal 31 6 3" xfId="32796" xr:uid="{00000000-0005-0000-0000-000018830000}"/>
    <cellStyle name="Normal 31 7" xfId="32797" xr:uid="{00000000-0005-0000-0000-000019830000}"/>
    <cellStyle name="Normal 31 8" xfId="32798" xr:uid="{00000000-0005-0000-0000-00001A830000}"/>
    <cellStyle name="Normal 31 9" xfId="32799" xr:uid="{00000000-0005-0000-0000-00001B830000}"/>
    <cellStyle name="Normal 310" xfId="3209" xr:uid="{00000000-0005-0000-0000-00001C830000}"/>
    <cellStyle name="Normal 310 10" xfId="32800" xr:uid="{00000000-0005-0000-0000-00001D830000}"/>
    <cellStyle name="Normal 310 11" xfId="32801" xr:uid="{00000000-0005-0000-0000-00001E830000}"/>
    <cellStyle name="Normal 310 2" xfId="32802" xr:uid="{00000000-0005-0000-0000-00001F830000}"/>
    <cellStyle name="Normal 310 2 2" xfId="32803" xr:uid="{00000000-0005-0000-0000-000020830000}"/>
    <cellStyle name="Normal 310 2 2 2" xfId="32804" xr:uid="{00000000-0005-0000-0000-000021830000}"/>
    <cellStyle name="Normal 310 2 2 2 2" xfId="32805" xr:uid="{00000000-0005-0000-0000-000022830000}"/>
    <cellStyle name="Normal 310 2 2 2 2 2" xfId="32806" xr:uid="{00000000-0005-0000-0000-000023830000}"/>
    <cellStyle name="Normal 310 2 2 2 2 3" xfId="32807" xr:uid="{00000000-0005-0000-0000-000024830000}"/>
    <cellStyle name="Normal 310 2 2 2 3" xfId="32808" xr:uid="{00000000-0005-0000-0000-000025830000}"/>
    <cellStyle name="Normal 310 2 2 2 3 2" xfId="32809" xr:uid="{00000000-0005-0000-0000-000026830000}"/>
    <cellStyle name="Normal 310 2 2 2 3 3" xfId="32810" xr:uid="{00000000-0005-0000-0000-000027830000}"/>
    <cellStyle name="Normal 310 2 2 2 4" xfId="32811" xr:uid="{00000000-0005-0000-0000-000028830000}"/>
    <cellStyle name="Normal 310 2 2 2 5" xfId="32812" xr:uid="{00000000-0005-0000-0000-000029830000}"/>
    <cellStyle name="Normal 310 2 2 2 6" xfId="32813" xr:uid="{00000000-0005-0000-0000-00002A830000}"/>
    <cellStyle name="Normal 310 2 2 3" xfId="32814" xr:uid="{00000000-0005-0000-0000-00002B830000}"/>
    <cellStyle name="Normal 310 2 2 3 2" xfId="32815" xr:uid="{00000000-0005-0000-0000-00002C830000}"/>
    <cellStyle name="Normal 310 2 2 3 3" xfId="32816" xr:uid="{00000000-0005-0000-0000-00002D830000}"/>
    <cellStyle name="Normal 310 2 2 4" xfId="32817" xr:uid="{00000000-0005-0000-0000-00002E830000}"/>
    <cellStyle name="Normal 310 2 2 4 2" xfId="32818" xr:uid="{00000000-0005-0000-0000-00002F830000}"/>
    <cellStyle name="Normal 310 2 2 4 3" xfId="32819" xr:uid="{00000000-0005-0000-0000-000030830000}"/>
    <cellStyle name="Normal 310 2 2 5" xfId="32820" xr:uid="{00000000-0005-0000-0000-000031830000}"/>
    <cellStyle name="Normal 310 2 2 6" xfId="32821" xr:uid="{00000000-0005-0000-0000-000032830000}"/>
    <cellStyle name="Normal 310 2 2 7" xfId="32822" xr:uid="{00000000-0005-0000-0000-000033830000}"/>
    <cellStyle name="Normal 310 2 2 8" xfId="32823" xr:uid="{00000000-0005-0000-0000-000034830000}"/>
    <cellStyle name="Normal 310 2 3" xfId="32824" xr:uid="{00000000-0005-0000-0000-000035830000}"/>
    <cellStyle name="Normal 310 2 3 2" xfId="32825" xr:uid="{00000000-0005-0000-0000-000036830000}"/>
    <cellStyle name="Normal 310 2 3 2 2" xfId="32826" xr:uid="{00000000-0005-0000-0000-000037830000}"/>
    <cellStyle name="Normal 310 2 3 2 3" xfId="32827" xr:uid="{00000000-0005-0000-0000-000038830000}"/>
    <cellStyle name="Normal 310 2 3 3" xfId="32828" xr:uid="{00000000-0005-0000-0000-000039830000}"/>
    <cellStyle name="Normal 310 2 3 3 2" xfId="32829" xr:uid="{00000000-0005-0000-0000-00003A830000}"/>
    <cellStyle name="Normal 310 2 3 3 3" xfId="32830" xr:uid="{00000000-0005-0000-0000-00003B830000}"/>
    <cellStyle name="Normal 310 2 3 4" xfId="32831" xr:uid="{00000000-0005-0000-0000-00003C830000}"/>
    <cellStyle name="Normal 310 2 3 5" xfId="32832" xr:uid="{00000000-0005-0000-0000-00003D830000}"/>
    <cellStyle name="Normal 310 2 3 6" xfId="32833" xr:uid="{00000000-0005-0000-0000-00003E830000}"/>
    <cellStyle name="Normal 310 2 4" xfId="32834" xr:uid="{00000000-0005-0000-0000-00003F830000}"/>
    <cellStyle name="Normal 310 2 4 2" xfId="32835" xr:uid="{00000000-0005-0000-0000-000040830000}"/>
    <cellStyle name="Normal 310 2 4 3" xfId="32836" xr:uid="{00000000-0005-0000-0000-000041830000}"/>
    <cellStyle name="Normal 310 2 5" xfId="32837" xr:uid="{00000000-0005-0000-0000-000042830000}"/>
    <cellStyle name="Normal 310 2 5 2" xfId="32838" xr:uid="{00000000-0005-0000-0000-000043830000}"/>
    <cellStyle name="Normal 310 2 5 3" xfId="32839" xr:uid="{00000000-0005-0000-0000-000044830000}"/>
    <cellStyle name="Normal 310 2 6" xfId="32840" xr:uid="{00000000-0005-0000-0000-000045830000}"/>
    <cellStyle name="Normal 310 2 7" xfId="32841" xr:uid="{00000000-0005-0000-0000-000046830000}"/>
    <cellStyle name="Normal 310 2 8" xfId="32842" xr:uid="{00000000-0005-0000-0000-000047830000}"/>
    <cellStyle name="Normal 310 2 9" xfId="32843" xr:uid="{00000000-0005-0000-0000-000048830000}"/>
    <cellStyle name="Normal 310 3" xfId="32844" xr:uid="{00000000-0005-0000-0000-000049830000}"/>
    <cellStyle name="Normal 310 3 2" xfId="32845" xr:uid="{00000000-0005-0000-0000-00004A830000}"/>
    <cellStyle name="Normal 310 3 2 2" xfId="32846" xr:uid="{00000000-0005-0000-0000-00004B830000}"/>
    <cellStyle name="Normal 310 3 2 2 2" xfId="32847" xr:uid="{00000000-0005-0000-0000-00004C830000}"/>
    <cellStyle name="Normal 310 3 2 2 3" xfId="32848" xr:uid="{00000000-0005-0000-0000-00004D830000}"/>
    <cellStyle name="Normal 310 3 2 3" xfId="32849" xr:uid="{00000000-0005-0000-0000-00004E830000}"/>
    <cellStyle name="Normal 310 3 2 3 2" xfId="32850" xr:uid="{00000000-0005-0000-0000-00004F830000}"/>
    <cellStyle name="Normal 310 3 2 3 3" xfId="32851" xr:uid="{00000000-0005-0000-0000-000050830000}"/>
    <cellStyle name="Normal 310 3 2 4" xfId="32852" xr:uid="{00000000-0005-0000-0000-000051830000}"/>
    <cellStyle name="Normal 310 3 2 5" xfId="32853" xr:uid="{00000000-0005-0000-0000-000052830000}"/>
    <cellStyle name="Normal 310 3 2 6" xfId="32854" xr:uid="{00000000-0005-0000-0000-000053830000}"/>
    <cellStyle name="Normal 310 3 3" xfId="32855" xr:uid="{00000000-0005-0000-0000-000054830000}"/>
    <cellStyle name="Normal 310 3 3 2" xfId="32856" xr:uid="{00000000-0005-0000-0000-000055830000}"/>
    <cellStyle name="Normal 310 3 3 3" xfId="32857" xr:uid="{00000000-0005-0000-0000-000056830000}"/>
    <cellStyle name="Normal 310 3 4" xfId="32858" xr:uid="{00000000-0005-0000-0000-000057830000}"/>
    <cellStyle name="Normal 310 3 4 2" xfId="32859" xr:uid="{00000000-0005-0000-0000-000058830000}"/>
    <cellStyle name="Normal 310 3 4 3" xfId="32860" xr:uid="{00000000-0005-0000-0000-000059830000}"/>
    <cellStyle name="Normal 310 3 5" xfId="32861" xr:uid="{00000000-0005-0000-0000-00005A830000}"/>
    <cellStyle name="Normal 310 3 6" xfId="32862" xr:uid="{00000000-0005-0000-0000-00005B830000}"/>
    <cellStyle name="Normal 310 3 7" xfId="32863" xr:uid="{00000000-0005-0000-0000-00005C830000}"/>
    <cellStyle name="Normal 310 3 8" xfId="32864" xr:uid="{00000000-0005-0000-0000-00005D830000}"/>
    <cellStyle name="Normal 310 4" xfId="32865" xr:uid="{00000000-0005-0000-0000-00005E830000}"/>
    <cellStyle name="Normal 310 4 2" xfId="32866" xr:uid="{00000000-0005-0000-0000-00005F830000}"/>
    <cellStyle name="Normal 310 4 2 2" xfId="32867" xr:uid="{00000000-0005-0000-0000-000060830000}"/>
    <cellStyle name="Normal 310 4 2 3" xfId="32868" xr:uid="{00000000-0005-0000-0000-000061830000}"/>
    <cellStyle name="Normal 310 4 3" xfId="32869" xr:uid="{00000000-0005-0000-0000-000062830000}"/>
    <cellStyle name="Normal 310 4 3 2" xfId="32870" xr:uid="{00000000-0005-0000-0000-000063830000}"/>
    <cellStyle name="Normal 310 4 3 3" xfId="32871" xr:uid="{00000000-0005-0000-0000-000064830000}"/>
    <cellStyle name="Normal 310 4 4" xfId="32872" xr:uid="{00000000-0005-0000-0000-000065830000}"/>
    <cellStyle name="Normal 310 4 5" xfId="32873" xr:uid="{00000000-0005-0000-0000-000066830000}"/>
    <cellStyle name="Normal 310 4 6" xfId="32874" xr:uid="{00000000-0005-0000-0000-000067830000}"/>
    <cellStyle name="Normal 310 5" xfId="32875" xr:uid="{00000000-0005-0000-0000-000068830000}"/>
    <cellStyle name="Normal 310 5 2" xfId="32876" xr:uid="{00000000-0005-0000-0000-000069830000}"/>
    <cellStyle name="Normal 310 5 3" xfId="32877" xr:uid="{00000000-0005-0000-0000-00006A830000}"/>
    <cellStyle name="Normal 310 6" xfId="32878" xr:uid="{00000000-0005-0000-0000-00006B830000}"/>
    <cellStyle name="Normal 310 6 2" xfId="32879" xr:uid="{00000000-0005-0000-0000-00006C830000}"/>
    <cellStyle name="Normal 310 6 3" xfId="32880" xr:uid="{00000000-0005-0000-0000-00006D830000}"/>
    <cellStyle name="Normal 310 7" xfId="32881" xr:uid="{00000000-0005-0000-0000-00006E830000}"/>
    <cellStyle name="Normal 310 8" xfId="32882" xr:uid="{00000000-0005-0000-0000-00006F830000}"/>
    <cellStyle name="Normal 310 9" xfId="32883" xr:uid="{00000000-0005-0000-0000-000070830000}"/>
    <cellStyle name="Normal 311" xfId="3210" xr:uid="{00000000-0005-0000-0000-000071830000}"/>
    <cellStyle name="Normal 311 10" xfId="32884" xr:uid="{00000000-0005-0000-0000-000072830000}"/>
    <cellStyle name="Normal 311 11" xfId="32885" xr:uid="{00000000-0005-0000-0000-000073830000}"/>
    <cellStyle name="Normal 311 2" xfId="32886" xr:uid="{00000000-0005-0000-0000-000074830000}"/>
    <cellStyle name="Normal 311 2 2" xfId="32887" xr:uid="{00000000-0005-0000-0000-000075830000}"/>
    <cellStyle name="Normal 311 2 2 2" xfId="32888" xr:uid="{00000000-0005-0000-0000-000076830000}"/>
    <cellStyle name="Normal 311 2 2 2 2" xfId="32889" xr:uid="{00000000-0005-0000-0000-000077830000}"/>
    <cellStyle name="Normal 311 2 2 2 2 2" xfId="32890" xr:uid="{00000000-0005-0000-0000-000078830000}"/>
    <cellStyle name="Normal 311 2 2 2 2 3" xfId="32891" xr:uid="{00000000-0005-0000-0000-000079830000}"/>
    <cellStyle name="Normal 311 2 2 2 3" xfId="32892" xr:uid="{00000000-0005-0000-0000-00007A830000}"/>
    <cellStyle name="Normal 311 2 2 2 3 2" xfId="32893" xr:uid="{00000000-0005-0000-0000-00007B830000}"/>
    <cellStyle name="Normal 311 2 2 2 3 3" xfId="32894" xr:uid="{00000000-0005-0000-0000-00007C830000}"/>
    <cellStyle name="Normal 311 2 2 2 4" xfId="32895" xr:uid="{00000000-0005-0000-0000-00007D830000}"/>
    <cellStyle name="Normal 311 2 2 2 5" xfId="32896" xr:uid="{00000000-0005-0000-0000-00007E830000}"/>
    <cellStyle name="Normal 311 2 2 2 6" xfId="32897" xr:uid="{00000000-0005-0000-0000-00007F830000}"/>
    <cellStyle name="Normal 311 2 2 3" xfId="32898" xr:uid="{00000000-0005-0000-0000-000080830000}"/>
    <cellStyle name="Normal 311 2 2 3 2" xfId="32899" xr:uid="{00000000-0005-0000-0000-000081830000}"/>
    <cellStyle name="Normal 311 2 2 3 3" xfId="32900" xr:uid="{00000000-0005-0000-0000-000082830000}"/>
    <cellStyle name="Normal 311 2 2 4" xfId="32901" xr:uid="{00000000-0005-0000-0000-000083830000}"/>
    <cellStyle name="Normal 311 2 2 4 2" xfId="32902" xr:uid="{00000000-0005-0000-0000-000084830000}"/>
    <cellStyle name="Normal 311 2 2 4 3" xfId="32903" xr:uid="{00000000-0005-0000-0000-000085830000}"/>
    <cellStyle name="Normal 311 2 2 5" xfId="32904" xr:uid="{00000000-0005-0000-0000-000086830000}"/>
    <cellStyle name="Normal 311 2 2 6" xfId="32905" xr:uid="{00000000-0005-0000-0000-000087830000}"/>
    <cellStyle name="Normal 311 2 2 7" xfId="32906" xr:uid="{00000000-0005-0000-0000-000088830000}"/>
    <cellStyle name="Normal 311 2 2 8" xfId="32907" xr:uid="{00000000-0005-0000-0000-000089830000}"/>
    <cellStyle name="Normal 311 2 3" xfId="32908" xr:uid="{00000000-0005-0000-0000-00008A830000}"/>
    <cellStyle name="Normal 311 2 3 2" xfId="32909" xr:uid="{00000000-0005-0000-0000-00008B830000}"/>
    <cellStyle name="Normal 311 2 3 2 2" xfId="32910" xr:uid="{00000000-0005-0000-0000-00008C830000}"/>
    <cellStyle name="Normal 311 2 3 2 3" xfId="32911" xr:uid="{00000000-0005-0000-0000-00008D830000}"/>
    <cellStyle name="Normal 311 2 3 3" xfId="32912" xr:uid="{00000000-0005-0000-0000-00008E830000}"/>
    <cellStyle name="Normal 311 2 3 3 2" xfId="32913" xr:uid="{00000000-0005-0000-0000-00008F830000}"/>
    <cellStyle name="Normal 311 2 3 3 3" xfId="32914" xr:uid="{00000000-0005-0000-0000-000090830000}"/>
    <cellStyle name="Normal 311 2 3 4" xfId="32915" xr:uid="{00000000-0005-0000-0000-000091830000}"/>
    <cellStyle name="Normal 311 2 3 5" xfId="32916" xr:uid="{00000000-0005-0000-0000-000092830000}"/>
    <cellStyle name="Normal 311 2 3 6" xfId="32917" xr:uid="{00000000-0005-0000-0000-000093830000}"/>
    <cellStyle name="Normal 311 2 4" xfId="32918" xr:uid="{00000000-0005-0000-0000-000094830000}"/>
    <cellStyle name="Normal 311 2 4 2" xfId="32919" xr:uid="{00000000-0005-0000-0000-000095830000}"/>
    <cellStyle name="Normal 311 2 4 3" xfId="32920" xr:uid="{00000000-0005-0000-0000-000096830000}"/>
    <cellStyle name="Normal 311 2 5" xfId="32921" xr:uid="{00000000-0005-0000-0000-000097830000}"/>
    <cellStyle name="Normal 311 2 5 2" xfId="32922" xr:uid="{00000000-0005-0000-0000-000098830000}"/>
    <cellStyle name="Normal 311 2 5 3" xfId="32923" xr:uid="{00000000-0005-0000-0000-000099830000}"/>
    <cellStyle name="Normal 311 2 6" xfId="32924" xr:uid="{00000000-0005-0000-0000-00009A830000}"/>
    <cellStyle name="Normal 311 2 7" xfId="32925" xr:uid="{00000000-0005-0000-0000-00009B830000}"/>
    <cellStyle name="Normal 311 2 8" xfId="32926" xr:uid="{00000000-0005-0000-0000-00009C830000}"/>
    <cellStyle name="Normal 311 2 9" xfId="32927" xr:uid="{00000000-0005-0000-0000-00009D830000}"/>
    <cellStyle name="Normal 311 3" xfId="32928" xr:uid="{00000000-0005-0000-0000-00009E830000}"/>
    <cellStyle name="Normal 311 3 2" xfId="32929" xr:uid="{00000000-0005-0000-0000-00009F830000}"/>
    <cellStyle name="Normal 311 3 2 2" xfId="32930" xr:uid="{00000000-0005-0000-0000-0000A0830000}"/>
    <cellStyle name="Normal 311 3 2 2 2" xfId="32931" xr:uid="{00000000-0005-0000-0000-0000A1830000}"/>
    <cellStyle name="Normal 311 3 2 2 3" xfId="32932" xr:uid="{00000000-0005-0000-0000-0000A2830000}"/>
    <cellStyle name="Normal 311 3 2 3" xfId="32933" xr:uid="{00000000-0005-0000-0000-0000A3830000}"/>
    <cellStyle name="Normal 311 3 2 3 2" xfId="32934" xr:uid="{00000000-0005-0000-0000-0000A4830000}"/>
    <cellStyle name="Normal 311 3 2 3 3" xfId="32935" xr:uid="{00000000-0005-0000-0000-0000A5830000}"/>
    <cellStyle name="Normal 311 3 2 4" xfId="32936" xr:uid="{00000000-0005-0000-0000-0000A6830000}"/>
    <cellStyle name="Normal 311 3 2 5" xfId="32937" xr:uid="{00000000-0005-0000-0000-0000A7830000}"/>
    <cellStyle name="Normal 311 3 2 6" xfId="32938" xr:uid="{00000000-0005-0000-0000-0000A8830000}"/>
    <cellStyle name="Normal 311 3 3" xfId="32939" xr:uid="{00000000-0005-0000-0000-0000A9830000}"/>
    <cellStyle name="Normal 311 3 3 2" xfId="32940" xr:uid="{00000000-0005-0000-0000-0000AA830000}"/>
    <cellStyle name="Normal 311 3 3 3" xfId="32941" xr:uid="{00000000-0005-0000-0000-0000AB830000}"/>
    <cellStyle name="Normal 311 3 4" xfId="32942" xr:uid="{00000000-0005-0000-0000-0000AC830000}"/>
    <cellStyle name="Normal 311 3 4 2" xfId="32943" xr:uid="{00000000-0005-0000-0000-0000AD830000}"/>
    <cellStyle name="Normal 311 3 4 3" xfId="32944" xr:uid="{00000000-0005-0000-0000-0000AE830000}"/>
    <cellStyle name="Normal 311 3 5" xfId="32945" xr:uid="{00000000-0005-0000-0000-0000AF830000}"/>
    <cellStyle name="Normal 311 3 6" xfId="32946" xr:uid="{00000000-0005-0000-0000-0000B0830000}"/>
    <cellStyle name="Normal 311 3 7" xfId="32947" xr:uid="{00000000-0005-0000-0000-0000B1830000}"/>
    <cellStyle name="Normal 311 3 8" xfId="32948" xr:uid="{00000000-0005-0000-0000-0000B2830000}"/>
    <cellStyle name="Normal 311 4" xfId="32949" xr:uid="{00000000-0005-0000-0000-0000B3830000}"/>
    <cellStyle name="Normal 311 4 2" xfId="32950" xr:uid="{00000000-0005-0000-0000-0000B4830000}"/>
    <cellStyle name="Normal 311 4 2 2" xfId="32951" xr:uid="{00000000-0005-0000-0000-0000B5830000}"/>
    <cellStyle name="Normal 311 4 2 3" xfId="32952" xr:uid="{00000000-0005-0000-0000-0000B6830000}"/>
    <cellStyle name="Normal 311 4 3" xfId="32953" xr:uid="{00000000-0005-0000-0000-0000B7830000}"/>
    <cellStyle name="Normal 311 4 3 2" xfId="32954" xr:uid="{00000000-0005-0000-0000-0000B8830000}"/>
    <cellStyle name="Normal 311 4 3 3" xfId="32955" xr:uid="{00000000-0005-0000-0000-0000B9830000}"/>
    <cellStyle name="Normal 311 4 4" xfId="32956" xr:uid="{00000000-0005-0000-0000-0000BA830000}"/>
    <cellStyle name="Normal 311 4 5" xfId="32957" xr:uid="{00000000-0005-0000-0000-0000BB830000}"/>
    <cellStyle name="Normal 311 4 6" xfId="32958" xr:uid="{00000000-0005-0000-0000-0000BC830000}"/>
    <cellStyle name="Normal 311 5" xfId="32959" xr:uid="{00000000-0005-0000-0000-0000BD830000}"/>
    <cellStyle name="Normal 311 5 2" xfId="32960" xr:uid="{00000000-0005-0000-0000-0000BE830000}"/>
    <cellStyle name="Normal 311 5 3" xfId="32961" xr:uid="{00000000-0005-0000-0000-0000BF830000}"/>
    <cellStyle name="Normal 311 6" xfId="32962" xr:uid="{00000000-0005-0000-0000-0000C0830000}"/>
    <cellStyle name="Normal 311 6 2" xfId="32963" xr:uid="{00000000-0005-0000-0000-0000C1830000}"/>
    <cellStyle name="Normal 311 6 3" xfId="32964" xr:uid="{00000000-0005-0000-0000-0000C2830000}"/>
    <cellStyle name="Normal 311 7" xfId="32965" xr:uid="{00000000-0005-0000-0000-0000C3830000}"/>
    <cellStyle name="Normal 311 8" xfId="32966" xr:uid="{00000000-0005-0000-0000-0000C4830000}"/>
    <cellStyle name="Normal 311 9" xfId="32967" xr:uid="{00000000-0005-0000-0000-0000C5830000}"/>
    <cellStyle name="Normal 312" xfId="3211" xr:uid="{00000000-0005-0000-0000-0000C6830000}"/>
    <cellStyle name="Normal 312 10" xfId="32968" xr:uid="{00000000-0005-0000-0000-0000C7830000}"/>
    <cellStyle name="Normal 312 11" xfId="32969" xr:uid="{00000000-0005-0000-0000-0000C8830000}"/>
    <cellStyle name="Normal 312 2" xfId="32970" xr:uid="{00000000-0005-0000-0000-0000C9830000}"/>
    <cellStyle name="Normal 312 2 2" xfId="32971" xr:uid="{00000000-0005-0000-0000-0000CA830000}"/>
    <cellStyle name="Normal 312 2 2 2" xfId="32972" xr:uid="{00000000-0005-0000-0000-0000CB830000}"/>
    <cellStyle name="Normal 312 2 2 2 2" xfId="32973" xr:uid="{00000000-0005-0000-0000-0000CC830000}"/>
    <cellStyle name="Normal 312 2 2 2 2 2" xfId="32974" xr:uid="{00000000-0005-0000-0000-0000CD830000}"/>
    <cellStyle name="Normal 312 2 2 2 2 3" xfId="32975" xr:uid="{00000000-0005-0000-0000-0000CE830000}"/>
    <cellStyle name="Normal 312 2 2 2 3" xfId="32976" xr:uid="{00000000-0005-0000-0000-0000CF830000}"/>
    <cellStyle name="Normal 312 2 2 2 3 2" xfId="32977" xr:uid="{00000000-0005-0000-0000-0000D0830000}"/>
    <cellStyle name="Normal 312 2 2 2 3 3" xfId="32978" xr:uid="{00000000-0005-0000-0000-0000D1830000}"/>
    <cellStyle name="Normal 312 2 2 2 4" xfId="32979" xr:uid="{00000000-0005-0000-0000-0000D2830000}"/>
    <cellStyle name="Normal 312 2 2 2 5" xfId="32980" xr:uid="{00000000-0005-0000-0000-0000D3830000}"/>
    <cellStyle name="Normal 312 2 2 2 6" xfId="32981" xr:uid="{00000000-0005-0000-0000-0000D4830000}"/>
    <cellStyle name="Normal 312 2 2 3" xfId="32982" xr:uid="{00000000-0005-0000-0000-0000D5830000}"/>
    <cellStyle name="Normal 312 2 2 3 2" xfId="32983" xr:uid="{00000000-0005-0000-0000-0000D6830000}"/>
    <cellStyle name="Normal 312 2 2 3 3" xfId="32984" xr:uid="{00000000-0005-0000-0000-0000D7830000}"/>
    <cellStyle name="Normal 312 2 2 4" xfId="32985" xr:uid="{00000000-0005-0000-0000-0000D8830000}"/>
    <cellStyle name="Normal 312 2 2 4 2" xfId="32986" xr:uid="{00000000-0005-0000-0000-0000D9830000}"/>
    <cellStyle name="Normal 312 2 2 4 3" xfId="32987" xr:uid="{00000000-0005-0000-0000-0000DA830000}"/>
    <cellStyle name="Normal 312 2 2 5" xfId="32988" xr:uid="{00000000-0005-0000-0000-0000DB830000}"/>
    <cellStyle name="Normal 312 2 2 6" xfId="32989" xr:uid="{00000000-0005-0000-0000-0000DC830000}"/>
    <cellStyle name="Normal 312 2 2 7" xfId="32990" xr:uid="{00000000-0005-0000-0000-0000DD830000}"/>
    <cellStyle name="Normal 312 2 2 8" xfId="32991" xr:uid="{00000000-0005-0000-0000-0000DE830000}"/>
    <cellStyle name="Normal 312 2 3" xfId="32992" xr:uid="{00000000-0005-0000-0000-0000DF830000}"/>
    <cellStyle name="Normal 312 2 3 2" xfId="32993" xr:uid="{00000000-0005-0000-0000-0000E0830000}"/>
    <cellStyle name="Normal 312 2 3 2 2" xfId="32994" xr:uid="{00000000-0005-0000-0000-0000E1830000}"/>
    <cellStyle name="Normal 312 2 3 2 3" xfId="32995" xr:uid="{00000000-0005-0000-0000-0000E2830000}"/>
    <cellStyle name="Normal 312 2 3 3" xfId="32996" xr:uid="{00000000-0005-0000-0000-0000E3830000}"/>
    <cellStyle name="Normal 312 2 3 3 2" xfId="32997" xr:uid="{00000000-0005-0000-0000-0000E4830000}"/>
    <cellStyle name="Normal 312 2 3 3 3" xfId="32998" xr:uid="{00000000-0005-0000-0000-0000E5830000}"/>
    <cellStyle name="Normal 312 2 3 4" xfId="32999" xr:uid="{00000000-0005-0000-0000-0000E6830000}"/>
    <cellStyle name="Normal 312 2 3 5" xfId="33000" xr:uid="{00000000-0005-0000-0000-0000E7830000}"/>
    <cellStyle name="Normal 312 2 3 6" xfId="33001" xr:uid="{00000000-0005-0000-0000-0000E8830000}"/>
    <cellStyle name="Normal 312 2 4" xfId="33002" xr:uid="{00000000-0005-0000-0000-0000E9830000}"/>
    <cellStyle name="Normal 312 2 4 2" xfId="33003" xr:uid="{00000000-0005-0000-0000-0000EA830000}"/>
    <cellStyle name="Normal 312 2 4 3" xfId="33004" xr:uid="{00000000-0005-0000-0000-0000EB830000}"/>
    <cellStyle name="Normal 312 2 5" xfId="33005" xr:uid="{00000000-0005-0000-0000-0000EC830000}"/>
    <cellStyle name="Normal 312 2 5 2" xfId="33006" xr:uid="{00000000-0005-0000-0000-0000ED830000}"/>
    <cellStyle name="Normal 312 2 5 3" xfId="33007" xr:uid="{00000000-0005-0000-0000-0000EE830000}"/>
    <cellStyle name="Normal 312 2 6" xfId="33008" xr:uid="{00000000-0005-0000-0000-0000EF830000}"/>
    <cellStyle name="Normal 312 2 7" xfId="33009" xr:uid="{00000000-0005-0000-0000-0000F0830000}"/>
    <cellStyle name="Normal 312 2 8" xfId="33010" xr:uid="{00000000-0005-0000-0000-0000F1830000}"/>
    <cellStyle name="Normal 312 2 9" xfId="33011" xr:uid="{00000000-0005-0000-0000-0000F2830000}"/>
    <cellStyle name="Normal 312 3" xfId="33012" xr:uid="{00000000-0005-0000-0000-0000F3830000}"/>
    <cellStyle name="Normal 312 3 2" xfId="33013" xr:uid="{00000000-0005-0000-0000-0000F4830000}"/>
    <cellStyle name="Normal 312 3 2 2" xfId="33014" xr:uid="{00000000-0005-0000-0000-0000F5830000}"/>
    <cellStyle name="Normal 312 3 2 2 2" xfId="33015" xr:uid="{00000000-0005-0000-0000-0000F6830000}"/>
    <cellStyle name="Normal 312 3 2 2 3" xfId="33016" xr:uid="{00000000-0005-0000-0000-0000F7830000}"/>
    <cellStyle name="Normal 312 3 2 3" xfId="33017" xr:uid="{00000000-0005-0000-0000-0000F8830000}"/>
    <cellStyle name="Normal 312 3 2 3 2" xfId="33018" xr:uid="{00000000-0005-0000-0000-0000F9830000}"/>
    <cellStyle name="Normal 312 3 2 3 3" xfId="33019" xr:uid="{00000000-0005-0000-0000-0000FA830000}"/>
    <cellStyle name="Normal 312 3 2 4" xfId="33020" xr:uid="{00000000-0005-0000-0000-0000FB830000}"/>
    <cellStyle name="Normal 312 3 2 5" xfId="33021" xr:uid="{00000000-0005-0000-0000-0000FC830000}"/>
    <cellStyle name="Normal 312 3 2 6" xfId="33022" xr:uid="{00000000-0005-0000-0000-0000FD830000}"/>
    <cellStyle name="Normal 312 3 3" xfId="33023" xr:uid="{00000000-0005-0000-0000-0000FE830000}"/>
    <cellStyle name="Normal 312 3 3 2" xfId="33024" xr:uid="{00000000-0005-0000-0000-0000FF830000}"/>
    <cellStyle name="Normal 312 3 3 3" xfId="33025" xr:uid="{00000000-0005-0000-0000-000000840000}"/>
    <cellStyle name="Normal 312 3 4" xfId="33026" xr:uid="{00000000-0005-0000-0000-000001840000}"/>
    <cellStyle name="Normal 312 3 4 2" xfId="33027" xr:uid="{00000000-0005-0000-0000-000002840000}"/>
    <cellStyle name="Normal 312 3 4 3" xfId="33028" xr:uid="{00000000-0005-0000-0000-000003840000}"/>
    <cellStyle name="Normal 312 3 5" xfId="33029" xr:uid="{00000000-0005-0000-0000-000004840000}"/>
    <cellStyle name="Normal 312 3 6" xfId="33030" xr:uid="{00000000-0005-0000-0000-000005840000}"/>
    <cellStyle name="Normal 312 3 7" xfId="33031" xr:uid="{00000000-0005-0000-0000-000006840000}"/>
    <cellStyle name="Normal 312 3 8" xfId="33032" xr:uid="{00000000-0005-0000-0000-000007840000}"/>
    <cellStyle name="Normal 312 4" xfId="33033" xr:uid="{00000000-0005-0000-0000-000008840000}"/>
    <cellStyle name="Normal 312 4 2" xfId="33034" xr:uid="{00000000-0005-0000-0000-000009840000}"/>
    <cellStyle name="Normal 312 4 2 2" xfId="33035" xr:uid="{00000000-0005-0000-0000-00000A840000}"/>
    <cellStyle name="Normal 312 4 2 3" xfId="33036" xr:uid="{00000000-0005-0000-0000-00000B840000}"/>
    <cellStyle name="Normal 312 4 3" xfId="33037" xr:uid="{00000000-0005-0000-0000-00000C840000}"/>
    <cellStyle name="Normal 312 4 3 2" xfId="33038" xr:uid="{00000000-0005-0000-0000-00000D840000}"/>
    <cellStyle name="Normal 312 4 3 3" xfId="33039" xr:uid="{00000000-0005-0000-0000-00000E840000}"/>
    <cellStyle name="Normal 312 4 4" xfId="33040" xr:uid="{00000000-0005-0000-0000-00000F840000}"/>
    <cellStyle name="Normal 312 4 5" xfId="33041" xr:uid="{00000000-0005-0000-0000-000010840000}"/>
    <cellStyle name="Normal 312 4 6" xfId="33042" xr:uid="{00000000-0005-0000-0000-000011840000}"/>
    <cellStyle name="Normal 312 5" xfId="33043" xr:uid="{00000000-0005-0000-0000-000012840000}"/>
    <cellStyle name="Normal 312 5 2" xfId="33044" xr:uid="{00000000-0005-0000-0000-000013840000}"/>
    <cellStyle name="Normal 312 5 3" xfId="33045" xr:uid="{00000000-0005-0000-0000-000014840000}"/>
    <cellStyle name="Normal 312 6" xfId="33046" xr:uid="{00000000-0005-0000-0000-000015840000}"/>
    <cellStyle name="Normal 312 6 2" xfId="33047" xr:uid="{00000000-0005-0000-0000-000016840000}"/>
    <cellStyle name="Normal 312 6 3" xfId="33048" xr:uid="{00000000-0005-0000-0000-000017840000}"/>
    <cellStyle name="Normal 312 7" xfId="33049" xr:uid="{00000000-0005-0000-0000-000018840000}"/>
    <cellStyle name="Normal 312 8" xfId="33050" xr:uid="{00000000-0005-0000-0000-000019840000}"/>
    <cellStyle name="Normal 312 9" xfId="33051" xr:uid="{00000000-0005-0000-0000-00001A840000}"/>
    <cellStyle name="Normal 313" xfId="3212" xr:uid="{00000000-0005-0000-0000-00001B840000}"/>
    <cellStyle name="Normal 313 10" xfId="33052" xr:uid="{00000000-0005-0000-0000-00001C840000}"/>
    <cellStyle name="Normal 313 11" xfId="33053" xr:uid="{00000000-0005-0000-0000-00001D840000}"/>
    <cellStyle name="Normal 313 2" xfId="33054" xr:uid="{00000000-0005-0000-0000-00001E840000}"/>
    <cellStyle name="Normal 313 2 2" xfId="33055" xr:uid="{00000000-0005-0000-0000-00001F840000}"/>
    <cellStyle name="Normal 313 2 2 2" xfId="33056" xr:uid="{00000000-0005-0000-0000-000020840000}"/>
    <cellStyle name="Normal 313 2 2 2 2" xfId="33057" xr:uid="{00000000-0005-0000-0000-000021840000}"/>
    <cellStyle name="Normal 313 2 2 2 2 2" xfId="33058" xr:uid="{00000000-0005-0000-0000-000022840000}"/>
    <cellStyle name="Normal 313 2 2 2 2 3" xfId="33059" xr:uid="{00000000-0005-0000-0000-000023840000}"/>
    <cellStyle name="Normal 313 2 2 2 3" xfId="33060" xr:uid="{00000000-0005-0000-0000-000024840000}"/>
    <cellStyle name="Normal 313 2 2 2 3 2" xfId="33061" xr:uid="{00000000-0005-0000-0000-000025840000}"/>
    <cellStyle name="Normal 313 2 2 2 3 3" xfId="33062" xr:uid="{00000000-0005-0000-0000-000026840000}"/>
    <cellStyle name="Normal 313 2 2 2 4" xfId="33063" xr:uid="{00000000-0005-0000-0000-000027840000}"/>
    <cellStyle name="Normal 313 2 2 2 5" xfId="33064" xr:uid="{00000000-0005-0000-0000-000028840000}"/>
    <cellStyle name="Normal 313 2 2 2 6" xfId="33065" xr:uid="{00000000-0005-0000-0000-000029840000}"/>
    <cellStyle name="Normal 313 2 2 3" xfId="33066" xr:uid="{00000000-0005-0000-0000-00002A840000}"/>
    <cellStyle name="Normal 313 2 2 3 2" xfId="33067" xr:uid="{00000000-0005-0000-0000-00002B840000}"/>
    <cellStyle name="Normal 313 2 2 3 3" xfId="33068" xr:uid="{00000000-0005-0000-0000-00002C840000}"/>
    <cellStyle name="Normal 313 2 2 4" xfId="33069" xr:uid="{00000000-0005-0000-0000-00002D840000}"/>
    <cellStyle name="Normal 313 2 2 4 2" xfId="33070" xr:uid="{00000000-0005-0000-0000-00002E840000}"/>
    <cellStyle name="Normal 313 2 2 4 3" xfId="33071" xr:uid="{00000000-0005-0000-0000-00002F840000}"/>
    <cellStyle name="Normal 313 2 2 5" xfId="33072" xr:uid="{00000000-0005-0000-0000-000030840000}"/>
    <cellStyle name="Normal 313 2 2 6" xfId="33073" xr:uid="{00000000-0005-0000-0000-000031840000}"/>
    <cellStyle name="Normal 313 2 2 7" xfId="33074" xr:uid="{00000000-0005-0000-0000-000032840000}"/>
    <cellStyle name="Normal 313 2 2 8" xfId="33075" xr:uid="{00000000-0005-0000-0000-000033840000}"/>
    <cellStyle name="Normal 313 2 3" xfId="33076" xr:uid="{00000000-0005-0000-0000-000034840000}"/>
    <cellStyle name="Normal 313 2 3 2" xfId="33077" xr:uid="{00000000-0005-0000-0000-000035840000}"/>
    <cellStyle name="Normal 313 2 3 2 2" xfId="33078" xr:uid="{00000000-0005-0000-0000-000036840000}"/>
    <cellStyle name="Normal 313 2 3 2 3" xfId="33079" xr:uid="{00000000-0005-0000-0000-000037840000}"/>
    <cellStyle name="Normal 313 2 3 3" xfId="33080" xr:uid="{00000000-0005-0000-0000-000038840000}"/>
    <cellStyle name="Normal 313 2 3 3 2" xfId="33081" xr:uid="{00000000-0005-0000-0000-000039840000}"/>
    <cellStyle name="Normal 313 2 3 3 3" xfId="33082" xr:uid="{00000000-0005-0000-0000-00003A840000}"/>
    <cellStyle name="Normal 313 2 3 4" xfId="33083" xr:uid="{00000000-0005-0000-0000-00003B840000}"/>
    <cellStyle name="Normal 313 2 3 5" xfId="33084" xr:uid="{00000000-0005-0000-0000-00003C840000}"/>
    <cellStyle name="Normal 313 2 3 6" xfId="33085" xr:uid="{00000000-0005-0000-0000-00003D840000}"/>
    <cellStyle name="Normal 313 2 4" xfId="33086" xr:uid="{00000000-0005-0000-0000-00003E840000}"/>
    <cellStyle name="Normal 313 2 4 2" xfId="33087" xr:uid="{00000000-0005-0000-0000-00003F840000}"/>
    <cellStyle name="Normal 313 2 4 3" xfId="33088" xr:uid="{00000000-0005-0000-0000-000040840000}"/>
    <cellStyle name="Normal 313 2 5" xfId="33089" xr:uid="{00000000-0005-0000-0000-000041840000}"/>
    <cellStyle name="Normal 313 2 5 2" xfId="33090" xr:uid="{00000000-0005-0000-0000-000042840000}"/>
    <cellStyle name="Normal 313 2 5 3" xfId="33091" xr:uid="{00000000-0005-0000-0000-000043840000}"/>
    <cellStyle name="Normal 313 2 6" xfId="33092" xr:uid="{00000000-0005-0000-0000-000044840000}"/>
    <cellStyle name="Normal 313 2 7" xfId="33093" xr:uid="{00000000-0005-0000-0000-000045840000}"/>
    <cellStyle name="Normal 313 2 8" xfId="33094" xr:uid="{00000000-0005-0000-0000-000046840000}"/>
    <cellStyle name="Normal 313 2 9" xfId="33095" xr:uid="{00000000-0005-0000-0000-000047840000}"/>
    <cellStyle name="Normal 313 3" xfId="33096" xr:uid="{00000000-0005-0000-0000-000048840000}"/>
    <cellStyle name="Normal 313 3 2" xfId="33097" xr:uid="{00000000-0005-0000-0000-000049840000}"/>
    <cellStyle name="Normal 313 3 2 2" xfId="33098" xr:uid="{00000000-0005-0000-0000-00004A840000}"/>
    <cellStyle name="Normal 313 3 2 2 2" xfId="33099" xr:uid="{00000000-0005-0000-0000-00004B840000}"/>
    <cellStyle name="Normal 313 3 2 2 3" xfId="33100" xr:uid="{00000000-0005-0000-0000-00004C840000}"/>
    <cellStyle name="Normal 313 3 2 3" xfId="33101" xr:uid="{00000000-0005-0000-0000-00004D840000}"/>
    <cellStyle name="Normal 313 3 2 3 2" xfId="33102" xr:uid="{00000000-0005-0000-0000-00004E840000}"/>
    <cellStyle name="Normal 313 3 2 3 3" xfId="33103" xr:uid="{00000000-0005-0000-0000-00004F840000}"/>
    <cellStyle name="Normal 313 3 2 4" xfId="33104" xr:uid="{00000000-0005-0000-0000-000050840000}"/>
    <cellStyle name="Normal 313 3 2 5" xfId="33105" xr:uid="{00000000-0005-0000-0000-000051840000}"/>
    <cellStyle name="Normal 313 3 2 6" xfId="33106" xr:uid="{00000000-0005-0000-0000-000052840000}"/>
    <cellStyle name="Normal 313 3 3" xfId="33107" xr:uid="{00000000-0005-0000-0000-000053840000}"/>
    <cellStyle name="Normal 313 3 3 2" xfId="33108" xr:uid="{00000000-0005-0000-0000-000054840000}"/>
    <cellStyle name="Normal 313 3 3 3" xfId="33109" xr:uid="{00000000-0005-0000-0000-000055840000}"/>
    <cellStyle name="Normal 313 3 4" xfId="33110" xr:uid="{00000000-0005-0000-0000-000056840000}"/>
    <cellStyle name="Normal 313 3 4 2" xfId="33111" xr:uid="{00000000-0005-0000-0000-000057840000}"/>
    <cellStyle name="Normal 313 3 4 3" xfId="33112" xr:uid="{00000000-0005-0000-0000-000058840000}"/>
    <cellStyle name="Normal 313 3 5" xfId="33113" xr:uid="{00000000-0005-0000-0000-000059840000}"/>
    <cellStyle name="Normal 313 3 6" xfId="33114" xr:uid="{00000000-0005-0000-0000-00005A840000}"/>
    <cellStyle name="Normal 313 3 7" xfId="33115" xr:uid="{00000000-0005-0000-0000-00005B840000}"/>
    <cellStyle name="Normal 313 3 8" xfId="33116" xr:uid="{00000000-0005-0000-0000-00005C840000}"/>
    <cellStyle name="Normal 313 4" xfId="33117" xr:uid="{00000000-0005-0000-0000-00005D840000}"/>
    <cellStyle name="Normal 313 4 2" xfId="33118" xr:uid="{00000000-0005-0000-0000-00005E840000}"/>
    <cellStyle name="Normal 313 4 2 2" xfId="33119" xr:uid="{00000000-0005-0000-0000-00005F840000}"/>
    <cellStyle name="Normal 313 4 2 3" xfId="33120" xr:uid="{00000000-0005-0000-0000-000060840000}"/>
    <cellStyle name="Normal 313 4 3" xfId="33121" xr:uid="{00000000-0005-0000-0000-000061840000}"/>
    <cellStyle name="Normal 313 4 3 2" xfId="33122" xr:uid="{00000000-0005-0000-0000-000062840000}"/>
    <cellStyle name="Normal 313 4 3 3" xfId="33123" xr:uid="{00000000-0005-0000-0000-000063840000}"/>
    <cellStyle name="Normal 313 4 4" xfId="33124" xr:uid="{00000000-0005-0000-0000-000064840000}"/>
    <cellStyle name="Normal 313 4 5" xfId="33125" xr:uid="{00000000-0005-0000-0000-000065840000}"/>
    <cellStyle name="Normal 313 4 6" xfId="33126" xr:uid="{00000000-0005-0000-0000-000066840000}"/>
    <cellStyle name="Normal 313 5" xfId="33127" xr:uid="{00000000-0005-0000-0000-000067840000}"/>
    <cellStyle name="Normal 313 5 2" xfId="33128" xr:uid="{00000000-0005-0000-0000-000068840000}"/>
    <cellStyle name="Normal 313 5 3" xfId="33129" xr:uid="{00000000-0005-0000-0000-000069840000}"/>
    <cellStyle name="Normal 313 6" xfId="33130" xr:uid="{00000000-0005-0000-0000-00006A840000}"/>
    <cellStyle name="Normal 313 6 2" xfId="33131" xr:uid="{00000000-0005-0000-0000-00006B840000}"/>
    <cellStyle name="Normal 313 6 3" xfId="33132" xr:uid="{00000000-0005-0000-0000-00006C840000}"/>
    <cellStyle name="Normal 313 7" xfId="33133" xr:uid="{00000000-0005-0000-0000-00006D840000}"/>
    <cellStyle name="Normal 313 8" xfId="33134" xr:uid="{00000000-0005-0000-0000-00006E840000}"/>
    <cellStyle name="Normal 313 9" xfId="33135" xr:uid="{00000000-0005-0000-0000-00006F840000}"/>
    <cellStyle name="Normal 314" xfId="3213" xr:uid="{00000000-0005-0000-0000-000070840000}"/>
    <cellStyle name="Normal 314 10" xfId="33136" xr:uid="{00000000-0005-0000-0000-000071840000}"/>
    <cellStyle name="Normal 314 11" xfId="33137" xr:uid="{00000000-0005-0000-0000-000072840000}"/>
    <cellStyle name="Normal 314 2" xfId="33138" xr:uid="{00000000-0005-0000-0000-000073840000}"/>
    <cellStyle name="Normal 314 2 2" xfId="33139" xr:uid="{00000000-0005-0000-0000-000074840000}"/>
    <cellStyle name="Normal 314 2 2 2" xfId="33140" xr:uid="{00000000-0005-0000-0000-000075840000}"/>
    <cellStyle name="Normal 314 2 2 2 2" xfId="33141" xr:uid="{00000000-0005-0000-0000-000076840000}"/>
    <cellStyle name="Normal 314 2 2 2 2 2" xfId="33142" xr:uid="{00000000-0005-0000-0000-000077840000}"/>
    <cellStyle name="Normal 314 2 2 2 2 3" xfId="33143" xr:uid="{00000000-0005-0000-0000-000078840000}"/>
    <cellStyle name="Normal 314 2 2 2 3" xfId="33144" xr:uid="{00000000-0005-0000-0000-000079840000}"/>
    <cellStyle name="Normal 314 2 2 2 3 2" xfId="33145" xr:uid="{00000000-0005-0000-0000-00007A840000}"/>
    <cellStyle name="Normal 314 2 2 2 3 3" xfId="33146" xr:uid="{00000000-0005-0000-0000-00007B840000}"/>
    <cellStyle name="Normal 314 2 2 2 4" xfId="33147" xr:uid="{00000000-0005-0000-0000-00007C840000}"/>
    <cellStyle name="Normal 314 2 2 2 5" xfId="33148" xr:uid="{00000000-0005-0000-0000-00007D840000}"/>
    <cellStyle name="Normal 314 2 2 2 6" xfId="33149" xr:uid="{00000000-0005-0000-0000-00007E840000}"/>
    <cellStyle name="Normal 314 2 2 3" xfId="33150" xr:uid="{00000000-0005-0000-0000-00007F840000}"/>
    <cellStyle name="Normal 314 2 2 3 2" xfId="33151" xr:uid="{00000000-0005-0000-0000-000080840000}"/>
    <cellStyle name="Normal 314 2 2 3 3" xfId="33152" xr:uid="{00000000-0005-0000-0000-000081840000}"/>
    <cellStyle name="Normal 314 2 2 4" xfId="33153" xr:uid="{00000000-0005-0000-0000-000082840000}"/>
    <cellStyle name="Normal 314 2 2 4 2" xfId="33154" xr:uid="{00000000-0005-0000-0000-000083840000}"/>
    <cellStyle name="Normal 314 2 2 4 3" xfId="33155" xr:uid="{00000000-0005-0000-0000-000084840000}"/>
    <cellStyle name="Normal 314 2 2 5" xfId="33156" xr:uid="{00000000-0005-0000-0000-000085840000}"/>
    <cellStyle name="Normal 314 2 2 6" xfId="33157" xr:uid="{00000000-0005-0000-0000-000086840000}"/>
    <cellStyle name="Normal 314 2 2 7" xfId="33158" xr:uid="{00000000-0005-0000-0000-000087840000}"/>
    <cellStyle name="Normal 314 2 2 8" xfId="33159" xr:uid="{00000000-0005-0000-0000-000088840000}"/>
    <cellStyle name="Normal 314 2 3" xfId="33160" xr:uid="{00000000-0005-0000-0000-000089840000}"/>
    <cellStyle name="Normal 314 2 3 2" xfId="33161" xr:uid="{00000000-0005-0000-0000-00008A840000}"/>
    <cellStyle name="Normal 314 2 3 2 2" xfId="33162" xr:uid="{00000000-0005-0000-0000-00008B840000}"/>
    <cellStyle name="Normal 314 2 3 2 3" xfId="33163" xr:uid="{00000000-0005-0000-0000-00008C840000}"/>
    <cellStyle name="Normal 314 2 3 3" xfId="33164" xr:uid="{00000000-0005-0000-0000-00008D840000}"/>
    <cellStyle name="Normal 314 2 3 3 2" xfId="33165" xr:uid="{00000000-0005-0000-0000-00008E840000}"/>
    <cellStyle name="Normal 314 2 3 3 3" xfId="33166" xr:uid="{00000000-0005-0000-0000-00008F840000}"/>
    <cellStyle name="Normal 314 2 3 4" xfId="33167" xr:uid="{00000000-0005-0000-0000-000090840000}"/>
    <cellStyle name="Normal 314 2 3 5" xfId="33168" xr:uid="{00000000-0005-0000-0000-000091840000}"/>
    <cellStyle name="Normal 314 2 3 6" xfId="33169" xr:uid="{00000000-0005-0000-0000-000092840000}"/>
    <cellStyle name="Normal 314 2 4" xfId="33170" xr:uid="{00000000-0005-0000-0000-000093840000}"/>
    <cellStyle name="Normal 314 2 4 2" xfId="33171" xr:uid="{00000000-0005-0000-0000-000094840000}"/>
    <cellStyle name="Normal 314 2 4 3" xfId="33172" xr:uid="{00000000-0005-0000-0000-000095840000}"/>
    <cellStyle name="Normal 314 2 5" xfId="33173" xr:uid="{00000000-0005-0000-0000-000096840000}"/>
    <cellStyle name="Normal 314 2 5 2" xfId="33174" xr:uid="{00000000-0005-0000-0000-000097840000}"/>
    <cellStyle name="Normal 314 2 5 3" xfId="33175" xr:uid="{00000000-0005-0000-0000-000098840000}"/>
    <cellStyle name="Normal 314 2 6" xfId="33176" xr:uid="{00000000-0005-0000-0000-000099840000}"/>
    <cellStyle name="Normal 314 2 7" xfId="33177" xr:uid="{00000000-0005-0000-0000-00009A840000}"/>
    <cellStyle name="Normal 314 2 8" xfId="33178" xr:uid="{00000000-0005-0000-0000-00009B840000}"/>
    <cellStyle name="Normal 314 2 9" xfId="33179" xr:uid="{00000000-0005-0000-0000-00009C840000}"/>
    <cellStyle name="Normal 314 3" xfId="33180" xr:uid="{00000000-0005-0000-0000-00009D840000}"/>
    <cellStyle name="Normal 314 3 2" xfId="33181" xr:uid="{00000000-0005-0000-0000-00009E840000}"/>
    <cellStyle name="Normal 314 3 2 2" xfId="33182" xr:uid="{00000000-0005-0000-0000-00009F840000}"/>
    <cellStyle name="Normal 314 3 2 2 2" xfId="33183" xr:uid="{00000000-0005-0000-0000-0000A0840000}"/>
    <cellStyle name="Normal 314 3 2 2 3" xfId="33184" xr:uid="{00000000-0005-0000-0000-0000A1840000}"/>
    <cellStyle name="Normal 314 3 2 3" xfId="33185" xr:uid="{00000000-0005-0000-0000-0000A2840000}"/>
    <cellStyle name="Normal 314 3 2 3 2" xfId="33186" xr:uid="{00000000-0005-0000-0000-0000A3840000}"/>
    <cellStyle name="Normal 314 3 2 3 3" xfId="33187" xr:uid="{00000000-0005-0000-0000-0000A4840000}"/>
    <cellStyle name="Normal 314 3 2 4" xfId="33188" xr:uid="{00000000-0005-0000-0000-0000A5840000}"/>
    <cellStyle name="Normal 314 3 2 5" xfId="33189" xr:uid="{00000000-0005-0000-0000-0000A6840000}"/>
    <cellStyle name="Normal 314 3 2 6" xfId="33190" xr:uid="{00000000-0005-0000-0000-0000A7840000}"/>
    <cellStyle name="Normal 314 3 3" xfId="33191" xr:uid="{00000000-0005-0000-0000-0000A8840000}"/>
    <cellStyle name="Normal 314 3 3 2" xfId="33192" xr:uid="{00000000-0005-0000-0000-0000A9840000}"/>
    <cellStyle name="Normal 314 3 3 3" xfId="33193" xr:uid="{00000000-0005-0000-0000-0000AA840000}"/>
    <cellStyle name="Normal 314 3 4" xfId="33194" xr:uid="{00000000-0005-0000-0000-0000AB840000}"/>
    <cellStyle name="Normal 314 3 4 2" xfId="33195" xr:uid="{00000000-0005-0000-0000-0000AC840000}"/>
    <cellStyle name="Normal 314 3 4 3" xfId="33196" xr:uid="{00000000-0005-0000-0000-0000AD840000}"/>
    <cellStyle name="Normal 314 3 5" xfId="33197" xr:uid="{00000000-0005-0000-0000-0000AE840000}"/>
    <cellStyle name="Normal 314 3 6" xfId="33198" xr:uid="{00000000-0005-0000-0000-0000AF840000}"/>
    <cellStyle name="Normal 314 3 7" xfId="33199" xr:uid="{00000000-0005-0000-0000-0000B0840000}"/>
    <cellStyle name="Normal 314 3 8" xfId="33200" xr:uid="{00000000-0005-0000-0000-0000B1840000}"/>
    <cellStyle name="Normal 314 4" xfId="33201" xr:uid="{00000000-0005-0000-0000-0000B2840000}"/>
    <cellStyle name="Normal 314 4 2" xfId="33202" xr:uid="{00000000-0005-0000-0000-0000B3840000}"/>
    <cellStyle name="Normal 314 4 2 2" xfId="33203" xr:uid="{00000000-0005-0000-0000-0000B4840000}"/>
    <cellStyle name="Normal 314 4 2 3" xfId="33204" xr:uid="{00000000-0005-0000-0000-0000B5840000}"/>
    <cellStyle name="Normal 314 4 3" xfId="33205" xr:uid="{00000000-0005-0000-0000-0000B6840000}"/>
    <cellStyle name="Normal 314 4 3 2" xfId="33206" xr:uid="{00000000-0005-0000-0000-0000B7840000}"/>
    <cellStyle name="Normal 314 4 3 3" xfId="33207" xr:uid="{00000000-0005-0000-0000-0000B8840000}"/>
    <cellStyle name="Normal 314 4 4" xfId="33208" xr:uid="{00000000-0005-0000-0000-0000B9840000}"/>
    <cellStyle name="Normal 314 4 5" xfId="33209" xr:uid="{00000000-0005-0000-0000-0000BA840000}"/>
    <cellStyle name="Normal 314 4 6" xfId="33210" xr:uid="{00000000-0005-0000-0000-0000BB840000}"/>
    <cellStyle name="Normal 314 5" xfId="33211" xr:uid="{00000000-0005-0000-0000-0000BC840000}"/>
    <cellStyle name="Normal 314 5 2" xfId="33212" xr:uid="{00000000-0005-0000-0000-0000BD840000}"/>
    <cellStyle name="Normal 314 5 3" xfId="33213" xr:uid="{00000000-0005-0000-0000-0000BE840000}"/>
    <cellStyle name="Normal 314 6" xfId="33214" xr:uid="{00000000-0005-0000-0000-0000BF840000}"/>
    <cellStyle name="Normal 314 6 2" xfId="33215" xr:uid="{00000000-0005-0000-0000-0000C0840000}"/>
    <cellStyle name="Normal 314 6 3" xfId="33216" xr:uid="{00000000-0005-0000-0000-0000C1840000}"/>
    <cellStyle name="Normal 314 7" xfId="33217" xr:uid="{00000000-0005-0000-0000-0000C2840000}"/>
    <cellStyle name="Normal 314 8" xfId="33218" xr:uid="{00000000-0005-0000-0000-0000C3840000}"/>
    <cellStyle name="Normal 314 9" xfId="33219" xr:uid="{00000000-0005-0000-0000-0000C4840000}"/>
    <cellStyle name="Normal 315" xfId="3214" xr:uid="{00000000-0005-0000-0000-0000C5840000}"/>
    <cellStyle name="Normal 315 10" xfId="33220" xr:uid="{00000000-0005-0000-0000-0000C6840000}"/>
    <cellStyle name="Normal 315 11" xfId="33221" xr:uid="{00000000-0005-0000-0000-0000C7840000}"/>
    <cellStyle name="Normal 315 2" xfId="33222" xr:uid="{00000000-0005-0000-0000-0000C8840000}"/>
    <cellStyle name="Normal 315 2 2" xfId="33223" xr:uid="{00000000-0005-0000-0000-0000C9840000}"/>
    <cellStyle name="Normal 315 2 2 2" xfId="33224" xr:uid="{00000000-0005-0000-0000-0000CA840000}"/>
    <cellStyle name="Normal 315 2 2 2 2" xfId="33225" xr:uid="{00000000-0005-0000-0000-0000CB840000}"/>
    <cellStyle name="Normal 315 2 2 2 2 2" xfId="33226" xr:uid="{00000000-0005-0000-0000-0000CC840000}"/>
    <cellStyle name="Normal 315 2 2 2 2 3" xfId="33227" xr:uid="{00000000-0005-0000-0000-0000CD840000}"/>
    <cellStyle name="Normal 315 2 2 2 3" xfId="33228" xr:uid="{00000000-0005-0000-0000-0000CE840000}"/>
    <cellStyle name="Normal 315 2 2 2 3 2" xfId="33229" xr:uid="{00000000-0005-0000-0000-0000CF840000}"/>
    <cellStyle name="Normal 315 2 2 2 3 3" xfId="33230" xr:uid="{00000000-0005-0000-0000-0000D0840000}"/>
    <cellStyle name="Normal 315 2 2 2 4" xfId="33231" xr:uid="{00000000-0005-0000-0000-0000D1840000}"/>
    <cellStyle name="Normal 315 2 2 2 5" xfId="33232" xr:uid="{00000000-0005-0000-0000-0000D2840000}"/>
    <cellStyle name="Normal 315 2 2 2 6" xfId="33233" xr:uid="{00000000-0005-0000-0000-0000D3840000}"/>
    <cellStyle name="Normal 315 2 2 3" xfId="33234" xr:uid="{00000000-0005-0000-0000-0000D4840000}"/>
    <cellStyle name="Normal 315 2 2 3 2" xfId="33235" xr:uid="{00000000-0005-0000-0000-0000D5840000}"/>
    <cellStyle name="Normal 315 2 2 3 3" xfId="33236" xr:uid="{00000000-0005-0000-0000-0000D6840000}"/>
    <cellStyle name="Normal 315 2 2 4" xfId="33237" xr:uid="{00000000-0005-0000-0000-0000D7840000}"/>
    <cellStyle name="Normal 315 2 2 4 2" xfId="33238" xr:uid="{00000000-0005-0000-0000-0000D8840000}"/>
    <cellStyle name="Normal 315 2 2 4 3" xfId="33239" xr:uid="{00000000-0005-0000-0000-0000D9840000}"/>
    <cellStyle name="Normal 315 2 2 5" xfId="33240" xr:uid="{00000000-0005-0000-0000-0000DA840000}"/>
    <cellStyle name="Normal 315 2 2 6" xfId="33241" xr:uid="{00000000-0005-0000-0000-0000DB840000}"/>
    <cellStyle name="Normal 315 2 2 7" xfId="33242" xr:uid="{00000000-0005-0000-0000-0000DC840000}"/>
    <cellStyle name="Normal 315 2 2 8" xfId="33243" xr:uid="{00000000-0005-0000-0000-0000DD840000}"/>
    <cellStyle name="Normal 315 2 3" xfId="33244" xr:uid="{00000000-0005-0000-0000-0000DE840000}"/>
    <cellStyle name="Normal 315 2 3 2" xfId="33245" xr:uid="{00000000-0005-0000-0000-0000DF840000}"/>
    <cellStyle name="Normal 315 2 3 2 2" xfId="33246" xr:uid="{00000000-0005-0000-0000-0000E0840000}"/>
    <cellStyle name="Normal 315 2 3 2 3" xfId="33247" xr:uid="{00000000-0005-0000-0000-0000E1840000}"/>
    <cellStyle name="Normal 315 2 3 3" xfId="33248" xr:uid="{00000000-0005-0000-0000-0000E2840000}"/>
    <cellStyle name="Normal 315 2 3 3 2" xfId="33249" xr:uid="{00000000-0005-0000-0000-0000E3840000}"/>
    <cellStyle name="Normal 315 2 3 3 3" xfId="33250" xr:uid="{00000000-0005-0000-0000-0000E4840000}"/>
    <cellStyle name="Normal 315 2 3 4" xfId="33251" xr:uid="{00000000-0005-0000-0000-0000E5840000}"/>
    <cellStyle name="Normal 315 2 3 5" xfId="33252" xr:uid="{00000000-0005-0000-0000-0000E6840000}"/>
    <cellStyle name="Normal 315 2 3 6" xfId="33253" xr:uid="{00000000-0005-0000-0000-0000E7840000}"/>
    <cellStyle name="Normal 315 2 4" xfId="33254" xr:uid="{00000000-0005-0000-0000-0000E8840000}"/>
    <cellStyle name="Normal 315 2 4 2" xfId="33255" xr:uid="{00000000-0005-0000-0000-0000E9840000}"/>
    <cellStyle name="Normal 315 2 4 3" xfId="33256" xr:uid="{00000000-0005-0000-0000-0000EA840000}"/>
    <cellStyle name="Normal 315 2 5" xfId="33257" xr:uid="{00000000-0005-0000-0000-0000EB840000}"/>
    <cellStyle name="Normal 315 2 5 2" xfId="33258" xr:uid="{00000000-0005-0000-0000-0000EC840000}"/>
    <cellStyle name="Normal 315 2 5 3" xfId="33259" xr:uid="{00000000-0005-0000-0000-0000ED840000}"/>
    <cellStyle name="Normal 315 2 6" xfId="33260" xr:uid="{00000000-0005-0000-0000-0000EE840000}"/>
    <cellStyle name="Normal 315 2 7" xfId="33261" xr:uid="{00000000-0005-0000-0000-0000EF840000}"/>
    <cellStyle name="Normal 315 2 8" xfId="33262" xr:uid="{00000000-0005-0000-0000-0000F0840000}"/>
    <cellStyle name="Normal 315 2 9" xfId="33263" xr:uid="{00000000-0005-0000-0000-0000F1840000}"/>
    <cellStyle name="Normal 315 3" xfId="33264" xr:uid="{00000000-0005-0000-0000-0000F2840000}"/>
    <cellStyle name="Normal 315 3 2" xfId="33265" xr:uid="{00000000-0005-0000-0000-0000F3840000}"/>
    <cellStyle name="Normal 315 3 2 2" xfId="33266" xr:uid="{00000000-0005-0000-0000-0000F4840000}"/>
    <cellStyle name="Normal 315 3 2 2 2" xfId="33267" xr:uid="{00000000-0005-0000-0000-0000F5840000}"/>
    <cellStyle name="Normal 315 3 2 2 3" xfId="33268" xr:uid="{00000000-0005-0000-0000-0000F6840000}"/>
    <cellStyle name="Normal 315 3 2 3" xfId="33269" xr:uid="{00000000-0005-0000-0000-0000F7840000}"/>
    <cellStyle name="Normal 315 3 2 3 2" xfId="33270" xr:uid="{00000000-0005-0000-0000-0000F8840000}"/>
    <cellStyle name="Normal 315 3 2 3 3" xfId="33271" xr:uid="{00000000-0005-0000-0000-0000F9840000}"/>
    <cellStyle name="Normal 315 3 2 4" xfId="33272" xr:uid="{00000000-0005-0000-0000-0000FA840000}"/>
    <cellStyle name="Normal 315 3 2 5" xfId="33273" xr:uid="{00000000-0005-0000-0000-0000FB840000}"/>
    <cellStyle name="Normal 315 3 2 6" xfId="33274" xr:uid="{00000000-0005-0000-0000-0000FC840000}"/>
    <cellStyle name="Normal 315 3 3" xfId="33275" xr:uid="{00000000-0005-0000-0000-0000FD840000}"/>
    <cellStyle name="Normal 315 3 3 2" xfId="33276" xr:uid="{00000000-0005-0000-0000-0000FE840000}"/>
    <cellStyle name="Normal 315 3 3 3" xfId="33277" xr:uid="{00000000-0005-0000-0000-0000FF840000}"/>
    <cellStyle name="Normal 315 3 4" xfId="33278" xr:uid="{00000000-0005-0000-0000-000000850000}"/>
    <cellStyle name="Normal 315 3 4 2" xfId="33279" xr:uid="{00000000-0005-0000-0000-000001850000}"/>
    <cellStyle name="Normal 315 3 4 3" xfId="33280" xr:uid="{00000000-0005-0000-0000-000002850000}"/>
    <cellStyle name="Normal 315 3 5" xfId="33281" xr:uid="{00000000-0005-0000-0000-000003850000}"/>
    <cellStyle name="Normal 315 3 6" xfId="33282" xr:uid="{00000000-0005-0000-0000-000004850000}"/>
    <cellStyle name="Normal 315 3 7" xfId="33283" xr:uid="{00000000-0005-0000-0000-000005850000}"/>
    <cellStyle name="Normal 315 3 8" xfId="33284" xr:uid="{00000000-0005-0000-0000-000006850000}"/>
    <cellStyle name="Normal 315 4" xfId="33285" xr:uid="{00000000-0005-0000-0000-000007850000}"/>
    <cellStyle name="Normal 315 4 2" xfId="33286" xr:uid="{00000000-0005-0000-0000-000008850000}"/>
    <cellStyle name="Normal 315 4 2 2" xfId="33287" xr:uid="{00000000-0005-0000-0000-000009850000}"/>
    <cellStyle name="Normal 315 4 2 3" xfId="33288" xr:uid="{00000000-0005-0000-0000-00000A850000}"/>
    <cellStyle name="Normal 315 4 3" xfId="33289" xr:uid="{00000000-0005-0000-0000-00000B850000}"/>
    <cellStyle name="Normal 315 4 3 2" xfId="33290" xr:uid="{00000000-0005-0000-0000-00000C850000}"/>
    <cellStyle name="Normal 315 4 3 3" xfId="33291" xr:uid="{00000000-0005-0000-0000-00000D850000}"/>
    <cellStyle name="Normal 315 4 4" xfId="33292" xr:uid="{00000000-0005-0000-0000-00000E850000}"/>
    <cellStyle name="Normal 315 4 5" xfId="33293" xr:uid="{00000000-0005-0000-0000-00000F850000}"/>
    <cellStyle name="Normal 315 4 6" xfId="33294" xr:uid="{00000000-0005-0000-0000-000010850000}"/>
    <cellStyle name="Normal 315 5" xfId="33295" xr:uid="{00000000-0005-0000-0000-000011850000}"/>
    <cellStyle name="Normal 315 5 2" xfId="33296" xr:uid="{00000000-0005-0000-0000-000012850000}"/>
    <cellStyle name="Normal 315 5 3" xfId="33297" xr:uid="{00000000-0005-0000-0000-000013850000}"/>
    <cellStyle name="Normal 315 6" xfId="33298" xr:uid="{00000000-0005-0000-0000-000014850000}"/>
    <cellStyle name="Normal 315 6 2" xfId="33299" xr:uid="{00000000-0005-0000-0000-000015850000}"/>
    <cellStyle name="Normal 315 6 3" xfId="33300" xr:uid="{00000000-0005-0000-0000-000016850000}"/>
    <cellStyle name="Normal 315 7" xfId="33301" xr:uid="{00000000-0005-0000-0000-000017850000}"/>
    <cellStyle name="Normal 315 8" xfId="33302" xr:uid="{00000000-0005-0000-0000-000018850000}"/>
    <cellStyle name="Normal 315 9" xfId="33303" xr:uid="{00000000-0005-0000-0000-000019850000}"/>
    <cellStyle name="Normal 316" xfId="3215" xr:uid="{00000000-0005-0000-0000-00001A850000}"/>
    <cellStyle name="Normal 316 10" xfId="33304" xr:uid="{00000000-0005-0000-0000-00001B850000}"/>
    <cellStyle name="Normal 316 11" xfId="33305" xr:uid="{00000000-0005-0000-0000-00001C850000}"/>
    <cellStyle name="Normal 316 2" xfId="33306" xr:uid="{00000000-0005-0000-0000-00001D850000}"/>
    <cellStyle name="Normal 316 2 2" xfId="33307" xr:uid="{00000000-0005-0000-0000-00001E850000}"/>
    <cellStyle name="Normal 316 2 2 2" xfId="33308" xr:uid="{00000000-0005-0000-0000-00001F850000}"/>
    <cellStyle name="Normal 316 2 2 2 2" xfId="33309" xr:uid="{00000000-0005-0000-0000-000020850000}"/>
    <cellStyle name="Normal 316 2 2 2 2 2" xfId="33310" xr:uid="{00000000-0005-0000-0000-000021850000}"/>
    <cellStyle name="Normal 316 2 2 2 2 3" xfId="33311" xr:uid="{00000000-0005-0000-0000-000022850000}"/>
    <cellStyle name="Normal 316 2 2 2 3" xfId="33312" xr:uid="{00000000-0005-0000-0000-000023850000}"/>
    <cellStyle name="Normal 316 2 2 2 3 2" xfId="33313" xr:uid="{00000000-0005-0000-0000-000024850000}"/>
    <cellStyle name="Normal 316 2 2 2 3 3" xfId="33314" xr:uid="{00000000-0005-0000-0000-000025850000}"/>
    <cellStyle name="Normal 316 2 2 2 4" xfId="33315" xr:uid="{00000000-0005-0000-0000-000026850000}"/>
    <cellStyle name="Normal 316 2 2 2 5" xfId="33316" xr:uid="{00000000-0005-0000-0000-000027850000}"/>
    <cellStyle name="Normal 316 2 2 2 6" xfId="33317" xr:uid="{00000000-0005-0000-0000-000028850000}"/>
    <cellStyle name="Normal 316 2 2 3" xfId="33318" xr:uid="{00000000-0005-0000-0000-000029850000}"/>
    <cellStyle name="Normal 316 2 2 3 2" xfId="33319" xr:uid="{00000000-0005-0000-0000-00002A850000}"/>
    <cellStyle name="Normal 316 2 2 3 3" xfId="33320" xr:uid="{00000000-0005-0000-0000-00002B850000}"/>
    <cellStyle name="Normal 316 2 2 4" xfId="33321" xr:uid="{00000000-0005-0000-0000-00002C850000}"/>
    <cellStyle name="Normal 316 2 2 4 2" xfId="33322" xr:uid="{00000000-0005-0000-0000-00002D850000}"/>
    <cellStyle name="Normal 316 2 2 4 3" xfId="33323" xr:uid="{00000000-0005-0000-0000-00002E850000}"/>
    <cellStyle name="Normal 316 2 2 5" xfId="33324" xr:uid="{00000000-0005-0000-0000-00002F850000}"/>
    <cellStyle name="Normal 316 2 2 6" xfId="33325" xr:uid="{00000000-0005-0000-0000-000030850000}"/>
    <cellStyle name="Normal 316 2 2 7" xfId="33326" xr:uid="{00000000-0005-0000-0000-000031850000}"/>
    <cellStyle name="Normal 316 2 2 8" xfId="33327" xr:uid="{00000000-0005-0000-0000-000032850000}"/>
    <cellStyle name="Normal 316 2 3" xfId="33328" xr:uid="{00000000-0005-0000-0000-000033850000}"/>
    <cellStyle name="Normal 316 2 3 2" xfId="33329" xr:uid="{00000000-0005-0000-0000-000034850000}"/>
    <cellStyle name="Normal 316 2 3 2 2" xfId="33330" xr:uid="{00000000-0005-0000-0000-000035850000}"/>
    <cellStyle name="Normal 316 2 3 2 3" xfId="33331" xr:uid="{00000000-0005-0000-0000-000036850000}"/>
    <cellStyle name="Normal 316 2 3 3" xfId="33332" xr:uid="{00000000-0005-0000-0000-000037850000}"/>
    <cellStyle name="Normal 316 2 3 3 2" xfId="33333" xr:uid="{00000000-0005-0000-0000-000038850000}"/>
    <cellStyle name="Normal 316 2 3 3 3" xfId="33334" xr:uid="{00000000-0005-0000-0000-000039850000}"/>
    <cellStyle name="Normal 316 2 3 4" xfId="33335" xr:uid="{00000000-0005-0000-0000-00003A850000}"/>
    <cellStyle name="Normal 316 2 3 5" xfId="33336" xr:uid="{00000000-0005-0000-0000-00003B850000}"/>
    <cellStyle name="Normal 316 2 3 6" xfId="33337" xr:uid="{00000000-0005-0000-0000-00003C850000}"/>
    <cellStyle name="Normal 316 2 4" xfId="33338" xr:uid="{00000000-0005-0000-0000-00003D850000}"/>
    <cellStyle name="Normal 316 2 4 2" xfId="33339" xr:uid="{00000000-0005-0000-0000-00003E850000}"/>
    <cellStyle name="Normal 316 2 4 3" xfId="33340" xr:uid="{00000000-0005-0000-0000-00003F850000}"/>
    <cellStyle name="Normal 316 2 5" xfId="33341" xr:uid="{00000000-0005-0000-0000-000040850000}"/>
    <cellStyle name="Normal 316 2 5 2" xfId="33342" xr:uid="{00000000-0005-0000-0000-000041850000}"/>
    <cellStyle name="Normal 316 2 5 3" xfId="33343" xr:uid="{00000000-0005-0000-0000-000042850000}"/>
    <cellStyle name="Normal 316 2 6" xfId="33344" xr:uid="{00000000-0005-0000-0000-000043850000}"/>
    <cellStyle name="Normal 316 2 7" xfId="33345" xr:uid="{00000000-0005-0000-0000-000044850000}"/>
    <cellStyle name="Normal 316 2 8" xfId="33346" xr:uid="{00000000-0005-0000-0000-000045850000}"/>
    <cellStyle name="Normal 316 2 9" xfId="33347" xr:uid="{00000000-0005-0000-0000-000046850000}"/>
    <cellStyle name="Normal 316 3" xfId="33348" xr:uid="{00000000-0005-0000-0000-000047850000}"/>
    <cellStyle name="Normal 316 3 2" xfId="33349" xr:uid="{00000000-0005-0000-0000-000048850000}"/>
    <cellStyle name="Normal 316 3 2 2" xfId="33350" xr:uid="{00000000-0005-0000-0000-000049850000}"/>
    <cellStyle name="Normal 316 3 2 2 2" xfId="33351" xr:uid="{00000000-0005-0000-0000-00004A850000}"/>
    <cellStyle name="Normal 316 3 2 2 3" xfId="33352" xr:uid="{00000000-0005-0000-0000-00004B850000}"/>
    <cellStyle name="Normal 316 3 2 3" xfId="33353" xr:uid="{00000000-0005-0000-0000-00004C850000}"/>
    <cellStyle name="Normal 316 3 2 3 2" xfId="33354" xr:uid="{00000000-0005-0000-0000-00004D850000}"/>
    <cellStyle name="Normal 316 3 2 3 3" xfId="33355" xr:uid="{00000000-0005-0000-0000-00004E850000}"/>
    <cellStyle name="Normal 316 3 2 4" xfId="33356" xr:uid="{00000000-0005-0000-0000-00004F850000}"/>
    <cellStyle name="Normal 316 3 2 5" xfId="33357" xr:uid="{00000000-0005-0000-0000-000050850000}"/>
    <cellStyle name="Normal 316 3 2 6" xfId="33358" xr:uid="{00000000-0005-0000-0000-000051850000}"/>
    <cellStyle name="Normal 316 3 3" xfId="33359" xr:uid="{00000000-0005-0000-0000-000052850000}"/>
    <cellStyle name="Normal 316 3 3 2" xfId="33360" xr:uid="{00000000-0005-0000-0000-000053850000}"/>
    <cellStyle name="Normal 316 3 3 3" xfId="33361" xr:uid="{00000000-0005-0000-0000-000054850000}"/>
    <cellStyle name="Normal 316 3 4" xfId="33362" xr:uid="{00000000-0005-0000-0000-000055850000}"/>
    <cellStyle name="Normal 316 3 4 2" xfId="33363" xr:uid="{00000000-0005-0000-0000-000056850000}"/>
    <cellStyle name="Normal 316 3 4 3" xfId="33364" xr:uid="{00000000-0005-0000-0000-000057850000}"/>
    <cellStyle name="Normal 316 3 5" xfId="33365" xr:uid="{00000000-0005-0000-0000-000058850000}"/>
    <cellStyle name="Normal 316 3 6" xfId="33366" xr:uid="{00000000-0005-0000-0000-000059850000}"/>
    <cellStyle name="Normal 316 3 7" xfId="33367" xr:uid="{00000000-0005-0000-0000-00005A850000}"/>
    <cellStyle name="Normal 316 3 8" xfId="33368" xr:uid="{00000000-0005-0000-0000-00005B850000}"/>
    <cellStyle name="Normal 316 4" xfId="33369" xr:uid="{00000000-0005-0000-0000-00005C850000}"/>
    <cellStyle name="Normal 316 4 2" xfId="33370" xr:uid="{00000000-0005-0000-0000-00005D850000}"/>
    <cellStyle name="Normal 316 4 2 2" xfId="33371" xr:uid="{00000000-0005-0000-0000-00005E850000}"/>
    <cellStyle name="Normal 316 4 2 3" xfId="33372" xr:uid="{00000000-0005-0000-0000-00005F850000}"/>
    <cellStyle name="Normal 316 4 3" xfId="33373" xr:uid="{00000000-0005-0000-0000-000060850000}"/>
    <cellStyle name="Normal 316 4 3 2" xfId="33374" xr:uid="{00000000-0005-0000-0000-000061850000}"/>
    <cellStyle name="Normal 316 4 3 3" xfId="33375" xr:uid="{00000000-0005-0000-0000-000062850000}"/>
    <cellStyle name="Normal 316 4 4" xfId="33376" xr:uid="{00000000-0005-0000-0000-000063850000}"/>
    <cellStyle name="Normal 316 4 5" xfId="33377" xr:uid="{00000000-0005-0000-0000-000064850000}"/>
    <cellStyle name="Normal 316 4 6" xfId="33378" xr:uid="{00000000-0005-0000-0000-000065850000}"/>
    <cellStyle name="Normal 316 5" xfId="33379" xr:uid="{00000000-0005-0000-0000-000066850000}"/>
    <cellStyle name="Normal 316 5 2" xfId="33380" xr:uid="{00000000-0005-0000-0000-000067850000}"/>
    <cellStyle name="Normal 316 5 3" xfId="33381" xr:uid="{00000000-0005-0000-0000-000068850000}"/>
    <cellStyle name="Normal 316 6" xfId="33382" xr:uid="{00000000-0005-0000-0000-000069850000}"/>
    <cellStyle name="Normal 316 6 2" xfId="33383" xr:uid="{00000000-0005-0000-0000-00006A850000}"/>
    <cellStyle name="Normal 316 6 3" xfId="33384" xr:uid="{00000000-0005-0000-0000-00006B850000}"/>
    <cellStyle name="Normal 316 7" xfId="33385" xr:uid="{00000000-0005-0000-0000-00006C850000}"/>
    <cellStyle name="Normal 316 8" xfId="33386" xr:uid="{00000000-0005-0000-0000-00006D850000}"/>
    <cellStyle name="Normal 316 9" xfId="33387" xr:uid="{00000000-0005-0000-0000-00006E850000}"/>
    <cellStyle name="Normal 317" xfId="3216" xr:uid="{00000000-0005-0000-0000-00006F850000}"/>
    <cellStyle name="Normal 317 10" xfId="33388" xr:uid="{00000000-0005-0000-0000-000070850000}"/>
    <cellStyle name="Normal 317 11" xfId="33389" xr:uid="{00000000-0005-0000-0000-000071850000}"/>
    <cellStyle name="Normal 317 2" xfId="33390" xr:uid="{00000000-0005-0000-0000-000072850000}"/>
    <cellStyle name="Normal 317 2 2" xfId="33391" xr:uid="{00000000-0005-0000-0000-000073850000}"/>
    <cellStyle name="Normal 317 2 2 2" xfId="33392" xr:uid="{00000000-0005-0000-0000-000074850000}"/>
    <cellStyle name="Normal 317 2 2 2 2" xfId="33393" xr:uid="{00000000-0005-0000-0000-000075850000}"/>
    <cellStyle name="Normal 317 2 2 2 2 2" xfId="33394" xr:uid="{00000000-0005-0000-0000-000076850000}"/>
    <cellStyle name="Normal 317 2 2 2 2 3" xfId="33395" xr:uid="{00000000-0005-0000-0000-000077850000}"/>
    <cellStyle name="Normal 317 2 2 2 3" xfId="33396" xr:uid="{00000000-0005-0000-0000-000078850000}"/>
    <cellStyle name="Normal 317 2 2 2 3 2" xfId="33397" xr:uid="{00000000-0005-0000-0000-000079850000}"/>
    <cellStyle name="Normal 317 2 2 2 3 3" xfId="33398" xr:uid="{00000000-0005-0000-0000-00007A850000}"/>
    <cellStyle name="Normal 317 2 2 2 4" xfId="33399" xr:uid="{00000000-0005-0000-0000-00007B850000}"/>
    <cellStyle name="Normal 317 2 2 2 5" xfId="33400" xr:uid="{00000000-0005-0000-0000-00007C850000}"/>
    <cellStyle name="Normal 317 2 2 2 6" xfId="33401" xr:uid="{00000000-0005-0000-0000-00007D850000}"/>
    <cellStyle name="Normal 317 2 2 3" xfId="33402" xr:uid="{00000000-0005-0000-0000-00007E850000}"/>
    <cellStyle name="Normal 317 2 2 3 2" xfId="33403" xr:uid="{00000000-0005-0000-0000-00007F850000}"/>
    <cellStyle name="Normal 317 2 2 3 3" xfId="33404" xr:uid="{00000000-0005-0000-0000-000080850000}"/>
    <cellStyle name="Normal 317 2 2 4" xfId="33405" xr:uid="{00000000-0005-0000-0000-000081850000}"/>
    <cellStyle name="Normal 317 2 2 4 2" xfId="33406" xr:uid="{00000000-0005-0000-0000-000082850000}"/>
    <cellStyle name="Normal 317 2 2 4 3" xfId="33407" xr:uid="{00000000-0005-0000-0000-000083850000}"/>
    <cellStyle name="Normal 317 2 2 5" xfId="33408" xr:uid="{00000000-0005-0000-0000-000084850000}"/>
    <cellStyle name="Normal 317 2 2 6" xfId="33409" xr:uid="{00000000-0005-0000-0000-000085850000}"/>
    <cellStyle name="Normal 317 2 2 7" xfId="33410" xr:uid="{00000000-0005-0000-0000-000086850000}"/>
    <cellStyle name="Normal 317 2 2 8" xfId="33411" xr:uid="{00000000-0005-0000-0000-000087850000}"/>
    <cellStyle name="Normal 317 2 3" xfId="33412" xr:uid="{00000000-0005-0000-0000-000088850000}"/>
    <cellStyle name="Normal 317 2 3 2" xfId="33413" xr:uid="{00000000-0005-0000-0000-000089850000}"/>
    <cellStyle name="Normal 317 2 3 2 2" xfId="33414" xr:uid="{00000000-0005-0000-0000-00008A850000}"/>
    <cellStyle name="Normal 317 2 3 2 3" xfId="33415" xr:uid="{00000000-0005-0000-0000-00008B850000}"/>
    <cellStyle name="Normal 317 2 3 3" xfId="33416" xr:uid="{00000000-0005-0000-0000-00008C850000}"/>
    <cellStyle name="Normal 317 2 3 3 2" xfId="33417" xr:uid="{00000000-0005-0000-0000-00008D850000}"/>
    <cellStyle name="Normal 317 2 3 3 3" xfId="33418" xr:uid="{00000000-0005-0000-0000-00008E850000}"/>
    <cellStyle name="Normal 317 2 3 4" xfId="33419" xr:uid="{00000000-0005-0000-0000-00008F850000}"/>
    <cellStyle name="Normal 317 2 3 5" xfId="33420" xr:uid="{00000000-0005-0000-0000-000090850000}"/>
    <cellStyle name="Normal 317 2 3 6" xfId="33421" xr:uid="{00000000-0005-0000-0000-000091850000}"/>
    <cellStyle name="Normal 317 2 4" xfId="33422" xr:uid="{00000000-0005-0000-0000-000092850000}"/>
    <cellStyle name="Normal 317 2 4 2" xfId="33423" xr:uid="{00000000-0005-0000-0000-000093850000}"/>
    <cellStyle name="Normal 317 2 4 3" xfId="33424" xr:uid="{00000000-0005-0000-0000-000094850000}"/>
    <cellStyle name="Normal 317 2 5" xfId="33425" xr:uid="{00000000-0005-0000-0000-000095850000}"/>
    <cellStyle name="Normal 317 2 5 2" xfId="33426" xr:uid="{00000000-0005-0000-0000-000096850000}"/>
    <cellStyle name="Normal 317 2 5 3" xfId="33427" xr:uid="{00000000-0005-0000-0000-000097850000}"/>
    <cellStyle name="Normal 317 2 6" xfId="33428" xr:uid="{00000000-0005-0000-0000-000098850000}"/>
    <cellStyle name="Normal 317 2 7" xfId="33429" xr:uid="{00000000-0005-0000-0000-000099850000}"/>
    <cellStyle name="Normal 317 2 8" xfId="33430" xr:uid="{00000000-0005-0000-0000-00009A850000}"/>
    <cellStyle name="Normal 317 2 9" xfId="33431" xr:uid="{00000000-0005-0000-0000-00009B850000}"/>
    <cellStyle name="Normal 317 3" xfId="33432" xr:uid="{00000000-0005-0000-0000-00009C850000}"/>
    <cellStyle name="Normal 317 3 2" xfId="33433" xr:uid="{00000000-0005-0000-0000-00009D850000}"/>
    <cellStyle name="Normal 317 3 2 2" xfId="33434" xr:uid="{00000000-0005-0000-0000-00009E850000}"/>
    <cellStyle name="Normal 317 3 2 2 2" xfId="33435" xr:uid="{00000000-0005-0000-0000-00009F850000}"/>
    <cellStyle name="Normal 317 3 2 2 3" xfId="33436" xr:uid="{00000000-0005-0000-0000-0000A0850000}"/>
    <cellStyle name="Normal 317 3 2 3" xfId="33437" xr:uid="{00000000-0005-0000-0000-0000A1850000}"/>
    <cellStyle name="Normal 317 3 2 3 2" xfId="33438" xr:uid="{00000000-0005-0000-0000-0000A2850000}"/>
    <cellStyle name="Normal 317 3 2 3 3" xfId="33439" xr:uid="{00000000-0005-0000-0000-0000A3850000}"/>
    <cellStyle name="Normal 317 3 2 4" xfId="33440" xr:uid="{00000000-0005-0000-0000-0000A4850000}"/>
    <cellStyle name="Normal 317 3 2 5" xfId="33441" xr:uid="{00000000-0005-0000-0000-0000A5850000}"/>
    <cellStyle name="Normal 317 3 2 6" xfId="33442" xr:uid="{00000000-0005-0000-0000-0000A6850000}"/>
    <cellStyle name="Normal 317 3 3" xfId="33443" xr:uid="{00000000-0005-0000-0000-0000A7850000}"/>
    <cellStyle name="Normal 317 3 3 2" xfId="33444" xr:uid="{00000000-0005-0000-0000-0000A8850000}"/>
    <cellStyle name="Normal 317 3 3 3" xfId="33445" xr:uid="{00000000-0005-0000-0000-0000A9850000}"/>
    <cellStyle name="Normal 317 3 4" xfId="33446" xr:uid="{00000000-0005-0000-0000-0000AA850000}"/>
    <cellStyle name="Normal 317 3 4 2" xfId="33447" xr:uid="{00000000-0005-0000-0000-0000AB850000}"/>
    <cellStyle name="Normal 317 3 4 3" xfId="33448" xr:uid="{00000000-0005-0000-0000-0000AC850000}"/>
    <cellStyle name="Normal 317 3 5" xfId="33449" xr:uid="{00000000-0005-0000-0000-0000AD850000}"/>
    <cellStyle name="Normal 317 3 6" xfId="33450" xr:uid="{00000000-0005-0000-0000-0000AE850000}"/>
    <cellStyle name="Normal 317 3 7" xfId="33451" xr:uid="{00000000-0005-0000-0000-0000AF850000}"/>
    <cellStyle name="Normal 317 3 8" xfId="33452" xr:uid="{00000000-0005-0000-0000-0000B0850000}"/>
    <cellStyle name="Normal 317 4" xfId="33453" xr:uid="{00000000-0005-0000-0000-0000B1850000}"/>
    <cellStyle name="Normal 317 4 2" xfId="33454" xr:uid="{00000000-0005-0000-0000-0000B2850000}"/>
    <cellStyle name="Normal 317 4 2 2" xfId="33455" xr:uid="{00000000-0005-0000-0000-0000B3850000}"/>
    <cellStyle name="Normal 317 4 2 3" xfId="33456" xr:uid="{00000000-0005-0000-0000-0000B4850000}"/>
    <cellStyle name="Normal 317 4 3" xfId="33457" xr:uid="{00000000-0005-0000-0000-0000B5850000}"/>
    <cellStyle name="Normal 317 4 3 2" xfId="33458" xr:uid="{00000000-0005-0000-0000-0000B6850000}"/>
    <cellStyle name="Normal 317 4 3 3" xfId="33459" xr:uid="{00000000-0005-0000-0000-0000B7850000}"/>
    <cellStyle name="Normal 317 4 4" xfId="33460" xr:uid="{00000000-0005-0000-0000-0000B8850000}"/>
    <cellStyle name="Normal 317 4 5" xfId="33461" xr:uid="{00000000-0005-0000-0000-0000B9850000}"/>
    <cellStyle name="Normal 317 4 6" xfId="33462" xr:uid="{00000000-0005-0000-0000-0000BA850000}"/>
    <cellStyle name="Normal 317 5" xfId="33463" xr:uid="{00000000-0005-0000-0000-0000BB850000}"/>
    <cellStyle name="Normal 317 5 2" xfId="33464" xr:uid="{00000000-0005-0000-0000-0000BC850000}"/>
    <cellStyle name="Normal 317 5 3" xfId="33465" xr:uid="{00000000-0005-0000-0000-0000BD850000}"/>
    <cellStyle name="Normal 317 6" xfId="33466" xr:uid="{00000000-0005-0000-0000-0000BE850000}"/>
    <cellStyle name="Normal 317 6 2" xfId="33467" xr:uid="{00000000-0005-0000-0000-0000BF850000}"/>
    <cellStyle name="Normal 317 6 3" xfId="33468" xr:uid="{00000000-0005-0000-0000-0000C0850000}"/>
    <cellStyle name="Normal 317 7" xfId="33469" xr:uid="{00000000-0005-0000-0000-0000C1850000}"/>
    <cellStyle name="Normal 317 8" xfId="33470" xr:uid="{00000000-0005-0000-0000-0000C2850000}"/>
    <cellStyle name="Normal 317 9" xfId="33471" xr:uid="{00000000-0005-0000-0000-0000C3850000}"/>
    <cellStyle name="Normal 318" xfId="3217" xr:uid="{00000000-0005-0000-0000-0000C4850000}"/>
    <cellStyle name="Normal 318 10" xfId="33472" xr:uid="{00000000-0005-0000-0000-0000C5850000}"/>
    <cellStyle name="Normal 318 11" xfId="33473" xr:uid="{00000000-0005-0000-0000-0000C6850000}"/>
    <cellStyle name="Normal 318 2" xfId="33474" xr:uid="{00000000-0005-0000-0000-0000C7850000}"/>
    <cellStyle name="Normal 318 2 2" xfId="33475" xr:uid="{00000000-0005-0000-0000-0000C8850000}"/>
    <cellStyle name="Normal 318 2 2 2" xfId="33476" xr:uid="{00000000-0005-0000-0000-0000C9850000}"/>
    <cellStyle name="Normal 318 2 2 2 2" xfId="33477" xr:uid="{00000000-0005-0000-0000-0000CA850000}"/>
    <cellStyle name="Normal 318 2 2 2 2 2" xfId="33478" xr:uid="{00000000-0005-0000-0000-0000CB850000}"/>
    <cellStyle name="Normal 318 2 2 2 2 3" xfId="33479" xr:uid="{00000000-0005-0000-0000-0000CC850000}"/>
    <cellStyle name="Normal 318 2 2 2 3" xfId="33480" xr:uid="{00000000-0005-0000-0000-0000CD850000}"/>
    <cellStyle name="Normal 318 2 2 2 3 2" xfId="33481" xr:uid="{00000000-0005-0000-0000-0000CE850000}"/>
    <cellStyle name="Normal 318 2 2 2 3 3" xfId="33482" xr:uid="{00000000-0005-0000-0000-0000CF850000}"/>
    <cellStyle name="Normal 318 2 2 2 4" xfId="33483" xr:uid="{00000000-0005-0000-0000-0000D0850000}"/>
    <cellStyle name="Normal 318 2 2 2 5" xfId="33484" xr:uid="{00000000-0005-0000-0000-0000D1850000}"/>
    <cellStyle name="Normal 318 2 2 2 6" xfId="33485" xr:uid="{00000000-0005-0000-0000-0000D2850000}"/>
    <cellStyle name="Normal 318 2 2 3" xfId="33486" xr:uid="{00000000-0005-0000-0000-0000D3850000}"/>
    <cellStyle name="Normal 318 2 2 3 2" xfId="33487" xr:uid="{00000000-0005-0000-0000-0000D4850000}"/>
    <cellStyle name="Normal 318 2 2 3 3" xfId="33488" xr:uid="{00000000-0005-0000-0000-0000D5850000}"/>
    <cellStyle name="Normal 318 2 2 4" xfId="33489" xr:uid="{00000000-0005-0000-0000-0000D6850000}"/>
    <cellStyle name="Normal 318 2 2 4 2" xfId="33490" xr:uid="{00000000-0005-0000-0000-0000D7850000}"/>
    <cellStyle name="Normal 318 2 2 4 3" xfId="33491" xr:uid="{00000000-0005-0000-0000-0000D8850000}"/>
    <cellStyle name="Normal 318 2 2 5" xfId="33492" xr:uid="{00000000-0005-0000-0000-0000D9850000}"/>
    <cellStyle name="Normal 318 2 2 6" xfId="33493" xr:uid="{00000000-0005-0000-0000-0000DA850000}"/>
    <cellStyle name="Normal 318 2 2 7" xfId="33494" xr:uid="{00000000-0005-0000-0000-0000DB850000}"/>
    <cellStyle name="Normal 318 2 2 8" xfId="33495" xr:uid="{00000000-0005-0000-0000-0000DC850000}"/>
    <cellStyle name="Normal 318 2 3" xfId="33496" xr:uid="{00000000-0005-0000-0000-0000DD850000}"/>
    <cellStyle name="Normal 318 2 3 2" xfId="33497" xr:uid="{00000000-0005-0000-0000-0000DE850000}"/>
    <cellStyle name="Normal 318 2 3 2 2" xfId="33498" xr:uid="{00000000-0005-0000-0000-0000DF850000}"/>
    <cellStyle name="Normal 318 2 3 2 3" xfId="33499" xr:uid="{00000000-0005-0000-0000-0000E0850000}"/>
    <cellStyle name="Normal 318 2 3 3" xfId="33500" xr:uid="{00000000-0005-0000-0000-0000E1850000}"/>
    <cellStyle name="Normal 318 2 3 3 2" xfId="33501" xr:uid="{00000000-0005-0000-0000-0000E2850000}"/>
    <cellStyle name="Normal 318 2 3 3 3" xfId="33502" xr:uid="{00000000-0005-0000-0000-0000E3850000}"/>
    <cellStyle name="Normal 318 2 3 4" xfId="33503" xr:uid="{00000000-0005-0000-0000-0000E4850000}"/>
    <cellStyle name="Normal 318 2 3 5" xfId="33504" xr:uid="{00000000-0005-0000-0000-0000E5850000}"/>
    <cellStyle name="Normal 318 2 3 6" xfId="33505" xr:uid="{00000000-0005-0000-0000-0000E6850000}"/>
    <cellStyle name="Normal 318 2 4" xfId="33506" xr:uid="{00000000-0005-0000-0000-0000E7850000}"/>
    <cellStyle name="Normal 318 2 4 2" xfId="33507" xr:uid="{00000000-0005-0000-0000-0000E8850000}"/>
    <cellStyle name="Normal 318 2 4 3" xfId="33508" xr:uid="{00000000-0005-0000-0000-0000E9850000}"/>
    <cellStyle name="Normal 318 2 5" xfId="33509" xr:uid="{00000000-0005-0000-0000-0000EA850000}"/>
    <cellStyle name="Normal 318 2 5 2" xfId="33510" xr:uid="{00000000-0005-0000-0000-0000EB850000}"/>
    <cellStyle name="Normal 318 2 5 3" xfId="33511" xr:uid="{00000000-0005-0000-0000-0000EC850000}"/>
    <cellStyle name="Normal 318 2 6" xfId="33512" xr:uid="{00000000-0005-0000-0000-0000ED850000}"/>
    <cellStyle name="Normal 318 2 7" xfId="33513" xr:uid="{00000000-0005-0000-0000-0000EE850000}"/>
    <cellStyle name="Normal 318 2 8" xfId="33514" xr:uid="{00000000-0005-0000-0000-0000EF850000}"/>
    <cellStyle name="Normal 318 2 9" xfId="33515" xr:uid="{00000000-0005-0000-0000-0000F0850000}"/>
    <cellStyle name="Normal 318 3" xfId="33516" xr:uid="{00000000-0005-0000-0000-0000F1850000}"/>
    <cellStyle name="Normal 318 3 2" xfId="33517" xr:uid="{00000000-0005-0000-0000-0000F2850000}"/>
    <cellStyle name="Normal 318 3 2 2" xfId="33518" xr:uid="{00000000-0005-0000-0000-0000F3850000}"/>
    <cellStyle name="Normal 318 3 2 2 2" xfId="33519" xr:uid="{00000000-0005-0000-0000-0000F4850000}"/>
    <cellStyle name="Normal 318 3 2 2 3" xfId="33520" xr:uid="{00000000-0005-0000-0000-0000F5850000}"/>
    <cellStyle name="Normal 318 3 2 3" xfId="33521" xr:uid="{00000000-0005-0000-0000-0000F6850000}"/>
    <cellStyle name="Normal 318 3 2 3 2" xfId="33522" xr:uid="{00000000-0005-0000-0000-0000F7850000}"/>
    <cellStyle name="Normal 318 3 2 3 3" xfId="33523" xr:uid="{00000000-0005-0000-0000-0000F8850000}"/>
    <cellStyle name="Normal 318 3 2 4" xfId="33524" xr:uid="{00000000-0005-0000-0000-0000F9850000}"/>
    <cellStyle name="Normal 318 3 2 5" xfId="33525" xr:uid="{00000000-0005-0000-0000-0000FA850000}"/>
    <cellStyle name="Normal 318 3 2 6" xfId="33526" xr:uid="{00000000-0005-0000-0000-0000FB850000}"/>
    <cellStyle name="Normal 318 3 3" xfId="33527" xr:uid="{00000000-0005-0000-0000-0000FC850000}"/>
    <cellStyle name="Normal 318 3 3 2" xfId="33528" xr:uid="{00000000-0005-0000-0000-0000FD850000}"/>
    <cellStyle name="Normal 318 3 3 3" xfId="33529" xr:uid="{00000000-0005-0000-0000-0000FE850000}"/>
    <cellStyle name="Normal 318 3 4" xfId="33530" xr:uid="{00000000-0005-0000-0000-0000FF850000}"/>
    <cellStyle name="Normal 318 3 4 2" xfId="33531" xr:uid="{00000000-0005-0000-0000-000000860000}"/>
    <cellStyle name="Normal 318 3 4 3" xfId="33532" xr:uid="{00000000-0005-0000-0000-000001860000}"/>
    <cellStyle name="Normal 318 3 5" xfId="33533" xr:uid="{00000000-0005-0000-0000-000002860000}"/>
    <cellStyle name="Normal 318 3 6" xfId="33534" xr:uid="{00000000-0005-0000-0000-000003860000}"/>
    <cellStyle name="Normal 318 3 7" xfId="33535" xr:uid="{00000000-0005-0000-0000-000004860000}"/>
    <cellStyle name="Normal 318 3 8" xfId="33536" xr:uid="{00000000-0005-0000-0000-000005860000}"/>
    <cellStyle name="Normal 318 4" xfId="33537" xr:uid="{00000000-0005-0000-0000-000006860000}"/>
    <cellStyle name="Normal 318 4 2" xfId="33538" xr:uid="{00000000-0005-0000-0000-000007860000}"/>
    <cellStyle name="Normal 318 4 2 2" xfId="33539" xr:uid="{00000000-0005-0000-0000-000008860000}"/>
    <cellStyle name="Normal 318 4 2 3" xfId="33540" xr:uid="{00000000-0005-0000-0000-000009860000}"/>
    <cellStyle name="Normal 318 4 3" xfId="33541" xr:uid="{00000000-0005-0000-0000-00000A860000}"/>
    <cellStyle name="Normal 318 4 3 2" xfId="33542" xr:uid="{00000000-0005-0000-0000-00000B860000}"/>
    <cellStyle name="Normal 318 4 3 3" xfId="33543" xr:uid="{00000000-0005-0000-0000-00000C860000}"/>
    <cellStyle name="Normal 318 4 4" xfId="33544" xr:uid="{00000000-0005-0000-0000-00000D860000}"/>
    <cellStyle name="Normal 318 4 5" xfId="33545" xr:uid="{00000000-0005-0000-0000-00000E860000}"/>
    <cellStyle name="Normal 318 4 6" xfId="33546" xr:uid="{00000000-0005-0000-0000-00000F860000}"/>
    <cellStyle name="Normal 318 5" xfId="33547" xr:uid="{00000000-0005-0000-0000-000010860000}"/>
    <cellStyle name="Normal 318 5 2" xfId="33548" xr:uid="{00000000-0005-0000-0000-000011860000}"/>
    <cellStyle name="Normal 318 5 3" xfId="33549" xr:uid="{00000000-0005-0000-0000-000012860000}"/>
    <cellStyle name="Normal 318 6" xfId="33550" xr:uid="{00000000-0005-0000-0000-000013860000}"/>
    <cellStyle name="Normal 318 6 2" xfId="33551" xr:uid="{00000000-0005-0000-0000-000014860000}"/>
    <cellStyle name="Normal 318 6 3" xfId="33552" xr:uid="{00000000-0005-0000-0000-000015860000}"/>
    <cellStyle name="Normal 318 7" xfId="33553" xr:uid="{00000000-0005-0000-0000-000016860000}"/>
    <cellStyle name="Normal 318 8" xfId="33554" xr:uid="{00000000-0005-0000-0000-000017860000}"/>
    <cellStyle name="Normal 318 9" xfId="33555" xr:uid="{00000000-0005-0000-0000-000018860000}"/>
    <cellStyle name="Normal 319" xfId="3218" xr:uid="{00000000-0005-0000-0000-000019860000}"/>
    <cellStyle name="Normal 319 10" xfId="33556" xr:uid="{00000000-0005-0000-0000-00001A860000}"/>
    <cellStyle name="Normal 319 11" xfId="33557" xr:uid="{00000000-0005-0000-0000-00001B860000}"/>
    <cellStyle name="Normal 319 2" xfId="33558" xr:uid="{00000000-0005-0000-0000-00001C860000}"/>
    <cellStyle name="Normal 319 2 2" xfId="33559" xr:uid="{00000000-0005-0000-0000-00001D860000}"/>
    <cellStyle name="Normal 319 2 2 2" xfId="33560" xr:uid="{00000000-0005-0000-0000-00001E860000}"/>
    <cellStyle name="Normal 319 2 2 2 2" xfId="33561" xr:uid="{00000000-0005-0000-0000-00001F860000}"/>
    <cellStyle name="Normal 319 2 2 2 2 2" xfId="33562" xr:uid="{00000000-0005-0000-0000-000020860000}"/>
    <cellStyle name="Normal 319 2 2 2 2 3" xfId="33563" xr:uid="{00000000-0005-0000-0000-000021860000}"/>
    <cellStyle name="Normal 319 2 2 2 3" xfId="33564" xr:uid="{00000000-0005-0000-0000-000022860000}"/>
    <cellStyle name="Normal 319 2 2 2 3 2" xfId="33565" xr:uid="{00000000-0005-0000-0000-000023860000}"/>
    <cellStyle name="Normal 319 2 2 2 3 3" xfId="33566" xr:uid="{00000000-0005-0000-0000-000024860000}"/>
    <cellStyle name="Normal 319 2 2 2 4" xfId="33567" xr:uid="{00000000-0005-0000-0000-000025860000}"/>
    <cellStyle name="Normal 319 2 2 2 5" xfId="33568" xr:uid="{00000000-0005-0000-0000-000026860000}"/>
    <cellStyle name="Normal 319 2 2 2 6" xfId="33569" xr:uid="{00000000-0005-0000-0000-000027860000}"/>
    <cellStyle name="Normal 319 2 2 3" xfId="33570" xr:uid="{00000000-0005-0000-0000-000028860000}"/>
    <cellStyle name="Normal 319 2 2 3 2" xfId="33571" xr:uid="{00000000-0005-0000-0000-000029860000}"/>
    <cellStyle name="Normal 319 2 2 3 3" xfId="33572" xr:uid="{00000000-0005-0000-0000-00002A860000}"/>
    <cellStyle name="Normal 319 2 2 4" xfId="33573" xr:uid="{00000000-0005-0000-0000-00002B860000}"/>
    <cellStyle name="Normal 319 2 2 4 2" xfId="33574" xr:uid="{00000000-0005-0000-0000-00002C860000}"/>
    <cellStyle name="Normal 319 2 2 4 3" xfId="33575" xr:uid="{00000000-0005-0000-0000-00002D860000}"/>
    <cellStyle name="Normal 319 2 2 5" xfId="33576" xr:uid="{00000000-0005-0000-0000-00002E860000}"/>
    <cellStyle name="Normal 319 2 2 6" xfId="33577" xr:uid="{00000000-0005-0000-0000-00002F860000}"/>
    <cellStyle name="Normal 319 2 2 7" xfId="33578" xr:uid="{00000000-0005-0000-0000-000030860000}"/>
    <cellStyle name="Normal 319 2 2 8" xfId="33579" xr:uid="{00000000-0005-0000-0000-000031860000}"/>
    <cellStyle name="Normal 319 2 3" xfId="33580" xr:uid="{00000000-0005-0000-0000-000032860000}"/>
    <cellStyle name="Normal 319 2 3 2" xfId="33581" xr:uid="{00000000-0005-0000-0000-000033860000}"/>
    <cellStyle name="Normal 319 2 3 2 2" xfId="33582" xr:uid="{00000000-0005-0000-0000-000034860000}"/>
    <cellStyle name="Normal 319 2 3 2 3" xfId="33583" xr:uid="{00000000-0005-0000-0000-000035860000}"/>
    <cellStyle name="Normal 319 2 3 3" xfId="33584" xr:uid="{00000000-0005-0000-0000-000036860000}"/>
    <cellStyle name="Normal 319 2 3 3 2" xfId="33585" xr:uid="{00000000-0005-0000-0000-000037860000}"/>
    <cellStyle name="Normal 319 2 3 3 3" xfId="33586" xr:uid="{00000000-0005-0000-0000-000038860000}"/>
    <cellStyle name="Normal 319 2 3 4" xfId="33587" xr:uid="{00000000-0005-0000-0000-000039860000}"/>
    <cellStyle name="Normal 319 2 3 5" xfId="33588" xr:uid="{00000000-0005-0000-0000-00003A860000}"/>
    <cellStyle name="Normal 319 2 3 6" xfId="33589" xr:uid="{00000000-0005-0000-0000-00003B860000}"/>
    <cellStyle name="Normal 319 2 4" xfId="33590" xr:uid="{00000000-0005-0000-0000-00003C860000}"/>
    <cellStyle name="Normal 319 2 4 2" xfId="33591" xr:uid="{00000000-0005-0000-0000-00003D860000}"/>
    <cellStyle name="Normal 319 2 4 3" xfId="33592" xr:uid="{00000000-0005-0000-0000-00003E860000}"/>
    <cellStyle name="Normal 319 2 5" xfId="33593" xr:uid="{00000000-0005-0000-0000-00003F860000}"/>
    <cellStyle name="Normal 319 2 5 2" xfId="33594" xr:uid="{00000000-0005-0000-0000-000040860000}"/>
    <cellStyle name="Normal 319 2 5 3" xfId="33595" xr:uid="{00000000-0005-0000-0000-000041860000}"/>
    <cellStyle name="Normal 319 2 6" xfId="33596" xr:uid="{00000000-0005-0000-0000-000042860000}"/>
    <cellStyle name="Normal 319 2 7" xfId="33597" xr:uid="{00000000-0005-0000-0000-000043860000}"/>
    <cellStyle name="Normal 319 2 8" xfId="33598" xr:uid="{00000000-0005-0000-0000-000044860000}"/>
    <cellStyle name="Normal 319 2 9" xfId="33599" xr:uid="{00000000-0005-0000-0000-000045860000}"/>
    <cellStyle name="Normal 319 3" xfId="33600" xr:uid="{00000000-0005-0000-0000-000046860000}"/>
    <cellStyle name="Normal 319 3 2" xfId="33601" xr:uid="{00000000-0005-0000-0000-000047860000}"/>
    <cellStyle name="Normal 319 3 2 2" xfId="33602" xr:uid="{00000000-0005-0000-0000-000048860000}"/>
    <cellStyle name="Normal 319 3 2 2 2" xfId="33603" xr:uid="{00000000-0005-0000-0000-000049860000}"/>
    <cellStyle name="Normal 319 3 2 2 3" xfId="33604" xr:uid="{00000000-0005-0000-0000-00004A860000}"/>
    <cellStyle name="Normal 319 3 2 3" xfId="33605" xr:uid="{00000000-0005-0000-0000-00004B860000}"/>
    <cellStyle name="Normal 319 3 2 3 2" xfId="33606" xr:uid="{00000000-0005-0000-0000-00004C860000}"/>
    <cellStyle name="Normal 319 3 2 3 3" xfId="33607" xr:uid="{00000000-0005-0000-0000-00004D860000}"/>
    <cellStyle name="Normal 319 3 2 4" xfId="33608" xr:uid="{00000000-0005-0000-0000-00004E860000}"/>
    <cellStyle name="Normal 319 3 2 5" xfId="33609" xr:uid="{00000000-0005-0000-0000-00004F860000}"/>
    <cellStyle name="Normal 319 3 2 6" xfId="33610" xr:uid="{00000000-0005-0000-0000-000050860000}"/>
    <cellStyle name="Normal 319 3 3" xfId="33611" xr:uid="{00000000-0005-0000-0000-000051860000}"/>
    <cellStyle name="Normal 319 3 3 2" xfId="33612" xr:uid="{00000000-0005-0000-0000-000052860000}"/>
    <cellStyle name="Normal 319 3 3 3" xfId="33613" xr:uid="{00000000-0005-0000-0000-000053860000}"/>
    <cellStyle name="Normal 319 3 4" xfId="33614" xr:uid="{00000000-0005-0000-0000-000054860000}"/>
    <cellStyle name="Normal 319 3 4 2" xfId="33615" xr:uid="{00000000-0005-0000-0000-000055860000}"/>
    <cellStyle name="Normal 319 3 4 3" xfId="33616" xr:uid="{00000000-0005-0000-0000-000056860000}"/>
    <cellStyle name="Normal 319 3 5" xfId="33617" xr:uid="{00000000-0005-0000-0000-000057860000}"/>
    <cellStyle name="Normal 319 3 6" xfId="33618" xr:uid="{00000000-0005-0000-0000-000058860000}"/>
    <cellStyle name="Normal 319 3 7" xfId="33619" xr:uid="{00000000-0005-0000-0000-000059860000}"/>
    <cellStyle name="Normal 319 3 8" xfId="33620" xr:uid="{00000000-0005-0000-0000-00005A860000}"/>
    <cellStyle name="Normal 319 4" xfId="33621" xr:uid="{00000000-0005-0000-0000-00005B860000}"/>
    <cellStyle name="Normal 319 4 2" xfId="33622" xr:uid="{00000000-0005-0000-0000-00005C860000}"/>
    <cellStyle name="Normal 319 4 2 2" xfId="33623" xr:uid="{00000000-0005-0000-0000-00005D860000}"/>
    <cellStyle name="Normal 319 4 2 3" xfId="33624" xr:uid="{00000000-0005-0000-0000-00005E860000}"/>
    <cellStyle name="Normal 319 4 3" xfId="33625" xr:uid="{00000000-0005-0000-0000-00005F860000}"/>
    <cellStyle name="Normal 319 4 3 2" xfId="33626" xr:uid="{00000000-0005-0000-0000-000060860000}"/>
    <cellStyle name="Normal 319 4 3 3" xfId="33627" xr:uid="{00000000-0005-0000-0000-000061860000}"/>
    <cellStyle name="Normal 319 4 4" xfId="33628" xr:uid="{00000000-0005-0000-0000-000062860000}"/>
    <cellStyle name="Normal 319 4 5" xfId="33629" xr:uid="{00000000-0005-0000-0000-000063860000}"/>
    <cellStyle name="Normal 319 4 6" xfId="33630" xr:uid="{00000000-0005-0000-0000-000064860000}"/>
    <cellStyle name="Normal 319 5" xfId="33631" xr:uid="{00000000-0005-0000-0000-000065860000}"/>
    <cellStyle name="Normal 319 5 2" xfId="33632" xr:uid="{00000000-0005-0000-0000-000066860000}"/>
    <cellStyle name="Normal 319 5 3" xfId="33633" xr:uid="{00000000-0005-0000-0000-000067860000}"/>
    <cellStyle name="Normal 319 6" xfId="33634" xr:uid="{00000000-0005-0000-0000-000068860000}"/>
    <cellStyle name="Normal 319 6 2" xfId="33635" xr:uid="{00000000-0005-0000-0000-000069860000}"/>
    <cellStyle name="Normal 319 6 3" xfId="33636" xr:uid="{00000000-0005-0000-0000-00006A860000}"/>
    <cellStyle name="Normal 319 7" xfId="33637" xr:uid="{00000000-0005-0000-0000-00006B860000}"/>
    <cellStyle name="Normal 319 8" xfId="33638" xr:uid="{00000000-0005-0000-0000-00006C860000}"/>
    <cellStyle name="Normal 319 9" xfId="33639" xr:uid="{00000000-0005-0000-0000-00006D860000}"/>
    <cellStyle name="Normal 32" xfId="3219" xr:uid="{00000000-0005-0000-0000-00006E860000}"/>
    <cellStyle name="Normal 32 10" xfId="33640" xr:uid="{00000000-0005-0000-0000-00006F860000}"/>
    <cellStyle name="Normal 32 11" xfId="33641" xr:uid="{00000000-0005-0000-0000-000070860000}"/>
    <cellStyle name="Normal 32 12" xfId="33642" xr:uid="{00000000-0005-0000-0000-000071860000}"/>
    <cellStyle name="Normal 32 13" xfId="33643" xr:uid="{00000000-0005-0000-0000-000072860000}"/>
    <cellStyle name="Normal 32 14" xfId="33644" xr:uid="{00000000-0005-0000-0000-000073860000}"/>
    <cellStyle name="Normal 32 2" xfId="33645" xr:uid="{00000000-0005-0000-0000-000074860000}"/>
    <cellStyle name="Normal 32 2 10" xfId="33646" xr:uid="{00000000-0005-0000-0000-000075860000}"/>
    <cellStyle name="Normal 32 2 2" xfId="33647" xr:uid="{00000000-0005-0000-0000-000076860000}"/>
    <cellStyle name="Normal 32 2 2 2" xfId="33648" xr:uid="{00000000-0005-0000-0000-000077860000}"/>
    <cellStyle name="Normal 32 2 2 2 2" xfId="33649" xr:uid="{00000000-0005-0000-0000-000078860000}"/>
    <cellStyle name="Normal 32 2 2 2 2 2" xfId="33650" xr:uid="{00000000-0005-0000-0000-000079860000}"/>
    <cellStyle name="Normal 32 2 2 2 2 3" xfId="33651" xr:uid="{00000000-0005-0000-0000-00007A860000}"/>
    <cellStyle name="Normal 32 2 2 2 3" xfId="33652" xr:uid="{00000000-0005-0000-0000-00007B860000}"/>
    <cellStyle name="Normal 32 2 2 2 3 2" xfId="33653" xr:uid="{00000000-0005-0000-0000-00007C860000}"/>
    <cellStyle name="Normal 32 2 2 2 3 3" xfId="33654" xr:uid="{00000000-0005-0000-0000-00007D860000}"/>
    <cellStyle name="Normal 32 2 2 2 4" xfId="33655" xr:uid="{00000000-0005-0000-0000-00007E860000}"/>
    <cellStyle name="Normal 32 2 2 2 5" xfId="33656" xr:uid="{00000000-0005-0000-0000-00007F860000}"/>
    <cellStyle name="Normal 32 2 2 2 6" xfId="33657" xr:uid="{00000000-0005-0000-0000-000080860000}"/>
    <cellStyle name="Normal 32 2 2 3" xfId="33658" xr:uid="{00000000-0005-0000-0000-000081860000}"/>
    <cellStyle name="Normal 32 2 2 3 2" xfId="33659" xr:uid="{00000000-0005-0000-0000-000082860000}"/>
    <cellStyle name="Normal 32 2 2 3 3" xfId="33660" xr:uid="{00000000-0005-0000-0000-000083860000}"/>
    <cellStyle name="Normal 32 2 2 4" xfId="33661" xr:uid="{00000000-0005-0000-0000-000084860000}"/>
    <cellStyle name="Normal 32 2 2 4 2" xfId="33662" xr:uid="{00000000-0005-0000-0000-000085860000}"/>
    <cellStyle name="Normal 32 2 2 4 3" xfId="33663" xr:uid="{00000000-0005-0000-0000-000086860000}"/>
    <cellStyle name="Normal 32 2 2 5" xfId="33664" xr:uid="{00000000-0005-0000-0000-000087860000}"/>
    <cellStyle name="Normal 32 2 2 6" xfId="33665" xr:uid="{00000000-0005-0000-0000-000088860000}"/>
    <cellStyle name="Normal 32 2 2 7" xfId="33666" xr:uid="{00000000-0005-0000-0000-000089860000}"/>
    <cellStyle name="Normal 32 2 2 8" xfId="33667" xr:uid="{00000000-0005-0000-0000-00008A860000}"/>
    <cellStyle name="Normal 32 2 3" xfId="33668" xr:uid="{00000000-0005-0000-0000-00008B860000}"/>
    <cellStyle name="Normal 32 2 3 2" xfId="33669" xr:uid="{00000000-0005-0000-0000-00008C860000}"/>
    <cellStyle name="Normal 32 2 3 2 2" xfId="33670" xr:uid="{00000000-0005-0000-0000-00008D860000}"/>
    <cellStyle name="Normal 32 2 3 2 3" xfId="33671" xr:uid="{00000000-0005-0000-0000-00008E860000}"/>
    <cellStyle name="Normal 32 2 3 3" xfId="33672" xr:uid="{00000000-0005-0000-0000-00008F860000}"/>
    <cellStyle name="Normal 32 2 3 3 2" xfId="33673" xr:uid="{00000000-0005-0000-0000-000090860000}"/>
    <cellStyle name="Normal 32 2 3 3 3" xfId="33674" xr:uid="{00000000-0005-0000-0000-000091860000}"/>
    <cellStyle name="Normal 32 2 3 4" xfId="33675" xr:uid="{00000000-0005-0000-0000-000092860000}"/>
    <cellStyle name="Normal 32 2 3 5" xfId="33676" xr:uid="{00000000-0005-0000-0000-000093860000}"/>
    <cellStyle name="Normal 32 2 3 6" xfId="33677" xr:uid="{00000000-0005-0000-0000-000094860000}"/>
    <cellStyle name="Normal 32 2 4" xfId="33678" xr:uid="{00000000-0005-0000-0000-000095860000}"/>
    <cellStyle name="Normal 32 2 4 2" xfId="33679" xr:uid="{00000000-0005-0000-0000-000096860000}"/>
    <cellStyle name="Normal 32 2 4 3" xfId="33680" xr:uid="{00000000-0005-0000-0000-000097860000}"/>
    <cellStyle name="Normal 32 2 5" xfId="33681" xr:uid="{00000000-0005-0000-0000-000098860000}"/>
    <cellStyle name="Normal 32 2 5 2" xfId="33682" xr:uid="{00000000-0005-0000-0000-000099860000}"/>
    <cellStyle name="Normal 32 2 5 3" xfId="33683" xr:uid="{00000000-0005-0000-0000-00009A860000}"/>
    <cellStyle name="Normal 32 2 6" xfId="33684" xr:uid="{00000000-0005-0000-0000-00009B860000}"/>
    <cellStyle name="Normal 32 2 7" xfId="33685" xr:uid="{00000000-0005-0000-0000-00009C860000}"/>
    <cellStyle name="Normal 32 2 8" xfId="33686" xr:uid="{00000000-0005-0000-0000-00009D860000}"/>
    <cellStyle name="Normal 32 2 9" xfId="33687" xr:uid="{00000000-0005-0000-0000-00009E860000}"/>
    <cellStyle name="Normal 32 3" xfId="33688" xr:uid="{00000000-0005-0000-0000-00009F860000}"/>
    <cellStyle name="Normal 32 3 10" xfId="33689" xr:uid="{00000000-0005-0000-0000-0000A0860000}"/>
    <cellStyle name="Normal 32 3 2" xfId="33690" xr:uid="{00000000-0005-0000-0000-0000A1860000}"/>
    <cellStyle name="Normal 32 3 2 2" xfId="33691" xr:uid="{00000000-0005-0000-0000-0000A2860000}"/>
    <cellStyle name="Normal 32 3 2 2 2" xfId="33692" xr:uid="{00000000-0005-0000-0000-0000A3860000}"/>
    <cellStyle name="Normal 32 3 2 2 3" xfId="33693" xr:uid="{00000000-0005-0000-0000-0000A4860000}"/>
    <cellStyle name="Normal 32 3 2 3" xfId="33694" xr:uid="{00000000-0005-0000-0000-0000A5860000}"/>
    <cellStyle name="Normal 32 3 2 3 2" xfId="33695" xr:uid="{00000000-0005-0000-0000-0000A6860000}"/>
    <cellStyle name="Normal 32 3 2 3 3" xfId="33696" xr:uid="{00000000-0005-0000-0000-0000A7860000}"/>
    <cellStyle name="Normal 32 3 2 4" xfId="33697" xr:uid="{00000000-0005-0000-0000-0000A8860000}"/>
    <cellStyle name="Normal 32 3 2 5" xfId="33698" xr:uid="{00000000-0005-0000-0000-0000A9860000}"/>
    <cellStyle name="Normal 32 3 2 6" xfId="33699" xr:uid="{00000000-0005-0000-0000-0000AA860000}"/>
    <cellStyle name="Normal 32 3 3" xfId="33700" xr:uid="{00000000-0005-0000-0000-0000AB860000}"/>
    <cellStyle name="Normal 32 3 3 2" xfId="33701" xr:uid="{00000000-0005-0000-0000-0000AC860000}"/>
    <cellStyle name="Normal 32 3 3 3" xfId="33702" xr:uid="{00000000-0005-0000-0000-0000AD860000}"/>
    <cellStyle name="Normal 32 3 4" xfId="33703" xr:uid="{00000000-0005-0000-0000-0000AE860000}"/>
    <cellStyle name="Normal 32 3 4 2" xfId="33704" xr:uid="{00000000-0005-0000-0000-0000AF860000}"/>
    <cellStyle name="Normal 32 3 4 3" xfId="33705" xr:uid="{00000000-0005-0000-0000-0000B0860000}"/>
    <cellStyle name="Normal 32 3 5" xfId="33706" xr:uid="{00000000-0005-0000-0000-0000B1860000}"/>
    <cellStyle name="Normal 32 3 6" xfId="33707" xr:uid="{00000000-0005-0000-0000-0000B2860000}"/>
    <cellStyle name="Normal 32 3 7" xfId="33708" xr:uid="{00000000-0005-0000-0000-0000B3860000}"/>
    <cellStyle name="Normal 32 3 8" xfId="33709" xr:uid="{00000000-0005-0000-0000-0000B4860000}"/>
    <cellStyle name="Normal 32 3 9" xfId="33710" xr:uid="{00000000-0005-0000-0000-0000B5860000}"/>
    <cellStyle name="Normal 32 4" xfId="33711" xr:uid="{00000000-0005-0000-0000-0000B6860000}"/>
    <cellStyle name="Normal 32 4 2" xfId="33712" xr:uid="{00000000-0005-0000-0000-0000B7860000}"/>
    <cellStyle name="Normal 32 4 2 2" xfId="33713" xr:uid="{00000000-0005-0000-0000-0000B8860000}"/>
    <cellStyle name="Normal 32 4 2 3" xfId="33714" xr:uid="{00000000-0005-0000-0000-0000B9860000}"/>
    <cellStyle name="Normal 32 4 3" xfId="33715" xr:uid="{00000000-0005-0000-0000-0000BA860000}"/>
    <cellStyle name="Normal 32 4 3 2" xfId="33716" xr:uid="{00000000-0005-0000-0000-0000BB860000}"/>
    <cellStyle name="Normal 32 4 3 3" xfId="33717" xr:uid="{00000000-0005-0000-0000-0000BC860000}"/>
    <cellStyle name="Normal 32 4 4" xfId="33718" xr:uid="{00000000-0005-0000-0000-0000BD860000}"/>
    <cellStyle name="Normal 32 4 5" xfId="33719" xr:uid="{00000000-0005-0000-0000-0000BE860000}"/>
    <cellStyle name="Normal 32 4 6" xfId="33720" xr:uid="{00000000-0005-0000-0000-0000BF860000}"/>
    <cellStyle name="Normal 32 5" xfId="33721" xr:uid="{00000000-0005-0000-0000-0000C0860000}"/>
    <cellStyle name="Normal 32 5 2" xfId="33722" xr:uid="{00000000-0005-0000-0000-0000C1860000}"/>
    <cellStyle name="Normal 32 5 3" xfId="33723" xr:uid="{00000000-0005-0000-0000-0000C2860000}"/>
    <cellStyle name="Normal 32 6" xfId="33724" xr:uid="{00000000-0005-0000-0000-0000C3860000}"/>
    <cellStyle name="Normal 32 6 2" xfId="33725" xr:uid="{00000000-0005-0000-0000-0000C4860000}"/>
    <cellStyle name="Normal 32 6 3" xfId="33726" xr:uid="{00000000-0005-0000-0000-0000C5860000}"/>
    <cellStyle name="Normal 32 7" xfId="33727" xr:uid="{00000000-0005-0000-0000-0000C6860000}"/>
    <cellStyle name="Normal 32 8" xfId="33728" xr:uid="{00000000-0005-0000-0000-0000C7860000}"/>
    <cellStyle name="Normal 32 9" xfId="33729" xr:uid="{00000000-0005-0000-0000-0000C8860000}"/>
    <cellStyle name="Normal 320" xfId="3220" xr:uid="{00000000-0005-0000-0000-0000C9860000}"/>
    <cellStyle name="Normal 320 10" xfId="33730" xr:uid="{00000000-0005-0000-0000-0000CA860000}"/>
    <cellStyle name="Normal 320 11" xfId="33731" xr:uid="{00000000-0005-0000-0000-0000CB860000}"/>
    <cellStyle name="Normal 320 2" xfId="33732" xr:uid="{00000000-0005-0000-0000-0000CC860000}"/>
    <cellStyle name="Normal 320 2 2" xfId="33733" xr:uid="{00000000-0005-0000-0000-0000CD860000}"/>
    <cellStyle name="Normal 320 2 2 2" xfId="33734" xr:uid="{00000000-0005-0000-0000-0000CE860000}"/>
    <cellStyle name="Normal 320 2 2 2 2" xfId="33735" xr:uid="{00000000-0005-0000-0000-0000CF860000}"/>
    <cellStyle name="Normal 320 2 2 2 2 2" xfId="33736" xr:uid="{00000000-0005-0000-0000-0000D0860000}"/>
    <cellStyle name="Normal 320 2 2 2 2 3" xfId="33737" xr:uid="{00000000-0005-0000-0000-0000D1860000}"/>
    <cellStyle name="Normal 320 2 2 2 3" xfId="33738" xr:uid="{00000000-0005-0000-0000-0000D2860000}"/>
    <cellStyle name="Normal 320 2 2 2 3 2" xfId="33739" xr:uid="{00000000-0005-0000-0000-0000D3860000}"/>
    <cellStyle name="Normal 320 2 2 2 3 3" xfId="33740" xr:uid="{00000000-0005-0000-0000-0000D4860000}"/>
    <cellStyle name="Normal 320 2 2 2 4" xfId="33741" xr:uid="{00000000-0005-0000-0000-0000D5860000}"/>
    <cellStyle name="Normal 320 2 2 2 5" xfId="33742" xr:uid="{00000000-0005-0000-0000-0000D6860000}"/>
    <cellStyle name="Normal 320 2 2 2 6" xfId="33743" xr:uid="{00000000-0005-0000-0000-0000D7860000}"/>
    <cellStyle name="Normal 320 2 2 3" xfId="33744" xr:uid="{00000000-0005-0000-0000-0000D8860000}"/>
    <cellStyle name="Normal 320 2 2 3 2" xfId="33745" xr:uid="{00000000-0005-0000-0000-0000D9860000}"/>
    <cellStyle name="Normal 320 2 2 3 3" xfId="33746" xr:uid="{00000000-0005-0000-0000-0000DA860000}"/>
    <cellStyle name="Normal 320 2 2 4" xfId="33747" xr:uid="{00000000-0005-0000-0000-0000DB860000}"/>
    <cellStyle name="Normal 320 2 2 4 2" xfId="33748" xr:uid="{00000000-0005-0000-0000-0000DC860000}"/>
    <cellStyle name="Normal 320 2 2 4 3" xfId="33749" xr:uid="{00000000-0005-0000-0000-0000DD860000}"/>
    <cellStyle name="Normal 320 2 2 5" xfId="33750" xr:uid="{00000000-0005-0000-0000-0000DE860000}"/>
    <cellStyle name="Normal 320 2 2 6" xfId="33751" xr:uid="{00000000-0005-0000-0000-0000DF860000}"/>
    <cellStyle name="Normal 320 2 2 7" xfId="33752" xr:uid="{00000000-0005-0000-0000-0000E0860000}"/>
    <cellStyle name="Normal 320 2 2 8" xfId="33753" xr:uid="{00000000-0005-0000-0000-0000E1860000}"/>
    <cellStyle name="Normal 320 2 3" xfId="33754" xr:uid="{00000000-0005-0000-0000-0000E2860000}"/>
    <cellStyle name="Normal 320 2 3 2" xfId="33755" xr:uid="{00000000-0005-0000-0000-0000E3860000}"/>
    <cellStyle name="Normal 320 2 3 2 2" xfId="33756" xr:uid="{00000000-0005-0000-0000-0000E4860000}"/>
    <cellStyle name="Normal 320 2 3 2 3" xfId="33757" xr:uid="{00000000-0005-0000-0000-0000E5860000}"/>
    <cellStyle name="Normal 320 2 3 3" xfId="33758" xr:uid="{00000000-0005-0000-0000-0000E6860000}"/>
    <cellStyle name="Normal 320 2 3 3 2" xfId="33759" xr:uid="{00000000-0005-0000-0000-0000E7860000}"/>
    <cellStyle name="Normal 320 2 3 3 3" xfId="33760" xr:uid="{00000000-0005-0000-0000-0000E8860000}"/>
    <cellStyle name="Normal 320 2 3 4" xfId="33761" xr:uid="{00000000-0005-0000-0000-0000E9860000}"/>
    <cellStyle name="Normal 320 2 3 5" xfId="33762" xr:uid="{00000000-0005-0000-0000-0000EA860000}"/>
    <cellStyle name="Normal 320 2 3 6" xfId="33763" xr:uid="{00000000-0005-0000-0000-0000EB860000}"/>
    <cellStyle name="Normal 320 2 4" xfId="33764" xr:uid="{00000000-0005-0000-0000-0000EC860000}"/>
    <cellStyle name="Normal 320 2 4 2" xfId="33765" xr:uid="{00000000-0005-0000-0000-0000ED860000}"/>
    <cellStyle name="Normal 320 2 4 3" xfId="33766" xr:uid="{00000000-0005-0000-0000-0000EE860000}"/>
    <cellStyle name="Normal 320 2 5" xfId="33767" xr:uid="{00000000-0005-0000-0000-0000EF860000}"/>
    <cellStyle name="Normal 320 2 5 2" xfId="33768" xr:uid="{00000000-0005-0000-0000-0000F0860000}"/>
    <cellStyle name="Normal 320 2 5 3" xfId="33769" xr:uid="{00000000-0005-0000-0000-0000F1860000}"/>
    <cellStyle name="Normal 320 2 6" xfId="33770" xr:uid="{00000000-0005-0000-0000-0000F2860000}"/>
    <cellStyle name="Normal 320 2 7" xfId="33771" xr:uid="{00000000-0005-0000-0000-0000F3860000}"/>
    <cellStyle name="Normal 320 2 8" xfId="33772" xr:uid="{00000000-0005-0000-0000-0000F4860000}"/>
    <cellStyle name="Normal 320 2 9" xfId="33773" xr:uid="{00000000-0005-0000-0000-0000F5860000}"/>
    <cellStyle name="Normal 320 3" xfId="33774" xr:uid="{00000000-0005-0000-0000-0000F6860000}"/>
    <cellStyle name="Normal 320 3 2" xfId="33775" xr:uid="{00000000-0005-0000-0000-0000F7860000}"/>
    <cellStyle name="Normal 320 3 2 2" xfId="33776" xr:uid="{00000000-0005-0000-0000-0000F8860000}"/>
    <cellStyle name="Normal 320 3 2 2 2" xfId="33777" xr:uid="{00000000-0005-0000-0000-0000F9860000}"/>
    <cellStyle name="Normal 320 3 2 2 3" xfId="33778" xr:uid="{00000000-0005-0000-0000-0000FA860000}"/>
    <cellStyle name="Normal 320 3 2 3" xfId="33779" xr:uid="{00000000-0005-0000-0000-0000FB860000}"/>
    <cellStyle name="Normal 320 3 2 3 2" xfId="33780" xr:uid="{00000000-0005-0000-0000-0000FC860000}"/>
    <cellStyle name="Normal 320 3 2 3 3" xfId="33781" xr:uid="{00000000-0005-0000-0000-0000FD860000}"/>
    <cellStyle name="Normal 320 3 2 4" xfId="33782" xr:uid="{00000000-0005-0000-0000-0000FE860000}"/>
    <cellStyle name="Normal 320 3 2 5" xfId="33783" xr:uid="{00000000-0005-0000-0000-0000FF860000}"/>
    <cellStyle name="Normal 320 3 2 6" xfId="33784" xr:uid="{00000000-0005-0000-0000-000000870000}"/>
    <cellStyle name="Normal 320 3 3" xfId="33785" xr:uid="{00000000-0005-0000-0000-000001870000}"/>
    <cellStyle name="Normal 320 3 3 2" xfId="33786" xr:uid="{00000000-0005-0000-0000-000002870000}"/>
    <cellStyle name="Normal 320 3 3 3" xfId="33787" xr:uid="{00000000-0005-0000-0000-000003870000}"/>
    <cellStyle name="Normal 320 3 4" xfId="33788" xr:uid="{00000000-0005-0000-0000-000004870000}"/>
    <cellStyle name="Normal 320 3 4 2" xfId="33789" xr:uid="{00000000-0005-0000-0000-000005870000}"/>
    <cellStyle name="Normal 320 3 4 3" xfId="33790" xr:uid="{00000000-0005-0000-0000-000006870000}"/>
    <cellStyle name="Normal 320 3 5" xfId="33791" xr:uid="{00000000-0005-0000-0000-000007870000}"/>
    <cellStyle name="Normal 320 3 6" xfId="33792" xr:uid="{00000000-0005-0000-0000-000008870000}"/>
    <cellStyle name="Normal 320 3 7" xfId="33793" xr:uid="{00000000-0005-0000-0000-000009870000}"/>
    <cellStyle name="Normal 320 3 8" xfId="33794" xr:uid="{00000000-0005-0000-0000-00000A870000}"/>
    <cellStyle name="Normal 320 4" xfId="33795" xr:uid="{00000000-0005-0000-0000-00000B870000}"/>
    <cellStyle name="Normal 320 4 2" xfId="33796" xr:uid="{00000000-0005-0000-0000-00000C870000}"/>
    <cellStyle name="Normal 320 4 2 2" xfId="33797" xr:uid="{00000000-0005-0000-0000-00000D870000}"/>
    <cellStyle name="Normal 320 4 2 3" xfId="33798" xr:uid="{00000000-0005-0000-0000-00000E870000}"/>
    <cellStyle name="Normal 320 4 3" xfId="33799" xr:uid="{00000000-0005-0000-0000-00000F870000}"/>
    <cellStyle name="Normal 320 4 3 2" xfId="33800" xr:uid="{00000000-0005-0000-0000-000010870000}"/>
    <cellStyle name="Normal 320 4 3 3" xfId="33801" xr:uid="{00000000-0005-0000-0000-000011870000}"/>
    <cellStyle name="Normal 320 4 4" xfId="33802" xr:uid="{00000000-0005-0000-0000-000012870000}"/>
    <cellStyle name="Normal 320 4 5" xfId="33803" xr:uid="{00000000-0005-0000-0000-000013870000}"/>
    <cellStyle name="Normal 320 4 6" xfId="33804" xr:uid="{00000000-0005-0000-0000-000014870000}"/>
    <cellStyle name="Normal 320 5" xfId="33805" xr:uid="{00000000-0005-0000-0000-000015870000}"/>
    <cellStyle name="Normal 320 5 2" xfId="33806" xr:uid="{00000000-0005-0000-0000-000016870000}"/>
    <cellStyle name="Normal 320 5 3" xfId="33807" xr:uid="{00000000-0005-0000-0000-000017870000}"/>
    <cellStyle name="Normal 320 6" xfId="33808" xr:uid="{00000000-0005-0000-0000-000018870000}"/>
    <cellStyle name="Normal 320 6 2" xfId="33809" xr:uid="{00000000-0005-0000-0000-000019870000}"/>
    <cellStyle name="Normal 320 6 3" xfId="33810" xr:uid="{00000000-0005-0000-0000-00001A870000}"/>
    <cellStyle name="Normal 320 7" xfId="33811" xr:uid="{00000000-0005-0000-0000-00001B870000}"/>
    <cellStyle name="Normal 320 8" xfId="33812" xr:uid="{00000000-0005-0000-0000-00001C870000}"/>
    <cellStyle name="Normal 320 9" xfId="33813" xr:uid="{00000000-0005-0000-0000-00001D870000}"/>
    <cellStyle name="Normal 321" xfId="3221" xr:uid="{00000000-0005-0000-0000-00001E870000}"/>
    <cellStyle name="Normal 321 10" xfId="33814" xr:uid="{00000000-0005-0000-0000-00001F870000}"/>
    <cellStyle name="Normal 321 11" xfId="33815" xr:uid="{00000000-0005-0000-0000-000020870000}"/>
    <cellStyle name="Normal 321 2" xfId="33816" xr:uid="{00000000-0005-0000-0000-000021870000}"/>
    <cellStyle name="Normal 321 2 2" xfId="33817" xr:uid="{00000000-0005-0000-0000-000022870000}"/>
    <cellStyle name="Normal 321 2 2 2" xfId="33818" xr:uid="{00000000-0005-0000-0000-000023870000}"/>
    <cellStyle name="Normal 321 2 2 2 2" xfId="33819" xr:uid="{00000000-0005-0000-0000-000024870000}"/>
    <cellStyle name="Normal 321 2 2 2 2 2" xfId="33820" xr:uid="{00000000-0005-0000-0000-000025870000}"/>
    <cellStyle name="Normal 321 2 2 2 2 3" xfId="33821" xr:uid="{00000000-0005-0000-0000-000026870000}"/>
    <cellStyle name="Normal 321 2 2 2 3" xfId="33822" xr:uid="{00000000-0005-0000-0000-000027870000}"/>
    <cellStyle name="Normal 321 2 2 2 3 2" xfId="33823" xr:uid="{00000000-0005-0000-0000-000028870000}"/>
    <cellStyle name="Normal 321 2 2 2 3 3" xfId="33824" xr:uid="{00000000-0005-0000-0000-000029870000}"/>
    <cellStyle name="Normal 321 2 2 2 4" xfId="33825" xr:uid="{00000000-0005-0000-0000-00002A870000}"/>
    <cellStyle name="Normal 321 2 2 2 5" xfId="33826" xr:uid="{00000000-0005-0000-0000-00002B870000}"/>
    <cellStyle name="Normal 321 2 2 2 6" xfId="33827" xr:uid="{00000000-0005-0000-0000-00002C870000}"/>
    <cellStyle name="Normal 321 2 2 3" xfId="33828" xr:uid="{00000000-0005-0000-0000-00002D870000}"/>
    <cellStyle name="Normal 321 2 2 3 2" xfId="33829" xr:uid="{00000000-0005-0000-0000-00002E870000}"/>
    <cellStyle name="Normal 321 2 2 3 3" xfId="33830" xr:uid="{00000000-0005-0000-0000-00002F870000}"/>
    <cellStyle name="Normal 321 2 2 4" xfId="33831" xr:uid="{00000000-0005-0000-0000-000030870000}"/>
    <cellStyle name="Normal 321 2 2 4 2" xfId="33832" xr:uid="{00000000-0005-0000-0000-000031870000}"/>
    <cellStyle name="Normal 321 2 2 4 3" xfId="33833" xr:uid="{00000000-0005-0000-0000-000032870000}"/>
    <cellStyle name="Normal 321 2 2 5" xfId="33834" xr:uid="{00000000-0005-0000-0000-000033870000}"/>
    <cellStyle name="Normal 321 2 2 6" xfId="33835" xr:uid="{00000000-0005-0000-0000-000034870000}"/>
    <cellStyle name="Normal 321 2 2 7" xfId="33836" xr:uid="{00000000-0005-0000-0000-000035870000}"/>
    <cellStyle name="Normal 321 2 2 8" xfId="33837" xr:uid="{00000000-0005-0000-0000-000036870000}"/>
    <cellStyle name="Normal 321 2 3" xfId="33838" xr:uid="{00000000-0005-0000-0000-000037870000}"/>
    <cellStyle name="Normal 321 2 3 2" xfId="33839" xr:uid="{00000000-0005-0000-0000-000038870000}"/>
    <cellStyle name="Normal 321 2 3 2 2" xfId="33840" xr:uid="{00000000-0005-0000-0000-000039870000}"/>
    <cellStyle name="Normal 321 2 3 2 3" xfId="33841" xr:uid="{00000000-0005-0000-0000-00003A870000}"/>
    <cellStyle name="Normal 321 2 3 3" xfId="33842" xr:uid="{00000000-0005-0000-0000-00003B870000}"/>
    <cellStyle name="Normal 321 2 3 3 2" xfId="33843" xr:uid="{00000000-0005-0000-0000-00003C870000}"/>
    <cellStyle name="Normal 321 2 3 3 3" xfId="33844" xr:uid="{00000000-0005-0000-0000-00003D870000}"/>
    <cellStyle name="Normal 321 2 3 4" xfId="33845" xr:uid="{00000000-0005-0000-0000-00003E870000}"/>
    <cellStyle name="Normal 321 2 3 5" xfId="33846" xr:uid="{00000000-0005-0000-0000-00003F870000}"/>
    <cellStyle name="Normal 321 2 3 6" xfId="33847" xr:uid="{00000000-0005-0000-0000-000040870000}"/>
    <cellStyle name="Normal 321 2 4" xfId="33848" xr:uid="{00000000-0005-0000-0000-000041870000}"/>
    <cellStyle name="Normal 321 2 4 2" xfId="33849" xr:uid="{00000000-0005-0000-0000-000042870000}"/>
    <cellStyle name="Normal 321 2 4 3" xfId="33850" xr:uid="{00000000-0005-0000-0000-000043870000}"/>
    <cellStyle name="Normal 321 2 5" xfId="33851" xr:uid="{00000000-0005-0000-0000-000044870000}"/>
    <cellStyle name="Normal 321 2 5 2" xfId="33852" xr:uid="{00000000-0005-0000-0000-000045870000}"/>
    <cellStyle name="Normal 321 2 5 3" xfId="33853" xr:uid="{00000000-0005-0000-0000-000046870000}"/>
    <cellStyle name="Normal 321 2 6" xfId="33854" xr:uid="{00000000-0005-0000-0000-000047870000}"/>
    <cellStyle name="Normal 321 2 7" xfId="33855" xr:uid="{00000000-0005-0000-0000-000048870000}"/>
    <cellStyle name="Normal 321 2 8" xfId="33856" xr:uid="{00000000-0005-0000-0000-000049870000}"/>
    <cellStyle name="Normal 321 2 9" xfId="33857" xr:uid="{00000000-0005-0000-0000-00004A870000}"/>
    <cellStyle name="Normal 321 3" xfId="33858" xr:uid="{00000000-0005-0000-0000-00004B870000}"/>
    <cellStyle name="Normal 321 3 2" xfId="33859" xr:uid="{00000000-0005-0000-0000-00004C870000}"/>
    <cellStyle name="Normal 321 3 2 2" xfId="33860" xr:uid="{00000000-0005-0000-0000-00004D870000}"/>
    <cellStyle name="Normal 321 3 2 2 2" xfId="33861" xr:uid="{00000000-0005-0000-0000-00004E870000}"/>
    <cellStyle name="Normal 321 3 2 2 3" xfId="33862" xr:uid="{00000000-0005-0000-0000-00004F870000}"/>
    <cellStyle name="Normal 321 3 2 3" xfId="33863" xr:uid="{00000000-0005-0000-0000-000050870000}"/>
    <cellStyle name="Normal 321 3 2 3 2" xfId="33864" xr:uid="{00000000-0005-0000-0000-000051870000}"/>
    <cellStyle name="Normal 321 3 2 3 3" xfId="33865" xr:uid="{00000000-0005-0000-0000-000052870000}"/>
    <cellStyle name="Normal 321 3 2 4" xfId="33866" xr:uid="{00000000-0005-0000-0000-000053870000}"/>
    <cellStyle name="Normal 321 3 2 5" xfId="33867" xr:uid="{00000000-0005-0000-0000-000054870000}"/>
    <cellStyle name="Normal 321 3 2 6" xfId="33868" xr:uid="{00000000-0005-0000-0000-000055870000}"/>
    <cellStyle name="Normal 321 3 3" xfId="33869" xr:uid="{00000000-0005-0000-0000-000056870000}"/>
    <cellStyle name="Normal 321 3 3 2" xfId="33870" xr:uid="{00000000-0005-0000-0000-000057870000}"/>
    <cellStyle name="Normal 321 3 3 3" xfId="33871" xr:uid="{00000000-0005-0000-0000-000058870000}"/>
    <cellStyle name="Normal 321 3 4" xfId="33872" xr:uid="{00000000-0005-0000-0000-000059870000}"/>
    <cellStyle name="Normal 321 3 4 2" xfId="33873" xr:uid="{00000000-0005-0000-0000-00005A870000}"/>
    <cellStyle name="Normal 321 3 4 3" xfId="33874" xr:uid="{00000000-0005-0000-0000-00005B870000}"/>
    <cellStyle name="Normal 321 3 5" xfId="33875" xr:uid="{00000000-0005-0000-0000-00005C870000}"/>
    <cellStyle name="Normal 321 3 6" xfId="33876" xr:uid="{00000000-0005-0000-0000-00005D870000}"/>
    <cellStyle name="Normal 321 3 7" xfId="33877" xr:uid="{00000000-0005-0000-0000-00005E870000}"/>
    <cellStyle name="Normal 321 3 8" xfId="33878" xr:uid="{00000000-0005-0000-0000-00005F870000}"/>
    <cellStyle name="Normal 321 4" xfId="33879" xr:uid="{00000000-0005-0000-0000-000060870000}"/>
    <cellStyle name="Normal 321 4 2" xfId="33880" xr:uid="{00000000-0005-0000-0000-000061870000}"/>
    <cellStyle name="Normal 321 4 2 2" xfId="33881" xr:uid="{00000000-0005-0000-0000-000062870000}"/>
    <cellStyle name="Normal 321 4 2 3" xfId="33882" xr:uid="{00000000-0005-0000-0000-000063870000}"/>
    <cellStyle name="Normal 321 4 3" xfId="33883" xr:uid="{00000000-0005-0000-0000-000064870000}"/>
    <cellStyle name="Normal 321 4 3 2" xfId="33884" xr:uid="{00000000-0005-0000-0000-000065870000}"/>
    <cellStyle name="Normal 321 4 3 3" xfId="33885" xr:uid="{00000000-0005-0000-0000-000066870000}"/>
    <cellStyle name="Normal 321 4 4" xfId="33886" xr:uid="{00000000-0005-0000-0000-000067870000}"/>
    <cellStyle name="Normal 321 4 5" xfId="33887" xr:uid="{00000000-0005-0000-0000-000068870000}"/>
    <cellStyle name="Normal 321 4 6" xfId="33888" xr:uid="{00000000-0005-0000-0000-000069870000}"/>
    <cellStyle name="Normal 321 5" xfId="33889" xr:uid="{00000000-0005-0000-0000-00006A870000}"/>
    <cellStyle name="Normal 321 5 2" xfId="33890" xr:uid="{00000000-0005-0000-0000-00006B870000}"/>
    <cellStyle name="Normal 321 5 3" xfId="33891" xr:uid="{00000000-0005-0000-0000-00006C870000}"/>
    <cellStyle name="Normal 321 6" xfId="33892" xr:uid="{00000000-0005-0000-0000-00006D870000}"/>
    <cellStyle name="Normal 321 6 2" xfId="33893" xr:uid="{00000000-0005-0000-0000-00006E870000}"/>
    <cellStyle name="Normal 321 6 3" xfId="33894" xr:uid="{00000000-0005-0000-0000-00006F870000}"/>
    <cellStyle name="Normal 321 7" xfId="33895" xr:uid="{00000000-0005-0000-0000-000070870000}"/>
    <cellStyle name="Normal 321 8" xfId="33896" xr:uid="{00000000-0005-0000-0000-000071870000}"/>
    <cellStyle name="Normal 321 9" xfId="33897" xr:uid="{00000000-0005-0000-0000-000072870000}"/>
    <cellStyle name="Normal 322" xfId="3222" xr:uid="{00000000-0005-0000-0000-000073870000}"/>
    <cellStyle name="Normal 322 10" xfId="33898" xr:uid="{00000000-0005-0000-0000-000074870000}"/>
    <cellStyle name="Normal 322 11" xfId="33899" xr:uid="{00000000-0005-0000-0000-000075870000}"/>
    <cellStyle name="Normal 322 2" xfId="33900" xr:uid="{00000000-0005-0000-0000-000076870000}"/>
    <cellStyle name="Normal 322 2 2" xfId="33901" xr:uid="{00000000-0005-0000-0000-000077870000}"/>
    <cellStyle name="Normal 322 2 2 2" xfId="33902" xr:uid="{00000000-0005-0000-0000-000078870000}"/>
    <cellStyle name="Normal 322 2 2 2 2" xfId="33903" xr:uid="{00000000-0005-0000-0000-000079870000}"/>
    <cellStyle name="Normal 322 2 2 2 2 2" xfId="33904" xr:uid="{00000000-0005-0000-0000-00007A870000}"/>
    <cellStyle name="Normal 322 2 2 2 2 3" xfId="33905" xr:uid="{00000000-0005-0000-0000-00007B870000}"/>
    <cellStyle name="Normal 322 2 2 2 3" xfId="33906" xr:uid="{00000000-0005-0000-0000-00007C870000}"/>
    <cellStyle name="Normal 322 2 2 2 3 2" xfId="33907" xr:uid="{00000000-0005-0000-0000-00007D870000}"/>
    <cellStyle name="Normal 322 2 2 2 3 3" xfId="33908" xr:uid="{00000000-0005-0000-0000-00007E870000}"/>
    <cellStyle name="Normal 322 2 2 2 4" xfId="33909" xr:uid="{00000000-0005-0000-0000-00007F870000}"/>
    <cellStyle name="Normal 322 2 2 2 5" xfId="33910" xr:uid="{00000000-0005-0000-0000-000080870000}"/>
    <cellStyle name="Normal 322 2 2 2 6" xfId="33911" xr:uid="{00000000-0005-0000-0000-000081870000}"/>
    <cellStyle name="Normal 322 2 2 3" xfId="33912" xr:uid="{00000000-0005-0000-0000-000082870000}"/>
    <cellStyle name="Normal 322 2 2 3 2" xfId="33913" xr:uid="{00000000-0005-0000-0000-000083870000}"/>
    <cellStyle name="Normal 322 2 2 3 3" xfId="33914" xr:uid="{00000000-0005-0000-0000-000084870000}"/>
    <cellStyle name="Normal 322 2 2 4" xfId="33915" xr:uid="{00000000-0005-0000-0000-000085870000}"/>
    <cellStyle name="Normal 322 2 2 4 2" xfId="33916" xr:uid="{00000000-0005-0000-0000-000086870000}"/>
    <cellStyle name="Normal 322 2 2 4 3" xfId="33917" xr:uid="{00000000-0005-0000-0000-000087870000}"/>
    <cellStyle name="Normal 322 2 2 5" xfId="33918" xr:uid="{00000000-0005-0000-0000-000088870000}"/>
    <cellStyle name="Normal 322 2 2 6" xfId="33919" xr:uid="{00000000-0005-0000-0000-000089870000}"/>
    <cellStyle name="Normal 322 2 2 7" xfId="33920" xr:uid="{00000000-0005-0000-0000-00008A870000}"/>
    <cellStyle name="Normal 322 2 2 8" xfId="33921" xr:uid="{00000000-0005-0000-0000-00008B870000}"/>
    <cellStyle name="Normal 322 2 3" xfId="33922" xr:uid="{00000000-0005-0000-0000-00008C870000}"/>
    <cellStyle name="Normal 322 2 3 2" xfId="33923" xr:uid="{00000000-0005-0000-0000-00008D870000}"/>
    <cellStyle name="Normal 322 2 3 2 2" xfId="33924" xr:uid="{00000000-0005-0000-0000-00008E870000}"/>
    <cellStyle name="Normal 322 2 3 2 3" xfId="33925" xr:uid="{00000000-0005-0000-0000-00008F870000}"/>
    <cellStyle name="Normal 322 2 3 3" xfId="33926" xr:uid="{00000000-0005-0000-0000-000090870000}"/>
    <cellStyle name="Normal 322 2 3 3 2" xfId="33927" xr:uid="{00000000-0005-0000-0000-000091870000}"/>
    <cellStyle name="Normal 322 2 3 3 3" xfId="33928" xr:uid="{00000000-0005-0000-0000-000092870000}"/>
    <cellStyle name="Normal 322 2 3 4" xfId="33929" xr:uid="{00000000-0005-0000-0000-000093870000}"/>
    <cellStyle name="Normal 322 2 3 5" xfId="33930" xr:uid="{00000000-0005-0000-0000-000094870000}"/>
    <cellStyle name="Normal 322 2 3 6" xfId="33931" xr:uid="{00000000-0005-0000-0000-000095870000}"/>
    <cellStyle name="Normal 322 2 4" xfId="33932" xr:uid="{00000000-0005-0000-0000-000096870000}"/>
    <cellStyle name="Normal 322 2 4 2" xfId="33933" xr:uid="{00000000-0005-0000-0000-000097870000}"/>
    <cellStyle name="Normal 322 2 4 3" xfId="33934" xr:uid="{00000000-0005-0000-0000-000098870000}"/>
    <cellStyle name="Normal 322 2 5" xfId="33935" xr:uid="{00000000-0005-0000-0000-000099870000}"/>
    <cellStyle name="Normal 322 2 5 2" xfId="33936" xr:uid="{00000000-0005-0000-0000-00009A870000}"/>
    <cellStyle name="Normal 322 2 5 3" xfId="33937" xr:uid="{00000000-0005-0000-0000-00009B870000}"/>
    <cellStyle name="Normal 322 2 6" xfId="33938" xr:uid="{00000000-0005-0000-0000-00009C870000}"/>
    <cellStyle name="Normal 322 2 7" xfId="33939" xr:uid="{00000000-0005-0000-0000-00009D870000}"/>
    <cellStyle name="Normal 322 2 8" xfId="33940" xr:uid="{00000000-0005-0000-0000-00009E870000}"/>
    <cellStyle name="Normal 322 2 9" xfId="33941" xr:uid="{00000000-0005-0000-0000-00009F870000}"/>
    <cellStyle name="Normal 322 3" xfId="33942" xr:uid="{00000000-0005-0000-0000-0000A0870000}"/>
    <cellStyle name="Normal 322 3 2" xfId="33943" xr:uid="{00000000-0005-0000-0000-0000A1870000}"/>
    <cellStyle name="Normal 322 3 2 2" xfId="33944" xr:uid="{00000000-0005-0000-0000-0000A2870000}"/>
    <cellStyle name="Normal 322 3 2 2 2" xfId="33945" xr:uid="{00000000-0005-0000-0000-0000A3870000}"/>
    <cellStyle name="Normal 322 3 2 2 3" xfId="33946" xr:uid="{00000000-0005-0000-0000-0000A4870000}"/>
    <cellStyle name="Normal 322 3 2 3" xfId="33947" xr:uid="{00000000-0005-0000-0000-0000A5870000}"/>
    <cellStyle name="Normal 322 3 2 3 2" xfId="33948" xr:uid="{00000000-0005-0000-0000-0000A6870000}"/>
    <cellStyle name="Normal 322 3 2 3 3" xfId="33949" xr:uid="{00000000-0005-0000-0000-0000A7870000}"/>
    <cellStyle name="Normal 322 3 2 4" xfId="33950" xr:uid="{00000000-0005-0000-0000-0000A8870000}"/>
    <cellStyle name="Normal 322 3 2 5" xfId="33951" xr:uid="{00000000-0005-0000-0000-0000A9870000}"/>
    <cellStyle name="Normal 322 3 2 6" xfId="33952" xr:uid="{00000000-0005-0000-0000-0000AA870000}"/>
    <cellStyle name="Normal 322 3 3" xfId="33953" xr:uid="{00000000-0005-0000-0000-0000AB870000}"/>
    <cellStyle name="Normal 322 3 3 2" xfId="33954" xr:uid="{00000000-0005-0000-0000-0000AC870000}"/>
    <cellStyle name="Normal 322 3 3 3" xfId="33955" xr:uid="{00000000-0005-0000-0000-0000AD870000}"/>
    <cellStyle name="Normal 322 3 4" xfId="33956" xr:uid="{00000000-0005-0000-0000-0000AE870000}"/>
    <cellStyle name="Normal 322 3 4 2" xfId="33957" xr:uid="{00000000-0005-0000-0000-0000AF870000}"/>
    <cellStyle name="Normal 322 3 4 3" xfId="33958" xr:uid="{00000000-0005-0000-0000-0000B0870000}"/>
    <cellStyle name="Normal 322 3 5" xfId="33959" xr:uid="{00000000-0005-0000-0000-0000B1870000}"/>
    <cellStyle name="Normal 322 3 6" xfId="33960" xr:uid="{00000000-0005-0000-0000-0000B2870000}"/>
    <cellStyle name="Normal 322 3 7" xfId="33961" xr:uid="{00000000-0005-0000-0000-0000B3870000}"/>
    <cellStyle name="Normal 322 3 8" xfId="33962" xr:uid="{00000000-0005-0000-0000-0000B4870000}"/>
    <cellStyle name="Normal 322 4" xfId="33963" xr:uid="{00000000-0005-0000-0000-0000B5870000}"/>
    <cellStyle name="Normal 322 4 2" xfId="33964" xr:uid="{00000000-0005-0000-0000-0000B6870000}"/>
    <cellStyle name="Normal 322 4 2 2" xfId="33965" xr:uid="{00000000-0005-0000-0000-0000B7870000}"/>
    <cellStyle name="Normal 322 4 2 3" xfId="33966" xr:uid="{00000000-0005-0000-0000-0000B8870000}"/>
    <cellStyle name="Normal 322 4 3" xfId="33967" xr:uid="{00000000-0005-0000-0000-0000B9870000}"/>
    <cellStyle name="Normal 322 4 3 2" xfId="33968" xr:uid="{00000000-0005-0000-0000-0000BA870000}"/>
    <cellStyle name="Normal 322 4 3 3" xfId="33969" xr:uid="{00000000-0005-0000-0000-0000BB870000}"/>
    <cellStyle name="Normal 322 4 4" xfId="33970" xr:uid="{00000000-0005-0000-0000-0000BC870000}"/>
    <cellStyle name="Normal 322 4 5" xfId="33971" xr:uid="{00000000-0005-0000-0000-0000BD870000}"/>
    <cellStyle name="Normal 322 4 6" xfId="33972" xr:uid="{00000000-0005-0000-0000-0000BE870000}"/>
    <cellStyle name="Normal 322 5" xfId="33973" xr:uid="{00000000-0005-0000-0000-0000BF870000}"/>
    <cellStyle name="Normal 322 5 2" xfId="33974" xr:uid="{00000000-0005-0000-0000-0000C0870000}"/>
    <cellStyle name="Normal 322 5 3" xfId="33975" xr:uid="{00000000-0005-0000-0000-0000C1870000}"/>
    <cellStyle name="Normal 322 6" xfId="33976" xr:uid="{00000000-0005-0000-0000-0000C2870000}"/>
    <cellStyle name="Normal 322 6 2" xfId="33977" xr:uid="{00000000-0005-0000-0000-0000C3870000}"/>
    <cellStyle name="Normal 322 6 3" xfId="33978" xr:uid="{00000000-0005-0000-0000-0000C4870000}"/>
    <cellStyle name="Normal 322 7" xfId="33979" xr:uid="{00000000-0005-0000-0000-0000C5870000}"/>
    <cellStyle name="Normal 322 8" xfId="33980" xr:uid="{00000000-0005-0000-0000-0000C6870000}"/>
    <cellStyle name="Normal 322 9" xfId="33981" xr:uid="{00000000-0005-0000-0000-0000C7870000}"/>
    <cellStyle name="Normal 323" xfId="3223" xr:uid="{00000000-0005-0000-0000-0000C8870000}"/>
    <cellStyle name="Normal 323 10" xfId="33982" xr:uid="{00000000-0005-0000-0000-0000C9870000}"/>
    <cellStyle name="Normal 323 11" xfId="33983" xr:uid="{00000000-0005-0000-0000-0000CA870000}"/>
    <cellStyle name="Normal 323 2" xfId="33984" xr:uid="{00000000-0005-0000-0000-0000CB870000}"/>
    <cellStyle name="Normal 323 2 2" xfId="33985" xr:uid="{00000000-0005-0000-0000-0000CC870000}"/>
    <cellStyle name="Normal 323 2 2 2" xfId="33986" xr:uid="{00000000-0005-0000-0000-0000CD870000}"/>
    <cellStyle name="Normal 323 2 2 2 2" xfId="33987" xr:uid="{00000000-0005-0000-0000-0000CE870000}"/>
    <cellStyle name="Normal 323 2 2 2 2 2" xfId="33988" xr:uid="{00000000-0005-0000-0000-0000CF870000}"/>
    <cellStyle name="Normal 323 2 2 2 2 3" xfId="33989" xr:uid="{00000000-0005-0000-0000-0000D0870000}"/>
    <cellStyle name="Normal 323 2 2 2 3" xfId="33990" xr:uid="{00000000-0005-0000-0000-0000D1870000}"/>
    <cellStyle name="Normal 323 2 2 2 3 2" xfId="33991" xr:uid="{00000000-0005-0000-0000-0000D2870000}"/>
    <cellStyle name="Normal 323 2 2 2 3 3" xfId="33992" xr:uid="{00000000-0005-0000-0000-0000D3870000}"/>
    <cellStyle name="Normal 323 2 2 2 4" xfId="33993" xr:uid="{00000000-0005-0000-0000-0000D4870000}"/>
    <cellStyle name="Normal 323 2 2 2 5" xfId="33994" xr:uid="{00000000-0005-0000-0000-0000D5870000}"/>
    <cellStyle name="Normal 323 2 2 2 6" xfId="33995" xr:uid="{00000000-0005-0000-0000-0000D6870000}"/>
    <cellStyle name="Normal 323 2 2 3" xfId="33996" xr:uid="{00000000-0005-0000-0000-0000D7870000}"/>
    <cellStyle name="Normal 323 2 2 3 2" xfId="33997" xr:uid="{00000000-0005-0000-0000-0000D8870000}"/>
    <cellStyle name="Normal 323 2 2 3 3" xfId="33998" xr:uid="{00000000-0005-0000-0000-0000D9870000}"/>
    <cellStyle name="Normal 323 2 2 4" xfId="33999" xr:uid="{00000000-0005-0000-0000-0000DA870000}"/>
    <cellStyle name="Normal 323 2 2 4 2" xfId="34000" xr:uid="{00000000-0005-0000-0000-0000DB870000}"/>
    <cellStyle name="Normal 323 2 2 4 3" xfId="34001" xr:uid="{00000000-0005-0000-0000-0000DC870000}"/>
    <cellStyle name="Normal 323 2 2 5" xfId="34002" xr:uid="{00000000-0005-0000-0000-0000DD870000}"/>
    <cellStyle name="Normal 323 2 2 6" xfId="34003" xr:uid="{00000000-0005-0000-0000-0000DE870000}"/>
    <cellStyle name="Normal 323 2 2 7" xfId="34004" xr:uid="{00000000-0005-0000-0000-0000DF870000}"/>
    <cellStyle name="Normal 323 2 2 8" xfId="34005" xr:uid="{00000000-0005-0000-0000-0000E0870000}"/>
    <cellStyle name="Normal 323 2 3" xfId="34006" xr:uid="{00000000-0005-0000-0000-0000E1870000}"/>
    <cellStyle name="Normal 323 2 3 2" xfId="34007" xr:uid="{00000000-0005-0000-0000-0000E2870000}"/>
    <cellStyle name="Normal 323 2 3 2 2" xfId="34008" xr:uid="{00000000-0005-0000-0000-0000E3870000}"/>
    <cellStyle name="Normal 323 2 3 2 3" xfId="34009" xr:uid="{00000000-0005-0000-0000-0000E4870000}"/>
    <cellStyle name="Normal 323 2 3 3" xfId="34010" xr:uid="{00000000-0005-0000-0000-0000E5870000}"/>
    <cellStyle name="Normal 323 2 3 3 2" xfId="34011" xr:uid="{00000000-0005-0000-0000-0000E6870000}"/>
    <cellStyle name="Normal 323 2 3 3 3" xfId="34012" xr:uid="{00000000-0005-0000-0000-0000E7870000}"/>
    <cellStyle name="Normal 323 2 3 4" xfId="34013" xr:uid="{00000000-0005-0000-0000-0000E8870000}"/>
    <cellStyle name="Normal 323 2 3 5" xfId="34014" xr:uid="{00000000-0005-0000-0000-0000E9870000}"/>
    <cellStyle name="Normal 323 2 3 6" xfId="34015" xr:uid="{00000000-0005-0000-0000-0000EA870000}"/>
    <cellStyle name="Normal 323 2 4" xfId="34016" xr:uid="{00000000-0005-0000-0000-0000EB870000}"/>
    <cellStyle name="Normal 323 2 4 2" xfId="34017" xr:uid="{00000000-0005-0000-0000-0000EC870000}"/>
    <cellStyle name="Normal 323 2 4 3" xfId="34018" xr:uid="{00000000-0005-0000-0000-0000ED870000}"/>
    <cellStyle name="Normal 323 2 5" xfId="34019" xr:uid="{00000000-0005-0000-0000-0000EE870000}"/>
    <cellStyle name="Normal 323 2 5 2" xfId="34020" xr:uid="{00000000-0005-0000-0000-0000EF870000}"/>
    <cellStyle name="Normal 323 2 5 3" xfId="34021" xr:uid="{00000000-0005-0000-0000-0000F0870000}"/>
    <cellStyle name="Normal 323 2 6" xfId="34022" xr:uid="{00000000-0005-0000-0000-0000F1870000}"/>
    <cellStyle name="Normal 323 2 7" xfId="34023" xr:uid="{00000000-0005-0000-0000-0000F2870000}"/>
    <cellStyle name="Normal 323 2 8" xfId="34024" xr:uid="{00000000-0005-0000-0000-0000F3870000}"/>
    <cellStyle name="Normal 323 2 9" xfId="34025" xr:uid="{00000000-0005-0000-0000-0000F4870000}"/>
    <cellStyle name="Normal 323 3" xfId="34026" xr:uid="{00000000-0005-0000-0000-0000F5870000}"/>
    <cellStyle name="Normal 323 3 2" xfId="34027" xr:uid="{00000000-0005-0000-0000-0000F6870000}"/>
    <cellStyle name="Normal 323 3 2 2" xfId="34028" xr:uid="{00000000-0005-0000-0000-0000F7870000}"/>
    <cellStyle name="Normal 323 3 2 2 2" xfId="34029" xr:uid="{00000000-0005-0000-0000-0000F8870000}"/>
    <cellStyle name="Normal 323 3 2 2 3" xfId="34030" xr:uid="{00000000-0005-0000-0000-0000F9870000}"/>
    <cellStyle name="Normal 323 3 2 3" xfId="34031" xr:uid="{00000000-0005-0000-0000-0000FA870000}"/>
    <cellStyle name="Normal 323 3 2 3 2" xfId="34032" xr:uid="{00000000-0005-0000-0000-0000FB870000}"/>
    <cellStyle name="Normal 323 3 2 3 3" xfId="34033" xr:uid="{00000000-0005-0000-0000-0000FC870000}"/>
    <cellStyle name="Normal 323 3 2 4" xfId="34034" xr:uid="{00000000-0005-0000-0000-0000FD870000}"/>
    <cellStyle name="Normal 323 3 2 5" xfId="34035" xr:uid="{00000000-0005-0000-0000-0000FE870000}"/>
    <cellStyle name="Normal 323 3 2 6" xfId="34036" xr:uid="{00000000-0005-0000-0000-0000FF870000}"/>
    <cellStyle name="Normal 323 3 3" xfId="34037" xr:uid="{00000000-0005-0000-0000-000000880000}"/>
    <cellStyle name="Normal 323 3 3 2" xfId="34038" xr:uid="{00000000-0005-0000-0000-000001880000}"/>
    <cellStyle name="Normal 323 3 3 3" xfId="34039" xr:uid="{00000000-0005-0000-0000-000002880000}"/>
    <cellStyle name="Normal 323 3 4" xfId="34040" xr:uid="{00000000-0005-0000-0000-000003880000}"/>
    <cellStyle name="Normal 323 3 4 2" xfId="34041" xr:uid="{00000000-0005-0000-0000-000004880000}"/>
    <cellStyle name="Normal 323 3 4 3" xfId="34042" xr:uid="{00000000-0005-0000-0000-000005880000}"/>
    <cellStyle name="Normal 323 3 5" xfId="34043" xr:uid="{00000000-0005-0000-0000-000006880000}"/>
    <cellStyle name="Normal 323 3 6" xfId="34044" xr:uid="{00000000-0005-0000-0000-000007880000}"/>
    <cellStyle name="Normal 323 3 7" xfId="34045" xr:uid="{00000000-0005-0000-0000-000008880000}"/>
    <cellStyle name="Normal 323 3 8" xfId="34046" xr:uid="{00000000-0005-0000-0000-000009880000}"/>
    <cellStyle name="Normal 323 4" xfId="34047" xr:uid="{00000000-0005-0000-0000-00000A880000}"/>
    <cellStyle name="Normal 323 4 2" xfId="34048" xr:uid="{00000000-0005-0000-0000-00000B880000}"/>
    <cellStyle name="Normal 323 4 2 2" xfId="34049" xr:uid="{00000000-0005-0000-0000-00000C880000}"/>
    <cellStyle name="Normal 323 4 2 3" xfId="34050" xr:uid="{00000000-0005-0000-0000-00000D880000}"/>
    <cellStyle name="Normal 323 4 3" xfId="34051" xr:uid="{00000000-0005-0000-0000-00000E880000}"/>
    <cellStyle name="Normal 323 4 3 2" xfId="34052" xr:uid="{00000000-0005-0000-0000-00000F880000}"/>
    <cellStyle name="Normal 323 4 3 3" xfId="34053" xr:uid="{00000000-0005-0000-0000-000010880000}"/>
    <cellStyle name="Normal 323 4 4" xfId="34054" xr:uid="{00000000-0005-0000-0000-000011880000}"/>
    <cellStyle name="Normal 323 4 5" xfId="34055" xr:uid="{00000000-0005-0000-0000-000012880000}"/>
    <cellStyle name="Normal 323 4 6" xfId="34056" xr:uid="{00000000-0005-0000-0000-000013880000}"/>
    <cellStyle name="Normal 323 5" xfId="34057" xr:uid="{00000000-0005-0000-0000-000014880000}"/>
    <cellStyle name="Normal 323 5 2" xfId="34058" xr:uid="{00000000-0005-0000-0000-000015880000}"/>
    <cellStyle name="Normal 323 5 3" xfId="34059" xr:uid="{00000000-0005-0000-0000-000016880000}"/>
    <cellStyle name="Normal 323 6" xfId="34060" xr:uid="{00000000-0005-0000-0000-000017880000}"/>
    <cellStyle name="Normal 323 6 2" xfId="34061" xr:uid="{00000000-0005-0000-0000-000018880000}"/>
    <cellStyle name="Normal 323 6 3" xfId="34062" xr:uid="{00000000-0005-0000-0000-000019880000}"/>
    <cellStyle name="Normal 323 7" xfId="34063" xr:uid="{00000000-0005-0000-0000-00001A880000}"/>
    <cellStyle name="Normal 323 8" xfId="34064" xr:uid="{00000000-0005-0000-0000-00001B880000}"/>
    <cellStyle name="Normal 323 9" xfId="34065" xr:uid="{00000000-0005-0000-0000-00001C880000}"/>
    <cellStyle name="Normal 324" xfId="3224" xr:uid="{00000000-0005-0000-0000-00001D880000}"/>
    <cellStyle name="Normal 324 10" xfId="34066" xr:uid="{00000000-0005-0000-0000-00001E880000}"/>
    <cellStyle name="Normal 324 11" xfId="34067" xr:uid="{00000000-0005-0000-0000-00001F880000}"/>
    <cellStyle name="Normal 324 2" xfId="34068" xr:uid="{00000000-0005-0000-0000-000020880000}"/>
    <cellStyle name="Normal 324 2 2" xfId="34069" xr:uid="{00000000-0005-0000-0000-000021880000}"/>
    <cellStyle name="Normal 324 2 2 2" xfId="34070" xr:uid="{00000000-0005-0000-0000-000022880000}"/>
    <cellStyle name="Normal 324 2 2 2 2" xfId="34071" xr:uid="{00000000-0005-0000-0000-000023880000}"/>
    <cellStyle name="Normal 324 2 2 2 2 2" xfId="34072" xr:uid="{00000000-0005-0000-0000-000024880000}"/>
    <cellStyle name="Normal 324 2 2 2 2 3" xfId="34073" xr:uid="{00000000-0005-0000-0000-000025880000}"/>
    <cellStyle name="Normal 324 2 2 2 3" xfId="34074" xr:uid="{00000000-0005-0000-0000-000026880000}"/>
    <cellStyle name="Normal 324 2 2 2 3 2" xfId="34075" xr:uid="{00000000-0005-0000-0000-000027880000}"/>
    <cellStyle name="Normal 324 2 2 2 3 3" xfId="34076" xr:uid="{00000000-0005-0000-0000-000028880000}"/>
    <cellStyle name="Normal 324 2 2 2 4" xfId="34077" xr:uid="{00000000-0005-0000-0000-000029880000}"/>
    <cellStyle name="Normal 324 2 2 2 5" xfId="34078" xr:uid="{00000000-0005-0000-0000-00002A880000}"/>
    <cellStyle name="Normal 324 2 2 2 6" xfId="34079" xr:uid="{00000000-0005-0000-0000-00002B880000}"/>
    <cellStyle name="Normal 324 2 2 3" xfId="34080" xr:uid="{00000000-0005-0000-0000-00002C880000}"/>
    <cellStyle name="Normal 324 2 2 3 2" xfId="34081" xr:uid="{00000000-0005-0000-0000-00002D880000}"/>
    <cellStyle name="Normal 324 2 2 3 3" xfId="34082" xr:uid="{00000000-0005-0000-0000-00002E880000}"/>
    <cellStyle name="Normal 324 2 2 4" xfId="34083" xr:uid="{00000000-0005-0000-0000-00002F880000}"/>
    <cellStyle name="Normal 324 2 2 4 2" xfId="34084" xr:uid="{00000000-0005-0000-0000-000030880000}"/>
    <cellStyle name="Normal 324 2 2 4 3" xfId="34085" xr:uid="{00000000-0005-0000-0000-000031880000}"/>
    <cellStyle name="Normal 324 2 2 5" xfId="34086" xr:uid="{00000000-0005-0000-0000-000032880000}"/>
    <cellStyle name="Normal 324 2 2 6" xfId="34087" xr:uid="{00000000-0005-0000-0000-000033880000}"/>
    <cellStyle name="Normal 324 2 2 7" xfId="34088" xr:uid="{00000000-0005-0000-0000-000034880000}"/>
    <cellStyle name="Normal 324 2 2 8" xfId="34089" xr:uid="{00000000-0005-0000-0000-000035880000}"/>
    <cellStyle name="Normal 324 2 3" xfId="34090" xr:uid="{00000000-0005-0000-0000-000036880000}"/>
    <cellStyle name="Normal 324 2 3 2" xfId="34091" xr:uid="{00000000-0005-0000-0000-000037880000}"/>
    <cellStyle name="Normal 324 2 3 2 2" xfId="34092" xr:uid="{00000000-0005-0000-0000-000038880000}"/>
    <cellStyle name="Normal 324 2 3 2 3" xfId="34093" xr:uid="{00000000-0005-0000-0000-000039880000}"/>
    <cellStyle name="Normal 324 2 3 3" xfId="34094" xr:uid="{00000000-0005-0000-0000-00003A880000}"/>
    <cellStyle name="Normal 324 2 3 3 2" xfId="34095" xr:uid="{00000000-0005-0000-0000-00003B880000}"/>
    <cellStyle name="Normal 324 2 3 3 3" xfId="34096" xr:uid="{00000000-0005-0000-0000-00003C880000}"/>
    <cellStyle name="Normal 324 2 3 4" xfId="34097" xr:uid="{00000000-0005-0000-0000-00003D880000}"/>
    <cellStyle name="Normal 324 2 3 5" xfId="34098" xr:uid="{00000000-0005-0000-0000-00003E880000}"/>
    <cellStyle name="Normal 324 2 3 6" xfId="34099" xr:uid="{00000000-0005-0000-0000-00003F880000}"/>
    <cellStyle name="Normal 324 2 4" xfId="34100" xr:uid="{00000000-0005-0000-0000-000040880000}"/>
    <cellStyle name="Normal 324 2 4 2" xfId="34101" xr:uid="{00000000-0005-0000-0000-000041880000}"/>
    <cellStyle name="Normal 324 2 4 3" xfId="34102" xr:uid="{00000000-0005-0000-0000-000042880000}"/>
    <cellStyle name="Normal 324 2 5" xfId="34103" xr:uid="{00000000-0005-0000-0000-000043880000}"/>
    <cellStyle name="Normal 324 2 5 2" xfId="34104" xr:uid="{00000000-0005-0000-0000-000044880000}"/>
    <cellStyle name="Normal 324 2 5 3" xfId="34105" xr:uid="{00000000-0005-0000-0000-000045880000}"/>
    <cellStyle name="Normal 324 2 6" xfId="34106" xr:uid="{00000000-0005-0000-0000-000046880000}"/>
    <cellStyle name="Normal 324 2 7" xfId="34107" xr:uid="{00000000-0005-0000-0000-000047880000}"/>
    <cellStyle name="Normal 324 2 8" xfId="34108" xr:uid="{00000000-0005-0000-0000-000048880000}"/>
    <cellStyle name="Normal 324 2 9" xfId="34109" xr:uid="{00000000-0005-0000-0000-000049880000}"/>
    <cellStyle name="Normal 324 3" xfId="34110" xr:uid="{00000000-0005-0000-0000-00004A880000}"/>
    <cellStyle name="Normal 324 3 2" xfId="34111" xr:uid="{00000000-0005-0000-0000-00004B880000}"/>
    <cellStyle name="Normal 324 3 2 2" xfId="34112" xr:uid="{00000000-0005-0000-0000-00004C880000}"/>
    <cellStyle name="Normal 324 3 2 2 2" xfId="34113" xr:uid="{00000000-0005-0000-0000-00004D880000}"/>
    <cellStyle name="Normal 324 3 2 2 3" xfId="34114" xr:uid="{00000000-0005-0000-0000-00004E880000}"/>
    <cellStyle name="Normal 324 3 2 3" xfId="34115" xr:uid="{00000000-0005-0000-0000-00004F880000}"/>
    <cellStyle name="Normal 324 3 2 3 2" xfId="34116" xr:uid="{00000000-0005-0000-0000-000050880000}"/>
    <cellStyle name="Normal 324 3 2 3 3" xfId="34117" xr:uid="{00000000-0005-0000-0000-000051880000}"/>
    <cellStyle name="Normal 324 3 2 4" xfId="34118" xr:uid="{00000000-0005-0000-0000-000052880000}"/>
    <cellStyle name="Normal 324 3 2 5" xfId="34119" xr:uid="{00000000-0005-0000-0000-000053880000}"/>
    <cellStyle name="Normal 324 3 2 6" xfId="34120" xr:uid="{00000000-0005-0000-0000-000054880000}"/>
    <cellStyle name="Normal 324 3 3" xfId="34121" xr:uid="{00000000-0005-0000-0000-000055880000}"/>
    <cellStyle name="Normal 324 3 3 2" xfId="34122" xr:uid="{00000000-0005-0000-0000-000056880000}"/>
    <cellStyle name="Normal 324 3 3 3" xfId="34123" xr:uid="{00000000-0005-0000-0000-000057880000}"/>
    <cellStyle name="Normal 324 3 4" xfId="34124" xr:uid="{00000000-0005-0000-0000-000058880000}"/>
    <cellStyle name="Normal 324 3 4 2" xfId="34125" xr:uid="{00000000-0005-0000-0000-000059880000}"/>
    <cellStyle name="Normal 324 3 4 3" xfId="34126" xr:uid="{00000000-0005-0000-0000-00005A880000}"/>
    <cellStyle name="Normal 324 3 5" xfId="34127" xr:uid="{00000000-0005-0000-0000-00005B880000}"/>
    <cellStyle name="Normal 324 3 6" xfId="34128" xr:uid="{00000000-0005-0000-0000-00005C880000}"/>
    <cellStyle name="Normal 324 3 7" xfId="34129" xr:uid="{00000000-0005-0000-0000-00005D880000}"/>
    <cellStyle name="Normal 324 3 8" xfId="34130" xr:uid="{00000000-0005-0000-0000-00005E880000}"/>
    <cellStyle name="Normal 324 4" xfId="34131" xr:uid="{00000000-0005-0000-0000-00005F880000}"/>
    <cellStyle name="Normal 324 4 2" xfId="34132" xr:uid="{00000000-0005-0000-0000-000060880000}"/>
    <cellStyle name="Normal 324 4 2 2" xfId="34133" xr:uid="{00000000-0005-0000-0000-000061880000}"/>
    <cellStyle name="Normal 324 4 2 3" xfId="34134" xr:uid="{00000000-0005-0000-0000-000062880000}"/>
    <cellStyle name="Normal 324 4 3" xfId="34135" xr:uid="{00000000-0005-0000-0000-000063880000}"/>
    <cellStyle name="Normal 324 4 3 2" xfId="34136" xr:uid="{00000000-0005-0000-0000-000064880000}"/>
    <cellStyle name="Normal 324 4 3 3" xfId="34137" xr:uid="{00000000-0005-0000-0000-000065880000}"/>
    <cellStyle name="Normal 324 4 4" xfId="34138" xr:uid="{00000000-0005-0000-0000-000066880000}"/>
    <cellStyle name="Normal 324 4 5" xfId="34139" xr:uid="{00000000-0005-0000-0000-000067880000}"/>
    <cellStyle name="Normal 324 4 6" xfId="34140" xr:uid="{00000000-0005-0000-0000-000068880000}"/>
    <cellStyle name="Normal 324 5" xfId="34141" xr:uid="{00000000-0005-0000-0000-000069880000}"/>
    <cellStyle name="Normal 324 5 2" xfId="34142" xr:uid="{00000000-0005-0000-0000-00006A880000}"/>
    <cellStyle name="Normal 324 5 3" xfId="34143" xr:uid="{00000000-0005-0000-0000-00006B880000}"/>
    <cellStyle name="Normal 324 6" xfId="34144" xr:uid="{00000000-0005-0000-0000-00006C880000}"/>
    <cellStyle name="Normal 324 6 2" xfId="34145" xr:uid="{00000000-0005-0000-0000-00006D880000}"/>
    <cellStyle name="Normal 324 6 3" xfId="34146" xr:uid="{00000000-0005-0000-0000-00006E880000}"/>
    <cellStyle name="Normal 324 7" xfId="34147" xr:uid="{00000000-0005-0000-0000-00006F880000}"/>
    <cellStyle name="Normal 324 8" xfId="34148" xr:uid="{00000000-0005-0000-0000-000070880000}"/>
    <cellStyle name="Normal 324 9" xfId="34149" xr:uid="{00000000-0005-0000-0000-000071880000}"/>
    <cellStyle name="Normal 325" xfId="3225" xr:uid="{00000000-0005-0000-0000-000072880000}"/>
    <cellStyle name="Normal 325 10" xfId="34150" xr:uid="{00000000-0005-0000-0000-000073880000}"/>
    <cellStyle name="Normal 325 11" xfId="34151" xr:uid="{00000000-0005-0000-0000-000074880000}"/>
    <cellStyle name="Normal 325 12" xfId="34152" xr:uid="{00000000-0005-0000-0000-000075880000}"/>
    <cellStyle name="Normal 325 2" xfId="34153" xr:uid="{00000000-0005-0000-0000-000076880000}"/>
    <cellStyle name="Normal 325 2 2" xfId="34154" xr:uid="{00000000-0005-0000-0000-000077880000}"/>
    <cellStyle name="Normal 325 2 2 2" xfId="34155" xr:uid="{00000000-0005-0000-0000-000078880000}"/>
    <cellStyle name="Normal 325 2 2 2 2" xfId="34156" xr:uid="{00000000-0005-0000-0000-000079880000}"/>
    <cellStyle name="Normal 325 2 2 2 2 2" xfId="34157" xr:uid="{00000000-0005-0000-0000-00007A880000}"/>
    <cellStyle name="Normal 325 2 2 2 2 3" xfId="34158" xr:uid="{00000000-0005-0000-0000-00007B880000}"/>
    <cellStyle name="Normal 325 2 2 2 3" xfId="34159" xr:uid="{00000000-0005-0000-0000-00007C880000}"/>
    <cellStyle name="Normal 325 2 2 2 3 2" xfId="34160" xr:uid="{00000000-0005-0000-0000-00007D880000}"/>
    <cellStyle name="Normal 325 2 2 2 3 3" xfId="34161" xr:uid="{00000000-0005-0000-0000-00007E880000}"/>
    <cellStyle name="Normal 325 2 2 2 4" xfId="34162" xr:uid="{00000000-0005-0000-0000-00007F880000}"/>
    <cellStyle name="Normal 325 2 2 2 5" xfId="34163" xr:uid="{00000000-0005-0000-0000-000080880000}"/>
    <cellStyle name="Normal 325 2 2 2 6" xfId="34164" xr:uid="{00000000-0005-0000-0000-000081880000}"/>
    <cellStyle name="Normal 325 2 2 3" xfId="34165" xr:uid="{00000000-0005-0000-0000-000082880000}"/>
    <cellStyle name="Normal 325 2 2 3 2" xfId="34166" xr:uid="{00000000-0005-0000-0000-000083880000}"/>
    <cellStyle name="Normal 325 2 2 3 3" xfId="34167" xr:uid="{00000000-0005-0000-0000-000084880000}"/>
    <cellStyle name="Normal 325 2 2 4" xfId="34168" xr:uid="{00000000-0005-0000-0000-000085880000}"/>
    <cellStyle name="Normal 325 2 2 4 2" xfId="34169" xr:uid="{00000000-0005-0000-0000-000086880000}"/>
    <cellStyle name="Normal 325 2 2 4 3" xfId="34170" xr:uid="{00000000-0005-0000-0000-000087880000}"/>
    <cellStyle name="Normal 325 2 2 5" xfId="34171" xr:uid="{00000000-0005-0000-0000-000088880000}"/>
    <cellStyle name="Normal 325 2 2 6" xfId="34172" xr:uid="{00000000-0005-0000-0000-000089880000}"/>
    <cellStyle name="Normal 325 2 2 7" xfId="34173" xr:uid="{00000000-0005-0000-0000-00008A880000}"/>
    <cellStyle name="Normal 325 2 2 8" xfId="34174" xr:uid="{00000000-0005-0000-0000-00008B880000}"/>
    <cellStyle name="Normal 325 2 3" xfId="34175" xr:uid="{00000000-0005-0000-0000-00008C880000}"/>
    <cellStyle name="Normal 325 2 3 2" xfId="34176" xr:uid="{00000000-0005-0000-0000-00008D880000}"/>
    <cellStyle name="Normal 325 2 3 2 2" xfId="34177" xr:uid="{00000000-0005-0000-0000-00008E880000}"/>
    <cellStyle name="Normal 325 2 3 2 3" xfId="34178" xr:uid="{00000000-0005-0000-0000-00008F880000}"/>
    <cellStyle name="Normal 325 2 3 3" xfId="34179" xr:uid="{00000000-0005-0000-0000-000090880000}"/>
    <cellStyle name="Normal 325 2 3 3 2" xfId="34180" xr:uid="{00000000-0005-0000-0000-000091880000}"/>
    <cellStyle name="Normal 325 2 3 3 3" xfId="34181" xr:uid="{00000000-0005-0000-0000-000092880000}"/>
    <cellStyle name="Normal 325 2 3 4" xfId="34182" xr:uid="{00000000-0005-0000-0000-000093880000}"/>
    <cellStyle name="Normal 325 2 3 5" xfId="34183" xr:uid="{00000000-0005-0000-0000-000094880000}"/>
    <cellStyle name="Normal 325 2 3 6" xfId="34184" xr:uid="{00000000-0005-0000-0000-000095880000}"/>
    <cellStyle name="Normal 325 2 4" xfId="34185" xr:uid="{00000000-0005-0000-0000-000096880000}"/>
    <cellStyle name="Normal 325 2 4 2" xfId="34186" xr:uid="{00000000-0005-0000-0000-000097880000}"/>
    <cellStyle name="Normal 325 2 4 3" xfId="34187" xr:uid="{00000000-0005-0000-0000-000098880000}"/>
    <cellStyle name="Normal 325 2 5" xfId="34188" xr:uid="{00000000-0005-0000-0000-000099880000}"/>
    <cellStyle name="Normal 325 2 5 2" xfId="34189" xr:uid="{00000000-0005-0000-0000-00009A880000}"/>
    <cellStyle name="Normal 325 2 5 3" xfId="34190" xr:uid="{00000000-0005-0000-0000-00009B880000}"/>
    <cellStyle name="Normal 325 2 6" xfId="34191" xr:uid="{00000000-0005-0000-0000-00009C880000}"/>
    <cellStyle name="Normal 325 2 7" xfId="34192" xr:uid="{00000000-0005-0000-0000-00009D880000}"/>
    <cellStyle name="Normal 325 2 8" xfId="34193" xr:uid="{00000000-0005-0000-0000-00009E880000}"/>
    <cellStyle name="Normal 325 2 9" xfId="34194" xr:uid="{00000000-0005-0000-0000-00009F880000}"/>
    <cellStyle name="Normal 325 3" xfId="34195" xr:uid="{00000000-0005-0000-0000-0000A0880000}"/>
    <cellStyle name="Normal 325 3 2" xfId="34196" xr:uid="{00000000-0005-0000-0000-0000A1880000}"/>
    <cellStyle name="Normal 325 3 2 2" xfId="34197" xr:uid="{00000000-0005-0000-0000-0000A2880000}"/>
    <cellStyle name="Normal 325 3 2 2 2" xfId="34198" xr:uid="{00000000-0005-0000-0000-0000A3880000}"/>
    <cellStyle name="Normal 325 3 2 2 3" xfId="34199" xr:uid="{00000000-0005-0000-0000-0000A4880000}"/>
    <cellStyle name="Normal 325 3 2 3" xfId="34200" xr:uid="{00000000-0005-0000-0000-0000A5880000}"/>
    <cellStyle name="Normal 325 3 2 3 2" xfId="34201" xr:uid="{00000000-0005-0000-0000-0000A6880000}"/>
    <cellStyle name="Normal 325 3 2 3 3" xfId="34202" xr:uid="{00000000-0005-0000-0000-0000A7880000}"/>
    <cellStyle name="Normal 325 3 2 4" xfId="34203" xr:uid="{00000000-0005-0000-0000-0000A8880000}"/>
    <cellStyle name="Normal 325 3 2 5" xfId="34204" xr:uid="{00000000-0005-0000-0000-0000A9880000}"/>
    <cellStyle name="Normal 325 3 2 6" xfId="34205" xr:uid="{00000000-0005-0000-0000-0000AA880000}"/>
    <cellStyle name="Normal 325 3 3" xfId="34206" xr:uid="{00000000-0005-0000-0000-0000AB880000}"/>
    <cellStyle name="Normal 325 3 3 2" xfId="34207" xr:uid="{00000000-0005-0000-0000-0000AC880000}"/>
    <cellStyle name="Normal 325 3 3 3" xfId="34208" xr:uid="{00000000-0005-0000-0000-0000AD880000}"/>
    <cellStyle name="Normal 325 3 4" xfId="34209" xr:uid="{00000000-0005-0000-0000-0000AE880000}"/>
    <cellStyle name="Normal 325 3 4 2" xfId="34210" xr:uid="{00000000-0005-0000-0000-0000AF880000}"/>
    <cellStyle name="Normal 325 3 4 3" xfId="34211" xr:uid="{00000000-0005-0000-0000-0000B0880000}"/>
    <cellStyle name="Normal 325 3 5" xfId="34212" xr:uid="{00000000-0005-0000-0000-0000B1880000}"/>
    <cellStyle name="Normal 325 3 6" xfId="34213" xr:uid="{00000000-0005-0000-0000-0000B2880000}"/>
    <cellStyle name="Normal 325 3 7" xfId="34214" xr:uid="{00000000-0005-0000-0000-0000B3880000}"/>
    <cellStyle name="Normal 325 3 8" xfId="34215" xr:uid="{00000000-0005-0000-0000-0000B4880000}"/>
    <cellStyle name="Normal 325 4" xfId="34216" xr:uid="{00000000-0005-0000-0000-0000B5880000}"/>
    <cellStyle name="Normal 325 4 2" xfId="34217" xr:uid="{00000000-0005-0000-0000-0000B6880000}"/>
    <cellStyle name="Normal 325 4 2 2" xfId="34218" xr:uid="{00000000-0005-0000-0000-0000B7880000}"/>
    <cellStyle name="Normal 325 4 2 3" xfId="34219" xr:uid="{00000000-0005-0000-0000-0000B8880000}"/>
    <cellStyle name="Normal 325 4 3" xfId="34220" xr:uid="{00000000-0005-0000-0000-0000B9880000}"/>
    <cellStyle name="Normal 325 4 3 2" xfId="34221" xr:uid="{00000000-0005-0000-0000-0000BA880000}"/>
    <cellStyle name="Normal 325 4 3 3" xfId="34222" xr:uid="{00000000-0005-0000-0000-0000BB880000}"/>
    <cellStyle name="Normal 325 4 4" xfId="34223" xr:uid="{00000000-0005-0000-0000-0000BC880000}"/>
    <cellStyle name="Normal 325 4 5" xfId="34224" xr:uid="{00000000-0005-0000-0000-0000BD880000}"/>
    <cellStyle name="Normal 325 4 6" xfId="34225" xr:uid="{00000000-0005-0000-0000-0000BE880000}"/>
    <cellStyle name="Normal 325 5" xfId="34226" xr:uid="{00000000-0005-0000-0000-0000BF880000}"/>
    <cellStyle name="Normal 325 5 2" xfId="34227" xr:uid="{00000000-0005-0000-0000-0000C0880000}"/>
    <cellStyle name="Normal 325 5 3" xfId="34228" xr:uid="{00000000-0005-0000-0000-0000C1880000}"/>
    <cellStyle name="Normal 325 6" xfId="34229" xr:uid="{00000000-0005-0000-0000-0000C2880000}"/>
    <cellStyle name="Normal 325 6 2" xfId="34230" xr:uid="{00000000-0005-0000-0000-0000C3880000}"/>
    <cellStyle name="Normal 325 6 3" xfId="34231" xr:uid="{00000000-0005-0000-0000-0000C4880000}"/>
    <cellStyle name="Normal 325 7" xfId="34232" xr:uid="{00000000-0005-0000-0000-0000C5880000}"/>
    <cellStyle name="Normal 325 8" xfId="34233" xr:uid="{00000000-0005-0000-0000-0000C6880000}"/>
    <cellStyle name="Normal 325 9" xfId="34234" xr:uid="{00000000-0005-0000-0000-0000C7880000}"/>
    <cellStyle name="Normal 326" xfId="3226" xr:uid="{00000000-0005-0000-0000-0000C8880000}"/>
    <cellStyle name="Normal 326 10" xfId="34235" xr:uid="{00000000-0005-0000-0000-0000C9880000}"/>
    <cellStyle name="Normal 326 11" xfId="34236" xr:uid="{00000000-0005-0000-0000-0000CA880000}"/>
    <cellStyle name="Normal 326 2" xfId="34237" xr:uid="{00000000-0005-0000-0000-0000CB880000}"/>
    <cellStyle name="Normal 326 2 2" xfId="34238" xr:uid="{00000000-0005-0000-0000-0000CC880000}"/>
    <cellStyle name="Normal 326 2 2 2" xfId="34239" xr:uid="{00000000-0005-0000-0000-0000CD880000}"/>
    <cellStyle name="Normal 326 2 2 2 2" xfId="34240" xr:uid="{00000000-0005-0000-0000-0000CE880000}"/>
    <cellStyle name="Normal 326 2 2 2 2 2" xfId="34241" xr:uid="{00000000-0005-0000-0000-0000CF880000}"/>
    <cellStyle name="Normal 326 2 2 2 2 3" xfId="34242" xr:uid="{00000000-0005-0000-0000-0000D0880000}"/>
    <cellStyle name="Normal 326 2 2 2 3" xfId="34243" xr:uid="{00000000-0005-0000-0000-0000D1880000}"/>
    <cellStyle name="Normal 326 2 2 2 3 2" xfId="34244" xr:uid="{00000000-0005-0000-0000-0000D2880000}"/>
    <cellStyle name="Normal 326 2 2 2 3 3" xfId="34245" xr:uid="{00000000-0005-0000-0000-0000D3880000}"/>
    <cellStyle name="Normal 326 2 2 2 4" xfId="34246" xr:uid="{00000000-0005-0000-0000-0000D4880000}"/>
    <cellStyle name="Normal 326 2 2 2 5" xfId="34247" xr:uid="{00000000-0005-0000-0000-0000D5880000}"/>
    <cellStyle name="Normal 326 2 2 2 6" xfId="34248" xr:uid="{00000000-0005-0000-0000-0000D6880000}"/>
    <cellStyle name="Normal 326 2 2 3" xfId="34249" xr:uid="{00000000-0005-0000-0000-0000D7880000}"/>
    <cellStyle name="Normal 326 2 2 3 2" xfId="34250" xr:uid="{00000000-0005-0000-0000-0000D8880000}"/>
    <cellStyle name="Normal 326 2 2 3 3" xfId="34251" xr:uid="{00000000-0005-0000-0000-0000D9880000}"/>
    <cellStyle name="Normal 326 2 2 4" xfId="34252" xr:uid="{00000000-0005-0000-0000-0000DA880000}"/>
    <cellStyle name="Normal 326 2 2 4 2" xfId="34253" xr:uid="{00000000-0005-0000-0000-0000DB880000}"/>
    <cellStyle name="Normal 326 2 2 4 3" xfId="34254" xr:uid="{00000000-0005-0000-0000-0000DC880000}"/>
    <cellStyle name="Normal 326 2 2 5" xfId="34255" xr:uid="{00000000-0005-0000-0000-0000DD880000}"/>
    <cellStyle name="Normal 326 2 2 6" xfId="34256" xr:uid="{00000000-0005-0000-0000-0000DE880000}"/>
    <cellStyle name="Normal 326 2 2 7" xfId="34257" xr:uid="{00000000-0005-0000-0000-0000DF880000}"/>
    <cellStyle name="Normal 326 2 2 8" xfId="34258" xr:uid="{00000000-0005-0000-0000-0000E0880000}"/>
    <cellStyle name="Normal 326 2 3" xfId="34259" xr:uid="{00000000-0005-0000-0000-0000E1880000}"/>
    <cellStyle name="Normal 326 2 3 2" xfId="34260" xr:uid="{00000000-0005-0000-0000-0000E2880000}"/>
    <cellStyle name="Normal 326 2 3 2 2" xfId="34261" xr:uid="{00000000-0005-0000-0000-0000E3880000}"/>
    <cellStyle name="Normal 326 2 3 2 3" xfId="34262" xr:uid="{00000000-0005-0000-0000-0000E4880000}"/>
    <cellStyle name="Normal 326 2 3 3" xfId="34263" xr:uid="{00000000-0005-0000-0000-0000E5880000}"/>
    <cellStyle name="Normal 326 2 3 3 2" xfId="34264" xr:uid="{00000000-0005-0000-0000-0000E6880000}"/>
    <cellStyle name="Normal 326 2 3 3 3" xfId="34265" xr:uid="{00000000-0005-0000-0000-0000E7880000}"/>
    <cellStyle name="Normal 326 2 3 4" xfId="34266" xr:uid="{00000000-0005-0000-0000-0000E8880000}"/>
    <cellStyle name="Normal 326 2 3 5" xfId="34267" xr:uid="{00000000-0005-0000-0000-0000E9880000}"/>
    <cellStyle name="Normal 326 2 3 6" xfId="34268" xr:uid="{00000000-0005-0000-0000-0000EA880000}"/>
    <cellStyle name="Normal 326 2 4" xfId="34269" xr:uid="{00000000-0005-0000-0000-0000EB880000}"/>
    <cellStyle name="Normal 326 2 4 2" xfId="34270" xr:uid="{00000000-0005-0000-0000-0000EC880000}"/>
    <cellStyle name="Normal 326 2 4 3" xfId="34271" xr:uid="{00000000-0005-0000-0000-0000ED880000}"/>
    <cellStyle name="Normal 326 2 5" xfId="34272" xr:uid="{00000000-0005-0000-0000-0000EE880000}"/>
    <cellStyle name="Normal 326 2 5 2" xfId="34273" xr:uid="{00000000-0005-0000-0000-0000EF880000}"/>
    <cellStyle name="Normal 326 2 5 3" xfId="34274" xr:uid="{00000000-0005-0000-0000-0000F0880000}"/>
    <cellStyle name="Normal 326 2 6" xfId="34275" xr:uid="{00000000-0005-0000-0000-0000F1880000}"/>
    <cellStyle name="Normal 326 2 7" xfId="34276" xr:uid="{00000000-0005-0000-0000-0000F2880000}"/>
    <cellStyle name="Normal 326 2 8" xfId="34277" xr:uid="{00000000-0005-0000-0000-0000F3880000}"/>
    <cellStyle name="Normal 326 2 9" xfId="34278" xr:uid="{00000000-0005-0000-0000-0000F4880000}"/>
    <cellStyle name="Normal 326 3" xfId="34279" xr:uid="{00000000-0005-0000-0000-0000F5880000}"/>
    <cellStyle name="Normal 326 3 2" xfId="34280" xr:uid="{00000000-0005-0000-0000-0000F6880000}"/>
    <cellStyle name="Normal 326 3 2 2" xfId="34281" xr:uid="{00000000-0005-0000-0000-0000F7880000}"/>
    <cellStyle name="Normal 326 3 2 2 2" xfId="34282" xr:uid="{00000000-0005-0000-0000-0000F8880000}"/>
    <cellStyle name="Normal 326 3 2 2 3" xfId="34283" xr:uid="{00000000-0005-0000-0000-0000F9880000}"/>
    <cellStyle name="Normal 326 3 2 3" xfId="34284" xr:uid="{00000000-0005-0000-0000-0000FA880000}"/>
    <cellStyle name="Normal 326 3 2 3 2" xfId="34285" xr:uid="{00000000-0005-0000-0000-0000FB880000}"/>
    <cellStyle name="Normal 326 3 2 3 3" xfId="34286" xr:uid="{00000000-0005-0000-0000-0000FC880000}"/>
    <cellStyle name="Normal 326 3 2 4" xfId="34287" xr:uid="{00000000-0005-0000-0000-0000FD880000}"/>
    <cellStyle name="Normal 326 3 2 5" xfId="34288" xr:uid="{00000000-0005-0000-0000-0000FE880000}"/>
    <cellStyle name="Normal 326 3 2 6" xfId="34289" xr:uid="{00000000-0005-0000-0000-0000FF880000}"/>
    <cellStyle name="Normal 326 3 3" xfId="34290" xr:uid="{00000000-0005-0000-0000-000000890000}"/>
    <cellStyle name="Normal 326 3 3 2" xfId="34291" xr:uid="{00000000-0005-0000-0000-000001890000}"/>
    <cellStyle name="Normal 326 3 3 3" xfId="34292" xr:uid="{00000000-0005-0000-0000-000002890000}"/>
    <cellStyle name="Normal 326 3 4" xfId="34293" xr:uid="{00000000-0005-0000-0000-000003890000}"/>
    <cellStyle name="Normal 326 3 4 2" xfId="34294" xr:uid="{00000000-0005-0000-0000-000004890000}"/>
    <cellStyle name="Normal 326 3 4 3" xfId="34295" xr:uid="{00000000-0005-0000-0000-000005890000}"/>
    <cellStyle name="Normal 326 3 5" xfId="34296" xr:uid="{00000000-0005-0000-0000-000006890000}"/>
    <cellStyle name="Normal 326 3 6" xfId="34297" xr:uid="{00000000-0005-0000-0000-000007890000}"/>
    <cellStyle name="Normal 326 3 7" xfId="34298" xr:uid="{00000000-0005-0000-0000-000008890000}"/>
    <cellStyle name="Normal 326 3 8" xfId="34299" xr:uid="{00000000-0005-0000-0000-000009890000}"/>
    <cellStyle name="Normal 326 4" xfId="34300" xr:uid="{00000000-0005-0000-0000-00000A890000}"/>
    <cellStyle name="Normal 326 4 2" xfId="34301" xr:uid="{00000000-0005-0000-0000-00000B890000}"/>
    <cellStyle name="Normal 326 4 2 2" xfId="34302" xr:uid="{00000000-0005-0000-0000-00000C890000}"/>
    <cellStyle name="Normal 326 4 2 3" xfId="34303" xr:uid="{00000000-0005-0000-0000-00000D890000}"/>
    <cellStyle name="Normal 326 4 3" xfId="34304" xr:uid="{00000000-0005-0000-0000-00000E890000}"/>
    <cellStyle name="Normal 326 4 3 2" xfId="34305" xr:uid="{00000000-0005-0000-0000-00000F890000}"/>
    <cellStyle name="Normal 326 4 3 3" xfId="34306" xr:uid="{00000000-0005-0000-0000-000010890000}"/>
    <cellStyle name="Normal 326 4 4" xfId="34307" xr:uid="{00000000-0005-0000-0000-000011890000}"/>
    <cellStyle name="Normal 326 4 5" xfId="34308" xr:uid="{00000000-0005-0000-0000-000012890000}"/>
    <cellStyle name="Normal 326 4 6" xfId="34309" xr:uid="{00000000-0005-0000-0000-000013890000}"/>
    <cellStyle name="Normal 326 5" xfId="34310" xr:uid="{00000000-0005-0000-0000-000014890000}"/>
    <cellStyle name="Normal 326 5 2" xfId="34311" xr:uid="{00000000-0005-0000-0000-000015890000}"/>
    <cellStyle name="Normal 326 5 3" xfId="34312" xr:uid="{00000000-0005-0000-0000-000016890000}"/>
    <cellStyle name="Normal 326 6" xfId="34313" xr:uid="{00000000-0005-0000-0000-000017890000}"/>
    <cellStyle name="Normal 326 6 2" xfId="34314" xr:uid="{00000000-0005-0000-0000-000018890000}"/>
    <cellStyle name="Normal 326 6 3" xfId="34315" xr:uid="{00000000-0005-0000-0000-000019890000}"/>
    <cellStyle name="Normal 326 7" xfId="34316" xr:uid="{00000000-0005-0000-0000-00001A890000}"/>
    <cellStyle name="Normal 326 8" xfId="34317" xr:uid="{00000000-0005-0000-0000-00001B890000}"/>
    <cellStyle name="Normal 326 9" xfId="34318" xr:uid="{00000000-0005-0000-0000-00001C890000}"/>
    <cellStyle name="Normal 327" xfId="3227" xr:uid="{00000000-0005-0000-0000-00001D890000}"/>
    <cellStyle name="Normal 327 10" xfId="34319" xr:uid="{00000000-0005-0000-0000-00001E890000}"/>
    <cellStyle name="Normal 327 11" xfId="34320" xr:uid="{00000000-0005-0000-0000-00001F890000}"/>
    <cellStyle name="Normal 327 2" xfId="34321" xr:uid="{00000000-0005-0000-0000-000020890000}"/>
    <cellStyle name="Normal 327 2 2" xfId="34322" xr:uid="{00000000-0005-0000-0000-000021890000}"/>
    <cellStyle name="Normal 327 2 2 2" xfId="34323" xr:uid="{00000000-0005-0000-0000-000022890000}"/>
    <cellStyle name="Normal 327 2 2 2 2" xfId="34324" xr:uid="{00000000-0005-0000-0000-000023890000}"/>
    <cellStyle name="Normal 327 2 2 2 2 2" xfId="34325" xr:uid="{00000000-0005-0000-0000-000024890000}"/>
    <cellStyle name="Normal 327 2 2 2 2 3" xfId="34326" xr:uid="{00000000-0005-0000-0000-000025890000}"/>
    <cellStyle name="Normal 327 2 2 2 3" xfId="34327" xr:uid="{00000000-0005-0000-0000-000026890000}"/>
    <cellStyle name="Normal 327 2 2 2 3 2" xfId="34328" xr:uid="{00000000-0005-0000-0000-000027890000}"/>
    <cellStyle name="Normal 327 2 2 2 3 3" xfId="34329" xr:uid="{00000000-0005-0000-0000-000028890000}"/>
    <cellStyle name="Normal 327 2 2 2 4" xfId="34330" xr:uid="{00000000-0005-0000-0000-000029890000}"/>
    <cellStyle name="Normal 327 2 2 2 5" xfId="34331" xr:uid="{00000000-0005-0000-0000-00002A890000}"/>
    <cellStyle name="Normal 327 2 2 2 6" xfId="34332" xr:uid="{00000000-0005-0000-0000-00002B890000}"/>
    <cellStyle name="Normal 327 2 2 3" xfId="34333" xr:uid="{00000000-0005-0000-0000-00002C890000}"/>
    <cellStyle name="Normal 327 2 2 3 2" xfId="34334" xr:uid="{00000000-0005-0000-0000-00002D890000}"/>
    <cellStyle name="Normal 327 2 2 3 3" xfId="34335" xr:uid="{00000000-0005-0000-0000-00002E890000}"/>
    <cellStyle name="Normal 327 2 2 4" xfId="34336" xr:uid="{00000000-0005-0000-0000-00002F890000}"/>
    <cellStyle name="Normal 327 2 2 4 2" xfId="34337" xr:uid="{00000000-0005-0000-0000-000030890000}"/>
    <cellStyle name="Normal 327 2 2 4 3" xfId="34338" xr:uid="{00000000-0005-0000-0000-000031890000}"/>
    <cellStyle name="Normal 327 2 2 5" xfId="34339" xr:uid="{00000000-0005-0000-0000-000032890000}"/>
    <cellStyle name="Normal 327 2 2 6" xfId="34340" xr:uid="{00000000-0005-0000-0000-000033890000}"/>
    <cellStyle name="Normal 327 2 2 7" xfId="34341" xr:uid="{00000000-0005-0000-0000-000034890000}"/>
    <cellStyle name="Normal 327 2 2 8" xfId="34342" xr:uid="{00000000-0005-0000-0000-000035890000}"/>
    <cellStyle name="Normal 327 2 3" xfId="34343" xr:uid="{00000000-0005-0000-0000-000036890000}"/>
    <cellStyle name="Normal 327 2 3 2" xfId="34344" xr:uid="{00000000-0005-0000-0000-000037890000}"/>
    <cellStyle name="Normal 327 2 3 2 2" xfId="34345" xr:uid="{00000000-0005-0000-0000-000038890000}"/>
    <cellStyle name="Normal 327 2 3 2 3" xfId="34346" xr:uid="{00000000-0005-0000-0000-000039890000}"/>
    <cellStyle name="Normal 327 2 3 3" xfId="34347" xr:uid="{00000000-0005-0000-0000-00003A890000}"/>
    <cellStyle name="Normal 327 2 3 3 2" xfId="34348" xr:uid="{00000000-0005-0000-0000-00003B890000}"/>
    <cellStyle name="Normal 327 2 3 3 3" xfId="34349" xr:uid="{00000000-0005-0000-0000-00003C890000}"/>
    <cellStyle name="Normal 327 2 3 4" xfId="34350" xr:uid="{00000000-0005-0000-0000-00003D890000}"/>
    <cellStyle name="Normal 327 2 3 5" xfId="34351" xr:uid="{00000000-0005-0000-0000-00003E890000}"/>
    <cellStyle name="Normal 327 2 3 6" xfId="34352" xr:uid="{00000000-0005-0000-0000-00003F890000}"/>
    <cellStyle name="Normal 327 2 4" xfId="34353" xr:uid="{00000000-0005-0000-0000-000040890000}"/>
    <cellStyle name="Normal 327 2 4 2" xfId="34354" xr:uid="{00000000-0005-0000-0000-000041890000}"/>
    <cellStyle name="Normal 327 2 4 3" xfId="34355" xr:uid="{00000000-0005-0000-0000-000042890000}"/>
    <cellStyle name="Normal 327 2 5" xfId="34356" xr:uid="{00000000-0005-0000-0000-000043890000}"/>
    <cellStyle name="Normal 327 2 5 2" xfId="34357" xr:uid="{00000000-0005-0000-0000-000044890000}"/>
    <cellStyle name="Normal 327 2 5 3" xfId="34358" xr:uid="{00000000-0005-0000-0000-000045890000}"/>
    <cellStyle name="Normal 327 2 6" xfId="34359" xr:uid="{00000000-0005-0000-0000-000046890000}"/>
    <cellStyle name="Normal 327 2 7" xfId="34360" xr:uid="{00000000-0005-0000-0000-000047890000}"/>
    <cellStyle name="Normal 327 2 8" xfId="34361" xr:uid="{00000000-0005-0000-0000-000048890000}"/>
    <cellStyle name="Normal 327 2 9" xfId="34362" xr:uid="{00000000-0005-0000-0000-000049890000}"/>
    <cellStyle name="Normal 327 3" xfId="34363" xr:uid="{00000000-0005-0000-0000-00004A890000}"/>
    <cellStyle name="Normal 327 3 2" xfId="34364" xr:uid="{00000000-0005-0000-0000-00004B890000}"/>
    <cellStyle name="Normal 327 3 2 2" xfId="34365" xr:uid="{00000000-0005-0000-0000-00004C890000}"/>
    <cellStyle name="Normal 327 3 2 2 2" xfId="34366" xr:uid="{00000000-0005-0000-0000-00004D890000}"/>
    <cellStyle name="Normal 327 3 2 2 3" xfId="34367" xr:uid="{00000000-0005-0000-0000-00004E890000}"/>
    <cellStyle name="Normal 327 3 2 3" xfId="34368" xr:uid="{00000000-0005-0000-0000-00004F890000}"/>
    <cellStyle name="Normal 327 3 2 3 2" xfId="34369" xr:uid="{00000000-0005-0000-0000-000050890000}"/>
    <cellStyle name="Normal 327 3 2 3 3" xfId="34370" xr:uid="{00000000-0005-0000-0000-000051890000}"/>
    <cellStyle name="Normal 327 3 2 4" xfId="34371" xr:uid="{00000000-0005-0000-0000-000052890000}"/>
    <cellStyle name="Normal 327 3 2 5" xfId="34372" xr:uid="{00000000-0005-0000-0000-000053890000}"/>
    <cellStyle name="Normal 327 3 2 6" xfId="34373" xr:uid="{00000000-0005-0000-0000-000054890000}"/>
    <cellStyle name="Normal 327 3 3" xfId="34374" xr:uid="{00000000-0005-0000-0000-000055890000}"/>
    <cellStyle name="Normal 327 3 3 2" xfId="34375" xr:uid="{00000000-0005-0000-0000-000056890000}"/>
    <cellStyle name="Normal 327 3 3 3" xfId="34376" xr:uid="{00000000-0005-0000-0000-000057890000}"/>
    <cellStyle name="Normal 327 3 4" xfId="34377" xr:uid="{00000000-0005-0000-0000-000058890000}"/>
    <cellStyle name="Normal 327 3 4 2" xfId="34378" xr:uid="{00000000-0005-0000-0000-000059890000}"/>
    <cellStyle name="Normal 327 3 4 3" xfId="34379" xr:uid="{00000000-0005-0000-0000-00005A890000}"/>
    <cellStyle name="Normal 327 3 5" xfId="34380" xr:uid="{00000000-0005-0000-0000-00005B890000}"/>
    <cellStyle name="Normal 327 3 6" xfId="34381" xr:uid="{00000000-0005-0000-0000-00005C890000}"/>
    <cellStyle name="Normal 327 3 7" xfId="34382" xr:uid="{00000000-0005-0000-0000-00005D890000}"/>
    <cellStyle name="Normal 327 3 8" xfId="34383" xr:uid="{00000000-0005-0000-0000-00005E890000}"/>
    <cellStyle name="Normal 327 4" xfId="34384" xr:uid="{00000000-0005-0000-0000-00005F890000}"/>
    <cellStyle name="Normal 327 4 2" xfId="34385" xr:uid="{00000000-0005-0000-0000-000060890000}"/>
    <cellStyle name="Normal 327 4 2 2" xfId="34386" xr:uid="{00000000-0005-0000-0000-000061890000}"/>
    <cellStyle name="Normal 327 4 2 3" xfId="34387" xr:uid="{00000000-0005-0000-0000-000062890000}"/>
    <cellStyle name="Normal 327 4 3" xfId="34388" xr:uid="{00000000-0005-0000-0000-000063890000}"/>
    <cellStyle name="Normal 327 4 3 2" xfId="34389" xr:uid="{00000000-0005-0000-0000-000064890000}"/>
    <cellStyle name="Normal 327 4 3 3" xfId="34390" xr:uid="{00000000-0005-0000-0000-000065890000}"/>
    <cellStyle name="Normal 327 4 4" xfId="34391" xr:uid="{00000000-0005-0000-0000-000066890000}"/>
    <cellStyle name="Normal 327 4 5" xfId="34392" xr:uid="{00000000-0005-0000-0000-000067890000}"/>
    <cellStyle name="Normal 327 4 6" xfId="34393" xr:uid="{00000000-0005-0000-0000-000068890000}"/>
    <cellStyle name="Normal 327 5" xfId="34394" xr:uid="{00000000-0005-0000-0000-000069890000}"/>
    <cellStyle name="Normal 327 5 2" xfId="34395" xr:uid="{00000000-0005-0000-0000-00006A890000}"/>
    <cellStyle name="Normal 327 5 3" xfId="34396" xr:uid="{00000000-0005-0000-0000-00006B890000}"/>
    <cellStyle name="Normal 327 6" xfId="34397" xr:uid="{00000000-0005-0000-0000-00006C890000}"/>
    <cellStyle name="Normal 327 6 2" xfId="34398" xr:uid="{00000000-0005-0000-0000-00006D890000}"/>
    <cellStyle name="Normal 327 6 3" xfId="34399" xr:uid="{00000000-0005-0000-0000-00006E890000}"/>
    <cellStyle name="Normal 327 7" xfId="34400" xr:uid="{00000000-0005-0000-0000-00006F890000}"/>
    <cellStyle name="Normal 327 8" xfId="34401" xr:uid="{00000000-0005-0000-0000-000070890000}"/>
    <cellStyle name="Normal 327 9" xfId="34402" xr:uid="{00000000-0005-0000-0000-000071890000}"/>
    <cellStyle name="Normal 328" xfId="3228" xr:uid="{00000000-0005-0000-0000-000072890000}"/>
    <cellStyle name="Normal 328 10" xfId="34403" xr:uid="{00000000-0005-0000-0000-000073890000}"/>
    <cellStyle name="Normal 328 11" xfId="34404" xr:uid="{00000000-0005-0000-0000-000074890000}"/>
    <cellStyle name="Normal 328 2" xfId="34405" xr:uid="{00000000-0005-0000-0000-000075890000}"/>
    <cellStyle name="Normal 328 2 2" xfId="34406" xr:uid="{00000000-0005-0000-0000-000076890000}"/>
    <cellStyle name="Normal 328 2 2 2" xfId="34407" xr:uid="{00000000-0005-0000-0000-000077890000}"/>
    <cellStyle name="Normal 328 2 2 2 2" xfId="34408" xr:uid="{00000000-0005-0000-0000-000078890000}"/>
    <cellStyle name="Normal 328 2 2 2 2 2" xfId="34409" xr:uid="{00000000-0005-0000-0000-000079890000}"/>
    <cellStyle name="Normal 328 2 2 2 2 3" xfId="34410" xr:uid="{00000000-0005-0000-0000-00007A890000}"/>
    <cellStyle name="Normal 328 2 2 2 3" xfId="34411" xr:uid="{00000000-0005-0000-0000-00007B890000}"/>
    <cellStyle name="Normal 328 2 2 2 3 2" xfId="34412" xr:uid="{00000000-0005-0000-0000-00007C890000}"/>
    <cellStyle name="Normal 328 2 2 2 3 3" xfId="34413" xr:uid="{00000000-0005-0000-0000-00007D890000}"/>
    <cellStyle name="Normal 328 2 2 2 4" xfId="34414" xr:uid="{00000000-0005-0000-0000-00007E890000}"/>
    <cellStyle name="Normal 328 2 2 2 5" xfId="34415" xr:uid="{00000000-0005-0000-0000-00007F890000}"/>
    <cellStyle name="Normal 328 2 2 2 6" xfId="34416" xr:uid="{00000000-0005-0000-0000-000080890000}"/>
    <cellStyle name="Normal 328 2 2 3" xfId="34417" xr:uid="{00000000-0005-0000-0000-000081890000}"/>
    <cellStyle name="Normal 328 2 2 3 2" xfId="34418" xr:uid="{00000000-0005-0000-0000-000082890000}"/>
    <cellStyle name="Normal 328 2 2 3 3" xfId="34419" xr:uid="{00000000-0005-0000-0000-000083890000}"/>
    <cellStyle name="Normal 328 2 2 4" xfId="34420" xr:uid="{00000000-0005-0000-0000-000084890000}"/>
    <cellStyle name="Normal 328 2 2 4 2" xfId="34421" xr:uid="{00000000-0005-0000-0000-000085890000}"/>
    <cellStyle name="Normal 328 2 2 4 3" xfId="34422" xr:uid="{00000000-0005-0000-0000-000086890000}"/>
    <cellStyle name="Normal 328 2 2 5" xfId="34423" xr:uid="{00000000-0005-0000-0000-000087890000}"/>
    <cellStyle name="Normal 328 2 2 6" xfId="34424" xr:uid="{00000000-0005-0000-0000-000088890000}"/>
    <cellStyle name="Normal 328 2 2 7" xfId="34425" xr:uid="{00000000-0005-0000-0000-000089890000}"/>
    <cellStyle name="Normal 328 2 2 8" xfId="34426" xr:uid="{00000000-0005-0000-0000-00008A890000}"/>
    <cellStyle name="Normal 328 2 3" xfId="34427" xr:uid="{00000000-0005-0000-0000-00008B890000}"/>
    <cellStyle name="Normal 328 2 3 2" xfId="34428" xr:uid="{00000000-0005-0000-0000-00008C890000}"/>
    <cellStyle name="Normal 328 2 3 2 2" xfId="34429" xr:uid="{00000000-0005-0000-0000-00008D890000}"/>
    <cellStyle name="Normal 328 2 3 2 3" xfId="34430" xr:uid="{00000000-0005-0000-0000-00008E890000}"/>
    <cellStyle name="Normal 328 2 3 3" xfId="34431" xr:uid="{00000000-0005-0000-0000-00008F890000}"/>
    <cellStyle name="Normal 328 2 3 3 2" xfId="34432" xr:uid="{00000000-0005-0000-0000-000090890000}"/>
    <cellStyle name="Normal 328 2 3 3 3" xfId="34433" xr:uid="{00000000-0005-0000-0000-000091890000}"/>
    <cellStyle name="Normal 328 2 3 4" xfId="34434" xr:uid="{00000000-0005-0000-0000-000092890000}"/>
    <cellStyle name="Normal 328 2 3 5" xfId="34435" xr:uid="{00000000-0005-0000-0000-000093890000}"/>
    <cellStyle name="Normal 328 2 3 6" xfId="34436" xr:uid="{00000000-0005-0000-0000-000094890000}"/>
    <cellStyle name="Normal 328 2 4" xfId="34437" xr:uid="{00000000-0005-0000-0000-000095890000}"/>
    <cellStyle name="Normal 328 2 4 2" xfId="34438" xr:uid="{00000000-0005-0000-0000-000096890000}"/>
    <cellStyle name="Normal 328 2 4 3" xfId="34439" xr:uid="{00000000-0005-0000-0000-000097890000}"/>
    <cellStyle name="Normal 328 2 5" xfId="34440" xr:uid="{00000000-0005-0000-0000-000098890000}"/>
    <cellStyle name="Normal 328 2 5 2" xfId="34441" xr:uid="{00000000-0005-0000-0000-000099890000}"/>
    <cellStyle name="Normal 328 2 5 3" xfId="34442" xr:uid="{00000000-0005-0000-0000-00009A890000}"/>
    <cellStyle name="Normal 328 2 6" xfId="34443" xr:uid="{00000000-0005-0000-0000-00009B890000}"/>
    <cellStyle name="Normal 328 2 7" xfId="34444" xr:uid="{00000000-0005-0000-0000-00009C890000}"/>
    <cellStyle name="Normal 328 2 8" xfId="34445" xr:uid="{00000000-0005-0000-0000-00009D890000}"/>
    <cellStyle name="Normal 328 2 9" xfId="34446" xr:uid="{00000000-0005-0000-0000-00009E890000}"/>
    <cellStyle name="Normal 328 3" xfId="34447" xr:uid="{00000000-0005-0000-0000-00009F890000}"/>
    <cellStyle name="Normal 328 3 2" xfId="34448" xr:uid="{00000000-0005-0000-0000-0000A0890000}"/>
    <cellStyle name="Normal 328 3 2 2" xfId="34449" xr:uid="{00000000-0005-0000-0000-0000A1890000}"/>
    <cellStyle name="Normal 328 3 2 2 2" xfId="34450" xr:uid="{00000000-0005-0000-0000-0000A2890000}"/>
    <cellStyle name="Normal 328 3 2 2 3" xfId="34451" xr:uid="{00000000-0005-0000-0000-0000A3890000}"/>
    <cellStyle name="Normal 328 3 2 3" xfId="34452" xr:uid="{00000000-0005-0000-0000-0000A4890000}"/>
    <cellStyle name="Normal 328 3 2 3 2" xfId="34453" xr:uid="{00000000-0005-0000-0000-0000A5890000}"/>
    <cellStyle name="Normal 328 3 2 3 3" xfId="34454" xr:uid="{00000000-0005-0000-0000-0000A6890000}"/>
    <cellStyle name="Normal 328 3 2 4" xfId="34455" xr:uid="{00000000-0005-0000-0000-0000A7890000}"/>
    <cellStyle name="Normal 328 3 2 5" xfId="34456" xr:uid="{00000000-0005-0000-0000-0000A8890000}"/>
    <cellStyle name="Normal 328 3 2 6" xfId="34457" xr:uid="{00000000-0005-0000-0000-0000A9890000}"/>
    <cellStyle name="Normal 328 3 3" xfId="34458" xr:uid="{00000000-0005-0000-0000-0000AA890000}"/>
    <cellStyle name="Normal 328 3 3 2" xfId="34459" xr:uid="{00000000-0005-0000-0000-0000AB890000}"/>
    <cellStyle name="Normal 328 3 3 3" xfId="34460" xr:uid="{00000000-0005-0000-0000-0000AC890000}"/>
    <cellStyle name="Normal 328 3 4" xfId="34461" xr:uid="{00000000-0005-0000-0000-0000AD890000}"/>
    <cellStyle name="Normal 328 3 4 2" xfId="34462" xr:uid="{00000000-0005-0000-0000-0000AE890000}"/>
    <cellStyle name="Normal 328 3 4 3" xfId="34463" xr:uid="{00000000-0005-0000-0000-0000AF890000}"/>
    <cellStyle name="Normal 328 3 5" xfId="34464" xr:uid="{00000000-0005-0000-0000-0000B0890000}"/>
    <cellStyle name="Normal 328 3 6" xfId="34465" xr:uid="{00000000-0005-0000-0000-0000B1890000}"/>
    <cellStyle name="Normal 328 3 7" xfId="34466" xr:uid="{00000000-0005-0000-0000-0000B2890000}"/>
    <cellStyle name="Normal 328 3 8" xfId="34467" xr:uid="{00000000-0005-0000-0000-0000B3890000}"/>
    <cellStyle name="Normal 328 4" xfId="34468" xr:uid="{00000000-0005-0000-0000-0000B4890000}"/>
    <cellStyle name="Normal 328 4 2" xfId="34469" xr:uid="{00000000-0005-0000-0000-0000B5890000}"/>
    <cellStyle name="Normal 328 4 2 2" xfId="34470" xr:uid="{00000000-0005-0000-0000-0000B6890000}"/>
    <cellStyle name="Normal 328 4 2 3" xfId="34471" xr:uid="{00000000-0005-0000-0000-0000B7890000}"/>
    <cellStyle name="Normal 328 4 3" xfId="34472" xr:uid="{00000000-0005-0000-0000-0000B8890000}"/>
    <cellStyle name="Normal 328 4 3 2" xfId="34473" xr:uid="{00000000-0005-0000-0000-0000B9890000}"/>
    <cellStyle name="Normal 328 4 3 3" xfId="34474" xr:uid="{00000000-0005-0000-0000-0000BA890000}"/>
    <cellStyle name="Normal 328 4 4" xfId="34475" xr:uid="{00000000-0005-0000-0000-0000BB890000}"/>
    <cellStyle name="Normal 328 4 5" xfId="34476" xr:uid="{00000000-0005-0000-0000-0000BC890000}"/>
    <cellStyle name="Normal 328 4 6" xfId="34477" xr:uid="{00000000-0005-0000-0000-0000BD890000}"/>
    <cellStyle name="Normal 328 5" xfId="34478" xr:uid="{00000000-0005-0000-0000-0000BE890000}"/>
    <cellStyle name="Normal 328 5 2" xfId="34479" xr:uid="{00000000-0005-0000-0000-0000BF890000}"/>
    <cellStyle name="Normal 328 5 3" xfId="34480" xr:uid="{00000000-0005-0000-0000-0000C0890000}"/>
    <cellStyle name="Normal 328 6" xfId="34481" xr:uid="{00000000-0005-0000-0000-0000C1890000}"/>
    <cellStyle name="Normal 328 6 2" xfId="34482" xr:uid="{00000000-0005-0000-0000-0000C2890000}"/>
    <cellStyle name="Normal 328 6 3" xfId="34483" xr:uid="{00000000-0005-0000-0000-0000C3890000}"/>
    <cellStyle name="Normal 328 7" xfId="34484" xr:uid="{00000000-0005-0000-0000-0000C4890000}"/>
    <cellStyle name="Normal 328 8" xfId="34485" xr:uid="{00000000-0005-0000-0000-0000C5890000}"/>
    <cellStyle name="Normal 328 9" xfId="34486" xr:uid="{00000000-0005-0000-0000-0000C6890000}"/>
    <cellStyle name="Normal 329" xfId="3229" xr:uid="{00000000-0005-0000-0000-0000C7890000}"/>
    <cellStyle name="Normal 329 10" xfId="34487" xr:uid="{00000000-0005-0000-0000-0000C8890000}"/>
    <cellStyle name="Normal 329 11" xfId="34488" xr:uid="{00000000-0005-0000-0000-0000C9890000}"/>
    <cellStyle name="Normal 329 2" xfId="34489" xr:uid="{00000000-0005-0000-0000-0000CA890000}"/>
    <cellStyle name="Normal 329 2 2" xfId="34490" xr:uid="{00000000-0005-0000-0000-0000CB890000}"/>
    <cellStyle name="Normal 329 2 2 2" xfId="34491" xr:uid="{00000000-0005-0000-0000-0000CC890000}"/>
    <cellStyle name="Normal 329 2 2 2 2" xfId="34492" xr:uid="{00000000-0005-0000-0000-0000CD890000}"/>
    <cellStyle name="Normal 329 2 2 2 2 2" xfId="34493" xr:uid="{00000000-0005-0000-0000-0000CE890000}"/>
    <cellStyle name="Normal 329 2 2 2 2 3" xfId="34494" xr:uid="{00000000-0005-0000-0000-0000CF890000}"/>
    <cellStyle name="Normal 329 2 2 2 3" xfId="34495" xr:uid="{00000000-0005-0000-0000-0000D0890000}"/>
    <cellStyle name="Normal 329 2 2 2 3 2" xfId="34496" xr:uid="{00000000-0005-0000-0000-0000D1890000}"/>
    <cellStyle name="Normal 329 2 2 2 3 3" xfId="34497" xr:uid="{00000000-0005-0000-0000-0000D2890000}"/>
    <cellStyle name="Normal 329 2 2 2 4" xfId="34498" xr:uid="{00000000-0005-0000-0000-0000D3890000}"/>
    <cellStyle name="Normal 329 2 2 2 5" xfId="34499" xr:uid="{00000000-0005-0000-0000-0000D4890000}"/>
    <cellStyle name="Normal 329 2 2 2 6" xfId="34500" xr:uid="{00000000-0005-0000-0000-0000D5890000}"/>
    <cellStyle name="Normal 329 2 2 3" xfId="34501" xr:uid="{00000000-0005-0000-0000-0000D6890000}"/>
    <cellStyle name="Normal 329 2 2 3 2" xfId="34502" xr:uid="{00000000-0005-0000-0000-0000D7890000}"/>
    <cellStyle name="Normal 329 2 2 3 3" xfId="34503" xr:uid="{00000000-0005-0000-0000-0000D8890000}"/>
    <cellStyle name="Normal 329 2 2 4" xfId="34504" xr:uid="{00000000-0005-0000-0000-0000D9890000}"/>
    <cellStyle name="Normal 329 2 2 4 2" xfId="34505" xr:uid="{00000000-0005-0000-0000-0000DA890000}"/>
    <cellStyle name="Normal 329 2 2 4 3" xfId="34506" xr:uid="{00000000-0005-0000-0000-0000DB890000}"/>
    <cellStyle name="Normal 329 2 2 5" xfId="34507" xr:uid="{00000000-0005-0000-0000-0000DC890000}"/>
    <cellStyle name="Normal 329 2 2 6" xfId="34508" xr:uid="{00000000-0005-0000-0000-0000DD890000}"/>
    <cellStyle name="Normal 329 2 2 7" xfId="34509" xr:uid="{00000000-0005-0000-0000-0000DE890000}"/>
    <cellStyle name="Normal 329 2 2 8" xfId="34510" xr:uid="{00000000-0005-0000-0000-0000DF890000}"/>
    <cellStyle name="Normal 329 2 3" xfId="34511" xr:uid="{00000000-0005-0000-0000-0000E0890000}"/>
    <cellStyle name="Normal 329 2 3 2" xfId="34512" xr:uid="{00000000-0005-0000-0000-0000E1890000}"/>
    <cellStyle name="Normal 329 2 3 2 2" xfId="34513" xr:uid="{00000000-0005-0000-0000-0000E2890000}"/>
    <cellStyle name="Normal 329 2 3 2 3" xfId="34514" xr:uid="{00000000-0005-0000-0000-0000E3890000}"/>
    <cellStyle name="Normal 329 2 3 3" xfId="34515" xr:uid="{00000000-0005-0000-0000-0000E4890000}"/>
    <cellStyle name="Normal 329 2 3 3 2" xfId="34516" xr:uid="{00000000-0005-0000-0000-0000E5890000}"/>
    <cellStyle name="Normal 329 2 3 3 3" xfId="34517" xr:uid="{00000000-0005-0000-0000-0000E6890000}"/>
    <cellStyle name="Normal 329 2 3 4" xfId="34518" xr:uid="{00000000-0005-0000-0000-0000E7890000}"/>
    <cellStyle name="Normal 329 2 3 5" xfId="34519" xr:uid="{00000000-0005-0000-0000-0000E8890000}"/>
    <cellStyle name="Normal 329 2 3 6" xfId="34520" xr:uid="{00000000-0005-0000-0000-0000E9890000}"/>
    <cellStyle name="Normal 329 2 4" xfId="34521" xr:uid="{00000000-0005-0000-0000-0000EA890000}"/>
    <cellStyle name="Normal 329 2 4 2" xfId="34522" xr:uid="{00000000-0005-0000-0000-0000EB890000}"/>
    <cellStyle name="Normal 329 2 4 3" xfId="34523" xr:uid="{00000000-0005-0000-0000-0000EC890000}"/>
    <cellStyle name="Normal 329 2 5" xfId="34524" xr:uid="{00000000-0005-0000-0000-0000ED890000}"/>
    <cellStyle name="Normal 329 2 5 2" xfId="34525" xr:uid="{00000000-0005-0000-0000-0000EE890000}"/>
    <cellStyle name="Normal 329 2 5 3" xfId="34526" xr:uid="{00000000-0005-0000-0000-0000EF890000}"/>
    <cellStyle name="Normal 329 2 6" xfId="34527" xr:uid="{00000000-0005-0000-0000-0000F0890000}"/>
    <cellStyle name="Normal 329 2 7" xfId="34528" xr:uid="{00000000-0005-0000-0000-0000F1890000}"/>
    <cellStyle name="Normal 329 2 8" xfId="34529" xr:uid="{00000000-0005-0000-0000-0000F2890000}"/>
    <cellStyle name="Normal 329 2 9" xfId="34530" xr:uid="{00000000-0005-0000-0000-0000F3890000}"/>
    <cellStyle name="Normal 329 3" xfId="34531" xr:uid="{00000000-0005-0000-0000-0000F4890000}"/>
    <cellStyle name="Normal 329 3 2" xfId="34532" xr:uid="{00000000-0005-0000-0000-0000F5890000}"/>
    <cellStyle name="Normal 329 3 2 2" xfId="34533" xr:uid="{00000000-0005-0000-0000-0000F6890000}"/>
    <cellStyle name="Normal 329 3 2 2 2" xfId="34534" xr:uid="{00000000-0005-0000-0000-0000F7890000}"/>
    <cellStyle name="Normal 329 3 2 2 3" xfId="34535" xr:uid="{00000000-0005-0000-0000-0000F8890000}"/>
    <cellStyle name="Normal 329 3 2 3" xfId="34536" xr:uid="{00000000-0005-0000-0000-0000F9890000}"/>
    <cellStyle name="Normal 329 3 2 3 2" xfId="34537" xr:uid="{00000000-0005-0000-0000-0000FA890000}"/>
    <cellStyle name="Normal 329 3 2 3 3" xfId="34538" xr:uid="{00000000-0005-0000-0000-0000FB890000}"/>
    <cellStyle name="Normal 329 3 2 4" xfId="34539" xr:uid="{00000000-0005-0000-0000-0000FC890000}"/>
    <cellStyle name="Normal 329 3 2 5" xfId="34540" xr:uid="{00000000-0005-0000-0000-0000FD890000}"/>
    <cellStyle name="Normal 329 3 2 6" xfId="34541" xr:uid="{00000000-0005-0000-0000-0000FE890000}"/>
    <cellStyle name="Normal 329 3 3" xfId="34542" xr:uid="{00000000-0005-0000-0000-0000FF890000}"/>
    <cellStyle name="Normal 329 3 3 2" xfId="34543" xr:uid="{00000000-0005-0000-0000-0000008A0000}"/>
    <cellStyle name="Normal 329 3 3 3" xfId="34544" xr:uid="{00000000-0005-0000-0000-0000018A0000}"/>
    <cellStyle name="Normal 329 3 4" xfId="34545" xr:uid="{00000000-0005-0000-0000-0000028A0000}"/>
    <cellStyle name="Normal 329 3 4 2" xfId="34546" xr:uid="{00000000-0005-0000-0000-0000038A0000}"/>
    <cellStyle name="Normal 329 3 4 3" xfId="34547" xr:uid="{00000000-0005-0000-0000-0000048A0000}"/>
    <cellStyle name="Normal 329 3 5" xfId="34548" xr:uid="{00000000-0005-0000-0000-0000058A0000}"/>
    <cellStyle name="Normal 329 3 6" xfId="34549" xr:uid="{00000000-0005-0000-0000-0000068A0000}"/>
    <cellStyle name="Normal 329 3 7" xfId="34550" xr:uid="{00000000-0005-0000-0000-0000078A0000}"/>
    <cellStyle name="Normal 329 3 8" xfId="34551" xr:uid="{00000000-0005-0000-0000-0000088A0000}"/>
    <cellStyle name="Normal 329 4" xfId="34552" xr:uid="{00000000-0005-0000-0000-0000098A0000}"/>
    <cellStyle name="Normal 329 4 2" xfId="34553" xr:uid="{00000000-0005-0000-0000-00000A8A0000}"/>
    <cellStyle name="Normal 329 4 2 2" xfId="34554" xr:uid="{00000000-0005-0000-0000-00000B8A0000}"/>
    <cellStyle name="Normal 329 4 2 3" xfId="34555" xr:uid="{00000000-0005-0000-0000-00000C8A0000}"/>
    <cellStyle name="Normal 329 4 3" xfId="34556" xr:uid="{00000000-0005-0000-0000-00000D8A0000}"/>
    <cellStyle name="Normal 329 4 3 2" xfId="34557" xr:uid="{00000000-0005-0000-0000-00000E8A0000}"/>
    <cellStyle name="Normal 329 4 3 3" xfId="34558" xr:uid="{00000000-0005-0000-0000-00000F8A0000}"/>
    <cellStyle name="Normal 329 4 4" xfId="34559" xr:uid="{00000000-0005-0000-0000-0000108A0000}"/>
    <cellStyle name="Normal 329 4 5" xfId="34560" xr:uid="{00000000-0005-0000-0000-0000118A0000}"/>
    <cellStyle name="Normal 329 4 6" xfId="34561" xr:uid="{00000000-0005-0000-0000-0000128A0000}"/>
    <cellStyle name="Normal 329 5" xfId="34562" xr:uid="{00000000-0005-0000-0000-0000138A0000}"/>
    <cellStyle name="Normal 329 5 2" xfId="34563" xr:uid="{00000000-0005-0000-0000-0000148A0000}"/>
    <cellStyle name="Normal 329 5 3" xfId="34564" xr:uid="{00000000-0005-0000-0000-0000158A0000}"/>
    <cellStyle name="Normal 329 6" xfId="34565" xr:uid="{00000000-0005-0000-0000-0000168A0000}"/>
    <cellStyle name="Normal 329 6 2" xfId="34566" xr:uid="{00000000-0005-0000-0000-0000178A0000}"/>
    <cellStyle name="Normal 329 6 3" xfId="34567" xr:uid="{00000000-0005-0000-0000-0000188A0000}"/>
    <cellStyle name="Normal 329 7" xfId="34568" xr:uid="{00000000-0005-0000-0000-0000198A0000}"/>
    <cellStyle name="Normal 329 8" xfId="34569" xr:uid="{00000000-0005-0000-0000-00001A8A0000}"/>
    <cellStyle name="Normal 329 9" xfId="34570" xr:uid="{00000000-0005-0000-0000-00001B8A0000}"/>
    <cellStyle name="Normal 33" xfId="3230" xr:uid="{00000000-0005-0000-0000-00001C8A0000}"/>
    <cellStyle name="Normal 33 10" xfId="34571" xr:uid="{00000000-0005-0000-0000-00001D8A0000}"/>
    <cellStyle name="Normal 33 11" xfId="34572" xr:uid="{00000000-0005-0000-0000-00001E8A0000}"/>
    <cellStyle name="Normal 33 12" xfId="34573" xr:uid="{00000000-0005-0000-0000-00001F8A0000}"/>
    <cellStyle name="Normal 33 2" xfId="34574" xr:uid="{00000000-0005-0000-0000-0000208A0000}"/>
    <cellStyle name="Normal 33 2 2" xfId="34575" xr:uid="{00000000-0005-0000-0000-0000218A0000}"/>
    <cellStyle name="Normal 33 2 2 2" xfId="34576" xr:uid="{00000000-0005-0000-0000-0000228A0000}"/>
    <cellStyle name="Normal 33 2 2 2 2" xfId="34577" xr:uid="{00000000-0005-0000-0000-0000238A0000}"/>
    <cellStyle name="Normal 33 2 2 2 2 2" xfId="34578" xr:uid="{00000000-0005-0000-0000-0000248A0000}"/>
    <cellStyle name="Normal 33 2 2 2 2 3" xfId="34579" xr:uid="{00000000-0005-0000-0000-0000258A0000}"/>
    <cellStyle name="Normal 33 2 2 2 3" xfId="34580" xr:uid="{00000000-0005-0000-0000-0000268A0000}"/>
    <cellStyle name="Normal 33 2 2 2 3 2" xfId="34581" xr:uid="{00000000-0005-0000-0000-0000278A0000}"/>
    <cellStyle name="Normal 33 2 2 2 3 3" xfId="34582" xr:uid="{00000000-0005-0000-0000-0000288A0000}"/>
    <cellStyle name="Normal 33 2 2 2 4" xfId="34583" xr:uid="{00000000-0005-0000-0000-0000298A0000}"/>
    <cellStyle name="Normal 33 2 2 2 5" xfId="34584" xr:uid="{00000000-0005-0000-0000-00002A8A0000}"/>
    <cellStyle name="Normal 33 2 2 2 6" xfId="34585" xr:uid="{00000000-0005-0000-0000-00002B8A0000}"/>
    <cellStyle name="Normal 33 2 2 3" xfId="34586" xr:uid="{00000000-0005-0000-0000-00002C8A0000}"/>
    <cellStyle name="Normal 33 2 2 3 2" xfId="34587" xr:uid="{00000000-0005-0000-0000-00002D8A0000}"/>
    <cellStyle name="Normal 33 2 2 3 3" xfId="34588" xr:uid="{00000000-0005-0000-0000-00002E8A0000}"/>
    <cellStyle name="Normal 33 2 2 4" xfId="34589" xr:uid="{00000000-0005-0000-0000-00002F8A0000}"/>
    <cellStyle name="Normal 33 2 2 4 2" xfId="34590" xr:uid="{00000000-0005-0000-0000-0000308A0000}"/>
    <cellStyle name="Normal 33 2 2 4 3" xfId="34591" xr:uid="{00000000-0005-0000-0000-0000318A0000}"/>
    <cellStyle name="Normal 33 2 2 5" xfId="34592" xr:uid="{00000000-0005-0000-0000-0000328A0000}"/>
    <cellStyle name="Normal 33 2 2 6" xfId="34593" xr:uid="{00000000-0005-0000-0000-0000338A0000}"/>
    <cellStyle name="Normal 33 2 2 7" xfId="34594" xr:uid="{00000000-0005-0000-0000-0000348A0000}"/>
    <cellStyle name="Normal 33 2 2 8" xfId="34595" xr:uid="{00000000-0005-0000-0000-0000358A0000}"/>
    <cellStyle name="Normal 33 2 3" xfId="34596" xr:uid="{00000000-0005-0000-0000-0000368A0000}"/>
    <cellStyle name="Normal 33 2 3 2" xfId="34597" xr:uid="{00000000-0005-0000-0000-0000378A0000}"/>
    <cellStyle name="Normal 33 2 3 2 2" xfId="34598" xr:uid="{00000000-0005-0000-0000-0000388A0000}"/>
    <cellStyle name="Normal 33 2 3 2 3" xfId="34599" xr:uid="{00000000-0005-0000-0000-0000398A0000}"/>
    <cellStyle name="Normal 33 2 3 3" xfId="34600" xr:uid="{00000000-0005-0000-0000-00003A8A0000}"/>
    <cellStyle name="Normal 33 2 3 3 2" xfId="34601" xr:uid="{00000000-0005-0000-0000-00003B8A0000}"/>
    <cellStyle name="Normal 33 2 3 3 3" xfId="34602" xr:uid="{00000000-0005-0000-0000-00003C8A0000}"/>
    <cellStyle name="Normal 33 2 3 4" xfId="34603" xr:uid="{00000000-0005-0000-0000-00003D8A0000}"/>
    <cellStyle name="Normal 33 2 3 5" xfId="34604" xr:uid="{00000000-0005-0000-0000-00003E8A0000}"/>
    <cellStyle name="Normal 33 2 3 6" xfId="34605" xr:uid="{00000000-0005-0000-0000-00003F8A0000}"/>
    <cellStyle name="Normal 33 2 4" xfId="34606" xr:uid="{00000000-0005-0000-0000-0000408A0000}"/>
    <cellStyle name="Normal 33 2 4 2" xfId="34607" xr:uid="{00000000-0005-0000-0000-0000418A0000}"/>
    <cellStyle name="Normal 33 2 4 3" xfId="34608" xr:uid="{00000000-0005-0000-0000-0000428A0000}"/>
    <cellStyle name="Normal 33 2 5" xfId="34609" xr:uid="{00000000-0005-0000-0000-0000438A0000}"/>
    <cellStyle name="Normal 33 2 5 2" xfId="34610" xr:uid="{00000000-0005-0000-0000-0000448A0000}"/>
    <cellStyle name="Normal 33 2 5 3" xfId="34611" xr:uid="{00000000-0005-0000-0000-0000458A0000}"/>
    <cellStyle name="Normal 33 2 6" xfId="34612" xr:uid="{00000000-0005-0000-0000-0000468A0000}"/>
    <cellStyle name="Normal 33 2 7" xfId="34613" xr:uid="{00000000-0005-0000-0000-0000478A0000}"/>
    <cellStyle name="Normal 33 2 8" xfId="34614" xr:uid="{00000000-0005-0000-0000-0000488A0000}"/>
    <cellStyle name="Normal 33 2 9" xfId="34615" xr:uid="{00000000-0005-0000-0000-0000498A0000}"/>
    <cellStyle name="Normal 33 3" xfId="34616" xr:uid="{00000000-0005-0000-0000-00004A8A0000}"/>
    <cellStyle name="Normal 33 3 2" xfId="34617" xr:uid="{00000000-0005-0000-0000-00004B8A0000}"/>
    <cellStyle name="Normal 33 3 2 2" xfId="34618" xr:uid="{00000000-0005-0000-0000-00004C8A0000}"/>
    <cellStyle name="Normal 33 3 2 2 2" xfId="34619" xr:uid="{00000000-0005-0000-0000-00004D8A0000}"/>
    <cellStyle name="Normal 33 3 2 2 3" xfId="34620" xr:uid="{00000000-0005-0000-0000-00004E8A0000}"/>
    <cellStyle name="Normal 33 3 2 3" xfId="34621" xr:uid="{00000000-0005-0000-0000-00004F8A0000}"/>
    <cellStyle name="Normal 33 3 2 3 2" xfId="34622" xr:uid="{00000000-0005-0000-0000-0000508A0000}"/>
    <cellStyle name="Normal 33 3 2 3 3" xfId="34623" xr:uid="{00000000-0005-0000-0000-0000518A0000}"/>
    <cellStyle name="Normal 33 3 2 4" xfId="34624" xr:uid="{00000000-0005-0000-0000-0000528A0000}"/>
    <cellStyle name="Normal 33 3 2 5" xfId="34625" xr:uid="{00000000-0005-0000-0000-0000538A0000}"/>
    <cellStyle name="Normal 33 3 2 6" xfId="34626" xr:uid="{00000000-0005-0000-0000-0000548A0000}"/>
    <cellStyle name="Normal 33 3 3" xfId="34627" xr:uid="{00000000-0005-0000-0000-0000558A0000}"/>
    <cellStyle name="Normal 33 3 3 2" xfId="34628" xr:uid="{00000000-0005-0000-0000-0000568A0000}"/>
    <cellStyle name="Normal 33 3 3 3" xfId="34629" xr:uid="{00000000-0005-0000-0000-0000578A0000}"/>
    <cellStyle name="Normal 33 3 4" xfId="34630" xr:uid="{00000000-0005-0000-0000-0000588A0000}"/>
    <cellStyle name="Normal 33 3 4 2" xfId="34631" xr:uid="{00000000-0005-0000-0000-0000598A0000}"/>
    <cellStyle name="Normal 33 3 4 3" xfId="34632" xr:uid="{00000000-0005-0000-0000-00005A8A0000}"/>
    <cellStyle name="Normal 33 3 5" xfId="34633" xr:uid="{00000000-0005-0000-0000-00005B8A0000}"/>
    <cellStyle name="Normal 33 3 6" xfId="34634" xr:uid="{00000000-0005-0000-0000-00005C8A0000}"/>
    <cellStyle name="Normal 33 3 7" xfId="34635" xr:uid="{00000000-0005-0000-0000-00005D8A0000}"/>
    <cellStyle name="Normal 33 3 8" xfId="34636" xr:uid="{00000000-0005-0000-0000-00005E8A0000}"/>
    <cellStyle name="Normal 33 4" xfId="34637" xr:uid="{00000000-0005-0000-0000-00005F8A0000}"/>
    <cellStyle name="Normal 33 4 2" xfId="34638" xr:uid="{00000000-0005-0000-0000-0000608A0000}"/>
    <cellStyle name="Normal 33 4 2 2" xfId="34639" xr:uid="{00000000-0005-0000-0000-0000618A0000}"/>
    <cellStyle name="Normal 33 4 2 3" xfId="34640" xr:uid="{00000000-0005-0000-0000-0000628A0000}"/>
    <cellStyle name="Normal 33 4 3" xfId="34641" xr:uid="{00000000-0005-0000-0000-0000638A0000}"/>
    <cellStyle name="Normal 33 4 3 2" xfId="34642" xr:uid="{00000000-0005-0000-0000-0000648A0000}"/>
    <cellStyle name="Normal 33 4 3 3" xfId="34643" xr:uid="{00000000-0005-0000-0000-0000658A0000}"/>
    <cellStyle name="Normal 33 4 4" xfId="34644" xr:uid="{00000000-0005-0000-0000-0000668A0000}"/>
    <cellStyle name="Normal 33 4 5" xfId="34645" xr:uid="{00000000-0005-0000-0000-0000678A0000}"/>
    <cellStyle name="Normal 33 4 6" xfId="34646" xr:uid="{00000000-0005-0000-0000-0000688A0000}"/>
    <cellStyle name="Normal 33 5" xfId="34647" xr:uid="{00000000-0005-0000-0000-0000698A0000}"/>
    <cellStyle name="Normal 33 5 2" xfId="34648" xr:uid="{00000000-0005-0000-0000-00006A8A0000}"/>
    <cellStyle name="Normal 33 5 3" xfId="34649" xr:uid="{00000000-0005-0000-0000-00006B8A0000}"/>
    <cellStyle name="Normal 33 6" xfId="34650" xr:uid="{00000000-0005-0000-0000-00006C8A0000}"/>
    <cellStyle name="Normal 33 6 2" xfId="34651" xr:uid="{00000000-0005-0000-0000-00006D8A0000}"/>
    <cellStyle name="Normal 33 6 3" xfId="34652" xr:uid="{00000000-0005-0000-0000-00006E8A0000}"/>
    <cellStyle name="Normal 33 7" xfId="34653" xr:uid="{00000000-0005-0000-0000-00006F8A0000}"/>
    <cellStyle name="Normal 33 8" xfId="34654" xr:uid="{00000000-0005-0000-0000-0000708A0000}"/>
    <cellStyle name="Normal 33 9" xfId="34655" xr:uid="{00000000-0005-0000-0000-0000718A0000}"/>
    <cellStyle name="Normal 330" xfId="3231" xr:uid="{00000000-0005-0000-0000-0000728A0000}"/>
    <cellStyle name="Normal 330 10" xfId="34656" xr:uid="{00000000-0005-0000-0000-0000738A0000}"/>
    <cellStyle name="Normal 330 11" xfId="34657" xr:uid="{00000000-0005-0000-0000-0000748A0000}"/>
    <cellStyle name="Normal 330 2" xfId="34658" xr:uid="{00000000-0005-0000-0000-0000758A0000}"/>
    <cellStyle name="Normal 330 2 2" xfId="34659" xr:uid="{00000000-0005-0000-0000-0000768A0000}"/>
    <cellStyle name="Normal 330 2 2 2" xfId="34660" xr:uid="{00000000-0005-0000-0000-0000778A0000}"/>
    <cellStyle name="Normal 330 2 2 2 2" xfId="34661" xr:uid="{00000000-0005-0000-0000-0000788A0000}"/>
    <cellStyle name="Normal 330 2 2 2 2 2" xfId="34662" xr:uid="{00000000-0005-0000-0000-0000798A0000}"/>
    <cellStyle name="Normal 330 2 2 2 2 3" xfId="34663" xr:uid="{00000000-0005-0000-0000-00007A8A0000}"/>
    <cellStyle name="Normal 330 2 2 2 3" xfId="34664" xr:uid="{00000000-0005-0000-0000-00007B8A0000}"/>
    <cellStyle name="Normal 330 2 2 2 3 2" xfId="34665" xr:uid="{00000000-0005-0000-0000-00007C8A0000}"/>
    <cellStyle name="Normal 330 2 2 2 3 3" xfId="34666" xr:uid="{00000000-0005-0000-0000-00007D8A0000}"/>
    <cellStyle name="Normal 330 2 2 2 4" xfId="34667" xr:uid="{00000000-0005-0000-0000-00007E8A0000}"/>
    <cellStyle name="Normal 330 2 2 2 5" xfId="34668" xr:uid="{00000000-0005-0000-0000-00007F8A0000}"/>
    <cellStyle name="Normal 330 2 2 2 6" xfId="34669" xr:uid="{00000000-0005-0000-0000-0000808A0000}"/>
    <cellStyle name="Normal 330 2 2 3" xfId="34670" xr:uid="{00000000-0005-0000-0000-0000818A0000}"/>
    <cellStyle name="Normal 330 2 2 3 2" xfId="34671" xr:uid="{00000000-0005-0000-0000-0000828A0000}"/>
    <cellStyle name="Normal 330 2 2 3 3" xfId="34672" xr:uid="{00000000-0005-0000-0000-0000838A0000}"/>
    <cellStyle name="Normal 330 2 2 4" xfId="34673" xr:uid="{00000000-0005-0000-0000-0000848A0000}"/>
    <cellStyle name="Normal 330 2 2 4 2" xfId="34674" xr:uid="{00000000-0005-0000-0000-0000858A0000}"/>
    <cellStyle name="Normal 330 2 2 4 3" xfId="34675" xr:uid="{00000000-0005-0000-0000-0000868A0000}"/>
    <cellStyle name="Normal 330 2 2 5" xfId="34676" xr:uid="{00000000-0005-0000-0000-0000878A0000}"/>
    <cellStyle name="Normal 330 2 2 6" xfId="34677" xr:uid="{00000000-0005-0000-0000-0000888A0000}"/>
    <cellStyle name="Normal 330 2 2 7" xfId="34678" xr:uid="{00000000-0005-0000-0000-0000898A0000}"/>
    <cellStyle name="Normal 330 2 2 8" xfId="34679" xr:uid="{00000000-0005-0000-0000-00008A8A0000}"/>
    <cellStyle name="Normal 330 2 3" xfId="34680" xr:uid="{00000000-0005-0000-0000-00008B8A0000}"/>
    <cellStyle name="Normal 330 2 3 2" xfId="34681" xr:uid="{00000000-0005-0000-0000-00008C8A0000}"/>
    <cellStyle name="Normal 330 2 3 2 2" xfId="34682" xr:uid="{00000000-0005-0000-0000-00008D8A0000}"/>
    <cellStyle name="Normal 330 2 3 2 3" xfId="34683" xr:uid="{00000000-0005-0000-0000-00008E8A0000}"/>
    <cellStyle name="Normal 330 2 3 3" xfId="34684" xr:uid="{00000000-0005-0000-0000-00008F8A0000}"/>
    <cellStyle name="Normal 330 2 3 3 2" xfId="34685" xr:uid="{00000000-0005-0000-0000-0000908A0000}"/>
    <cellStyle name="Normal 330 2 3 3 3" xfId="34686" xr:uid="{00000000-0005-0000-0000-0000918A0000}"/>
    <cellStyle name="Normal 330 2 3 4" xfId="34687" xr:uid="{00000000-0005-0000-0000-0000928A0000}"/>
    <cellStyle name="Normal 330 2 3 5" xfId="34688" xr:uid="{00000000-0005-0000-0000-0000938A0000}"/>
    <cellStyle name="Normal 330 2 3 6" xfId="34689" xr:uid="{00000000-0005-0000-0000-0000948A0000}"/>
    <cellStyle name="Normal 330 2 4" xfId="34690" xr:uid="{00000000-0005-0000-0000-0000958A0000}"/>
    <cellStyle name="Normal 330 2 4 2" xfId="34691" xr:uid="{00000000-0005-0000-0000-0000968A0000}"/>
    <cellStyle name="Normal 330 2 4 3" xfId="34692" xr:uid="{00000000-0005-0000-0000-0000978A0000}"/>
    <cellStyle name="Normal 330 2 5" xfId="34693" xr:uid="{00000000-0005-0000-0000-0000988A0000}"/>
    <cellStyle name="Normal 330 2 5 2" xfId="34694" xr:uid="{00000000-0005-0000-0000-0000998A0000}"/>
    <cellStyle name="Normal 330 2 5 3" xfId="34695" xr:uid="{00000000-0005-0000-0000-00009A8A0000}"/>
    <cellStyle name="Normal 330 2 6" xfId="34696" xr:uid="{00000000-0005-0000-0000-00009B8A0000}"/>
    <cellStyle name="Normal 330 2 7" xfId="34697" xr:uid="{00000000-0005-0000-0000-00009C8A0000}"/>
    <cellStyle name="Normal 330 2 8" xfId="34698" xr:uid="{00000000-0005-0000-0000-00009D8A0000}"/>
    <cellStyle name="Normal 330 2 9" xfId="34699" xr:uid="{00000000-0005-0000-0000-00009E8A0000}"/>
    <cellStyle name="Normal 330 3" xfId="34700" xr:uid="{00000000-0005-0000-0000-00009F8A0000}"/>
    <cellStyle name="Normal 330 3 2" xfId="34701" xr:uid="{00000000-0005-0000-0000-0000A08A0000}"/>
    <cellStyle name="Normal 330 3 2 2" xfId="34702" xr:uid="{00000000-0005-0000-0000-0000A18A0000}"/>
    <cellStyle name="Normal 330 3 2 2 2" xfId="34703" xr:uid="{00000000-0005-0000-0000-0000A28A0000}"/>
    <cellStyle name="Normal 330 3 2 2 3" xfId="34704" xr:uid="{00000000-0005-0000-0000-0000A38A0000}"/>
    <cellStyle name="Normal 330 3 2 3" xfId="34705" xr:uid="{00000000-0005-0000-0000-0000A48A0000}"/>
    <cellStyle name="Normal 330 3 2 3 2" xfId="34706" xr:uid="{00000000-0005-0000-0000-0000A58A0000}"/>
    <cellStyle name="Normal 330 3 2 3 3" xfId="34707" xr:uid="{00000000-0005-0000-0000-0000A68A0000}"/>
    <cellStyle name="Normal 330 3 2 4" xfId="34708" xr:uid="{00000000-0005-0000-0000-0000A78A0000}"/>
    <cellStyle name="Normal 330 3 2 5" xfId="34709" xr:uid="{00000000-0005-0000-0000-0000A88A0000}"/>
    <cellStyle name="Normal 330 3 2 6" xfId="34710" xr:uid="{00000000-0005-0000-0000-0000A98A0000}"/>
    <cellStyle name="Normal 330 3 3" xfId="34711" xr:uid="{00000000-0005-0000-0000-0000AA8A0000}"/>
    <cellStyle name="Normal 330 3 3 2" xfId="34712" xr:uid="{00000000-0005-0000-0000-0000AB8A0000}"/>
    <cellStyle name="Normal 330 3 3 3" xfId="34713" xr:uid="{00000000-0005-0000-0000-0000AC8A0000}"/>
    <cellStyle name="Normal 330 3 4" xfId="34714" xr:uid="{00000000-0005-0000-0000-0000AD8A0000}"/>
    <cellStyle name="Normal 330 3 4 2" xfId="34715" xr:uid="{00000000-0005-0000-0000-0000AE8A0000}"/>
    <cellStyle name="Normal 330 3 4 3" xfId="34716" xr:uid="{00000000-0005-0000-0000-0000AF8A0000}"/>
    <cellStyle name="Normal 330 3 5" xfId="34717" xr:uid="{00000000-0005-0000-0000-0000B08A0000}"/>
    <cellStyle name="Normal 330 3 6" xfId="34718" xr:uid="{00000000-0005-0000-0000-0000B18A0000}"/>
    <cellStyle name="Normal 330 3 7" xfId="34719" xr:uid="{00000000-0005-0000-0000-0000B28A0000}"/>
    <cellStyle name="Normal 330 3 8" xfId="34720" xr:uid="{00000000-0005-0000-0000-0000B38A0000}"/>
    <cellStyle name="Normal 330 4" xfId="34721" xr:uid="{00000000-0005-0000-0000-0000B48A0000}"/>
    <cellStyle name="Normal 330 4 2" xfId="34722" xr:uid="{00000000-0005-0000-0000-0000B58A0000}"/>
    <cellStyle name="Normal 330 4 2 2" xfId="34723" xr:uid="{00000000-0005-0000-0000-0000B68A0000}"/>
    <cellStyle name="Normal 330 4 2 3" xfId="34724" xr:uid="{00000000-0005-0000-0000-0000B78A0000}"/>
    <cellStyle name="Normal 330 4 3" xfId="34725" xr:uid="{00000000-0005-0000-0000-0000B88A0000}"/>
    <cellStyle name="Normal 330 4 3 2" xfId="34726" xr:uid="{00000000-0005-0000-0000-0000B98A0000}"/>
    <cellStyle name="Normal 330 4 3 3" xfId="34727" xr:uid="{00000000-0005-0000-0000-0000BA8A0000}"/>
    <cellStyle name="Normal 330 4 4" xfId="34728" xr:uid="{00000000-0005-0000-0000-0000BB8A0000}"/>
    <cellStyle name="Normal 330 4 5" xfId="34729" xr:uid="{00000000-0005-0000-0000-0000BC8A0000}"/>
    <cellStyle name="Normal 330 4 6" xfId="34730" xr:uid="{00000000-0005-0000-0000-0000BD8A0000}"/>
    <cellStyle name="Normal 330 5" xfId="34731" xr:uid="{00000000-0005-0000-0000-0000BE8A0000}"/>
    <cellStyle name="Normal 330 5 2" xfId="34732" xr:uid="{00000000-0005-0000-0000-0000BF8A0000}"/>
    <cellStyle name="Normal 330 5 3" xfId="34733" xr:uid="{00000000-0005-0000-0000-0000C08A0000}"/>
    <cellStyle name="Normal 330 6" xfId="34734" xr:uid="{00000000-0005-0000-0000-0000C18A0000}"/>
    <cellStyle name="Normal 330 6 2" xfId="34735" xr:uid="{00000000-0005-0000-0000-0000C28A0000}"/>
    <cellStyle name="Normal 330 6 3" xfId="34736" xr:uid="{00000000-0005-0000-0000-0000C38A0000}"/>
    <cellStyle name="Normal 330 7" xfId="34737" xr:uid="{00000000-0005-0000-0000-0000C48A0000}"/>
    <cellStyle name="Normal 330 8" xfId="34738" xr:uid="{00000000-0005-0000-0000-0000C58A0000}"/>
    <cellStyle name="Normal 330 9" xfId="34739" xr:uid="{00000000-0005-0000-0000-0000C68A0000}"/>
    <cellStyle name="Normal 331" xfId="3232" xr:uid="{00000000-0005-0000-0000-0000C78A0000}"/>
    <cellStyle name="Normal 331 10" xfId="34740" xr:uid="{00000000-0005-0000-0000-0000C88A0000}"/>
    <cellStyle name="Normal 331 11" xfId="34741" xr:uid="{00000000-0005-0000-0000-0000C98A0000}"/>
    <cellStyle name="Normal 331 2" xfId="34742" xr:uid="{00000000-0005-0000-0000-0000CA8A0000}"/>
    <cellStyle name="Normal 331 2 2" xfId="34743" xr:uid="{00000000-0005-0000-0000-0000CB8A0000}"/>
    <cellStyle name="Normal 331 2 2 2" xfId="34744" xr:uid="{00000000-0005-0000-0000-0000CC8A0000}"/>
    <cellStyle name="Normal 331 2 2 2 2" xfId="34745" xr:uid="{00000000-0005-0000-0000-0000CD8A0000}"/>
    <cellStyle name="Normal 331 2 2 2 2 2" xfId="34746" xr:uid="{00000000-0005-0000-0000-0000CE8A0000}"/>
    <cellStyle name="Normal 331 2 2 2 2 3" xfId="34747" xr:uid="{00000000-0005-0000-0000-0000CF8A0000}"/>
    <cellStyle name="Normal 331 2 2 2 3" xfId="34748" xr:uid="{00000000-0005-0000-0000-0000D08A0000}"/>
    <cellStyle name="Normal 331 2 2 2 3 2" xfId="34749" xr:uid="{00000000-0005-0000-0000-0000D18A0000}"/>
    <cellStyle name="Normal 331 2 2 2 3 3" xfId="34750" xr:uid="{00000000-0005-0000-0000-0000D28A0000}"/>
    <cellStyle name="Normal 331 2 2 2 4" xfId="34751" xr:uid="{00000000-0005-0000-0000-0000D38A0000}"/>
    <cellStyle name="Normal 331 2 2 2 5" xfId="34752" xr:uid="{00000000-0005-0000-0000-0000D48A0000}"/>
    <cellStyle name="Normal 331 2 2 2 6" xfId="34753" xr:uid="{00000000-0005-0000-0000-0000D58A0000}"/>
    <cellStyle name="Normal 331 2 2 3" xfId="34754" xr:uid="{00000000-0005-0000-0000-0000D68A0000}"/>
    <cellStyle name="Normal 331 2 2 3 2" xfId="34755" xr:uid="{00000000-0005-0000-0000-0000D78A0000}"/>
    <cellStyle name="Normal 331 2 2 3 3" xfId="34756" xr:uid="{00000000-0005-0000-0000-0000D88A0000}"/>
    <cellStyle name="Normal 331 2 2 4" xfId="34757" xr:uid="{00000000-0005-0000-0000-0000D98A0000}"/>
    <cellStyle name="Normal 331 2 2 4 2" xfId="34758" xr:uid="{00000000-0005-0000-0000-0000DA8A0000}"/>
    <cellStyle name="Normal 331 2 2 4 3" xfId="34759" xr:uid="{00000000-0005-0000-0000-0000DB8A0000}"/>
    <cellStyle name="Normal 331 2 2 5" xfId="34760" xr:uid="{00000000-0005-0000-0000-0000DC8A0000}"/>
    <cellStyle name="Normal 331 2 2 6" xfId="34761" xr:uid="{00000000-0005-0000-0000-0000DD8A0000}"/>
    <cellStyle name="Normal 331 2 2 7" xfId="34762" xr:uid="{00000000-0005-0000-0000-0000DE8A0000}"/>
    <cellStyle name="Normal 331 2 2 8" xfId="34763" xr:uid="{00000000-0005-0000-0000-0000DF8A0000}"/>
    <cellStyle name="Normal 331 2 3" xfId="34764" xr:uid="{00000000-0005-0000-0000-0000E08A0000}"/>
    <cellStyle name="Normal 331 2 3 2" xfId="34765" xr:uid="{00000000-0005-0000-0000-0000E18A0000}"/>
    <cellStyle name="Normal 331 2 3 2 2" xfId="34766" xr:uid="{00000000-0005-0000-0000-0000E28A0000}"/>
    <cellStyle name="Normal 331 2 3 2 3" xfId="34767" xr:uid="{00000000-0005-0000-0000-0000E38A0000}"/>
    <cellStyle name="Normal 331 2 3 3" xfId="34768" xr:uid="{00000000-0005-0000-0000-0000E48A0000}"/>
    <cellStyle name="Normal 331 2 3 3 2" xfId="34769" xr:uid="{00000000-0005-0000-0000-0000E58A0000}"/>
    <cellStyle name="Normal 331 2 3 3 3" xfId="34770" xr:uid="{00000000-0005-0000-0000-0000E68A0000}"/>
    <cellStyle name="Normal 331 2 3 4" xfId="34771" xr:uid="{00000000-0005-0000-0000-0000E78A0000}"/>
    <cellStyle name="Normal 331 2 3 5" xfId="34772" xr:uid="{00000000-0005-0000-0000-0000E88A0000}"/>
    <cellStyle name="Normal 331 2 3 6" xfId="34773" xr:uid="{00000000-0005-0000-0000-0000E98A0000}"/>
    <cellStyle name="Normal 331 2 4" xfId="34774" xr:uid="{00000000-0005-0000-0000-0000EA8A0000}"/>
    <cellStyle name="Normal 331 2 4 2" xfId="34775" xr:uid="{00000000-0005-0000-0000-0000EB8A0000}"/>
    <cellStyle name="Normal 331 2 4 3" xfId="34776" xr:uid="{00000000-0005-0000-0000-0000EC8A0000}"/>
    <cellStyle name="Normal 331 2 5" xfId="34777" xr:uid="{00000000-0005-0000-0000-0000ED8A0000}"/>
    <cellStyle name="Normal 331 2 5 2" xfId="34778" xr:uid="{00000000-0005-0000-0000-0000EE8A0000}"/>
    <cellStyle name="Normal 331 2 5 3" xfId="34779" xr:uid="{00000000-0005-0000-0000-0000EF8A0000}"/>
    <cellStyle name="Normal 331 2 6" xfId="34780" xr:uid="{00000000-0005-0000-0000-0000F08A0000}"/>
    <cellStyle name="Normal 331 2 7" xfId="34781" xr:uid="{00000000-0005-0000-0000-0000F18A0000}"/>
    <cellStyle name="Normal 331 2 8" xfId="34782" xr:uid="{00000000-0005-0000-0000-0000F28A0000}"/>
    <cellStyle name="Normal 331 2 9" xfId="34783" xr:uid="{00000000-0005-0000-0000-0000F38A0000}"/>
    <cellStyle name="Normal 331 3" xfId="34784" xr:uid="{00000000-0005-0000-0000-0000F48A0000}"/>
    <cellStyle name="Normal 331 3 2" xfId="34785" xr:uid="{00000000-0005-0000-0000-0000F58A0000}"/>
    <cellStyle name="Normal 331 3 2 2" xfId="34786" xr:uid="{00000000-0005-0000-0000-0000F68A0000}"/>
    <cellStyle name="Normal 331 3 2 2 2" xfId="34787" xr:uid="{00000000-0005-0000-0000-0000F78A0000}"/>
    <cellStyle name="Normal 331 3 2 2 3" xfId="34788" xr:uid="{00000000-0005-0000-0000-0000F88A0000}"/>
    <cellStyle name="Normal 331 3 2 3" xfId="34789" xr:uid="{00000000-0005-0000-0000-0000F98A0000}"/>
    <cellStyle name="Normal 331 3 2 3 2" xfId="34790" xr:uid="{00000000-0005-0000-0000-0000FA8A0000}"/>
    <cellStyle name="Normal 331 3 2 3 3" xfId="34791" xr:uid="{00000000-0005-0000-0000-0000FB8A0000}"/>
    <cellStyle name="Normal 331 3 2 4" xfId="34792" xr:uid="{00000000-0005-0000-0000-0000FC8A0000}"/>
    <cellStyle name="Normal 331 3 2 5" xfId="34793" xr:uid="{00000000-0005-0000-0000-0000FD8A0000}"/>
    <cellStyle name="Normal 331 3 2 6" xfId="34794" xr:uid="{00000000-0005-0000-0000-0000FE8A0000}"/>
    <cellStyle name="Normal 331 3 3" xfId="34795" xr:uid="{00000000-0005-0000-0000-0000FF8A0000}"/>
    <cellStyle name="Normal 331 3 3 2" xfId="34796" xr:uid="{00000000-0005-0000-0000-0000008B0000}"/>
    <cellStyle name="Normal 331 3 3 3" xfId="34797" xr:uid="{00000000-0005-0000-0000-0000018B0000}"/>
    <cellStyle name="Normal 331 3 4" xfId="34798" xr:uid="{00000000-0005-0000-0000-0000028B0000}"/>
    <cellStyle name="Normal 331 3 4 2" xfId="34799" xr:uid="{00000000-0005-0000-0000-0000038B0000}"/>
    <cellStyle name="Normal 331 3 4 3" xfId="34800" xr:uid="{00000000-0005-0000-0000-0000048B0000}"/>
    <cellStyle name="Normal 331 3 5" xfId="34801" xr:uid="{00000000-0005-0000-0000-0000058B0000}"/>
    <cellStyle name="Normal 331 3 6" xfId="34802" xr:uid="{00000000-0005-0000-0000-0000068B0000}"/>
    <cellStyle name="Normal 331 3 7" xfId="34803" xr:uid="{00000000-0005-0000-0000-0000078B0000}"/>
    <cellStyle name="Normal 331 3 8" xfId="34804" xr:uid="{00000000-0005-0000-0000-0000088B0000}"/>
    <cellStyle name="Normal 331 4" xfId="34805" xr:uid="{00000000-0005-0000-0000-0000098B0000}"/>
    <cellStyle name="Normal 331 4 2" xfId="34806" xr:uid="{00000000-0005-0000-0000-00000A8B0000}"/>
    <cellStyle name="Normal 331 4 2 2" xfId="34807" xr:uid="{00000000-0005-0000-0000-00000B8B0000}"/>
    <cellStyle name="Normal 331 4 2 3" xfId="34808" xr:uid="{00000000-0005-0000-0000-00000C8B0000}"/>
    <cellStyle name="Normal 331 4 3" xfId="34809" xr:uid="{00000000-0005-0000-0000-00000D8B0000}"/>
    <cellStyle name="Normal 331 4 3 2" xfId="34810" xr:uid="{00000000-0005-0000-0000-00000E8B0000}"/>
    <cellStyle name="Normal 331 4 3 3" xfId="34811" xr:uid="{00000000-0005-0000-0000-00000F8B0000}"/>
    <cellStyle name="Normal 331 4 4" xfId="34812" xr:uid="{00000000-0005-0000-0000-0000108B0000}"/>
    <cellStyle name="Normal 331 4 5" xfId="34813" xr:uid="{00000000-0005-0000-0000-0000118B0000}"/>
    <cellStyle name="Normal 331 4 6" xfId="34814" xr:uid="{00000000-0005-0000-0000-0000128B0000}"/>
    <cellStyle name="Normal 331 5" xfId="34815" xr:uid="{00000000-0005-0000-0000-0000138B0000}"/>
    <cellStyle name="Normal 331 5 2" xfId="34816" xr:uid="{00000000-0005-0000-0000-0000148B0000}"/>
    <cellStyle name="Normal 331 5 3" xfId="34817" xr:uid="{00000000-0005-0000-0000-0000158B0000}"/>
    <cellStyle name="Normal 331 6" xfId="34818" xr:uid="{00000000-0005-0000-0000-0000168B0000}"/>
    <cellStyle name="Normal 331 6 2" xfId="34819" xr:uid="{00000000-0005-0000-0000-0000178B0000}"/>
    <cellStyle name="Normal 331 6 3" xfId="34820" xr:uid="{00000000-0005-0000-0000-0000188B0000}"/>
    <cellStyle name="Normal 331 7" xfId="34821" xr:uid="{00000000-0005-0000-0000-0000198B0000}"/>
    <cellStyle name="Normal 331 8" xfId="34822" xr:uid="{00000000-0005-0000-0000-00001A8B0000}"/>
    <cellStyle name="Normal 331 9" xfId="34823" xr:uid="{00000000-0005-0000-0000-00001B8B0000}"/>
    <cellStyle name="Normal 332" xfId="3233" xr:uid="{00000000-0005-0000-0000-00001C8B0000}"/>
    <cellStyle name="Normal 332 10" xfId="34824" xr:uid="{00000000-0005-0000-0000-00001D8B0000}"/>
    <cellStyle name="Normal 332 11" xfId="34825" xr:uid="{00000000-0005-0000-0000-00001E8B0000}"/>
    <cellStyle name="Normal 332 2" xfId="34826" xr:uid="{00000000-0005-0000-0000-00001F8B0000}"/>
    <cellStyle name="Normal 332 2 2" xfId="34827" xr:uid="{00000000-0005-0000-0000-0000208B0000}"/>
    <cellStyle name="Normal 332 2 2 2" xfId="34828" xr:uid="{00000000-0005-0000-0000-0000218B0000}"/>
    <cellStyle name="Normal 332 2 2 2 2" xfId="34829" xr:uid="{00000000-0005-0000-0000-0000228B0000}"/>
    <cellStyle name="Normal 332 2 2 2 2 2" xfId="34830" xr:uid="{00000000-0005-0000-0000-0000238B0000}"/>
    <cellStyle name="Normal 332 2 2 2 2 3" xfId="34831" xr:uid="{00000000-0005-0000-0000-0000248B0000}"/>
    <cellStyle name="Normal 332 2 2 2 3" xfId="34832" xr:uid="{00000000-0005-0000-0000-0000258B0000}"/>
    <cellStyle name="Normal 332 2 2 2 3 2" xfId="34833" xr:uid="{00000000-0005-0000-0000-0000268B0000}"/>
    <cellStyle name="Normal 332 2 2 2 3 3" xfId="34834" xr:uid="{00000000-0005-0000-0000-0000278B0000}"/>
    <cellStyle name="Normal 332 2 2 2 4" xfId="34835" xr:uid="{00000000-0005-0000-0000-0000288B0000}"/>
    <cellStyle name="Normal 332 2 2 2 5" xfId="34836" xr:uid="{00000000-0005-0000-0000-0000298B0000}"/>
    <cellStyle name="Normal 332 2 2 2 6" xfId="34837" xr:uid="{00000000-0005-0000-0000-00002A8B0000}"/>
    <cellStyle name="Normal 332 2 2 3" xfId="34838" xr:uid="{00000000-0005-0000-0000-00002B8B0000}"/>
    <cellStyle name="Normal 332 2 2 3 2" xfId="34839" xr:uid="{00000000-0005-0000-0000-00002C8B0000}"/>
    <cellStyle name="Normal 332 2 2 3 3" xfId="34840" xr:uid="{00000000-0005-0000-0000-00002D8B0000}"/>
    <cellStyle name="Normal 332 2 2 4" xfId="34841" xr:uid="{00000000-0005-0000-0000-00002E8B0000}"/>
    <cellStyle name="Normal 332 2 2 4 2" xfId="34842" xr:uid="{00000000-0005-0000-0000-00002F8B0000}"/>
    <cellStyle name="Normal 332 2 2 4 3" xfId="34843" xr:uid="{00000000-0005-0000-0000-0000308B0000}"/>
    <cellStyle name="Normal 332 2 2 5" xfId="34844" xr:uid="{00000000-0005-0000-0000-0000318B0000}"/>
    <cellStyle name="Normal 332 2 2 6" xfId="34845" xr:uid="{00000000-0005-0000-0000-0000328B0000}"/>
    <cellStyle name="Normal 332 2 2 7" xfId="34846" xr:uid="{00000000-0005-0000-0000-0000338B0000}"/>
    <cellStyle name="Normal 332 2 2 8" xfId="34847" xr:uid="{00000000-0005-0000-0000-0000348B0000}"/>
    <cellStyle name="Normal 332 2 3" xfId="34848" xr:uid="{00000000-0005-0000-0000-0000358B0000}"/>
    <cellStyle name="Normal 332 2 3 2" xfId="34849" xr:uid="{00000000-0005-0000-0000-0000368B0000}"/>
    <cellStyle name="Normal 332 2 3 2 2" xfId="34850" xr:uid="{00000000-0005-0000-0000-0000378B0000}"/>
    <cellStyle name="Normal 332 2 3 2 3" xfId="34851" xr:uid="{00000000-0005-0000-0000-0000388B0000}"/>
    <cellStyle name="Normal 332 2 3 3" xfId="34852" xr:uid="{00000000-0005-0000-0000-0000398B0000}"/>
    <cellStyle name="Normal 332 2 3 3 2" xfId="34853" xr:uid="{00000000-0005-0000-0000-00003A8B0000}"/>
    <cellStyle name="Normal 332 2 3 3 3" xfId="34854" xr:uid="{00000000-0005-0000-0000-00003B8B0000}"/>
    <cellStyle name="Normal 332 2 3 4" xfId="34855" xr:uid="{00000000-0005-0000-0000-00003C8B0000}"/>
    <cellStyle name="Normal 332 2 3 5" xfId="34856" xr:uid="{00000000-0005-0000-0000-00003D8B0000}"/>
    <cellStyle name="Normal 332 2 3 6" xfId="34857" xr:uid="{00000000-0005-0000-0000-00003E8B0000}"/>
    <cellStyle name="Normal 332 2 4" xfId="34858" xr:uid="{00000000-0005-0000-0000-00003F8B0000}"/>
    <cellStyle name="Normal 332 2 4 2" xfId="34859" xr:uid="{00000000-0005-0000-0000-0000408B0000}"/>
    <cellStyle name="Normal 332 2 4 3" xfId="34860" xr:uid="{00000000-0005-0000-0000-0000418B0000}"/>
    <cellStyle name="Normal 332 2 5" xfId="34861" xr:uid="{00000000-0005-0000-0000-0000428B0000}"/>
    <cellStyle name="Normal 332 2 5 2" xfId="34862" xr:uid="{00000000-0005-0000-0000-0000438B0000}"/>
    <cellStyle name="Normal 332 2 5 3" xfId="34863" xr:uid="{00000000-0005-0000-0000-0000448B0000}"/>
    <cellStyle name="Normal 332 2 6" xfId="34864" xr:uid="{00000000-0005-0000-0000-0000458B0000}"/>
    <cellStyle name="Normal 332 2 7" xfId="34865" xr:uid="{00000000-0005-0000-0000-0000468B0000}"/>
    <cellStyle name="Normal 332 2 8" xfId="34866" xr:uid="{00000000-0005-0000-0000-0000478B0000}"/>
    <cellStyle name="Normal 332 2 9" xfId="34867" xr:uid="{00000000-0005-0000-0000-0000488B0000}"/>
    <cellStyle name="Normal 332 3" xfId="34868" xr:uid="{00000000-0005-0000-0000-0000498B0000}"/>
    <cellStyle name="Normal 332 3 2" xfId="34869" xr:uid="{00000000-0005-0000-0000-00004A8B0000}"/>
    <cellStyle name="Normal 332 3 2 2" xfId="34870" xr:uid="{00000000-0005-0000-0000-00004B8B0000}"/>
    <cellStyle name="Normal 332 3 2 2 2" xfId="34871" xr:uid="{00000000-0005-0000-0000-00004C8B0000}"/>
    <cellStyle name="Normal 332 3 2 2 3" xfId="34872" xr:uid="{00000000-0005-0000-0000-00004D8B0000}"/>
    <cellStyle name="Normal 332 3 2 3" xfId="34873" xr:uid="{00000000-0005-0000-0000-00004E8B0000}"/>
    <cellStyle name="Normal 332 3 2 3 2" xfId="34874" xr:uid="{00000000-0005-0000-0000-00004F8B0000}"/>
    <cellStyle name="Normal 332 3 2 3 3" xfId="34875" xr:uid="{00000000-0005-0000-0000-0000508B0000}"/>
    <cellStyle name="Normal 332 3 2 4" xfId="34876" xr:uid="{00000000-0005-0000-0000-0000518B0000}"/>
    <cellStyle name="Normal 332 3 2 5" xfId="34877" xr:uid="{00000000-0005-0000-0000-0000528B0000}"/>
    <cellStyle name="Normal 332 3 2 6" xfId="34878" xr:uid="{00000000-0005-0000-0000-0000538B0000}"/>
    <cellStyle name="Normal 332 3 3" xfId="34879" xr:uid="{00000000-0005-0000-0000-0000548B0000}"/>
    <cellStyle name="Normal 332 3 3 2" xfId="34880" xr:uid="{00000000-0005-0000-0000-0000558B0000}"/>
    <cellStyle name="Normal 332 3 3 3" xfId="34881" xr:uid="{00000000-0005-0000-0000-0000568B0000}"/>
    <cellStyle name="Normal 332 3 4" xfId="34882" xr:uid="{00000000-0005-0000-0000-0000578B0000}"/>
    <cellStyle name="Normal 332 3 4 2" xfId="34883" xr:uid="{00000000-0005-0000-0000-0000588B0000}"/>
    <cellStyle name="Normal 332 3 4 3" xfId="34884" xr:uid="{00000000-0005-0000-0000-0000598B0000}"/>
    <cellStyle name="Normal 332 3 5" xfId="34885" xr:uid="{00000000-0005-0000-0000-00005A8B0000}"/>
    <cellStyle name="Normal 332 3 6" xfId="34886" xr:uid="{00000000-0005-0000-0000-00005B8B0000}"/>
    <cellStyle name="Normal 332 3 7" xfId="34887" xr:uid="{00000000-0005-0000-0000-00005C8B0000}"/>
    <cellStyle name="Normal 332 3 8" xfId="34888" xr:uid="{00000000-0005-0000-0000-00005D8B0000}"/>
    <cellStyle name="Normal 332 4" xfId="34889" xr:uid="{00000000-0005-0000-0000-00005E8B0000}"/>
    <cellStyle name="Normal 332 4 2" xfId="34890" xr:uid="{00000000-0005-0000-0000-00005F8B0000}"/>
    <cellStyle name="Normal 332 4 2 2" xfId="34891" xr:uid="{00000000-0005-0000-0000-0000608B0000}"/>
    <cellStyle name="Normal 332 4 2 3" xfId="34892" xr:uid="{00000000-0005-0000-0000-0000618B0000}"/>
    <cellStyle name="Normal 332 4 3" xfId="34893" xr:uid="{00000000-0005-0000-0000-0000628B0000}"/>
    <cellStyle name="Normal 332 4 3 2" xfId="34894" xr:uid="{00000000-0005-0000-0000-0000638B0000}"/>
    <cellStyle name="Normal 332 4 3 3" xfId="34895" xr:uid="{00000000-0005-0000-0000-0000648B0000}"/>
    <cellStyle name="Normal 332 4 4" xfId="34896" xr:uid="{00000000-0005-0000-0000-0000658B0000}"/>
    <cellStyle name="Normal 332 4 5" xfId="34897" xr:uid="{00000000-0005-0000-0000-0000668B0000}"/>
    <cellStyle name="Normal 332 4 6" xfId="34898" xr:uid="{00000000-0005-0000-0000-0000678B0000}"/>
    <cellStyle name="Normal 332 5" xfId="34899" xr:uid="{00000000-0005-0000-0000-0000688B0000}"/>
    <cellStyle name="Normal 332 5 2" xfId="34900" xr:uid="{00000000-0005-0000-0000-0000698B0000}"/>
    <cellStyle name="Normal 332 5 3" xfId="34901" xr:uid="{00000000-0005-0000-0000-00006A8B0000}"/>
    <cellStyle name="Normal 332 6" xfId="34902" xr:uid="{00000000-0005-0000-0000-00006B8B0000}"/>
    <cellStyle name="Normal 332 6 2" xfId="34903" xr:uid="{00000000-0005-0000-0000-00006C8B0000}"/>
    <cellStyle name="Normal 332 6 3" xfId="34904" xr:uid="{00000000-0005-0000-0000-00006D8B0000}"/>
    <cellStyle name="Normal 332 7" xfId="34905" xr:uid="{00000000-0005-0000-0000-00006E8B0000}"/>
    <cellStyle name="Normal 332 8" xfId="34906" xr:uid="{00000000-0005-0000-0000-00006F8B0000}"/>
    <cellStyle name="Normal 332 9" xfId="34907" xr:uid="{00000000-0005-0000-0000-0000708B0000}"/>
    <cellStyle name="Normal 333" xfId="3234" xr:uid="{00000000-0005-0000-0000-0000718B0000}"/>
    <cellStyle name="Normal 333 10" xfId="34908" xr:uid="{00000000-0005-0000-0000-0000728B0000}"/>
    <cellStyle name="Normal 333 11" xfId="34909" xr:uid="{00000000-0005-0000-0000-0000738B0000}"/>
    <cellStyle name="Normal 333 2" xfId="34910" xr:uid="{00000000-0005-0000-0000-0000748B0000}"/>
    <cellStyle name="Normal 333 2 2" xfId="34911" xr:uid="{00000000-0005-0000-0000-0000758B0000}"/>
    <cellStyle name="Normal 333 2 2 2" xfId="34912" xr:uid="{00000000-0005-0000-0000-0000768B0000}"/>
    <cellStyle name="Normal 333 2 2 2 2" xfId="34913" xr:uid="{00000000-0005-0000-0000-0000778B0000}"/>
    <cellStyle name="Normal 333 2 2 2 2 2" xfId="34914" xr:uid="{00000000-0005-0000-0000-0000788B0000}"/>
    <cellStyle name="Normal 333 2 2 2 2 3" xfId="34915" xr:uid="{00000000-0005-0000-0000-0000798B0000}"/>
    <cellStyle name="Normal 333 2 2 2 3" xfId="34916" xr:uid="{00000000-0005-0000-0000-00007A8B0000}"/>
    <cellStyle name="Normal 333 2 2 2 3 2" xfId="34917" xr:uid="{00000000-0005-0000-0000-00007B8B0000}"/>
    <cellStyle name="Normal 333 2 2 2 3 3" xfId="34918" xr:uid="{00000000-0005-0000-0000-00007C8B0000}"/>
    <cellStyle name="Normal 333 2 2 2 4" xfId="34919" xr:uid="{00000000-0005-0000-0000-00007D8B0000}"/>
    <cellStyle name="Normal 333 2 2 2 5" xfId="34920" xr:uid="{00000000-0005-0000-0000-00007E8B0000}"/>
    <cellStyle name="Normal 333 2 2 2 6" xfId="34921" xr:uid="{00000000-0005-0000-0000-00007F8B0000}"/>
    <cellStyle name="Normal 333 2 2 3" xfId="34922" xr:uid="{00000000-0005-0000-0000-0000808B0000}"/>
    <cellStyle name="Normal 333 2 2 3 2" xfId="34923" xr:uid="{00000000-0005-0000-0000-0000818B0000}"/>
    <cellStyle name="Normal 333 2 2 3 3" xfId="34924" xr:uid="{00000000-0005-0000-0000-0000828B0000}"/>
    <cellStyle name="Normal 333 2 2 4" xfId="34925" xr:uid="{00000000-0005-0000-0000-0000838B0000}"/>
    <cellStyle name="Normal 333 2 2 4 2" xfId="34926" xr:uid="{00000000-0005-0000-0000-0000848B0000}"/>
    <cellStyle name="Normal 333 2 2 4 3" xfId="34927" xr:uid="{00000000-0005-0000-0000-0000858B0000}"/>
    <cellStyle name="Normal 333 2 2 5" xfId="34928" xr:uid="{00000000-0005-0000-0000-0000868B0000}"/>
    <cellStyle name="Normal 333 2 2 6" xfId="34929" xr:uid="{00000000-0005-0000-0000-0000878B0000}"/>
    <cellStyle name="Normal 333 2 2 7" xfId="34930" xr:uid="{00000000-0005-0000-0000-0000888B0000}"/>
    <cellStyle name="Normal 333 2 2 8" xfId="34931" xr:uid="{00000000-0005-0000-0000-0000898B0000}"/>
    <cellStyle name="Normal 333 2 3" xfId="34932" xr:uid="{00000000-0005-0000-0000-00008A8B0000}"/>
    <cellStyle name="Normal 333 2 3 2" xfId="34933" xr:uid="{00000000-0005-0000-0000-00008B8B0000}"/>
    <cellStyle name="Normal 333 2 3 2 2" xfId="34934" xr:uid="{00000000-0005-0000-0000-00008C8B0000}"/>
    <cellStyle name="Normal 333 2 3 2 3" xfId="34935" xr:uid="{00000000-0005-0000-0000-00008D8B0000}"/>
    <cellStyle name="Normal 333 2 3 3" xfId="34936" xr:uid="{00000000-0005-0000-0000-00008E8B0000}"/>
    <cellStyle name="Normal 333 2 3 3 2" xfId="34937" xr:uid="{00000000-0005-0000-0000-00008F8B0000}"/>
    <cellStyle name="Normal 333 2 3 3 3" xfId="34938" xr:uid="{00000000-0005-0000-0000-0000908B0000}"/>
    <cellStyle name="Normal 333 2 3 4" xfId="34939" xr:uid="{00000000-0005-0000-0000-0000918B0000}"/>
    <cellStyle name="Normal 333 2 3 5" xfId="34940" xr:uid="{00000000-0005-0000-0000-0000928B0000}"/>
    <cellStyle name="Normal 333 2 3 6" xfId="34941" xr:uid="{00000000-0005-0000-0000-0000938B0000}"/>
    <cellStyle name="Normal 333 2 4" xfId="34942" xr:uid="{00000000-0005-0000-0000-0000948B0000}"/>
    <cellStyle name="Normal 333 2 4 2" xfId="34943" xr:uid="{00000000-0005-0000-0000-0000958B0000}"/>
    <cellStyle name="Normal 333 2 4 3" xfId="34944" xr:uid="{00000000-0005-0000-0000-0000968B0000}"/>
    <cellStyle name="Normal 333 2 5" xfId="34945" xr:uid="{00000000-0005-0000-0000-0000978B0000}"/>
    <cellStyle name="Normal 333 2 5 2" xfId="34946" xr:uid="{00000000-0005-0000-0000-0000988B0000}"/>
    <cellStyle name="Normal 333 2 5 3" xfId="34947" xr:uid="{00000000-0005-0000-0000-0000998B0000}"/>
    <cellStyle name="Normal 333 2 6" xfId="34948" xr:uid="{00000000-0005-0000-0000-00009A8B0000}"/>
    <cellStyle name="Normal 333 2 7" xfId="34949" xr:uid="{00000000-0005-0000-0000-00009B8B0000}"/>
    <cellStyle name="Normal 333 2 8" xfId="34950" xr:uid="{00000000-0005-0000-0000-00009C8B0000}"/>
    <cellStyle name="Normal 333 2 9" xfId="34951" xr:uid="{00000000-0005-0000-0000-00009D8B0000}"/>
    <cellStyle name="Normal 333 3" xfId="34952" xr:uid="{00000000-0005-0000-0000-00009E8B0000}"/>
    <cellStyle name="Normal 333 3 2" xfId="34953" xr:uid="{00000000-0005-0000-0000-00009F8B0000}"/>
    <cellStyle name="Normal 333 3 2 2" xfId="34954" xr:uid="{00000000-0005-0000-0000-0000A08B0000}"/>
    <cellStyle name="Normal 333 3 2 2 2" xfId="34955" xr:uid="{00000000-0005-0000-0000-0000A18B0000}"/>
    <cellStyle name="Normal 333 3 2 2 3" xfId="34956" xr:uid="{00000000-0005-0000-0000-0000A28B0000}"/>
    <cellStyle name="Normal 333 3 2 3" xfId="34957" xr:uid="{00000000-0005-0000-0000-0000A38B0000}"/>
    <cellStyle name="Normal 333 3 2 3 2" xfId="34958" xr:uid="{00000000-0005-0000-0000-0000A48B0000}"/>
    <cellStyle name="Normal 333 3 2 3 3" xfId="34959" xr:uid="{00000000-0005-0000-0000-0000A58B0000}"/>
    <cellStyle name="Normal 333 3 2 4" xfId="34960" xr:uid="{00000000-0005-0000-0000-0000A68B0000}"/>
    <cellStyle name="Normal 333 3 2 5" xfId="34961" xr:uid="{00000000-0005-0000-0000-0000A78B0000}"/>
    <cellStyle name="Normal 333 3 2 6" xfId="34962" xr:uid="{00000000-0005-0000-0000-0000A88B0000}"/>
    <cellStyle name="Normal 333 3 3" xfId="34963" xr:uid="{00000000-0005-0000-0000-0000A98B0000}"/>
    <cellStyle name="Normal 333 3 3 2" xfId="34964" xr:uid="{00000000-0005-0000-0000-0000AA8B0000}"/>
    <cellStyle name="Normal 333 3 3 3" xfId="34965" xr:uid="{00000000-0005-0000-0000-0000AB8B0000}"/>
    <cellStyle name="Normal 333 3 4" xfId="34966" xr:uid="{00000000-0005-0000-0000-0000AC8B0000}"/>
    <cellStyle name="Normal 333 3 4 2" xfId="34967" xr:uid="{00000000-0005-0000-0000-0000AD8B0000}"/>
    <cellStyle name="Normal 333 3 4 3" xfId="34968" xr:uid="{00000000-0005-0000-0000-0000AE8B0000}"/>
    <cellStyle name="Normal 333 3 5" xfId="34969" xr:uid="{00000000-0005-0000-0000-0000AF8B0000}"/>
    <cellStyle name="Normal 333 3 6" xfId="34970" xr:uid="{00000000-0005-0000-0000-0000B08B0000}"/>
    <cellStyle name="Normal 333 3 7" xfId="34971" xr:uid="{00000000-0005-0000-0000-0000B18B0000}"/>
    <cellStyle name="Normal 333 3 8" xfId="34972" xr:uid="{00000000-0005-0000-0000-0000B28B0000}"/>
    <cellStyle name="Normal 333 4" xfId="34973" xr:uid="{00000000-0005-0000-0000-0000B38B0000}"/>
    <cellStyle name="Normal 333 4 2" xfId="34974" xr:uid="{00000000-0005-0000-0000-0000B48B0000}"/>
    <cellStyle name="Normal 333 4 2 2" xfId="34975" xr:uid="{00000000-0005-0000-0000-0000B58B0000}"/>
    <cellStyle name="Normal 333 4 2 3" xfId="34976" xr:uid="{00000000-0005-0000-0000-0000B68B0000}"/>
    <cellStyle name="Normal 333 4 3" xfId="34977" xr:uid="{00000000-0005-0000-0000-0000B78B0000}"/>
    <cellStyle name="Normal 333 4 3 2" xfId="34978" xr:uid="{00000000-0005-0000-0000-0000B88B0000}"/>
    <cellStyle name="Normal 333 4 3 3" xfId="34979" xr:uid="{00000000-0005-0000-0000-0000B98B0000}"/>
    <cellStyle name="Normal 333 4 4" xfId="34980" xr:uid="{00000000-0005-0000-0000-0000BA8B0000}"/>
    <cellStyle name="Normal 333 4 5" xfId="34981" xr:uid="{00000000-0005-0000-0000-0000BB8B0000}"/>
    <cellStyle name="Normal 333 4 6" xfId="34982" xr:uid="{00000000-0005-0000-0000-0000BC8B0000}"/>
    <cellStyle name="Normal 333 5" xfId="34983" xr:uid="{00000000-0005-0000-0000-0000BD8B0000}"/>
    <cellStyle name="Normal 333 5 2" xfId="34984" xr:uid="{00000000-0005-0000-0000-0000BE8B0000}"/>
    <cellStyle name="Normal 333 5 3" xfId="34985" xr:uid="{00000000-0005-0000-0000-0000BF8B0000}"/>
    <cellStyle name="Normal 333 6" xfId="34986" xr:uid="{00000000-0005-0000-0000-0000C08B0000}"/>
    <cellStyle name="Normal 333 6 2" xfId="34987" xr:uid="{00000000-0005-0000-0000-0000C18B0000}"/>
    <cellStyle name="Normal 333 6 3" xfId="34988" xr:uid="{00000000-0005-0000-0000-0000C28B0000}"/>
    <cellStyle name="Normal 333 7" xfId="34989" xr:uid="{00000000-0005-0000-0000-0000C38B0000}"/>
    <cellStyle name="Normal 333 8" xfId="34990" xr:uid="{00000000-0005-0000-0000-0000C48B0000}"/>
    <cellStyle name="Normal 333 9" xfId="34991" xr:uid="{00000000-0005-0000-0000-0000C58B0000}"/>
    <cellStyle name="Normal 334" xfId="3235" xr:uid="{00000000-0005-0000-0000-0000C68B0000}"/>
    <cellStyle name="Normal 334 10" xfId="34992" xr:uid="{00000000-0005-0000-0000-0000C78B0000}"/>
    <cellStyle name="Normal 334 11" xfId="34993" xr:uid="{00000000-0005-0000-0000-0000C88B0000}"/>
    <cellStyle name="Normal 334 2" xfId="34994" xr:uid="{00000000-0005-0000-0000-0000C98B0000}"/>
    <cellStyle name="Normal 334 2 2" xfId="34995" xr:uid="{00000000-0005-0000-0000-0000CA8B0000}"/>
    <cellStyle name="Normal 334 2 2 2" xfId="34996" xr:uid="{00000000-0005-0000-0000-0000CB8B0000}"/>
    <cellStyle name="Normal 334 2 2 2 2" xfId="34997" xr:uid="{00000000-0005-0000-0000-0000CC8B0000}"/>
    <cellStyle name="Normal 334 2 2 2 2 2" xfId="34998" xr:uid="{00000000-0005-0000-0000-0000CD8B0000}"/>
    <cellStyle name="Normal 334 2 2 2 2 3" xfId="34999" xr:uid="{00000000-0005-0000-0000-0000CE8B0000}"/>
    <cellStyle name="Normal 334 2 2 2 3" xfId="35000" xr:uid="{00000000-0005-0000-0000-0000CF8B0000}"/>
    <cellStyle name="Normal 334 2 2 2 3 2" xfId="35001" xr:uid="{00000000-0005-0000-0000-0000D08B0000}"/>
    <cellStyle name="Normal 334 2 2 2 3 3" xfId="35002" xr:uid="{00000000-0005-0000-0000-0000D18B0000}"/>
    <cellStyle name="Normal 334 2 2 2 4" xfId="35003" xr:uid="{00000000-0005-0000-0000-0000D28B0000}"/>
    <cellStyle name="Normal 334 2 2 2 5" xfId="35004" xr:uid="{00000000-0005-0000-0000-0000D38B0000}"/>
    <cellStyle name="Normal 334 2 2 2 6" xfId="35005" xr:uid="{00000000-0005-0000-0000-0000D48B0000}"/>
    <cellStyle name="Normal 334 2 2 3" xfId="35006" xr:uid="{00000000-0005-0000-0000-0000D58B0000}"/>
    <cellStyle name="Normal 334 2 2 3 2" xfId="35007" xr:uid="{00000000-0005-0000-0000-0000D68B0000}"/>
    <cellStyle name="Normal 334 2 2 3 3" xfId="35008" xr:uid="{00000000-0005-0000-0000-0000D78B0000}"/>
    <cellStyle name="Normal 334 2 2 4" xfId="35009" xr:uid="{00000000-0005-0000-0000-0000D88B0000}"/>
    <cellStyle name="Normal 334 2 2 4 2" xfId="35010" xr:uid="{00000000-0005-0000-0000-0000D98B0000}"/>
    <cellStyle name="Normal 334 2 2 4 3" xfId="35011" xr:uid="{00000000-0005-0000-0000-0000DA8B0000}"/>
    <cellStyle name="Normal 334 2 2 5" xfId="35012" xr:uid="{00000000-0005-0000-0000-0000DB8B0000}"/>
    <cellStyle name="Normal 334 2 2 6" xfId="35013" xr:uid="{00000000-0005-0000-0000-0000DC8B0000}"/>
    <cellStyle name="Normal 334 2 2 7" xfId="35014" xr:uid="{00000000-0005-0000-0000-0000DD8B0000}"/>
    <cellStyle name="Normal 334 2 2 8" xfId="35015" xr:uid="{00000000-0005-0000-0000-0000DE8B0000}"/>
    <cellStyle name="Normal 334 2 3" xfId="35016" xr:uid="{00000000-0005-0000-0000-0000DF8B0000}"/>
    <cellStyle name="Normal 334 2 3 2" xfId="35017" xr:uid="{00000000-0005-0000-0000-0000E08B0000}"/>
    <cellStyle name="Normal 334 2 3 2 2" xfId="35018" xr:uid="{00000000-0005-0000-0000-0000E18B0000}"/>
    <cellStyle name="Normal 334 2 3 2 3" xfId="35019" xr:uid="{00000000-0005-0000-0000-0000E28B0000}"/>
    <cellStyle name="Normal 334 2 3 3" xfId="35020" xr:uid="{00000000-0005-0000-0000-0000E38B0000}"/>
    <cellStyle name="Normal 334 2 3 3 2" xfId="35021" xr:uid="{00000000-0005-0000-0000-0000E48B0000}"/>
    <cellStyle name="Normal 334 2 3 3 3" xfId="35022" xr:uid="{00000000-0005-0000-0000-0000E58B0000}"/>
    <cellStyle name="Normal 334 2 3 4" xfId="35023" xr:uid="{00000000-0005-0000-0000-0000E68B0000}"/>
    <cellStyle name="Normal 334 2 3 5" xfId="35024" xr:uid="{00000000-0005-0000-0000-0000E78B0000}"/>
    <cellStyle name="Normal 334 2 3 6" xfId="35025" xr:uid="{00000000-0005-0000-0000-0000E88B0000}"/>
    <cellStyle name="Normal 334 2 4" xfId="35026" xr:uid="{00000000-0005-0000-0000-0000E98B0000}"/>
    <cellStyle name="Normal 334 2 4 2" xfId="35027" xr:uid="{00000000-0005-0000-0000-0000EA8B0000}"/>
    <cellStyle name="Normal 334 2 4 3" xfId="35028" xr:uid="{00000000-0005-0000-0000-0000EB8B0000}"/>
    <cellStyle name="Normal 334 2 5" xfId="35029" xr:uid="{00000000-0005-0000-0000-0000EC8B0000}"/>
    <cellStyle name="Normal 334 2 5 2" xfId="35030" xr:uid="{00000000-0005-0000-0000-0000ED8B0000}"/>
    <cellStyle name="Normal 334 2 5 3" xfId="35031" xr:uid="{00000000-0005-0000-0000-0000EE8B0000}"/>
    <cellStyle name="Normal 334 2 6" xfId="35032" xr:uid="{00000000-0005-0000-0000-0000EF8B0000}"/>
    <cellStyle name="Normal 334 2 7" xfId="35033" xr:uid="{00000000-0005-0000-0000-0000F08B0000}"/>
    <cellStyle name="Normal 334 2 8" xfId="35034" xr:uid="{00000000-0005-0000-0000-0000F18B0000}"/>
    <cellStyle name="Normal 334 2 9" xfId="35035" xr:uid="{00000000-0005-0000-0000-0000F28B0000}"/>
    <cellStyle name="Normal 334 3" xfId="35036" xr:uid="{00000000-0005-0000-0000-0000F38B0000}"/>
    <cellStyle name="Normal 334 3 2" xfId="35037" xr:uid="{00000000-0005-0000-0000-0000F48B0000}"/>
    <cellStyle name="Normal 334 3 2 2" xfId="35038" xr:uid="{00000000-0005-0000-0000-0000F58B0000}"/>
    <cellStyle name="Normal 334 3 2 2 2" xfId="35039" xr:uid="{00000000-0005-0000-0000-0000F68B0000}"/>
    <cellStyle name="Normal 334 3 2 2 3" xfId="35040" xr:uid="{00000000-0005-0000-0000-0000F78B0000}"/>
    <cellStyle name="Normal 334 3 2 3" xfId="35041" xr:uid="{00000000-0005-0000-0000-0000F88B0000}"/>
    <cellStyle name="Normal 334 3 2 3 2" xfId="35042" xr:uid="{00000000-0005-0000-0000-0000F98B0000}"/>
    <cellStyle name="Normal 334 3 2 3 3" xfId="35043" xr:uid="{00000000-0005-0000-0000-0000FA8B0000}"/>
    <cellStyle name="Normal 334 3 2 4" xfId="35044" xr:uid="{00000000-0005-0000-0000-0000FB8B0000}"/>
    <cellStyle name="Normal 334 3 2 5" xfId="35045" xr:uid="{00000000-0005-0000-0000-0000FC8B0000}"/>
    <cellStyle name="Normal 334 3 2 6" xfId="35046" xr:uid="{00000000-0005-0000-0000-0000FD8B0000}"/>
    <cellStyle name="Normal 334 3 3" xfId="35047" xr:uid="{00000000-0005-0000-0000-0000FE8B0000}"/>
    <cellStyle name="Normal 334 3 3 2" xfId="35048" xr:uid="{00000000-0005-0000-0000-0000FF8B0000}"/>
    <cellStyle name="Normal 334 3 3 3" xfId="35049" xr:uid="{00000000-0005-0000-0000-0000008C0000}"/>
    <cellStyle name="Normal 334 3 4" xfId="35050" xr:uid="{00000000-0005-0000-0000-0000018C0000}"/>
    <cellStyle name="Normal 334 3 4 2" xfId="35051" xr:uid="{00000000-0005-0000-0000-0000028C0000}"/>
    <cellStyle name="Normal 334 3 4 3" xfId="35052" xr:uid="{00000000-0005-0000-0000-0000038C0000}"/>
    <cellStyle name="Normal 334 3 5" xfId="35053" xr:uid="{00000000-0005-0000-0000-0000048C0000}"/>
    <cellStyle name="Normal 334 3 6" xfId="35054" xr:uid="{00000000-0005-0000-0000-0000058C0000}"/>
    <cellStyle name="Normal 334 3 7" xfId="35055" xr:uid="{00000000-0005-0000-0000-0000068C0000}"/>
    <cellStyle name="Normal 334 3 8" xfId="35056" xr:uid="{00000000-0005-0000-0000-0000078C0000}"/>
    <cellStyle name="Normal 334 4" xfId="35057" xr:uid="{00000000-0005-0000-0000-0000088C0000}"/>
    <cellStyle name="Normal 334 4 2" xfId="35058" xr:uid="{00000000-0005-0000-0000-0000098C0000}"/>
    <cellStyle name="Normal 334 4 2 2" xfId="35059" xr:uid="{00000000-0005-0000-0000-00000A8C0000}"/>
    <cellStyle name="Normal 334 4 2 3" xfId="35060" xr:uid="{00000000-0005-0000-0000-00000B8C0000}"/>
    <cellStyle name="Normal 334 4 3" xfId="35061" xr:uid="{00000000-0005-0000-0000-00000C8C0000}"/>
    <cellStyle name="Normal 334 4 3 2" xfId="35062" xr:uid="{00000000-0005-0000-0000-00000D8C0000}"/>
    <cellStyle name="Normal 334 4 3 3" xfId="35063" xr:uid="{00000000-0005-0000-0000-00000E8C0000}"/>
    <cellStyle name="Normal 334 4 4" xfId="35064" xr:uid="{00000000-0005-0000-0000-00000F8C0000}"/>
    <cellStyle name="Normal 334 4 5" xfId="35065" xr:uid="{00000000-0005-0000-0000-0000108C0000}"/>
    <cellStyle name="Normal 334 4 6" xfId="35066" xr:uid="{00000000-0005-0000-0000-0000118C0000}"/>
    <cellStyle name="Normal 334 5" xfId="35067" xr:uid="{00000000-0005-0000-0000-0000128C0000}"/>
    <cellStyle name="Normal 334 5 2" xfId="35068" xr:uid="{00000000-0005-0000-0000-0000138C0000}"/>
    <cellStyle name="Normal 334 5 3" xfId="35069" xr:uid="{00000000-0005-0000-0000-0000148C0000}"/>
    <cellStyle name="Normal 334 6" xfId="35070" xr:uid="{00000000-0005-0000-0000-0000158C0000}"/>
    <cellStyle name="Normal 334 6 2" xfId="35071" xr:uid="{00000000-0005-0000-0000-0000168C0000}"/>
    <cellStyle name="Normal 334 6 3" xfId="35072" xr:uid="{00000000-0005-0000-0000-0000178C0000}"/>
    <cellStyle name="Normal 334 7" xfId="35073" xr:uid="{00000000-0005-0000-0000-0000188C0000}"/>
    <cellStyle name="Normal 334 8" xfId="35074" xr:uid="{00000000-0005-0000-0000-0000198C0000}"/>
    <cellStyle name="Normal 334 9" xfId="35075" xr:uid="{00000000-0005-0000-0000-00001A8C0000}"/>
    <cellStyle name="Normal 335" xfId="3236" xr:uid="{00000000-0005-0000-0000-00001B8C0000}"/>
    <cellStyle name="Normal 335 10" xfId="35076" xr:uid="{00000000-0005-0000-0000-00001C8C0000}"/>
    <cellStyle name="Normal 335 11" xfId="35077" xr:uid="{00000000-0005-0000-0000-00001D8C0000}"/>
    <cellStyle name="Normal 335 2" xfId="35078" xr:uid="{00000000-0005-0000-0000-00001E8C0000}"/>
    <cellStyle name="Normal 335 2 2" xfId="35079" xr:uid="{00000000-0005-0000-0000-00001F8C0000}"/>
    <cellStyle name="Normal 335 2 2 2" xfId="35080" xr:uid="{00000000-0005-0000-0000-0000208C0000}"/>
    <cellStyle name="Normal 335 2 2 2 2" xfId="35081" xr:uid="{00000000-0005-0000-0000-0000218C0000}"/>
    <cellStyle name="Normal 335 2 2 2 2 2" xfId="35082" xr:uid="{00000000-0005-0000-0000-0000228C0000}"/>
    <cellStyle name="Normal 335 2 2 2 2 3" xfId="35083" xr:uid="{00000000-0005-0000-0000-0000238C0000}"/>
    <cellStyle name="Normal 335 2 2 2 3" xfId="35084" xr:uid="{00000000-0005-0000-0000-0000248C0000}"/>
    <cellStyle name="Normal 335 2 2 2 3 2" xfId="35085" xr:uid="{00000000-0005-0000-0000-0000258C0000}"/>
    <cellStyle name="Normal 335 2 2 2 3 3" xfId="35086" xr:uid="{00000000-0005-0000-0000-0000268C0000}"/>
    <cellStyle name="Normal 335 2 2 2 4" xfId="35087" xr:uid="{00000000-0005-0000-0000-0000278C0000}"/>
    <cellStyle name="Normal 335 2 2 2 5" xfId="35088" xr:uid="{00000000-0005-0000-0000-0000288C0000}"/>
    <cellStyle name="Normal 335 2 2 2 6" xfId="35089" xr:uid="{00000000-0005-0000-0000-0000298C0000}"/>
    <cellStyle name="Normal 335 2 2 3" xfId="35090" xr:uid="{00000000-0005-0000-0000-00002A8C0000}"/>
    <cellStyle name="Normal 335 2 2 3 2" xfId="35091" xr:uid="{00000000-0005-0000-0000-00002B8C0000}"/>
    <cellStyle name="Normal 335 2 2 3 3" xfId="35092" xr:uid="{00000000-0005-0000-0000-00002C8C0000}"/>
    <cellStyle name="Normal 335 2 2 4" xfId="35093" xr:uid="{00000000-0005-0000-0000-00002D8C0000}"/>
    <cellStyle name="Normal 335 2 2 4 2" xfId="35094" xr:uid="{00000000-0005-0000-0000-00002E8C0000}"/>
    <cellStyle name="Normal 335 2 2 4 3" xfId="35095" xr:uid="{00000000-0005-0000-0000-00002F8C0000}"/>
    <cellStyle name="Normal 335 2 2 5" xfId="35096" xr:uid="{00000000-0005-0000-0000-0000308C0000}"/>
    <cellStyle name="Normal 335 2 2 6" xfId="35097" xr:uid="{00000000-0005-0000-0000-0000318C0000}"/>
    <cellStyle name="Normal 335 2 2 7" xfId="35098" xr:uid="{00000000-0005-0000-0000-0000328C0000}"/>
    <cellStyle name="Normal 335 2 2 8" xfId="35099" xr:uid="{00000000-0005-0000-0000-0000338C0000}"/>
    <cellStyle name="Normal 335 2 3" xfId="35100" xr:uid="{00000000-0005-0000-0000-0000348C0000}"/>
    <cellStyle name="Normal 335 2 3 2" xfId="35101" xr:uid="{00000000-0005-0000-0000-0000358C0000}"/>
    <cellStyle name="Normal 335 2 3 2 2" xfId="35102" xr:uid="{00000000-0005-0000-0000-0000368C0000}"/>
    <cellStyle name="Normal 335 2 3 2 3" xfId="35103" xr:uid="{00000000-0005-0000-0000-0000378C0000}"/>
    <cellStyle name="Normal 335 2 3 3" xfId="35104" xr:uid="{00000000-0005-0000-0000-0000388C0000}"/>
    <cellStyle name="Normal 335 2 3 3 2" xfId="35105" xr:uid="{00000000-0005-0000-0000-0000398C0000}"/>
    <cellStyle name="Normal 335 2 3 3 3" xfId="35106" xr:uid="{00000000-0005-0000-0000-00003A8C0000}"/>
    <cellStyle name="Normal 335 2 3 4" xfId="35107" xr:uid="{00000000-0005-0000-0000-00003B8C0000}"/>
    <cellStyle name="Normal 335 2 3 5" xfId="35108" xr:uid="{00000000-0005-0000-0000-00003C8C0000}"/>
    <cellStyle name="Normal 335 2 3 6" xfId="35109" xr:uid="{00000000-0005-0000-0000-00003D8C0000}"/>
    <cellStyle name="Normal 335 2 4" xfId="35110" xr:uid="{00000000-0005-0000-0000-00003E8C0000}"/>
    <cellStyle name="Normal 335 2 4 2" xfId="35111" xr:uid="{00000000-0005-0000-0000-00003F8C0000}"/>
    <cellStyle name="Normal 335 2 4 3" xfId="35112" xr:uid="{00000000-0005-0000-0000-0000408C0000}"/>
    <cellStyle name="Normal 335 2 5" xfId="35113" xr:uid="{00000000-0005-0000-0000-0000418C0000}"/>
    <cellStyle name="Normal 335 2 5 2" xfId="35114" xr:uid="{00000000-0005-0000-0000-0000428C0000}"/>
    <cellStyle name="Normal 335 2 5 3" xfId="35115" xr:uid="{00000000-0005-0000-0000-0000438C0000}"/>
    <cellStyle name="Normal 335 2 6" xfId="35116" xr:uid="{00000000-0005-0000-0000-0000448C0000}"/>
    <cellStyle name="Normal 335 2 7" xfId="35117" xr:uid="{00000000-0005-0000-0000-0000458C0000}"/>
    <cellStyle name="Normal 335 2 8" xfId="35118" xr:uid="{00000000-0005-0000-0000-0000468C0000}"/>
    <cellStyle name="Normal 335 2 9" xfId="35119" xr:uid="{00000000-0005-0000-0000-0000478C0000}"/>
    <cellStyle name="Normal 335 3" xfId="35120" xr:uid="{00000000-0005-0000-0000-0000488C0000}"/>
    <cellStyle name="Normal 335 3 2" xfId="35121" xr:uid="{00000000-0005-0000-0000-0000498C0000}"/>
    <cellStyle name="Normal 335 3 2 2" xfId="35122" xr:uid="{00000000-0005-0000-0000-00004A8C0000}"/>
    <cellStyle name="Normal 335 3 2 2 2" xfId="35123" xr:uid="{00000000-0005-0000-0000-00004B8C0000}"/>
    <cellStyle name="Normal 335 3 2 2 3" xfId="35124" xr:uid="{00000000-0005-0000-0000-00004C8C0000}"/>
    <cellStyle name="Normal 335 3 2 3" xfId="35125" xr:uid="{00000000-0005-0000-0000-00004D8C0000}"/>
    <cellStyle name="Normal 335 3 2 3 2" xfId="35126" xr:uid="{00000000-0005-0000-0000-00004E8C0000}"/>
    <cellStyle name="Normal 335 3 2 3 3" xfId="35127" xr:uid="{00000000-0005-0000-0000-00004F8C0000}"/>
    <cellStyle name="Normal 335 3 2 4" xfId="35128" xr:uid="{00000000-0005-0000-0000-0000508C0000}"/>
    <cellStyle name="Normal 335 3 2 5" xfId="35129" xr:uid="{00000000-0005-0000-0000-0000518C0000}"/>
    <cellStyle name="Normal 335 3 2 6" xfId="35130" xr:uid="{00000000-0005-0000-0000-0000528C0000}"/>
    <cellStyle name="Normal 335 3 3" xfId="35131" xr:uid="{00000000-0005-0000-0000-0000538C0000}"/>
    <cellStyle name="Normal 335 3 3 2" xfId="35132" xr:uid="{00000000-0005-0000-0000-0000548C0000}"/>
    <cellStyle name="Normal 335 3 3 3" xfId="35133" xr:uid="{00000000-0005-0000-0000-0000558C0000}"/>
    <cellStyle name="Normal 335 3 4" xfId="35134" xr:uid="{00000000-0005-0000-0000-0000568C0000}"/>
    <cellStyle name="Normal 335 3 4 2" xfId="35135" xr:uid="{00000000-0005-0000-0000-0000578C0000}"/>
    <cellStyle name="Normal 335 3 4 3" xfId="35136" xr:uid="{00000000-0005-0000-0000-0000588C0000}"/>
    <cellStyle name="Normal 335 3 5" xfId="35137" xr:uid="{00000000-0005-0000-0000-0000598C0000}"/>
    <cellStyle name="Normal 335 3 6" xfId="35138" xr:uid="{00000000-0005-0000-0000-00005A8C0000}"/>
    <cellStyle name="Normal 335 3 7" xfId="35139" xr:uid="{00000000-0005-0000-0000-00005B8C0000}"/>
    <cellStyle name="Normal 335 3 8" xfId="35140" xr:uid="{00000000-0005-0000-0000-00005C8C0000}"/>
    <cellStyle name="Normal 335 4" xfId="35141" xr:uid="{00000000-0005-0000-0000-00005D8C0000}"/>
    <cellStyle name="Normal 335 4 2" xfId="35142" xr:uid="{00000000-0005-0000-0000-00005E8C0000}"/>
    <cellStyle name="Normal 335 4 2 2" xfId="35143" xr:uid="{00000000-0005-0000-0000-00005F8C0000}"/>
    <cellStyle name="Normal 335 4 2 3" xfId="35144" xr:uid="{00000000-0005-0000-0000-0000608C0000}"/>
    <cellStyle name="Normal 335 4 3" xfId="35145" xr:uid="{00000000-0005-0000-0000-0000618C0000}"/>
    <cellStyle name="Normal 335 4 3 2" xfId="35146" xr:uid="{00000000-0005-0000-0000-0000628C0000}"/>
    <cellStyle name="Normal 335 4 3 3" xfId="35147" xr:uid="{00000000-0005-0000-0000-0000638C0000}"/>
    <cellStyle name="Normal 335 4 4" xfId="35148" xr:uid="{00000000-0005-0000-0000-0000648C0000}"/>
    <cellStyle name="Normal 335 4 5" xfId="35149" xr:uid="{00000000-0005-0000-0000-0000658C0000}"/>
    <cellStyle name="Normal 335 4 6" xfId="35150" xr:uid="{00000000-0005-0000-0000-0000668C0000}"/>
    <cellStyle name="Normal 335 5" xfId="35151" xr:uid="{00000000-0005-0000-0000-0000678C0000}"/>
    <cellStyle name="Normal 335 5 2" xfId="35152" xr:uid="{00000000-0005-0000-0000-0000688C0000}"/>
    <cellStyle name="Normal 335 5 3" xfId="35153" xr:uid="{00000000-0005-0000-0000-0000698C0000}"/>
    <cellStyle name="Normal 335 6" xfId="35154" xr:uid="{00000000-0005-0000-0000-00006A8C0000}"/>
    <cellStyle name="Normal 335 6 2" xfId="35155" xr:uid="{00000000-0005-0000-0000-00006B8C0000}"/>
    <cellStyle name="Normal 335 6 3" xfId="35156" xr:uid="{00000000-0005-0000-0000-00006C8C0000}"/>
    <cellStyle name="Normal 335 7" xfId="35157" xr:uid="{00000000-0005-0000-0000-00006D8C0000}"/>
    <cellStyle name="Normal 335 8" xfId="35158" xr:uid="{00000000-0005-0000-0000-00006E8C0000}"/>
    <cellStyle name="Normal 335 9" xfId="35159" xr:uid="{00000000-0005-0000-0000-00006F8C0000}"/>
    <cellStyle name="Normal 336" xfId="3237" xr:uid="{00000000-0005-0000-0000-0000708C0000}"/>
    <cellStyle name="Normal 336 10" xfId="35160" xr:uid="{00000000-0005-0000-0000-0000718C0000}"/>
    <cellStyle name="Normal 336 11" xfId="35161" xr:uid="{00000000-0005-0000-0000-0000728C0000}"/>
    <cellStyle name="Normal 336 2" xfId="35162" xr:uid="{00000000-0005-0000-0000-0000738C0000}"/>
    <cellStyle name="Normal 336 2 2" xfId="35163" xr:uid="{00000000-0005-0000-0000-0000748C0000}"/>
    <cellStyle name="Normal 336 2 2 2" xfId="35164" xr:uid="{00000000-0005-0000-0000-0000758C0000}"/>
    <cellStyle name="Normal 336 2 2 2 2" xfId="35165" xr:uid="{00000000-0005-0000-0000-0000768C0000}"/>
    <cellStyle name="Normal 336 2 2 2 2 2" xfId="35166" xr:uid="{00000000-0005-0000-0000-0000778C0000}"/>
    <cellStyle name="Normal 336 2 2 2 2 3" xfId="35167" xr:uid="{00000000-0005-0000-0000-0000788C0000}"/>
    <cellStyle name="Normal 336 2 2 2 3" xfId="35168" xr:uid="{00000000-0005-0000-0000-0000798C0000}"/>
    <cellStyle name="Normal 336 2 2 2 3 2" xfId="35169" xr:uid="{00000000-0005-0000-0000-00007A8C0000}"/>
    <cellStyle name="Normal 336 2 2 2 3 3" xfId="35170" xr:uid="{00000000-0005-0000-0000-00007B8C0000}"/>
    <cellStyle name="Normal 336 2 2 2 4" xfId="35171" xr:uid="{00000000-0005-0000-0000-00007C8C0000}"/>
    <cellStyle name="Normal 336 2 2 2 5" xfId="35172" xr:uid="{00000000-0005-0000-0000-00007D8C0000}"/>
    <cellStyle name="Normal 336 2 2 2 6" xfId="35173" xr:uid="{00000000-0005-0000-0000-00007E8C0000}"/>
    <cellStyle name="Normal 336 2 2 3" xfId="35174" xr:uid="{00000000-0005-0000-0000-00007F8C0000}"/>
    <cellStyle name="Normal 336 2 2 3 2" xfId="35175" xr:uid="{00000000-0005-0000-0000-0000808C0000}"/>
    <cellStyle name="Normal 336 2 2 3 3" xfId="35176" xr:uid="{00000000-0005-0000-0000-0000818C0000}"/>
    <cellStyle name="Normal 336 2 2 4" xfId="35177" xr:uid="{00000000-0005-0000-0000-0000828C0000}"/>
    <cellStyle name="Normal 336 2 2 4 2" xfId="35178" xr:uid="{00000000-0005-0000-0000-0000838C0000}"/>
    <cellStyle name="Normal 336 2 2 4 3" xfId="35179" xr:uid="{00000000-0005-0000-0000-0000848C0000}"/>
    <cellStyle name="Normal 336 2 2 5" xfId="35180" xr:uid="{00000000-0005-0000-0000-0000858C0000}"/>
    <cellStyle name="Normal 336 2 2 6" xfId="35181" xr:uid="{00000000-0005-0000-0000-0000868C0000}"/>
    <cellStyle name="Normal 336 2 2 7" xfId="35182" xr:uid="{00000000-0005-0000-0000-0000878C0000}"/>
    <cellStyle name="Normal 336 2 2 8" xfId="35183" xr:uid="{00000000-0005-0000-0000-0000888C0000}"/>
    <cellStyle name="Normal 336 2 3" xfId="35184" xr:uid="{00000000-0005-0000-0000-0000898C0000}"/>
    <cellStyle name="Normal 336 2 3 2" xfId="35185" xr:uid="{00000000-0005-0000-0000-00008A8C0000}"/>
    <cellStyle name="Normal 336 2 3 2 2" xfId="35186" xr:uid="{00000000-0005-0000-0000-00008B8C0000}"/>
    <cellStyle name="Normal 336 2 3 2 3" xfId="35187" xr:uid="{00000000-0005-0000-0000-00008C8C0000}"/>
    <cellStyle name="Normal 336 2 3 3" xfId="35188" xr:uid="{00000000-0005-0000-0000-00008D8C0000}"/>
    <cellStyle name="Normal 336 2 3 3 2" xfId="35189" xr:uid="{00000000-0005-0000-0000-00008E8C0000}"/>
    <cellStyle name="Normal 336 2 3 3 3" xfId="35190" xr:uid="{00000000-0005-0000-0000-00008F8C0000}"/>
    <cellStyle name="Normal 336 2 3 4" xfId="35191" xr:uid="{00000000-0005-0000-0000-0000908C0000}"/>
    <cellStyle name="Normal 336 2 3 5" xfId="35192" xr:uid="{00000000-0005-0000-0000-0000918C0000}"/>
    <cellStyle name="Normal 336 2 3 6" xfId="35193" xr:uid="{00000000-0005-0000-0000-0000928C0000}"/>
    <cellStyle name="Normal 336 2 4" xfId="35194" xr:uid="{00000000-0005-0000-0000-0000938C0000}"/>
    <cellStyle name="Normal 336 2 4 2" xfId="35195" xr:uid="{00000000-0005-0000-0000-0000948C0000}"/>
    <cellStyle name="Normal 336 2 4 3" xfId="35196" xr:uid="{00000000-0005-0000-0000-0000958C0000}"/>
    <cellStyle name="Normal 336 2 5" xfId="35197" xr:uid="{00000000-0005-0000-0000-0000968C0000}"/>
    <cellStyle name="Normal 336 2 5 2" xfId="35198" xr:uid="{00000000-0005-0000-0000-0000978C0000}"/>
    <cellStyle name="Normal 336 2 5 3" xfId="35199" xr:uid="{00000000-0005-0000-0000-0000988C0000}"/>
    <cellStyle name="Normal 336 2 6" xfId="35200" xr:uid="{00000000-0005-0000-0000-0000998C0000}"/>
    <cellStyle name="Normal 336 2 7" xfId="35201" xr:uid="{00000000-0005-0000-0000-00009A8C0000}"/>
    <cellStyle name="Normal 336 2 8" xfId="35202" xr:uid="{00000000-0005-0000-0000-00009B8C0000}"/>
    <cellStyle name="Normal 336 2 9" xfId="35203" xr:uid="{00000000-0005-0000-0000-00009C8C0000}"/>
    <cellStyle name="Normal 336 3" xfId="35204" xr:uid="{00000000-0005-0000-0000-00009D8C0000}"/>
    <cellStyle name="Normal 336 3 2" xfId="35205" xr:uid="{00000000-0005-0000-0000-00009E8C0000}"/>
    <cellStyle name="Normal 336 3 2 2" xfId="35206" xr:uid="{00000000-0005-0000-0000-00009F8C0000}"/>
    <cellStyle name="Normal 336 3 2 2 2" xfId="35207" xr:uid="{00000000-0005-0000-0000-0000A08C0000}"/>
    <cellStyle name="Normal 336 3 2 2 3" xfId="35208" xr:uid="{00000000-0005-0000-0000-0000A18C0000}"/>
    <cellStyle name="Normal 336 3 2 3" xfId="35209" xr:uid="{00000000-0005-0000-0000-0000A28C0000}"/>
    <cellStyle name="Normal 336 3 2 3 2" xfId="35210" xr:uid="{00000000-0005-0000-0000-0000A38C0000}"/>
    <cellStyle name="Normal 336 3 2 3 3" xfId="35211" xr:uid="{00000000-0005-0000-0000-0000A48C0000}"/>
    <cellStyle name="Normal 336 3 2 4" xfId="35212" xr:uid="{00000000-0005-0000-0000-0000A58C0000}"/>
    <cellStyle name="Normal 336 3 2 5" xfId="35213" xr:uid="{00000000-0005-0000-0000-0000A68C0000}"/>
    <cellStyle name="Normal 336 3 2 6" xfId="35214" xr:uid="{00000000-0005-0000-0000-0000A78C0000}"/>
    <cellStyle name="Normal 336 3 3" xfId="35215" xr:uid="{00000000-0005-0000-0000-0000A88C0000}"/>
    <cellStyle name="Normal 336 3 3 2" xfId="35216" xr:uid="{00000000-0005-0000-0000-0000A98C0000}"/>
    <cellStyle name="Normal 336 3 3 3" xfId="35217" xr:uid="{00000000-0005-0000-0000-0000AA8C0000}"/>
    <cellStyle name="Normal 336 3 4" xfId="35218" xr:uid="{00000000-0005-0000-0000-0000AB8C0000}"/>
    <cellStyle name="Normal 336 3 4 2" xfId="35219" xr:uid="{00000000-0005-0000-0000-0000AC8C0000}"/>
    <cellStyle name="Normal 336 3 4 3" xfId="35220" xr:uid="{00000000-0005-0000-0000-0000AD8C0000}"/>
    <cellStyle name="Normal 336 3 5" xfId="35221" xr:uid="{00000000-0005-0000-0000-0000AE8C0000}"/>
    <cellStyle name="Normal 336 3 6" xfId="35222" xr:uid="{00000000-0005-0000-0000-0000AF8C0000}"/>
    <cellStyle name="Normal 336 3 7" xfId="35223" xr:uid="{00000000-0005-0000-0000-0000B08C0000}"/>
    <cellStyle name="Normal 336 3 8" xfId="35224" xr:uid="{00000000-0005-0000-0000-0000B18C0000}"/>
    <cellStyle name="Normal 336 4" xfId="35225" xr:uid="{00000000-0005-0000-0000-0000B28C0000}"/>
    <cellStyle name="Normal 336 4 2" xfId="35226" xr:uid="{00000000-0005-0000-0000-0000B38C0000}"/>
    <cellStyle name="Normal 336 4 2 2" xfId="35227" xr:uid="{00000000-0005-0000-0000-0000B48C0000}"/>
    <cellStyle name="Normal 336 4 2 3" xfId="35228" xr:uid="{00000000-0005-0000-0000-0000B58C0000}"/>
    <cellStyle name="Normal 336 4 3" xfId="35229" xr:uid="{00000000-0005-0000-0000-0000B68C0000}"/>
    <cellStyle name="Normal 336 4 3 2" xfId="35230" xr:uid="{00000000-0005-0000-0000-0000B78C0000}"/>
    <cellStyle name="Normal 336 4 3 3" xfId="35231" xr:uid="{00000000-0005-0000-0000-0000B88C0000}"/>
    <cellStyle name="Normal 336 4 4" xfId="35232" xr:uid="{00000000-0005-0000-0000-0000B98C0000}"/>
    <cellStyle name="Normal 336 4 5" xfId="35233" xr:uid="{00000000-0005-0000-0000-0000BA8C0000}"/>
    <cellStyle name="Normal 336 4 6" xfId="35234" xr:uid="{00000000-0005-0000-0000-0000BB8C0000}"/>
    <cellStyle name="Normal 336 5" xfId="35235" xr:uid="{00000000-0005-0000-0000-0000BC8C0000}"/>
    <cellStyle name="Normal 336 5 2" xfId="35236" xr:uid="{00000000-0005-0000-0000-0000BD8C0000}"/>
    <cellStyle name="Normal 336 5 3" xfId="35237" xr:uid="{00000000-0005-0000-0000-0000BE8C0000}"/>
    <cellStyle name="Normal 336 6" xfId="35238" xr:uid="{00000000-0005-0000-0000-0000BF8C0000}"/>
    <cellStyle name="Normal 336 6 2" xfId="35239" xr:uid="{00000000-0005-0000-0000-0000C08C0000}"/>
    <cellStyle name="Normal 336 6 3" xfId="35240" xr:uid="{00000000-0005-0000-0000-0000C18C0000}"/>
    <cellStyle name="Normal 336 7" xfId="35241" xr:uid="{00000000-0005-0000-0000-0000C28C0000}"/>
    <cellStyle name="Normal 336 8" xfId="35242" xr:uid="{00000000-0005-0000-0000-0000C38C0000}"/>
    <cellStyle name="Normal 336 9" xfId="35243" xr:uid="{00000000-0005-0000-0000-0000C48C0000}"/>
    <cellStyle name="Normal 337" xfId="3238" xr:uid="{00000000-0005-0000-0000-0000C58C0000}"/>
    <cellStyle name="Normal 337 10" xfId="35244" xr:uid="{00000000-0005-0000-0000-0000C68C0000}"/>
    <cellStyle name="Normal 337 11" xfId="35245" xr:uid="{00000000-0005-0000-0000-0000C78C0000}"/>
    <cellStyle name="Normal 337 2" xfId="3239" xr:uid="{00000000-0005-0000-0000-0000C88C0000}"/>
    <cellStyle name="Normal 337 2 10" xfId="35246" xr:uid="{00000000-0005-0000-0000-0000C98C0000}"/>
    <cellStyle name="Normal 337 2 2" xfId="35247" xr:uid="{00000000-0005-0000-0000-0000CA8C0000}"/>
    <cellStyle name="Normal 337 2 2 2" xfId="35248" xr:uid="{00000000-0005-0000-0000-0000CB8C0000}"/>
    <cellStyle name="Normal 337 2 2 2 2" xfId="35249" xr:uid="{00000000-0005-0000-0000-0000CC8C0000}"/>
    <cellStyle name="Normal 337 2 2 2 2 2" xfId="35250" xr:uid="{00000000-0005-0000-0000-0000CD8C0000}"/>
    <cellStyle name="Normal 337 2 2 2 2 3" xfId="35251" xr:uid="{00000000-0005-0000-0000-0000CE8C0000}"/>
    <cellStyle name="Normal 337 2 2 2 3" xfId="35252" xr:uid="{00000000-0005-0000-0000-0000CF8C0000}"/>
    <cellStyle name="Normal 337 2 2 2 3 2" xfId="35253" xr:uid="{00000000-0005-0000-0000-0000D08C0000}"/>
    <cellStyle name="Normal 337 2 2 2 3 3" xfId="35254" xr:uid="{00000000-0005-0000-0000-0000D18C0000}"/>
    <cellStyle name="Normal 337 2 2 2 4" xfId="35255" xr:uid="{00000000-0005-0000-0000-0000D28C0000}"/>
    <cellStyle name="Normal 337 2 2 2 5" xfId="35256" xr:uid="{00000000-0005-0000-0000-0000D38C0000}"/>
    <cellStyle name="Normal 337 2 2 2 6" xfId="35257" xr:uid="{00000000-0005-0000-0000-0000D48C0000}"/>
    <cellStyle name="Normal 337 2 2 3" xfId="35258" xr:uid="{00000000-0005-0000-0000-0000D58C0000}"/>
    <cellStyle name="Normal 337 2 2 3 2" xfId="35259" xr:uid="{00000000-0005-0000-0000-0000D68C0000}"/>
    <cellStyle name="Normal 337 2 2 3 3" xfId="35260" xr:uid="{00000000-0005-0000-0000-0000D78C0000}"/>
    <cellStyle name="Normal 337 2 2 4" xfId="35261" xr:uid="{00000000-0005-0000-0000-0000D88C0000}"/>
    <cellStyle name="Normal 337 2 2 4 2" xfId="35262" xr:uid="{00000000-0005-0000-0000-0000D98C0000}"/>
    <cellStyle name="Normal 337 2 2 4 3" xfId="35263" xr:uid="{00000000-0005-0000-0000-0000DA8C0000}"/>
    <cellStyle name="Normal 337 2 2 5" xfId="35264" xr:uid="{00000000-0005-0000-0000-0000DB8C0000}"/>
    <cellStyle name="Normal 337 2 2 6" xfId="35265" xr:uid="{00000000-0005-0000-0000-0000DC8C0000}"/>
    <cellStyle name="Normal 337 2 2 7" xfId="35266" xr:uid="{00000000-0005-0000-0000-0000DD8C0000}"/>
    <cellStyle name="Normal 337 2 2 8" xfId="35267" xr:uid="{00000000-0005-0000-0000-0000DE8C0000}"/>
    <cellStyle name="Normal 337 2 3" xfId="35268" xr:uid="{00000000-0005-0000-0000-0000DF8C0000}"/>
    <cellStyle name="Normal 337 2 3 2" xfId="35269" xr:uid="{00000000-0005-0000-0000-0000E08C0000}"/>
    <cellStyle name="Normal 337 2 3 2 2" xfId="35270" xr:uid="{00000000-0005-0000-0000-0000E18C0000}"/>
    <cellStyle name="Normal 337 2 3 2 3" xfId="35271" xr:uid="{00000000-0005-0000-0000-0000E28C0000}"/>
    <cellStyle name="Normal 337 2 3 3" xfId="35272" xr:uid="{00000000-0005-0000-0000-0000E38C0000}"/>
    <cellStyle name="Normal 337 2 3 3 2" xfId="35273" xr:uid="{00000000-0005-0000-0000-0000E48C0000}"/>
    <cellStyle name="Normal 337 2 3 3 3" xfId="35274" xr:uid="{00000000-0005-0000-0000-0000E58C0000}"/>
    <cellStyle name="Normal 337 2 3 4" xfId="35275" xr:uid="{00000000-0005-0000-0000-0000E68C0000}"/>
    <cellStyle name="Normal 337 2 3 5" xfId="35276" xr:uid="{00000000-0005-0000-0000-0000E78C0000}"/>
    <cellStyle name="Normal 337 2 3 6" xfId="35277" xr:uid="{00000000-0005-0000-0000-0000E88C0000}"/>
    <cellStyle name="Normal 337 2 4" xfId="35278" xr:uid="{00000000-0005-0000-0000-0000E98C0000}"/>
    <cellStyle name="Normal 337 2 4 2" xfId="35279" xr:uid="{00000000-0005-0000-0000-0000EA8C0000}"/>
    <cellStyle name="Normal 337 2 4 3" xfId="35280" xr:uid="{00000000-0005-0000-0000-0000EB8C0000}"/>
    <cellStyle name="Normal 337 2 5" xfId="35281" xr:uid="{00000000-0005-0000-0000-0000EC8C0000}"/>
    <cellStyle name="Normal 337 2 5 2" xfId="35282" xr:uid="{00000000-0005-0000-0000-0000ED8C0000}"/>
    <cellStyle name="Normal 337 2 5 3" xfId="35283" xr:uid="{00000000-0005-0000-0000-0000EE8C0000}"/>
    <cellStyle name="Normal 337 2 6" xfId="35284" xr:uid="{00000000-0005-0000-0000-0000EF8C0000}"/>
    <cellStyle name="Normal 337 2 7" xfId="35285" xr:uid="{00000000-0005-0000-0000-0000F08C0000}"/>
    <cellStyle name="Normal 337 2 8" xfId="35286" xr:uid="{00000000-0005-0000-0000-0000F18C0000}"/>
    <cellStyle name="Normal 337 2 9" xfId="35287" xr:uid="{00000000-0005-0000-0000-0000F28C0000}"/>
    <cellStyle name="Normal 337 3" xfId="35288" xr:uid="{00000000-0005-0000-0000-0000F38C0000}"/>
    <cellStyle name="Normal 337 3 2" xfId="35289" xr:uid="{00000000-0005-0000-0000-0000F48C0000}"/>
    <cellStyle name="Normal 337 3 2 2" xfId="35290" xr:uid="{00000000-0005-0000-0000-0000F58C0000}"/>
    <cellStyle name="Normal 337 3 2 2 2" xfId="35291" xr:uid="{00000000-0005-0000-0000-0000F68C0000}"/>
    <cellStyle name="Normal 337 3 2 2 3" xfId="35292" xr:uid="{00000000-0005-0000-0000-0000F78C0000}"/>
    <cellStyle name="Normal 337 3 2 3" xfId="35293" xr:uid="{00000000-0005-0000-0000-0000F88C0000}"/>
    <cellStyle name="Normal 337 3 2 3 2" xfId="35294" xr:uid="{00000000-0005-0000-0000-0000F98C0000}"/>
    <cellStyle name="Normal 337 3 2 3 3" xfId="35295" xr:uid="{00000000-0005-0000-0000-0000FA8C0000}"/>
    <cellStyle name="Normal 337 3 2 4" xfId="35296" xr:uid="{00000000-0005-0000-0000-0000FB8C0000}"/>
    <cellStyle name="Normal 337 3 2 5" xfId="35297" xr:uid="{00000000-0005-0000-0000-0000FC8C0000}"/>
    <cellStyle name="Normal 337 3 2 6" xfId="35298" xr:uid="{00000000-0005-0000-0000-0000FD8C0000}"/>
    <cellStyle name="Normal 337 3 3" xfId="35299" xr:uid="{00000000-0005-0000-0000-0000FE8C0000}"/>
    <cellStyle name="Normal 337 3 3 2" xfId="35300" xr:uid="{00000000-0005-0000-0000-0000FF8C0000}"/>
    <cellStyle name="Normal 337 3 3 3" xfId="35301" xr:uid="{00000000-0005-0000-0000-0000008D0000}"/>
    <cellStyle name="Normal 337 3 4" xfId="35302" xr:uid="{00000000-0005-0000-0000-0000018D0000}"/>
    <cellStyle name="Normal 337 3 4 2" xfId="35303" xr:uid="{00000000-0005-0000-0000-0000028D0000}"/>
    <cellStyle name="Normal 337 3 4 3" xfId="35304" xr:uid="{00000000-0005-0000-0000-0000038D0000}"/>
    <cellStyle name="Normal 337 3 5" xfId="35305" xr:uid="{00000000-0005-0000-0000-0000048D0000}"/>
    <cellStyle name="Normal 337 3 6" xfId="35306" xr:uid="{00000000-0005-0000-0000-0000058D0000}"/>
    <cellStyle name="Normal 337 3 7" xfId="35307" xr:uid="{00000000-0005-0000-0000-0000068D0000}"/>
    <cellStyle name="Normal 337 3 8" xfId="35308" xr:uid="{00000000-0005-0000-0000-0000078D0000}"/>
    <cellStyle name="Normal 337 4" xfId="35309" xr:uid="{00000000-0005-0000-0000-0000088D0000}"/>
    <cellStyle name="Normal 337 4 2" xfId="35310" xr:uid="{00000000-0005-0000-0000-0000098D0000}"/>
    <cellStyle name="Normal 337 4 2 2" xfId="35311" xr:uid="{00000000-0005-0000-0000-00000A8D0000}"/>
    <cellStyle name="Normal 337 4 2 3" xfId="35312" xr:uid="{00000000-0005-0000-0000-00000B8D0000}"/>
    <cellStyle name="Normal 337 4 3" xfId="35313" xr:uid="{00000000-0005-0000-0000-00000C8D0000}"/>
    <cellStyle name="Normal 337 4 3 2" xfId="35314" xr:uid="{00000000-0005-0000-0000-00000D8D0000}"/>
    <cellStyle name="Normal 337 4 3 3" xfId="35315" xr:uid="{00000000-0005-0000-0000-00000E8D0000}"/>
    <cellStyle name="Normal 337 4 4" xfId="35316" xr:uid="{00000000-0005-0000-0000-00000F8D0000}"/>
    <cellStyle name="Normal 337 4 5" xfId="35317" xr:uid="{00000000-0005-0000-0000-0000108D0000}"/>
    <cellStyle name="Normal 337 4 6" xfId="35318" xr:uid="{00000000-0005-0000-0000-0000118D0000}"/>
    <cellStyle name="Normal 337 5" xfId="35319" xr:uid="{00000000-0005-0000-0000-0000128D0000}"/>
    <cellStyle name="Normal 337 5 2" xfId="35320" xr:uid="{00000000-0005-0000-0000-0000138D0000}"/>
    <cellStyle name="Normal 337 5 3" xfId="35321" xr:uid="{00000000-0005-0000-0000-0000148D0000}"/>
    <cellStyle name="Normal 337 6" xfId="35322" xr:uid="{00000000-0005-0000-0000-0000158D0000}"/>
    <cellStyle name="Normal 337 6 2" xfId="35323" xr:uid="{00000000-0005-0000-0000-0000168D0000}"/>
    <cellStyle name="Normal 337 6 3" xfId="35324" xr:uid="{00000000-0005-0000-0000-0000178D0000}"/>
    <cellStyle name="Normal 337 7" xfId="35325" xr:uid="{00000000-0005-0000-0000-0000188D0000}"/>
    <cellStyle name="Normal 337 8" xfId="35326" xr:uid="{00000000-0005-0000-0000-0000198D0000}"/>
    <cellStyle name="Normal 337 9" xfId="35327" xr:uid="{00000000-0005-0000-0000-00001A8D0000}"/>
    <cellStyle name="Normal 338" xfId="3240" xr:uid="{00000000-0005-0000-0000-00001B8D0000}"/>
    <cellStyle name="Normal 338 10" xfId="35328" xr:uid="{00000000-0005-0000-0000-00001C8D0000}"/>
    <cellStyle name="Normal 338 11" xfId="35329" xr:uid="{00000000-0005-0000-0000-00001D8D0000}"/>
    <cellStyle name="Normal 338 2" xfId="35330" xr:uid="{00000000-0005-0000-0000-00001E8D0000}"/>
    <cellStyle name="Normal 338 2 2" xfId="35331" xr:uid="{00000000-0005-0000-0000-00001F8D0000}"/>
    <cellStyle name="Normal 338 2 2 2" xfId="35332" xr:uid="{00000000-0005-0000-0000-0000208D0000}"/>
    <cellStyle name="Normal 338 2 2 2 2" xfId="35333" xr:uid="{00000000-0005-0000-0000-0000218D0000}"/>
    <cellStyle name="Normal 338 2 2 2 2 2" xfId="35334" xr:uid="{00000000-0005-0000-0000-0000228D0000}"/>
    <cellStyle name="Normal 338 2 2 2 2 3" xfId="35335" xr:uid="{00000000-0005-0000-0000-0000238D0000}"/>
    <cellStyle name="Normal 338 2 2 2 3" xfId="35336" xr:uid="{00000000-0005-0000-0000-0000248D0000}"/>
    <cellStyle name="Normal 338 2 2 2 3 2" xfId="35337" xr:uid="{00000000-0005-0000-0000-0000258D0000}"/>
    <cellStyle name="Normal 338 2 2 2 3 3" xfId="35338" xr:uid="{00000000-0005-0000-0000-0000268D0000}"/>
    <cellStyle name="Normal 338 2 2 2 4" xfId="35339" xr:uid="{00000000-0005-0000-0000-0000278D0000}"/>
    <cellStyle name="Normal 338 2 2 2 5" xfId="35340" xr:uid="{00000000-0005-0000-0000-0000288D0000}"/>
    <cellStyle name="Normal 338 2 2 2 6" xfId="35341" xr:uid="{00000000-0005-0000-0000-0000298D0000}"/>
    <cellStyle name="Normal 338 2 2 3" xfId="35342" xr:uid="{00000000-0005-0000-0000-00002A8D0000}"/>
    <cellStyle name="Normal 338 2 2 3 2" xfId="35343" xr:uid="{00000000-0005-0000-0000-00002B8D0000}"/>
    <cellStyle name="Normal 338 2 2 3 3" xfId="35344" xr:uid="{00000000-0005-0000-0000-00002C8D0000}"/>
    <cellStyle name="Normal 338 2 2 4" xfId="35345" xr:uid="{00000000-0005-0000-0000-00002D8D0000}"/>
    <cellStyle name="Normal 338 2 2 4 2" xfId="35346" xr:uid="{00000000-0005-0000-0000-00002E8D0000}"/>
    <cellStyle name="Normal 338 2 2 4 3" xfId="35347" xr:uid="{00000000-0005-0000-0000-00002F8D0000}"/>
    <cellStyle name="Normal 338 2 2 5" xfId="35348" xr:uid="{00000000-0005-0000-0000-0000308D0000}"/>
    <cellStyle name="Normal 338 2 2 6" xfId="35349" xr:uid="{00000000-0005-0000-0000-0000318D0000}"/>
    <cellStyle name="Normal 338 2 2 7" xfId="35350" xr:uid="{00000000-0005-0000-0000-0000328D0000}"/>
    <cellStyle name="Normal 338 2 2 8" xfId="35351" xr:uid="{00000000-0005-0000-0000-0000338D0000}"/>
    <cellStyle name="Normal 338 2 3" xfId="35352" xr:uid="{00000000-0005-0000-0000-0000348D0000}"/>
    <cellStyle name="Normal 338 2 3 2" xfId="35353" xr:uid="{00000000-0005-0000-0000-0000358D0000}"/>
    <cellStyle name="Normal 338 2 3 2 2" xfId="35354" xr:uid="{00000000-0005-0000-0000-0000368D0000}"/>
    <cellStyle name="Normal 338 2 3 2 3" xfId="35355" xr:uid="{00000000-0005-0000-0000-0000378D0000}"/>
    <cellStyle name="Normal 338 2 3 3" xfId="35356" xr:uid="{00000000-0005-0000-0000-0000388D0000}"/>
    <cellStyle name="Normal 338 2 3 3 2" xfId="35357" xr:uid="{00000000-0005-0000-0000-0000398D0000}"/>
    <cellStyle name="Normal 338 2 3 3 3" xfId="35358" xr:uid="{00000000-0005-0000-0000-00003A8D0000}"/>
    <cellStyle name="Normal 338 2 3 4" xfId="35359" xr:uid="{00000000-0005-0000-0000-00003B8D0000}"/>
    <cellStyle name="Normal 338 2 3 5" xfId="35360" xr:uid="{00000000-0005-0000-0000-00003C8D0000}"/>
    <cellStyle name="Normal 338 2 3 6" xfId="35361" xr:uid="{00000000-0005-0000-0000-00003D8D0000}"/>
    <cellStyle name="Normal 338 2 4" xfId="35362" xr:uid="{00000000-0005-0000-0000-00003E8D0000}"/>
    <cellStyle name="Normal 338 2 4 2" xfId="35363" xr:uid="{00000000-0005-0000-0000-00003F8D0000}"/>
    <cellStyle name="Normal 338 2 4 3" xfId="35364" xr:uid="{00000000-0005-0000-0000-0000408D0000}"/>
    <cellStyle name="Normal 338 2 5" xfId="35365" xr:uid="{00000000-0005-0000-0000-0000418D0000}"/>
    <cellStyle name="Normal 338 2 5 2" xfId="35366" xr:uid="{00000000-0005-0000-0000-0000428D0000}"/>
    <cellStyle name="Normal 338 2 5 3" xfId="35367" xr:uid="{00000000-0005-0000-0000-0000438D0000}"/>
    <cellStyle name="Normal 338 2 6" xfId="35368" xr:uid="{00000000-0005-0000-0000-0000448D0000}"/>
    <cellStyle name="Normal 338 2 7" xfId="35369" xr:uid="{00000000-0005-0000-0000-0000458D0000}"/>
    <cellStyle name="Normal 338 2 8" xfId="35370" xr:uid="{00000000-0005-0000-0000-0000468D0000}"/>
    <cellStyle name="Normal 338 2 9" xfId="35371" xr:uid="{00000000-0005-0000-0000-0000478D0000}"/>
    <cellStyle name="Normal 338 3" xfId="35372" xr:uid="{00000000-0005-0000-0000-0000488D0000}"/>
    <cellStyle name="Normal 338 3 2" xfId="35373" xr:uid="{00000000-0005-0000-0000-0000498D0000}"/>
    <cellStyle name="Normal 338 3 2 2" xfId="35374" xr:uid="{00000000-0005-0000-0000-00004A8D0000}"/>
    <cellStyle name="Normal 338 3 2 2 2" xfId="35375" xr:uid="{00000000-0005-0000-0000-00004B8D0000}"/>
    <cellStyle name="Normal 338 3 2 2 3" xfId="35376" xr:uid="{00000000-0005-0000-0000-00004C8D0000}"/>
    <cellStyle name="Normal 338 3 2 3" xfId="35377" xr:uid="{00000000-0005-0000-0000-00004D8D0000}"/>
    <cellStyle name="Normal 338 3 2 3 2" xfId="35378" xr:uid="{00000000-0005-0000-0000-00004E8D0000}"/>
    <cellStyle name="Normal 338 3 2 3 3" xfId="35379" xr:uid="{00000000-0005-0000-0000-00004F8D0000}"/>
    <cellStyle name="Normal 338 3 2 4" xfId="35380" xr:uid="{00000000-0005-0000-0000-0000508D0000}"/>
    <cellStyle name="Normal 338 3 2 5" xfId="35381" xr:uid="{00000000-0005-0000-0000-0000518D0000}"/>
    <cellStyle name="Normal 338 3 2 6" xfId="35382" xr:uid="{00000000-0005-0000-0000-0000528D0000}"/>
    <cellStyle name="Normal 338 3 3" xfId="35383" xr:uid="{00000000-0005-0000-0000-0000538D0000}"/>
    <cellStyle name="Normal 338 3 3 2" xfId="35384" xr:uid="{00000000-0005-0000-0000-0000548D0000}"/>
    <cellStyle name="Normal 338 3 3 3" xfId="35385" xr:uid="{00000000-0005-0000-0000-0000558D0000}"/>
    <cellStyle name="Normal 338 3 4" xfId="35386" xr:uid="{00000000-0005-0000-0000-0000568D0000}"/>
    <cellStyle name="Normal 338 3 4 2" xfId="35387" xr:uid="{00000000-0005-0000-0000-0000578D0000}"/>
    <cellStyle name="Normal 338 3 4 3" xfId="35388" xr:uid="{00000000-0005-0000-0000-0000588D0000}"/>
    <cellStyle name="Normal 338 3 5" xfId="35389" xr:uid="{00000000-0005-0000-0000-0000598D0000}"/>
    <cellStyle name="Normal 338 3 6" xfId="35390" xr:uid="{00000000-0005-0000-0000-00005A8D0000}"/>
    <cellStyle name="Normal 338 3 7" xfId="35391" xr:uid="{00000000-0005-0000-0000-00005B8D0000}"/>
    <cellStyle name="Normal 338 3 8" xfId="35392" xr:uid="{00000000-0005-0000-0000-00005C8D0000}"/>
    <cellStyle name="Normal 338 4" xfId="35393" xr:uid="{00000000-0005-0000-0000-00005D8D0000}"/>
    <cellStyle name="Normal 338 4 2" xfId="35394" xr:uid="{00000000-0005-0000-0000-00005E8D0000}"/>
    <cellStyle name="Normal 338 4 2 2" xfId="35395" xr:uid="{00000000-0005-0000-0000-00005F8D0000}"/>
    <cellStyle name="Normal 338 4 2 3" xfId="35396" xr:uid="{00000000-0005-0000-0000-0000608D0000}"/>
    <cellStyle name="Normal 338 4 3" xfId="35397" xr:uid="{00000000-0005-0000-0000-0000618D0000}"/>
    <cellStyle name="Normal 338 4 3 2" xfId="35398" xr:uid="{00000000-0005-0000-0000-0000628D0000}"/>
    <cellStyle name="Normal 338 4 3 3" xfId="35399" xr:uid="{00000000-0005-0000-0000-0000638D0000}"/>
    <cellStyle name="Normal 338 4 4" xfId="35400" xr:uid="{00000000-0005-0000-0000-0000648D0000}"/>
    <cellStyle name="Normal 338 4 5" xfId="35401" xr:uid="{00000000-0005-0000-0000-0000658D0000}"/>
    <cellStyle name="Normal 338 4 6" xfId="35402" xr:uid="{00000000-0005-0000-0000-0000668D0000}"/>
    <cellStyle name="Normal 338 5" xfId="35403" xr:uid="{00000000-0005-0000-0000-0000678D0000}"/>
    <cellStyle name="Normal 338 5 2" xfId="35404" xr:uid="{00000000-0005-0000-0000-0000688D0000}"/>
    <cellStyle name="Normal 338 5 3" xfId="35405" xr:uid="{00000000-0005-0000-0000-0000698D0000}"/>
    <cellStyle name="Normal 338 6" xfId="35406" xr:uid="{00000000-0005-0000-0000-00006A8D0000}"/>
    <cellStyle name="Normal 338 6 2" xfId="35407" xr:uid="{00000000-0005-0000-0000-00006B8D0000}"/>
    <cellStyle name="Normal 338 6 3" xfId="35408" xr:uid="{00000000-0005-0000-0000-00006C8D0000}"/>
    <cellStyle name="Normal 338 7" xfId="35409" xr:uid="{00000000-0005-0000-0000-00006D8D0000}"/>
    <cellStyle name="Normal 338 8" xfId="35410" xr:uid="{00000000-0005-0000-0000-00006E8D0000}"/>
    <cellStyle name="Normal 338 9" xfId="35411" xr:uid="{00000000-0005-0000-0000-00006F8D0000}"/>
    <cellStyle name="Normal 339" xfId="3241" xr:uid="{00000000-0005-0000-0000-0000708D0000}"/>
    <cellStyle name="Normal 339 10" xfId="35412" xr:uid="{00000000-0005-0000-0000-0000718D0000}"/>
    <cellStyle name="Normal 339 11" xfId="35413" xr:uid="{00000000-0005-0000-0000-0000728D0000}"/>
    <cellStyle name="Normal 339 2" xfId="3242" xr:uid="{00000000-0005-0000-0000-0000738D0000}"/>
    <cellStyle name="Normal 339 2 10" xfId="35414" xr:uid="{00000000-0005-0000-0000-0000748D0000}"/>
    <cellStyle name="Normal 339 2 2" xfId="35415" xr:uid="{00000000-0005-0000-0000-0000758D0000}"/>
    <cellStyle name="Normal 339 2 2 2" xfId="35416" xr:uid="{00000000-0005-0000-0000-0000768D0000}"/>
    <cellStyle name="Normal 339 2 2 2 2" xfId="35417" xr:uid="{00000000-0005-0000-0000-0000778D0000}"/>
    <cellStyle name="Normal 339 2 2 2 2 2" xfId="35418" xr:uid="{00000000-0005-0000-0000-0000788D0000}"/>
    <cellStyle name="Normal 339 2 2 2 2 3" xfId="35419" xr:uid="{00000000-0005-0000-0000-0000798D0000}"/>
    <cellStyle name="Normal 339 2 2 2 3" xfId="35420" xr:uid="{00000000-0005-0000-0000-00007A8D0000}"/>
    <cellStyle name="Normal 339 2 2 2 3 2" xfId="35421" xr:uid="{00000000-0005-0000-0000-00007B8D0000}"/>
    <cellStyle name="Normal 339 2 2 2 3 3" xfId="35422" xr:uid="{00000000-0005-0000-0000-00007C8D0000}"/>
    <cellStyle name="Normal 339 2 2 2 4" xfId="35423" xr:uid="{00000000-0005-0000-0000-00007D8D0000}"/>
    <cellStyle name="Normal 339 2 2 2 5" xfId="35424" xr:uid="{00000000-0005-0000-0000-00007E8D0000}"/>
    <cellStyle name="Normal 339 2 2 2 6" xfId="35425" xr:uid="{00000000-0005-0000-0000-00007F8D0000}"/>
    <cellStyle name="Normal 339 2 2 3" xfId="35426" xr:uid="{00000000-0005-0000-0000-0000808D0000}"/>
    <cellStyle name="Normal 339 2 2 3 2" xfId="35427" xr:uid="{00000000-0005-0000-0000-0000818D0000}"/>
    <cellStyle name="Normal 339 2 2 3 3" xfId="35428" xr:uid="{00000000-0005-0000-0000-0000828D0000}"/>
    <cellStyle name="Normal 339 2 2 4" xfId="35429" xr:uid="{00000000-0005-0000-0000-0000838D0000}"/>
    <cellStyle name="Normal 339 2 2 4 2" xfId="35430" xr:uid="{00000000-0005-0000-0000-0000848D0000}"/>
    <cellStyle name="Normal 339 2 2 4 3" xfId="35431" xr:uid="{00000000-0005-0000-0000-0000858D0000}"/>
    <cellStyle name="Normal 339 2 2 5" xfId="35432" xr:uid="{00000000-0005-0000-0000-0000868D0000}"/>
    <cellStyle name="Normal 339 2 2 6" xfId="35433" xr:uid="{00000000-0005-0000-0000-0000878D0000}"/>
    <cellStyle name="Normal 339 2 2 7" xfId="35434" xr:uid="{00000000-0005-0000-0000-0000888D0000}"/>
    <cellStyle name="Normal 339 2 2 8" xfId="35435" xr:uid="{00000000-0005-0000-0000-0000898D0000}"/>
    <cellStyle name="Normal 339 2 3" xfId="35436" xr:uid="{00000000-0005-0000-0000-00008A8D0000}"/>
    <cellStyle name="Normal 339 2 3 2" xfId="35437" xr:uid="{00000000-0005-0000-0000-00008B8D0000}"/>
    <cellStyle name="Normal 339 2 3 2 2" xfId="35438" xr:uid="{00000000-0005-0000-0000-00008C8D0000}"/>
    <cellStyle name="Normal 339 2 3 2 3" xfId="35439" xr:uid="{00000000-0005-0000-0000-00008D8D0000}"/>
    <cellStyle name="Normal 339 2 3 3" xfId="35440" xr:uid="{00000000-0005-0000-0000-00008E8D0000}"/>
    <cellStyle name="Normal 339 2 3 3 2" xfId="35441" xr:uid="{00000000-0005-0000-0000-00008F8D0000}"/>
    <cellStyle name="Normal 339 2 3 3 3" xfId="35442" xr:uid="{00000000-0005-0000-0000-0000908D0000}"/>
    <cellStyle name="Normal 339 2 3 4" xfId="35443" xr:uid="{00000000-0005-0000-0000-0000918D0000}"/>
    <cellStyle name="Normal 339 2 3 5" xfId="35444" xr:uid="{00000000-0005-0000-0000-0000928D0000}"/>
    <cellStyle name="Normal 339 2 3 6" xfId="35445" xr:uid="{00000000-0005-0000-0000-0000938D0000}"/>
    <cellStyle name="Normal 339 2 4" xfId="35446" xr:uid="{00000000-0005-0000-0000-0000948D0000}"/>
    <cellStyle name="Normal 339 2 4 2" xfId="35447" xr:uid="{00000000-0005-0000-0000-0000958D0000}"/>
    <cellStyle name="Normal 339 2 4 3" xfId="35448" xr:uid="{00000000-0005-0000-0000-0000968D0000}"/>
    <cellStyle name="Normal 339 2 5" xfId="35449" xr:uid="{00000000-0005-0000-0000-0000978D0000}"/>
    <cellStyle name="Normal 339 2 5 2" xfId="35450" xr:uid="{00000000-0005-0000-0000-0000988D0000}"/>
    <cellStyle name="Normal 339 2 5 3" xfId="35451" xr:uid="{00000000-0005-0000-0000-0000998D0000}"/>
    <cellStyle name="Normal 339 2 6" xfId="35452" xr:uid="{00000000-0005-0000-0000-00009A8D0000}"/>
    <cellStyle name="Normal 339 2 7" xfId="35453" xr:uid="{00000000-0005-0000-0000-00009B8D0000}"/>
    <cellStyle name="Normal 339 2 8" xfId="35454" xr:uid="{00000000-0005-0000-0000-00009C8D0000}"/>
    <cellStyle name="Normal 339 2 9" xfId="35455" xr:uid="{00000000-0005-0000-0000-00009D8D0000}"/>
    <cellStyle name="Normal 339 3" xfId="35456" xr:uid="{00000000-0005-0000-0000-00009E8D0000}"/>
    <cellStyle name="Normal 339 3 2" xfId="35457" xr:uid="{00000000-0005-0000-0000-00009F8D0000}"/>
    <cellStyle name="Normal 339 3 2 2" xfId="35458" xr:uid="{00000000-0005-0000-0000-0000A08D0000}"/>
    <cellStyle name="Normal 339 3 2 2 2" xfId="35459" xr:uid="{00000000-0005-0000-0000-0000A18D0000}"/>
    <cellStyle name="Normal 339 3 2 2 3" xfId="35460" xr:uid="{00000000-0005-0000-0000-0000A28D0000}"/>
    <cellStyle name="Normal 339 3 2 3" xfId="35461" xr:uid="{00000000-0005-0000-0000-0000A38D0000}"/>
    <cellStyle name="Normal 339 3 2 3 2" xfId="35462" xr:uid="{00000000-0005-0000-0000-0000A48D0000}"/>
    <cellStyle name="Normal 339 3 2 3 3" xfId="35463" xr:uid="{00000000-0005-0000-0000-0000A58D0000}"/>
    <cellStyle name="Normal 339 3 2 4" xfId="35464" xr:uid="{00000000-0005-0000-0000-0000A68D0000}"/>
    <cellStyle name="Normal 339 3 2 5" xfId="35465" xr:uid="{00000000-0005-0000-0000-0000A78D0000}"/>
    <cellStyle name="Normal 339 3 2 6" xfId="35466" xr:uid="{00000000-0005-0000-0000-0000A88D0000}"/>
    <cellStyle name="Normal 339 3 3" xfId="35467" xr:uid="{00000000-0005-0000-0000-0000A98D0000}"/>
    <cellStyle name="Normal 339 3 3 2" xfId="35468" xr:uid="{00000000-0005-0000-0000-0000AA8D0000}"/>
    <cellStyle name="Normal 339 3 3 3" xfId="35469" xr:uid="{00000000-0005-0000-0000-0000AB8D0000}"/>
    <cellStyle name="Normal 339 3 4" xfId="35470" xr:uid="{00000000-0005-0000-0000-0000AC8D0000}"/>
    <cellStyle name="Normal 339 3 4 2" xfId="35471" xr:uid="{00000000-0005-0000-0000-0000AD8D0000}"/>
    <cellStyle name="Normal 339 3 4 3" xfId="35472" xr:uid="{00000000-0005-0000-0000-0000AE8D0000}"/>
    <cellStyle name="Normal 339 3 5" xfId="35473" xr:uid="{00000000-0005-0000-0000-0000AF8D0000}"/>
    <cellStyle name="Normal 339 3 6" xfId="35474" xr:uid="{00000000-0005-0000-0000-0000B08D0000}"/>
    <cellStyle name="Normal 339 3 7" xfId="35475" xr:uid="{00000000-0005-0000-0000-0000B18D0000}"/>
    <cellStyle name="Normal 339 3 8" xfId="35476" xr:uid="{00000000-0005-0000-0000-0000B28D0000}"/>
    <cellStyle name="Normal 339 4" xfId="35477" xr:uid="{00000000-0005-0000-0000-0000B38D0000}"/>
    <cellStyle name="Normal 339 4 2" xfId="35478" xr:uid="{00000000-0005-0000-0000-0000B48D0000}"/>
    <cellStyle name="Normal 339 4 2 2" xfId="35479" xr:uid="{00000000-0005-0000-0000-0000B58D0000}"/>
    <cellStyle name="Normal 339 4 2 3" xfId="35480" xr:uid="{00000000-0005-0000-0000-0000B68D0000}"/>
    <cellStyle name="Normal 339 4 3" xfId="35481" xr:uid="{00000000-0005-0000-0000-0000B78D0000}"/>
    <cellStyle name="Normal 339 4 3 2" xfId="35482" xr:uid="{00000000-0005-0000-0000-0000B88D0000}"/>
    <cellStyle name="Normal 339 4 3 3" xfId="35483" xr:uid="{00000000-0005-0000-0000-0000B98D0000}"/>
    <cellStyle name="Normal 339 4 4" xfId="35484" xr:uid="{00000000-0005-0000-0000-0000BA8D0000}"/>
    <cellStyle name="Normal 339 4 5" xfId="35485" xr:uid="{00000000-0005-0000-0000-0000BB8D0000}"/>
    <cellStyle name="Normal 339 4 6" xfId="35486" xr:uid="{00000000-0005-0000-0000-0000BC8D0000}"/>
    <cellStyle name="Normal 339 5" xfId="35487" xr:uid="{00000000-0005-0000-0000-0000BD8D0000}"/>
    <cellStyle name="Normal 339 5 2" xfId="35488" xr:uid="{00000000-0005-0000-0000-0000BE8D0000}"/>
    <cellStyle name="Normal 339 5 3" xfId="35489" xr:uid="{00000000-0005-0000-0000-0000BF8D0000}"/>
    <cellStyle name="Normal 339 6" xfId="35490" xr:uid="{00000000-0005-0000-0000-0000C08D0000}"/>
    <cellStyle name="Normal 339 6 2" xfId="35491" xr:uid="{00000000-0005-0000-0000-0000C18D0000}"/>
    <cellStyle name="Normal 339 6 3" xfId="35492" xr:uid="{00000000-0005-0000-0000-0000C28D0000}"/>
    <cellStyle name="Normal 339 7" xfId="35493" xr:uid="{00000000-0005-0000-0000-0000C38D0000}"/>
    <cellStyle name="Normal 339 8" xfId="35494" xr:uid="{00000000-0005-0000-0000-0000C48D0000}"/>
    <cellStyle name="Normal 339 9" xfId="35495" xr:uid="{00000000-0005-0000-0000-0000C58D0000}"/>
    <cellStyle name="Normal 34" xfId="3243" xr:uid="{00000000-0005-0000-0000-0000C68D0000}"/>
    <cellStyle name="Normal 34 10" xfId="35496" xr:uid="{00000000-0005-0000-0000-0000C78D0000}"/>
    <cellStyle name="Normal 34 11" xfId="35497" xr:uid="{00000000-0005-0000-0000-0000C88D0000}"/>
    <cellStyle name="Normal 34 12" xfId="35498" xr:uid="{00000000-0005-0000-0000-0000C98D0000}"/>
    <cellStyle name="Normal 34 13" xfId="35499" xr:uid="{00000000-0005-0000-0000-0000CA8D0000}"/>
    <cellStyle name="Normal 34 14" xfId="35500" xr:uid="{00000000-0005-0000-0000-0000CB8D0000}"/>
    <cellStyle name="Normal 34 2" xfId="35501" xr:uid="{00000000-0005-0000-0000-0000CC8D0000}"/>
    <cellStyle name="Normal 34 2 10" xfId="35502" xr:uid="{00000000-0005-0000-0000-0000CD8D0000}"/>
    <cellStyle name="Normal 34 2 2" xfId="35503" xr:uid="{00000000-0005-0000-0000-0000CE8D0000}"/>
    <cellStyle name="Normal 34 2 2 2" xfId="35504" xr:uid="{00000000-0005-0000-0000-0000CF8D0000}"/>
    <cellStyle name="Normal 34 2 2 2 2" xfId="35505" xr:uid="{00000000-0005-0000-0000-0000D08D0000}"/>
    <cellStyle name="Normal 34 2 2 2 2 2" xfId="35506" xr:uid="{00000000-0005-0000-0000-0000D18D0000}"/>
    <cellStyle name="Normal 34 2 2 2 2 3" xfId="35507" xr:uid="{00000000-0005-0000-0000-0000D28D0000}"/>
    <cellStyle name="Normal 34 2 2 2 3" xfId="35508" xr:uid="{00000000-0005-0000-0000-0000D38D0000}"/>
    <cellStyle name="Normal 34 2 2 2 3 2" xfId="35509" xr:uid="{00000000-0005-0000-0000-0000D48D0000}"/>
    <cellStyle name="Normal 34 2 2 2 3 3" xfId="35510" xr:uid="{00000000-0005-0000-0000-0000D58D0000}"/>
    <cellStyle name="Normal 34 2 2 2 4" xfId="35511" xr:uid="{00000000-0005-0000-0000-0000D68D0000}"/>
    <cellStyle name="Normal 34 2 2 2 5" xfId="35512" xr:uid="{00000000-0005-0000-0000-0000D78D0000}"/>
    <cellStyle name="Normal 34 2 2 2 6" xfId="35513" xr:uid="{00000000-0005-0000-0000-0000D88D0000}"/>
    <cellStyle name="Normal 34 2 2 3" xfId="35514" xr:uid="{00000000-0005-0000-0000-0000D98D0000}"/>
    <cellStyle name="Normal 34 2 2 3 2" xfId="35515" xr:uid="{00000000-0005-0000-0000-0000DA8D0000}"/>
    <cellStyle name="Normal 34 2 2 3 3" xfId="35516" xr:uid="{00000000-0005-0000-0000-0000DB8D0000}"/>
    <cellStyle name="Normal 34 2 2 4" xfId="35517" xr:uid="{00000000-0005-0000-0000-0000DC8D0000}"/>
    <cellStyle name="Normal 34 2 2 4 2" xfId="35518" xr:uid="{00000000-0005-0000-0000-0000DD8D0000}"/>
    <cellStyle name="Normal 34 2 2 4 3" xfId="35519" xr:uid="{00000000-0005-0000-0000-0000DE8D0000}"/>
    <cellStyle name="Normal 34 2 2 5" xfId="35520" xr:uid="{00000000-0005-0000-0000-0000DF8D0000}"/>
    <cellStyle name="Normal 34 2 2 6" xfId="35521" xr:uid="{00000000-0005-0000-0000-0000E08D0000}"/>
    <cellStyle name="Normal 34 2 2 7" xfId="35522" xr:uid="{00000000-0005-0000-0000-0000E18D0000}"/>
    <cellStyle name="Normal 34 2 2 8" xfId="35523" xr:uid="{00000000-0005-0000-0000-0000E28D0000}"/>
    <cellStyle name="Normal 34 2 3" xfId="35524" xr:uid="{00000000-0005-0000-0000-0000E38D0000}"/>
    <cellStyle name="Normal 34 2 3 2" xfId="35525" xr:uid="{00000000-0005-0000-0000-0000E48D0000}"/>
    <cellStyle name="Normal 34 2 3 2 2" xfId="35526" xr:uid="{00000000-0005-0000-0000-0000E58D0000}"/>
    <cellStyle name="Normal 34 2 3 2 3" xfId="35527" xr:uid="{00000000-0005-0000-0000-0000E68D0000}"/>
    <cellStyle name="Normal 34 2 3 3" xfId="35528" xr:uid="{00000000-0005-0000-0000-0000E78D0000}"/>
    <cellStyle name="Normal 34 2 3 3 2" xfId="35529" xr:uid="{00000000-0005-0000-0000-0000E88D0000}"/>
    <cellStyle name="Normal 34 2 3 3 3" xfId="35530" xr:uid="{00000000-0005-0000-0000-0000E98D0000}"/>
    <cellStyle name="Normal 34 2 3 4" xfId="35531" xr:uid="{00000000-0005-0000-0000-0000EA8D0000}"/>
    <cellStyle name="Normal 34 2 3 5" xfId="35532" xr:uid="{00000000-0005-0000-0000-0000EB8D0000}"/>
    <cellStyle name="Normal 34 2 3 6" xfId="35533" xr:uid="{00000000-0005-0000-0000-0000EC8D0000}"/>
    <cellStyle name="Normal 34 2 4" xfId="35534" xr:uid="{00000000-0005-0000-0000-0000ED8D0000}"/>
    <cellStyle name="Normal 34 2 4 2" xfId="35535" xr:uid="{00000000-0005-0000-0000-0000EE8D0000}"/>
    <cellStyle name="Normal 34 2 4 3" xfId="35536" xr:uid="{00000000-0005-0000-0000-0000EF8D0000}"/>
    <cellStyle name="Normal 34 2 5" xfId="35537" xr:uid="{00000000-0005-0000-0000-0000F08D0000}"/>
    <cellStyle name="Normal 34 2 5 2" xfId="35538" xr:uid="{00000000-0005-0000-0000-0000F18D0000}"/>
    <cellStyle name="Normal 34 2 5 3" xfId="35539" xr:uid="{00000000-0005-0000-0000-0000F28D0000}"/>
    <cellStyle name="Normal 34 2 6" xfId="35540" xr:uid="{00000000-0005-0000-0000-0000F38D0000}"/>
    <cellStyle name="Normal 34 2 7" xfId="35541" xr:uid="{00000000-0005-0000-0000-0000F48D0000}"/>
    <cellStyle name="Normal 34 2 8" xfId="35542" xr:uid="{00000000-0005-0000-0000-0000F58D0000}"/>
    <cellStyle name="Normal 34 2 9" xfId="35543" xr:uid="{00000000-0005-0000-0000-0000F68D0000}"/>
    <cellStyle name="Normal 34 3" xfId="35544" xr:uid="{00000000-0005-0000-0000-0000F78D0000}"/>
    <cellStyle name="Normal 34 3 2" xfId="35545" xr:uid="{00000000-0005-0000-0000-0000F88D0000}"/>
    <cellStyle name="Normal 34 3 2 2" xfId="35546" xr:uid="{00000000-0005-0000-0000-0000F98D0000}"/>
    <cellStyle name="Normal 34 3 2 2 2" xfId="35547" xr:uid="{00000000-0005-0000-0000-0000FA8D0000}"/>
    <cellStyle name="Normal 34 3 2 2 3" xfId="35548" xr:uid="{00000000-0005-0000-0000-0000FB8D0000}"/>
    <cellStyle name="Normal 34 3 2 3" xfId="35549" xr:uid="{00000000-0005-0000-0000-0000FC8D0000}"/>
    <cellStyle name="Normal 34 3 2 3 2" xfId="35550" xr:uid="{00000000-0005-0000-0000-0000FD8D0000}"/>
    <cellStyle name="Normal 34 3 2 3 3" xfId="35551" xr:uid="{00000000-0005-0000-0000-0000FE8D0000}"/>
    <cellStyle name="Normal 34 3 2 4" xfId="35552" xr:uid="{00000000-0005-0000-0000-0000FF8D0000}"/>
    <cellStyle name="Normal 34 3 2 5" xfId="35553" xr:uid="{00000000-0005-0000-0000-0000008E0000}"/>
    <cellStyle name="Normal 34 3 2 6" xfId="35554" xr:uid="{00000000-0005-0000-0000-0000018E0000}"/>
    <cellStyle name="Normal 34 3 3" xfId="35555" xr:uid="{00000000-0005-0000-0000-0000028E0000}"/>
    <cellStyle name="Normal 34 3 3 2" xfId="35556" xr:uid="{00000000-0005-0000-0000-0000038E0000}"/>
    <cellStyle name="Normal 34 3 3 3" xfId="35557" xr:uid="{00000000-0005-0000-0000-0000048E0000}"/>
    <cellStyle name="Normal 34 3 4" xfId="35558" xr:uid="{00000000-0005-0000-0000-0000058E0000}"/>
    <cellStyle name="Normal 34 3 4 2" xfId="35559" xr:uid="{00000000-0005-0000-0000-0000068E0000}"/>
    <cellStyle name="Normal 34 3 4 3" xfId="35560" xr:uid="{00000000-0005-0000-0000-0000078E0000}"/>
    <cellStyle name="Normal 34 3 5" xfId="35561" xr:uid="{00000000-0005-0000-0000-0000088E0000}"/>
    <cellStyle name="Normal 34 3 6" xfId="35562" xr:uid="{00000000-0005-0000-0000-0000098E0000}"/>
    <cellStyle name="Normal 34 3 7" xfId="35563" xr:uid="{00000000-0005-0000-0000-00000A8E0000}"/>
    <cellStyle name="Normal 34 3 8" xfId="35564" xr:uid="{00000000-0005-0000-0000-00000B8E0000}"/>
    <cellStyle name="Normal 34 4" xfId="35565" xr:uid="{00000000-0005-0000-0000-00000C8E0000}"/>
    <cellStyle name="Normal 34 4 2" xfId="35566" xr:uid="{00000000-0005-0000-0000-00000D8E0000}"/>
    <cellStyle name="Normal 34 4 2 2" xfId="35567" xr:uid="{00000000-0005-0000-0000-00000E8E0000}"/>
    <cellStyle name="Normal 34 4 2 3" xfId="35568" xr:uid="{00000000-0005-0000-0000-00000F8E0000}"/>
    <cellStyle name="Normal 34 4 3" xfId="35569" xr:uid="{00000000-0005-0000-0000-0000108E0000}"/>
    <cellStyle name="Normal 34 4 3 2" xfId="35570" xr:uid="{00000000-0005-0000-0000-0000118E0000}"/>
    <cellStyle name="Normal 34 4 3 3" xfId="35571" xr:uid="{00000000-0005-0000-0000-0000128E0000}"/>
    <cellStyle name="Normal 34 4 4" xfId="35572" xr:uid="{00000000-0005-0000-0000-0000138E0000}"/>
    <cellStyle name="Normal 34 4 5" xfId="35573" xr:uid="{00000000-0005-0000-0000-0000148E0000}"/>
    <cellStyle name="Normal 34 4 6" xfId="35574" xr:uid="{00000000-0005-0000-0000-0000158E0000}"/>
    <cellStyle name="Normal 34 5" xfId="35575" xr:uid="{00000000-0005-0000-0000-0000168E0000}"/>
    <cellStyle name="Normal 34 5 2" xfId="35576" xr:uid="{00000000-0005-0000-0000-0000178E0000}"/>
    <cellStyle name="Normal 34 5 3" xfId="35577" xr:uid="{00000000-0005-0000-0000-0000188E0000}"/>
    <cellStyle name="Normal 34 6" xfId="35578" xr:uid="{00000000-0005-0000-0000-0000198E0000}"/>
    <cellStyle name="Normal 34 6 2" xfId="35579" xr:uid="{00000000-0005-0000-0000-00001A8E0000}"/>
    <cellStyle name="Normal 34 6 3" xfId="35580" xr:uid="{00000000-0005-0000-0000-00001B8E0000}"/>
    <cellStyle name="Normal 34 7" xfId="35581" xr:uid="{00000000-0005-0000-0000-00001C8E0000}"/>
    <cellStyle name="Normal 34 8" xfId="35582" xr:uid="{00000000-0005-0000-0000-00001D8E0000}"/>
    <cellStyle name="Normal 34 9" xfId="35583" xr:uid="{00000000-0005-0000-0000-00001E8E0000}"/>
    <cellStyle name="Normal 340" xfId="3244" xr:uid="{00000000-0005-0000-0000-00001F8E0000}"/>
    <cellStyle name="Normal 340 10" xfId="35584" xr:uid="{00000000-0005-0000-0000-0000208E0000}"/>
    <cellStyle name="Normal 340 11" xfId="35585" xr:uid="{00000000-0005-0000-0000-0000218E0000}"/>
    <cellStyle name="Normal 340 2" xfId="35586" xr:uid="{00000000-0005-0000-0000-0000228E0000}"/>
    <cellStyle name="Normal 340 2 2" xfId="35587" xr:uid="{00000000-0005-0000-0000-0000238E0000}"/>
    <cellStyle name="Normal 340 2 2 2" xfId="35588" xr:uid="{00000000-0005-0000-0000-0000248E0000}"/>
    <cellStyle name="Normal 340 2 2 2 2" xfId="35589" xr:uid="{00000000-0005-0000-0000-0000258E0000}"/>
    <cellStyle name="Normal 340 2 2 2 2 2" xfId="35590" xr:uid="{00000000-0005-0000-0000-0000268E0000}"/>
    <cellStyle name="Normal 340 2 2 2 2 3" xfId="35591" xr:uid="{00000000-0005-0000-0000-0000278E0000}"/>
    <cellStyle name="Normal 340 2 2 2 3" xfId="35592" xr:uid="{00000000-0005-0000-0000-0000288E0000}"/>
    <cellStyle name="Normal 340 2 2 2 3 2" xfId="35593" xr:uid="{00000000-0005-0000-0000-0000298E0000}"/>
    <cellStyle name="Normal 340 2 2 2 3 3" xfId="35594" xr:uid="{00000000-0005-0000-0000-00002A8E0000}"/>
    <cellStyle name="Normal 340 2 2 2 4" xfId="35595" xr:uid="{00000000-0005-0000-0000-00002B8E0000}"/>
    <cellStyle name="Normal 340 2 2 2 5" xfId="35596" xr:uid="{00000000-0005-0000-0000-00002C8E0000}"/>
    <cellStyle name="Normal 340 2 2 2 6" xfId="35597" xr:uid="{00000000-0005-0000-0000-00002D8E0000}"/>
    <cellStyle name="Normal 340 2 2 3" xfId="35598" xr:uid="{00000000-0005-0000-0000-00002E8E0000}"/>
    <cellStyle name="Normal 340 2 2 3 2" xfId="35599" xr:uid="{00000000-0005-0000-0000-00002F8E0000}"/>
    <cellStyle name="Normal 340 2 2 3 3" xfId="35600" xr:uid="{00000000-0005-0000-0000-0000308E0000}"/>
    <cellStyle name="Normal 340 2 2 4" xfId="35601" xr:uid="{00000000-0005-0000-0000-0000318E0000}"/>
    <cellStyle name="Normal 340 2 2 4 2" xfId="35602" xr:uid="{00000000-0005-0000-0000-0000328E0000}"/>
    <cellStyle name="Normal 340 2 2 4 3" xfId="35603" xr:uid="{00000000-0005-0000-0000-0000338E0000}"/>
    <cellStyle name="Normal 340 2 2 5" xfId="35604" xr:uid="{00000000-0005-0000-0000-0000348E0000}"/>
    <cellStyle name="Normal 340 2 2 6" xfId="35605" xr:uid="{00000000-0005-0000-0000-0000358E0000}"/>
    <cellStyle name="Normal 340 2 2 7" xfId="35606" xr:uid="{00000000-0005-0000-0000-0000368E0000}"/>
    <cellStyle name="Normal 340 2 2 8" xfId="35607" xr:uid="{00000000-0005-0000-0000-0000378E0000}"/>
    <cellStyle name="Normal 340 2 3" xfId="35608" xr:uid="{00000000-0005-0000-0000-0000388E0000}"/>
    <cellStyle name="Normal 340 2 3 2" xfId="35609" xr:uid="{00000000-0005-0000-0000-0000398E0000}"/>
    <cellStyle name="Normal 340 2 3 2 2" xfId="35610" xr:uid="{00000000-0005-0000-0000-00003A8E0000}"/>
    <cellStyle name="Normal 340 2 3 2 3" xfId="35611" xr:uid="{00000000-0005-0000-0000-00003B8E0000}"/>
    <cellStyle name="Normal 340 2 3 3" xfId="35612" xr:uid="{00000000-0005-0000-0000-00003C8E0000}"/>
    <cellStyle name="Normal 340 2 3 3 2" xfId="35613" xr:uid="{00000000-0005-0000-0000-00003D8E0000}"/>
    <cellStyle name="Normal 340 2 3 3 3" xfId="35614" xr:uid="{00000000-0005-0000-0000-00003E8E0000}"/>
    <cellStyle name="Normal 340 2 3 4" xfId="35615" xr:uid="{00000000-0005-0000-0000-00003F8E0000}"/>
    <cellStyle name="Normal 340 2 3 5" xfId="35616" xr:uid="{00000000-0005-0000-0000-0000408E0000}"/>
    <cellStyle name="Normal 340 2 3 6" xfId="35617" xr:uid="{00000000-0005-0000-0000-0000418E0000}"/>
    <cellStyle name="Normal 340 2 4" xfId="35618" xr:uid="{00000000-0005-0000-0000-0000428E0000}"/>
    <cellStyle name="Normal 340 2 4 2" xfId="35619" xr:uid="{00000000-0005-0000-0000-0000438E0000}"/>
    <cellStyle name="Normal 340 2 4 3" xfId="35620" xr:uid="{00000000-0005-0000-0000-0000448E0000}"/>
    <cellStyle name="Normal 340 2 5" xfId="35621" xr:uid="{00000000-0005-0000-0000-0000458E0000}"/>
    <cellStyle name="Normal 340 2 5 2" xfId="35622" xr:uid="{00000000-0005-0000-0000-0000468E0000}"/>
    <cellStyle name="Normal 340 2 5 3" xfId="35623" xr:uid="{00000000-0005-0000-0000-0000478E0000}"/>
    <cellStyle name="Normal 340 2 6" xfId="35624" xr:uid="{00000000-0005-0000-0000-0000488E0000}"/>
    <cellStyle name="Normal 340 2 7" xfId="35625" xr:uid="{00000000-0005-0000-0000-0000498E0000}"/>
    <cellStyle name="Normal 340 2 8" xfId="35626" xr:uid="{00000000-0005-0000-0000-00004A8E0000}"/>
    <cellStyle name="Normal 340 2 9" xfId="35627" xr:uid="{00000000-0005-0000-0000-00004B8E0000}"/>
    <cellStyle name="Normal 340 3" xfId="35628" xr:uid="{00000000-0005-0000-0000-00004C8E0000}"/>
    <cellStyle name="Normal 340 3 2" xfId="35629" xr:uid="{00000000-0005-0000-0000-00004D8E0000}"/>
    <cellStyle name="Normal 340 3 2 2" xfId="35630" xr:uid="{00000000-0005-0000-0000-00004E8E0000}"/>
    <cellStyle name="Normal 340 3 2 2 2" xfId="35631" xr:uid="{00000000-0005-0000-0000-00004F8E0000}"/>
    <cellStyle name="Normal 340 3 2 2 3" xfId="35632" xr:uid="{00000000-0005-0000-0000-0000508E0000}"/>
    <cellStyle name="Normal 340 3 2 3" xfId="35633" xr:uid="{00000000-0005-0000-0000-0000518E0000}"/>
    <cellStyle name="Normal 340 3 2 3 2" xfId="35634" xr:uid="{00000000-0005-0000-0000-0000528E0000}"/>
    <cellStyle name="Normal 340 3 2 3 3" xfId="35635" xr:uid="{00000000-0005-0000-0000-0000538E0000}"/>
    <cellStyle name="Normal 340 3 2 4" xfId="35636" xr:uid="{00000000-0005-0000-0000-0000548E0000}"/>
    <cellStyle name="Normal 340 3 2 5" xfId="35637" xr:uid="{00000000-0005-0000-0000-0000558E0000}"/>
    <cellStyle name="Normal 340 3 2 6" xfId="35638" xr:uid="{00000000-0005-0000-0000-0000568E0000}"/>
    <cellStyle name="Normal 340 3 3" xfId="35639" xr:uid="{00000000-0005-0000-0000-0000578E0000}"/>
    <cellStyle name="Normal 340 3 3 2" xfId="35640" xr:uid="{00000000-0005-0000-0000-0000588E0000}"/>
    <cellStyle name="Normal 340 3 3 3" xfId="35641" xr:uid="{00000000-0005-0000-0000-0000598E0000}"/>
    <cellStyle name="Normal 340 3 4" xfId="35642" xr:uid="{00000000-0005-0000-0000-00005A8E0000}"/>
    <cellStyle name="Normal 340 3 4 2" xfId="35643" xr:uid="{00000000-0005-0000-0000-00005B8E0000}"/>
    <cellStyle name="Normal 340 3 4 3" xfId="35644" xr:uid="{00000000-0005-0000-0000-00005C8E0000}"/>
    <cellStyle name="Normal 340 3 5" xfId="35645" xr:uid="{00000000-0005-0000-0000-00005D8E0000}"/>
    <cellStyle name="Normal 340 3 6" xfId="35646" xr:uid="{00000000-0005-0000-0000-00005E8E0000}"/>
    <cellStyle name="Normal 340 3 7" xfId="35647" xr:uid="{00000000-0005-0000-0000-00005F8E0000}"/>
    <cellStyle name="Normal 340 3 8" xfId="35648" xr:uid="{00000000-0005-0000-0000-0000608E0000}"/>
    <cellStyle name="Normal 340 4" xfId="35649" xr:uid="{00000000-0005-0000-0000-0000618E0000}"/>
    <cellStyle name="Normal 340 4 2" xfId="35650" xr:uid="{00000000-0005-0000-0000-0000628E0000}"/>
    <cellStyle name="Normal 340 4 2 2" xfId="35651" xr:uid="{00000000-0005-0000-0000-0000638E0000}"/>
    <cellStyle name="Normal 340 4 2 3" xfId="35652" xr:uid="{00000000-0005-0000-0000-0000648E0000}"/>
    <cellStyle name="Normal 340 4 3" xfId="35653" xr:uid="{00000000-0005-0000-0000-0000658E0000}"/>
    <cellStyle name="Normal 340 4 3 2" xfId="35654" xr:uid="{00000000-0005-0000-0000-0000668E0000}"/>
    <cellStyle name="Normal 340 4 3 3" xfId="35655" xr:uid="{00000000-0005-0000-0000-0000678E0000}"/>
    <cellStyle name="Normal 340 4 4" xfId="35656" xr:uid="{00000000-0005-0000-0000-0000688E0000}"/>
    <cellStyle name="Normal 340 4 5" xfId="35657" xr:uid="{00000000-0005-0000-0000-0000698E0000}"/>
    <cellStyle name="Normal 340 4 6" xfId="35658" xr:uid="{00000000-0005-0000-0000-00006A8E0000}"/>
    <cellStyle name="Normal 340 5" xfId="35659" xr:uid="{00000000-0005-0000-0000-00006B8E0000}"/>
    <cellStyle name="Normal 340 5 2" xfId="35660" xr:uid="{00000000-0005-0000-0000-00006C8E0000}"/>
    <cellStyle name="Normal 340 5 3" xfId="35661" xr:uid="{00000000-0005-0000-0000-00006D8E0000}"/>
    <cellStyle name="Normal 340 6" xfId="35662" xr:uid="{00000000-0005-0000-0000-00006E8E0000}"/>
    <cellStyle name="Normal 340 6 2" xfId="35663" xr:uid="{00000000-0005-0000-0000-00006F8E0000}"/>
    <cellStyle name="Normal 340 6 3" xfId="35664" xr:uid="{00000000-0005-0000-0000-0000708E0000}"/>
    <cellStyle name="Normal 340 7" xfId="35665" xr:uid="{00000000-0005-0000-0000-0000718E0000}"/>
    <cellStyle name="Normal 340 8" xfId="35666" xr:uid="{00000000-0005-0000-0000-0000728E0000}"/>
    <cellStyle name="Normal 340 9" xfId="35667" xr:uid="{00000000-0005-0000-0000-0000738E0000}"/>
    <cellStyle name="Normal 341" xfId="3245" xr:uid="{00000000-0005-0000-0000-0000748E0000}"/>
    <cellStyle name="Normal 341 10" xfId="35668" xr:uid="{00000000-0005-0000-0000-0000758E0000}"/>
    <cellStyle name="Normal 341 11" xfId="35669" xr:uid="{00000000-0005-0000-0000-0000768E0000}"/>
    <cellStyle name="Normal 341 2" xfId="3246" xr:uid="{00000000-0005-0000-0000-0000778E0000}"/>
    <cellStyle name="Normal 341 2 10" xfId="35670" xr:uid="{00000000-0005-0000-0000-0000788E0000}"/>
    <cellStyle name="Normal 341 2 2" xfId="35671" xr:uid="{00000000-0005-0000-0000-0000798E0000}"/>
    <cellStyle name="Normal 341 2 2 2" xfId="35672" xr:uid="{00000000-0005-0000-0000-00007A8E0000}"/>
    <cellStyle name="Normal 341 2 2 2 2" xfId="35673" xr:uid="{00000000-0005-0000-0000-00007B8E0000}"/>
    <cellStyle name="Normal 341 2 2 2 2 2" xfId="35674" xr:uid="{00000000-0005-0000-0000-00007C8E0000}"/>
    <cellStyle name="Normal 341 2 2 2 2 3" xfId="35675" xr:uid="{00000000-0005-0000-0000-00007D8E0000}"/>
    <cellStyle name="Normal 341 2 2 2 3" xfId="35676" xr:uid="{00000000-0005-0000-0000-00007E8E0000}"/>
    <cellStyle name="Normal 341 2 2 2 3 2" xfId="35677" xr:uid="{00000000-0005-0000-0000-00007F8E0000}"/>
    <cellStyle name="Normal 341 2 2 2 3 3" xfId="35678" xr:uid="{00000000-0005-0000-0000-0000808E0000}"/>
    <cellStyle name="Normal 341 2 2 2 4" xfId="35679" xr:uid="{00000000-0005-0000-0000-0000818E0000}"/>
    <cellStyle name="Normal 341 2 2 2 5" xfId="35680" xr:uid="{00000000-0005-0000-0000-0000828E0000}"/>
    <cellStyle name="Normal 341 2 2 2 6" xfId="35681" xr:uid="{00000000-0005-0000-0000-0000838E0000}"/>
    <cellStyle name="Normal 341 2 2 3" xfId="35682" xr:uid="{00000000-0005-0000-0000-0000848E0000}"/>
    <cellStyle name="Normal 341 2 2 3 2" xfId="35683" xr:uid="{00000000-0005-0000-0000-0000858E0000}"/>
    <cellStyle name="Normal 341 2 2 3 3" xfId="35684" xr:uid="{00000000-0005-0000-0000-0000868E0000}"/>
    <cellStyle name="Normal 341 2 2 4" xfId="35685" xr:uid="{00000000-0005-0000-0000-0000878E0000}"/>
    <cellStyle name="Normal 341 2 2 4 2" xfId="35686" xr:uid="{00000000-0005-0000-0000-0000888E0000}"/>
    <cellStyle name="Normal 341 2 2 4 3" xfId="35687" xr:uid="{00000000-0005-0000-0000-0000898E0000}"/>
    <cellStyle name="Normal 341 2 2 5" xfId="35688" xr:uid="{00000000-0005-0000-0000-00008A8E0000}"/>
    <cellStyle name="Normal 341 2 2 6" xfId="35689" xr:uid="{00000000-0005-0000-0000-00008B8E0000}"/>
    <cellStyle name="Normal 341 2 2 7" xfId="35690" xr:uid="{00000000-0005-0000-0000-00008C8E0000}"/>
    <cellStyle name="Normal 341 2 2 8" xfId="35691" xr:uid="{00000000-0005-0000-0000-00008D8E0000}"/>
    <cellStyle name="Normal 341 2 3" xfId="35692" xr:uid="{00000000-0005-0000-0000-00008E8E0000}"/>
    <cellStyle name="Normal 341 2 3 2" xfId="35693" xr:uid="{00000000-0005-0000-0000-00008F8E0000}"/>
    <cellStyle name="Normal 341 2 3 2 2" xfId="35694" xr:uid="{00000000-0005-0000-0000-0000908E0000}"/>
    <cellStyle name="Normal 341 2 3 2 3" xfId="35695" xr:uid="{00000000-0005-0000-0000-0000918E0000}"/>
    <cellStyle name="Normal 341 2 3 3" xfId="35696" xr:uid="{00000000-0005-0000-0000-0000928E0000}"/>
    <cellStyle name="Normal 341 2 3 3 2" xfId="35697" xr:uid="{00000000-0005-0000-0000-0000938E0000}"/>
    <cellStyle name="Normal 341 2 3 3 3" xfId="35698" xr:uid="{00000000-0005-0000-0000-0000948E0000}"/>
    <cellStyle name="Normal 341 2 3 4" xfId="35699" xr:uid="{00000000-0005-0000-0000-0000958E0000}"/>
    <cellStyle name="Normal 341 2 3 5" xfId="35700" xr:uid="{00000000-0005-0000-0000-0000968E0000}"/>
    <cellStyle name="Normal 341 2 3 6" xfId="35701" xr:uid="{00000000-0005-0000-0000-0000978E0000}"/>
    <cellStyle name="Normal 341 2 4" xfId="35702" xr:uid="{00000000-0005-0000-0000-0000988E0000}"/>
    <cellStyle name="Normal 341 2 4 2" xfId="35703" xr:uid="{00000000-0005-0000-0000-0000998E0000}"/>
    <cellStyle name="Normal 341 2 4 3" xfId="35704" xr:uid="{00000000-0005-0000-0000-00009A8E0000}"/>
    <cellStyle name="Normal 341 2 5" xfId="35705" xr:uid="{00000000-0005-0000-0000-00009B8E0000}"/>
    <cellStyle name="Normal 341 2 5 2" xfId="35706" xr:uid="{00000000-0005-0000-0000-00009C8E0000}"/>
    <cellStyle name="Normal 341 2 5 3" xfId="35707" xr:uid="{00000000-0005-0000-0000-00009D8E0000}"/>
    <cellStyle name="Normal 341 2 6" xfId="35708" xr:uid="{00000000-0005-0000-0000-00009E8E0000}"/>
    <cellStyle name="Normal 341 2 7" xfId="35709" xr:uid="{00000000-0005-0000-0000-00009F8E0000}"/>
    <cellStyle name="Normal 341 2 8" xfId="35710" xr:uid="{00000000-0005-0000-0000-0000A08E0000}"/>
    <cellStyle name="Normal 341 2 9" xfId="35711" xr:uid="{00000000-0005-0000-0000-0000A18E0000}"/>
    <cellStyle name="Normal 341 3" xfId="35712" xr:uid="{00000000-0005-0000-0000-0000A28E0000}"/>
    <cellStyle name="Normal 341 3 2" xfId="35713" xr:uid="{00000000-0005-0000-0000-0000A38E0000}"/>
    <cellStyle name="Normal 341 3 2 2" xfId="35714" xr:uid="{00000000-0005-0000-0000-0000A48E0000}"/>
    <cellStyle name="Normal 341 3 2 2 2" xfId="35715" xr:uid="{00000000-0005-0000-0000-0000A58E0000}"/>
    <cellStyle name="Normal 341 3 2 2 3" xfId="35716" xr:uid="{00000000-0005-0000-0000-0000A68E0000}"/>
    <cellStyle name="Normal 341 3 2 3" xfId="35717" xr:uid="{00000000-0005-0000-0000-0000A78E0000}"/>
    <cellStyle name="Normal 341 3 2 3 2" xfId="35718" xr:uid="{00000000-0005-0000-0000-0000A88E0000}"/>
    <cellStyle name="Normal 341 3 2 3 3" xfId="35719" xr:uid="{00000000-0005-0000-0000-0000A98E0000}"/>
    <cellStyle name="Normal 341 3 2 4" xfId="35720" xr:uid="{00000000-0005-0000-0000-0000AA8E0000}"/>
    <cellStyle name="Normal 341 3 2 5" xfId="35721" xr:uid="{00000000-0005-0000-0000-0000AB8E0000}"/>
    <cellStyle name="Normal 341 3 2 6" xfId="35722" xr:uid="{00000000-0005-0000-0000-0000AC8E0000}"/>
    <cellStyle name="Normal 341 3 3" xfId="35723" xr:uid="{00000000-0005-0000-0000-0000AD8E0000}"/>
    <cellStyle name="Normal 341 3 3 2" xfId="35724" xr:uid="{00000000-0005-0000-0000-0000AE8E0000}"/>
    <cellStyle name="Normal 341 3 3 3" xfId="35725" xr:uid="{00000000-0005-0000-0000-0000AF8E0000}"/>
    <cellStyle name="Normal 341 3 4" xfId="35726" xr:uid="{00000000-0005-0000-0000-0000B08E0000}"/>
    <cellStyle name="Normal 341 3 4 2" xfId="35727" xr:uid="{00000000-0005-0000-0000-0000B18E0000}"/>
    <cellStyle name="Normal 341 3 4 3" xfId="35728" xr:uid="{00000000-0005-0000-0000-0000B28E0000}"/>
    <cellStyle name="Normal 341 3 5" xfId="35729" xr:uid="{00000000-0005-0000-0000-0000B38E0000}"/>
    <cellStyle name="Normal 341 3 6" xfId="35730" xr:uid="{00000000-0005-0000-0000-0000B48E0000}"/>
    <cellStyle name="Normal 341 3 7" xfId="35731" xr:uid="{00000000-0005-0000-0000-0000B58E0000}"/>
    <cellStyle name="Normal 341 3 8" xfId="35732" xr:uid="{00000000-0005-0000-0000-0000B68E0000}"/>
    <cellStyle name="Normal 341 4" xfId="35733" xr:uid="{00000000-0005-0000-0000-0000B78E0000}"/>
    <cellStyle name="Normal 341 4 2" xfId="35734" xr:uid="{00000000-0005-0000-0000-0000B88E0000}"/>
    <cellStyle name="Normal 341 4 2 2" xfId="35735" xr:uid="{00000000-0005-0000-0000-0000B98E0000}"/>
    <cellStyle name="Normal 341 4 2 3" xfId="35736" xr:uid="{00000000-0005-0000-0000-0000BA8E0000}"/>
    <cellStyle name="Normal 341 4 3" xfId="35737" xr:uid="{00000000-0005-0000-0000-0000BB8E0000}"/>
    <cellStyle name="Normal 341 4 3 2" xfId="35738" xr:uid="{00000000-0005-0000-0000-0000BC8E0000}"/>
    <cellStyle name="Normal 341 4 3 3" xfId="35739" xr:uid="{00000000-0005-0000-0000-0000BD8E0000}"/>
    <cellStyle name="Normal 341 4 4" xfId="35740" xr:uid="{00000000-0005-0000-0000-0000BE8E0000}"/>
    <cellStyle name="Normal 341 4 5" xfId="35741" xr:uid="{00000000-0005-0000-0000-0000BF8E0000}"/>
    <cellStyle name="Normal 341 4 6" xfId="35742" xr:uid="{00000000-0005-0000-0000-0000C08E0000}"/>
    <cellStyle name="Normal 341 5" xfId="35743" xr:uid="{00000000-0005-0000-0000-0000C18E0000}"/>
    <cellStyle name="Normal 341 5 2" xfId="35744" xr:uid="{00000000-0005-0000-0000-0000C28E0000}"/>
    <cellStyle name="Normal 341 5 3" xfId="35745" xr:uid="{00000000-0005-0000-0000-0000C38E0000}"/>
    <cellStyle name="Normal 341 6" xfId="35746" xr:uid="{00000000-0005-0000-0000-0000C48E0000}"/>
    <cellStyle name="Normal 341 6 2" xfId="35747" xr:uid="{00000000-0005-0000-0000-0000C58E0000}"/>
    <cellStyle name="Normal 341 6 3" xfId="35748" xr:uid="{00000000-0005-0000-0000-0000C68E0000}"/>
    <cellStyle name="Normal 341 7" xfId="35749" xr:uid="{00000000-0005-0000-0000-0000C78E0000}"/>
    <cellStyle name="Normal 341 8" xfId="35750" xr:uid="{00000000-0005-0000-0000-0000C88E0000}"/>
    <cellStyle name="Normal 341 9" xfId="35751" xr:uid="{00000000-0005-0000-0000-0000C98E0000}"/>
    <cellStyle name="Normal 342" xfId="3247" xr:uid="{00000000-0005-0000-0000-0000CA8E0000}"/>
    <cellStyle name="Normal 342 10" xfId="35752" xr:uid="{00000000-0005-0000-0000-0000CB8E0000}"/>
    <cellStyle name="Normal 342 11" xfId="35753" xr:uid="{00000000-0005-0000-0000-0000CC8E0000}"/>
    <cellStyle name="Normal 342 2" xfId="3248" xr:uid="{00000000-0005-0000-0000-0000CD8E0000}"/>
    <cellStyle name="Normal 342 2 10" xfId="35754" xr:uid="{00000000-0005-0000-0000-0000CE8E0000}"/>
    <cellStyle name="Normal 342 2 2" xfId="35755" xr:uid="{00000000-0005-0000-0000-0000CF8E0000}"/>
    <cellStyle name="Normal 342 2 2 2" xfId="35756" xr:uid="{00000000-0005-0000-0000-0000D08E0000}"/>
    <cellStyle name="Normal 342 2 2 2 2" xfId="35757" xr:uid="{00000000-0005-0000-0000-0000D18E0000}"/>
    <cellStyle name="Normal 342 2 2 2 2 2" xfId="35758" xr:uid="{00000000-0005-0000-0000-0000D28E0000}"/>
    <cellStyle name="Normal 342 2 2 2 2 3" xfId="35759" xr:uid="{00000000-0005-0000-0000-0000D38E0000}"/>
    <cellStyle name="Normal 342 2 2 2 3" xfId="35760" xr:uid="{00000000-0005-0000-0000-0000D48E0000}"/>
    <cellStyle name="Normal 342 2 2 2 3 2" xfId="35761" xr:uid="{00000000-0005-0000-0000-0000D58E0000}"/>
    <cellStyle name="Normal 342 2 2 2 3 3" xfId="35762" xr:uid="{00000000-0005-0000-0000-0000D68E0000}"/>
    <cellStyle name="Normal 342 2 2 2 4" xfId="35763" xr:uid="{00000000-0005-0000-0000-0000D78E0000}"/>
    <cellStyle name="Normal 342 2 2 2 5" xfId="35764" xr:uid="{00000000-0005-0000-0000-0000D88E0000}"/>
    <cellStyle name="Normal 342 2 2 2 6" xfId="35765" xr:uid="{00000000-0005-0000-0000-0000D98E0000}"/>
    <cellStyle name="Normal 342 2 2 3" xfId="35766" xr:uid="{00000000-0005-0000-0000-0000DA8E0000}"/>
    <cellStyle name="Normal 342 2 2 3 2" xfId="35767" xr:uid="{00000000-0005-0000-0000-0000DB8E0000}"/>
    <cellStyle name="Normal 342 2 2 3 3" xfId="35768" xr:uid="{00000000-0005-0000-0000-0000DC8E0000}"/>
    <cellStyle name="Normal 342 2 2 4" xfId="35769" xr:uid="{00000000-0005-0000-0000-0000DD8E0000}"/>
    <cellStyle name="Normal 342 2 2 4 2" xfId="35770" xr:uid="{00000000-0005-0000-0000-0000DE8E0000}"/>
    <cellStyle name="Normal 342 2 2 4 3" xfId="35771" xr:uid="{00000000-0005-0000-0000-0000DF8E0000}"/>
    <cellStyle name="Normal 342 2 2 5" xfId="35772" xr:uid="{00000000-0005-0000-0000-0000E08E0000}"/>
    <cellStyle name="Normal 342 2 2 6" xfId="35773" xr:uid="{00000000-0005-0000-0000-0000E18E0000}"/>
    <cellStyle name="Normal 342 2 2 7" xfId="35774" xr:uid="{00000000-0005-0000-0000-0000E28E0000}"/>
    <cellStyle name="Normal 342 2 2 8" xfId="35775" xr:uid="{00000000-0005-0000-0000-0000E38E0000}"/>
    <cellStyle name="Normal 342 2 3" xfId="35776" xr:uid="{00000000-0005-0000-0000-0000E48E0000}"/>
    <cellStyle name="Normal 342 2 3 2" xfId="35777" xr:uid="{00000000-0005-0000-0000-0000E58E0000}"/>
    <cellStyle name="Normal 342 2 3 2 2" xfId="35778" xr:uid="{00000000-0005-0000-0000-0000E68E0000}"/>
    <cellStyle name="Normal 342 2 3 2 3" xfId="35779" xr:uid="{00000000-0005-0000-0000-0000E78E0000}"/>
    <cellStyle name="Normal 342 2 3 3" xfId="35780" xr:uid="{00000000-0005-0000-0000-0000E88E0000}"/>
    <cellStyle name="Normal 342 2 3 3 2" xfId="35781" xr:uid="{00000000-0005-0000-0000-0000E98E0000}"/>
    <cellStyle name="Normal 342 2 3 3 3" xfId="35782" xr:uid="{00000000-0005-0000-0000-0000EA8E0000}"/>
    <cellStyle name="Normal 342 2 3 4" xfId="35783" xr:uid="{00000000-0005-0000-0000-0000EB8E0000}"/>
    <cellStyle name="Normal 342 2 3 5" xfId="35784" xr:uid="{00000000-0005-0000-0000-0000EC8E0000}"/>
    <cellStyle name="Normal 342 2 3 6" xfId="35785" xr:uid="{00000000-0005-0000-0000-0000ED8E0000}"/>
    <cellStyle name="Normal 342 2 4" xfId="35786" xr:uid="{00000000-0005-0000-0000-0000EE8E0000}"/>
    <cellStyle name="Normal 342 2 4 2" xfId="35787" xr:uid="{00000000-0005-0000-0000-0000EF8E0000}"/>
    <cellStyle name="Normal 342 2 4 3" xfId="35788" xr:uid="{00000000-0005-0000-0000-0000F08E0000}"/>
    <cellStyle name="Normal 342 2 5" xfId="35789" xr:uid="{00000000-0005-0000-0000-0000F18E0000}"/>
    <cellStyle name="Normal 342 2 5 2" xfId="35790" xr:uid="{00000000-0005-0000-0000-0000F28E0000}"/>
    <cellStyle name="Normal 342 2 5 3" xfId="35791" xr:uid="{00000000-0005-0000-0000-0000F38E0000}"/>
    <cellStyle name="Normal 342 2 6" xfId="35792" xr:uid="{00000000-0005-0000-0000-0000F48E0000}"/>
    <cellStyle name="Normal 342 2 7" xfId="35793" xr:uid="{00000000-0005-0000-0000-0000F58E0000}"/>
    <cellStyle name="Normal 342 2 8" xfId="35794" xr:uid="{00000000-0005-0000-0000-0000F68E0000}"/>
    <cellStyle name="Normal 342 2 9" xfId="35795" xr:uid="{00000000-0005-0000-0000-0000F78E0000}"/>
    <cellStyle name="Normal 342 3" xfId="35796" xr:uid="{00000000-0005-0000-0000-0000F88E0000}"/>
    <cellStyle name="Normal 342 3 2" xfId="35797" xr:uid="{00000000-0005-0000-0000-0000F98E0000}"/>
    <cellStyle name="Normal 342 3 2 2" xfId="35798" xr:uid="{00000000-0005-0000-0000-0000FA8E0000}"/>
    <cellStyle name="Normal 342 3 2 2 2" xfId="35799" xr:uid="{00000000-0005-0000-0000-0000FB8E0000}"/>
    <cellStyle name="Normal 342 3 2 2 3" xfId="35800" xr:uid="{00000000-0005-0000-0000-0000FC8E0000}"/>
    <cellStyle name="Normal 342 3 2 3" xfId="35801" xr:uid="{00000000-0005-0000-0000-0000FD8E0000}"/>
    <cellStyle name="Normal 342 3 2 3 2" xfId="35802" xr:uid="{00000000-0005-0000-0000-0000FE8E0000}"/>
    <cellStyle name="Normal 342 3 2 3 3" xfId="35803" xr:uid="{00000000-0005-0000-0000-0000FF8E0000}"/>
    <cellStyle name="Normal 342 3 2 4" xfId="35804" xr:uid="{00000000-0005-0000-0000-0000008F0000}"/>
    <cellStyle name="Normal 342 3 2 5" xfId="35805" xr:uid="{00000000-0005-0000-0000-0000018F0000}"/>
    <cellStyle name="Normal 342 3 2 6" xfId="35806" xr:uid="{00000000-0005-0000-0000-0000028F0000}"/>
    <cellStyle name="Normal 342 3 3" xfId="35807" xr:uid="{00000000-0005-0000-0000-0000038F0000}"/>
    <cellStyle name="Normal 342 3 3 2" xfId="35808" xr:uid="{00000000-0005-0000-0000-0000048F0000}"/>
    <cellStyle name="Normal 342 3 3 3" xfId="35809" xr:uid="{00000000-0005-0000-0000-0000058F0000}"/>
    <cellStyle name="Normal 342 3 4" xfId="35810" xr:uid="{00000000-0005-0000-0000-0000068F0000}"/>
    <cellStyle name="Normal 342 3 4 2" xfId="35811" xr:uid="{00000000-0005-0000-0000-0000078F0000}"/>
    <cellStyle name="Normal 342 3 4 3" xfId="35812" xr:uid="{00000000-0005-0000-0000-0000088F0000}"/>
    <cellStyle name="Normal 342 3 5" xfId="35813" xr:uid="{00000000-0005-0000-0000-0000098F0000}"/>
    <cellStyle name="Normal 342 3 6" xfId="35814" xr:uid="{00000000-0005-0000-0000-00000A8F0000}"/>
    <cellStyle name="Normal 342 3 7" xfId="35815" xr:uid="{00000000-0005-0000-0000-00000B8F0000}"/>
    <cellStyle name="Normal 342 3 8" xfId="35816" xr:uid="{00000000-0005-0000-0000-00000C8F0000}"/>
    <cellStyle name="Normal 342 4" xfId="35817" xr:uid="{00000000-0005-0000-0000-00000D8F0000}"/>
    <cellStyle name="Normal 342 4 2" xfId="35818" xr:uid="{00000000-0005-0000-0000-00000E8F0000}"/>
    <cellStyle name="Normal 342 4 2 2" xfId="35819" xr:uid="{00000000-0005-0000-0000-00000F8F0000}"/>
    <cellStyle name="Normal 342 4 2 3" xfId="35820" xr:uid="{00000000-0005-0000-0000-0000108F0000}"/>
    <cellStyle name="Normal 342 4 3" xfId="35821" xr:uid="{00000000-0005-0000-0000-0000118F0000}"/>
    <cellStyle name="Normal 342 4 3 2" xfId="35822" xr:uid="{00000000-0005-0000-0000-0000128F0000}"/>
    <cellStyle name="Normal 342 4 3 3" xfId="35823" xr:uid="{00000000-0005-0000-0000-0000138F0000}"/>
    <cellStyle name="Normal 342 4 4" xfId="35824" xr:uid="{00000000-0005-0000-0000-0000148F0000}"/>
    <cellStyle name="Normal 342 4 5" xfId="35825" xr:uid="{00000000-0005-0000-0000-0000158F0000}"/>
    <cellStyle name="Normal 342 4 6" xfId="35826" xr:uid="{00000000-0005-0000-0000-0000168F0000}"/>
    <cellStyle name="Normal 342 5" xfId="35827" xr:uid="{00000000-0005-0000-0000-0000178F0000}"/>
    <cellStyle name="Normal 342 5 2" xfId="35828" xr:uid="{00000000-0005-0000-0000-0000188F0000}"/>
    <cellStyle name="Normal 342 5 3" xfId="35829" xr:uid="{00000000-0005-0000-0000-0000198F0000}"/>
    <cellStyle name="Normal 342 6" xfId="35830" xr:uid="{00000000-0005-0000-0000-00001A8F0000}"/>
    <cellStyle name="Normal 342 6 2" xfId="35831" xr:uid="{00000000-0005-0000-0000-00001B8F0000}"/>
    <cellStyle name="Normal 342 6 3" xfId="35832" xr:uid="{00000000-0005-0000-0000-00001C8F0000}"/>
    <cellStyle name="Normal 342 7" xfId="35833" xr:uid="{00000000-0005-0000-0000-00001D8F0000}"/>
    <cellStyle name="Normal 342 8" xfId="35834" xr:uid="{00000000-0005-0000-0000-00001E8F0000}"/>
    <cellStyle name="Normal 342 9" xfId="35835" xr:uid="{00000000-0005-0000-0000-00001F8F0000}"/>
    <cellStyle name="Normal 343" xfId="3249" xr:uid="{00000000-0005-0000-0000-0000208F0000}"/>
    <cellStyle name="Normal 343 10" xfId="35836" xr:uid="{00000000-0005-0000-0000-0000218F0000}"/>
    <cellStyle name="Normal 343 11" xfId="35837" xr:uid="{00000000-0005-0000-0000-0000228F0000}"/>
    <cellStyle name="Normal 343 2" xfId="35838" xr:uid="{00000000-0005-0000-0000-0000238F0000}"/>
    <cellStyle name="Normal 343 2 2" xfId="35839" xr:uid="{00000000-0005-0000-0000-0000248F0000}"/>
    <cellStyle name="Normal 343 2 2 2" xfId="35840" xr:uid="{00000000-0005-0000-0000-0000258F0000}"/>
    <cellStyle name="Normal 343 2 2 2 2" xfId="35841" xr:uid="{00000000-0005-0000-0000-0000268F0000}"/>
    <cellStyle name="Normal 343 2 2 2 2 2" xfId="35842" xr:uid="{00000000-0005-0000-0000-0000278F0000}"/>
    <cellStyle name="Normal 343 2 2 2 2 3" xfId="35843" xr:uid="{00000000-0005-0000-0000-0000288F0000}"/>
    <cellStyle name="Normal 343 2 2 2 3" xfId="35844" xr:uid="{00000000-0005-0000-0000-0000298F0000}"/>
    <cellStyle name="Normal 343 2 2 2 3 2" xfId="35845" xr:uid="{00000000-0005-0000-0000-00002A8F0000}"/>
    <cellStyle name="Normal 343 2 2 2 3 3" xfId="35846" xr:uid="{00000000-0005-0000-0000-00002B8F0000}"/>
    <cellStyle name="Normal 343 2 2 2 4" xfId="35847" xr:uid="{00000000-0005-0000-0000-00002C8F0000}"/>
    <cellStyle name="Normal 343 2 2 2 5" xfId="35848" xr:uid="{00000000-0005-0000-0000-00002D8F0000}"/>
    <cellStyle name="Normal 343 2 2 2 6" xfId="35849" xr:uid="{00000000-0005-0000-0000-00002E8F0000}"/>
    <cellStyle name="Normal 343 2 2 3" xfId="35850" xr:uid="{00000000-0005-0000-0000-00002F8F0000}"/>
    <cellStyle name="Normal 343 2 2 3 2" xfId="35851" xr:uid="{00000000-0005-0000-0000-0000308F0000}"/>
    <cellStyle name="Normal 343 2 2 3 3" xfId="35852" xr:uid="{00000000-0005-0000-0000-0000318F0000}"/>
    <cellStyle name="Normal 343 2 2 4" xfId="35853" xr:uid="{00000000-0005-0000-0000-0000328F0000}"/>
    <cellStyle name="Normal 343 2 2 4 2" xfId="35854" xr:uid="{00000000-0005-0000-0000-0000338F0000}"/>
    <cellStyle name="Normal 343 2 2 4 3" xfId="35855" xr:uid="{00000000-0005-0000-0000-0000348F0000}"/>
    <cellStyle name="Normal 343 2 2 5" xfId="35856" xr:uid="{00000000-0005-0000-0000-0000358F0000}"/>
    <cellStyle name="Normal 343 2 2 6" xfId="35857" xr:uid="{00000000-0005-0000-0000-0000368F0000}"/>
    <cellStyle name="Normal 343 2 2 7" xfId="35858" xr:uid="{00000000-0005-0000-0000-0000378F0000}"/>
    <cellStyle name="Normal 343 2 2 8" xfId="35859" xr:uid="{00000000-0005-0000-0000-0000388F0000}"/>
    <cellStyle name="Normal 343 2 3" xfId="35860" xr:uid="{00000000-0005-0000-0000-0000398F0000}"/>
    <cellStyle name="Normal 343 2 3 2" xfId="35861" xr:uid="{00000000-0005-0000-0000-00003A8F0000}"/>
    <cellStyle name="Normal 343 2 3 2 2" xfId="35862" xr:uid="{00000000-0005-0000-0000-00003B8F0000}"/>
    <cellStyle name="Normal 343 2 3 2 3" xfId="35863" xr:uid="{00000000-0005-0000-0000-00003C8F0000}"/>
    <cellStyle name="Normal 343 2 3 3" xfId="35864" xr:uid="{00000000-0005-0000-0000-00003D8F0000}"/>
    <cellStyle name="Normal 343 2 3 3 2" xfId="35865" xr:uid="{00000000-0005-0000-0000-00003E8F0000}"/>
    <cellStyle name="Normal 343 2 3 3 3" xfId="35866" xr:uid="{00000000-0005-0000-0000-00003F8F0000}"/>
    <cellStyle name="Normal 343 2 3 4" xfId="35867" xr:uid="{00000000-0005-0000-0000-0000408F0000}"/>
    <cellStyle name="Normal 343 2 3 5" xfId="35868" xr:uid="{00000000-0005-0000-0000-0000418F0000}"/>
    <cellStyle name="Normal 343 2 3 6" xfId="35869" xr:uid="{00000000-0005-0000-0000-0000428F0000}"/>
    <cellStyle name="Normal 343 2 4" xfId="35870" xr:uid="{00000000-0005-0000-0000-0000438F0000}"/>
    <cellStyle name="Normal 343 2 4 2" xfId="35871" xr:uid="{00000000-0005-0000-0000-0000448F0000}"/>
    <cellStyle name="Normal 343 2 4 3" xfId="35872" xr:uid="{00000000-0005-0000-0000-0000458F0000}"/>
    <cellStyle name="Normal 343 2 5" xfId="35873" xr:uid="{00000000-0005-0000-0000-0000468F0000}"/>
    <cellStyle name="Normal 343 2 5 2" xfId="35874" xr:uid="{00000000-0005-0000-0000-0000478F0000}"/>
    <cellStyle name="Normal 343 2 5 3" xfId="35875" xr:uid="{00000000-0005-0000-0000-0000488F0000}"/>
    <cellStyle name="Normal 343 2 6" xfId="35876" xr:uid="{00000000-0005-0000-0000-0000498F0000}"/>
    <cellStyle name="Normal 343 2 7" xfId="35877" xr:uid="{00000000-0005-0000-0000-00004A8F0000}"/>
    <cellStyle name="Normal 343 2 8" xfId="35878" xr:uid="{00000000-0005-0000-0000-00004B8F0000}"/>
    <cellStyle name="Normal 343 2 9" xfId="35879" xr:uid="{00000000-0005-0000-0000-00004C8F0000}"/>
    <cellStyle name="Normal 343 3" xfId="35880" xr:uid="{00000000-0005-0000-0000-00004D8F0000}"/>
    <cellStyle name="Normal 343 3 2" xfId="35881" xr:uid="{00000000-0005-0000-0000-00004E8F0000}"/>
    <cellStyle name="Normal 343 3 2 2" xfId="35882" xr:uid="{00000000-0005-0000-0000-00004F8F0000}"/>
    <cellStyle name="Normal 343 3 2 2 2" xfId="35883" xr:uid="{00000000-0005-0000-0000-0000508F0000}"/>
    <cellStyle name="Normal 343 3 2 2 3" xfId="35884" xr:uid="{00000000-0005-0000-0000-0000518F0000}"/>
    <cellStyle name="Normal 343 3 2 3" xfId="35885" xr:uid="{00000000-0005-0000-0000-0000528F0000}"/>
    <cellStyle name="Normal 343 3 2 3 2" xfId="35886" xr:uid="{00000000-0005-0000-0000-0000538F0000}"/>
    <cellStyle name="Normal 343 3 2 3 3" xfId="35887" xr:uid="{00000000-0005-0000-0000-0000548F0000}"/>
    <cellStyle name="Normal 343 3 2 4" xfId="35888" xr:uid="{00000000-0005-0000-0000-0000558F0000}"/>
    <cellStyle name="Normal 343 3 2 5" xfId="35889" xr:uid="{00000000-0005-0000-0000-0000568F0000}"/>
    <cellStyle name="Normal 343 3 2 6" xfId="35890" xr:uid="{00000000-0005-0000-0000-0000578F0000}"/>
    <cellStyle name="Normal 343 3 3" xfId="35891" xr:uid="{00000000-0005-0000-0000-0000588F0000}"/>
    <cellStyle name="Normal 343 3 3 2" xfId="35892" xr:uid="{00000000-0005-0000-0000-0000598F0000}"/>
    <cellStyle name="Normal 343 3 3 3" xfId="35893" xr:uid="{00000000-0005-0000-0000-00005A8F0000}"/>
    <cellStyle name="Normal 343 3 4" xfId="35894" xr:uid="{00000000-0005-0000-0000-00005B8F0000}"/>
    <cellStyle name="Normal 343 3 4 2" xfId="35895" xr:uid="{00000000-0005-0000-0000-00005C8F0000}"/>
    <cellStyle name="Normal 343 3 4 3" xfId="35896" xr:uid="{00000000-0005-0000-0000-00005D8F0000}"/>
    <cellStyle name="Normal 343 3 5" xfId="35897" xr:uid="{00000000-0005-0000-0000-00005E8F0000}"/>
    <cellStyle name="Normal 343 3 6" xfId="35898" xr:uid="{00000000-0005-0000-0000-00005F8F0000}"/>
    <cellStyle name="Normal 343 3 7" xfId="35899" xr:uid="{00000000-0005-0000-0000-0000608F0000}"/>
    <cellStyle name="Normal 343 3 8" xfId="35900" xr:uid="{00000000-0005-0000-0000-0000618F0000}"/>
    <cellStyle name="Normal 343 4" xfId="35901" xr:uid="{00000000-0005-0000-0000-0000628F0000}"/>
    <cellStyle name="Normal 343 4 2" xfId="35902" xr:uid="{00000000-0005-0000-0000-0000638F0000}"/>
    <cellStyle name="Normal 343 4 2 2" xfId="35903" xr:uid="{00000000-0005-0000-0000-0000648F0000}"/>
    <cellStyle name="Normal 343 4 2 3" xfId="35904" xr:uid="{00000000-0005-0000-0000-0000658F0000}"/>
    <cellStyle name="Normal 343 4 3" xfId="35905" xr:uid="{00000000-0005-0000-0000-0000668F0000}"/>
    <cellStyle name="Normal 343 4 3 2" xfId="35906" xr:uid="{00000000-0005-0000-0000-0000678F0000}"/>
    <cellStyle name="Normal 343 4 3 3" xfId="35907" xr:uid="{00000000-0005-0000-0000-0000688F0000}"/>
    <cellStyle name="Normal 343 4 4" xfId="35908" xr:uid="{00000000-0005-0000-0000-0000698F0000}"/>
    <cellStyle name="Normal 343 4 5" xfId="35909" xr:uid="{00000000-0005-0000-0000-00006A8F0000}"/>
    <cellStyle name="Normal 343 4 6" xfId="35910" xr:uid="{00000000-0005-0000-0000-00006B8F0000}"/>
    <cellStyle name="Normal 343 5" xfId="35911" xr:uid="{00000000-0005-0000-0000-00006C8F0000}"/>
    <cellStyle name="Normal 343 5 2" xfId="35912" xr:uid="{00000000-0005-0000-0000-00006D8F0000}"/>
    <cellStyle name="Normal 343 5 3" xfId="35913" xr:uid="{00000000-0005-0000-0000-00006E8F0000}"/>
    <cellStyle name="Normal 343 6" xfId="35914" xr:uid="{00000000-0005-0000-0000-00006F8F0000}"/>
    <cellStyle name="Normal 343 6 2" xfId="35915" xr:uid="{00000000-0005-0000-0000-0000708F0000}"/>
    <cellStyle name="Normal 343 6 3" xfId="35916" xr:uid="{00000000-0005-0000-0000-0000718F0000}"/>
    <cellStyle name="Normal 343 7" xfId="35917" xr:uid="{00000000-0005-0000-0000-0000728F0000}"/>
    <cellStyle name="Normal 343 8" xfId="35918" xr:uid="{00000000-0005-0000-0000-0000738F0000}"/>
    <cellStyle name="Normal 343 9" xfId="35919" xr:uid="{00000000-0005-0000-0000-0000748F0000}"/>
    <cellStyle name="Normal 344" xfId="3250" xr:uid="{00000000-0005-0000-0000-0000758F0000}"/>
    <cellStyle name="Normal 344 10" xfId="35920" xr:uid="{00000000-0005-0000-0000-0000768F0000}"/>
    <cellStyle name="Normal 344 11" xfId="35921" xr:uid="{00000000-0005-0000-0000-0000778F0000}"/>
    <cellStyle name="Normal 344 2" xfId="3251" xr:uid="{00000000-0005-0000-0000-0000788F0000}"/>
    <cellStyle name="Normal 344 2 10" xfId="35922" xr:uid="{00000000-0005-0000-0000-0000798F0000}"/>
    <cellStyle name="Normal 344 2 2" xfId="35923" xr:uid="{00000000-0005-0000-0000-00007A8F0000}"/>
    <cellStyle name="Normal 344 2 2 2" xfId="35924" xr:uid="{00000000-0005-0000-0000-00007B8F0000}"/>
    <cellStyle name="Normal 344 2 2 2 2" xfId="35925" xr:uid="{00000000-0005-0000-0000-00007C8F0000}"/>
    <cellStyle name="Normal 344 2 2 2 2 2" xfId="35926" xr:uid="{00000000-0005-0000-0000-00007D8F0000}"/>
    <cellStyle name="Normal 344 2 2 2 2 3" xfId="35927" xr:uid="{00000000-0005-0000-0000-00007E8F0000}"/>
    <cellStyle name="Normal 344 2 2 2 3" xfId="35928" xr:uid="{00000000-0005-0000-0000-00007F8F0000}"/>
    <cellStyle name="Normal 344 2 2 2 3 2" xfId="35929" xr:uid="{00000000-0005-0000-0000-0000808F0000}"/>
    <cellStyle name="Normal 344 2 2 2 3 3" xfId="35930" xr:uid="{00000000-0005-0000-0000-0000818F0000}"/>
    <cellStyle name="Normal 344 2 2 2 4" xfId="35931" xr:uid="{00000000-0005-0000-0000-0000828F0000}"/>
    <cellStyle name="Normal 344 2 2 2 5" xfId="35932" xr:uid="{00000000-0005-0000-0000-0000838F0000}"/>
    <cellStyle name="Normal 344 2 2 2 6" xfId="35933" xr:uid="{00000000-0005-0000-0000-0000848F0000}"/>
    <cellStyle name="Normal 344 2 2 3" xfId="35934" xr:uid="{00000000-0005-0000-0000-0000858F0000}"/>
    <cellStyle name="Normal 344 2 2 3 2" xfId="35935" xr:uid="{00000000-0005-0000-0000-0000868F0000}"/>
    <cellStyle name="Normal 344 2 2 3 3" xfId="35936" xr:uid="{00000000-0005-0000-0000-0000878F0000}"/>
    <cellStyle name="Normal 344 2 2 4" xfId="35937" xr:uid="{00000000-0005-0000-0000-0000888F0000}"/>
    <cellStyle name="Normal 344 2 2 4 2" xfId="35938" xr:uid="{00000000-0005-0000-0000-0000898F0000}"/>
    <cellStyle name="Normal 344 2 2 4 3" xfId="35939" xr:uid="{00000000-0005-0000-0000-00008A8F0000}"/>
    <cellStyle name="Normal 344 2 2 5" xfId="35940" xr:uid="{00000000-0005-0000-0000-00008B8F0000}"/>
    <cellStyle name="Normal 344 2 2 6" xfId="35941" xr:uid="{00000000-0005-0000-0000-00008C8F0000}"/>
    <cellStyle name="Normal 344 2 2 7" xfId="35942" xr:uid="{00000000-0005-0000-0000-00008D8F0000}"/>
    <cellStyle name="Normal 344 2 2 8" xfId="35943" xr:uid="{00000000-0005-0000-0000-00008E8F0000}"/>
    <cellStyle name="Normal 344 2 3" xfId="35944" xr:uid="{00000000-0005-0000-0000-00008F8F0000}"/>
    <cellStyle name="Normal 344 2 3 2" xfId="35945" xr:uid="{00000000-0005-0000-0000-0000908F0000}"/>
    <cellStyle name="Normal 344 2 3 2 2" xfId="35946" xr:uid="{00000000-0005-0000-0000-0000918F0000}"/>
    <cellStyle name="Normal 344 2 3 2 3" xfId="35947" xr:uid="{00000000-0005-0000-0000-0000928F0000}"/>
    <cellStyle name="Normal 344 2 3 3" xfId="35948" xr:uid="{00000000-0005-0000-0000-0000938F0000}"/>
    <cellStyle name="Normal 344 2 3 3 2" xfId="35949" xr:uid="{00000000-0005-0000-0000-0000948F0000}"/>
    <cellStyle name="Normal 344 2 3 3 3" xfId="35950" xr:uid="{00000000-0005-0000-0000-0000958F0000}"/>
    <cellStyle name="Normal 344 2 3 4" xfId="35951" xr:uid="{00000000-0005-0000-0000-0000968F0000}"/>
    <cellStyle name="Normal 344 2 3 5" xfId="35952" xr:uid="{00000000-0005-0000-0000-0000978F0000}"/>
    <cellStyle name="Normal 344 2 3 6" xfId="35953" xr:uid="{00000000-0005-0000-0000-0000988F0000}"/>
    <cellStyle name="Normal 344 2 4" xfId="35954" xr:uid="{00000000-0005-0000-0000-0000998F0000}"/>
    <cellStyle name="Normal 344 2 4 2" xfId="35955" xr:uid="{00000000-0005-0000-0000-00009A8F0000}"/>
    <cellStyle name="Normal 344 2 4 3" xfId="35956" xr:uid="{00000000-0005-0000-0000-00009B8F0000}"/>
    <cellStyle name="Normal 344 2 5" xfId="35957" xr:uid="{00000000-0005-0000-0000-00009C8F0000}"/>
    <cellStyle name="Normal 344 2 5 2" xfId="35958" xr:uid="{00000000-0005-0000-0000-00009D8F0000}"/>
    <cellStyle name="Normal 344 2 5 3" xfId="35959" xr:uid="{00000000-0005-0000-0000-00009E8F0000}"/>
    <cellStyle name="Normal 344 2 6" xfId="35960" xr:uid="{00000000-0005-0000-0000-00009F8F0000}"/>
    <cellStyle name="Normal 344 2 7" xfId="35961" xr:uid="{00000000-0005-0000-0000-0000A08F0000}"/>
    <cellStyle name="Normal 344 2 8" xfId="35962" xr:uid="{00000000-0005-0000-0000-0000A18F0000}"/>
    <cellStyle name="Normal 344 2 9" xfId="35963" xr:uid="{00000000-0005-0000-0000-0000A28F0000}"/>
    <cellStyle name="Normal 344 3" xfId="35964" xr:uid="{00000000-0005-0000-0000-0000A38F0000}"/>
    <cellStyle name="Normal 344 3 2" xfId="35965" xr:uid="{00000000-0005-0000-0000-0000A48F0000}"/>
    <cellStyle name="Normal 344 3 2 2" xfId="35966" xr:uid="{00000000-0005-0000-0000-0000A58F0000}"/>
    <cellStyle name="Normal 344 3 2 2 2" xfId="35967" xr:uid="{00000000-0005-0000-0000-0000A68F0000}"/>
    <cellStyle name="Normal 344 3 2 2 3" xfId="35968" xr:uid="{00000000-0005-0000-0000-0000A78F0000}"/>
    <cellStyle name="Normal 344 3 2 3" xfId="35969" xr:uid="{00000000-0005-0000-0000-0000A88F0000}"/>
    <cellStyle name="Normal 344 3 2 3 2" xfId="35970" xr:uid="{00000000-0005-0000-0000-0000A98F0000}"/>
    <cellStyle name="Normal 344 3 2 3 3" xfId="35971" xr:uid="{00000000-0005-0000-0000-0000AA8F0000}"/>
    <cellStyle name="Normal 344 3 2 4" xfId="35972" xr:uid="{00000000-0005-0000-0000-0000AB8F0000}"/>
    <cellStyle name="Normal 344 3 2 5" xfId="35973" xr:uid="{00000000-0005-0000-0000-0000AC8F0000}"/>
    <cellStyle name="Normal 344 3 2 6" xfId="35974" xr:uid="{00000000-0005-0000-0000-0000AD8F0000}"/>
    <cellStyle name="Normal 344 3 3" xfId="35975" xr:uid="{00000000-0005-0000-0000-0000AE8F0000}"/>
    <cellStyle name="Normal 344 3 3 2" xfId="35976" xr:uid="{00000000-0005-0000-0000-0000AF8F0000}"/>
    <cellStyle name="Normal 344 3 3 3" xfId="35977" xr:uid="{00000000-0005-0000-0000-0000B08F0000}"/>
    <cellStyle name="Normal 344 3 4" xfId="35978" xr:uid="{00000000-0005-0000-0000-0000B18F0000}"/>
    <cellStyle name="Normal 344 3 4 2" xfId="35979" xr:uid="{00000000-0005-0000-0000-0000B28F0000}"/>
    <cellStyle name="Normal 344 3 4 3" xfId="35980" xr:uid="{00000000-0005-0000-0000-0000B38F0000}"/>
    <cellStyle name="Normal 344 3 5" xfId="35981" xr:uid="{00000000-0005-0000-0000-0000B48F0000}"/>
    <cellStyle name="Normal 344 3 6" xfId="35982" xr:uid="{00000000-0005-0000-0000-0000B58F0000}"/>
    <cellStyle name="Normal 344 3 7" xfId="35983" xr:uid="{00000000-0005-0000-0000-0000B68F0000}"/>
    <cellStyle name="Normal 344 3 8" xfId="35984" xr:uid="{00000000-0005-0000-0000-0000B78F0000}"/>
    <cellStyle name="Normal 344 4" xfId="35985" xr:uid="{00000000-0005-0000-0000-0000B88F0000}"/>
    <cellStyle name="Normal 344 4 2" xfId="35986" xr:uid="{00000000-0005-0000-0000-0000B98F0000}"/>
    <cellStyle name="Normal 344 4 2 2" xfId="35987" xr:uid="{00000000-0005-0000-0000-0000BA8F0000}"/>
    <cellStyle name="Normal 344 4 2 3" xfId="35988" xr:uid="{00000000-0005-0000-0000-0000BB8F0000}"/>
    <cellStyle name="Normal 344 4 3" xfId="35989" xr:uid="{00000000-0005-0000-0000-0000BC8F0000}"/>
    <cellStyle name="Normal 344 4 3 2" xfId="35990" xr:uid="{00000000-0005-0000-0000-0000BD8F0000}"/>
    <cellStyle name="Normal 344 4 3 3" xfId="35991" xr:uid="{00000000-0005-0000-0000-0000BE8F0000}"/>
    <cellStyle name="Normal 344 4 4" xfId="35992" xr:uid="{00000000-0005-0000-0000-0000BF8F0000}"/>
    <cellStyle name="Normal 344 4 5" xfId="35993" xr:uid="{00000000-0005-0000-0000-0000C08F0000}"/>
    <cellStyle name="Normal 344 4 6" xfId="35994" xr:uid="{00000000-0005-0000-0000-0000C18F0000}"/>
    <cellStyle name="Normal 344 5" xfId="35995" xr:uid="{00000000-0005-0000-0000-0000C28F0000}"/>
    <cellStyle name="Normal 344 5 2" xfId="35996" xr:uid="{00000000-0005-0000-0000-0000C38F0000}"/>
    <cellStyle name="Normal 344 5 3" xfId="35997" xr:uid="{00000000-0005-0000-0000-0000C48F0000}"/>
    <cellStyle name="Normal 344 6" xfId="35998" xr:uid="{00000000-0005-0000-0000-0000C58F0000}"/>
    <cellStyle name="Normal 344 6 2" xfId="35999" xr:uid="{00000000-0005-0000-0000-0000C68F0000}"/>
    <cellStyle name="Normal 344 6 3" xfId="36000" xr:uid="{00000000-0005-0000-0000-0000C78F0000}"/>
    <cellStyle name="Normal 344 7" xfId="36001" xr:uid="{00000000-0005-0000-0000-0000C88F0000}"/>
    <cellStyle name="Normal 344 8" xfId="36002" xr:uid="{00000000-0005-0000-0000-0000C98F0000}"/>
    <cellStyle name="Normal 344 9" xfId="36003" xr:uid="{00000000-0005-0000-0000-0000CA8F0000}"/>
    <cellStyle name="Normal 345" xfId="3252" xr:uid="{00000000-0005-0000-0000-0000CB8F0000}"/>
    <cellStyle name="Normal 345 10" xfId="36004" xr:uid="{00000000-0005-0000-0000-0000CC8F0000}"/>
    <cellStyle name="Normal 345 11" xfId="36005" xr:uid="{00000000-0005-0000-0000-0000CD8F0000}"/>
    <cellStyle name="Normal 345 2" xfId="36006" xr:uid="{00000000-0005-0000-0000-0000CE8F0000}"/>
    <cellStyle name="Normal 345 2 2" xfId="36007" xr:uid="{00000000-0005-0000-0000-0000CF8F0000}"/>
    <cellStyle name="Normal 345 2 2 2" xfId="36008" xr:uid="{00000000-0005-0000-0000-0000D08F0000}"/>
    <cellStyle name="Normal 345 2 2 2 2" xfId="36009" xr:uid="{00000000-0005-0000-0000-0000D18F0000}"/>
    <cellStyle name="Normal 345 2 2 2 2 2" xfId="36010" xr:uid="{00000000-0005-0000-0000-0000D28F0000}"/>
    <cellStyle name="Normal 345 2 2 2 2 3" xfId="36011" xr:uid="{00000000-0005-0000-0000-0000D38F0000}"/>
    <cellStyle name="Normal 345 2 2 2 3" xfId="36012" xr:uid="{00000000-0005-0000-0000-0000D48F0000}"/>
    <cellStyle name="Normal 345 2 2 2 3 2" xfId="36013" xr:uid="{00000000-0005-0000-0000-0000D58F0000}"/>
    <cellStyle name="Normal 345 2 2 2 3 3" xfId="36014" xr:uid="{00000000-0005-0000-0000-0000D68F0000}"/>
    <cellStyle name="Normal 345 2 2 2 4" xfId="36015" xr:uid="{00000000-0005-0000-0000-0000D78F0000}"/>
    <cellStyle name="Normal 345 2 2 2 5" xfId="36016" xr:uid="{00000000-0005-0000-0000-0000D88F0000}"/>
    <cellStyle name="Normal 345 2 2 2 6" xfId="36017" xr:uid="{00000000-0005-0000-0000-0000D98F0000}"/>
    <cellStyle name="Normal 345 2 2 3" xfId="36018" xr:uid="{00000000-0005-0000-0000-0000DA8F0000}"/>
    <cellStyle name="Normal 345 2 2 3 2" xfId="36019" xr:uid="{00000000-0005-0000-0000-0000DB8F0000}"/>
    <cellStyle name="Normal 345 2 2 3 3" xfId="36020" xr:uid="{00000000-0005-0000-0000-0000DC8F0000}"/>
    <cellStyle name="Normal 345 2 2 4" xfId="36021" xr:uid="{00000000-0005-0000-0000-0000DD8F0000}"/>
    <cellStyle name="Normal 345 2 2 4 2" xfId="36022" xr:uid="{00000000-0005-0000-0000-0000DE8F0000}"/>
    <cellStyle name="Normal 345 2 2 4 3" xfId="36023" xr:uid="{00000000-0005-0000-0000-0000DF8F0000}"/>
    <cellStyle name="Normal 345 2 2 5" xfId="36024" xr:uid="{00000000-0005-0000-0000-0000E08F0000}"/>
    <cellStyle name="Normal 345 2 2 6" xfId="36025" xr:uid="{00000000-0005-0000-0000-0000E18F0000}"/>
    <cellStyle name="Normal 345 2 2 7" xfId="36026" xr:uid="{00000000-0005-0000-0000-0000E28F0000}"/>
    <cellStyle name="Normal 345 2 2 8" xfId="36027" xr:uid="{00000000-0005-0000-0000-0000E38F0000}"/>
    <cellStyle name="Normal 345 2 3" xfId="36028" xr:uid="{00000000-0005-0000-0000-0000E48F0000}"/>
    <cellStyle name="Normal 345 2 3 2" xfId="36029" xr:uid="{00000000-0005-0000-0000-0000E58F0000}"/>
    <cellStyle name="Normal 345 2 3 2 2" xfId="36030" xr:uid="{00000000-0005-0000-0000-0000E68F0000}"/>
    <cellStyle name="Normal 345 2 3 2 3" xfId="36031" xr:uid="{00000000-0005-0000-0000-0000E78F0000}"/>
    <cellStyle name="Normal 345 2 3 3" xfId="36032" xr:uid="{00000000-0005-0000-0000-0000E88F0000}"/>
    <cellStyle name="Normal 345 2 3 3 2" xfId="36033" xr:uid="{00000000-0005-0000-0000-0000E98F0000}"/>
    <cellStyle name="Normal 345 2 3 3 3" xfId="36034" xr:uid="{00000000-0005-0000-0000-0000EA8F0000}"/>
    <cellStyle name="Normal 345 2 3 4" xfId="36035" xr:uid="{00000000-0005-0000-0000-0000EB8F0000}"/>
    <cellStyle name="Normal 345 2 3 5" xfId="36036" xr:uid="{00000000-0005-0000-0000-0000EC8F0000}"/>
    <cellStyle name="Normal 345 2 3 6" xfId="36037" xr:uid="{00000000-0005-0000-0000-0000ED8F0000}"/>
    <cellStyle name="Normal 345 2 4" xfId="36038" xr:uid="{00000000-0005-0000-0000-0000EE8F0000}"/>
    <cellStyle name="Normal 345 2 4 2" xfId="36039" xr:uid="{00000000-0005-0000-0000-0000EF8F0000}"/>
    <cellStyle name="Normal 345 2 4 3" xfId="36040" xr:uid="{00000000-0005-0000-0000-0000F08F0000}"/>
    <cellStyle name="Normal 345 2 5" xfId="36041" xr:uid="{00000000-0005-0000-0000-0000F18F0000}"/>
    <cellStyle name="Normal 345 2 5 2" xfId="36042" xr:uid="{00000000-0005-0000-0000-0000F28F0000}"/>
    <cellStyle name="Normal 345 2 5 3" xfId="36043" xr:uid="{00000000-0005-0000-0000-0000F38F0000}"/>
    <cellStyle name="Normal 345 2 6" xfId="36044" xr:uid="{00000000-0005-0000-0000-0000F48F0000}"/>
    <cellStyle name="Normal 345 2 7" xfId="36045" xr:uid="{00000000-0005-0000-0000-0000F58F0000}"/>
    <cellStyle name="Normal 345 2 8" xfId="36046" xr:uid="{00000000-0005-0000-0000-0000F68F0000}"/>
    <cellStyle name="Normal 345 2 9" xfId="36047" xr:uid="{00000000-0005-0000-0000-0000F78F0000}"/>
    <cellStyle name="Normal 345 3" xfId="36048" xr:uid="{00000000-0005-0000-0000-0000F88F0000}"/>
    <cellStyle name="Normal 345 3 2" xfId="36049" xr:uid="{00000000-0005-0000-0000-0000F98F0000}"/>
    <cellStyle name="Normal 345 3 2 2" xfId="36050" xr:uid="{00000000-0005-0000-0000-0000FA8F0000}"/>
    <cellStyle name="Normal 345 3 2 2 2" xfId="36051" xr:uid="{00000000-0005-0000-0000-0000FB8F0000}"/>
    <cellStyle name="Normal 345 3 2 2 3" xfId="36052" xr:uid="{00000000-0005-0000-0000-0000FC8F0000}"/>
    <cellStyle name="Normal 345 3 2 3" xfId="36053" xr:uid="{00000000-0005-0000-0000-0000FD8F0000}"/>
    <cellStyle name="Normal 345 3 2 3 2" xfId="36054" xr:uid="{00000000-0005-0000-0000-0000FE8F0000}"/>
    <cellStyle name="Normal 345 3 2 3 3" xfId="36055" xr:uid="{00000000-0005-0000-0000-0000FF8F0000}"/>
    <cellStyle name="Normal 345 3 2 4" xfId="36056" xr:uid="{00000000-0005-0000-0000-000000900000}"/>
    <cellStyle name="Normal 345 3 2 5" xfId="36057" xr:uid="{00000000-0005-0000-0000-000001900000}"/>
    <cellStyle name="Normal 345 3 2 6" xfId="36058" xr:uid="{00000000-0005-0000-0000-000002900000}"/>
    <cellStyle name="Normal 345 3 3" xfId="36059" xr:uid="{00000000-0005-0000-0000-000003900000}"/>
    <cellStyle name="Normal 345 3 3 2" xfId="36060" xr:uid="{00000000-0005-0000-0000-000004900000}"/>
    <cellStyle name="Normal 345 3 3 3" xfId="36061" xr:uid="{00000000-0005-0000-0000-000005900000}"/>
    <cellStyle name="Normal 345 3 4" xfId="36062" xr:uid="{00000000-0005-0000-0000-000006900000}"/>
    <cellStyle name="Normal 345 3 4 2" xfId="36063" xr:uid="{00000000-0005-0000-0000-000007900000}"/>
    <cellStyle name="Normal 345 3 4 3" xfId="36064" xr:uid="{00000000-0005-0000-0000-000008900000}"/>
    <cellStyle name="Normal 345 3 5" xfId="36065" xr:uid="{00000000-0005-0000-0000-000009900000}"/>
    <cellStyle name="Normal 345 3 6" xfId="36066" xr:uid="{00000000-0005-0000-0000-00000A900000}"/>
    <cellStyle name="Normal 345 3 7" xfId="36067" xr:uid="{00000000-0005-0000-0000-00000B900000}"/>
    <cellStyle name="Normal 345 3 8" xfId="36068" xr:uid="{00000000-0005-0000-0000-00000C900000}"/>
    <cellStyle name="Normal 345 4" xfId="36069" xr:uid="{00000000-0005-0000-0000-00000D900000}"/>
    <cellStyle name="Normal 345 4 2" xfId="36070" xr:uid="{00000000-0005-0000-0000-00000E900000}"/>
    <cellStyle name="Normal 345 4 2 2" xfId="36071" xr:uid="{00000000-0005-0000-0000-00000F900000}"/>
    <cellStyle name="Normal 345 4 2 3" xfId="36072" xr:uid="{00000000-0005-0000-0000-000010900000}"/>
    <cellStyle name="Normal 345 4 3" xfId="36073" xr:uid="{00000000-0005-0000-0000-000011900000}"/>
    <cellStyle name="Normal 345 4 3 2" xfId="36074" xr:uid="{00000000-0005-0000-0000-000012900000}"/>
    <cellStyle name="Normal 345 4 3 3" xfId="36075" xr:uid="{00000000-0005-0000-0000-000013900000}"/>
    <cellStyle name="Normal 345 4 4" xfId="36076" xr:uid="{00000000-0005-0000-0000-000014900000}"/>
    <cellStyle name="Normal 345 4 5" xfId="36077" xr:uid="{00000000-0005-0000-0000-000015900000}"/>
    <cellStyle name="Normal 345 4 6" xfId="36078" xr:uid="{00000000-0005-0000-0000-000016900000}"/>
    <cellStyle name="Normal 345 5" xfId="36079" xr:uid="{00000000-0005-0000-0000-000017900000}"/>
    <cellStyle name="Normal 345 5 2" xfId="36080" xr:uid="{00000000-0005-0000-0000-000018900000}"/>
    <cellStyle name="Normal 345 5 3" xfId="36081" xr:uid="{00000000-0005-0000-0000-000019900000}"/>
    <cellStyle name="Normal 345 6" xfId="36082" xr:uid="{00000000-0005-0000-0000-00001A900000}"/>
    <cellStyle name="Normal 345 6 2" xfId="36083" xr:uid="{00000000-0005-0000-0000-00001B900000}"/>
    <cellStyle name="Normal 345 6 3" xfId="36084" xr:uid="{00000000-0005-0000-0000-00001C900000}"/>
    <cellStyle name="Normal 345 7" xfId="36085" xr:uid="{00000000-0005-0000-0000-00001D900000}"/>
    <cellStyle name="Normal 345 8" xfId="36086" xr:uid="{00000000-0005-0000-0000-00001E900000}"/>
    <cellStyle name="Normal 345 9" xfId="36087" xr:uid="{00000000-0005-0000-0000-00001F900000}"/>
    <cellStyle name="Normal 346" xfId="3253" xr:uid="{00000000-0005-0000-0000-000020900000}"/>
    <cellStyle name="Normal 346 10" xfId="36088" xr:uid="{00000000-0005-0000-0000-000021900000}"/>
    <cellStyle name="Normal 346 11" xfId="36089" xr:uid="{00000000-0005-0000-0000-000022900000}"/>
    <cellStyle name="Normal 346 2" xfId="36090" xr:uid="{00000000-0005-0000-0000-000023900000}"/>
    <cellStyle name="Normal 346 2 2" xfId="36091" xr:uid="{00000000-0005-0000-0000-000024900000}"/>
    <cellStyle name="Normal 346 2 2 2" xfId="36092" xr:uid="{00000000-0005-0000-0000-000025900000}"/>
    <cellStyle name="Normal 346 2 2 2 2" xfId="36093" xr:uid="{00000000-0005-0000-0000-000026900000}"/>
    <cellStyle name="Normal 346 2 2 2 2 2" xfId="36094" xr:uid="{00000000-0005-0000-0000-000027900000}"/>
    <cellStyle name="Normal 346 2 2 2 2 3" xfId="36095" xr:uid="{00000000-0005-0000-0000-000028900000}"/>
    <cellStyle name="Normal 346 2 2 2 3" xfId="36096" xr:uid="{00000000-0005-0000-0000-000029900000}"/>
    <cellStyle name="Normal 346 2 2 2 3 2" xfId="36097" xr:uid="{00000000-0005-0000-0000-00002A900000}"/>
    <cellStyle name="Normal 346 2 2 2 3 3" xfId="36098" xr:uid="{00000000-0005-0000-0000-00002B900000}"/>
    <cellStyle name="Normal 346 2 2 2 4" xfId="36099" xr:uid="{00000000-0005-0000-0000-00002C900000}"/>
    <cellStyle name="Normal 346 2 2 2 5" xfId="36100" xr:uid="{00000000-0005-0000-0000-00002D900000}"/>
    <cellStyle name="Normal 346 2 2 2 6" xfId="36101" xr:uid="{00000000-0005-0000-0000-00002E900000}"/>
    <cellStyle name="Normal 346 2 2 3" xfId="36102" xr:uid="{00000000-0005-0000-0000-00002F900000}"/>
    <cellStyle name="Normal 346 2 2 3 2" xfId="36103" xr:uid="{00000000-0005-0000-0000-000030900000}"/>
    <cellStyle name="Normal 346 2 2 3 3" xfId="36104" xr:uid="{00000000-0005-0000-0000-000031900000}"/>
    <cellStyle name="Normal 346 2 2 4" xfId="36105" xr:uid="{00000000-0005-0000-0000-000032900000}"/>
    <cellStyle name="Normal 346 2 2 4 2" xfId="36106" xr:uid="{00000000-0005-0000-0000-000033900000}"/>
    <cellStyle name="Normal 346 2 2 4 3" xfId="36107" xr:uid="{00000000-0005-0000-0000-000034900000}"/>
    <cellStyle name="Normal 346 2 2 5" xfId="36108" xr:uid="{00000000-0005-0000-0000-000035900000}"/>
    <cellStyle name="Normal 346 2 2 6" xfId="36109" xr:uid="{00000000-0005-0000-0000-000036900000}"/>
    <cellStyle name="Normal 346 2 2 7" xfId="36110" xr:uid="{00000000-0005-0000-0000-000037900000}"/>
    <cellStyle name="Normal 346 2 2 8" xfId="36111" xr:uid="{00000000-0005-0000-0000-000038900000}"/>
    <cellStyle name="Normal 346 2 3" xfId="36112" xr:uid="{00000000-0005-0000-0000-000039900000}"/>
    <cellStyle name="Normal 346 2 3 2" xfId="36113" xr:uid="{00000000-0005-0000-0000-00003A900000}"/>
    <cellStyle name="Normal 346 2 3 2 2" xfId="36114" xr:uid="{00000000-0005-0000-0000-00003B900000}"/>
    <cellStyle name="Normal 346 2 3 2 3" xfId="36115" xr:uid="{00000000-0005-0000-0000-00003C900000}"/>
    <cellStyle name="Normal 346 2 3 3" xfId="36116" xr:uid="{00000000-0005-0000-0000-00003D900000}"/>
    <cellStyle name="Normal 346 2 3 3 2" xfId="36117" xr:uid="{00000000-0005-0000-0000-00003E900000}"/>
    <cellStyle name="Normal 346 2 3 3 3" xfId="36118" xr:uid="{00000000-0005-0000-0000-00003F900000}"/>
    <cellStyle name="Normal 346 2 3 4" xfId="36119" xr:uid="{00000000-0005-0000-0000-000040900000}"/>
    <cellStyle name="Normal 346 2 3 5" xfId="36120" xr:uid="{00000000-0005-0000-0000-000041900000}"/>
    <cellStyle name="Normal 346 2 3 6" xfId="36121" xr:uid="{00000000-0005-0000-0000-000042900000}"/>
    <cellStyle name="Normal 346 2 4" xfId="36122" xr:uid="{00000000-0005-0000-0000-000043900000}"/>
    <cellStyle name="Normal 346 2 4 2" xfId="36123" xr:uid="{00000000-0005-0000-0000-000044900000}"/>
    <cellStyle name="Normal 346 2 4 3" xfId="36124" xr:uid="{00000000-0005-0000-0000-000045900000}"/>
    <cellStyle name="Normal 346 2 5" xfId="36125" xr:uid="{00000000-0005-0000-0000-000046900000}"/>
    <cellStyle name="Normal 346 2 5 2" xfId="36126" xr:uid="{00000000-0005-0000-0000-000047900000}"/>
    <cellStyle name="Normal 346 2 5 3" xfId="36127" xr:uid="{00000000-0005-0000-0000-000048900000}"/>
    <cellStyle name="Normal 346 2 6" xfId="36128" xr:uid="{00000000-0005-0000-0000-000049900000}"/>
    <cellStyle name="Normal 346 2 7" xfId="36129" xr:uid="{00000000-0005-0000-0000-00004A900000}"/>
    <cellStyle name="Normal 346 2 8" xfId="36130" xr:uid="{00000000-0005-0000-0000-00004B900000}"/>
    <cellStyle name="Normal 346 2 9" xfId="36131" xr:uid="{00000000-0005-0000-0000-00004C900000}"/>
    <cellStyle name="Normal 346 3" xfId="36132" xr:uid="{00000000-0005-0000-0000-00004D900000}"/>
    <cellStyle name="Normal 346 3 2" xfId="36133" xr:uid="{00000000-0005-0000-0000-00004E900000}"/>
    <cellStyle name="Normal 346 3 2 2" xfId="36134" xr:uid="{00000000-0005-0000-0000-00004F900000}"/>
    <cellStyle name="Normal 346 3 2 2 2" xfId="36135" xr:uid="{00000000-0005-0000-0000-000050900000}"/>
    <cellStyle name="Normal 346 3 2 2 3" xfId="36136" xr:uid="{00000000-0005-0000-0000-000051900000}"/>
    <cellStyle name="Normal 346 3 2 3" xfId="36137" xr:uid="{00000000-0005-0000-0000-000052900000}"/>
    <cellStyle name="Normal 346 3 2 3 2" xfId="36138" xr:uid="{00000000-0005-0000-0000-000053900000}"/>
    <cellStyle name="Normal 346 3 2 3 3" xfId="36139" xr:uid="{00000000-0005-0000-0000-000054900000}"/>
    <cellStyle name="Normal 346 3 2 4" xfId="36140" xr:uid="{00000000-0005-0000-0000-000055900000}"/>
    <cellStyle name="Normal 346 3 2 5" xfId="36141" xr:uid="{00000000-0005-0000-0000-000056900000}"/>
    <cellStyle name="Normal 346 3 2 6" xfId="36142" xr:uid="{00000000-0005-0000-0000-000057900000}"/>
    <cellStyle name="Normal 346 3 3" xfId="36143" xr:uid="{00000000-0005-0000-0000-000058900000}"/>
    <cellStyle name="Normal 346 3 3 2" xfId="36144" xr:uid="{00000000-0005-0000-0000-000059900000}"/>
    <cellStyle name="Normal 346 3 3 3" xfId="36145" xr:uid="{00000000-0005-0000-0000-00005A900000}"/>
    <cellStyle name="Normal 346 3 4" xfId="36146" xr:uid="{00000000-0005-0000-0000-00005B900000}"/>
    <cellStyle name="Normal 346 3 4 2" xfId="36147" xr:uid="{00000000-0005-0000-0000-00005C900000}"/>
    <cellStyle name="Normal 346 3 4 3" xfId="36148" xr:uid="{00000000-0005-0000-0000-00005D900000}"/>
    <cellStyle name="Normal 346 3 5" xfId="36149" xr:uid="{00000000-0005-0000-0000-00005E900000}"/>
    <cellStyle name="Normal 346 3 6" xfId="36150" xr:uid="{00000000-0005-0000-0000-00005F900000}"/>
    <cellStyle name="Normal 346 3 7" xfId="36151" xr:uid="{00000000-0005-0000-0000-000060900000}"/>
    <cellStyle name="Normal 346 3 8" xfId="36152" xr:uid="{00000000-0005-0000-0000-000061900000}"/>
    <cellStyle name="Normal 346 4" xfId="36153" xr:uid="{00000000-0005-0000-0000-000062900000}"/>
    <cellStyle name="Normal 346 4 2" xfId="36154" xr:uid="{00000000-0005-0000-0000-000063900000}"/>
    <cellStyle name="Normal 346 4 2 2" xfId="36155" xr:uid="{00000000-0005-0000-0000-000064900000}"/>
    <cellStyle name="Normal 346 4 2 3" xfId="36156" xr:uid="{00000000-0005-0000-0000-000065900000}"/>
    <cellStyle name="Normal 346 4 3" xfId="36157" xr:uid="{00000000-0005-0000-0000-000066900000}"/>
    <cellStyle name="Normal 346 4 3 2" xfId="36158" xr:uid="{00000000-0005-0000-0000-000067900000}"/>
    <cellStyle name="Normal 346 4 3 3" xfId="36159" xr:uid="{00000000-0005-0000-0000-000068900000}"/>
    <cellStyle name="Normal 346 4 4" xfId="36160" xr:uid="{00000000-0005-0000-0000-000069900000}"/>
    <cellStyle name="Normal 346 4 5" xfId="36161" xr:uid="{00000000-0005-0000-0000-00006A900000}"/>
    <cellStyle name="Normal 346 4 6" xfId="36162" xr:uid="{00000000-0005-0000-0000-00006B900000}"/>
    <cellStyle name="Normal 346 5" xfId="36163" xr:uid="{00000000-0005-0000-0000-00006C900000}"/>
    <cellStyle name="Normal 346 5 2" xfId="36164" xr:uid="{00000000-0005-0000-0000-00006D900000}"/>
    <cellStyle name="Normal 346 5 3" xfId="36165" xr:uid="{00000000-0005-0000-0000-00006E900000}"/>
    <cellStyle name="Normal 346 6" xfId="36166" xr:uid="{00000000-0005-0000-0000-00006F900000}"/>
    <cellStyle name="Normal 346 6 2" xfId="36167" xr:uid="{00000000-0005-0000-0000-000070900000}"/>
    <cellStyle name="Normal 346 6 3" xfId="36168" xr:uid="{00000000-0005-0000-0000-000071900000}"/>
    <cellStyle name="Normal 346 7" xfId="36169" xr:uid="{00000000-0005-0000-0000-000072900000}"/>
    <cellStyle name="Normal 346 8" xfId="36170" xr:uid="{00000000-0005-0000-0000-000073900000}"/>
    <cellStyle name="Normal 346 9" xfId="36171" xr:uid="{00000000-0005-0000-0000-000074900000}"/>
    <cellStyle name="Normal 347" xfId="3254" xr:uid="{00000000-0005-0000-0000-000075900000}"/>
    <cellStyle name="Normal 347 10" xfId="36172" xr:uid="{00000000-0005-0000-0000-000076900000}"/>
    <cellStyle name="Normal 347 11" xfId="36173" xr:uid="{00000000-0005-0000-0000-000077900000}"/>
    <cellStyle name="Normal 347 2" xfId="3255" xr:uid="{00000000-0005-0000-0000-000078900000}"/>
    <cellStyle name="Normal 347 2 10" xfId="36174" xr:uid="{00000000-0005-0000-0000-000079900000}"/>
    <cellStyle name="Normal 347 2 2" xfId="36175" xr:uid="{00000000-0005-0000-0000-00007A900000}"/>
    <cellStyle name="Normal 347 2 2 2" xfId="36176" xr:uid="{00000000-0005-0000-0000-00007B900000}"/>
    <cellStyle name="Normal 347 2 2 2 2" xfId="36177" xr:uid="{00000000-0005-0000-0000-00007C900000}"/>
    <cellStyle name="Normal 347 2 2 2 2 2" xfId="36178" xr:uid="{00000000-0005-0000-0000-00007D900000}"/>
    <cellStyle name="Normal 347 2 2 2 2 3" xfId="36179" xr:uid="{00000000-0005-0000-0000-00007E900000}"/>
    <cellStyle name="Normal 347 2 2 2 3" xfId="36180" xr:uid="{00000000-0005-0000-0000-00007F900000}"/>
    <cellStyle name="Normal 347 2 2 2 3 2" xfId="36181" xr:uid="{00000000-0005-0000-0000-000080900000}"/>
    <cellStyle name="Normal 347 2 2 2 3 3" xfId="36182" xr:uid="{00000000-0005-0000-0000-000081900000}"/>
    <cellStyle name="Normal 347 2 2 2 4" xfId="36183" xr:uid="{00000000-0005-0000-0000-000082900000}"/>
    <cellStyle name="Normal 347 2 2 2 5" xfId="36184" xr:uid="{00000000-0005-0000-0000-000083900000}"/>
    <cellStyle name="Normal 347 2 2 2 6" xfId="36185" xr:uid="{00000000-0005-0000-0000-000084900000}"/>
    <cellStyle name="Normal 347 2 2 3" xfId="36186" xr:uid="{00000000-0005-0000-0000-000085900000}"/>
    <cellStyle name="Normal 347 2 2 3 2" xfId="36187" xr:uid="{00000000-0005-0000-0000-000086900000}"/>
    <cellStyle name="Normal 347 2 2 3 3" xfId="36188" xr:uid="{00000000-0005-0000-0000-000087900000}"/>
    <cellStyle name="Normal 347 2 2 4" xfId="36189" xr:uid="{00000000-0005-0000-0000-000088900000}"/>
    <cellStyle name="Normal 347 2 2 4 2" xfId="36190" xr:uid="{00000000-0005-0000-0000-000089900000}"/>
    <cellStyle name="Normal 347 2 2 4 3" xfId="36191" xr:uid="{00000000-0005-0000-0000-00008A900000}"/>
    <cellStyle name="Normal 347 2 2 5" xfId="36192" xr:uid="{00000000-0005-0000-0000-00008B900000}"/>
    <cellStyle name="Normal 347 2 2 6" xfId="36193" xr:uid="{00000000-0005-0000-0000-00008C900000}"/>
    <cellStyle name="Normal 347 2 2 7" xfId="36194" xr:uid="{00000000-0005-0000-0000-00008D900000}"/>
    <cellStyle name="Normal 347 2 2 8" xfId="36195" xr:uid="{00000000-0005-0000-0000-00008E900000}"/>
    <cellStyle name="Normal 347 2 3" xfId="36196" xr:uid="{00000000-0005-0000-0000-00008F900000}"/>
    <cellStyle name="Normal 347 2 3 2" xfId="36197" xr:uid="{00000000-0005-0000-0000-000090900000}"/>
    <cellStyle name="Normal 347 2 3 2 2" xfId="36198" xr:uid="{00000000-0005-0000-0000-000091900000}"/>
    <cellStyle name="Normal 347 2 3 2 3" xfId="36199" xr:uid="{00000000-0005-0000-0000-000092900000}"/>
    <cellStyle name="Normal 347 2 3 3" xfId="36200" xr:uid="{00000000-0005-0000-0000-000093900000}"/>
    <cellStyle name="Normal 347 2 3 3 2" xfId="36201" xr:uid="{00000000-0005-0000-0000-000094900000}"/>
    <cellStyle name="Normal 347 2 3 3 3" xfId="36202" xr:uid="{00000000-0005-0000-0000-000095900000}"/>
    <cellStyle name="Normal 347 2 3 4" xfId="36203" xr:uid="{00000000-0005-0000-0000-000096900000}"/>
    <cellStyle name="Normal 347 2 3 5" xfId="36204" xr:uid="{00000000-0005-0000-0000-000097900000}"/>
    <cellStyle name="Normal 347 2 3 6" xfId="36205" xr:uid="{00000000-0005-0000-0000-000098900000}"/>
    <cellStyle name="Normal 347 2 4" xfId="36206" xr:uid="{00000000-0005-0000-0000-000099900000}"/>
    <cellStyle name="Normal 347 2 4 2" xfId="36207" xr:uid="{00000000-0005-0000-0000-00009A900000}"/>
    <cellStyle name="Normal 347 2 4 3" xfId="36208" xr:uid="{00000000-0005-0000-0000-00009B900000}"/>
    <cellStyle name="Normal 347 2 5" xfId="36209" xr:uid="{00000000-0005-0000-0000-00009C900000}"/>
    <cellStyle name="Normal 347 2 5 2" xfId="36210" xr:uid="{00000000-0005-0000-0000-00009D900000}"/>
    <cellStyle name="Normal 347 2 5 3" xfId="36211" xr:uid="{00000000-0005-0000-0000-00009E900000}"/>
    <cellStyle name="Normal 347 2 6" xfId="36212" xr:uid="{00000000-0005-0000-0000-00009F900000}"/>
    <cellStyle name="Normal 347 2 7" xfId="36213" xr:uid="{00000000-0005-0000-0000-0000A0900000}"/>
    <cellStyle name="Normal 347 2 8" xfId="36214" xr:uid="{00000000-0005-0000-0000-0000A1900000}"/>
    <cellStyle name="Normal 347 2 9" xfId="36215" xr:uid="{00000000-0005-0000-0000-0000A2900000}"/>
    <cellStyle name="Normal 347 3" xfId="36216" xr:uid="{00000000-0005-0000-0000-0000A3900000}"/>
    <cellStyle name="Normal 347 3 2" xfId="36217" xr:uid="{00000000-0005-0000-0000-0000A4900000}"/>
    <cellStyle name="Normal 347 3 2 2" xfId="36218" xr:uid="{00000000-0005-0000-0000-0000A5900000}"/>
    <cellStyle name="Normal 347 3 2 2 2" xfId="36219" xr:uid="{00000000-0005-0000-0000-0000A6900000}"/>
    <cellStyle name="Normal 347 3 2 2 3" xfId="36220" xr:uid="{00000000-0005-0000-0000-0000A7900000}"/>
    <cellStyle name="Normal 347 3 2 3" xfId="36221" xr:uid="{00000000-0005-0000-0000-0000A8900000}"/>
    <cellStyle name="Normal 347 3 2 3 2" xfId="36222" xr:uid="{00000000-0005-0000-0000-0000A9900000}"/>
    <cellStyle name="Normal 347 3 2 3 3" xfId="36223" xr:uid="{00000000-0005-0000-0000-0000AA900000}"/>
    <cellStyle name="Normal 347 3 2 4" xfId="36224" xr:uid="{00000000-0005-0000-0000-0000AB900000}"/>
    <cellStyle name="Normal 347 3 2 5" xfId="36225" xr:uid="{00000000-0005-0000-0000-0000AC900000}"/>
    <cellStyle name="Normal 347 3 2 6" xfId="36226" xr:uid="{00000000-0005-0000-0000-0000AD900000}"/>
    <cellStyle name="Normal 347 3 3" xfId="36227" xr:uid="{00000000-0005-0000-0000-0000AE900000}"/>
    <cellStyle name="Normal 347 3 3 2" xfId="36228" xr:uid="{00000000-0005-0000-0000-0000AF900000}"/>
    <cellStyle name="Normal 347 3 3 3" xfId="36229" xr:uid="{00000000-0005-0000-0000-0000B0900000}"/>
    <cellStyle name="Normal 347 3 4" xfId="36230" xr:uid="{00000000-0005-0000-0000-0000B1900000}"/>
    <cellStyle name="Normal 347 3 4 2" xfId="36231" xr:uid="{00000000-0005-0000-0000-0000B2900000}"/>
    <cellStyle name="Normal 347 3 4 3" xfId="36232" xr:uid="{00000000-0005-0000-0000-0000B3900000}"/>
    <cellStyle name="Normal 347 3 5" xfId="36233" xr:uid="{00000000-0005-0000-0000-0000B4900000}"/>
    <cellStyle name="Normal 347 3 6" xfId="36234" xr:uid="{00000000-0005-0000-0000-0000B5900000}"/>
    <cellStyle name="Normal 347 3 7" xfId="36235" xr:uid="{00000000-0005-0000-0000-0000B6900000}"/>
    <cellStyle name="Normal 347 3 8" xfId="36236" xr:uid="{00000000-0005-0000-0000-0000B7900000}"/>
    <cellStyle name="Normal 347 4" xfId="36237" xr:uid="{00000000-0005-0000-0000-0000B8900000}"/>
    <cellStyle name="Normal 347 4 2" xfId="36238" xr:uid="{00000000-0005-0000-0000-0000B9900000}"/>
    <cellStyle name="Normal 347 4 2 2" xfId="36239" xr:uid="{00000000-0005-0000-0000-0000BA900000}"/>
    <cellStyle name="Normal 347 4 2 3" xfId="36240" xr:uid="{00000000-0005-0000-0000-0000BB900000}"/>
    <cellStyle name="Normal 347 4 3" xfId="36241" xr:uid="{00000000-0005-0000-0000-0000BC900000}"/>
    <cellStyle name="Normal 347 4 3 2" xfId="36242" xr:uid="{00000000-0005-0000-0000-0000BD900000}"/>
    <cellStyle name="Normal 347 4 3 3" xfId="36243" xr:uid="{00000000-0005-0000-0000-0000BE900000}"/>
    <cellStyle name="Normal 347 4 4" xfId="36244" xr:uid="{00000000-0005-0000-0000-0000BF900000}"/>
    <cellStyle name="Normal 347 4 5" xfId="36245" xr:uid="{00000000-0005-0000-0000-0000C0900000}"/>
    <cellStyle name="Normal 347 4 6" xfId="36246" xr:uid="{00000000-0005-0000-0000-0000C1900000}"/>
    <cellStyle name="Normal 347 5" xfId="36247" xr:uid="{00000000-0005-0000-0000-0000C2900000}"/>
    <cellStyle name="Normal 347 5 2" xfId="36248" xr:uid="{00000000-0005-0000-0000-0000C3900000}"/>
    <cellStyle name="Normal 347 5 3" xfId="36249" xr:uid="{00000000-0005-0000-0000-0000C4900000}"/>
    <cellStyle name="Normal 347 6" xfId="36250" xr:uid="{00000000-0005-0000-0000-0000C5900000}"/>
    <cellStyle name="Normal 347 6 2" xfId="36251" xr:uid="{00000000-0005-0000-0000-0000C6900000}"/>
    <cellStyle name="Normal 347 6 3" xfId="36252" xr:uid="{00000000-0005-0000-0000-0000C7900000}"/>
    <cellStyle name="Normal 347 7" xfId="36253" xr:uid="{00000000-0005-0000-0000-0000C8900000}"/>
    <cellStyle name="Normal 347 8" xfId="36254" xr:uid="{00000000-0005-0000-0000-0000C9900000}"/>
    <cellStyle name="Normal 347 9" xfId="36255" xr:uid="{00000000-0005-0000-0000-0000CA900000}"/>
    <cellStyle name="Normal 348" xfId="3256" xr:uid="{00000000-0005-0000-0000-0000CB900000}"/>
    <cellStyle name="Normal 348 10" xfId="36256" xr:uid="{00000000-0005-0000-0000-0000CC900000}"/>
    <cellStyle name="Normal 348 11" xfId="36257" xr:uid="{00000000-0005-0000-0000-0000CD900000}"/>
    <cellStyle name="Normal 348 2" xfId="36258" xr:uid="{00000000-0005-0000-0000-0000CE900000}"/>
    <cellStyle name="Normal 348 2 2" xfId="36259" xr:uid="{00000000-0005-0000-0000-0000CF900000}"/>
    <cellStyle name="Normal 348 2 2 2" xfId="36260" xr:uid="{00000000-0005-0000-0000-0000D0900000}"/>
    <cellStyle name="Normal 348 2 2 2 2" xfId="36261" xr:uid="{00000000-0005-0000-0000-0000D1900000}"/>
    <cellStyle name="Normal 348 2 2 2 2 2" xfId="36262" xr:uid="{00000000-0005-0000-0000-0000D2900000}"/>
    <cellStyle name="Normal 348 2 2 2 2 3" xfId="36263" xr:uid="{00000000-0005-0000-0000-0000D3900000}"/>
    <cellStyle name="Normal 348 2 2 2 3" xfId="36264" xr:uid="{00000000-0005-0000-0000-0000D4900000}"/>
    <cellStyle name="Normal 348 2 2 2 3 2" xfId="36265" xr:uid="{00000000-0005-0000-0000-0000D5900000}"/>
    <cellStyle name="Normal 348 2 2 2 3 3" xfId="36266" xr:uid="{00000000-0005-0000-0000-0000D6900000}"/>
    <cellStyle name="Normal 348 2 2 2 4" xfId="36267" xr:uid="{00000000-0005-0000-0000-0000D7900000}"/>
    <cellStyle name="Normal 348 2 2 2 5" xfId="36268" xr:uid="{00000000-0005-0000-0000-0000D8900000}"/>
    <cellStyle name="Normal 348 2 2 2 6" xfId="36269" xr:uid="{00000000-0005-0000-0000-0000D9900000}"/>
    <cellStyle name="Normal 348 2 2 3" xfId="36270" xr:uid="{00000000-0005-0000-0000-0000DA900000}"/>
    <cellStyle name="Normal 348 2 2 3 2" xfId="36271" xr:uid="{00000000-0005-0000-0000-0000DB900000}"/>
    <cellStyle name="Normal 348 2 2 3 3" xfId="36272" xr:uid="{00000000-0005-0000-0000-0000DC900000}"/>
    <cellStyle name="Normal 348 2 2 4" xfId="36273" xr:uid="{00000000-0005-0000-0000-0000DD900000}"/>
    <cellStyle name="Normal 348 2 2 4 2" xfId="36274" xr:uid="{00000000-0005-0000-0000-0000DE900000}"/>
    <cellStyle name="Normal 348 2 2 4 3" xfId="36275" xr:uid="{00000000-0005-0000-0000-0000DF900000}"/>
    <cellStyle name="Normal 348 2 2 5" xfId="36276" xr:uid="{00000000-0005-0000-0000-0000E0900000}"/>
    <cellStyle name="Normal 348 2 2 6" xfId="36277" xr:uid="{00000000-0005-0000-0000-0000E1900000}"/>
    <cellStyle name="Normal 348 2 2 7" xfId="36278" xr:uid="{00000000-0005-0000-0000-0000E2900000}"/>
    <cellStyle name="Normal 348 2 2 8" xfId="36279" xr:uid="{00000000-0005-0000-0000-0000E3900000}"/>
    <cellStyle name="Normal 348 2 3" xfId="36280" xr:uid="{00000000-0005-0000-0000-0000E4900000}"/>
    <cellStyle name="Normal 348 2 3 2" xfId="36281" xr:uid="{00000000-0005-0000-0000-0000E5900000}"/>
    <cellStyle name="Normal 348 2 3 2 2" xfId="36282" xr:uid="{00000000-0005-0000-0000-0000E6900000}"/>
    <cellStyle name="Normal 348 2 3 2 3" xfId="36283" xr:uid="{00000000-0005-0000-0000-0000E7900000}"/>
    <cellStyle name="Normal 348 2 3 3" xfId="36284" xr:uid="{00000000-0005-0000-0000-0000E8900000}"/>
    <cellStyle name="Normal 348 2 3 3 2" xfId="36285" xr:uid="{00000000-0005-0000-0000-0000E9900000}"/>
    <cellStyle name="Normal 348 2 3 3 3" xfId="36286" xr:uid="{00000000-0005-0000-0000-0000EA900000}"/>
    <cellStyle name="Normal 348 2 3 4" xfId="36287" xr:uid="{00000000-0005-0000-0000-0000EB900000}"/>
    <cellStyle name="Normal 348 2 3 5" xfId="36288" xr:uid="{00000000-0005-0000-0000-0000EC900000}"/>
    <cellStyle name="Normal 348 2 3 6" xfId="36289" xr:uid="{00000000-0005-0000-0000-0000ED900000}"/>
    <cellStyle name="Normal 348 2 4" xfId="36290" xr:uid="{00000000-0005-0000-0000-0000EE900000}"/>
    <cellStyle name="Normal 348 2 4 2" xfId="36291" xr:uid="{00000000-0005-0000-0000-0000EF900000}"/>
    <cellStyle name="Normal 348 2 4 3" xfId="36292" xr:uid="{00000000-0005-0000-0000-0000F0900000}"/>
    <cellStyle name="Normal 348 2 5" xfId="36293" xr:uid="{00000000-0005-0000-0000-0000F1900000}"/>
    <cellStyle name="Normal 348 2 5 2" xfId="36294" xr:uid="{00000000-0005-0000-0000-0000F2900000}"/>
    <cellStyle name="Normal 348 2 5 3" xfId="36295" xr:uid="{00000000-0005-0000-0000-0000F3900000}"/>
    <cellStyle name="Normal 348 2 6" xfId="36296" xr:uid="{00000000-0005-0000-0000-0000F4900000}"/>
    <cellStyle name="Normal 348 2 7" xfId="36297" xr:uid="{00000000-0005-0000-0000-0000F5900000}"/>
    <cellStyle name="Normal 348 2 8" xfId="36298" xr:uid="{00000000-0005-0000-0000-0000F6900000}"/>
    <cellStyle name="Normal 348 2 9" xfId="36299" xr:uid="{00000000-0005-0000-0000-0000F7900000}"/>
    <cellStyle name="Normal 348 3" xfId="36300" xr:uid="{00000000-0005-0000-0000-0000F8900000}"/>
    <cellStyle name="Normal 348 3 2" xfId="36301" xr:uid="{00000000-0005-0000-0000-0000F9900000}"/>
    <cellStyle name="Normal 348 3 2 2" xfId="36302" xr:uid="{00000000-0005-0000-0000-0000FA900000}"/>
    <cellStyle name="Normal 348 3 2 2 2" xfId="36303" xr:uid="{00000000-0005-0000-0000-0000FB900000}"/>
    <cellStyle name="Normal 348 3 2 2 3" xfId="36304" xr:uid="{00000000-0005-0000-0000-0000FC900000}"/>
    <cellStyle name="Normal 348 3 2 3" xfId="36305" xr:uid="{00000000-0005-0000-0000-0000FD900000}"/>
    <cellStyle name="Normal 348 3 2 3 2" xfId="36306" xr:uid="{00000000-0005-0000-0000-0000FE900000}"/>
    <cellStyle name="Normal 348 3 2 3 3" xfId="36307" xr:uid="{00000000-0005-0000-0000-0000FF900000}"/>
    <cellStyle name="Normal 348 3 2 4" xfId="36308" xr:uid="{00000000-0005-0000-0000-000000910000}"/>
    <cellStyle name="Normal 348 3 2 5" xfId="36309" xr:uid="{00000000-0005-0000-0000-000001910000}"/>
    <cellStyle name="Normal 348 3 2 6" xfId="36310" xr:uid="{00000000-0005-0000-0000-000002910000}"/>
    <cellStyle name="Normal 348 3 3" xfId="36311" xr:uid="{00000000-0005-0000-0000-000003910000}"/>
    <cellStyle name="Normal 348 3 3 2" xfId="36312" xr:uid="{00000000-0005-0000-0000-000004910000}"/>
    <cellStyle name="Normal 348 3 3 3" xfId="36313" xr:uid="{00000000-0005-0000-0000-000005910000}"/>
    <cellStyle name="Normal 348 3 4" xfId="36314" xr:uid="{00000000-0005-0000-0000-000006910000}"/>
    <cellStyle name="Normal 348 3 4 2" xfId="36315" xr:uid="{00000000-0005-0000-0000-000007910000}"/>
    <cellStyle name="Normal 348 3 4 3" xfId="36316" xr:uid="{00000000-0005-0000-0000-000008910000}"/>
    <cellStyle name="Normal 348 3 5" xfId="36317" xr:uid="{00000000-0005-0000-0000-000009910000}"/>
    <cellStyle name="Normal 348 3 6" xfId="36318" xr:uid="{00000000-0005-0000-0000-00000A910000}"/>
    <cellStyle name="Normal 348 3 7" xfId="36319" xr:uid="{00000000-0005-0000-0000-00000B910000}"/>
    <cellStyle name="Normal 348 3 8" xfId="36320" xr:uid="{00000000-0005-0000-0000-00000C910000}"/>
    <cellStyle name="Normal 348 4" xfId="36321" xr:uid="{00000000-0005-0000-0000-00000D910000}"/>
    <cellStyle name="Normal 348 4 2" xfId="36322" xr:uid="{00000000-0005-0000-0000-00000E910000}"/>
    <cellStyle name="Normal 348 4 2 2" xfId="36323" xr:uid="{00000000-0005-0000-0000-00000F910000}"/>
    <cellStyle name="Normal 348 4 2 3" xfId="36324" xr:uid="{00000000-0005-0000-0000-000010910000}"/>
    <cellStyle name="Normal 348 4 3" xfId="36325" xr:uid="{00000000-0005-0000-0000-000011910000}"/>
    <cellStyle name="Normal 348 4 3 2" xfId="36326" xr:uid="{00000000-0005-0000-0000-000012910000}"/>
    <cellStyle name="Normal 348 4 3 3" xfId="36327" xr:uid="{00000000-0005-0000-0000-000013910000}"/>
    <cellStyle name="Normal 348 4 4" xfId="36328" xr:uid="{00000000-0005-0000-0000-000014910000}"/>
    <cellStyle name="Normal 348 4 5" xfId="36329" xr:uid="{00000000-0005-0000-0000-000015910000}"/>
    <cellStyle name="Normal 348 4 6" xfId="36330" xr:uid="{00000000-0005-0000-0000-000016910000}"/>
    <cellStyle name="Normal 348 5" xfId="36331" xr:uid="{00000000-0005-0000-0000-000017910000}"/>
    <cellStyle name="Normal 348 5 2" xfId="36332" xr:uid="{00000000-0005-0000-0000-000018910000}"/>
    <cellStyle name="Normal 348 5 3" xfId="36333" xr:uid="{00000000-0005-0000-0000-000019910000}"/>
    <cellStyle name="Normal 348 6" xfId="36334" xr:uid="{00000000-0005-0000-0000-00001A910000}"/>
    <cellStyle name="Normal 348 6 2" xfId="36335" xr:uid="{00000000-0005-0000-0000-00001B910000}"/>
    <cellStyle name="Normal 348 6 3" xfId="36336" xr:uid="{00000000-0005-0000-0000-00001C910000}"/>
    <cellStyle name="Normal 348 7" xfId="36337" xr:uid="{00000000-0005-0000-0000-00001D910000}"/>
    <cellStyle name="Normal 348 8" xfId="36338" xr:uid="{00000000-0005-0000-0000-00001E910000}"/>
    <cellStyle name="Normal 348 9" xfId="36339" xr:uid="{00000000-0005-0000-0000-00001F910000}"/>
    <cellStyle name="Normal 349" xfId="3257" xr:uid="{00000000-0005-0000-0000-000020910000}"/>
    <cellStyle name="Normal 349 10" xfId="36340" xr:uid="{00000000-0005-0000-0000-000021910000}"/>
    <cellStyle name="Normal 349 11" xfId="36341" xr:uid="{00000000-0005-0000-0000-000022910000}"/>
    <cellStyle name="Normal 349 2" xfId="3258" xr:uid="{00000000-0005-0000-0000-000023910000}"/>
    <cellStyle name="Normal 349 2 10" xfId="36342" xr:uid="{00000000-0005-0000-0000-000024910000}"/>
    <cellStyle name="Normal 349 2 2" xfId="36343" xr:uid="{00000000-0005-0000-0000-000025910000}"/>
    <cellStyle name="Normal 349 2 2 2" xfId="36344" xr:uid="{00000000-0005-0000-0000-000026910000}"/>
    <cellStyle name="Normal 349 2 2 2 2" xfId="36345" xr:uid="{00000000-0005-0000-0000-000027910000}"/>
    <cellStyle name="Normal 349 2 2 2 2 2" xfId="36346" xr:uid="{00000000-0005-0000-0000-000028910000}"/>
    <cellStyle name="Normal 349 2 2 2 2 3" xfId="36347" xr:uid="{00000000-0005-0000-0000-000029910000}"/>
    <cellStyle name="Normal 349 2 2 2 3" xfId="36348" xr:uid="{00000000-0005-0000-0000-00002A910000}"/>
    <cellStyle name="Normal 349 2 2 2 3 2" xfId="36349" xr:uid="{00000000-0005-0000-0000-00002B910000}"/>
    <cellStyle name="Normal 349 2 2 2 3 3" xfId="36350" xr:uid="{00000000-0005-0000-0000-00002C910000}"/>
    <cellStyle name="Normal 349 2 2 2 4" xfId="36351" xr:uid="{00000000-0005-0000-0000-00002D910000}"/>
    <cellStyle name="Normal 349 2 2 2 5" xfId="36352" xr:uid="{00000000-0005-0000-0000-00002E910000}"/>
    <cellStyle name="Normal 349 2 2 2 6" xfId="36353" xr:uid="{00000000-0005-0000-0000-00002F910000}"/>
    <cellStyle name="Normal 349 2 2 3" xfId="36354" xr:uid="{00000000-0005-0000-0000-000030910000}"/>
    <cellStyle name="Normal 349 2 2 3 2" xfId="36355" xr:uid="{00000000-0005-0000-0000-000031910000}"/>
    <cellStyle name="Normal 349 2 2 3 3" xfId="36356" xr:uid="{00000000-0005-0000-0000-000032910000}"/>
    <cellStyle name="Normal 349 2 2 4" xfId="36357" xr:uid="{00000000-0005-0000-0000-000033910000}"/>
    <cellStyle name="Normal 349 2 2 4 2" xfId="36358" xr:uid="{00000000-0005-0000-0000-000034910000}"/>
    <cellStyle name="Normal 349 2 2 4 3" xfId="36359" xr:uid="{00000000-0005-0000-0000-000035910000}"/>
    <cellStyle name="Normal 349 2 2 5" xfId="36360" xr:uid="{00000000-0005-0000-0000-000036910000}"/>
    <cellStyle name="Normal 349 2 2 6" xfId="36361" xr:uid="{00000000-0005-0000-0000-000037910000}"/>
    <cellStyle name="Normal 349 2 2 7" xfId="36362" xr:uid="{00000000-0005-0000-0000-000038910000}"/>
    <cellStyle name="Normal 349 2 2 8" xfId="36363" xr:uid="{00000000-0005-0000-0000-000039910000}"/>
    <cellStyle name="Normal 349 2 3" xfId="36364" xr:uid="{00000000-0005-0000-0000-00003A910000}"/>
    <cellStyle name="Normal 349 2 3 2" xfId="36365" xr:uid="{00000000-0005-0000-0000-00003B910000}"/>
    <cellStyle name="Normal 349 2 3 2 2" xfId="36366" xr:uid="{00000000-0005-0000-0000-00003C910000}"/>
    <cellStyle name="Normal 349 2 3 2 3" xfId="36367" xr:uid="{00000000-0005-0000-0000-00003D910000}"/>
    <cellStyle name="Normal 349 2 3 3" xfId="36368" xr:uid="{00000000-0005-0000-0000-00003E910000}"/>
    <cellStyle name="Normal 349 2 3 3 2" xfId="36369" xr:uid="{00000000-0005-0000-0000-00003F910000}"/>
    <cellStyle name="Normal 349 2 3 3 3" xfId="36370" xr:uid="{00000000-0005-0000-0000-000040910000}"/>
    <cellStyle name="Normal 349 2 3 4" xfId="36371" xr:uid="{00000000-0005-0000-0000-000041910000}"/>
    <cellStyle name="Normal 349 2 3 5" xfId="36372" xr:uid="{00000000-0005-0000-0000-000042910000}"/>
    <cellStyle name="Normal 349 2 3 6" xfId="36373" xr:uid="{00000000-0005-0000-0000-000043910000}"/>
    <cellStyle name="Normal 349 2 4" xfId="36374" xr:uid="{00000000-0005-0000-0000-000044910000}"/>
    <cellStyle name="Normal 349 2 4 2" xfId="36375" xr:uid="{00000000-0005-0000-0000-000045910000}"/>
    <cellStyle name="Normal 349 2 4 3" xfId="36376" xr:uid="{00000000-0005-0000-0000-000046910000}"/>
    <cellStyle name="Normal 349 2 5" xfId="36377" xr:uid="{00000000-0005-0000-0000-000047910000}"/>
    <cellStyle name="Normal 349 2 5 2" xfId="36378" xr:uid="{00000000-0005-0000-0000-000048910000}"/>
    <cellStyle name="Normal 349 2 5 3" xfId="36379" xr:uid="{00000000-0005-0000-0000-000049910000}"/>
    <cellStyle name="Normal 349 2 6" xfId="36380" xr:uid="{00000000-0005-0000-0000-00004A910000}"/>
    <cellStyle name="Normal 349 2 7" xfId="36381" xr:uid="{00000000-0005-0000-0000-00004B910000}"/>
    <cellStyle name="Normal 349 2 8" xfId="36382" xr:uid="{00000000-0005-0000-0000-00004C910000}"/>
    <cellStyle name="Normal 349 2 9" xfId="36383" xr:uid="{00000000-0005-0000-0000-00004D910000}"/>
    <cellStyle name="Normal 349 3" xfId="36384" xr:uid="{00000000-0005-0000-0000-00004E910000}"/>
    <cellStyle name="Normal 349 3 2" xfId="36385" xr:uid="{00000000-0005-0000-0000-00004F910000}"/>
    <cellStyle name="Normal 349 3 2 2" xfId="36386" xr:uid="{00000000-0005-0000-0000-000050910000}"/>
    <cellStyle name="Normal 349 3 2 2 2" xfId="36387" xr:uid="{00000000-0005-0000-0000-000051910000}"/>
    <cellStyle name="Normal 349 3 2 2 3" xfId="36388" xr:uid="{00000000-0005-0000-0000-000052910000}"/>
    <cellStyle name="Normal 349 3 2 3" xfId="36389" xr:uid="{00000000-0005-0000-0000-000053910000}"/>
    <cellStyle name="Normal 349 3 2 3 2" xfId="36390" xr:uid="{00000000-0005-0000-0000-000054910000}"/>
    <cellStyle name="Normal 349 3 2 3 3" xfId="36391" xr:uid="{00000000-0005-0000-0000-000055910000}"/>
    <cellStyle name="Normal 349 3 2 4" xfId="36392" xr:uid="{00000000-0005-0000-0000-000056910000}"/>
    <cellStyle name="Normal 349 3 2 5" xfId="36393" xr:uid="{00000000-0005-0000-0000-000057910000}"/>
    <cellStyle name="Normal 349 3 2 6" xfId="36394" xr:uid="{00000000-0005-0000-0000-000058910000}"/>
    <cellStyle name="Normal 349 3 3" xfId="36395" xr:uid="{00000000-0005-0000-0000-000059910000}"/>
    <cellStyle name="Normal 349 3 3 2" xfId="36396" xr:uid="{00000000-0005-0000-0000-00005A910000}"/>
    <cellStyle name="Normal 349 3 3 3" xfId="36397" xr:uid="{00000000-0005-0000-0000-00005B910000}"/>
    <cellStyle name="Normal 349 3 4" xfId="36398" xr:uid="{00000000-0005-0000-0000-00005C910000}"/>
    <cellStyle name="Normal 349 3 4 2" xfId="36399" xr:uid="{00000000-0005-0000-0000-00005D910000}"/>
    <cellStyle name="Normal 349 3 4 3" xfId="36400" xr:uid="{00000000-0005-0000-0000-00005E910000}"/>
    <cellStyle name="Normal 349 3 5" xfId="36401" xr:uid="{00000000-0005-0000-0000-00005F910000}"/>
    <cellStyle name="Normal 349 3 6" xfId="36402" xr:uid="{00000000-0005-0000-0000-000060910000}"/>
    <cellStyle name="Normal 349 3 7" xfId="36403" xr:uid="{00000000-0005-0000-0000-000061910000}"/>
    <cellStyle name="Normal 349 3 8" xfId="36404" xr:uid="{00000000-0005-0000-0000-000062910000}"/>
    <cellStyle name="Normal 349 4" xfId="36405" xr:uid="{00000000-0005-0000-0000-000063910000}"/>
    <cellStyle name="Normal 349 4 2" xfId="36406" xr:uid="{00000000-0005-0000-0000-000064910000}"/>
    <cellStyle name="Normal 349 4 2 2" xfId="36407" xr:uid="{00000000-0005-0000-0000-000065910000}"/>
    <cellStyle name="Normal 349 4 2 3" xfId="36408" xr:uid="{00000000-0005-0000-0000-000066910000}"/>
    <cellStyle name="Normal 349 4 3" xfId="36409" xr:uid="{00000000-0005-0000-0000-000067910000}"/>
    <cellStyle name="Normal 349 4 3 2" xfId="36410" xr:uid="{00000000-0005-0000-0000-000068910000}"/>
    <cellStyle name="Normal 349 4 3 3" xfId="36411" xr:uid="{00000000-0005-0000-0000-000069910000}"/>
    <cellStyle name="Normal 349 4 4" xfId="36412" xr:uid="{00000000-0005-0000-0000-00006A910000}"/>
    <cellStyle name="Normal 349 4 5" xfId="36413" xr:uid="{00000000-0005-0000-0000-00006B910000}"/>
    <cellStyle name="Normal 349 4 6" xfId="36414" xr:uid="{00000000-0005-0000-0000-00006C910000}"/>
    <cellStyle name="Normal 349 5" xfId="36415" xr:uid="{00000000-0005-0000-0000-00006D910000}"/>
    <cellStyle name="Normal 349 5 2" xfId="36416" xr:uid="{00000000-0005-0000-0000-00006E910000}"/>
    <cellStyle name="Normal 349 5 3" xfId="36417" xr:uid="{00000000-0005-0000-0000-00006F910000}"/>
    <cellStyle name="Normal 349 6" xfId="36418" xr:uid="{00000000-0005-0000-0000-000070910000}"/>
    <cellStyle name="Normal 349 6 2" xfId="36419" xr:uid="{00000000-0005-0000-0000-000071910000}"/>
    <cellStyle name="Normal 349 6 3" xfId="36420" xr:uid="{00000000-0005-0000-0000-000072910000}"/>
    <cellStyle name="Normal 349 7" xfId="36421" xr:uid="{00000000-0005-0000-0000-000073910000}"/>
    <cellStyle name="Normal 349 8" xfId="36422" xr:uid="{00000000-0005-0000-0000-000074910000}"/>
    <cellStyle name="Normal 349 9" xfId="36423" xr:uid="{00000000-0005-0000-0000-000075910000}"/>
    <cellStyle name="Normal 35" xfId="3259" xr:uid="{00000000-0005-0000-0000-000076910000}"/>
    <cellStyle name="Normal 35 10" xfId="36424" xr:uid="{00000000-0005-0000-0000-000077910000}"/>
    <cellStyle name="Normal 35 11" xfId="36425" xr:uid="{00000000-0005-0000-0000-000078910000}"/>
    <cellStyle name="Normal 35 12" xfId="36426" xr:uid="{00000000-0005-0000-0000-000079910000}"/>
    <cellStyle name="Normal 35 13" xfId="36427" xr:uid="{00000000-0005-0000-0000-00007A910000}"/>
    <cellStyle name="Normal 35 2" xfId="36428" xr:uid="{00000000-0005-0000-0000-00007B910000}"/>
    <cellStyle name="Normal 35 2 10" xfId="36429" xr:uid="{00000000-0005-0000-0000-00007C910000}"/>
    <cellStyle name="Normal 35 2 2" xfId="36430" xr:uid="{00000000-0005-0000-0000-00007D910000}"/>
    <cellStyle name="Normal 35 2 2 2" xfId="36431" xr:uid="{00000000-0005-0000-0000-00007E910000}"/>
    <cellStyle name="Normal 35 2 2 2 2" xfId="36432" xr:uid="{00000000-0005-0000-0000-00007F910000}"/>
    <cellStyle name="Normal 35 2 2 2 2 2" xfId="36433" xr:uid="{00000000-0005-0000-0000-000080910000}"/>
    <cellStyle name="Normal 35 2 2 2 2 3" xfId="36434" xr:uid="{00000000-0005-0000-0000-000081910000}"/>
    <cellStyle name="Normal 35 2 2 2 2 4" xfId="36435" xr:uid="{00000000-0005-0000-0000-000082910000}"/>
    <cellStyle name="Normal 35 2 2 2 3" xfId="36436" xr:uid="{00000000-0005-0000-0000-000083910000}"/>
    <cellStyle name="Normal 35 2 2 2 3 2" xfId="36437" xr:uid="{00000000-0005-0000-0000-000084910000}"/>
    <cellStyle name="Normal 35 2 2 2 3 3" xfId="36438" xr:uid="{00000000-0005-0000-0000-000085910000}"/>
    <cellStyle name="Normal 35 2 2 2 3 4" xfId="36439" xr:uid="{00000000-0005-0000-0000-000086910000}"/>
    <cellStyle name="Normal 35 2 2 2 4" xfId="36440" xr:uid="{00000000-0005-0000-0000-000087910000}"/>
    <cellStyle name="Normal 35 2 2 2 5" xfId="36441" xr:uid="{00000000-0005-0000-0000-000088910000}"/>
    <cellStyle name="Normal 35 2 2 2 6" xfId="36442" xr:uid="{00000000-0005-0000-0000-000089910000}"/>
    <cellStyle name="Normal 35 2 2 2 7" xfId="36443" xr:uid="{00000000-0005-0000-0000-00008A910000}"/>
    <cellStyle name="Normal 35 2 2 3" xfId="36444" xr:uid="{00000000-0005-0000-0000-00008B910000}"/>
    <cellStyle name="Normal 35 2 2 3 2" xfId="36445" xr:uid="{00000000-0005-0000-0000-00008C910000}"/>
    <cellStyle name="Normal 35 2 2 3 3" xfId="36446" xr:uid="{00000000-0005-0000-0000-00008D910000}"/>
    <cellStyle name="Normal 35 2 2 3 4" xfId="36447" xr:uid="{00000000-0005-0000-0000-00008E910000}"/>
    <cellStyle name="Normal 35 2 2 4" xfId="36448" xr:uid="{00000000-0005-0000-0000-00008F910000}"/>
    <cellStyle name="Normal 35 2 2 4 2" xfId="36449" xr:uid="{00000000-0005-0000-0000-000090910000}"/>
    <cellStyle name="Normal 35 2 2 4 3" xfId="36450" xr:uid="{00000000-0005-0000-0000-000091910000}"/>
    <cellStyle name="Normal 35 2 2 4 4" xfId="36451" xr:uid="{00000000-0005-0000-0000-000092910000}"/>
    <cellStyle name="Normal 35 2 2 5" xfId="36452" xr:uid="{00000000-0005-0000-0000-000093910000}"/>
    <cellStyle name="Normal 35 2 2 6" xfId="36453" xr:uid="{00000000-0005-0000-0000-000094910000}"/>
    <cellStyle name="Normal 35 2 2 7" xfId="36454" xr:uid="{00000000-0005-0000-0000-000095910000}"/>
    <cellStyle name="Normal 35 2 2 8" xfId="36455" xr:uid="{00000000-0005-0000-0000-000096910000}"/>
    <cellStyle name="Normal 35 2 2 9" xfId="36456" xr:uid="{00000000-0005-0000-0000-000097910000}"/>
    <cellStyle name="Normal 35 2 3" xfId="36457" xr:uid="{00000000-0005-0000-0000-000098910000}"/>
    <cellStyle name="Normal 35 2 3 2" xfId="36458" xr:uid="{00000000-0005-0000-0000-000099910000}"/>
    <cellStyle name="Normal 35 2 3 2 2" xfId="36459" xr:uid="{00000000-0005-0000-0000-00009A910000}"/>
    <cellStyle name="Normal 35 2 3 2 3" xfId="36460" xr:uid="{00000000-0005-0000-0000-00009B910000}"/>
    <cellStyle name="Normal 35 2 3 2 4" xfId="36461" xr:uid="{00000000-0005-0000-0000-00009C910000}"/>
    <cellStyle name="Normal 35 2 3 3" xfId="36462" xr:uid="{00000000-0005-0000-0000-00009D910000}"/>
    <cellStyle name="Normal 35 2 3 3 2" xfId="36463" xr:uid="{00000000-0005-0000-0000-00009E910000}"/>
    <cellStyle name="Normal 35 2 3 3 3" xfId="36464" xr:uid="{00000000-0005-0000-0000-00009F910000}"/>
    <cellStyle name="Normal 35 2 3 3 4" xfId="36465" xr:uid="{00000000-0005-0000-0000-0000A0910000}"/>
    <cellStyle name="Normal 35 2 3 4" xfId="36466" xr:uid="{00000000-0005-0000-0000-0000A1910000}"/>
    <cellStyle name="Normal 35 2 3 5" xfId="36467" xr:uid="{00000000-0005-0000-0000-0000A2910000}"/>
    <cellStyle name="Normal 35 2 3 6" xfId="36468" xr:uid="{00000000-0005-0000-0000-0000A3910000}"/>
    <cellStyle name="Normal 35 2 3 7" xfId="36469" xr:uid="{00000000-0005-0000-0000-0000A4910000}"/>
    <cellStyle name="Normal 35 2 4" xfId="36470" xr:uid="{00000000-0005-0000-0000-0000A5910000}"/>
    <cellStyle name="Normal 35 2 4 2" xfId="36471" xr:uid="{00000000-0005-0000-0000-0000A6910000}"/>
    <cellStyle name="Normal 35 2 4 3" xfId="36472" xr:uid="{00000000-0005-0000-0000-0000A7910000}"/>
    <cellStyle name="Normal 35 2 4 4" xfId="36473" xr:uid="{00000000-0005-0000-0000-0000A8910000}"/>
    <cellStyle name="Normal 35 2 5" xfId="36474" xr:uid="{00000000-0005-0000-0000-0000A9910000}"/>
    <cellStyle name="Normal 35 2 5 2" xfId="36475" xr:uid="{00000000-0005-0000-0000-0000AA910000}"/>
    <cellStyle name="Normal 35 2 5 3" xfId="36476" xr:uid="{00000000-0005-0000-0000-0000AB910000}"/>
    <cellStyle name="Normal 35 2 5 4" xfId="36477" xr:uid="{00000000-0005-0000-0000-0000AC910000}"/>
    <cellStyle name="Normal 35 2 6" xfId="36478" xr:uid="{00000000-0005-0000-0000-0000AD910000}"/>
    <cellStyle name="Normal 35 2 7" xfId="36479" xr:uid="{00000000-0005-0000-0000-0000AE910000}"/>
    <cellStyle name="Normal 35 2 8" xfId="36480" xr:uid="{00000000-0005-0000-0000-0000AF910000}"/>
    <cellStyle name="Normal 35 2 9" xfId="36481" xr:uid="{00000000-0005-0000-0000-0000B0910000}"/>
    <cellStyle name="Normal 35 2_Order Book" xfId="36482" xr:uid="{00000000-0005-0000-0000-0000B1910000}"/>
    <cellStyle name="Normal 35 3" xfId="36483" xr:uid="{00000000-0005-0000-0000-0000B2910000}"/>
    <cellStyle name="Normal 35 3 2" xfId="36484" xr:uid="{00000000-0005-0000-0000-0000B3910000}"/>
    <cellStyle name="Normal 35 3 2 2" xfId="36485" xr:uid="{00000000-0005-0000-0000-0000B4910000}"/>
    <cellStyle name="Normal 35 3 2 2 2" xfId="36486" xr:uid="{00000000-0005-0000-0000-0000B5910000}"/>
    <cellStyle name="Normal 35 3 2 2 3" xfId="36487" xr:uid="{00000000-0005-0000-0000-0000B6910000}"/>
    <cellStyle name="Normal 35 3 2 2 4" xfId="36488" xr:uid="{00000000-0005-0000-0000-0000B7910000}"/>
    <cellStyle name="Normal 35 3 2 3" xfId="36489" xr:uid="{00000000-0005-0000-0000-0000B8910000}"/>
    <cellStyle name="Normal 35 3 2 3 2" xfId="36490" xr:uid="{00000000-0005-0000-0000-0000B9910000}"/>
    <cellStyle name="Normal 35 3 2 3 3" xfId="36491" xr:uid="{00000000-0005-0000-0000-0000BA910000}"/>
    <cellStyle name="Normal 35 3 2 3 4" xfId="36492" xr:uid="{00000000-0005-0000-0000-0000BB910000}"/>
    <cellStyle name="Normal 35 3 2 4" xfId="36493" xr:uid="{00000000-0005-0000-0000-0000BC910000}"/>
    <cellStyle name="Normal 35 3 2 5" xfId="36494" xr:uid="{00000000-0005-0000-0000-0000BD910000}"/>
    <cellStyle name="Normal 35 3 2 6" xfId="36495" xr:uid="{00000000-0005-0000-0000-0000BE910000}"/>
    <cellStyle name="Normal 35 3 2 7" xfId="36496" xr:uid="{00000000-0005-0000-0000-0000BF910000}"/>
    <cellStyle name="Normal 35 3 3" xfId="36497" xr:uid="{00000000-0005-0000-0000-0000C0910000}"/>
    <cellStyle name="Normal 35 3 3 2" xfId="36498" xr:uid="{00000000-0005-0000-0000-0000C1910000}"/>
    <cellStyle name="Normal 35 3 3 3" xfId="36499" xr:uid="{00000000-0005-0000-0000-0000C2910000}"/>
    <cellStyle name="Normal 35 3 3 4" xfId="36500" xr:uid="{00000000-0005-0000-0000-0000C3910000}"/>
    <cellStyle name="Normal 35 3 4" xfId="36501" xr:uid="{00000000-0005-0000-0000-0000C4910000}"/>
    <cellStyle name="Normal 35 3 4 2" xfId="36502" xr:uid="{00000000-0005-0000-0000-0000C5910000}"/>
    <cellStyle name="Normal 35 3 4 3" xfId="36503" xr:uid="{00000000-0005-0000-0000-0000C6910000}"/>
    <cellStyle name="Normal 35 3 4 4" xfId="36504" xr:uid="{00000000-0005-0000-0000-0000C7910000}"/>
    <cellStyle name="Normal 35 3 5" xfId="36505" xr:uid="{00000000-0005-0000-0000-0000C8910000}"/>
    <cellStyle name="Normal 35 3 6" xfId="36506" xr:uid="{00000000-0005-0000-0000-0000C9910000}"/>
    <cellStyle name="Normal 35 3 7" xfId="36507" xr:uid="{00000000-0005-0000-0000-0000CA910000}"/>
    <cellStyle name="Normal 35 3 8" xfId="36508" xr:uid="{00000000-0005-0000-0000-0000CB910000}"/>
    <cellStyle name="Normal 35 3 9" xfId="36509" xr:uid="{00000000-0005-0000-0000-0000CC910000}"/>
    <cellStyle name="Normal 35 4" xfId="36510" xr:uid="{00000000-0005-0000-0000-0000CD910000}"/>
    <cellStyle name="Normal 35 4 2" xfId="36511" xr:uid="{00000000-0005-0000-0000-0000CE910000}"/>
    <cellStyle name="Normal 35 4 2 2" xfId="36512" xr:uid="{00000000-0005-0000-0000-0000CF910000}"/>
    <cellStyle name="Normal 35 4 2 3" xfId="36513" xr:uid="{00000000-0005-0000-0000-0000D0910000}"/>
    <cellStyle name="Normal 35 4 2 4" xfId="36514" xr:uid="{00000000-0005-0000-0000-0000D1910000}"/>
    <cellStyle name="Normal 35 4 3" xfId="36515" xr:uid="{00000000-0005-0000-0000-0000D2910000}"/>
    <cellStyle name="Normal 35 4 3 2" xfId="36516" xr:uid="{00000000-0005-0000-0000-0000D3910000}"/>
    <cellStyle name="Normal 35 4 3 3" xfId="36517" xr:uid="{00000000-0005-0000-0000-0000D4910000}"/>
    <cellStyle name="Normal 35 4 3 4" xfId="36518" xr:uid="{00000000-0005-0000-0000-0000D5910000}"/>
    <cellStyle name="Normal 35 4 4" xfId="36519" xr:uid="{00000000-0005-0000-0000-0000D6910000}"/>
    <cellStyle name="Normal 35 4 5" xfId="36520" xr:uid="{00000000-0005-0000-0000-0000D7910000}"/>
    <cellStyle name="Normal 35 4 6" xfId="36521" xr:uid="{00000000-0005-0000-0000-0000D8910000}"/>
    <cellStyle name="Normal 35 4 7" xfId="36522" xr:uid="{00000000-0005-0000-0000-0000D9910000}"/>
    <cellStyle name="Normal 35 5" xfId="36523" xr:uid="{00000000-0005-0000-0000-0000DA910000}"/>
    <cellStyle name="Normal 35 5 2" xfId="36524" xr:uid="{00000000-0005-0000-0000-0000DB910000}"/>
    <cellStyle name="Normal 35 5 3" xfId="36525" xr:uid="{00000000-0005-0000-0000-0000DC910000}"/>
    <cellStyle name="Normal 35 5 4" xfId="36526" xr:uid="{00000000-0005-0000-0000-0000DD910000}"/>
    <cellStyle name="Normal 35 6" xfId="36527" xr:uid="{00000000-0005-0000-0000-0000DE910000}"/>
    <cellStyle name="Normal 35 6 2" xfId="36528" xr:uid="{00000000-0005-0000-0000-0000DF910000}"/>
    <cellStyle name="Normal 35 6 3" xfId="36529" xr:uid="{00000000-0005-0000-0000-0000E0910000}"/>
    <cellStyle name="Normal 35 6 4" xfId="36530" xr:uid="{00000000-0005-0000-0000-0000E1910000}"/>
    <cellStyle name="Normal 35 7" xfId="36531" xr:uid="{00000000-0005-0000-0000-0000E2910000}"/>
    <cellStyle name="Normal 35 8" xfId="36532" xr:uid="{00000000-0005-0000-0000-0000E3910000}"/>
    <cellStyle name="Normal 35 9" xfId="36533" xr:uid="{00000000-0005-0000-0000-0000E4910000}"/>
    <cellStyle name="Normal 35_Order Book" xfId="36534" xr:uid="{00000000-0005-0000-0000-0000E5910000}"/>
    <cellStyle name="Normal 350" xfId="3260" xr:uid="{00000000-0005-0000-0000-0000E6910000}"/>
    <cellStyle name="Normal 350 10" xfId="36535" xr:uid="{00000000-0005-0000-0000-0000E7910000}"/>
    <cellStyle name="Normal 350 11" xfId="36536" xr:uid="{00000000-0005-0000-0000-0000E8910000}"/>
    <cellStyle name="Normal 350 2" xfId="36537" xr:uid="{00000000-0005-0000-0000-0000E9910000}"/>
    <cellStyle name="Normal 350 2 2" xfId="36538" xr:uid="{00000000-0005-0000-0000-0000EA910000}"/>
    <cellStyle name="Normal 350 2 2 2" xfId="36539" xr:uid="{00000000-0005-0000-0000-0000EB910000}"/>
    <cellStyle name="Normal 350 2 2 2 2" xfId="36540" xr:uid="{00000000-0005-0000-0000-0000EC910000}"/>
    <cellStyle name="Normal 350 2 2 2 2 2" xfId="36541" xr:uid="{00000000-0005-0000-0000-0000ED910000}"/>
    <cellStyle name="Normal 350 2 2 2 2 3" xfId="36542" xr:uid="{00000000-0005-0000-0000-0000EE910000}"/>
    <cellStyle name="Normal 350 2 2 2 3" xfId="36543" xr:uid="{00000000-0005-0000-0000-0000EF910000}"/>
    <cellStyle name="Normal 350 2 2 2 3 2" xfId="36544" xr:uid="{00000000-0005-0000-0000-0000F0910000}"/>
    <cellStyle name="Normal 350 2 2 2 3 3" xfId="36545" xr:uid="{00000000-0005-0000-0000-0000F1910000}"/>
    <cellStyle name="Normal 350 2 2 2 4" xfId="36546" xr:uid="{00000000-0005-0000-0000-0000F2910000}"/>
    <cellStyle name="Normal 350 2 2 2 5" xfId="36547" xr:uid="{00000000-0005-0000-0000-0000F3910000}"/>
    <cellStyle name="Normal 350 2 2 2 6" xfId="36548" xr:uid="{00000000-0005-0000-0000-0000F4910000}"/>
    <cellStyle name="Normal 350 2 2 3" xfId="36549" xr:uid="{00000000-0005-0000-0000-0000F5910000}"/>
    <cellStyle name="Normal 350 2 2 3 2" xfId="36550" xr:uid="{00000000-0005-0000-0000-0000F6910000}"/>
    <cellStyle name="Normal 350 2 2 3 3" xfId="36551" xr:uid="{00000000-0005-0000-0000-0000F7910000}"/>
    <cellStyle name="Normal 350 2 2 4" xfId="36552" xr:uid="{00000000-0005-0000-0000-0000F8910000}"/>
    <cellStyle name="Normal 350 2 2 4 2" xfId="36553" xr:uid="{00000000-0005-0000-0000-0000F9910000}"/>
    <cellStyle name="Normal 350 2 2 4 3" xfId="36554" xr:uid="{00000000-0005-0000-0000-0000FA910000}"/>
    <cellStyle name="Normal 350 2 2 5" xfId="36555" xr:uid="{00000000-0005-0000-0000-0000FB910000}"/>
    <cellStyle name="Normal 350 2 2 6" xfId="36556" xr:uid="{00000000-0005-0000-0000-0000FC910000}"/>
    <cellStyle name="Normal 350 2 2 7" xfId="36557" xr:uid="{00000000-0005-0000-0000-0000FD910000}"/>
    <cellStyle name="Normal 350 2 2 8" xfId="36558" xr:uid="{00000000-0005-0000-0000-0000FE910000}"/>
    <cellStyle name="Normal 350 2 3" xfId="36559" xr:uid="{00000000-0005-0000-0000-0000FF910000}"/>
    <cellStyle name="Normal 350 2 3 2" xfId="36560" xr:uid="{00000000-0005-0000-0000-000000920000}"/>
    <cellStyle name="Normal 350 2 3 2 2" xfId="36561" xr:uid="{00000000-0005-0000-0000-000001920000}"/>
    <cellStyle name="Normal 350 2 3 2 3" xfId="36562" xr:uid="{00000000-0005-0000-0000-000002920000}"/>
    <cellStyle name="Normal 350 2 3 3" xfId="36563" xr:uid="{00000000-0005-0000-0000-000003920000}"/>
    <cellStyle name="Normal 350 2 3 3 2" xfId="36564" xr:uid="{00000000-0005-0000-0000-000004920000}"/>
    <cellStyle name="Normal 350 2 3 3 3" xfId="36565" xr:uid="{00000000-0005-0000-0000-000005920000}"/>
    <cellStyle name="Normal 350 2 3 4" xfId="36566" xr:uid="{00000000-0005-0000-0000-000006920000}"/>
    <cellStyle name="Normal 350 2 3 5" xfId="36567" xr:uid="{00000000-0005-0000-0000-000007920000}"/>
    <cellStyle name="Normal 350 2 3 6" xfId="36568" xr:uid="{00000000-0005-0000-0000-000008920000}"/>
    <cellStyle name="Normal 350 2 4" xfId="36569" xr:uid="{00000000-0005-0000-0000-000009920000}"/>
    <cellStyle name="Normal 350 2 4 2" xfId="36570" xr:uid="{00000000-0005-0000-0000-00000A920000}"/>
    <cellStyle name="Normal 350 2 4 3" xfId="36571" xr:uid="{00000000-0005-0000-0000-00000B920000}"/>
    <cellStyle name="Normal 350 2 5" xfId="36572" xr:uid="{00000000-0005-0000-0000-00000C920000}"/>
    <cellStyle name="Normal 350 2 5 2" xfId="36573" xr:uid="{00000000-0005-0000-0000-00000D920000}"/>
    <cellStyle name="Normal 350 2 5 3" xfId="36574" xr:uid="{00000000-0005-0000-0000-00000E920000}"/>
    <cellStyle name="Normal 350 2 6" xfId="36575" xr:uid="{00000000-0005-0000-0000-00000F920000}"/>
    <cellStyle name="Normal 350 2 7" xfId="36576" xr:uid="{00000000-0005-0000-0000-000010920000}"/>
    <cellStyle name="Normal 350 2 8" xfId="36577" xr:uid="{00000000-0005-0000-0000-000011920000}"/>
    <cellStyle name="Normal 350 2 9" xfId="36578" xr:uid="{00000000-0005-0000-0000-000012920000}"/>
    <cellStyle name="Normal 350 3" xfId="36579" xr:uid="{00000000-0005-0000-0000-000013920000}"/>
    <cellStyle name="Normal 350 3 2" xfId="36580" xr:uid="{00000000-0005-0000-0000-000014920000}"/>
    <cellStyle name="Normal 350 3 2 2" xfId="36581" xr:uid="{00000000-0005-0000-0000-000015920000}"/>
    <cellStyle name="Normal 350 3 2 2 2" xfId="36582" xr:uid="{00000000-0005-0000-0000-000016920000}"/>
    <cellStyle name="Normal 350 3 2 2 3" xfId="36583" xr:uid="{00000000-0005-0000-0000-000017920000}"/>
    <cellStyle name="Normal 350 3 2 3" xfId="36584" xr:uid="{00000000-0005-0000-0000-000018920000}"/>
    <cellStyle name="Normal 350 3 2 3 2" xfId="36585" xr:uid="{00000000-0005-0000-0000-000019920000}"/>
    <cellStyle name="Normal 350 3 2 3 3" xfId="36586" xr:uid="{00000000-0005-0000-0000-00001A920000}"/>
    <cellStyle name="Normal 350 3 2 4" xfId="36587" xr:uid="{00000000-0005-0000-0000-00001B920000}"/>
    <cellStyle name="Normal 350 3 2 5" xfId="36588" xr:uid="{00000000-0005-0000-0000-00001C920000}"/>
    <cellStyle name="Normal 350 3 2 6" xfId="36589" xr:uid="{00000000-0005-0000-0000-00001D920000}"/>
    <cellStyle name="Normal 350 3 3" xfId="36590" xr:uid="{00000000-0005-0000-0000-00001E920000}"/>
    <cellStyle name="Normal 350 3 3 2" xfId="36591" xr:uid="{00000000-0005-0000-0000-00001F920000}"/>
    <cellStyle name="Normal 350 3 3 3" xfId="36592" xr:uid="{00000000-0005-0000-0000-000020920000}"/>
    <cellStyle name="Normal 350 3 4" xfId="36593" xr:uid="{00000000-0005-0000-0000-000021920000}"/>
    <cellStyle name="Normal 350 3 4 2" xfId="36594" xr:uid="{00000000-0005-0000-0000-000022920000}"/>
    <cellStyle name="Normal 350 3 4 3" xfId="36595" xr:uid="{00000000-0005-0000-0000-000023920000}"/>
    <cellStyle name="Normal 350 3 5" xfId="36596" xr:uid="{00000000-0005-0000-0000-000024920000}"/>
    <cellStyle name="Normal 350 3 6" xfId="36597" xr:uid="{00000000-0005-0000-0000-000025920000}"/>
    <cellStyle name="Normal 350 3 7" xfId="36598" xr:uid="{00000000-0005-0000-0000-000026920000}"/>
    <cellStyle name="Normal 350 3 8" xfId="36599" xr:uid="{00000000-0005-0000-0000-000027920000}"/>
    <cellStyle name="Normal 350 4" xfId="36600" xr:uid="{00000000-0005-0000-0000-000028920000}"/>
    <cellStyle name="Normal 350 4 2" xfId="36601" xr:uid="{00000000-0005-0000-0000-000029920000}"/>
    <cellStyle name="Normal 350 4 2 2" xfId="36602" xr:uid="{00000000-0005-0000-0000-00002A920000}"/>
    <cellStyle name="Normal 350 4 2 3" xfId="36603" xr:uid="{00000000-0005-0000-0000-00002B920000}"/>
    <cellStyle name="Normal 350 4 3" xfId="36604" xr:uid="{00000000-0005-0000-0000-00002C920000}"/>
    <cellStyle name="Normal 350 4 3 2" xfId="36605" xr:uid="{00000000-0005-0000-0000-00002D920000}"/>
    <cellStyle name="Normal 350 4 3 3" xfId="36606" xr:uid="{00000000-0005-0000-0000-00002E920000}"/>
    <cellStyle name="Normal 350 4 4" xfId="36607" xr:uid="{00000000-0005-0000-0000-00002F920000}"/>
    <cellStyle name="Normal 350 4 5" xfId="36608" xr:uid="{00000000-0005-0000-0000-000030920000}"/>
    <cellStyle name="Normal 350 4 6" xfId="36609" xr:uid="{00000000-0005-0000-0000-000031920000}"/>
    <cellStyle name="Normal 350 5" xfId="36610" xr:uid="{00000000-0005-0000-0000-000032920000}"/>
    <cellStyle name="Normal 350 5 2" xfId="36611" xr:uid="{00000000-0005-0000-0000-000033920000}"/>
    <cellStyle name="Normal 350 5 3" xfId="36612" xr:uid="{00000000-0005-0000-0000-000034920000}"/>
    <cellStyle name="Normal 350 6" xfId="36613" xr:uid="{00000000-0005-0000-0000-000035920000}"/>
    <cellStyle name="Normal 350 6 2" xfId="36614" xr:uid="{00000000-0005-0000-0000-000036920000}"/>
    <cellStyle name="Normal 350 6 3" xfId="36615" xr:uid="{00000000-0005-0000-0000-000037920000}"/>
    <cellStyle name="Normal 350 7" xfId="36616" xr:uid="{00000000-0005-0000-0000-000038920000}"/>
    <cellStyle name="Normal 350 8" xfId="36617" xr:uid="{00000000-0005-0000-0000-000039920000}"/>
    <cellStyle name="Normal 350 9" xfId="36618" xr:uid="{00000000-0005-0000-0000-00003A920000}"/>
    <cellStyle name="Normal 351" xfId="3261" xr:uid="{00000000-0005-0000-0000-00003B920000}"/>
    <cellStyle name="Normal 351 10" xfId="36619" xr:uid="{00000000-0005-0000-0000-00003C920000}"/>
    <cellStyle name="Normal 351 11" xfId="36620" xr:uid="{00000000-0005-0000-0000-00003D920000}"/>
    <cellStyle name="Normal 351 2" xfId="36621" xr:uid="{00000000-0005-0000-0000-00003E920000}"/>
    <cellStyle name="Normal 351 2 2" xfId="36622" xr:uid="{00000000-0005-0000-0000-00003F920000}"/>
    <cellStyle name="Normal 351 2 2 2" xfId="36623" xr:uid="{00000000-0005-0000-0000-000040920000}"/>
    <cellStyle name="Normal 351 2 2 2 2" xfId="36624" xr:uid="{00000000-0005-0000-0000-000041920000}"/>
    <cellStyle name="Normal 351 2 2 2 2 2" xfId="36625" xr:uid="{00000000-0005-0000-0000-000042920000}"/>
    <cellStyle name="Normal 351 2 2 2 2 3" xfId="36626" xr:uid="{00000000-0005-0000-0000-000043920000}"/>
    <cellStyle name="Normal 351 2 2 2 3" xfId="36627" xr:uid="{00000000-0005-0000-0000-000044920000}"/>
    <cellStyle name="Normal 351 2 2 2 3 2" xfId="36628" xr:uid="{00000000-0005-0000-0000-000045920000}"/>
    <cellStyle name="Normal 351 2 2 2 3 3" xfId="36629" xr:uid="{00000000-0005-0000-0000-000046920000}"/>
    <cellStyle name="Normal 351 2 2 2 4" xfId="36630" xr:uid="{00000000-0005-0000-0000-000047920000}"/>
    <cellStyle name="Normal 351 2 2 2 5" xfId="36631" xr:uid="{00000000-0005-0000-0000-000048920000}"/>
    <cellStyle name="Normal 351 2 2 2 6" xfId="36632" xr:uid="{00000000-0005-0000-0000-000049920000}"/>
    <cellStyle name="Normal 351 2 2 3" xfId="36633" xr:uid="{00000000-0005-0000-0000-00004A920000}"/>
    <cellStyle name="Normal 351 2 2 3 2" xfId="36634" xr:uid="{00000000-0005-0000-0000-00004B920000}"/>
    <cellStyle name="Normal 351 2 2 3 3" xfId="36635" xr:uid="{00000000-0005-0000-0000-00004C920000}"/>
    <cellStyle name="Normal 351 2 2 4" xfId="36636" xr:uid="{00000000-0005-0000-0000-00004D920000}"/>
    <cellStyle name="Normal 351 2 2 4 2" xfId="36637" xr:uid="{00000000-0005-0000-0000-00004E920000}"/>
    <cellStyle name="Normal 351 2 2 4 3" xfId="36638" xr:uid="{00000000-0005-0000-0000-00004F920000}"/>
    <cellStyle name="Normal 351 2 2 5" xfId="36639" xr:uid="{00000000-0005-0000-0000-000050920000}"/>
    <cellStyle name="Normal 351 2 2 6" xfId="36640" xr:uid="{00000000-0005-0000-0000-000051920000}"/>
    <cellStyle name="Normal 351 2 2 7" xfId="36641" xr:uid="{00000000-0005-0000-0000-000052920000}"/>
    <cellStyle name="Normal 351 2 2 8" xfId="36642" xr:uid="{00000000-0005-0000-0000-000053920000}"/>
    <cellStyle name="Normal 351 2 3" xfId="36643" xr:uid="{00000000-0005-0000-0000-000054920000}"/>
    <cellStyle name="Normal 351 2 3 2" xfId="36644" xr:uid="{00000000-0005-0000-0000-000055920000}"/>
    <cellStyle name="Normal 351 2 3 2 2" xfId="36645" xr:uid="{00000000-0005-0000-0000-000056920000}"/>
    <cellStyle name="Normal 351 2 3 2 3" xfId="36646" xr:uid="{00000000-0005-0000-0000-000057920000}"/>
    <cellStyle name="Normal 351 2 3 3" xfId="36647" xr:uid="{00000000-0005-0000-0000-000058920000}"/>
    <cellStyle name="Normal 351 2 3 3 2" xfId="36648" xr:uid="{00000000-0005-0000-0000-000059920000}"/>
    <cellStyle name="Normal 351 2 3 3 3" xfId="36649" xr:uid="{00000000-0005-0000-0000-00005A920000}"/>
    <cellStyle name="Normal 351 2 3 4" xfId="36650" xr:uid="{00000000-0005-0000-0000-00005B920000}"/>
    <cellStyle name="Normal 351 2 3 5" xfId="36651" xr:uid="{00000000-0005-0000-0000-00005C920000}"/>
    <cellStyle name="Normal 351 2 3 6" xfId="36652" xr:uid="{00000000-0005-0000-0000-00005D920000}"/>
    <cellStyle name="Normal 351 2 4" xfId="36653" xr:uid="{00000000-0005-0000-0000-00005E920000}"/>
    <cellStyle name="Normal 351 2 4 2" xfId="36654" xr:uid="{00000000-0005-0000-0000-00005F920000}"/>
    <cellStyle name="Normal 351 2 4 3" xfId="36655" xr:uid="{00000000-0005-0000-0000-000060920000}"/>
    <cellStyle name="Normal 351 2 5" xfId="36656" xr:uid="{00000000-0005-0000-0000-000061920000}"/>
    <cellStyle name="Normal 351 2 5 2" xfId="36657" xr:uid="{00000000-0005-0000-0000-000062920000}"/>
    <cellStyle name="Normal 351 2 5 3" xfId="36658" xr:uid="{00000000-0005-0000-0000-000063920000}"/>
    <cellStyle name="Normal 351 2 6" xfId="36659" xr:uid="{00000000-0005-0000-0000-000064920000}"/>
    <cellStyle name="Normal 351 2 7" xfId="36660" xr:uid="{00000000-0005-0000-0000-000065920000}"/>
    <cellStyle name="Normal 351 2 8" xfId="36661" xr:uid="{00000000-0005-0000-0000-000066920000}"/>
    <cellStyle name="Normal 351 2 9" xfId="36662" xr:uid="{00000000-0005-0000-0000-000067920000}"/>
    <cellStyle name="Normal 351 3" xfId="36663" xr:uid="{00000000-0005-0000-0000-000068920000}"/>
    <cellStyle name="Normal 351 3 2" xfId="36664" xr:uid="{00000000-0005-0000-0000-000069920000}"/>
    <cellStyle name="Normal 351 3 2 2" xfId="36665" xr:uid="{00000000-0005-0000-0000-00006A920000}"/>
    <cellStyle name="Normal 351 3 2 2 2" xfId="36666" xr:uid="{00000000-0005-0000-0000-00006B920000}"/>
    <cellStyle name="Normal 351 3 2 2 3" xfId="36667" xr:uid="{00000000-0005-0000-0000-00006C920000}"/>
    <cellStyle name="Normal 351 3 2 3" xfId="36668" xr:uid="{00000000-0005-0000-0000-00006D920000}"/>
    <cellStyle name="Normal 351 3 2 3 2" xfId="36669" xr:uid="{00000000-0005-0000-0000-00006E920000}"/>
    <cellStyle name="Normal 351 3 2 3 3" xfId="36670" xr:uid="{00000000-0005-0000-0000-00006F920000}"/>
    <cellStyle name="Normal 351 3 2 4" xfId="36671" xr:uid="{00000000-0005-0000-0000-000070920000}"/>
    <cellStyle name="Normal 351 3 2 5" xfId="36672" xr:uid="{00000000-0005-0000-0000-000071920000}"/>
    <cellStyle name="Normal 351 3 2 6" xfId="36673" xr:uid="{00000000-0005-0000-0000-000072920000}"/>
    <cellStyle name="Normal 351 3 3" xfId="36674" xr:uid="{00000000-0005-0000-0000-000073920000}"/>
    <cellStyle name="Normal 351 3 3 2" xfId="36675" xr:uid="{00000000-0005-0000-0000-000074920000}"/>
    <cellStyle name="Normal 351 3 3 3" xfId="36676" xr:uid="{00000000-0005-0000-0000-000075920000}"/>
    <cellStyle name="Normal 351 3 4" xfId="36677" xr:uid="{00000000-0005-0000-0000-000076920000}"/>
    <cellStyle name="Normal 351 3 4 2" xfId="36678" xr:uid="{00000000-0005-0000-0000-000077920000}"/>
    <cellStyle name="Normal 351 3 4 3" xfId="36679" xr:uid="{00000000-0005-0000-0000-000078920000}"/>
    <cellStyle name="Normal 351 3 5" xfId="36680" xr:uid="{00000000-0005-0000-0000-000079920000}"/>
    <cellStyle name="Normal 351 3 6" xfId="36681" xr:uid="{00000000-0005-0000-0000-00007A920000}"/>
    <cellStyle name="Normal 351 3 7" xfId="36682" xr:uid="{00000000-0005-0000-0000-00007B920000}"/>
    <cellStyle name="Normal 351 3 8" xfId="36683" xr:uid="{00000000-0005-0000-0000-00007C920000}"/>
    <cellStyle name="Normal 351 4" xfId="36684" xr:uid="{00000000-0005-0000-0000-00007D920000}"/>
    <cellStyle name="Normal 351 4 2" xfId="36685" xr:uid="{00000000-0005-0000-0000-00007E920000}"/>
    <cellStyle name="Normal 351 4 2 2" xfId="36686" xr:uid="{00000000-0005-0000-0000-00007F920000}"/>
    <cellStyle name="Normal 351 4 2 3" xfId="36687" xr:uid="{00000000-0005-0000-0000-000080920000}"/>
    <cellStyle name="Normal 351 4 3" xfId="36688" xr:uid="{00000000-0005-0000-0000-000081920000}"/>
    <cellStyle name="Normal 351 4 3 2" xfId="36689" xr:uid="{00000000-0005-0000-0000-000082920000}"/>
    <cellStyle name="Normal 351 4 3 3" xfId="36690" xr:uid="{00000000-0005-0000-0000-000083920000}"/>
    <cellStyle name="Normal 351 4 4" xfId="36691" xr:uid="{00000000-0005-0000-0000-000084920000}"/>
    <cellStyle name="Normal 351 4 5" xfId="36692" xr:uid="{00000000-0005-0000-0000-000085920000}"/>
    <cellStyle name="Normal 351 4 6" xfId="36693" xr:uid="{00000000-0005-0000-0000-000086920000}"/>
    <cellStyle name="Normal 351 5" xfId="36694" xr:uid="{00000000-0005-0000-0000-000087920000}"/>
    <cellStyle name="Normal 351 5 2" xfId="36695" xr:uid="{00000000-0005-0000-0000-000088920000}"/>
    <cellStyle name="Normal 351 5 3" xfId="36696" xr:uid="{00000000-0005-0000-0000-000089920000}"/>
    <cellStyle name="Normal 351 6" xfId="36697" xr:uid="{00000000-0005-0000-0000-00008A920000}"/>
    <cellStyle name="Normal 351 6 2" xfId="36698" xr:uid="{00000000-0005-0000-0000-00008B920000}"/>
    <cellStyle name="Normal 351 6 3" xfId="36699" xr:uid="{00000000-0005-0000-0000-00008C920000}"/>
    <cellStyle name="Normal 351 7" xfId="36700" xr:uid="{00000000-0005-0000-0000-00008D920000}"/>
    <cellStyle name="Normal 351 8" xfId="36701" xr:uid="{00000000-0005-0000-0000-00008E920000}"/>
    <cellStyle name="Normal 351 9" xfId="36702" xr:uid="{00000000-0005-0000-0000-00008F920000}"/>
    <cellStyle name="Normal 352" xfId="3262" xr:uid="{00000000-0005-0000-0000-000090920000}"/>
    <cellStyle name="Normal 352 10" xfId="36703" xr:uid="{00000000-0005-0000-0000-000091920000}"/>
    <cellStyle name="Normal 352 11" xfId="36704" xr:uid="{00000000-0005-0000-0000-000092920000}"/>
    <cellStyle name="Normal 352 2" xfId="36705" xr:uid="{00000000-0005-0000-0000-000093920000}"/>
    <cellStyle name="Normal 352 2 2" xfId="36706" xr:uid="{00000000-0005-0000-0000-000094920000}"/>
    <cellStyle name="Normal 352 2 2 2" xfId="36707" xr:uid="{00000000-0005-0000-0000-000095920000}"/>
    <cellStyle name="Normal 352 2 2 2 2" xfId="36708" xr:uid="{00000000-0005-0000-0000-000096920000}"/>
    <cellStyle name="Normal 352 2 2 2 2 2" xfId="36709" xr:uid="{00000000-0005-0000-0000-000097920000}"/>
    <cellStyle name="Normal 352 2 2 2 2 3" xfId="36710" xr:uid="{00000000-0005-0000-0000-000098920000}"/>
    <cellStyle name="Normal 352 2 2 2 3" xfId="36711" xr:uid="{00000000-0005-0000-0000-000099920000}"/>
    <cellStyle name="Normal 352 2 2 2 3 2" xfId="36712" xr:uid="{00000000-0005-0000-0000-00009A920000}"/>
    <cellStyle name="Normal 352 2 2 2 3 3" xfId="36713" xr:uid="{00000000-0005-0000-0000-00009B920000}"/>
    <cellStyle name="Normal 352 2 2 2 4" xfId="36714" xr:uid="{00000000-0005-0000-0000-00009C920000}"/>
    <cellStyle name="Normal 352 2 2 2 5" xfId="36715" xr:uid="{00000000-0005-0000-0000-00009D920000}"/>
    <cellStyle name="Normal 352 2 2 2 6" xfId="36716" xr:uid="{00000000-0005-0000-0000-00009E920000}"/>
    <cellStyle name="Normal 352 2 2 3" xfId="36717" xr:uid="{00000000-0005-0000-0000-00009F920000}"/>
    <cellStyle name="Normal 352 2 2 3 2" xfId="36718" xr:uid="{00000000-0005-0000-0000-0000A0920000}"/>
    <cellStyle name="Normal 352 2 2 3 3" xfId="36719" xr:uid="{00000000-0005-0000-0000-0000A1920000}"/>
    <cellStyle name="Normal 352 2 2 4" xfId="36720" xr:uid="{00000000-0005-0000-0000-0000A2920000}"/>
    <cellStyle name="Normal 352 2 2 4 2" xfId="36721" xr:uid="{00000000-0005-0000-0000-0000A3920000}"/>
    <cellStyle name="Normal 352 2 2 4 3" xfId="36722" xr:uid="{00000000-0005-0000-0000-0000A4920000}"/>
    <cellStyle name="Normal 352 2 2 5" xfId="36723" xr:uid="{00000000-0005-0000-0000-0000A5920000}"/>
    <cellStyle name="Normal 352 2 2 6" xfId="36724" xr:uid="{00000000-0005-0000-0000-0000A6920000}"/>
    <cellStyle name="Normal 352 2 2 7" xfId="36725" xr:uid="{00000000-0005-0000-0000-0000A7920000}"/>
    <cellStyle name="Normal 352 2 2 8" xfId="36726" xr:uid="{00000000-0005-0000-0000-0000A8920000}"/>
    <cellStyle name="Normal 352 2 3" xfId="36727" xr:uid="{00000000-0005-0000-0000-0000A9920000}"/>
    <cellStyle name="Normal 352 2 3 2" xfId="36728" xr:uid="{00000000-0005-0000-0000-0000AA920000}"/>
    <cellStyle name="Normal 352 2 3 2 2" xfId="36729" xr:uid="{00000000-0005-0000-0000-0000AB920000}"/>
    <cellStyle name="Normal 352 2 3 2 3" xfId="36730" xr:uid="{00000000-0005-0000-0000-0000AC920000}"/>
    <cellStyle name="Normal 352 2 3 3" xfId="36731" xr:uid="{00000000-0005-0000-0000-0000AD920000}"/>
    <cellStyle name="Normal 352 2 3 3 2" xfId="36732" xr:uid="{00000000-0005-0000-0000-0000AE920000}"/>
    <cellStyle name="Normal 352 2 3 3 3" xfId="36733" xr:uid="{00000000-0005-0000-0000-0000AF920000}"/>
    <cellStyle name="Normal 352 2 3 4" xfId="36734" xr:uid="{00000000-0005-0000-0000-0000B0920000}"/>
    <cellStyle name="Normal 352 2 3 5" xfId="36735" xr:uid="{00000000-0005-0000-0000-0000B1920000}"/>
    <cellStyle name="Normal 352 2 3 6" xfId="36736" xr:uid="{00000000-0005-0000-0000-0000B2920000}"/>
    <cellStyle name="Normal 352 2 4" xfId="36737" xr:uid="{00000000-0005-0000-0000-0000B3920000}"/>
    <cellStyle name="Normal 352 2 4 2" xfId="36738" xr:uid="{00000000-0005-0000-0000-0000B4920000}"/>
    <cellStyle name="Normal 352 2 4 3" xfId="36739" xr:uid="{00000000-0005-0000-0000-0000B5920000}"/>
    <cellStyle name="Normal 352 2 5" xfId="36740" xr:uid="{00000000-0005-0000-0000-0000B6920000}"/>
    <cellStyle name="Normal 352 2 5 2" xfId="36741" xr:uid="{00000000-0005-0000-0000-0000B7920000}"/>
    <cellStyle name="Normal 352 2 5 3" xfId="36742" xr:uid="{00000000-0005-0000-0000-0000B8920000}"/>
    <cellStyle name="Normal 352 2 6" xfId="36743" xr:uid="{00000000-0005-0000-0000-0000B9920000}"/>
    <cellStyle name="Normal 352 2 7" xfId="36744" xr:uid="{00000000-0005-0000-0000-0000BA920000}"/>
    <cellStyle name="Normal 352 2 8" xfId="36745" xr:uid="{00000000-0005-0000-0000-0000BB920000}"/>
    <cellStyle name="Normal 352 2 9" xfId="36746" xr:uid="{00000000-0005-0000-0000-0000BC920000}"/>
    <cellStyle name="Normal 352 3" xfId="36747" xr:uid="{00000000-0005-0000-0000-0000BD920000}"/>
    <cellStyle name="Normal 352 3 2" xfId="36748" xr:uid="{00000000-0005-0000-0000-0000BE920000}"/>
    <cellStyle name="Normal 352 3 2 2" xfId="36749" xr:uid="{00000000-0005-0000-0000-0000BF920000}"/>
    <cellStyle name="Normal 352 3 2 2 2" xfId="36750" xr:uid="{00000000-0005-0000-0000-0000C0920000}"/>
    <cellStyle name="Normal 352 3 2 2 3" xfId="36751" xr:uid="{00000000-0005-0000-0000-0000C1920000}"/>
    <cellStyle name="Normal 352 3 2 3" xfId="36752" xr:uid="{00000000-0005-0000-0000-0000C2920000}"/>
    <cellStyle name="Normal 352 3 2 3 2" xfId="36753" xr:uid="{00000000-0005-0000-0000-0000C3920000}"/>
    <cellStyle name="Normal 352 3 2 3 3" xfId="36754" xr:uid="{00000000-0005-0000-0000-0000C4920000}"/>
    <cellStyle name="Normal 352 3 2 4" xfId="36755" xr:uid="{00000000-0005-0000-0000-0000C5920000}"/>
    <cellStyle name="Normal 352 3 2 5" xfId="36756" xr:uid="{00000000-0005-0000-0000-0000C6920000}"/>
    <cellStyle name="Normal 352 3 2 6" xfId="36757" xr:uid="{00000000-0005-0000-0000-0000C7920000}"/>
    <cellStyle name="Normal 352 3 3" xfId="36758" xr:uid="{00000000-0005-0000-0000-0000C8920000}"/>
    <cellStyle name="Normal 352 3 3 2" xfId="36759" xr:uid="{00000000-0005-0000-0000-0000C9920000}"/>
    <cellStyle name="Normal 352 3 3 3" xfId="36760" xr:uid="{00000000-0005-0000-0000-0000CA920000}"/>
    <cellStyle name="Normal 352 3 4" xfId="36761" xr:uid="{00000000-0005-0000-0000-0000CB920000}"/>
    <cellStyle name="Normal 352 3 4 2" xfId="36762" xr:uid="{00000000-0005-0000-0000-0000CC920000}"/>
    <cellStyle name="Normal 352 3 4 3" xfId="36763" xr:uid="{00000000-0005-0000-0000-0000CD920000}"/>
    <cellStyle name="Normal 352 3 5" xfId="36764" xr:uid="{00000000-0005-0000-0000-0000CE920000}"/>
    <cellStyle name="Normal 352 3 6" xfId="36765" xr:uid="{00000000-0005-0000-0000-0000CF920000}"/>
    <cellStyle name="Normal 352 3 7" xfId="36766" xr:uid="{00000000-0005-0000-0000-0000D0920000}"/>
    <cellStyle name="Normal 352 3 8" xfId="36767" xr:uid="{00000000-0005-0000-0000-0000D1920000}"/>
    <cellStyle name="Normal 352 4" xfId="36768" xr:uid="{00000000-0005-0000-0000-0000D2920000}"/>
    <cellStyle name="Normal 352 4 2" xfId="36769" xr:uid="{00000000-0005-0000-0000-0000D3920000}"/>
    <cellStyle name="Normal 352 4 2 2" xfId="36770" xr:uid="{00000000-0005-0000-0000-0000D4920000}"/>
    <cellStyle name="Normal 352 4 2 3" xfId="36771" xr:uid="{00000000-0005-0000-0000-0000D5920000}"/>
    <cellStyle name="Normal 352 4 3" xfId="36772" xr:uid="{00000000-0005-0000-0000-0000D6920000}"/>
    <cellStyle name="Normal 352 4 3 2" xfId="36773" xr:uid="{00000000-0005-0000-0000-0000D7920000}"/>
    <cellStyle name="Normal 352 4 3 3" xfId="36774" xr:uid="{00000000-0005-0000-0000-0000D8920000}"/>
    <cellStyle name="Normal 352 4 4" xfId="36775" xr:uid="{00000000-0005-0000-0000-0000D9920000}"/>
    <cellStyle name="Normal 352 4 5" xfId="36776" xr:uid="{00000000-0005-0000-0000-0000DA920000}"/>
    <cellStyle name="Normal 352 4 6" xfId="36777" xr:uid="{00000000-0005-0000-0000-0000DB920000}"/>
    <cellStyle name="Normal 352 5" xfId="36778" xr:uid="{00000000-0005-0000-0000-0000DC920000}"/>
    <cellStyle name="Normal 352 5 2" xfId="36779" xr:uid="{00000000-0005-0000-0000-0000DD920000}"/>
    <cellStyle name="Normal 352 5 3" xfId="36780" xr:uid="{00000000-0005-0000-0000-0000DE920000}"/>
    <cellStyle name="Normal 352 6" xfId="36781" xr:uid="{00000000-0005-0000-0000-0000DF920000}"/>
    <cellStyle name="Normal 352 6 2" xfId="36782" xr:uid="{00000000-0005-0000-0000-0000E0920000}"/>
    <cellStyle name="Normal 352 6 3" xfId="36783" xr:uid="{00000000-0005-0000-0000-0000E1920000}"/>
    <cellStyle name="Normal 352 7" xfId="36784" xr:uid="{00000000-0005-0000-0000-0000E2920000}"/>
    <cellStyle name="Normal 352 8" xfId="36785" xr:uid="{00000000-0005-0000-0000-0000E3920000}"/>
    <cellStyle name="Normal 352 9" xfId="36786" xr:uid="{00000000-0005-0000-0000-0000E4920000}"/>
    <cellStyle name="Normal 353" xfId="3263" xr:uid="{00000000-0005-0000-0000-0000E5920000}"/>
    <cellStyle name="Normal 353 10" xfId="36787" xr:uid="{00000000-0005-0000-0000-0000E6920000}"/>
    <cellStyle name="Normal 353 11" xfId="36788" xr:uid="{00000000-0005-0000-0000-0000E7920000}"/>
    <cellStyle name="Normal 353 2" xfId="3264" xr:uid="{00000000-0005-0000-0000-0000E8920000}"/>
    <cellStyle name="Normal 353 2 10" xfId="36789" xr:uid="{00000000-0005-0000-0000-0000E9920000}"/>
    <cellStyle name="Normal 353 2 2" xfId="36790" xr:uid="{00000000-0005-0000-0000-0000EA920000}"/>
    <cellStyle name="Normal 353 2 2 2" xfId="36791" xr:uid="{00000000-0005-0000-0000-0000EB920000}"/>
    <cellStyle name="Normal 353 2 2 2 2" xfId="36792" xr:uid="{00000000-0005-0000-0000-0000EC920000}"/>
    <cellStyle name="Normal 353 2 2 2 2 2" xfId="36793" xr:uid="{00000000-0005-0000-0000-0000ED920000}"/>
    <cellStyle name="Normal 353 2 2 2 2 3" xfId="36794" xr:uid="{00000000-0005-0000-0000-0000EE920000}"/>
    <cellStyle name="Normal 353 2 2 2 3" xfId="36795" xr:uid="{00000000-0005-0000-0000-0000EF920000}"/>
    <cellStyle name="Normal 353 2 2 2 3 2" xfId="36796" xr:uid="{00000000-0005-0000-0000-0000F0920000}"/>
    <cellStyle name="Normal 353 2 2 2 3 3" xfId="36797" xr:uid="{00000000-0005-0000-0000-0000F1920000}"/>
    <cellStyle name="Normal 353 2 2 2 4" xfId="36798" xr:uid="{00000000-0005-0000-0000-0000F2920000}"/>
    <cellStyle name="Normal 353 2 2 2 5" xfId="36799" xr:uid="{00000000-0005-0000-0000-0000F3920000}"/>
    <cellStyle name="Normal 353 2 2 2 6" xfId="36800" xr:uid="{00000000-0005-0000-0000-0000F4920000}"/>
    <cellStyle name="Normal 353 2 2 3" xfId="36801" xr:uid="{00000000-0005-0000-0000-0000F5920000}"/>
    <cellStyle name="Normal 353 2 2 3 2" xfId="36802" xr:uid="{00000000-0005-0000-0000-0000F6920000}"/>
    <cellStyle name="Normal 353 2 2 3 3" xfId="36803" xr:uid="{00000000-0005-0000-0000-0000F7920000}"/>
    <cellStyle name="Normal 353 2 2 4" xfId="36804" xr:uid="{00000000-0005-0000-0000-0000F8920000}"/>
    <cellStyle name="Normal 353 2 2 4 2" xfId="36805" xr:uid="{00000000-0005-0000-0000-0000F9920000}"/>
    <cellStyle name="Normal 353 2 2 4 3" xfId="36806" xr:uid="{00000000-0005-0000-0000-0000FA920000}"/>
    <cellStyle name="Normal 353 2 2 5" xfId="36807" xr:uid="{00000000-0005-0000-0000-0000FB920000}"/>
    <cellStyle name="Normal 353 2 2 6" xfId="36808" xr:uid="{00000000-0005-0000-0000-0000FC920000}"/>
    <cellStyle name="Normal 353 2 2 7" xfId="36809" xr:uid="{00000000-0005-0000-0000-0000FD920000}"/>
    <cellStyle name="Normal 353 2 2 8" xfId="36810" xr:uid="{00000000-0005-0000-0000-0000FE920000}"/>
    <cellStyle name="Normal 353 2 3" xfId="36811" xr:uid="{00000000-0005-0000-0000-0000FF920000}"/>
    <cellStyle name="Normal 353 2 3 2" xfId="36812" xr:uid="{00000000-0005-0000-0000-000000930000}"/>
    <cellStyle name="Normal 353 2 3 2 2" xfId="36813" xr:uid="{00000000-0005-0000-0000-000001930000}"/>
    <cellStyle name="Normal 353 2 3 2 3" xfId="36814" xr:uid="{00000000-0005-0000-0000-000002930000}"/>
    <cellStyle name="Normal 353 2 3 3" xfId="36815" xr:uid="{00000000-0005-0000-0000-000003930000}"/>
    <cellStyle name="Normal 353 2 3 3 2" xfId="36816" xr:uid="{00000000-0005-0000-0000-000004930000}"/>
    <cellStyle name="Normal 353 2 3 3 3" xfId="36817" xr:uid="{00000000-0005-0000-0000-000005930000}"/>
    <cellStyle name="Normal 353 2 3 4" xfId="36818" xr:uid="{00000000-0005-0000-0000-000006930000}"/>
    <cellStyle name="Normal 353 2 3 5" xfId="36819" xr:uid="{00000000-0005-0000-0000-000007930000}"/>
    <cellStyle name="Normal 353 2 3 6" xfId="36820" xr:uid="{00000000-0005-0000-0000-000008930000}"/>
    <cellStyle name="Normal 353 2 4" xfId="36821" xr:uid="{00000000-0005-0000-0000-000009930000}"/>
    <cellStyle name="Normal 353 2 4 2" xfId="36822" xr:uid="{00000000-0005-0000-0000-00000A930000}"/>
    <cellStyle name="Normal 353 2 4 3" xfId="36823" xr:uid="{00000000-0005-0000-0000-00000B930000}"/>
    <cellStyle name="Normal 353 2 5" xfId="36824" xr:uid="{00000000-0005-0000-0000-00000C930000}"/>
    <cellStyle name="Normal 353 2 5 2" xfId="36825" xr:uid="{00000000-0005-0000-0000-00000D930000}"/>
    <cellStyle name="Normal 353 2 5 3" xfId="36826" xr:uid="{00000000-0005-0000-0000-00000E930000}"/>
    <cellStyle name="Normal 353 2 6" xfId="36827" xr:uid="{00000000-0005-0000-0000-00000F930000}"/>
    <cellStyle name="Normal 353 2 7" xfId="36828" xr:uid="{00000000-0005-0000-0000-000010930000}"/>
    <cellStyle name="Normal 353 2 8" xfId="36829" xr:uid="{00000000-0005-0000-0000-000011930000}"/>
    <cellStyle name="Normal 353 2 9" xfId="36830" xr:uid="{00000000-0005-0000-0000-000012930000}"/>
    <cellStyle name="Normal 353 3" xfId="36831" xr:uid="{00000000-0005-0000-0000-000013930000}"/>
    <cellStyle name="Normal 353 3 2" xfId="36832" xr:uid="{00000000-0005-0000-0000-000014930000}"/>
    <cellStyle name="Normal 353 3 2 2" xfId="36833" xr:uid="{00000000-0005-0000-0000-000015930000}"/>
    <cellStyle name="Normal 353 3 2 2 2" xfId="36834" xr:uid="{00000000-0005-0000-0000-000016930000}"/>
    <cellStyle name="Normal 353 3 2 2 3" xfId="36835" xr:uid="{00000000-0005-0000-0000-000017930000}"/>
    <cellStyle name="Normal 353 3 2 3" xfId="36836" xr:uid="{00000000-0005-0000-0000-000018930000}"/>
    <cellStyle name="Normal 353 3 2 3 2" xfId="36837" xr:uid="{00000000-0005-0000-0000-000019930000}"/>
    <cellStyle name="Normal 353 3 2 3 3" xfId="36838" xr:uid="{00000000-0005-0000-0000-00001A930000}"/>
    <cellStyle name="Normal 353 3 2 4" xfId="36839" xr:uid="{00000000-0005-0000-0000-00001B930000}"/>
    <cellStyle name="Normal 353 3 2 5" xfId="36840" xr:uid="{00000000-0005-0000-0000-00001C930000}"/>
    <cellStyle name="Normal 353 3 2 6" xfId="36841" xr:uid="{00000000-0005-0000-0000-00001D930000}"/>
    <cellStyle name="Normal 353 3 3" xfId="36842" xr:uid="{00000000-0005-0000-0000-00001E930000}"/>
    <cellStyle name="Normal 353 3 3 2" xfId="36843" xr:uid="{00000000-0005-0000-0000-00001F930000}"/>
    <cellStyle name="Normal 353 3 3 3" xfId="36844" xr:uid="{00000000-0005-0000-0000-000020930000}"/>
    <cellStyle name="Normal 353 3 4" xfId="36845" xr:uid="{00000000-0005-0000-0000-000021930000}"/>
    <cellStyle name="Normal 353 3 4 2" xfId="36846" xr:uid="{00000000-0005-0000-0000-000022930000}"/>
    <cellStyle name="Normal 353 3 4 3" xfId="36847" xr:uid="{00000000-0005-0000-0000-000023930000}"/>
    <cellStyle name="Normal 353 3 5" xfId="36848" xr:uid="{00000000-0005-0000-0000-000024930000}"/>
    <cellStyle name="Normal 353 3 6" xfId="36849" xr:uid="{00000000-0005-0000-0000-000025930000}"/>
    <cellStyle name="Normal 353 3 7" xfId="36850" xr:uid="{00000000-0005-0000-0000-000026930000}"/>
    <cellStyle name="Normal 353 3 8" xfId="36851" xr:uid="{00000000-0005-0000-0000-000027930000}"/>
    <cellStyle name="Normal 353 4" xfId="36852" xr:uid="{00000000-0005-0000-0000-000028930000}"/>
    <cellStyle name="Normal 353 4 2" xfId="36853" xr:uid="{00000000-0005-0000-0000-000029930000}"/>
    <cellStyle name="Normal 353 4 2 2" xfId="36854" xr:uid="{00000000-0005-0000-0000-00002A930000}"/>
    <cellStyle name="Normal 353 4 2 3" xfId="36855" xr:uid="{00000000-0005-0000-0000-00002B930000}"/>
    <cellStyle name="Normal 353 4 3" xfId="36856" xr:uid="{00000000-0005-0000-0000-00002C930000}"/>
    <cellStyle name="Normal 353 4 3 2" xfId="36857" xr:uid="{00000000-0005-0000-0000-00002D930000}"/>
    <cellStyle name="Normal 353 4 3 3" xfId="36858" xr:uid="{00000000-0005-0000-0000-00002E930000}"/>
    <cellStyle name="Normal 353 4 4" xfId="36859" xr:uid="{00000000-0005-0000-0000-00002F930000}"/>
    <cellStyle name="Normal 353 4 5" xfId="36860" xr:uid="{00000000-0005-0000-0000-000030930000}"/>
    <cellStyle name="Normal 353 4 6" xfId="36861" xr:uid="{00000000-0005-0000-0000-000031930000}"/>
    <cellStyle name="Normal 353 5" xfId="36862" xr:uid="{00000000-0005-0000-0000-000032930000}"/>
    <cellStyle name="Normal 353 5 2" xfId="36863" xr:uid="{00000000-0005-0000-0000-000033930000}"/>
    <cellStyle name="Normal 353 5 3" xfId="36864" xr:uid="{00000000-0005-0000-0000-000034930000}"/>
    <cellStyle name="Normal 353 6" xfId="36865" xr:uid="{00000000-0005-0000-0000-000035930000}"/>
    <cellStyle name="Normal 353 6 2" xfId="36866" xr:uid="{00000000-0005-0000-0000-000036930000}"/>
    <cellStyle name="Normal 353 6 3" xfId="36867" xr:uid="{00000000-0005-0000-0000-000037930000}"/>
    <cellStyle name="Normal 353 7" xfId="36868" xr:uid="{00000000-0005-0000-0000-000038930000}"/>
    <cellStyle name="Normal 353 8" xfId="36869" xr:uid="{00000000-0005-0000-0000-000039930000}"/>
    <cellStyle name="Normal 353 9" xfId="36870" xr:uid="{00000000-0005-0000-0000-00003A930000}"/>
    <cellStyle name="Normal 354" xfId="3265" xr:uid="{00000000-0005-0000-0000-00003B930000}"/>
    <cellStyle name="Normal 354 10" xfId="36871" xr:uid="{00000000-0005-0000-0000-00003C930000}"/>
    <cellStyle name="Normal 354 11" xfId="36872" xr:uid="{00000000-0005-0000-0000-00003D930000}"/>
    <cellStyle name="Normal 354 2" xfId="36873" xr:uid="{00000000-0005-0000-0000-00003E930000}"/>
    <cellStyle name="Normal 354 2 2" xfId="36874" xr:uid="{00000000-0005-0000-0000-00003F930000}"/>
    <cellStyle name="Normal 354 2 2 2" xfId="36875" xr:uid="{00000000-0005-0000-0000-000040930000}"/>
    <cellStyle name="Normal 354 2 2 2 2" xfId="36876" xr:uid="{00000000-0005-0000-0000-000041930000}"/>
    <cellStyle name="Normal 354 2 2 2 2 2" xfId="36877" xr:uid="{00000000-0005-0000-0000-000042930000}"/>
    <cellStyle name="Normal 354 2 2 2 2 3" xfId="36878" xr:uid="{00000000-0005-0000-0000-000043930000}"/>
    <cellStyle name="Normal 354 2 2 2 3" xfId="36879" xr:uid="{00000000-0005-0000-0000-000044930000}"/>
    <cellStyle name="Normal 354 2 2 2 3 2" xfId="36880" xr:uid="{00000000-0005-0000-0000-000045930000}"/>
    <cellStyle name="Normal 354 2 2 2 3 3" xfId="36881" xr:uid="{00000000-0005-0000-0000-000046930000}"/>
    <cellStyle name="Normal 354 2 2 2 4" xfId="36882" xr:uid="{00000000-0005-0000-0000-000047930000}"/>
    <cellStyle name="Normal 354 2 2 2 5" xfId="36883" xr:uid="{00000000-0005-0000-0000-000048930000}"/>
    <cellStyle name="Normal 354 2 2 2 6" xfId="36884" xr:uid="{00000000-0005-0000-0000-000049930000}"/>
    <cellStyle name="Normal 354 2 2 3" xfId="36885" xr:uid="{00000000-0005-0000-0000-00004A930000}"/>
    <cellStyle name="Normal 354 2 2 3 2" xfId="36886" xr:uid="{00000000-0005-0000-0000-00004B930000}"/>
    <cellStyle name="Normal 354 2 2 3 3" xfId="36887" xr:uid="{00000000-0005-0000-0000-00004C930000}"/>
    <cellStyle name="Normal 354 2 2 4" xfId="36888" xr:uid="{00000000-0005-0000-0000-00004D930000}"/>
    <cellStyle name="Normal 354 2 2 4 2" xfId="36889" xr:uid="{00000000-0005-0000-0000-00004E930000}"/>
    <cellStyle name="Normal 354 2 2 4 3" xfId="36890" xr:uid="{00000000-0005-0000-0000-00004F930000}"/>
    <cellStyle name="Normal 354 2 2 5" xfId="36891" xr:uid="{00000000-0005-0000-0000-000050930000}"/>
    <cellStyle name="Normal 354 2 2 6" xfId="36892" xr:uid="{00000000-0005-0000-0000-000051930000}"/>
    <cellStyle name="Normal 354 2 2 7" xfId="36893" xr:uid="{00000000-0005-0000-0000-000052930000}"/>
    <cellStyle name="Normal 354 2 2 8" xfId="36894" xr:uid="{00000000-0005-0000-0000-000053930000}"/>
    <cellStyle name="Normal 354 2 3" xfId="36895" xr:uid="{00000000-0005-0000-0000-000054930000}"/>
    <cellStyle name="Normal 354 2 3 2" xfId="36896" xr:uid="{00000000-0005-0000-0000-000055930000}"/>
    <cellStyle name="Normal 354 2 3 2 2" xfId="36897" xr:uid="{00000000-0005-0000-0000-000056930000}"/>
    <cellStyle name="Normal 354 2 3 2 3" xfId="36898" xr:uid="{00000000-0005-0000-0000-000057930000}"/>
    <cellStyle name="Normal 354 2 3 3" xfId="36899" xr:uid="{00000000-0005-0000-0000-000058930000}"/>
    <cellStyle name="Normal 354 2 3 3 2" xfId="36900" xr:uid="{00000000-0005-0000-0000-000059930000}"/>
    <cellStyle name="Normal 354 2 3 3 3" xfId="36901" xr:uid="{00000000-0005-0000-0000-00005A930000}"/>
    <cellStyle name="Normal 354 2 3 4" xfId="36902" xr:uid="{00000000-0005-0000-0000-00005B930000}"/>
    <cellStyle name="Normal 354 2 3 5" xfId="36903" xr:uid="{00000000-0005-0000-0000-00005C930000}"/>
    <cellStyle name="Normal 354 2 3 6" xfId="36904" xr:uid="{00000000-0005-0000-0000-00005D930000}"/>
    <cellStyle name="Normal 354 2 4" xfId="36905" xr:uid="{00000000-0005-0000-0000-00005E930000}"/>
    <cellStyle name="Normal 354 2 4 2" xfId="36906" xr:uid="{00000000-0005-0000-0000-00005F930000}"/>
    <cellStyle name="Normal 354 2 4 3" xfId="36907" xr:uid="{00000000-0005-0000-0000-000060930000}"/>
    <cellStyle name="Normal 354 2 5" xfId="36908" xr:uid="{00000000-0005-0000-0000-000061930000}"/>
    <cellStyle name="Normal 354 2 5 2" xfId="36909" xr:uid="{00000000-0005-0000-0000-000062930000}"/>
    <cellStyle name="Normal 354 2 5 3" xfId="36910" xr:uid="{00000000-0005-0000-0000-000063930000}"/>
    <cellStyle name="Normal 354 2 6" xfId="36911" xr:uid="{00000000-0005-0000-0000-000064930000}"/>
    <cellStyle name="Normal 354 2 7" xfId="36912" xr:uid="{00000000-0005-0000-0000-000065930000}"/>
    <cellStyle name="Normal 354 2 8" xfId="36913" xr:uid="{00000000-0005-0000-0000-000066930000}"/>
    <cellStyle name="Normal 354 2 9" xfId="36914" xr:uid="{00000000-0005-0000-0000-000067930000}"/>
    <cellStyle name="Normal 354 3" xfId="36915" xr:uid="{00000000-0005-0000-0000-000068930000}"/>
    <cellStyle name="Normal 354 3 2" xfId="36916" xr:uid="{00000000-0005-0000-0000-000069930000}"/>
    <cellStyle name="Normal 354 3 2 2" xfId="36917" xr:uid="{00000000-0005-0000-0000-00006A930000}"/>
    <cellStyle name="Normal 354 3 2 2 2" xfId="36918" xr:uid="{00000000-0005-0000-0000-00006B930000}"/>
    <cellStyle name="Normal 354 3 2 2 3" xfId="36919" xr:uid="{00000000-0005-0000-0000-00006C930000}"/>
    <cellStyle name="Normal 354 3 2 3" xfId="36920" xr:uid="{00000000-0005-0000-0000-00006D930000}"/>
    <cellStyle name="Normal 354 3 2 3 2" xfId="36921" xr:uid="{00000000-0005-0000-0000-00006E930000}"/>
    <cellStyle name="Normal 354 3 2 3 3" xfId="36922" xr:uid="{00000000-0005-0000-0000-00006F930000}"/>
    <cellStyle name="Normal 354 3 2 4" xfId="36923" xr:uid="{00000000-0005-0000-0000-000070930000}"/>
    <cellStyle name="Normal 354 3 2 5" xfId="36924" xr:uid="{00000000-0005-0000-0000-000071930000}"/>
    <cellStyle name="Normal 354 3 2 6" xfId="36925" xr:uid="{00000000-0005-0000-0000-000072930000}"/>
    <cellStyle name="Normal 354 3 3" xfId="36926" xr:uid="{00000000-0005-0000-0000-000073930000}"/>
    <cellStyle name="Normal 354 3 3 2" xfId="36927" xr:uid="{00000000-0005-0000-0000-000074930000}"/>
    <cellStyle name="Normal 354 3 3 3" xfId="36928" xr:uid="{00000000-0005-0000-0000-000075930000}"/>
    <cellStyle name="Normal 354 3 4" xfId="36929" xr:uid="{00000000-0005-0000-0000-000076930000}"/>
    <cellStyle name="Normal 354 3 4 2" xfId="36930" xr:uid="{00000000-0005-0000-0000-000077930000}"/>
    <cellStyle name="Normal 354 3 4 3" xfId="36931" xr:uid="{00000000-0005-0000-0000-000078930000}"/>
    <cellStyle name="Normal 354 3 5" xfId="36932" xr:uid="{00000000-0005-0000-0000-000079930000}"/>
    <cellStyle name="Normal 354 3 6" xfId="36933" xr:uid="{00000000-0005-0000-0000-00007A930000}"/>
    <cellStyle name="Normal 354 3 7" xfId="36934" xr:uid="{00000000-0005-0000-0000-00007B930000}"/>
    <cellStyle name="Normal 354 3 8" xfId="36935" xr:uid="{00000000-0005-0000-0000-00007C930000}"/>
    <cellStyle name="Normal 354 4" xfId="36936" xr:uid="{00000000-0005-0000-0000-00007D930000}"/>
    <cellStyle name="Normal 354 4 2" xfId="36937" xr:uid="{00000000-0005-0000-0000-00007E930000}"/>
    <cellStyle name="Normal 354 4 2 2" xfId="36938" xr:uid="{00000000-0005-0000-0000-00007F930000}"/>
    <cellStyle name="Normal 354 4 2 3" xfId="36939" xr:uid="{00000000-0005-0000-0000-000080930000}"/>
    <cellStyle name="Normal 354 4 3" xfId="36940" xr:uid="{00000000-0005-0000-0000-000081930000}"/>
    <cellStyle name="Normal 354 4 3 2" xfId="36941" xr:uid="{00000000-0005-0000-0000-000082930000}"/>
    <cellStyle name="Normal 354 4 3 3" xfId="36942" xr:uid="{00000000-0005-0000-0000-000083930000}"/>
    <cellStyle name="Normal 354 4 4" xfId="36943" xr:uid="{00000000-0005-0000-0000-000084930000}"/>
    <cellStyle name="Normal 354 4 5" xfId="36944" xr:uid="{00000000-0005-0000-0000-000085930000}"/>
    <cellStyle name="Normal 354 4 6" xfId="36945" xr:uid="{00000000-0005-0000-0000-000086930000}"/>
    <cellStyle name="Normal 354 5" xfId="36946" xr:uid="{00000000-0005-0000-0000-000087930000}"/>
    <cellStyle name="Normal 354 5 2" xfId="36947" xr:uid="{00000000-0005-0000-0000-000088930000}"/>
    <cellStyle name="Normal 354 5 3" xfId="36948" xr:uid="{00000000-0005-0000-0000-000089930000}"/>
    <cellStyle name="Normal 354 6" xfId="36949" xr:uid="{00000000-0005-0000-0000-00008A930000}"/>
    <cellStyle name="Normal 354 6 2" xfId="36950" xr:uid="{00000000-0005-0000-0000-00008B930000}"/>
    <cellStyle name="Normal 354 6 3" xfId="36951" xr:uid="{00000000-0005-0000-0000-00008C930000}"/>
    <cellStyle name="Normal 354 7" xfId="36952" xr:uid="{00000000-0005-0000-0000-00008D930000}"/>
    <cellStyle name="Normal 354 8" xfId="36953" xr:uid="{00000000-0005-0000-0000-00008E930000}"/>
    <cellStyle name="Normal 354 9" xfId="36954" xr:uid="{00000000-0005-0000-0000-00008F930000}"/>
    <cellStyle name="Normal 355" xfId="3266" xr:uid="{00000000-0005-0000-0000-000090930000}"/>
    <cellStyle name="Normal 355 10" xfId="36955" xr:uid="{00000000-0005-0000-0000-000091930000}"/>
    <cellStyle name="Normal 355 11" xfId="36956" xr:uid="{00000000-0005-0000-0000-000092930000}"/>
    <cellStyle name="Normal 355 2" xfId="36957" xr:uid="{00000000-0005-0000-0000-000093930000}"/>
    <cellStyle name="Normal 355 2 2" xfId="36958" xr:uid="{00000000-0005-0000-0000-000094930000}"/>
    <cellStyle name="Normal 355 2 2 2" xfId="36959" xr:uid="{00000000-0005-0000-0000-000095930000}"/>
    <cellStyle name="Normal 355 2 2 2 2" xfId="36960" xr:uid="{00000000-0005-0000-0000-000096930000}"/>
    <cellStyle name="Normal 355 2 2 2 2 2" xfId="36961" xr:uid="{00000000-0005-0000-0000-000097930000}"/>
    <cellStyle name="Normal 355 2 2 2 2 3" xfId="36962" xr:uid="{00000000-0005-0000-0000-000098930000}"/>
    <cellStyle name="Normal 355 2 2 2 3" xfId="36963" xr:uid="{00000000-0005-0000-0000-000099930000}"/>
    <cellStyle name="Normal 355 2 2 2 3 2" xfId="36964" xr:uid="{00000000-0005-0000-0000-00009A930000}"/>
    <cellStyle name="Normal 355 2 2 2 3 3" xfId="36965" xr:uid="{00000000-0005-0000-0000-00009B930000}"/>
    <cellStyle name="Normal 355 2 2 2 4" xfId="36966" xr:uid="{00000000-0005-0000-0000-00009C930000}"/>
    <cellStyle name="Normal 355 2 2 2 5" xfId="36967" xr:uid="{00000000-0005-0000-0000-00009D930000}"/>
    <cellStyle name="Normal 355 2 2 2 6" xfId="36968" xr:uid="{00000000-0005-0000-0000-00009E930000}"/>
    <cellStyle name="Normal 355 2 2 3" xfId="36969" xr:uid="{00000000-0005-0000-0000-00009F930000}"/>
    <cellStyle name="Normal 355 2 2 3 2" xfId="36970" xr:uid="{00000000-0005-0000-0000-0000A0930000}"/>
    <cellStyle name="Normal 355 2 2 3 3" xfId="36971" xr:uid="{00000000-0005-0000-0000-0000A1930000}"/>
    <cellStyle name="Normal 355 2 2 4" xfId="36972" xr:uid="{00000000-0005-0000-0000-0000A2930000}"/>
    <cellStyle name="Normal 355 2 2 4 2" xfId="36973" xr:uid="{00000000-0005-0000-0000-0000A3930000}"/>
    <cellStyle name="Normal 355 2 2 4 3" xfId="36974" xr:uid="{00000000-0005-0000-0000-0000A4930000}"/>
    <cellStyle name="Normal 355 2 2 5" xfId="36975" xr:uid="{00000000-0005-0000-0000-0000A5930000}"/>
    <cellStyle name="Normal 355 2 2 6" xfId="36976" xr:uid="{00000000-0005-0000-0000-0000A6930000}"/>
    <cellStyle name="Normal 355 2 2 7" xfId="36977" xr:uid="{00000000-0005-0000-0000-0000A7930000}"/>
    <cellStyle name="Normal 355 2 2 8" xfId="36978" xr:uid="{00000000-0005-0000-0000-0000A8930000}"/>
    <cellStyle name="Normal 355 2 3" xfId="36979" xr:uid="{00000000-0005-0000-0000-0000A9930000}"/>
    <cellStyle name="Normal 355 2 3 2" xfId="36980" xr:uid="{00000000-0005-0000-0000-0000AA930000}"/>
    <cellStyle name="Normal 355 2 3 2 2" xfId="36981" xr:uid="{00000000-0005-0000-0000-0000AB930000}"/>
    <cellStyle name="Normal 355 2 3 2 3" xfId="36982" xr:uid="{00000000-0005-0000-0000-0000AC930000}"/>
    <cellStyle name="Normal 355 2 3 3" xfId="36983" xr:uid="{00000000-0005-0000-0000-0000AD930000}"/>
    <cellStyle name="Normal 355 2 3 3 2" xfId="36984" xr:uid="{00000000-0005-0000-0000-0000AE930000}"/>
    <cellStyle name="Normal 355 2 3 3 3" xfId="36985" xr:uid="{00000000-0005-0000-0000-0000AF930000}"/>
    <cellStyle name="Normal 355 2 3 4" xfId="36986" xr:uid="{00000000-0005-0000-0000-0000B0930000}"/>
    <cellStyle name="Normal 355 2 3 5" xfId="36987" xr:uid="{00000000-0005-0000-0000-0000B1930000}"/>
    <cellStyle name="Normal 355 2 3 6" xfId="36988" xr:uid="{00000000-0005-0000-0000-0000B2930000}"/>
    <cellStyle name="Normal 355 2 4" xfId="36989" xr:uid="{00000000-0005-0000-0000-0000B3930000}"/>
    <cellStyle name="Normal 355 2 4 2" xfId="36990" xr:uid="{00000000-0005-0000-0000-0000B4930000}"/>
    <cellStyle name="Normal 355 2 4 3" xfId="36991" xr:uid="{00000000-0005-0000-0000-0000B5930000}"/>
    <cellStyle name="Normal 355 2 5" xfId="36992" xr:uid="{00000000-0005-0000-0000-0000B6930000}"/>
    <cellStyle name="Normal 355 2 5 2" xfId="36993" xr:uid="{00000000-0005-0000-0000-0000B7930000}"/>
    <cellStyle name="Normal 355 2 5 3" xfId="36994" xr:uid="{00000000-0005-0000-0000-0000B8930000}"/>
    <cellStyle name="Normal 355 2 6" xfId="36995" xr:uid="{00000000-0005-0000-0000-0000B9930000}"/>
    <cellStyle name="Normal 355 2 7" xfId="36996" xr:uid="{00000000-0005-0000-0000-0000BA930000}"/>
    <cellStyle name="Normal 355 2 8" xfId="36997" xr:uid="{00000000-0005-0000-0000-0000BB930000}"/>
    <cellStyle name="Normal 355 2 9" xfId="36998" xr:uid="{00000000-0005-0000-0000-0000BC930000}"/>
    <cellStyle name="Normal 355 3" xfId="36999" xr:uid="{00000000-0005-0000-0000-0000BD930000}"/>
    <cellStyle name="Normal 355 3 2" xfId="37000" xr:uid="{00000000-0005-0000-0000-0000BE930000}"/>
    <cellStyle name="Normal 355 3 2 2" xfId="37001" xr:uid="{00000000-0005-0000-0000-0000BF930000}"/>
    <cellStyle name="Normal 355 3 2 2 2" xfId="37002" xr:uid="{00000000-0005-0000-0000-0000C0930000}"/>
    <cellStyle name="Normal 355 3 2 2 3" xfId="37003" xr:uid="{00000000-0005-0000-0000-0000C1930000}"/>
    <cellStyle name="Normal 355 3 2 3" xfId="37004" xr:uid="{00000000-0005-0000-0000-0000C2930000}"/>
    <cellStyle name="Normal 355 3 2 3 2" xfId="37005" xr:uid="{00000000-0005-0000-0000-0000C3930000}"/>
    <cellStyle name="Normal 355 3 2 3 3" xfId="37006" xr:uid="{00000000-0005-0000-0000-0000C4930000}"/>
    <cellStyle name="Normal 355 3 2 4" xfId="37007" xr:uid="{00000000-0005-0000-0000-0000C5930000}"/>
    <cellStyle name="Normal 355 3 2 5" xfId="37008" xr:uid="{00000000-0005-0000-0000-0000C6930000}"/>
    <cellStyle name="Normal 355 3 2 6" xfId="37009" xr:uid="{00000000-0005-0000-0000-0000C7930000}"/>
    <cellStyle name="Normal 355 3 3" xfId="37010" xr:uid="{00000000-0005-0000-0000-0000C8930000}"/>
    <cellStyle name="Normal 355 3 3 2" xfId="37011" xr:uid="{00000000-0005-0000-0000-0000C9930000}"/>
    <cellStyle name="Normal 355 3 3 3" xfId="37012" xr:uid="{00000000-0005-0000-0000-0000CA930000}"/>
    <cellStyle name="Normal 355 3 4" xfId="37013" xr:uid="{00000000-0005-0000-0000-0000CB930000}"/>
    <cellStyle name="Normal 355 3 4 2" xfId="37014" xr:uid="{00000000-0005-0000-0000-0000CC930000}"/>
    <cellStyle name="Normal 355 3 4 3" xfId="37015" xr:uid="{00000000-0005-0000-0000-0000CD930000}"/>
    <cellStyle name="Normal 355 3 5" xfId="37016" xr:uid="{00000000-0005-0000-0000-0000CE930000}"/>
    <cellStyle name="Normal 355 3 6" xfId="37017" xr:uid="{00000000-0005-0000-0000-0000CF930000}"/>
    <cellStyle name="Normal 355 3 7" xfId="37018" xr:uid="{00000000-0005-0000-0000-0000D0930000}"/>
    <cellStyle name="Normal 355 3 8" xfId="37019" xr:uid="{00000000-0005-0000-0000-0000D1930000}"/>
    <cellStyle name="Normal 355 4" xfId="37020" xr:uid="{00000000-0005-0000-0000-0000D2930000}"/>
    <cellStyle name="Normal 355 4 2" xfId="37021" xr:uid="{00000000-0005-0000-0000-0000D3930000}"/>
    <cellStyle name="Normal 355 4 2 2" xfId="37022" xr:uid="{00000000-0005-0000-0000-0000D4930000}"/>
    <cellStyle name="Normal 355 4 2 3" xfId="37023" xr:uid="{00000000-0005-0000-0000-0000D5930000}"/>
    <cellStyle name="Normal 355 4 3" xfId="37024" xr:uid="{00000000-0005-0000-0000-0000D6930000}"/>
    <cellStyle name="Normal 355 4 3 2" xfId="37025" xr:uid="{00000000-0005-0000-0000-0000D7930000}"/>
    <cellStyle name="Normal 355 4 3 3" xfId="37026" xr:uid="{00000000-0005-0000-0000-0000D8930000}"/>
    <cellStyle name="Normal 355 4 4" xfId="37027" xr:uid="{00000000-0005-0000-0000-0000D9930000}"/>
    <cellStyle name="Normal 355 4 5" xfId="37028" xr:uid="{00000000-0005-0000-0000-0000DA930000}"/>
    <cellStyle name="Normal 355 4 6" xfId="37029" xr:uid="{00000000-0005-0000-0000-0000DB930000}"/>
    <cellStyle name="Normal 355 5" xfId="37030" xr:uid="{00000000-0005-0000-0000-0000DC930000}"/>
    <cellStyle name="Normal 355 5 2" xfId="37031" xr:uid="{00000000-0005-0000-0000-0000DD930000}"/>
    <cellStyle name="Normal 355 5 3" xfId="37032" xr:uid="{00000000-0005-0000-0000-0000DE930000}"/>
    <cellStyle name="Normal 355 6" xfId="37033" xr:uid="{00000000-0005-0000-0000-0000DF930000}"/>
    <cellStyle name="Normal 355 6 2" xfId="37034" xr:uid="{00000000-0005-0000-0000-0000E0930000}"/>
    <cellStyle name="Normal 355 6 3" xfId="37035" xr:uid="{00000000-0005-0000-0000-0000E1930000}"/>
    <cellStyle name="Normal 355 7" xfId="37036" xr:uid="{00000000-0005-0000-0000-0000E2930000}"/>
    <cellStyle name="Normal 355 8" xfId="37037" xr:uid="{00000000-0005-0000-0000-0000E3930000}"/>
    <cellStyle name="Normal 355 9" xfId="37038" xr:uid="{00000000-0005-0000-0000-0000E4930000}"/>
    <cellStyle name="Normal 356" xfId="3267" xr:uid="{00000000-0005-0000-0000-0000E5930000}"/>
    <cellStyle name="Normal 356 10" xfId="37039" xr:uid="{00000000-0005-0000-0000-0000E6930000}"/>
    <cellStyle name="Normal 356 11" xfId="37040" xr:uid="{00000000-0005-0000-0000-0000E7930000}"/>
    <cellStyle name="Normal 356 2" xfId="3268" xr:uid="{00000000-0005-0000-0000-0000E8930000}"/>
    <cellStyle name="Normal 356 2 10" xfId="37041" xr:uid="{00000000-0005-0000-0000-0000E9930000}"/>
    <cellStyle name="Normal 356 2 2" xfId="37042" xr:uid="{00000000-0005-0000-0000-0000EA930000}"/>
    <cellStyle name="Normal 356 2 2 2" xfId="37043" xr:uid="{00000000-0005-0000-0000-0000EB930000}"/>
    <cellStyle name="Normal 356 2 2 2 2" xfId="37044" xr:uid="{00000000-0005-0000-0000-0000EC930000}"/>
    <cellStyle name="Normal 356 2 2 2 2 2" xfId="37045" xr:uid="{00000000-0005-0000-0000-0000ED930000}"/>
    <cellStyle name="Normal 356 2 2 2 2 3" xfId="37046" xr:uid="{00000000-0005-0000-0000-0000EE930000}"/>
    <cellStyle name="Normal 356 2 2 2 3" xfId="37047" xr:uid="{00000000-0005-0000-0000-0000EF930000}"/>
    <cellStyle name="Normal 356 2 2 2 3 2" xfId="37048" xr:uid="{00000000-0005-0000-0000-0000F0930000}"/>
    <cellStyle name="Normal 356 2 2 2 3 3" xfId="37049" xr:uid="{00000000-0005-0000-0000-0000F1930000}"/>
    <cellStyle name="Normal 356 2 2 2 4" xfId="37050" xr:uid="{00000000-0005-0000-0000-0000F2930000}"/>
    <cellStyle name="Normal 356 2 2 2 5" xfId="37051" xr:uid="{00000000-0005-0000-0000-0000F3930000}"/>
    <cellStyle name="Normal 356 2 2 2 6" xfId="37052" xr:uid="{00000000-0005-0000-0000-0000F4930000}"/>
    <cellStyle name="Normal 356 2 2 3" xfId="37053" xr:uid="{00000000-0005-0000-0000-0000F5930000}"/>
    <cellStyle name="Normal 356 2 2 3 2" xfId="37054" xr:uid="{00000000-0005-0000-0000-0000F6930000}"/>
    <cellStyle name="Normal 356 2 2 3 3" xfId="37055" xr:uid="{00000000-0005-0000-0000-0000F7930000}"/>
    <cellStyle name="Normal 356 2 2 4" xfId="37056" xr:uid="{00000000-0005-0000-0000-0000F8930000}"/>
    <cellStyle name="Normal 356 2 2 4 2" xfId="37057" xr:uid="{00000000-0005-0000-0000-0000F9930000}"/>
    <cellStyle name="Normal 356 2 2 4 3" xfId="37058" xr:uid="{00000000-0005-0000-0000-0000FA930000}"/>
    <cellStyle name="Normal 356 2 2 5" xfId="37059" xr:uid="{00000000-0005-0000-0000-0000FB930000}"/>
    <cellStyle name="Normal 356 2 2 6" xfId="37060" xr:uid="{00000000-0005-0000-0000-0000FC930000}"/>
    <cellStyle name="Normal 356 2 2 7" xfId="37061" xr:uid="{00000000-0005-0000-0000-0000FD930000}"/>
    <cellStyle name="Normal 356 2 2 8" xfId="37062" xr:uid="{00000000-0005-0000-0000-0000FE930000}"/>
    <cellStyle name="Normal 356 2 3" xfId="37063" xr:uid="{00000000-0005-0000-0000-0000FF930000}"/>
    <cellStyle name="Normal 356 2 3 2" xfId="37064" xr:uid="{00000000-0005-0000-0000-000000940000}"/>
    <cellStyle name="Normal 356 2 3 2 2" xfId="37065" xr:uid="{00000000-0005-0000-0000-000001940000}"/>
    <cellStyle name="Normal 356 2 3 2 3" xfId="37066" xr:uid="{00000000-0005-0000-0000-000002940000}"/>
    <cellStyle name="Normal 356 2 3 3" xfId="37067" xr:uid="{00000000-0005-0000-0000-000003940000}"/>
    <cellStyle name="Normal 356 2 3 3 2" xfId="37068" xr:uid="{00000000-0005-0000-0000-000004940000}"/>
    <cellStyle name="Normal 356 2 3 3 3" xfId="37069" xr:uid="{00000000-0005-0000-0000-000005940000}"/>
    <cellStyle name="Normal 356 2 3 4" xfId="37070" xr:uid="{00000000-0005-0000-0000-000006940000}"/>
    <cellStyle name="Normal 356 2 3 5" xfId="37071" xr:uid="{00000000-0005-0000-0000-000007940000}"/>
    <cellStyle name="Normal 356 2 3 6" xfId="37072" xr:uid="{00000000-0005-0000-0000-000008940000}"/>
    <cellStyle name="Normal 356 2 4" xfId="37073" xr:uid="{00000000-0005-0000-0000-000009940000}"/>
    <cellStyle name="Normal 356 2 4 2" xfId="37074" xr:uid="{00000000-0005-0000-0000-00000A940000}"/>
    <cellStyle name="Normal 356 2 4 3" xfId="37075" xr:uid="{00000000-0005-0000-0000-00000B940000}"/>
    <cellStyle name="Normal 356 2 5" xfId="37076" xr:uid="{00000000-0005-0000-0000-00000C940000}"/>
    <cellStyle name="Normal 356 2 5 2" xfId="37077" xr:uid="{00000000-0005-0000-0000-00000D940000}"/>
    <cellStyle name="Normal 356 2 5 3" xfId="37078" xr:uid="{00000000-0005-0000-0000-00000E940000}"/>
    <cellStyle name="Normal 356 2 6" xfId="37079" xr:uid="{00000000-0005-0000-0000-00000F940000}"/>
    <cellStyle name="Normal 356 2 7" xfId="37080" xr:uid="{00000000-0005-0000-0000-000010940000}"/>
    <cellStyle name="Normal 356 2 8" xfId="37081" xr:uid="{00000000-0005-0000-0000-000011940000}"/>
    <cellStyle name="Normal 356 2 9" xfId="37082" xr:uid="{00000000-0005-0000-0000-000012940000}"/>
    <cellStyle name="Normal 356 3" xfId="37083" xr:uid="{00000000-0005-0000-0000-000013940000}"/>
    <cellStyle name="Normal 356 3 2" xfId="37084" xr:uid="{00000000-0005-0000-0000-000014940000}"/>
    <cellStyle name="Normal 356 3 2 2" xfId="37085" xr:uid="{00000000-0005-0000-0000-000015940000}"/>
    <cellStyle name="Normal 356 3 2 2 2" xfId="37086" xr:uid="{00000000-0005-0000-0000-000016940000}"/>
    <cellStyle name="Normal 356 3 2 2 3" xfId="37087" xr:uid="{00000000-0005-0000-0000-000017940000}"/>
    <cellStyle name="Normal 356 3 2 3" xfId="37088" xr:uid="{00000000-0005-0000-0000-000018940000}"/>
    <cellStyle name="Normal 356 3 2 3 2" xfId="37089" xr:uid="{00000000-0005-0000-0000-000019940000}"/>
    <cellStyle name="Normal 356 3 2 3 3" xfId="37090" xr:uid="{00000000-0005-0000-0000-00001A940000}"/>
    <cellStyle name="Normal 356 3 2 4" xfId="37091" xr:uid="{00000000-0005-0000-0000-00001B940000}"/>
    <cellStyle name="Normal 356 3 2 5" xfId="37092" xr:uid="{00000000-0005-0000-0000-00001C940000}"/>
    <cellStyle name="Normal 356 3 2 6" xfId="37093" xr:uid="{00000000-0005-0000-0000-00001D940000}"/>
    <cellStyle name="Normal 356 3 3" xfId="37094" xr:uid="{00000000-0005-0000-0000-00001E940000}"/>
    <cellStyle name="Normal 356 3 3 2" xfId="37095" xr:uid="{00000000-0005-0000-0000-00001F940000}"/>
    <cellStyle name="Normal 356 3 3 3" xfId="37096" xr:uid="{00000000-0005-0000-0000-000020940000}"/>
    <cellStyle name="Normal 356 3 4" xfId="37097" xr:uid="{00000000-0005-0000-0000-000021940000}"/>
    <cellStyle name="Normal 356 3 4 2" xfId="37098" xr:uid="{00000000-0005-0000-0000-000022940000}"/>
    <cellStyle name="Normal 356 3 4 3" xfId="37099" xr:uid="{00000000-0005-0000-0000-000023940000}"/>
    <cellStyle name="Normal 356 3 5" xfId="37100" xr:uid="{00000000-0005-0000-0000-000024940000}"/>
    <cellStyle name="Normal 356 3 6" xfId="37101" xr:uid="{00000000-0005-0000-0000-000025940000}"/>
    <cellStyle name="Normal 356 3 7" xfId="37102" xr:uid="{00000000-0005-0000-0000-000026940000}"/>
    <cellStyle name="Normal 356 3 8" xfId="37103" xr:uid="{00000000-0005-0000-0000-000027940000}"/>
    <cellStyle name="Normal 356 4" xfId="37104" xr:uid="{00000000-0005-0000-0000-000028940000}"/>
    <cellStyle name="Normal 356 4 2" xfId="37105" xr:uid="{00000000-0005-0000-0000-000029940000}"/>
    <cellStyle name="Normal 356 4 2 2" xfId="37106" xr:uid="{00000000-0005-0000-0000-00002A940000}"/>
    <cellStyle name="Normal 356 4 2 3" xfId="37107" xr:uid="{00000000-0005-0000-0000-00002B940000}"/>
    <cellStyle name="Normal 356 4 3" xfId="37108" xr:uid="{00000000-0005-0000-0000-00002C940000}"/>
    <cellStyle name="Normal 356 4 3 2" xfId="37109" xr:uid="{00000000-0005-0000-0000-00002D940000}"/>
    <cellStyle name="Normal 356 4 3 3" xfId="37110" xr:uid="{00000000-0005-0000-0000-00002E940000}"/>
    <cellStyle name="Normal 356 4 4" xfId="37111" xr:uid="{00000000-0005-0000-0000-00002F940000}"/>
    <cellStyle name="Normal 356 4 5" xfId="37112" xr:uid="{00000000-0005-0000-0000-000030940000}"/>
    <cellStyle name="Normal 356 4 6" xfId="37113" xr:uid="{00000000-0005-0000-0000-000031940000}"/>
    <cellStyle name="Normal 356 5" xfId="37114" xr:uid="{00000000-0005-0000-0000-000032940000}"/>
    <cellStyle name="Normal 356 5 2" xfId="37115" xr:uid="{00000000-0005-0000-0000-000033940000}"/>
    <cellStyle name="Normal 356 5 3" xfId="37116" xr:uid="{00000000-0005-0000-0000-000034940000}"/>
    <cellStyle name="Normal 356 6" xfId="37117" xr:uid="{00000000-0005-0000-0000-000035940000}"/>
    <cellStyle name="Normal 356 6 2" xfId="37118" xr:uid="{00000000-0005-0000-0000-000036940000}"/>
    <cellStyle name="Normal 356 6 3" xfId="37119" xr:uid="{00000000-0005-0000-0000-000037940000}"/>
    <cellStyle name="Normal 356 7" xfId="37120" xr:uid="{00000000-0005-0000-0000-000038940000}"/>
    <cellStyle name="Normal 356 8" xfId="37121" xr:uid="{00000000-0005-0000-0000-000039940000}"/>
    <cellStyle name="Normal 356 9" xfId="37122" xr:uid="{00000000-0005-0000-0000-00003A940000}"/>
    <cellStyle name="Normal 357" xfId="3269" xr:uid="{00000000-0005-0000-0000-00003B940000}"/>
    <cellStyle name="Normal 357 10" xfId="37123" xr:uid="{00000000-0005-0000-0000-00003C940000}"/>
    <cellStyle name="Normal 357 11" xfId="37124" xr:uid="{00000000-0005-0000-0000-00003D940000}"/>
    <cellStyle name="Normal 357 2" xfId="37125" xr:uid="{00000000-0005-0000-0000-00003E940000}"/>
    <cellStyle name="Normal 357 2 2" xfId="37126" xr:uid="{00000000-0005-0000-0000-00003F940000}"/>
    <cellStyle name="Normal 357 2 2 2" xfId="37127" xr:uid="{00000000-0005-0000-0000-000040940000}"/>
    <cellStyle name="Normal 357 2 2 2 2" xfId="37128" xr:uid="{00000000-0005-0000-0000-000041940000}"/>
    <cellStyle name="Normal 357 2 2 2 2 2" xfId="37129" xr:uid="{00000000-0005-0000-0000-000042940000}"/>
    <cellStyle name="Normal 357 2 2 2 2 3" xfId="37130" xr:uid="{00000000-0005-0000-0000-000043940000}"/>
    <cellStyle name="Normal 357 2 2 2 3" xfId="37131" xr:uid="{00000000-0005-0000-0000-000044940000}"/>
    <cellStyle name="Normal 357 2 2 2 3 2" xfId="37132" xr:uid="{00000000-0005-0000-0000-000045940000}"/>
    <cellStyle name="Normal 357 2 2 2 3 3" xfId="37133" xr:uid="{00000000-0005-0000-0000-000046940000}"/>
    <cellStyle name="Normal 357 2 2 2 4" xfId="37134" xr:uid="{00000000-0005-0000-0000-000047940000}"/>
    <cellStyle name="Normal 357 2 2 2 5" xfId="37135" xr:uid="{00000000-0005-0000-0000-000048940000}"/>
    <cellStyle name="Normal 357 2 2 2 6" xfId="37136" xr:uid="{00000000-0005-0000-0000-000049940000}"/>
    <cellStyle name="Normal 357 2 2 3" xfId="37137" xr:uid="{00000000-0005-0000-0000-00004A940000}"/>
    <cellStyle name="Normal 357 2 2 3 2" xfId="37138" xr:uid="{00000000-0005-0000-0000-00004B940000}"/>
    <cellStyle name="Normal 357 2 2 3 3" xfId="37139" xr:uid="{00000000-0005-0000-0000-00004C940000}"/>
    <cellStyle name="Normal 357 2 2 4" xfId="37140" xr:uid="{00000000-0005-0000-0000-00004D940000}"/>
    <cellStyle name="Normal 357 2 2 4 2" xfId="37141" xr:uid="{00000000-0005-0000-0000-00004E940000}"/>
    <cellStyle name="Normal 357 2 2 4 3" xfId="37142" xr:uid="{00000000-0005-0000-0000-00004F940000}"/>
    <cellStyle name="Normal 357 2 2 5" xfId="37143" xr:uid="{00000000-0005-0000-0000-000050940000}"/>
    <cellStyle name="Normal 357 2 2 6" xfId="37144" xr:uid="{00000000-0005-0000-0000-000051940000}"/>
    <cellStyle name="Normal 357 2 2 7" xfId="37145" xr:uid="{00000000-0005-0000-0000-000052940000}"/>
    <cellStyle name="Normal 357 2 2 8" xfId="37146" xr:uid="{00000000-0005-0000-0000-000053940000}"/>
    <cellStyle name="Normal 357 2 3" xfId="37147" xr:uid="{00000000-0005-0000-0000-000054940000}"/>
    <cellStyle name="Normal 357 2 3 2" xfId="37148" xr:uid="{00000000-0005-0000-0000-000055940000}"/>
    <cellStyle name="Normal 357 2 3 2 2" xfId="37149" xr:uid="{00000000-0005-0000-0000-000056940000}"/>
    <cellStyle name="Normal 357 2 3 2 3" xfId="37150" xr:uid="{00000000-0005-0000-0000-000057940000}"/>
    <cellStyle name="Normal 357 2 3 3" xfId="37151" xr:uid="{00000000-0005-0000-0000-000058940000}"/>
    <cellStyle name="Normal 357 2 3 3 2" xfId="37152" xr:uid="{00000000-0005-0000-0000-000059940000}"/>
    <cellStyle name="Normal 357 2 3 3 3" xfId="37153" xr:uid="{00000000-0005-0000-0000-00005A940000}"/>
    <cellStyle name="Normal 357 2 3 4" xfId="37154" xr:uid="{00000000-0005-0000-0000-00005B940000}"/>
    <cellStyle name="Normal 357 2 3 5" xfId="37155" xr:uid="{00000000-0005-0000-0000-00005C940000}"/>
    <cellStyle name="Normal 357 2 3 6" xfId="37156" xr:uid="{00000000-0005-0000-0000-00005D940000}"/>
    <cellStyle name="Normal 357 2 4" xfId="37157" xr:uid="{00000000-0005-0000-0000-00005E940000}"/>
    <cellStyle name="Normal 357 2 4 2" xfId="37158" xr:uid="{00000000-0005-0000-0000-00005F940000}"/>
    <cellStyle name="Normal 357 2 4 3" xfId="37159" xr:uid="{00000000-0005-0000-0000-000060940000}"/>
    <cellStyle name="Normal 357 2 5" xfId="37160" xr:uid="{00000000-0005-0000-0000-000061940000}"/>
    <cellStyle name="Normal 357 2 5 2" xfId="37161" xr:uid="{00000000-0005-0000-0000-000062940000}"/>
    <cellStyle name="Normal 357 2 5 3" xfId="37162" xr:uid="{00000000-0005-0000-0000-000063940000}"/>
    <cellStyle name="Normal 357 2 6" xfId="37163" xr:uid="{00000000-0005-0000-0000-000064940000}"/>
    <cellStyle name="Normal 357 2 7" xfId="37164" xr:uid="{00000000-0005-0000-0000-000065940000}"/>
    <cellStyle name="Normal 357 2 8" xfId="37165" xr:uid="{00000000-0005-0000-0000-000066940000}"/>
    <cellStyle name="Normal 357 2 9" xfId="37166" xr:uid="{00000000-0005-0000-0000-000067940000}"/>
    <cellStyle name="Normal 357 3" xfId="37167" xr:uid="{00000000-0005-0000-0000-000068940000}"/>
    <cellStyle name="Normal 357 3 2" xfId="37168" xr:uid="{00000000-0005-0000-0000-000069940000}"/>
    <cellStyle name="Normal 357 3 2 2" xfId="37169" xr:uid="{00000000-0005-0000-0000-00006A940000}"/>
    <cellStyle name="Normal 357 3 2 2 2" xfId="37170" xr:uid="{00000000-0005-0000-0000-00006B940000}"/>
    <cellStyle name="Normal 357 3 2 2 3" xfId="37171" xr:uid="{00000000-0005-0000-0000-00006C940000}"/>
    <cellStyle name="Normal 357 3 2 3" xfId="37172" xr:uid="{00000000-0005-0000-0000-00006D940000}"/>
    <cellStyle name="Normal 357 3 2 3 2" xfId="37173" xr:uid="{00000000-0005-0000-0000-00006E940000}"/>
    <cellStyle name="Normal 357 3 2 3 3" xfId="37174" xr:uid="{00000000-0005-0000-0000-00006F940000}"/>
    <cellStyle name="Normal 357 3 2 4" xfId="37175" xr:uid="{00000000-0005-0000-0000-000070940000}"/>
    <cellStyle name="Normal 357 3 2 5" xfId="37176" xr:uid="{00000000-0005-0000-0000-000071940000}"/>
    <cellStyle name="Normal 357 3 2 6" xfId="37177" xr:uid="{00000000-0005-0000-0000-000072940000}"/>
    <cellStyle name="Normal 357 3 3" xfId="37178" xr:uid="{00000000-0005-0000-0000-000073940000}"/>
    <cellStyle name="Normal 357 3 3 2" xfId="37179" xr:uid="{00000000-0005-0000-0000-000074940000}"/>
    <cellStyle name="Normal 357 3 3 3" xfId="37180" xr:uid="{00000000-0005-0000-0000-000075940000}"/>
    <cellStyle name="Normal 357 3 4" xfId="37181" xr:uid="{00000000-0005-0000-0000-000076940000}"/>
    <cellStyle name="Normal 357 3 4 2" xfId="37182" xr:uid="{00000000-0005-0000-0000-000077940000}"/>
    <cellStyle name="Normal 357 3 4 3" xfId="37183" xr:uid="{00000000-0005-0000-0000-000078940000}"/>
    <cellStyle name="Normal 357 3 5" xfId="37184" xr:uid="{00000000-0005-0000-0000-000079940000}"/>
    <cellStyle name="Normal 357 3 6" xfId="37185" xr:uid="{00000000-0005-0000-0000-00007A940000}"/>
    <cellStyle name="Normal 357 3 7" xfId="37186" xr:uid="{00000000-0005-0000-0000-00007B940000}"/>
    <cellStyle name="Normal 357 3 8" xfId="37187" xr:uid="{00000000-0005-0000-0000-00007C940000}"/>
    <cellStyle name="Normal 357 4" xfId="37188" xr:uid="{00000000-0005-0000-0000-00007D940000}"/>
    <cellStyle name="Normal 357 4 2" xfId="37189" xr:uid="{00000000-0005-0000-0000-00007E940000}"/>
    <cellStyle name="Normal 357 4 2 2" xfId="37190" xr:uid="{00000000-0005-0000-0000-00007F940000}"/>
    <cellStyle name="Normal 357 4 2 3" xfId="37191" xr:uid="{00000000-0005-0000-0000-000080940000}"/>
    <cellStyle name="Normal 357 4 3" xfId="37192" xr:uid="{00000000-0005-0000-0000-000081940000}"/>
    <cellStyle name="Normal 357 4 3 2" xfId="37193" xr:uid="{00000000-0005-0000-0000-000082940000}"/>
    <cellStyle name="Normal 357 4 3 3" xfId="37194" xr:uid="{00000000-0005-0000-0000-000083940000}"/>
    <cellStyle name="Normal 357 4 4" xfId="37195" xr:uid="{00000000-0005-0000-0000-000084940000}"/>
    <cellStyle name="Normal 357 4 5" xfId="37196" xr:uid="{00000000-0005-0000-0000-000085940000}"/>
    <cellStyle name="Normal 357 4 6" xfId="37197" xr:uid="{00000000-0005-0000-0000-000086940000}"/>
    <cellStyle name="Normal 357 5" xfId="37198" xr:uid="{00000000-0005-0000-0000-000087940000}"/>
    <cellStyle name="Normal 357 5 2" xfId="37199" xr:uid="{00000000-0005-0000-0000-000088940000}"/>
    <cellStyle name="Normal 357 5 3" xfId="37200" xr:uid="{00000000-0005-0000-0000-000089940000}"/>
    <cellStyle name="Normal 357 6" xfId="37201" xr:uid="{00000000-0005-0000-0000-00008A940000}"/>
    <cellStyle name="Normal 357 6 2" xfId="37202" xr:uid="{00000000-0005-0000-0000-00008B940000}"/>
    <cellStyle name="Normal 357 6 3" xfId="37203" xr:uid="{00000000-0005-0000-0000-00008C940000}"/>
    <cellStyle name="Normal 357 7" xfId="37204" xr:uid="{00000000-0005-0000-0000-00008D940000}"/>
    <cellStyle name="Normal 357 8" xfId="37205" xr:uid="{00000000-0005-0000-0000-00008E940000}"/>
    <cellStyle name="Normal 357 9" xfId="37206" xr:uid="{00000000-0005-0000-0000-00008F940000}"/>
    <cellStyle name="Normal 358" xfId="3270" xr:uid="{00000000-0005-0000-0000-000090940000}"/>
    <cellStyle name="Normal 358 10" xfId="37207" xr:uid="{00000000-0005-0000-0000-000091940000}"/>
    <cellStyle name="Normal 358 11" xfId="37208" xr:uid="{00000000-0005-0000-0000-000092940000}"/>
    <cellStyle name="Normal 358 2" xfId="3271" xr:uid="{00000000-0005-0000-0000-000093940000}"/>
    <cellStyle name="Normal 358 2 10" xfId="37209" xr:uid="{00000000-0005-0000-0000-000094940000}"/>
    <cellStyle name="Normal 358 2 2" xfId="37210" xr:uid="{00000000-0005-0000-0000-000095940000}"/>
    <cellStyle name="Normal 358 2 2 2" xfId="37211" xr:uid="{00000000-0005-0000-0000-000096940000}"/>
    <cellStyle name="Normal 358 2 2 2 2" xfId="37212" xr:uid="{00000000-0005-0000-0000-000097940000}"/>
    <cellStyle name="Normal 358 2 2 2 2 2" xfId="37213" xr:uid="{00000000-0005-0000-0000-000098940000}"/>
    <cellStyle name="Normal 358 2 2 2 2 3" xfId="37214" xr:uid="{00000000-0005-0000-0000-000099940000}"/>
    <cellStyle name="Normal 358 2 2 2 3" xfId="37215" xr:uid="{00000000-0005-0000-0000-00009A940000}"/>
    <cellStyle name="Normal 358 2 2 2 3 2" xfId="37216" xr:uid="{00000000-0005-0000-0000-00009B940000}"/>
    <cellStyle name="Normal 358 2 2 2 3 3" xfId="37217" xr:uid="{00000000-0005-0000-0000-00009C940000}"/>
    <cellStyle name="Normal 358 2 2 2 4" xfId="37218" xr:uid="{00000000-0005-0000-0000-00009D940000}"/>
    <cellStyle name="Normal 358 2 2 2 5" xfId="37219" xr:uid="{00000000-0005-0000-0000-00009E940000}"/>
    <cellStyle name="Normal 358 2 2 2 6" xfId="37220" xr:uid="{00000000-0005-0000-0000-00009F940000}"/>
    <cellStyle name="Normal 358 2 2 3" xfId="37221" xr:uid="{00000000-0005-0000-0000-0000A0940000}"/>
    <cellStyle name="Normal 358 2 2 3 2" xfId="37222" xr:uid="{00000000-0005-0000-0000-0000A1940000}"/>
    <cellStyle name="Normal 358 2 2 3 3" xfId="37223" xr:uid="{00000000-0005-0000-0000-0000A2940000}"/>
    <cellStyle name="Normal 358 2 2 4" xfId="37224" xr:uid="{00000000-0005-0000-0000-0000A3940000}"/>
    <cellStyle name="Normal 358 2 2 4 2" xfId="37225" xr:uid="{00000000-0005-0000-0000-0000A4940000}"/>
    <cellStyle name="Normal 358 2 2 4 3" xfId="37226" xr:uid="{00000000-0005-0000-0000-0000A5940000}"/>
    <cellStyle name="Normal 358 2 2 5" xfId="37227" xr:uid="{00000000-0005-0000-0000-0000A6940000}"/>
    <cellStyle name="Normal 358 2 2 6" xfId="37228" xr:uid="{00000000-0005-0000-0000-0000A7940000}"/>
    <cellStyle name="Normal 358 2 2 7" xfId="37229" xr:uid="{00000000-0005-0000-0000-0000A8940000}"/>
    <cellStyle name="Normal 358 2 2 8" xfId="37230" xr:uid="{00000000-0005-0000-0000-0000A9940000}"/>
    <cellStyle name="Normal 358 2 3" xfId="37231" xr:uid="{00000000-0005-0000-0000-0000AA940000}"/>
    <cellStyle name="Normal 358 2 3 2" xfId="37232" xr:uid="{00000000-0005-0000-0000-0000AB940000}"/>
    <cellStyle name="Normal 358 2 3 2 2" xfId="37233" xr:uid="{00000000-0005-0000-0000-0000AC940000}"/>
    <cellStyle name="Normal 358 2 3 2 3" xfId="37234" xr:uid="{00000000-0005-0000-0000-0000AD940000}"/>
    <cellStyle name="Normal 358 2 3 3" xfId="37235" xr:uid="{00000000-0005-0000-0000-0000AE940000}"/>
    <cellStyle name="Normal 358 2 3 3 2" xfId="37236" xr:uid="{00000000-0005-0000-0000-0000AF940000}"/>
    <cellStyle name="Normal 358 2 3 3 3" xfId="37237" xr:uid="{00000000-0005-0000-0000-0000B0940000}"/>
    <cellStyle name="Normal 358 2 3 4" xfId="37238" xr:uid="{00000000-0005-0000-0000-0000B1940000}"/>
    <cellStyle name="Normal 358 2 3 5" xfId="37239" xr:uid="{00000000-0005-0000-0000-0000B2940000}"/>
    <cellStyle name="Normal 358 2 3 6" xfId="37240" xr:uid="{00000000-0005-0000-0000-0000B3940000}"/>
    <cellStyle name="Normal 358 2 4" xfId="37241" xr:uid="{00000000-0005-0000-0000-0000B4940000}"/>
    <cellStyle name="Normal 358 2 4 2" xfId="37242" xr:uid="{00000000-0005-0000-0000-0000B5940000}"/>
    <cellStyle name="Normal 358 2 4 3" xfId="37243" xr:uid="{00000000-0005-0000-0000-0000B6940000}"/>
    <cellStyle name="Normal 358 2 5" xfId="37244" xr:uid="{00000000-0005-0000-0000-0000B7940000}"/>
    <cellStyle name="Normal 358 2 5 2" xfId="37245" xr:uid="{00000000-0005-0000-0000-0000B8940000}"/>
    <cellStyle name="Normal 358 2 5 3" xfId="37246" xr:uid="{00000000-0005-0000-0000-0000B9940000}"/>
    <cellStyle name="Normal 358 2 6" xfId="37247" xr:uid="{00000000-0005-0000-0000-0000BA940000}"/>
    <cellStyle name="Normal 358 2 7" xfId="37248" xr:uid="{00000000-0005-0000-0000-0000BB940000}"/>
    <cellStyle name="Normal 358 2 8" xfId="37249" xr:uid="{00000000-0005-0000-0000-0000BC940000}"/>
    <cellStyle name="Normal 358 2 9" xfId="37250" xr:uid="{00000000-0005-0000-0000-0000BD940000}"/>
    <cellStyle name="Normal 358 3" xfId="37251" xr:uid="{00000000-0005-0000-0000-0000BE940000}"/>
    <cellStyle name="Normal 358 3 2" xfId="37252" xr:uid="{00000000-0005-0000-0000-0000BF940000}"/>
    <cellStyle name="Normal 358 3 2 2" xfId="37253" xr:uid="{00000000-0005-0000-0000-0000C0940000}"/>
    <cellStyle name="Normal 358 3 2 2 2" xfId="37254" xr:uid="{00000000-0005-0000-0000-0000C1940000}"/>
    <cellStyle name="Normal 358 3 2 2 3" xfId="37255" xr:uid="{00000000-0005-0000-0000-0000C2940000}"/>
    <cellStyle name="Normal 358 3 2 3" xfId="37256" xr:uid="{00000000-0005-0000-0000-0000C3940000}"/>
    <cellStyle name="Normal 358 3 2 3 2" xfId="37257" xr:uid="{00000000-0005-0000-0000-0000C4940000}"/>
    <cellStyle name="Normal 358 3 2 3 3" xfId="37258" xr:uid="{00000000-0005-0000-0000-0000C5940000}"/>
    <cellStyle name="Normal 358 3 2 4" xfId="37259" xr:uid="{00000000-0005-0000-0000-0000C6940000}"/>
    <cellStyle name="Normal 358 3 2 5" xfId="37260" xr:uid="{00000000-0005-0000-0000-0000C7940000}"/>
    <cellStyle name="Normal 358 3 2 6" xfId="37261" xr:uid="{00000000-0005-0000-0000-0000C8940000}"/>
    <cellStyle name="Normal 358 3 3" xfId="37262" xr:uid="{00000000-0005-0000-0000-0000C9940000}"/>
    <cellStyle name="Normal 358 3 3 2" xfId="37263" xr:uid="{00000000-0005-0000-0000-0000CA940000}"/>
    <cellStyle name="Normal 358 3 3 3" xfId="37264" xr:uid="{00000000-0005-0000-0000-0000CB940000}"/>
    <cellStyle name="Normal 358 3 4" xfId="37265" xr:uid="{00000000-0005-0000-0000-0000CC940000}"/>
    <cellStyle name="Normal 358 3 4 2" xfId="37266" xr:uid="{00000000-0005-0000-0000-0000CD940000}"/>
    <cellStyle name="Normal 358 3 4 3" xfId="37267" xr:uid="{00000000-0005-0000-0000-0000CE940000}"/>
    <cellStyle name="Normal 358 3 5" xfId="37268" xr:uid="{00000000-0005-0000-0000-0000CF940000}"/>
    <cellStyle name="Normal 358 3 6" xfId="37269" xr:uid="{00000000-0005-0000-0000-0000D0940000}"/>
    <cellStyle name="Normal 358 3 7" xfId="37270" xr:uid="{00000000-0005-0000-0000-0000D1940000}"/>
    <cellStyle name="Normal 358 3 8" xfId="37271" xr:uid="{00000000-0005-0000-0000-0000D2940000}"/>
    <cellStyle name="Normal 358 4" xfId="37272" xr:uid="{00000000-0005-0000-0000-0000D3940000}"/>
    <cellStyle name="Normal 358 4 2" xfId="37273" xr:uid="{00000000-0005-0000-0000-0000D4940000}"/>
    <cellStyle name="Normal 358 4 2 2" xfId="37274" xr:uid="{00000000-0005-0000-0000-0000D5940000}"/>
    <cellStyle name="Normal 358 4 2 3" xfId="37275" xr:uid="{00000000-0005-0000-0000-0000D6940000}"/>
    <cellStyle name="Normal 358 4 3" xfId="37276" xr:uid="{00000000-0005-0000-0000-0000D7940000}"/>
    <cellStyle name="Normal 358 4 3 2" xfId="37277" xr:uid="{00000000-0005-0000-0000-0000D8940000}"/>
    <cellStyle name="Normal 358 4 3 3" xfId="37278" xr:uid="{00000000-0005-0000-0000-0000D9940000}"/>
    <cellStyle name="Normal 358 4 4" xfId="37279" xr:uid="{00000000-0005-0000-0000-0000DA940000}"/>
    <cellStyle name="Normal 358 4 5" xfId="37280" xr:uid="{00000000-0005-0000-0000-0000DB940000}"/>
    <cellStyle name="Normal 358 4 6" xfId="37281" xr:uid="{00000000-0005-0000-0000-0000DC940000}"/>
    <cellStyle name="Normal 358 5" xfId="37282" xr:uid="{00000000-0005-0000-0000-0000DD940000}"/>
    <cellStyle name="Normal 358 5 2" xfId="37283" xr:uid="{00000000-0005-0000-0000-0000DE940000}"/>
    <cellStyle name="Normal 358 5 3" xfId="37284" xr:uid="{00000000-0005-0000-0000-0000DF940000}"/>
    <cellStyle name="Normal 358 6" xfId="37285" xr:uid="{00000000-0005-0000-0000-0000E0940000}"/>
    <cellStyle name="Normal 358 6 2" xfId="37286" xr:uid="{00000000-0005-0000-0000-0000E1940000}"/>
    <cellStyle name="Normal 358 6 3" xfId="37287" xr:uid="{00000000-0005-0000-0000-0000E2940000}"/>
    <cellStyle name="Normal 358 7" xfId="37288" xr:uid="{00000000-0005-0000-0000-0000E3940000}"/>
    <cellStyle name="Normal 358 8" xfId="37289" xr:uid="{00000000-0005-0000-0000-0000E4940000}"/>
    <cellStyle name="Normal 358 9" xfId="37290" xr:uid="{00000000-0005-0000-0000-0000E5940000}"/>
    <cellStyle name="Normal 359" xfId="3272" xr:uid="{00000000-0005-0000-0000-0000E6940000}"/>
    <cellStyle name="Normal 359 10" xfId="37291" xr:uid="{00000000-0005-0000-0000-0000E7940000}"/>
    <cellStyle name="Normal 359 11" xfId="37292" xr:uid="{00000000-0005-0000-0000-0000E8940000}"/>
    <cellStyle name="Normal 359 2" xfId="37293" xr:uid="{00000000-0005-0000-0000-0000E9940000}"/>
    <cellStyle name="Normal 359 2 2" xfId="37294" xr:uid="{00000000-0005-0000-0000-0000EA940000}"/>
    <cellStyle name="Normal 359 2 2 2" xfId="37295" xr:uid="{00000000-0005-0000-0000-0000EB940000}"/>
    <cellStyle name="Normal 359 2 2 2 2" xfId="37296" xr:uid="{00000000-0005-0000-0000-0000EC940000}"/>
    <cellStyle name="Normal 359 2 2 2 2 2" xfId="37297" xr:uid="{00000000-0005-0000-0000-0000ED940000}"/>
    <cellStyle name="Normal 359 2 2 2 2 3" xfId="37298" xr:uid="{00000000-0005-0000-0000-0000EE940000}"/>
    <cellStyle name="Normal 359 2 2 2 3" xfId="37299" xr:uid="{00000000-0005-0000-0000-0000EF940000}"/>
    <cellStyle name="Normal 359 2 2 2 3 2" xfId="37300" xr:uid="{00000000-0005-0000-0000-0000F0940000}"/>
    <cellStyle name="Normal 359 2 2 2 3 3" xfId="37301" xr:uid="{00000000-0005-0000-0000-0000F1940000}"/>
    <cellStyle name="Normal 359 2 2 2 4" xfId="37302" xr:uid="{00000000-0005-0000-0000-0000F2940000}"/>
    <cellStyle name="Normal 359 2 2 2 5" xfId="37303" xr:uid="{00000000-0005-0000-0000-0000F3940000}"/>
    <cellStyle name="Normal 359 2 2 2 6" xfId="37304" xr:uid="{00000000-0005-0000-0000-0000F4940000}"/>
    <cellStyle name="Normal 359 2 2 3" xfId="37305" xr:uid="{00000000-0005-0000-0000-0000F5940000}"/>
    <cellStyle name="Normal 359 2 2 3 2" xfId="37306" xr:uid="{00000000-0005-0000-0000-0000F6940000}"/>
    <cellStyle name="Normal 359 2 2 3 3" xfId="37307" xr:uid="{00000000-0005-0000-0000-0000F7940000}"/>
    <cellStyle name="Normal 359 2 2 4" xfId="37308" xr:uid="{00000000-0005-0000-0000-0000F8940000}"/>
    <cellStyle name="Normal 359 2 2 4 2" xfId="37309" xr:uid="{00000000-0005-0000-0000-0000F9940000}"/>
    <cellStyle name="Normal 359 2 2 4 3" xfId="37310" xr:uid="{00000000-0005-0000-0000-0000FA940000}"/>
    <cellStyle name="Normal 359 2 2 5" xfId="37311" xr:uid="{00000000-0005-0000-0000-0000FB940000}"/>
    <cellStyle name="Normal 359 2 2 6" xfId="37312" xr:uid="{00000000-0005-0000-0000-0000FC940000}"/>
    <cellStyle name="Normal 359 2 2 7" xfId="37313" xr:uid="{00000000-0005-0000-0000-0000FD940000}"/>
    <cellStyle name="Normal 359 2 2 8" xfId="37314" xr:uid="{00000000-0005-0000-0000-0000FE940000}"/>
    <cellStyle name="Normal 359 2 3" xfId="37315" xr:uid="{00000000-0005-0000-0000-0000FF940000}"/>
    <cellStyle name="Normal 359 2 3 2" xfId="37316" xr:uid="{00000000-0005-0000-0000-000000950000}"/>
    <cellStyle name="Normal 359 2 3 2 2" xfId="37317" xr:uid="{00000000-0005-0000-0000-000001950000}"/>
    <cellStyle name="Normal 359 2 3 2 3" xfId="37318" xr:uid="{00000000-0005-0000-0000-000002950000}"/>
    <cellStyle name="Normal 359 2 3 3" xfId="37319" xr:uid="{00000000-0005-0000-0000-000003950000}"/>
    <cellStyle name="Normal 359 2 3 3 2" xfId="37320" xr:uid="{00000000-0005-0000-0000-000004950000}"/>
    <cellStyle name="Normal 359 2 3 3 3" xfId="37321" xr:uid="{00000000-0005-0000-0000-000005950000}"/>
    <cellStyle name="Normal 359 2 3 4" xfId="37322" xr:uid="{00000000-0005-0000-0000-000006950000}"/>
    <cellStyle name="Normal 359 2 3 5" xfId="37323" xr:uid="{00000000-0005-0000-0000-000007950000}"/>
    <cellStyle name="Normal 359 2 3 6" xfId="37324" xr:uid="{00000000-0005-0000-0000-000008950000}"/>
    <cellStyle name="Normal 359 2 4" xfId="37325" xr:uid="{00000000-0005-0000-0000-000009950000}"/>
    <cellStyle name="Normal 359 2 4 2" xfId="37326" xr:uid="{00000000-0005-0000-0000-00000A950000}"/>
    <cellStyle name="Normal 359 2 4 3" xfId="37327" xr:uid="{00000000-0005-0000-0000-00000B950000}"/>
    <cellStyle name="Normal 359 2 5" xfId="37328" xr:uid="{00000000-0005-0000-0000-00000C950000}"/>
    <cellStyle name="Normal 359 2 5 2" xfId="37329" xr:uid="{00000000-0005-0000-0000-00000D950000}"/>
    <cellStyle name="Normal 359 2 5 3" xfId="37330" xr:uid="{00000000-0005-0000-0000-00000E950000}"/>
    <cellStyle name="Normal 359 2 6" xfId="37331" xr:uid="{00000000-0005-0000-0000-00000F950000}"/>
    <cellStyle name="Normal 359 2 7" xfId="37332" xr:uid="{00000000-0005-0000-0000-000010950000}"/>
    <cellStyle name="Normal 359 2 8" xfId="37333" xr:uid="{00000000-0005-0000-0000-000011950000}"/>
    <cellStyle name="Normal 359 2 9" xfId="37334" xr:uid="{00000000-0005-0000-0000-000012950000}"/>
    <cellStyle name="Normal 359 3" xfId="37335" xr:uid="{00000000-0005-0000-0000-000013950000}"/>
    <cellStyle name="Normal 359 3 2" xfId="37336" xr:uid="{00000000-0005-0000-0000-000014950000}"/>
    <cellStyle name="Normal 359 3 2 2" xfId="37337" xr:uid="{00000000-0005-0000-0000-000015950000}"/>
    <cellStyle name="Normal 359 3 2 2 2" xfId="37338" xr:uid="{00000000-0005-0000-0000-000016950000}"/>
    <cellStyle name="Normal 359 3 2 2 3" xfId="37339" xr:uid="{00000000-0005-0000-0000-000017950000}"/>
    <cellStyle name="Normal 359 3 2 3" xfId="37340" xr:uid="{00000000-0005-0000-0000-000018950000}"/>
    <cellStyle name="Normal 359 3 2 3 2" xfId="37341" xr:uid="{00000000-0005-0000-0000-000019950000}"/>
    <cellStyle name="Normal 359 3 2 3 3" xfId="37342" xr:uid="{00000000-0005-0000-0000-00001A950000}"/>
    <cellStyle name="Normal 359 3 2 4" xfId="37343" xr:uid="{00000000-0005-0000-0000-00001B950000}"/>
    <cellStyle name="Normal 359 3 2 5" xfId="37344" xr:uid="{00000000-0005-0000-0000-00001C950000}"/>
    <cellStyle name="Normal 359 3 2 6" xfId="37345" xr:uid="{00000000-0005-0000-0000-00001D950000}"/>
    <cellStyle name="Normal 359 3 3" xfId="37346" xr:uid="{00000000-0005-0000-0000-00001E950000}"/>
    <cellStyle name="Normal 359 3 3 2" xfId="37347" xr:uid="{00000000-0005-0000-0000-00001F950000}"/>
    <cellStyle name="Normal 359 3 3 3" xfId="37348" xr:uid="{00000000-0005-0000-0000-000020950000}"/>
    <cellStyle name="Normal 359 3 4" xfId="37349" xr:uid="{00000000-0005-0000-0000-000021950000}"/>
    <cellStyle name="Normal 359 3 4 2" xfId="37350" xr:uid="{00000000-0005-0000-0000-000022950000}"/>
    <cellStyle name="Normal 359 3 4 3" xfId="37351" xr:uid="{00000000-0005-0000-0000-000023950000}"/>
    <cellStyle name="Normal 359 3 5" xfId="37352" xr:uid="{00000000-0005-0000-0000-000024950000}"/>
    <cellStyle name="Normal 359 3 6" xfId="37353" xr:uid="{00000000-0005-0000-0000-000025950000}"/>
    <cellStyle name="Normal 359 3 7" xfId="37354" xr:uid="{00000000-0005-0000-0000-000026950000}"/>
    <cellStyle name="Normal 359 3 8" xfId="37355" xr:uid="{00000000-0005-0000-0000-000027950000}"/>
    <cellStyle name="Normal 359 4" xfId="37356" xr:uid="{00000000-0005-0000-0000-000028950000}"/>
    <cellStyle name="Normal 359 4 2" xfId="37357" xr:uid="{00000000-0005-0000-0000-000029950000}"/>
    <cellStyle name="Normal 359 4 2 2" xfId="37358" xr:uid="{00000000-0005-0000-0000-00002A950000}"/>
    <cellStyle name="Normal 359 4 2 3" xfId="37359" xr:uid="{00000000-0005-0000-0000-00002B950000}"/>
    <cellStyle name="Normal 359 4 3" xfId="37360" xr:uid="{00000000-0005-0000-0000-00002C950000}"/>
    <cellStyle name="Normal 359 4 3 2" xfId="37361" xr:uid="{00000000-0005-0000-0000-00002D950000}"/>
    <cellStyle name="Normal 359 4 3 3" xfId="37362" xr:uid="{00000000-0005-0000-0000-00002E950000}"/>
    <cellStyle name="Normal 359 4 4" xfId="37363" xr:uid="{00000000-0005-0000-0000-00002F950000}"/>
    <cellStyle name="Normal 359 4 5" xfId="37364" xr:uid="{00000000-0005-0000-0000-000030950000}"/>
    <cellStyle name="Normal 359 4 6" xfId="37365" xr:uid="{00000000-0005-0000-0000-000031950000}"/>
    <cellStyle name="Normal 359 5" xfId="37366" xr:uid="{00000000-0005-0000-0000-000032950000}"/>
    <cellStyle name="Normal 359 5 2" xfId="37367" xr:uid="{00000000-0005-0000-0000-000033950000}"/>
    <cellStyle name="Normal 359 5 3" xfId="37368" xr:uid="{00000000-0005-0000-0000-000034950000}"/>
    <cellStyle name="Normal 359 6" xfId="37369" xr:uid="{00000000-0005-0000-0000-000035950000}"/>
    <cellStyle name="Normal 359 6 2" xfId="37370" xr:uid="{00000000-0005-0000-0000-000036950000}"/>
    <cellStyle name="Normal 359 6 3" xfId="37371" xr:uid="{00000000-0005-0000-0000-000037950000}"/>
    <cellStyle name="Normal 359 7" xfId="37372" xr:uid="{00000000-0005-0000-0000-000038950000}"/>
    <cellStyle name="Normal 359 8" xfId="37373" xr:uid="{00000000-0005-0000-0000-000039950000}"/>
    <cellStyle name="Normal 359 9" xfId="37374" xr:uid="{00000000-0005-0000-0000-00003A950000}"/>
    <cellStyle name="Normal 36" xfId="3273" xr:uid="{00000000-0005-0000-0000-00003B950000}"/>
    <cellStyle name="Normal 36 10" xfId="37375" xr:uid="{00000000-0005-0000-0000-00003C950000}"/>
    <cellStyle name="Normal 36 11" xfId="37376" xr:uid="{00000000-0005-0000-0000-00003D950000}"/>
    <cellStyle name="Normal 36 12" xfId="37377" xr:uid="{00000000-0005-0000-0000-00003E950000}"/>
    <cellStyle name="Normal 36 13" xfId="37378" xr:uid="{00000000-0005-0000-0000-00003F950000}"/>
    <cellStyle name="Normal 36 14" xfId="37379" xr:uid="{00000000-0005-0000-0000-000040950000}"/>
    <cellStyle name="Normal 36 2" xfId="37380" xr:uid="{00000000-0005-0000-0000-000041950000}"/>
    <cellStyle name="Normal 36 2 10" xfId="37381" xr:uid="{00000000-0005-0000-0000-000042950000}"/>
    <cellStyle name="Normal 36 2 11" xfId="37382" xr:uid="{00000000-0005-0000-0000-000043950000}"/>
    <cellStyle name="Normal 36 2 2" xfId="37383" xr:uid="{00000000-0005-0000-0000-000044950000}"/>
    <cellStyle name="Normal 36 2 2 2" xfId="37384" xr:uid="{00000000-0005-0000-0000-000045950000}"/>
    <cellStyle name="Normal 36 2 2 2 2" xfId="37385" xr:uid="{00000000-0005-0000-0000-000046950000}"/>
    <cellStyle name="Normal 36 2 2 2 2 2" xfId="37386" xr:uid="{00000000-0005-0000-0000-000047950000}"/>
    <cellStyle name="Normal 36 2 2 2 2 3" xfId="37387" xr:uid="{00000000-0005-0000-0000-000048950000}"/>
    <cellStyle name="Normal 36 2 2 2 3" xfId="37388" xr:uid="{00000000-0005-0000-0000-000049950000}"/>
    <cellStyle name="Normal 36 2 2 2 3 2" xfId="37389" xr:uid="{00000000-0005-0000-0000-00004A950000}"/>
    <cellStyle name="Normal 36 2 2 2 3 3" xfId="37390" xr:uid="{00000000-0005-0000-0000-00004B950000}"/>
    <cellStyle name="Normal 36 2 2 2 4" xfId="37391" xr:uid="{00000000-0005-0000-0000-00004C950000}"/>
    <cellStyle name="Normal 36 2 2 2 5" xfId="37392" xr:uid="{00000000-0005-0000-0000-00004D950000}"/>
    <cellStyle name="Normal 36 2 2 2 6" xfId="37393" xr:uid="{00000000-0005-0000-0000-00004E950000}"/>
    <cellStyle name="Normal 36 2 2 3" xfId="37394" xr:uid="{00000000-0005-0000-0000-00004F950000}"/>
    <cellStyle name="Normal 36 2 2 3 2" xfId="37395" xr:uid="{00000000-0005-0000-0000-000050950000}"/>
    <cellStyle name="Normal 36 2 2 3 3" xfId="37396" xr:uid="{00000000-0005-0000-0000-000051950000}"/>
    <cellStyle name="Normal 36 2 2 4" xfId="37397" xr:uid="{00000000-0005-0000-0000-000052950000}"/>
    <cellStyle name="Normal 36 2 2 4 2" xfId="37398" xr:uid="{00000000-0005-0000-0000-000053950000}"/>
    <cellStyle name="Normal 36 2 2 4 3" xfId="37399" xr:uid="{00000000-0005-0000-0000-000054950000}"/>
    <cellStyle name="Normal 36 2 2 5" xfId="37400" xr:uid="{00000000-0005-0000-0000-000055950000}"/>
    <cellStyle name="Normal 36 2 2 6" xfId="37401" xr:uid="{00000000-0005-0000-0000-000056950000}"/>
    <cellStyle name="Normal 36 2 2 7" xfId="37402" xr:uid="{00000000-0005-0000-0000-000057950000}"/>
    <cellStyle name="Normal 36 2 2 8" xfId="37403" xr:uid="{00000000-0005-0000-0000-000058950000}"/>
    <cellStyle name="Normal 36 2 3" xfId="37404" xr:uid="{00000000-0005-0000-0000-000059950000}"/>
    <cellStyle name="Normal 36 2 3 2" xfId="37405" xr:uid="{00000000-0005-0000-0000-00005A950000}"/>
    <cellStyle name="Normal 36 2 3 2 2" xfId="37406" xr:uid="{00000000-0005-0000-0000-00005B950000}"/>
    <cellStyle name="Normal 36 2 3 2 3" xfId="37407" xr:uid="{00000000-0005-0000-0000-00005C950000}"/>
    <cellStyle name="Normal 36 2 3 3" xfId="37408" xr:uid="{00000000-0005-0000-0000-00005D950000}"/>
    <cellStyle name="Normal 36 2 3 3 2" xfId="37409" xr:uid="{00000000-0005-0000-0000-00005E950000}"/>
    <cellStyle name="Normal 36 2 3 3 3" xfId="37410" xr:uid="{00000000-0005-0000-0000-00005F950000}"/>
    <cellStyle name="Normal 36 2 3 4" xfId="37411" xr:uid="{00000000-0005-0000-0000-000060950000}"/>
    <cellStyle name="Normal 36 2 3 5" xfId="37412" xr:uid="{00000000-0005-0000-0000-000061950000}"/>
    <cellStyle name="Normal 36 2 3 6" xfId="37413" xr:uid="{00000000-0005-0000-0000-000062950000}"/>
    <cellStyle name="Normal 36 2 4" xfId="37414" xr:uid="{00000000-0005-0000-0000-000063950000}"/>
    <cellStyle name="Normal 36 2 4 2" xfId="37415" xr:uid="{00000000-0005-0000-0000-000064950000}"/>
    <cellStyle name="Normal 36 2 4 3" xfId="37416" xr:uid="{00000000-0005-0000-0000-000065950000}"/>
    <cellStyle name="Normal 36 2 5" xfId="37417" xr:uid="{00000000-0005-0000-0000-000066950000}"/>
    <cellStyle name="Normal 36 2 5 2" xfId="37418" xr:uid="{00000000-0005-0000-0000-000067950000}"/>
    <cellStyle name="Normal 36 2 5 3" xfId="37419" xr:uid="{00000000-0005-0000-0000-000068950000}"/>
    <cellStyle name="Normal 36 2 6" xfId="37420" xr:uid="{00000000-0005-0000-0000-000069950000}"/>
    <cellStyle name="Normal 36 2 7" xfId="37421" xr:uid="{00000000-0005-0000-0000-00006A950000}"/>
    <cellStyle name="Normal 36 2 8" xfId="37422" xr:uid="{00000000-0005-0000-0000-00006B950000}"/>
    <cellStyle name="Normal 36 2 9" xfId="37423" xr:uid="{00000000-0005-0000-0000-00006C950000}"/>
    <cellStyle name="Normal 36 3" xfId="37424" xr:uid="{00000000-0005-0000-0000-00006D950000}"/>
    <cellStyle name="Normal 36 3 2" xfId="37425" xr:uid="{00000000-0005-0000-0000-00006E950000}"/>
    <cellStyle name="Normal 36 3 2 2" xfId="37426" xr:uid="{00000000-0005-0000-0000-00006F950000}"/>
    <cellStyle name="Normal 36 3 2 2 2" xfId="37427" xr:uid="{00000000-0005-0000-0000-000070950000}"/>
    <cellStyle name="Normal 36 3 2 2 3" xfId="37428" xr:uid="{00000000-0005-0000-0000-000071950000}"/>
    <cellStyle name="Normal 36 3 2 3" xfId="37429" xr:uid="{00000000-0005-0000-0000-000072950000}"/>
    <cellStyle name="Normal 36 3 2 3 2" xfId="37430" xr:uid="{00000000-0005-0000-0000-000073950000}"/>
    <cellStyle name="Normal 36 3 2 3 3" xfId="37431" xr:uid="{00000000-0005-0000-0000-000074950000}"/>
    <cellStyle name="Normal 36 3 2 4" xfId="37432" xr:uid="{00000000-0005-0000-0000-000075950000}"/>
    <cellStyle name="Normal 36 3 2 5" xfId="37433" xr:uid="{00000000-0005-0000-0000-000076950000}"/>
    <cellStyle name="Normal 36 3 2 6" xfId="37434" xr:uid="{00000000-0005-0000-0000-000077950000}"/>
    <cellStyle name="Normal 36 3 3" xfId="37435" xr:uid="{00000000-0005-0000-0000-000078950000}"/>
    <cellStyle name="Normal 36 3 3 2" xfId="37436" xr:uid="{00000000-0005-0000-0000-000079950000}"/>
    <cellStyle name="Normal 36 3 3 3" xfId="37437" xr:uid="{00000000-0005-0000-0000-00007A950000}"/>
    <cellStyle name="Normal 36 3 4" xfId="37438" xr:uid="{00000000-0005-0000-0000-00007B950000}"/>
    <cellStyle name="Normal 36 3 4 2" xfId="37439" xr:uid="{00000000-0005-0000-0000-00007C950000}"/>
    <cellStyle name="Normal 36 3 4 3" xfId="37440" xr:uid="{00000000-0005-0000-0000-00007D950000}"/>
    <cellStyle name="Normal 36 3 5" xfId="37441" xr:uid="{00000000-0005-0000-0000-00007E950000}"/>
    <cellStyle name="Normal 36 3 6" xfId="37442" xr:uid="{00000000-0005-0000-0000-00007F950000}"/>
    <cellStyle name="Normal 36 3 7" xfId="37443" xr:uid="{00000000-0005-0000-0000-000080950000}"/>
    <cellStyle name="Normal 36 3 8" xfId="37444" xr:uid="{00000000-0005-0000-0000-000081950000}"/>
    <cellStyle name="Normal 36 4" xfId="37445" xr:uid="{00000000-0005-0000-0000-000082950000}"/>
    <cellStyle name="Normal 36 4 2" xfId="37446" xr:uid="{00000000-0005-0000-0000-000083950000}"/>
    <cellStyle name="Normal 36 4 2 2" xfId="37447" xr:uid="{00000000-0005-0000-0000-000084950000}"/>
    <cellStyle name="Normal 36 4 2 3" xfId="37448" xr:uid="{00000000-0005-0000-0000-000085950000}"/>
    <cellStyle name="Normal 36 4 3" xfId="37449" xr:uid="{00000000-0005-0000-0000-000086950000}"/>
    <cellStyle name="Normal 36 4 3 2" xfId="37450" xr:uid="{00000000-0005-0000-0000-000087950000}"/>
    <cellStyle name="Normal 36 4 3 3" xfId="37451" xr:uid="{00000000-0005-0000-0000-000088950000}"/>
    <cellStyle name="Normal 36 4 4" xfId="37452" xr:uid="{00000000-0005-0000-0000-000089950000}"/>
    <cellStyle name="Normal 36 4 5" xfId="37453" xr:uid="{00000000-0005-0000-0000-00008A950000}"/>
    <cellStyle name="Normal 36 4 6" xfId="37454" xr:uid="{00000000-0005-0000-0000-00008B950000}"/>
    <cellStyle name="Normal 36 5" xfId="37455" xr:uid="{00000000-0005-0000-0000-00008C950000}"/>
    <cellStyle name="Normal 36 5 2" xfId="37456" xr:uid="{00000000-0005-0000-0000-00008D950000}"/>
    <cellStyle name="Normal 36 5 3" xfId="37457" xr:uid="{00000000-0005-0000-0000-00008E950000}"/>
    <cellStyle name="Normal 36 6" xfId="37458" xr:uid="{00000000-0005-0000-0000-00008F950000}"/>
    <cellStyle name="Normal 36 6 2" xfId="37459" xr:uid="{00000000-0005-0000-0000-000090950000}"/>
    <cellStyle name="Normal 36 6 3" xfId="37460" xr:uid="{00000000-0005-0000-0000-000091950000}"/>
    <cellStyle name="Normal 36 7" xfId="37461" xr:uid="{00000000-0005-0000-0000-000092950000}"/>
    <cellStyle name="Normal 36 8" xfId="37462" xr:uid="{00000000-0005-0000-0000-000093950000}"/>
    <cellStyle name="Normal 36 9" xfId="37463" xr:uid="{00000000-0005-0000-0000-000094950000}"/>
    <cellStyle name="Normal 360" xfId="3274" xr:uid="{00000000-0005-0000-0000-000095950000}"/>
    <cellStyle name="Normal 360 10" xfId="37464" xr:uid="{00000000-0005-0000-0000-000096950000}"/>
    <cellStyle name="Normal 360 11" xfId="37465" xr:uid="{00000000-0005-0000-0000-000097950000}"/>
    <cellStyle name="Normal 360 2" xfId="3275" xr:uid="{00000000-0005-0000-0000-000098950000}"/>
    <cellStyle name="Normal 360 2 10" xfId="37466" xr:uid="{00000000-0005-0000-0000-000099950000}"/>
    <cellStyle name="Normal 360 2 2" xfId="37467" xr:uid="{00000000-0005-0000-0000-00009A950000}"/>
    <cellStyle name="Normal 360 2 2 2" xfId="37468" xr:uid="{00000000-0005-0000-0000-00009B950000}"/>
    <cellStyle name="Normal 360 2 2 2 2" xfId="37469" xr:uid="{00000000-0005-0000-0000-00009C950000}"/>
    <cellStyle name="Normal 360 2 2 2 2 2" xfId="37470" xr:uid="{00000000-0005-0000-0000-00009D950000}"/>
    <cellStyle name="Normal 360 2 2 2 2 3" xfId="37471" xr:uid="{00000000-0005-0000-0000-00009E950000}"/>
    <cellStyle name="Normal 360 2 2 2 3" xfId="37472" xr:uid="{00000000-0005-0000-0000-00009F950000}"/>
    <cellStyle name="Normal 360 2 2 2 3 2" xfId="37473" xr:uid="{00000000-0005-0000-0000-0000A0950000}"/>
    <cellStyle name="Normal 360 2 2 2 3 3" xfId="37474" xr:uid="{00000000-0005-0000-0000-0000A1950000}"/>
    <cellStyle name="Normal 360 2 2 2 4" xfId="37475" xr:uid="{00000000-0005-0000-0000-0000A2950000}"/>
    <cellStyle name="Normal 360 2 2 2 5" xfId="37476" xr:uid="{00000000-0005-0000-0000-0000A3950000}"/>
    <cellStyle name="Normal 360 2 2 2 6" xfId="37477" xr:uid="{00000000-0005-0000-0000-0000A4950000}"/>
    <cellStyle name="Normal 360 2 2 3" xfId="37478" xr:uid="{00000000-0005-0000-0000-0000A5950000}"/>
    <cellStyle name="Normal 360 2 2 3 2" xfId="37479" xr:uid="{00000000-0005-0000-0000-0000A6950000}"/>
    <cellStyle name="Normal 360 2 2 3 3" xfId="37480" xr:uid="{00000000-0005-0000-0000-0000A7950000}"/>
    <cellStyle name="Normal 360 2 2 4" xfId="37481" xr:uid="{00000000-0005-0000-0000-0000A8950000}"/>
    <cellStyle name="Normal 360 2 2 4 2" xfId="37482" xr:uid="{00000000-0005-0000-0000-0000A9950000}"/>
    <cellStyle name="Normal 360 2 2 4 3" xfId="37483" xr:uid="{00000000-0005-0000-0000-0000AA950000}"/>
    <cellStyle name="Normal 360 2 2 5" xfId="37484" xr:uid="{00000000-0005-0000-0000-0000AB950000}"/>
    <cellStyle name="Normal 360 2 2 6" xfId="37485" xr:uid="{00000000-0005-0000-0000-0000AC950000}"/>
    <cellStyle name="Normal 360 2 2 7" xfId="37486" xr:uid="{00000000-0005-0000-0000-0000AD950000}"/>
    <cellStyle name="Normal 360 2 2 8" xfId="37487" xr:uid="{00000000-0005-0000-0000-0000AE950000}"/>
    <cellStyle name="Normal 360 2 3" xfId="37488" xr:uid="{00000000-0005-0000-0000-0000AF950000}"/>
    <cellStyle name="Normal 360 2 3 2" xfId="37489" xr:uid="{00000000-0005-0000-0000-0000B0950000}"/>
    <cellStyle name="Normal 360 2 3 2 2" xfId="37490" xr:uid="{00000000-0005-0000-0000-0000B1950000}"/>
    <cellStyle name="Normal 360 2 3 2 3" xfId="37491" xr:uid="{00000000-0005-0000-0000-0000B2950000}"/>
    <cellStyle name="Normal 360 2 3 3" xfId="37492" xr:uid="{00000000-0005-0000-0000-0000B3950000}"/>
    <cellStyle name="Normal 360 2 3 3 2" xfId="37493" xr:uid="{00000000-0005-0000-0000-0000B4950000}"/>
    <cellStyle name="Normal 360 2 3 3 3" xfId="37494" xr:uid="{00000000-0005-0000-0000-0000B5950000}"/>
    <cellStyle name="Normal 360 2 3 4" xfId="37495" xr:uid="{00000000-0005-0000-0000-0000B6950000}"/>
    <cellStyle name="Normal 360 2 3 5" xfId="37496" xr:uid="{00000000-0005-0000-0000-0000B7950000}"/>
    <cellStyle name="Normal 360 2 3 6" xfId="37497" xr:uid="{00000000-0005-0000-0000-0000B8950000}"/>
    <cellStyle name="Normal 360 2 4" xfId="37498" xr:uid="{00000000-0005-0000-0000-0000B9950000}"/>
    <cellStyle name="Normal 360 2 4 2" xfId="37499" xr:uid="{00000000-0005-0000-0000-0000BA950000}"/>
    <cellStyle name="Normal 360 2 4 3" xfId="37500" xr:uid="{00000000-0005-0000-0000-0000BB950000}"/>
    <cellStyle name="Normal 360 2 5" xfId="37501" xr:uid="{00000000-0005-0000-0000-0000BC950000}"/>
    <cellStyle name="Normal 360 2 5 2" xfId="37502" xr:uid="{00000000-0005-0000-0000-0000BD950000}"/>
    <cellStyle name="Normal 360 2 5 3" xfId="37503" xr:uid="{00000000-0005-0000-0000-0000BE950000}"/>
    <cellStyle name="Normal 360 2 6" xfId="37504" xr:uid="{00000000-0005-0000-0000-0000BF950000}"/>
    <cellStyle name="Normal 360 2 7" xfId="37505" xr:uid="{00000000-0005-0000-0000-0000C0950000}"/>
    <cellStyle name="Normal 360 2 8" xfId="37506" xr:uid="{00000000-0005-0000-0000-0000C1950000}"/>
    <cellStyle name="Normal 360 2 9" xfId="37507" xr:uid="{00000000-0005-0000-0000-0000C2950000}"/>
    <cellStyle name="Normal 360 3" xfId="37508" xr:uid="{00000000-0005-0000-0000-0000C3950000}"/>
    <cellStyle name="Normal 360 3 2" xfId="37509" xr:uid="{00000000-0005-0000-0000-0000C4950000}"/>
    <cellStyle name="Normal 360 3 2 2" xfId="37510" xr:uid="{00000000-0005-0000-0000-0000C5950000}"/>
    <cellStyle name="Normal 360 3 2 2 2" xfId="37511" xr:uid="{00000000-0005-0000-0000-0000C6950000}"/>
    <cellStyle name="Normal 360 3 2 2 3" xfId="37512" xr:uid="{00000000-0005-0000-0000-0000C7950000}"/>
    <cellStyle name="Normal 360 3 2 3" xfId="37513" xr:uid="{00000000-0005-0000-0000-0000C8950000}"/>
    <cellStyle name="Normal 360 3 2 3 2" xfId="37514" xr:uid="{00000000-0005-0000-0000-0000C9950000}"/>
    <cellStyle name="Normal 360 3 2 3 3" xfId="37515" xr:uid="{00000000-0005-0000-0000-0000CA950000}"/>
    <cellStyle name="Normal 360 3 2 4" xfId="37516" xr:uid="{00000000-0005-0000-0000-0000CB950000}"/>
    <cellStyle name="Normal 360 3 2 5" xfId="37517" xr:uid="{00000000-0005-0000-0000-0000CC950000}"/>
    <cellStyle name="Normal 360 3 2 6" xfId="37518" xr:uid="{00000000-0005-0000-0000-0000CD950000}"/>
    <cellStyle name="Normal 360 3 3" xfId="37519" xr:uid="{00000000-0005-0000-0000-0000CE950000}"/>
    <cellStyle name="Normal 360 3 3 2" xfId="37520" xr:uid="{00000000-0005-0000-0000-0000CF950000}"/>
    <cellStyle name="Normal 360 3 3 3" xfId="37521" xr:uid="{00000000-0005-0000-0000-0000D0950000}"/>
    <cellStyle name="Normal 360 3 4" xfId="37522" xr:uid="{00000000-0005-0000-0000-0000D1950000}"/>
    <cellStyle name="Normal 360 3 4 2" xfId="37523" xr:uid="{00000000-0005-0000-0000-0000D2950000}"/>
    <cellStyle name="Normal 360 3 4 3" xfId="37524" xr:uid="{00000000-0005-0000-0000-0000D3950000}"/>
    <cellStyle name="Normal 360 3 5" xfId="37525" xr:uid="{00000000-0005-0000-0000-0000D4950000}"/>
    <cellStyle name="Normal 360 3 6" xfId="37526" xr:uid="{00000000-0005-0000-0000-0000D5950000}"/>
    <cellStyle name="Normal 360 3 7" xfId="37527" xr:uid="{00000000-0005-0000-0000-0000D6950000}"/>
    <cellStyle name="Normal 360 3 8" xfId="37528" xr:uid="{00000000-0005-0000-0000-0000D7950000}"/>
    <cellStyle name="Normal 360 4" xfId="37529" xr:uid="{00000000-0005-0000-0000-0000D8950000}"/>
    <cellStyle name="Normal 360 4 2" xfId="37530" xr:uid="{00000000-0005-0000-0000-0000D9950000}"/>
    <cellStyle name="Normal 360 4 2 2" xfId="37531" xr:uid="{00000000-0005-0000-0000-0000DA950000}"/>
    <cellStyle name="Normal 360 4 2 3" xfId="37532" xr:uid="{00000000-0005-0000-0000-0000DB950000}"/>
    <cellStyle name="Normal 360 4 3" xfId="37533" xr:uid="{00000000-0005-0000-0000-0000DC950000}"/>
    <cellStyle name="Normal 360 4 3 2" xfId="37534" xr:uid="{00000000-0005-0000-0000-0000DD950000}"/>
    <cellStyle name="Normal 360 4 3 3" xfId="37535" xr:uid="{00000000-0005-0000-0000-0000DE950000}"/>
    <cellStyle name="Normal 360 4 4" xfId="37536" xr:uid="{00000000-0005-0000-0000-0000DF950000}"/>
    <cellStyle name="Normal 360 4 5" xfId="37537" xr:uid="{00000000-0005-0000-0000-0000E0950000}"/>
    <cellStyle name="Normal 360 4 6" xfId="37538" xr:uid="{00000000-0005-0000-0000-0000E1950000}"/>
    <cellStyle name="Normal 360 5" xfId="37539" xr:uid="{00000000-0005-0000-0000-0000E2950000}"/>
    <cellStyle name="Normal 360 5 2" xfId="37540" xr:uid="{00000000-0005-0000-0000-0000E3950000}"/>
    <cellStyle name="Normal 360 5 3" xfId="37541" xr:uid="{00000000-0005-0000-0000-0000E4950000}"/>
    <cellStyle name="Normal 360 6" xfId="37542" xr:uid="{00000000-0005-0000-0000-0000E5950000}"/>
    <cellStyle name="Normal 360 6 2" xfId="37543" xr:uid="{00000000-0005-0000-0000-0000E6950000}"/>
    <cellStyle name="Normal 360 6 3" xfId="37544" xr:uid="{00000000-0005-0000-0000-0000E7950000}"/>
    <cellStyle name="Normal 360 7" xfId="37545" xr:uid="{00000000-0005-0000-0000-0000E8950000}"/>
    <cellStyle name="Normal 360 8" xfId="37546" xr:uid="{00000000-0005-0000-0000-0000E9950000}"/>
    <cellStyle name="Normal 360 9" xfId="37547" xr:uid="{00000000-0005-0000-0000-0000EA950000}"/>
    <cellStyle name="Normal 361" xfId="3276" xr:uid="{00000000-0005-0000-0000-0000EB950000}"/>
    <cellStyle name="Normal 361 10" xfId="37548" xr:uid="{00000000-0005-0000-0000-0000EC950000}"/>
    <cellStyle name="Normal 361 11" xfId="37549" xr:uid="{00000000-0005-0000-0000-0000ED950000}"/>
    <cellStyle name="Normal 361 2" xfId="37550" xr:uid="{00000000-0005-0000-0000-0000EE950000}"/>
    <cellStyle name="Normal 361 2 2" xfId="37551" xr:uid="{00000000-0005-0000-0000-0000EF950000}"/>
    <cellStyle name="Normal 361 2 2 2" xfId="37552" xr:uid="{00000000-0005-0000-0000-0000F0950000}"/>
    <cellStyle name="Normal 361 2 2 2 2" xfId="37553" xr:uid="{00000000-0005-0000-0000-0000F1950000}"/>
    <cellStyle name="Normal 361 2 2 2 2 2" xfId="37554" xr:uid="{00000000-0005-0000-0000-0000F2950000}"/>
    <cellStyle name="Normal 361 2 2 2 2 3" xfId="37555" xr:uid="{00000000-0005-0000-0000-0000F3950000}"/>
    <cellStyle name="Normal 361 2 2 2 3" xfId="37556" xr:uid="{00000000-0005-0000-0000-0000F4950000}"/>
    <cellStyle name="Normal 361 2 2 2 3 2" xfId="37557" xr:uid="{00000000-0005-0000-0000-0000F5950000}"/>
    <cellStyle name="Normal 361 2 2 2 3 3" xfId="37558" xr:uid="{00000000-0005-0000-0000-0000F6950000}"/>
    <cellStyle name="Normal 361 2 2 2 4" xfId="37559" xr:uid="{00000000-0005-0000-0000-0000F7950000}"/>
    <cellStyle name="Normal 361 2 2 2 5" xfId="37560" xr:uid="{00000000-0005-0000-0000-0000F8950000}"/>
    <cellStyle name="Normal 361 2 2 2 6" xfId="37561" xr:uid="{00000000-0005-0000-0000-0000F9950000}"/>
    <cellStyle name="Normal 361 2 2 3" xfId="37562" xr:uid="{00000000-0005-0000-0000-0000FA950000}"/>
    <cellStyle name="Normal 361 2 2 3 2" xfId="37563" xr:uid="{00000000-0005-0000-0000-0000FB950000}"/>
    <cellStyle name="Normal 361 2 2 3 3" xfId="37564" xr:uid="{00000000-0005-0000-0000-0000FC950000}"/>
    <cellStyle name="Normal 361 2 2 4" xfId="37565" xr:uid="{00000000-0005-0000-0000-0000FD950000}"/>
    <cellStyle name="Normal 361 2 2 4 2" xfId="37566" xr:uid="{00000000-0005-0000-0000-0000FE950000}"/>
    <cellStyle name="Normal 361 2 2 4 3" xfId="37567" xr:uid="{00000000-0005-0000-0000-0000FF950000}"/>
    <cellStyle name="Normal 361 2 2 5" xfId="37568" xr:uid="{00000000-0005-0000-0000-000000960000}"/>
    <cellStyle name="Normal 361 2 2 6" xfId="37569" xr:uid="{00000000-0005-0000-0000-000001960000}"/>
    <cellStyle name="Normal 361 2 2 7" xfId="37570" xr:uid="{00000000-0005-0000-0000-000002960000}"/>
    <cellStyle name="Normal 361 2 2 8" xfId="37571" xr:uid="{00000000-0005-0000-0000-000003960000}"/>
    <cellStyle name="Normal 361 2 3" xfId="37572" xr:uid="{00000000-0005-0000-0000-000004960000}"/>
    <cellStyle name="Normal 361 2 3 2" xfId="37573" xr:uid="{00000000-0005-0000-0000-000005960000}"/>
    <cellStyle name="Normal 361 2 3 2 2" xfId="37574" xr:uid="{00000000-0005-0000-0000-000006960000}"/>
    <cellStyle name="Normal 361 2 3 2 3" xfId="37575" xr:uid="{00000000-0005-0000-0000-000007960000}"/>
    <cellStyle name="Normal 361 2 3 3" xfId="37576" xr:uid="{00000000-0005-0000-0000-000008960000}"/>
    <cellStyle name="Normal 361 2 3 3 2" xfId="37577" xr:uid="{00000000-0005-0000-0000-000009960000}"/>
    <cellStyle name="Normal 361 2 3 3 3" xfId="37578" xr:uid="{00000000-0005-0000-0000-00000A960000}"/>
    <cellStyle name="Normal 361 2 3 4" xfId="37579" xr:uid="{00000000-0005-0000-0000-00000B960000}"/>
    <cellStyle name="Normal 361 2 3 5" xfId="37580" xr:uid="{00000000-0005-0000-0000-00000C960000}"/>
    <cellStyle name="Normal 361 2 3 6" xfId="37581" xr:uid="{00000000-0005-0000-0000-00000D960000}"/>
    <cellStyle name="Normal 361 2 4" xfId="37582" xr:uid="{00000000-0005-0000-0000-00000E960000}"/>
    <cellStyle name="Normal 361 2 4 2" xfId="37583" xr:uid="{00000000-0005-0000-0000-00000F960000}"/>
    <cellStyle name="Normal 361 2 4 3" xfId="37584" xr:uid="{00000000-0005-0000-0000-000010960000}"/>
    <cellStyle name="Normal 361 2 5" xfId="37585" xr:uid="{00000000-0005-0000-0000-000011960000}"/>
    <cellStyle name="Normal 361 2 5 2" xfId="37586" xr:uid="{00000000-0005-0000-0000-000012960000}"/>
    <cellStyle name="Normal 361 2 5 3" xfId="37587" xr:uid="{00000000-0005-0000-0000-000013960000}"/>
    <cellStyle name="Normal 361 2 6" xfId="37588" xr:uid="{00000000-0005-0000-0000-000014960000}"/>
    <cellStyle name="Normal 361 2 7" xfId="37589" xr:uid="{00000000-0005-0000-0000-000015960000}"/>
    <cellStyle name="Normal 361 2 8" xfId="37590" xr:uid="{00000000-0005-0000-0000-000016960000}"/>
    <cellStyle name="Normal 361 2 9" xfId="37591" xr:uid="{00000000-0005-0000-0000-000017960000}"/>
    <cellStyle name="Normal 361 3" xfId="37592" xr:uid="{00000000-0005-0000-0000-000018960000}"/>
    <cellStyle name="Normal 361 3 2" xfId="37593" xr:uid="{00000000-0005-0000-0000-000019960000}"/>
    <cellStyle name="Normal 361 3 2 2" xfId="37594" xr:uid="{00000000-0005-0000-0000-00001A960000}"/>
    <cellStyle name="Normal 361 3 2 2 2" xfId="37595" xr:uid="{00000000-0005-0000-0000-00001B960000}"/>
    <cellStyle name="Normal 361 3 2 2 3" xfId="37596" xr:uid="{00000000-0005-0000-0000-00001C960000}"/>
    <cellStyle name="Normal 361 3 2 3" xfId="37597" xr:uid="{00000000-0005-0000-0000-00001D960000}"/>
    <cellStyle name="Normal 361 3 2 3 2" xfId="37598" xr:uid="{00000000-0005-0000-0000-00001E960000}"/>
    <cellStyle name="Normal 361 3 2 3 3" xfId="37599" xr:uid="{00000000-0005-0000-0000-00001F960000}"/>
    <cellStyle name="Normal 361 3 2 4" xfId="37600" xr:uid="{00000000-0005-0000-0000-000020960000}"/>
    <cellStyle name="Normal 361 3 2 5" xfId="37601" xr:uid="{00000000-0005-0000-0000-000021960000}"/>
    <cellStyle name="Normal 361 3 2 6" xfId="37602" xr:uid="{00000000-0005-0000-0000-000022960000}"/>
    <cellStyle name="Normal 361 3 3" xfId="37603" xr:uid="{00000000-0005-0000-0000-000023960000}"/>
    <cellStyle name="Normal 361 3 3 2" xfId="37604" xr:uid="{00000000-0005-0000-0000-000024960000}"/>
    <cellStyle name="Normal 361 3 3 3" xfId="37605" xr:uid="{00000000-0005-0000-0000-000025960000}"/>
    <cellStyle name="Normal 361 3 4" xfId="37606" xr:uid="{00000000-0005-0000-0000-000026960000}"/>
    <cellStyle name="Normal 361 3 4 2" xfId="37607" xr:uid="{00000000-0005-0000-0000-000027960000}"/>
    <cellStyle name="Normal 361 3 4 3" xfId="37608" xr:uid="{00000000-0005-0000-0000-000028960000}"/>
    <cellStyle name="Normal 361 3 5" xfId="37609" xr:uid="{00000000-0005-0000-0000-000029960000}"/>
    <cellStyle name="Normal 361 3 6" xfId="37610" xr:uid="{00000000-0005-0000-0000-00002A960000}"/>
    <cellStyle name="Normal 361 3 7" xfId="37611" xr:uid="{00000000-0005-0000-0000-00002B960000}"/>
    <cellStyle name="Normal 361 3 8" xfId="37612" xr:uid="{00000000-0005-0000-0000-00002C960000}"/>
    <cellStyle name="Normal 361 4" xfId="37613" xr:uid="{00000000-0005-0000-0000-00002D960000}"/>
    <cellStyle name="Normal 361 4 2" xfId="37614" xr:uid="{00000000-0005-0000-0000-00002E960000}"/>
    <cellStyle name="Normal 361 4 2 2" xfId="37615" xr:uid="{00000000-0005-0000-0000-00002F960000}"/>
    <cellStyle name="Normal 361 4 2 3" xfId="37616" xr:uid="{00000000-0005-0000-0000-000030960000}"/>
    <cellStyle name="Normal 361 4 3" xfId="37617" xr:uid="{00000000-0005-0000-0000-000031960000}"/>
    <cellStyle name="Normal 361 4 3 2" xfId="37618" xr:uid="{00000000-0005-0000-0000-000032960000}"/>
    <cellStyle name="Normal 361 4 3 3" xfId="37619" xr:uid="{00000000-0005-0000-0000-000033960000}"/>
    <cellStyle name="Normal 361 4 4" xfId="37620" xr:uid="{00000000-0005-0000-0000-000034960000}"/>
    <cellStyle name="Normal 361 4 5" xfId="37621" xr:uid="{00000000-0005-0000-0000-000035960000}"/>
    <cellStyle name="Normal 361 4 6" xfId="37622" xr:uid="{00000000-0005-0000-0000-000036960000}"/>
    <cellStyle name="Normal 361 5" xfId="37623" xr:uid="{00000000-0005-0000-0000-000037960000}"/>
    <cellStyle name="Normal 361 5 2" xfId="37624" xr:uid="{00000000-0005-0000-0000-000038960000}"/>
    <cellStyle name="Normal 361 5 3" xfId="37625" xr:uid="{00000000-0005-0000-0000-000039960000}"/>
    <cellStyle name="Normal 361 6" xfId="37626" xr:uid="{00000000-0005-0000-0000-00003A960000}"/>
    <cellStyle name="Normal 361 6 2" xfId="37627" xr:uid="{00000000-0005-0000-0000-00003B960000}"/>
    <cellStyle name="Normal 361 6 3" xfId="37628" xr:uid="{00000000-0005-0000-0000-00003C960000}"/>
    <cellStyle name="Normal 361 7" xfId="37629" xr:uid="{00000000-0005-0000-0000-00003D960000}"/>
    <cellStyle name="Normal 361 8" xfId="37630" xr:uid="{00000000-0005-0000-0000-00003E960000}"/>
    <cellStyle name="Normal 361 9" xfId="37631" xr:uid="{00000000-0005-0000-0000-00003F960000}"/>
    <cellStyle name="Normal 362" xfId="3277" xr:uid="{00000000-0005-0000-0000-000040960000}"/>
    <cellStyle name="Normal 362 10" xfId="37632" xr:uid="{00000000-0005-0000-0000-000041960000}"/>
    <cellStyle name="Normal 362 11" xfId="37633" xr:uid="{00000000-0005-0000-0000-000042960000}"/>
    <cellStyle name="Normal 362 2" xfId="37634" xr:uid="{00000000-0005-0000-0000-000043960000}"/>
    <cellStyle name="Normal 362 2 2" xfId="37635" xr:uid="{00000000-0005-0000-0000-000044960000}"/>
    <cellStyle name="Normal 362 2 2 2" xfId="37636" xr:uid="{00000000-0005-0000-0000-000045960000}"/>
    <cellStyle name="Normal 362 2 2 2 2" xfId="37637" xr:uid="{00000000-0005-0000-0000-000046960000}"/>
    <cellStyle name="Normal 362 2 2 2 2 2" xfId="37638" xr:uid="{00000000-0005-0000-0000-000047960000}"/>
    <cellStyle name="Normal 362 2 2 2 2 3" xfId="37639" xr:uid="{00000000-0005-0000-0000-000048960000}"/>
    <cellStyle name="Normal 362 2 2 2 3" xfId="37640" xr:uid="{00000000-0005-0000-0000-000049960000}"/>
    <cellStyle name="Normal 362 2 2 2 3 2" xfId="37641" xr:uid="{00000000-0005-0000-0000-00004A960000}"/>
    <cellStyle name="Normal 362 2 2 2 3 3" xfId="37642" xr:uid="{00000000-0005-0000-0000-00004B960000}"/>
    <cellStyle name="Normal 362 2 2 2 4" xfId="37643" xr:uid="{00000000-0005-0000-0000-00004C960000}"/>
    <cellStyle name="Normal 362 2 2 2 5" xfId="37644" xr:uid="{00000000-0005-0000-0000-00004D960000}"/>
    <cellStyle name="Normal 362 2 2 2 6" xfId="37645" xr:uid="{00000000-0005-0000-0000-00004E960000}"/>
    <cellStyle name="Normal 362 2 2 3" xfId="37646" xr:uid="{00000000-0005-0000-0000-00004F960000}"/>
    <cellStyle name="Normal 362 2 2 3 2" xfId="37647" xr:uid="{00000000-0005-0000-0000-000050960000}"/>
    <cellStyle name="Normal 362 2 2 3 3" xfId="37648" xr:uid="{00000000-0005-0000-0000-000051960000}"/>
    <cellStyle name="Normal 362 2 2 4" xfId="37649" xr:uid="{00000000-0005-0000-0000-000052960000}"/>
    <cellStyle name="Normal 362 2 2 4 2" xfId="37650" xr:uid="{00000000-0005-0000-0000-000053960000}"/>
    <cellStyle name="Normal 362 2 2 4 3" xfId="37651" xr:uid="{00000000-0005-0000-0000-000054960000}"/>
    <cellStyle name="Normal 362 2 2 5" xfId="37652" xr:uid="{00000000-0005-0000-0000-000055960000}"/>
    <cellStyle name="Normal 362 2 2 6" xfId="37653" xr:uid="{00000000-0005-0000-0000-000056960000}"/>
    <cellStyle name="Normal 362 2 2 7" xfId="37654" xr:uid="{00000000-0005-0000-0000-000057960000}"/>
    <cellStyle name="Normal 362 2 2 8" xfId="37655" xr:uid="{00000000-0005-0000-0000-000058960000}"/>
    <cellStyle name="Normal 362 2 3" xfId="37656" xr:uid="{00000000-0005-0000-0000-000059960000}"/>
    <cellStyle name="Normal 362 2 3 2" xfId="37657" xr:uid="{00000000-0005-0000-0000-00005A960000}"/>
    <cellStyle name="Normal 362 2 3 2 2" xfId="37658" xr:uid="{00000000-0005-0000-0000-00005B960000}"/>
    <cellStyle name="Normal 362 2 3 2 3" xfId="37659" xr:uid="{00000000-0005-0000-0000-00005C960000}"/>
    <cellStyle name="Normal 362 2 3 3" xfId="37660" xr:uid="{00000000-0005-0000-0000-00005D960000}"/>
    <cellStyle name="Normal 362 2 3 3 2" xfId="37661" xr:uid="{00000000-0005-0000-0000-00005E960000}"/>
    <cellStyle name="Normal 362 2 3 3 3" xfId="37662" xr:uid="{00000000-0005-0000-0000-00005F960000}"/>
    <cellStyle name="Normal 362 2 3 4" xfId="37663" xr:uid="{00000000-0005-0000-0000-000060960000}"/>
    <cellStyle name="Normal 362 2 3 5" xfId="37664" xr:uid="{00000000-0005-0000-0000-000061960000}"/>
    <cellStyle name="Normal 362 2 3 6" xfId="37665" xr:uid="{00000000-0005-0000-0000-000062960000}"/>
    <cellStyle name="Normal 362 2 4" xfId="37666" xr:uid="{00000000-0005-0000-0000-000063960000}"/>
    <cellStyle name="Normal 362 2 4 2" xfId="37667" xr:uid="{00000000-0005-0000-0000-000064960000}"/>
    <cellStyle name="Normal 362 2 4 3" xfId="37668" xr:uid="{00000000-0005-0000-0000-000065960000}"/>
    <cellStyle name="Normal 362 2 5" xfId="37669" xr:uid="{00000000-0005-0000-0000-000066960000}"/>
    <cellStyle name="Normal 362 2 5 2" xfId="37670" xr:uid="{00000000-0005-0000-0000-000067960000}"/>
    <cellStyle name="Normal 362 2 5 3" xfId="37671" xr:uid="{00000000-0005-0000-0000-000068960000}"/>
    <cellStyle name="Normal 362 2 6" xfId="37672" xr:uid="{00000000-0005-0000-0000-000069960000}"/>
    <cellStyle name="Normal 362 2 7" xfId="37673" xr:uid="{00000000-0005-0000-0000-00006A960000}"/>
    <cellStyle name="Normal 362 2 8" xfId="37674" xr:uid="{00000000-0005-0000-0000-00006B960000}"/>
    <cellStyle name="Normal 362 2 9" xfId="37675" xr:uid="{00000000-0005-0000-0000-00006C960000}"/>
    <cellStyle name="Normal 362 3" xfId="37676" xr:uid="{00000000-0005-0000-0000-00006D960000}"/>
    <cellStyle name="Normal 362 3 2" xfId="37677" xr:uid="{00000000-0005-0000-0000-00006E960000}"/>
    <cellStyle name="Normal 362 3 2 2" xfId="37678" xr:uid="{00000000-0005-0000-0000-00006F960000}"/>
    <cellStyle name="Normal 362 3 2 2 2" xfId="37679" xr:uid="{00000000-0005-0000-0000-000070960000}"/>
    <cellStyle name="Normal 362 3 2 2 3" xfId="37680" xr:uid="{00000000-0005-0000-0000-000071960000}"/>
    <cellStyle name="Normal 362 3 2 3" xfId="37681" xr:uid="{00000000-0005-0000-0000-000072960000}"/>
    <cellStyle name="Normal 362 3 2 3 2" xfId="37682" xr:uid="{00000000-0005-0000-0000-000073960000}"/>
    <cellStyle name="Normal 362 3 2 3 3" xfId="37683" xr:uid="{00000000-0005-0000-0000-000074960000}"/>
    <cellStyle name="Normal 362 3 2 4" xfId="37684" xr:uid="{00000000-0005-0000-0000-000075960000}"/>
    <cellStyle name="Normal 362 3 2 5" xfId="37685" xr:uid="{00000000-0005-0000-0000-000076960000}"/>
    <cellStyle name="Normal 362 3 2 6" xfId="37686" xr:uid="{00000000-0005-0000-0000-000077960000}"/>
    <cellStyle name="Normal 362 3 3" xfId="37687" xr:uid="{00000000-0005-0000-0000-000078960000}"/>
    <cellStyle name="Normal 362 3 3 2" xfId="37688" xr:uid="{00000000-0005-0000-0000-000079960000}"/>
    <cellStyle name="Normal 362 3 3 3" xfId="37689" xr:uid="{00000000-0005-0000-0000-00007A960000}"/>
    <cellStyle name="Normal 362 3 4" xfId="37690" xr:uid="{00000000-0005-0000-0000-00007B960000}"/>
    <cellStyle name="Normal 362 3 4 2" xfId="37691" xr:uid="{00000000-0005-0000-0000-00007C960000}"/>
    <cellStyle name="Normal 362 3 4 3" xfId="37692" xr:uid="{00000000-0005-0000-0000-00007D960000}"/>
    <cellStyle name="Normal 362 3 5" xfId="37693" xr:uid="{00000000-0005-0000-0000-00007E960000}"/>
    <cellStyle name="Normal 362 3 6" xfId="37694" xr:uid="{00000000-0005-0000-0000-00007F960000}"/>
    <cellStyle name="Normal 362 3 7" xfId="37695" xr:uid="{00000000-0005-0000-0000-000080960000}"/>
    <cellStyle name="Normal 362 3 8" xfId="37696" xr:uid="{00000000-0005-0000-0000-000081960000}"/>
    <cellStyle name="Normal 362 4" xfId="37697" xr:uid="{00000000-0005-0000-0000-000082960000}"/>
    <cellStyle name="Normal 362 4 2" xfId="37698" xr:uid="{00000000-0005-0000-0000-000083960000}"/>
    <cellStyle name="Normal 362 4 2 2" xfId="37699" xr:uid="{00000000-0005-0000-0000-000084960000}"/>
    <cellStyle name="Normal 362 4 2 3" xfId="37700" xr:uid="{00000000-0005-0000-0000-000085960000}"/>
    <cellStyle name="Normal 362 4 3" xfId="37701" xr:uid="{00000000-0005-0000-0000-000086960000}"/>
    <cellStyle name="Normal 362 4 3 2" xfId="37702" xr:uid="{00000000-0005-0000-0000-000087960000}"/>
    <cellStyle name="Normal 362 4 3 3" xfId="37703" xr:uid="{00000000-0005-0000-0000-000088960000}"/>
    <cellStyle name="Normal 362 4 4" xfId="37704" xr:uid="{00000000-0005-0000-0000-000089960000}"/>
    <cellStyle name="Normal 362 4 5" xfId="37705" xr:uid="{00000000-0005-0000-0000-00008A960000}"/>
    <cellStyle name="Normal 362 4 6" xfId="37706" xr:uid="{00000000-0005-0000-0000-00008B960000}"/>
    <cellStyle name="Normal 362 5" xfId="37707" xr:uid="{00000000-0005-0000-0000-00008C960000}"/>
    <cellStyle name="Normal 362 5 2" xfId="37708" xr:uid="{00000000-0005-0000-0000-00008D960000}"/>
    <cellStyle name="Normal 362 5 3" xfId="37709" xr:uid="{00000000-0005-0000-0000-00008E960000}"/>
    <cellStyle name="Normal 362 6" xfId="37710" xr:uid="{00000000-0005-0000-0000-00008F960000}"/>
    <cellStyle name="Normal 362 6 2" xfId="37711" xr:uid="{00000000-0005-0000-0000-000090960000}"/>
    <cellStyle name="Normal 362 6 3" xfId="37712" xr:uid="{00000000-0005-0000-0000-000091960000}"/>
    <cellStyle name="Normal 362 7" xfId="37713" xr:uid="{00000000-0005-0000-0000-000092960000}"/>
    <cellStyle name="Normal 362 8" xfId="37714" xr:uid="{00000000-0005-0000-0000-000093960000}"/>
    <cellStyle name="Normal 362 9" xfId="37715" xr:uid="{00000000-0005-0000-0000-000094960000}"/>
    <cellStyle name="Normal 363" xfId="3278" xr:uid="{00000000-0005-0000-0000-000095960000}"/>
    <cellStyle name="Normal 363 10" xfId="37716" xr:uid="{00000000-0005-0000-0000-000096960000}"/>
    <cellStyle name="Normal 363 11" xfId="37717" xr:uid="{00000000-0005-0000-0000-000097960000}"/>
    <cellStyle name="Normal 363 2" xfId="37718" xr:uid="{00000000-0005-0000-0000-000098960000}"/>
    <cellStyle name="Normal 363 2 2" xfId="37719" xr:uid="{00000000-0005-0000-0000-000099960000}"/>
    <cellStyle name="Normal 363 2 2 2" xfId="37720" xr:uid="{00000000-0005-0000-0000-00009A960000}"/>
    <cellStyle name="Normal 363 2 2 2 2" xfId="37721" xr:uid="{00000000-0005-0000-0000-00009B960000}"/>
    <cellStyle name="Normal 363 2 2 2 2 2" xfId="37722" xr:uid="{00000000-0005-0000-0000-00009C960000}"/>
    <cellStyle name="Normal 363 2 2 2 2 3" xfId="37723" xr:uid="{00000000-0005-0000-0000-00009D960000}"/>
    <cellStyle name="Normal 363 2 2 2 3" xfId="37724" xr:uid="{00000000-0005-0000-0000-00009E960000}"/>
    <cellStyle name="Normal 363 2 2 2 3 2" xfId="37725" xr:uid="{00000000-0005-0000-0000-00009F960000}"/>
    <cellStyle name="Normal 363 2 2 2 3 3" xfId="37726" xr:uid="{00000000-0005-0000-0000-0000A0960000}"/>
    <cellStyle name="Normal 363 2 2 2 4" xfId="37727" xr:uid="{00000000-0005-0000-0000-0000A1960000}"/>
    <cellStyle name="Normal 363 2 2 2 5" xfId="37728" xr:uid="{00000000-0005-0000-0000-0000A2960000}"/>
    <cellStyle name="Normal 363 2 2 2 6" xfId="37729" xr:uid="{00000000-0005-0000-0000-0000A3960000}"/>
    <cellStyle name="Normal 363 2 2 3" xfId="37730" xr:uid="{00000000-0005-0000-0000-0000A4960000}"/>
    <cellStyle name="Normal 363 2 2 3 2" xfId="37731" xr:uid="{00000000-0005-0000-0000-0000A5960000}"/>
    <cellStyle name="Normal 363 2 2 3 3" xfId="37732" xr:uid="{00000000-0005-0000-0000-0000A6960000}"/>
    <cellStyle name="Normal 363 2 2 4" xfId="37733" xr:uid="{00000000-0005-0000-0000-0000A7960000}"/>
    <cellStyle name="Normal 363 2 2 4 2" xfId="37734" xr:uid="{00000000-0005-0000-0000-0000A8960000}"/>
    <cellStyle name="Normal 363 2 2 4 3" xfId="37735" xr:uid="{00000000-0005-0000-0000-0000A9960000}"/>
    <cellStyle name="Normal 363 2 2 5" xfId="37736" xr:uid="{00000000-0005-0000-0000-0000AA960000}"/>
    <cellStyle name="Normal 363 2 2 6" xfId="37737" xr:uid="{00000000-0005-0000-0000-0000AB960000}"/>
    <cellStyle name="Normal 363 2 2 7" xfId="37738" xr:uid="{00000000-0005-0000-0000-0000AC960000}"/>
    <cellStyle name="Normal 363 2 2 8" xfId="37739" xr:uid="{00000000-0005-0000-0000-0000AD960000}"/>
    <cellStyle name="Normal 363 2 3" xfId="37740" xr:uid="{00000000-0005-0000-0000-0000AE960000}"/>
    <cellStyle name="Normal 363 2 3 2" xfId="37741" xr:uid="{00000000-0005-0000-0000-0000AF960000}"/>
    <cellStyle name="Normal 363 2 3 2 2" xfId="37742" xr:uid="{00000000-0005-0000-0000-0000B0960000}"/>
    <cellStyle name="Normal 363 2 3 2 3" xfId="37743" xr:uid="{00000000-0005-0000-0000-0000B1960000}"/>
    <cellStyle name="Normal 363 2 3 3" xfId="37744" xr:uid="{00000000-0005-0000-0000-0000B2960000}"/>
    <cellStyle name="Normal 363 2 3 3 2" xfId="37745" xr:uid="{00000000-0005-0000-0000-0000B3960000}"/>
    <cellStyle name="Normal 363 2 3 3 3" xfId="37746" xr:uid="{00000000-0005-0000-0000-0000B4960000}"/>
    <cellStyle name="Normal 363 2 3 4" xfId="37747" xr:uid="{00000000-0005-0000-0000-0000B5960000}"/>
    <cellStyle name="Normal 363 2 3 5" xfId="37748" xr:uid="{00000000-0005-0000-0000-0000B6960000}"/>
    <cellStyle name="Normal 363 2 3 6" xfId="37749" xr:uid="{00000000-0005-0000-0000-0000B7960000}"/>
    <cellStyle name="Normal 363 2 4" xfId="37750" xr:uid="{00000000-0005-0000-0000-0000B8960000}"/>
    <cellStyle name="Normal 363 2 4 2" xfId="37751" xr:uid="{00000000-0005-0000-0000-0000B9960000}"/>
    <cellStyle name="Normal 363 2 4 3" xfId="37752" xr:uid="{00000000-0005-0000-0000-0000BA960000}"/>
    <cellStyle name="Normal 363 2 5" xfId="37753" xr:uid="{00000000-0005-0000-0000-0000BB960000}"/>
    <cellStyle name="Normal 363 2 5 2" xfId="37754" xr:uid="{00000000-0005-0000-0000-0000BC960000}"/>
    <cellStyle name="Normal 363 2 5 3" xfId="37755" xr:uid="{00000000-0005-0000-0000-0000BD960000}"/>
    <cellStyle name="Normal 363 2 6" xfId="37756" xr:uid="{00000000-0005-0000-0000-0000BE960000}"/>
    <cellStyle name="Normal 363 2 7" xfId="37757" xr:uid="{00000000-0005-0000-0000-0000BF960000}"/>
    <cellStyle name="Normal 363 2 8" xfId="37758" xr:uid="{00000000-0005-0000-0000-0000C0960000}"/>
    <cellStyle name="Normal 363 2 9" xfId="37759" xr:uid="{00000000-0005-0000-0000-0000C1960000}"/>
    <cellStyle name="Normal 363 3" xfId="37760" xr:uid="{00000000-0005-0000-0000-0000C2960000}"/>
    <cellStyle name="Normal 363 3 2" xfId="37761" xr:uid="{00000000-0005-0000-0000-0000C3960000}"/>
    <cellStyle name="Normal 363 3 2 2" xfId="37762" xr:uid="{00000000-0005-0000-0000-0000C4960000}"/>
    <cellStyle name="Normal 363 3 2 2 2" xfId="37763" xr:uid="{00000000-0005-0000-0000-0000C5960000}"/>
    <cellStyle name="Normal 363 3 2 2 3" xfId="37764" xr:uid="{00000000-0005-0000-0000-0000C6960000}"/>
    <cellStyle name="Normal 363 3 2 3" xfId="37765" xr:uid="{00000000-0005-0000-0000-0000C7960000}"/>
    <cellStyle name="Normal 363 3 2 3 2" xfId="37766" xr:uid="{00000000-0005-0000-0000-0000C8960000}"/>
    <cellStyle name="Normal 363 3 2 3 3" xfId="37767" xr:uid="{00000000-0005-0000-0000-0000C9960000}"/>
    <cellStyle name="Normal 363 3 2 4" xfId="37768" xr:uid="{00000000-0005-0000-0000-0000CA960000}"/>
    <cellStyle name="Normal 363 3 2 5" xfId="37769" xr:uid="{00000000-0005-0000-0000-0000CB960000}"/>
    <cellStyle name="Normal 363 3 2 6" xfId="37770" xr:uid="{00000000-0005-0000-0000-0000CC960000}"/>
    <cellStyle name="Normal 363 3 3" xfId="37771" xr:uid="{00000000-0005-0000-0000-0000CD960000}"/>
    <cellStyle name="Normal 363 3 3 2" xfId="37772" xr:uid="{00000000-0005-0000-0000-0000CE960000}"/>
    <cellStyle name="Normal 363 3 3 3" xfId="37773" xr:uid="{00000000-0005-0000-0000-0000CF960000}"/>
    <cellStyle name="Normal 363 3 4" xfId="37774" xr:uid="{00000000-0005-0000-0000-0000D0960000}"/>
    <cellStyle name="Normal 363 3 4 2" xfId="37775" xr:uid="{00000000-0005-0000-0000-0000D1960000}"/>
    <cellStyle name="Normal 363 3 4 3" xfId="37776" xr:uid="{00000000-0005-0000-0000-0000D2960000}"/>
    <cellStyle name="Normal 363 3 5" xfId="37777" xr:uid="{00000000-0005-0000-0000-0000D3960000}"/>
    <cellStyle name="Normal 363 3 6" xfId="37778" xr:uid="{00000000-0005-0000-0000-0000D4960000}"/>
    <cellStyle name="Normal 363 3 7" xfId="37779" xr:uid="{00000000-0005-0000-0000-0000D5960000}"/>
    <cellStyle name="Normal 363 3 8" xfId="37780" xr:uid="{00000000-0005-0000-0000-0000D6960000}"/>
    <cellStyle name="Normal 363 4" xfId="37781" xr:uid="{00000000-0005-0000-0000-0000D7960000}"/>
    <cellStyle name="Normal 363 4 2" xfId="37782" xr:uid="{00000000-0005-0000-0000-0000D8960000}"/>
    <cellStyle name="Normal 363 4 2 2" xfId="37783" xr:uid="{00000000-0005-0000-0000-0000D9960000}"/>
    <cellStyle name="Normal 363 4 2 3" xfId="37784" xr:uid="{00000000-0005-0000-0000-0000DA960000}"/>
    <cellStyle name="Normal 363 4 3" xfId="37785" xr:uid="{00000000-0005-0000-0000-0000DB960000}"/>
    <cellStyle name="Normal 363 4 3 2" xfId="37786" xr:uid="{00000000-0005-0000-0000-0000DC960000}"/>
    <cellStyle name="Normal 363 4 3 3" xfId="37787" xr:uid="{00000000-0005-0000-0000-0000DD960000}"/>
    <cellStyle name="Normal 363 4 4" xfId="37788" xr:uid="{00000000-0005-0000-0000-0000DE960000}"/>
    <cellStyle name="Normal 363 4 5" xfId="37789" xr:uid="{00000000-0005-0000-0000-0000DF960000}"/>
    <cellStyle name="Normal 363 4 6" xfId="37790" xr:uid="{00000000-0005-0000-0000-0000E0960000}"/>
    <cellStyle name="Normal 363 5" xfId="37791" xr:uid="{00000000-0005-0000-0000-0000E1960000}"/>
    <cellStyle name="Normal 363 5 2" xfId="37792" xr:uid="{00000000-0005-0000-0000-0000E2960000}"/>
    <cellStyle name="Normal 363 5 3" xfId="37793" xr:uid="{00000000-0005-0000-0000-0000E3960000}"/>
    <cellStyle name="Normal 363 6" xfId="37794" xr:uid="{00000000-0005-0000-0000-0000E4960000}"/>
    <cellStyle name="Normal 363 6 2" xfId="37795" xr:uid="{00000000-0005-0000-0000-0000E5960000}"/>
    <cellStyle name="Normal 363 6 3" xfId="37796" xr:uid="{00000000-0005-0000-0000-0000E6960000}"/>
    <cellStyle name="Normal 363 7" xfId="37797" xr:uid="{00000000-0005-0000-0000-0000E7960000}"/>
    <cellStyle name="Normal 363 8" xfId="37798" xr:uid="{00000000-0005-0000-0000-0000E8960000}"/>
    <cellStyle name="Normal 363 9" xfId="37799" xr:uid="{00000000-0005-0000-0000-0000E9960000}"/>
    <cellStyle name="Normal 364" xfId="3279" xr:uid="{00000000-0005-0000-0000-0000EA960000}"/>
    <cellStyle name="Normal 364 10" xfId="37800" xr:uid="{00000000-0005-0000-0000-0000EB960000}"/>
    <cellStyle name="Normal 364 11" xfId="37801" xr:uid="{00000000-0005-0000-0000-0000EC960000}"/>
    <cellStyle name="Normal 364 2" xfId="37802" xr:uid="{00000000-0005-0000-0000-0000ED960000}"/>
    <cellStyle name="Normal 364 2 2" xfId="37803" xr:uid="{00000000-0005-0000-0000-0000EE960000}"/>
    <cellStyle name="Normal 364 2 2 2" xfId="37804" xr:uid="{00000000-0005-0000-0000-0000EF960000}"/>
    <cellStyle name="Normal 364 2 2 2 2" xfId="37805" xr:uid="{00000000-0005-0000-0000-0000F0960000}"/>
    <cellStyle name="Normal 364 2 2 2 2 2" xfId="37806" xr:uid="{00000000-0005-0000-0000-0000F1960000}"/>
    <cellStyle name="Normal 364 2 2 2 2 3" xfId="37807" xr:uid="{00000000-0005-0000-0000-0000F2960000}"/>
    <cellStyle name="Normal 364 2 2 2 3" xfId="37808" xr:uid="{00000000-0005-0000-0000-0000F3960000}"/>
    <cellStyle name="Normal 364 2 2 2 3 2" xfId="37809" xr:uid="{00000000-0005-0000-0000-0000F4960000}"/>
    <cellStyle name="Normal 364 2 2 2 3 3" xfId="37810" xr:uid="{00000000-0005-0000-0000-0000F5960000}"/>
    <cellStyle name="Normal 364 2 2 2 4" xfId="37811" xr:uid="{00000000-0005-0000-0000-0000F6960000}"/>
    <cellStyle name="Normal 364 2 2 2 5" xfId="37812" xr:uid="{00000000-0005-0000-0000-0000F7960000}"/>
    <cellStyle name="Normal 364 2 2 2 6" xfId="37813" xr:uid="{00000000-0005-0000-0000-0000F8960000}"/>
    <cellStyle name="Normal 364 2 2 3" xfId="37814" xr:uid="{00000000-0005-0000-0000-0000F9960000}"/>
    <cellStyle name="Normal 364 2 2 3 2" xfId="37815" xr:uid="{00000000-0005-0000-0000-0000FA960000}"/>
    <cellStyle name="Normal 364 2 2 3 3" xfId="37816" xr:uid="{00000000-0005-0000-0000-0000FB960000}"/>
    <cellStyle name="Normal 364 2 2 4" xfId="37817" xr:uid="{00000000-0005-0000-0000-0000FC960000}"/>
    <cellStyle name="Normal 364 2 2 4 2" xfId="37818" xr:uid="{00000000-0005-0000-0000-0000FD960000}"/>
    <cellStyle name="Normal 364 2 2 4 3" xfId="37819" xr:uid="{00000000-0005-0000-0000-0000FE960000}"/>
    <cellStyle name="Normal 364 2 2 5" xfId="37820" xr:uid="{00000000-0005-0000-0000-0000FF960000}"/>
    <cellStyle name="Normal 364 2 2 6" xfId="37821" xr:uid="{00000000-0005-0000-0000-000000970000}"/>
    <cellStyle name="Normal 364 2 2 7" xfId="37822" xr:uid="{00000000-0005-0000-0000-000001970000}"/>
    <cellStyle name="Normal 364 2 2 8" xfId="37823" xr:uid="{00000000-0005-0000-0000-000002970000}"/>
    <cellStyle name="Normal 364 2 3" xfId="37824" xr:uid="{00000000-0005-0000-0000-000003970000}"/>
    <cellStyle name="Normal 364 2 3 2" xfId="37825" xr:uid="{00000000-0005-0000-0000-000004970000}"/>
    <cellStyle name="Normal 364 2 3 2 2" xfId="37826" xr:uid="{00000000-0005-0000-0000-000005970000}"/>
    <cellStyle name="Normal 364 2 3 2 3" xfId="37827" xr:uid="{00000000-0005-0000-0000-000006970000}"/>
    <cellStyle name="Normal 364 2 3 3" xfId="37828" xr:uid="{00000000-0005-0000-0000-000007970000}"/>
    <cellStyle name="Normal 364 2 3 3 2" xfId="37829" xr:uid="{00000000-0005-0000-0000-000008970000}"/>
    <cellStyle name="Normal 364 2 3 3 3" xfId="37830" xr:uid="{00000000-0005-0000-0000-000009970000}"/>
    <cellStyle name="Normal 364 2 3 4" xfId="37831" xr:uid="{00000000-0005-0000-0000-00000A970000}"/>
    <cellStyle name="Normal 364 2 3 5" xfId="37832" xr:uid="{00000000-0005-0000-0000-00000B970000}"/>
    <cellStyle name="Normal 364 2 3 6" xfId="37833" xr:uid="{00000000-0005-0000-0000-00000C970000}"/>
    <cellStyle name="Normal 364 2 4" xfId="37834" xr:uid="{00000000-0005-0000-0000-00000D970000}"/>
    <cellStyle name="Normal 364 2 4 2" xfId="37835" xr:uid="{00000000-0005-0000-0000-00000E970000}"/>
    <cellStyle name="Normal 364 2 4 3" xfId="37836" xr:uid="{00000000-0005-0000-0000-00000F970000}"/>
    <cellStyle name="Normal 364 2 5" xfId="37837" xr:uid="{00000000-0005-0000-0000-000010970000}"/>
    <cellStyle name="Normal 364 2 5 2" xfId="37838" xr:uid="{00000000-0005-0000-0000-000011970000}"/>
    <cellStyle name="Normal 364 2 5 3" xfId="37839" xr:uid="{00000000-0005-0000-0000-000012970000}"/>
    <cellStyle name="Normal 364 2 6" xfId="37840" xr:uid="{00000000-0005-0000-0000-000013970000}"/>
    <cellStyle name="Normal 364 2 7" xfId="37841" xr:uid="{00000000-0005-0000-0000-000014970000}"/>
    <cellStyle name="Normal 364 2 8" xfId="37842" xr:uid="{00000000-0005-0000-0000-000015970000}"/>
    <cellStyle name="Normal 364 2 9" xfId="37843" xr:uid="{00000000-0005-0000-0000-000016970000}"/>
    <cellStyle name="Normal 364 3" xfId="37844" xr:uid="{00000000-0005-0000-0000-000017970000}"/>
    <cellStyle name="Normal 364 3 2" xfId="37845" xr:uid="{00000000-0005-0000-0000-000018970000}"/>
    <cellStyle name="Normal 364 3 2 2" xfId="37846" xr:uid="{00000000-0005-0000-0000-000019970000}"/>
    <cellStyle name="Normal 364 3 2 2 2" xfId="37847" xr:uid="{00000000-0005-0000-0000-00001A970000}"/>
    <cellStyle name="Normal 364 3 2 2 3" xfId="37848" xr:uid="{00000000-0005-0000-0000-00001B970000}"/>
    <cellStyle name="Normal 364 3 2 3" xfId="37849" xr:uid="{00000000-0005-0000-0000-00001C970000}"/>
    <cellStyle name="Normal 364 3 2 3 2" xfId="37850" xr:uid="{00000000-0005-0000-0000-00001D970000}"/>
    <cellStyle name="Normal 364 3 2 3 3" xfId="37851" xr:uid="{00000000-0005-0000-0000-00001E970000}"/>
    <cellStyle name="Normal 364 3 2 4" xfId="37852" xr:uid="{00000000-0005-0000-0000-00001F970000}"/>
    <cellStyle name="Normal 364 3 2 5" xfId="37853" xr:uid="{00000000-0005-0000-0000-000020970000}"/>
    <cellStyle name="Normal 364 3 2 6" xfId="37854" xr:uid="{00000000-0005-0000-0000-000021970000}"/>
    <cellStyle name="Normal 364 3 3" xfId="37855" xr:uid="{00000000-0005-0000-0000-000022970000}"/>
    <cellStyle name="Normal 364 3 3 2" xfId="37856" xr:uid="{00000000-0005-0000-0000-000023970000}"/>
    <cellStyle name="Normal 364 3 3 3" xfId="37857" xr:uid="{00000000-0005-0000-0000-000024970000}"/>
    <cellStyle name="Normal 364 3 4" xfId="37858" xr:uid="{00000000-0005-0000-0000-000025970000}"/>
    <cellStyle name="Normal 364 3 4 2" xfId="37859" xr:uid="{00000000-0005-0000-0000-000026970000}"/>
    <cellStyle name="Normal 364 3 4 3" xfId="37860" xr:uid="{00000000-0005-0000-0000-000027970000}"/>
    <cellStyle name="Normal 364 3 5" xfId="37861" xr:uid="{00000000-0005-0000-0000-000028970000}"/>
    <cellStyle name="Normal 364 3 6" xfId="37862" xr:uid="{00000000-0005-0000-0000-000029970000}"/>
    <cellStyle name="Normal 364 3 7" xfId="37863" xr:uid="{00000000-0005-0000-0000-00002A970000}"/>
    <cellStyle name="Normal 364 3 8" xfId="37864" xr:uid="{00000000-0005-0000-0000-00002B970000}"/>
    <cellStyle name="Normal 364 4" xfId="37865" xr:uid="{00000000-0005-0000-0000-00002C970000}"/>
    <cellStyle name="Normal 364 4 2" xfId="37866" xr:uid="{00000000-0005-0000-0000-00002D970000}"/>
    <cellStyle name="Normal 364 4 2 2" xfId="37867" xr:uid="{00000000-0005-0000-0000-00002E970000}"/>
    <cellStyle name="Normal 364 4 2 3" xfId="37868" xr:uid="{00000000-0005-0000-0000-00002F970000}"/>
    <cellStyle name="Normal 364 4 3" xfId="37869" xr:uid="{00000000-0005-0000-0000-000030970000}"/>
    <cellStyle name="Normal 364 4 3 2" xfId="37870" xr:uid="{00000000-0005-0000-0000-000031970000}"/>
    <cellStyle name="Normal 364 4 3 3" xfId="37871" xr:uid="{00000000-0005-0000-0000-000032970000}"/>
    <cellStyle name="Normal 364 4 4" xfId="37872" xr:uid="{00000000-0005-0000-0000-000033970000}"/>
    <cellStyle name="Normal 364 4 5" xfId="37873" xr:uid="{00000000-0005-0000-0000-000034970000}"/>
    <cellStyle name="Normal 364 4 6" xfId="37874" xr:uid="{00000000-0005-0000-0000-000035970000}"/>
    <cellStyle name="Normal 364 5" xfId="37875" xr:uid="{00000000-0005-0000-0000-000036970000}"/>
    <cellStyle name="Normal 364 5 2" xfId="37876" xr:uid="{00000000-0005-0000-0000-000037970000}"/>
    <cellStyle name="Normal 364 5 3" xfId="37877" xr:uid="{00000000-0005-0000-0000-000038970000}"/>
    <cellStyle name="Normal 364 6" xfId="37878" xr:uid="{00000000-0005-0000-0000-000039970000}"/>
    <cellStyle name="Normal 364 6 2" xfId="37879" xr:uid="{00000000-0005-0000-0000-00003A970000}"/>
    <cellStyle name="Normal 364 6 3" xfId="37880" xr:uid="{00000000-0005-0000-0000-00003B970000}"/>
    <cellStyle name="Normal 364 7" xfId="37881" xr:uid="{00000000-0005-0000-0000-00003C970000}"/>
    <cellStyle name="Normal 364 8" xfId="37882" xr:uid="{00000000-0005-0000-0000-00003D970000}"/>
    <cellStyle name="Normal 364 9" xfId="37883" xr:uid="{00000000-0005-0000-0000-00003E970000}"/>
    <cellStyle name="Normal 365" xfId="3280" xr:uid="{00000000-0005-0000-0000-00003F970000}"/>
    <cellStyle name="Normal 365 10" xfId="37884" xr:uid="{00000000-0005-0000-0000-000040970000}"/>
    <cellStyle name="Normal 365 11" xfId="37885" xr:uid="{00000000-0005-0000-0000-000041970000}"/>
    <cellStyle name="Normal 365 2" xfId="3281" xr:uid="{00000000-0005-0000-0000-000042970000}"/>
    <cellStyle name="Normal 365 2 10" xfId="37886" xr:uid="{00000000-0005-0000-0000-000043970000}"/>
    <cellStyle name="Normal 365 2 2" xfId="37887" xr:uid="{00000000-0005-0000-0000-000044970000}"/>
    <cellStyle name="Normal 365 2 2 2" xfId="37888" xr:uid="{00000000-0005-0000-0000-000045970000}"/>
    <cellStyle name="Normal 365 2 2 2 2" xfId="37889" xr:uid="{00000000-0005-0000-0000-000046970000}"/>
    <cellStyle name="Normal 365 2 2 2 2 2" xfId="37890" xr:uid="{00000000-0005-0000-0000-000047970000}"/>
    <cellStyle name="Normal 365 2 2 2 2 3" xfId="37891" xr:uid="{00000000-0005-0000-0000-000048970000}"/>
    <cellStyle name="Normal 365 2 2 2 3" xfId="37892" xr:uid="{00000000-0005-0000-0000-000049970000}"/>
    <cellStyle name="Normal 365 2 2 2 3 2" xfId="37893" xr:uid="{00000000-0005-0000-0000-00004A970000}"/>
    <cellStyle name="Normal 365 2 2 2 3 3" xfId="37894" xr:uid="{00000000-0005-0000-0000-00004B970000}"/>
    <cellStyle name="Normal 365 2 2 2 4" xfId="37895" xr:uid="{00000000-0005-0000-0000-00004C970000}"/>
    <cellStyle name="Normal 365 2 2 2 5" xfId="37896" xr:uid="{00000000-0005-0000-0000-00004D970000}"/>
    <cellStyle name="Normal 365 2 2 2 6" xfId="37897" xr:uid="{00000000-0005-0000-0000-00004E970000}"/>
    <cellStyle name="Normal 365 2 2 3" xfId="37898" xr:uid="{00000000-0005-0000-0000-00004F970000}"/>
    <cellStyle name="Normal 365 2 2 3 2" xfId="37899" xr:uid="{00000000-0005-0000-0000-000050970000}"/>
    <cellStyle name="Normal 365 2 2 3 3" xfId="37900" xr:uid="{00000000-0005-0000-0000-000051970000}"/>
    <cellStyle name="Normal 365 2 2 4" xfId="37901" xr:uid="{00000000-0005-0000-0000-000052970000}"/>
    <cellStyle name="Normal 365 2 2 4 2" xfId="37902" xr:uid="{00000000-0005-0000-0000-000053970000}"/>
    <cellStyle name="Normal 365 2 2 4 3" xfId="37903" xr:uid="{00000000-0005-0000-0000-000054970000}"/>
    <cellStyle name="Normal 365 2 2 5" xfId="37904" xr:uid="{00000000-0005-0000-0000-000055970000}"/>
    <cellStyle name="Normal 365 2 2 6" xfId="37905" xr:uid="{00000000-0005-0000-0000-000056970000}"/>
    <cellStyle name="Normal 365 2 2 7" xfId="37906" xr:uid="{00000000-0005-0000-0000-000057970000}"/>
    <cellStyle name="Normal 365 2 2 8" xfId="37907" xr:uid="{00000000-0005-0000-0000-000058970000}"/>
    <cellStyle name="Normal 365 2 3" xfId="37908" xr:uid="{00000000-0005-0000-0000-000059970000}"/>
    <cellStyle name="Normal 365 2 3 2" xfId="37909" xr:uid="{00000000-0005-0000-0000-00005A970000}"/>
    <cellStyle name="Normal 365 2 3 2 2" xfId="37910" xr:uid="{00000000-0005-0000-0000-00005B970000}"/>
    <cellStyle name="Normal 365 2 3 2 3" xfId="37911" xr:uid="{00000000-0005-0000-0000-00005C970000}"/>
    <cellStyle name="Normal 365 2 3 3" xfId="37912" xr:uid="{00000000-0005-0000-0000-00005D970000}"/>
    <cellStyle name="Normal 365 2 3 3 2" xfId="37913" xr:uid="{00000000-0005-0000-0000-00005E970000}"/>
    <cellStyle name="Normal 365 2 3 3 3" xfId="37914" xr:uid="{00000000-0005-0000-0000-00005F970000}"/>
    <cellStyle name="Normal 365 2 3 4" xfId="37915" xr:uid="{00000000-0005-0000-0000-000060970000}"/>
    <cellStyle name="Normal 365 2 3 5" xfId="37916" xr:uid="{00000000-0005-0000-0000-000061970000}"/>
    <cellStyle name="Normal 365 2 3 6" xfId="37917" xr:uid="{00000000-0005-0000-0000-000062970000}"/>
    <cellStyle name="Normal 365 2 4" xfId="37918" xr:uid="{00000000-0005-0000-0000-000063970000}"/>
    <cellStyle name="Normal 365 2 4 2" xfId="37919" xr:uid="{00000000-0005-0000-0000-000064970000}"/>
    <cellStyle name="Normal 365 2 4 3" xfId="37920" xr:uid="{00000000-0005-0000-0000-000065970000}"/>
    <cellStyle name="Normal 365 2 5" xfId="37921" xr:uid="{00000000-0005-0000-0000-000066970000}"/>
    <cellStyle name="Normal 365 2 5 2" xfId="37922" xr:uid="{00000000-0005-0000-0000-000067970000}"/>
    <cellStyle name="Normal 365 2 5 3" xfId="37923" xr:uid="{00000000-0005-0000-0000-000068970000}"/>
    <cellStyle name="Normal 365 2 6" xfId="37924" xr:uid="{00000000-0005-0000-0000-000069970000}"/>
    <cellStyle name="Normal 365 2 7" xfId="37925" xr:uid="{00000000-0005-0000-0000-00006A970000}"/>
    <cellStyle name="Normal 365 2 8" xfId="37926" xr:uid="{00000000-0005-0000-0000-00006B970000}"/>
    <cellStyle name="Normal 365 2 9" xfId="37927" xr:uid="{00000000-0005-0000-0000-00006C970000}"/>
    <cellStyle name="Normal 365 3" xfId="37928" xr:uid="{00000000-0005-0000-0000-00006D970000}"/>
    <cellStyle name="Normal 365 3 2" xfId="37929" xr:uid="{00000000-0005-0000-0000-00006E970000}"/>
    <cellStyle name="Normal 365 3 2 2" xfId="37930" xr:uid="{00000000-0005-0000-0000-00006F970000}"/>
    <cellStyle name="Normal 365 3 2 2 2" xfId="37931" xr:uid="{00000000-0005-0000-0000-000070970000}"/>
    <cellStyle name="Normal 365 3 2 2 3" xfId="37932" xr:uid="{00000000-0005-0000-0000-000071970000}"/>
    <cellStyle name="Normal 365 3 2 3" xfId="37933" xr:uid="{00000000-0005-0000-0000-000072970000}"/>
    <cellStyle name="Normal 365 3 2 3 2" xfId="37934" xr:uid="{00000000-0005-0000-0000-000073970000}"/>
    <cellStyle name="Normal 365 3 2 3 3" xfId="37935" xr:uid="{00000000-0005-0000-0000-000074970000}"/>
    <cellStyle name="Normal 365 3 2 4" xfId="37936" xr:uid="{00000000-0005-0000-0000-000075970000}"/>
    <cellStyle name="Normal 365 3 2 5" xfId="37937" xr:uid="{00000000-0005-0000-0000-000076970000}"/>
    <cellStyle name="Normal 365 3 2 6" xfId="37938" xr:uid="{00000000-0005-0000-0000-000077970000}"/>
    <cellStyle name="Normal 365 3 3" xfId="37939" xr:uid="{00000000-0005-0000-0000-000078970000}"/>
    <cellStyle name="Normal 365 3 3 2" xfId="37940" xr:uid="{00000000-0005-0000-0000-000079970000}"/>
    <cellStyle name="Normal 365 3 3 3" xfId="37941" xr:uid="{00000000-0005-0000-0000-00007A970000}"/>
    <cellStyle name="Normal 365 3 4" xfId="37942" xr:uid="{00000000-0005-0000-0000-00007B970000}"/>
    <cellStyle name="Normal 365 3 4 2" xfId="37943" xr:uid="{00000000-0005-0000-0000-00007C970000}"/>
    <cellStyle name="Normal 365 3 4 3" xfId="37944" xr:uid="{00000000-0005-0000-0000-00007D970000}"/>
    <cellStyle name="Normal 365 3 5" xfId="37945" xr:uid="{00000000-0005-0000-0000-00007E970000}"/>
    <cellStyle name="Normal 365 3 6" xfId="37946" xr:uid="{00000000-0005-0000-0000-00007F970000}"/>
    <cellStyle name="Normal 365 3 7" xfId="37947" xr:uid="{00000000-0005-0000-0000-000080970000}"/>
    <cellStyle name="Normal 365 3 8" xfId="37948" xr:uid="{00000000-0005-0000-0000-000081970000}"/>
    <cellStyle name="Normal 365 4" xfId="37949" xr:uid="{00000000-0005-0000-0000-000082970000}"/>
    <cellStyle name="Normal 365 4 2" xfId="37950" xr:uid="{00000000-0005-0000-0000-000083970000}"/>
    <cellStyle name="Normal 365 4 2 2" xfId="37951" xr:uid="{00000000-0005-0000-0000-000084970000}"/>
    <cellStyle name="Normal 365 4 2 3" xfId="37952" xr:uid="{00000000-0005-0000-0000-000085970000}"/>
    <cellStyle name="Normal 365 4 3" xfId="37953" xr:uid="{00000000-0005-0000-0000-000086970000}"/>
    <cellStyle name="Normal 365 4 3 2" xfId="37954" xr:uid="{00000000-0005-0000-0000-000087970000}"/>
    <cellStyle name="Normal 365 4 3 3" xfId="37955" xr:uid="{00000000-0005-0000-0000-000088970000}"/>
    <cellStyle name="Normal 365 4 4" xfId="37956" xr:uid="{00000000-0005-0000-0000-000089970000}"/>
    <cellStyle name="Normal 365 4 5" xfId="37957" xr:uid="{00000000-0005-0000-0000-00008A970000}"/>
    <cellStyle name="Normal 365 4 6" xfId="37958" xr:uid="{00000000-0005-0000-0000-00008B970000}"/>
    <cellStyle name="Normal 365 5" xfId="37959" xr:uid="{00000000-0005-0000-0000-00008C970000}"/>
    <cellStyle name="Normal 365 5 2" xfId="37960" xr:uid="{00000000-0005-0000-0000-00008D970000}"/>
    <cellStyle name="Normal 365 5 3" xfId="37961" xr:uid="{00000000-0005-0000-0000-00008E970000}"/>
    <cellStyle name="Normal 365 6" xfId="37962" xr:uid="{00000000-0005-0000-0000-00008F970000}"/>
    <cellStyle name="Normal 365 6 2" xfId="37963" xr:uid="{00000000-0005-0000-0000-000090970000}"/>
    <cellStyle name="Normal 365 6 3" xfId="37964" xr:uid="{00000000-0005-0000-0000-000091970000}"/>
    <cellStyle name="Normal 365 7" xfId="37965" xr:uid="{00000000-0005-0000-0000-000092970000}"/>
    <cellStyle name="Normal 365 8" xfId="37966" xr:uid="{00000000-0005-0000-0000-000093970000}"/>
    <cellStyle name="Normal 365 9" xfId="37967" xr:uid="{00000000-0005-0000-0000-000094970000}"/>
    <cellStyle name="Normal 366" xfId="3282" xr:uid="{00000000-0005-0000-0000-000095970000}"/>
    <cellStyle name="Normal 366 10" xfId="37968" xr:uid="{00000000-0005-0000-0000-000096970000}"/>
    <cellStyle name="Normal 366 11" xfId="37969" xr:uid="{00000000-0005-0000-0000-000097970000}"/>
    <cellStyle name="Normal 366 2" xfId="37970" xr:uid="{00000000-0005-0000-0000-000098970000}"/>
    <cellStyle name="Normal 366 2 2" xfId="37971" xr:uid="{00000000-0005-0000-0000-000099970000}"/>
    <cellStyle name="Normal 366 2 2 2" xfId="37972" xr:uid="{00000000-0005-0000-0000-00009A970000}"/>
    <cellStyle name="Normal 366 2 2 2 2" xfId="37973" xr:uid="{00000000-0005-0000-0000-00009B970000}"/>
    <cellStyle name="Normal 366 2 2 2 2 2" xfId="37974" xr:uid="{00000000-0005-0000-0000-00009C970000}"/>
    <cellStyle name="Normal 366 2 2 2 2 3" xfId="37975" xr:uid="{00000000-0005-0000-0000-00009D970000}"/>
    <cellStyle name="Normal 366 2 2 2 3" xfId="37976" xr:uid="{00000000-0005-0000-0000-00009E970000}"/>
    <cellStyle name="Normal 366 2 2 2 3 2" xfId="37977" xr:uid="{00000000-0005-0000-0000-00009F970000}"/>
    <cellStyle name="Normal 366 2 2 2 3 3" xfId="37978" xr:uid="{00000000-0005-0000-0000-0000A0970000}"/>
    <cellStyle name="Normal 366 2 2 2 4" xfId="37979" xr:uid="{00000000-0005-0000-0000-0000A1970000}"/>
    <cellStyle name="Normal 366 2 2 2 5" xfId="37980" xr:uid="{00000000-0005-0000-0000-0000A2970000}"/>
    <cellStyle name="Normal 366 2 2 2 6" xfId="37981" xr:uid="{00000000-0005-0000-0000-0000A3970000}"/>
    <cellStyle name="Normal 366 2 2 3" xfId="37982" xr:uid="{00000000-0005-0000-0000-0000A4970000}"/>
    <cellStyle name="Normal 366 2 2 3 2" xfId="37983" xr:uid="{00000000-0005-0000-0000-0000A5970000}"/>
    <cellStyle name="Normal 366 2 2 3 3" xfId="37984" xr:uid="{00000000-0005-0000-0000-0000A6970000}"/>
    <cellStyle name="Normal 366 2 2 4" xfId="37985" xr:uid="{00000000-0005-0000-0000-0000A7970000}"/>
    <cellStyle name="Normal 366 2 2 4 2" xfId="37986" xr:uid="{00000000-0005-0000-0000-0000A8970000}"/>
    <cellStyle name="Normal 366 2 2 4 3" xfId="37987" xr:uid="{00000000-0005-0000-0000-0000A9970000}"/>
    <cellStyle name="Normal 366 2 2 5" xfId="37988" xr:uid="{00000000-0005-0000-0000-0000AA970000}"/>
    <cellStyle name="Normal 366 2 2 6" xfId="37989" xr:uid="{00000000-0005-0000-0000-0000AB970000}"/>
    <cellStyle name="Normal 366 2 2 7" xfId="37990" xr:uid="{00000000-0005-0000-0000-0000AC970000}"/>
    <cellStyle name="Normal 366 2 2 8" xfId="37991" xr:uid="{00000000-0005-0000-0000-0000AD970000}"/>
    <cellStyle name="Normal 366 2 3" xfId="37992" xr:uid="{00000000-0005-0000-0000-0000AE970000}"/>
    <cellStyle name="Normal 366 2 3 2" xfId="37993" xr:uid="{00000000-0005-0000-0000-0000AF970000}"/>
    <cellStyle name="Normal 366 2 3 2 2" xfId="37994" xr:uid="{00000000-0005-0000-0000-0000B0970000}"/>
    <cellStyle name="Normal 366 2 3 2 3" xfId="37995" xr:uid="{00000000-0005-0000-0000-0000B1970000}"/>
    <cellStyle name="Normal 366 2 3 3" xfId="37996" xr:uid="{00000000-0005-0000-0000-0000B2970000}"/>
    <cellStyle name="Normal 366 2 3 3 2" xfId="37997" xr:uid="{00000000-0005-0000-0000-0000B3970000}"/>
    <cellStyle name="Normal 366 2 3 3 3" xfId="37998" xr:uid="{00000000-0005-0000-0000-0000B4970000}"/>
    <cellStyle name="Normal 366 2 3 4" xfId="37999" xr:uid="{00000000-0005-0000-0000-0000B5970000}"/>
    <cellStyle name="Normal 366 2 3 5" xfId="38000" xr:uid="{00000000-0005-0000-0000-0000B6970000}"/>
    <cellStyle name="Normal 366 2 3 6" xfId="38001" xr:uid="{00000000-0005-0000-0000-0000B7970000}"/>
    <cellStyle name="Normal 366 2 4" xfId="38002" xr:uid="{00000000-0005-0000-0000-0000B8970000}"/>
    <cellStyle name="Normal 366 2 4 2" xfId="38003" xr:uid="{00000000-0005-0000-0000-0000B9970000}"/>
    <cellStyle name="Normal 366 2 4 3" xfId="38004" xr:uid="{00000000-0005-0000-0000-0000BA970000}"/>
    <cellStyle name="Normal 366 2 5" xfId="38005" xr:uid="{00000000-0005-0000-0000-0000BB970000}"/>
    <cellStyle name="Normal 366 2 5 2" xfId="38006" xr:uid="{00000000-0005-0000-0000-0000BC970000}"/>
    <cellStyle name="Normal 366 2 5 3" xfId="38007" xr:uid="{00000000-0005-0000-0000-0000BD970000}"/>
    <cellStyle name="Normal 366 2 6" xfId="38008" xr:uid="{00000000-0005-0000-0000-0000BE970000}"/>
    <cellStyle name="Normal 366 2 7" xfId="38009" xr:uid="{00000000-0005-0000-0000-0000BF970000}"/>
    <cellStyle name="Normal 366 2 8" xfId="38010" xr:uid="{00000000-0005-0000-0000-0000C0970000}"/>
    <cellStyle name="Normal 366 2 9" xfId="38011" xr:uid="{00000000-0005-0000-0000-0000C1970000}"/>
    <cellStyle name="Normal 366 3" xfId="38012" xr:uid="{00000000-0005-0000-0000-0000C2970000}"/>
    <cellStyle name="Normal 366 3 2" xfId="38013" xr:uid="{00000000-0005-0000-0000-0000C3970000}"/>
    <cellStyle name="Normal 366 3 2 2" xfId="38014" xr:uid="{00000000-0005-0000-0000-0000C4970000}"/>
    <cellStyle name="Normal 366 3 2 2 2" xfId="38015" xr:uid="{00000000-0005-0000-0000-0000C5970000}"/>
    <cellStyle name="Normal 366 3 2 2 3" xfId="38016" xr:uid="{00000000-0005-0000-0000-0000C6970000}"/>
    <cellStyle name="Normal 366 3 2 3" xfId="38017" xr:uid="{00000000-0005-0000-0000-0000C7970000}"/>
    <cellStyle name="Normal 366 3 2 3 2" xfId="38018" xr:uid="{00000000-0005-0000-0000-0000C8970000}"/>
    <cellStyle name="Normal 366 3 2 3 3" xfId="38019" xr:uid="{00000000-0005-0000-0000-0000C9970000}"/>
    <cellStyle name="Normal 366 3 2 4" xfId="38020" xr:uid="{00000000-0005-0000-0000-0000CA970000}"/>
    <cellStyle name="Normal 366 3 2 5" xfId="38021" xr:uid="{00000000-0005-0000-0000-0000CB970000}"/>
    <cellStyle name="Normal 366 3 2 6" xfId="38022" xr:uid="{00000000-0005-0000-0000-0000CC970000}"/>
    <cellStyle name="Normal 366 3 3" xfId="38023" xr:uid="{00000000-0005-0000-0000-0000CD970000}"/>
    <cellStyle name="Normal 366 3 3 2" xfId="38024" xr:uid="{00000000-0005-0000-0000-0000CE970000}"/>
    <cellStyle name="Normal 366 3 3 3" xfId="38025" xr:uid="{00000000-0005-0000-0000-0000CF970000}"/>
    <cellStyle name="Normal 366 3 4" xfId="38026" xr:uid="{00000000-0005-0000-0000-0000D0970000}"/>
    <cellStyle name="Normal 366 3 4 2" xfId="38027" xr:uid="{00000000-0005-0000-0000-0000D1970000}"/>
    <cellStyle name="Normal 366 3 4 3" xfId="38028" xr:uid="{00000000-0005-0000-0000-0000D2970000}"/>
    <cellStyle name="Normal 366 3 5" xfId="38029" xr:uid="{00000000-0005-0000-0000-0000D3970000}"/>
    <cellStyle name="Normal 366 3 6" xfId="38030" xr:uid="{00000000-0005-0000-0000-0000D4970000}"/>
    <cellStyle name="Normal 366 3 7" xfId="38031" xr:uid="{00000000-0005-0000-0000-0000D5970000}"/>
    <cellStyle name="Normal 366 3 8" xfId="38032" xr:uid="{00000000-0005-0000-0000-0000D6970000}"/>
    <cellStyle name="Normal 366 4" xfId="38033" xr:uid="{00000000-0005-0000-0000-0000D7970000}"/>
    <cellStyle name="Normal 366 4 2" xfId="38034" xr:uid="{00000000-0005-0000-0000-0000D8970000}"/>
    <cellStyle name="Normal 366 4 2 2" xfId="38035" xr:uid="{00000000-0005-0000-0000-0000D9970000}"/>
    <cellStyle name="Normal 366 4 2 3" xfId="38036" xr:uid="{00000000-0005-0000-0000-0000DA970000}"/>
    <cellStyle name="Normal 366 4 3" xfId="38037" xr:uid="{00000000-0005-0000-0000-0000DB970000}"/>
    <cellStyle name="Normal 366 4 3 2" xfId="38038" xr:uid="{00000000-0005-0000-0000-0000DC970000}"/>
    <cellStyle name="Normal 366 4 3 3" xfId="38039" xr:uid="{00000000-0005-0000-0000-0000DD970000}"/>
    <cellStyle name="Normal 366 4 4" xfId="38040" xr:uid="{00000000-0005-0000-0000-0000DE970000}"/>
    <cellStyle name="Normal 366 4 5" xfId="38041" xr:uid="{00000000-0005-0000-0000-0000DF970000}"/>
    <cellStyle name="Normal 366 4 6" xfId="38042" xr:uid="{00000000-0005-0000-0000-0000E0970000}"/>
    <cellStyle name="Normal 366 5" xfId="38043" xr:uid="{00000000-0005-0000-0000-0000E1970000}"/>
    <cellStyle name="Normal 366 5 2" xfId="38044" xr:uid="{00000000-0005-0000-0000-0000E2970000}"/>
    <cellStyle name="Normal 366 5 3" xfId="38045" xr:uid="{00000000-0005-0000-0000-0000E3970000}"/>
    <cellStyle name="Normal 366 6" xfId="38046" xr:uid="{00000000-0005-0000-0000-0000E4970000}"/>
    <cellStyle name="Normal 366 6 2" xfId="38047" xr:uid="{00000000-0005-0000-0000-0000E5970000}"/>
    <cellStyle name="Normal 366 6 3" xfId="38048" xr:uid="{00000000-0005-0000-0000-0000E6970000}"/>
    <cellStyle name="Normal 366 7" xfId="38049" xr:uid="{00000000-0005-0000-0000-0000E7970000}"/>
    <cellStyle name="Normal 366 8" xfId="38050" xr:uid="{00000000-0005-0000-0000-0000E8970000}"/>
    <cellStyle name="Normal 366 9" xfId="38051" xr:uid="{00000000-0005-0000-0000-0000E9970000}"/>
    <cellStyle name="Normal 367" xfId="3283" xr:uid="{00000000-0005-0000-0000-0000EA970000}"/>
    <cellStyle name="Normal 367 10" xfId="38052" xr:uid="{00000000-0005-0000-0000-0000EB970000}"/>
    <cellStyle name="Normal 367 11" xfId="38053" xr:uid="{00000000-0005-0000-0000-0000EC970000}"/>
    <cellStyle name="Normal 367 2" xfId="3284" xr:uid="{00000000-0005-0000-0000-0000ED970000}"/>
    <cellStyle name="Normal 367 2 10" xfId="38054" xr:uid="{00000000-0005-0000-0000-0000EE970000}"/>
    <cellStyle name="Normal 367 2 2" xfId="38055" xr:uid="{00000000-0005-0000-0000-0000EF970000}"/>
    <cellStyle name="Normal 367 2 2 2" xfId="38056" xr:uid="{00000000-0005-0000-0000-0000F0970000}"/>
    <cellStyle name="Normal 367 2 2 2 2" xfId="38057" xr:uid="{00000000-0005-0000-0000-0000F1970000}"/>
    <cellStyle name="Normal 367 2 2 2 2 2" xfId="38058" xr:uid="{00000000-0005-0000-0000-0000F2970000}"/>
    <cellStyle name="Normal 367 2 2 2 2 3" xfId="38059" xr:uid="{00000000-0005-0000-0000-0000F3970000}"/>
    <cellStyle name="Normal 367 2 2 2 3" xfId="38060" xr:uid="{00000000-0005-0000-0000-0000F4970000}"/>
    <cellStyle name="Normal 367 2 2 2 3 2" xfId="38061" xr:uid="{00000000-0005-0000-0000-0000F5970000}"/>
    <cellStyle name="Normal 367 2 2 2 3 3" xfId="38062" xr:uid="{00000000-0005-0000-0000-0000F6970000}"/>
    <cellStyle name="Normal 367 2 2 2 4" xfId="38063" xr:uid="{00000000-0005-0000-0000-0000F7970000}"/>
    <cellStyle name="Normal 367 2 2 2 5" xfId="38064" xr:uid="{00000000-0005-0000-0000-0000F8970000}"/>
    <cellStyle name="Normal 367 2 2 2 6" xfId="38065" xr:uid="{00000000-0005-0000-0000-0000F9970000}"/>
    <cellStyle name="Normal 367 2 2 3" xfId="38066" xr:uid="{00000000-0005-0000-0000-0000FA970000}"/>
    <cellStyle name="Normal 367 2 2 3 2" xfId="38067" xr:uid="{00000000-0005-0000-0000-0000FB970000}"/>
    <cellStyle name="Normal 367 2 2 3 3" xfId="38068" xr:uid="{00000000-0005-0000-0000-0000FC970000}"/>
    <cellStyle name="Normal 367 2 2 4" xfId="38069" xr:uid="{00000000-0005-0000-0000-0000FD970000}"/>
    <cellStyle name="Normal 367 2 2 4 2" xfId="38070" xr:uid="{00000000-0005-0000-0000-0000FE970000}"/>
    <cellStyle name="Normal 367 2 2 4 3" xfId="38071" xr:uid="{00000000-0005-0000-0000-0000FF970000}"/>
    <cellStyle name="Normal 367 2 2 5" xfId="38072" xr:uid="{00000000-0005-0000-0000-000000980000}"/>
    <cellStyle name="Normal 367 2 2 6" xfId="38073" xr:uid="{00000000-0005-0000-0000-000001980000}"/>
    <cellStyle name="Normal 367 2 2 7" xfId="38074" xr:uid="{00000000-0005-0000-0000-000002980000}"/>
    <cellStyle name="Normal 367 2 2 8" xfId="38075" xr:uid="{00000000-0005-0000-0000-000003980000}"/>
    <cellStyle name="Normal 367 2 3" xfId="38076" xr:uid="{00000000-0005-0000-0000-000004980000}"/>
    <cellStyle name="Normal 367 2 3 2" xfId="38077" xr:uid="{00000000-0005-0000-0000-000005980000}"/>
    <cellStyle name="Normal 367 2 3 2 2" xfId="38078" xr:uid="{00000000-0005-0000-0000-000006980000}"/>
    <cellStyle name="Normal 367 2 3 2 3" xfId="38079" xr:uid="{00000000-0005-0000-0000-000007980000}"/>
    <cellStyle name="Normal 367 2 3 3" xfId="38080" xr:uid="{00000000-0005-0000-0000-000008980000}"/>
    <cellStyle name="Normal 367 2 3 3 2" xfId="38081" xr:uid="{00000000-0005-0000-0000-000009980000}"/>
    <cellStyle name="Normal 367 2 3 3 3" xfId="38082" xr:uid="{00000000-0005-0000-0000-00000A980000}"/>
    <cellStyle name="Normal 367 2 3 4" xfId="38083" xr:uid="{00000000-0005-0000-0000-00000B980000}"/>
    <cellStyle name="Normal 367 2 3 5" xfId="38084" xr:uid="{00000000-0005-0000-0000-00000C980000}"/>
    <cellStyle name="Normal 367 2 3 6" xfId="38085" xr:uid="{00000000-0005-0000-0000-00000D980000}"/>
    <cellStyle name="Normal 367 2 4" xfId="38086" xr:uid="{00000000-0005-0000-0000-00000E980000}"/>
    <cellStyle name="Normal 367 2 4 2" xfId="38087" xr:uid="{00000000-0005-0000-0000-00000F980000}"/>
    <cellStyle name="Normal 367 2 4 3" xfId="38088" xr:uid="{00000000-0005-0000-0000-000010980000}"/>
    <cellStyle name="Normal 367 2 5" xfId="38089" xr:uid="{00000000-0005-0000-0000-000011980000}"/>
    <cellStyle name="Normal 367 2 5 2" xfId="38090" xr:uid="{00000000-0005-0000-0000-000012980000}"/>
    <cellStyle name="Normal 367 2 5 3" xfId="38091" xr:uid="{00000000-0005-0000-0000-000013980000}"/>
    <cellStyle name="Normal 367 2 6" xfId="38092" xr:uid="{00000000-0005-0000-0000-000014980000}"/>
    <cellStyle name="Normal 367 2 7" xfId="38093" xr:uid="{00000000-0005-0000-0000-000015980000}"/>
    <cellStyle name="Normal 367 2 8" xfId="38094" xr:uid="{00000000-0005-0000-0000-000016980000}"/>
    <cellStyle name="Normal 367 2 9" xfId="38095" xr:uid="{00000000-0005-0000-0000-000017980000}"/>
    <cellStyle name="Normal 367 3" xfId="38096" xr:uid="{00000000-0005-0000-0000-000018980000}"/>
    <cellStyle name="Normal 367 3 2" xfId="38097" xr:uid="{00000000-0005-0000-0000-000019980000}"/>
    <cellStyle name="Normal 367 3 2 2" xfId="38098" xr:uid="{00000000-0005-0000-0000-00001A980000}"/>
    <cellStyle name="Normal 367 3 2 2 2" xfId="38099" xr:uid="{00000000-0005-0000-0000-00001B980000}"/>
    <cellStyle name="Normal 367 3 2 2 3" xfId="38100" xr:uid="{00000000-0005-0000-0000-00001C980000}"/>
    <cellStyle name="Normal 367 3 2 3" xfId="38101" xr:uid="{00000000-0005-0000-0000-00001D980000}"/>
    <cellStyle name="Normal 367 3 2 3 2" xfId="38102" xr:uid="{00000000-0005-0000-0000-00001E980000}"/>
    <cellStyle name="Normal 367 3 2 3 3" xfId="38103" xr:uid="{00000000-0005-0000-0000-00001F980000}"/>
    <cellStyle name="Normal 367 3 2 4" xfId="38104" xr:uid="{00000000-0005-0000-0000-000020980000}"/>
    <cellStyle name="Normal 367 3 2 5" xfId="38105" xr:uid="{00000000-0005-0000-0000-000021980000}"/>
    <cellStyle name="Normal 367 3 2 6" xfId="38106" xr:uid="{00000000-0005-0000-0000-000022980000}"/>
    <cellStyle name="Normal 367 3 3" xfId="38107" xr:uid="{00000000-0005-0000-0000-000023980000}"/>
    <cellStyle name="Normal 367 3 3 2" xfId="38108" xr:uid="{00000000-0005-0000-0000-000024980000}"/>
    <cellStyle name="Normal 367 3 3 3" xfId="38109" xr:uid="{00000000-0005-0000-0000-000025980000}"/>
    <cellStyle name="Normal 367 3 4" xfId="38110" xr:uid="{00000000-0005-0000-0000-000026980000}"/>
    <cellStyle name="Normal 367 3 4 2" xfId="38111" xr:uid="{00000000-0005-0000-0000-000027980000}"/>
    <cellStyle name="Normal 367 3 4 3" xfId="38112" xr:uid="{00000000-0005-0000-0000-000028980000}"/>
    <cellStyle name="Normal 367 3 5" xfId="38113" xr:uid="{00000000-0005-0000-0000-000029980000}"/>
    <cellStyle name="Normal 367 3 6" xfId="38114" xr:uid="{00000000-0005-0000-0000-00002A980000}"/>
    <cellStyle name="Normal 367 3 7" xfId="38115" xr:uid="{00000000-0005-0000-0000-00002B980000}"/>
    <cellStyle name="Normal 367 3 8" xfId="38116" xr:uid="{00000000-0005-0000-0000-00002C980000}"/>
    <cellStyle name="Normal 367 4" xfId="38117" xr:uid="{00000000-0005-0000-0000-00002D980000}"/>
    <cellStyle name="Normal 367 4 2" xfId="38118" xr:uid="{00000000-0005-0000-0000-00002E980000}"/>
    <cellStyle name="Normal 367 4 2 2" xfId="38119" xr:uid="{00000000-0005-0000-0000-00002F980000}"/>
    <cellStyle name="Normal 367 4 2 3" xfId="38120" xr:uid="{00000000-0005-0000-0000-000030980000}"/>
    <cellStyle name="Normal 367 4 3" xfId="38121" xr:uid="{00000000-0005-0000-0000-000031980000}"/>
    <cellStyle name="Normal 367 4 3 2" xfId="38122" xr:uid="{00000000-0005-0000-0000-000032980000}"/>
    <cellStyle name="Normal 367 4 3 3" xfId="38123" xr:uid="{00000000-0005-0000-0000-000033980000}"/>
    <cellStyle name="Normal 367 4 4" xfId="38124" xr:uid="{00000000-0005-0000-0000-000034980000}"/>
    <cellStyle name="Normal 367 4 5" xfId="38125" xr:uid="{00000000-0005-0000-0000-000035980000}"/>
    <cellStyle name="Normal 367 4 6" xfId="38126" xr:uid="{00000000-0005-0000-0000-000036980000}"/>
    <cellStyle name="Normal 367 5" xfId="38127" xr:uid="{00000000-0005-0000-0000-000037980000}"/>
    <cellStyle name="Normal 367 5 2" xfId="38128" xr:uid="{00000000-0005-0000-0000-000038980000}"/>
    <cellStyle name="Normal 367 5 3" xfId="38129" xr:uid="{00000000-0005-0000-0000-000039980000}"/>
    <cellStyle name="Normal 367 6" xfId="38130" xr:uid="{00000000-0005-0000-0000-00003A980000}"/>
    <cellStyle name="Normal 367 6 2" xfId="38131" xr:uid="{00000000-0005-0000-0000-00003B980000}"/>
    <cellStyle name="Normal 367 6 3" xfId="38132" xr:uid="{00000000-0005-0000-0000-00003C980000}"/>
    <cellStyle name="Normal 367 7" xfId="38133" xr:uid="{00000000-0005-0000-0000-00003D980000}"/>
    <cellStyle name="Normal 367 8" xfId="38134" xr:uid="{00000000-0005-0000-0000-00003E980000}"/>
    <cellStyle name="Normal 367 9" xfId="38135" xr:uid="{00000000-0005-0000-0000-00003F980000}"/>
    <cellStyle name="Normal 368" xfId="3285" xr:uid="{00000000-0005-0000-0000-000040980000}"/>
    <cellStyle name="Normal 368 10" xfId="38136" xr:uid="{00000000-0005-0000-0000-000041980000}"/>
    <cellStyle name="Normal 368 11" xfId="38137" xr:uid="{00000000-0005-0000-0000-000042980000}"/>
    <cellStyle name="Normal 368 2" xfId="38138" xr:uid="{00000000-0005-0000-0000-000043980000}"/>
    <cellStyle name="Normal 368 2 2" xfId="38139" xr:uid="{00000000-0005-0000-0000-000044980000}"/>
    <cellStyle name="Normal 368 2 2 2" xfId="38140" xr:uid="{00000000-0005-0000-0000-000045980000}"/>
    <cellStyle name="Normal 368 2 2 2 2" xfId="38141" xr:uid="{00000000-0005-0000-0000-000046980000}"/>
    <cellStyle name="Normal 368 2 2 2 2 2" xfId="38142" xr:uid="{00000000-0005-0000-0000-000047980000}"/>
    <cellStyle name="Normal 368 2 2 2 2 3" xfId="38143" xr:uid="{00000000-0005-0000-0000-000048980000}"/>
    <cellStyle name="Normal 368 2 2 2 3" xfId="38144" xr:uid="{00000000-0005-0000-0000-000049980000}"/>
    <cellStyle name="Normal 368 2 2 2 3 2" xfId="38145" xr:uid="{00000000-0005-0000-0000-00004A980000}"/>
    <cellStyle name="Normal 368 2 2 2 3 3" xfId="38146" xr:uid="{00000000-0005-0000-0000-00004B980000}"/>
    <cellStyle name="Normal 368 2 2 2 4" xfId="38147" xr:uid="{00000000-0005-0000-0000-00004C980000}"/>
    <cellStyle name="Normal 368 2 2 2 5" xfId="38148" xr:uid="{00000000-0005-0000-0000-00004D980000}"/>
    <cellStyle name="Normal 368 2 2 2 6" xfId="38149" xr:uid="{00000000-0005-0000-0000-00004E980000}"/>
    <cellStyle name="Normal 368 2 2 3" xfId="38150" xr:uid="{00000000-0005-0000-0000-00004F980000}"/>
    <cellStyle name="Normal 368 2 2 3 2" xfId="38151" xr:uid="{00000000-0005-0000-0000-000050980000}"/>
    <cellStyle name="Normal 368 2 2 3 3" xfId="38152" xr:uid="{00000000-0005-0000-0000-000051980000}"/>
    <cellStyle name="Normal 368 2 2 4" xfId="38153" xr:uid="{00000000-0005-0000-0000-000052980000}"/>
    <cellStyle name="Normal 368 2 2 4 2" xfId="38154" xr:uid="{00000000-0005-0000-0000-000053980000}"/>
    <cellStyle name="Normal 368 2 2 4 3" xfId="38155" xr:uid="{00000000-0005-0000-0000-000054980000}"/>
    <cellStyle name="Normal 368 2 2 5" xfId="38156" xr:uid="{00000000-0005-0000-0000-000055980000}"/>
    <cellStyle name="Normal 368 2 2 6" xfId="38157" xr:uid="{00000000-0005-0000-0000-000056980000}"/>
    <cellStyle name="Normal 368 2 2 7" xfId="38158" xr:uid="{00000000-0005-0000-0000-000057980000}"/>
    <cellStyle name="Normal 368 2 2 8" xfId="38159" xr:uid="{00000000-0005-0000-0000-000058980000}"/>
    <cellStyle name="Normal 368 2 3" xfId="38160" xr:uid="{00000000-0005-0000-0000-000059980000}"/>
    <cellStyle name="Normal 368 2 3 2" xfId="38161" xr:uid="{00000000-0005-0000-0000-00005A980000}"/>
    <cellStyle name="Normal 368 2 3 2 2" xfId="38162" xr:uid="{00000000-0005-0000-0000-00005B980000}"/>
    <cellStyle name="Normal 368 2 3 2 3" xfId="38163" xr:uid="{00000000-0005-0000-0000-00005C980000}"/>
    <cellStyle name="Normal 368 2 3 3" xfId="38164" xr:uid="{00000000-0005-0000-0000-00005D980000}"/>
    <cellStyle name="Normal 368 2 3 3 2" xfId="38165" xr:uid="{00000000-0005-0000-0000-00005E980000}"/>
    <cellStyle name="Normal 368 2 3 3 3" xfId="38166" xr:uid="{00000000-0005-0000-0000-00005F980000}"/>
    <cellStyle name="Normal 368 2 3 4" xfId="38167" xr:uid="{00000000-0005-0000-0000-000060980000}"/>
    <cellStyle name="Normal 368 2 3 5" xfId="38168" xr:uid="{00000000-0005-0000-0000-000061980000}"/>
    <cellStyle name="Normal 368 2 3 6" xfId="38169" xr:uid="{00000000-0005-0000-0000-000062980000}"/>
    <cellStyle name="Normal 368 2 4" xfId="38170" xr:uid="{00000000-0005-0000-0000-000063980000}"/>
    <cellStyle name="Normal 368 2 4 2" xfId="38171" xr:uid="{00000000-0005-0000-0000-000064980000}"/>
    <cellStyle name="Normal 368 2 4 3" xfId="38172" xr:uid="{00000000-0005-0000-0000-000065980000}"/>
    <cellStyle name="Normal 368 2 5" xfId="38173" xr:uid="{00000000-0005-0000-0000-000066980000}"/>
    <cellStyle name="Normal 368 2 5 2" xfId="38174" xr:uid="{00000000-0005-0000-0000-000067980000}"/>
    <cellStyle name="Normal 368 2 5 3" xfId="38175" xr:uid="{00000000-0005-0000-0000-000068980000}"/>
    <cellStyle name="Normal 368 2 6" xfId="38176" xr:uid="{00000000-0005-0000-0000-000069980000}"/>
    <cellStyle name="Normal 368 2 7" xfId="38177" xr:uid="{00000000-0005-0000-0000-00006A980000}"/>
    <cellStyle name="Normal 368 2 8" xfId="38178" xr:uid="{00000000-0005-0000-0000-00006B980000}"/>
    <cellStyle name="Normal 368 2 9" xfId="38179" xr:uid="{00000000-0005-0000-0000-00006C980000}"/>
    <cellStyle name="Normal 368 3" xfId="38180" xr:uid="{00000000-0005-0000-0000-00006D980000}"/>
    <cellStyle name="Normal 368 3 2" xfId="38181" xr:uid="{00000000-0005-0000-0000-00006E980000}"/>
    <cellStyle name="Normal 368 3 2 2" xfId="38182" xr:uid="{00000000-0005-0000-0000-00006F980000}"/>
    <cellStyle name="Normal 368 3 2 2 2" xfId="38183" xr:uid="{00000000-0005-0000-0000-000070980000}"/>
    <cellStyle name="Normal 368 3 2 2 3" xfId="38184" xr:uid="{00000000-0005-0000-0000-000071980000}"/>
    <cellStyle name="Normal 368 3 2 3" xfId="38185" xr:uid="{00000000-0005-0000-0000-000072980000}"/>
    <cellStyle name="Normal 368 3 2 3 2" xfId="38186" xr:uid="{00000000-0005-0000-0000-000073980000}"/>
    <cellStyle name="Normal 368 3 2 3 3" xfId="38187" xr:uid="{00000000-0005-0000-0000-000074980000}"/>
    <cellStyle name="Normal 368 3 2 4" xfId="38188" xr:uid="{00000000-0005-0000-0000-000075980000}"/>
    <cellStyle name="Normal 368 3 2 5" xfId="38189" xr:uid="{00000000-0005-0000-0000-000076980000}"/>
    <cellStyle name="Normal 368 3 2 6" xfId="38190" xr:uid="{00000000-0005-0000-0000-000077980000}"/>
    <cellStyle name="Normal 368 3 3" xfId="38191" xr:uid="{00000000-0005-0000-0000-000078980000}"/>
    <cellStyle name="Normal 368 3 3 2" xfId="38192" xr:uid="{00000000-0005-0000-0000-000079980000}"/>
    <cellStyle name="Normal 368 3 3 3" xfId="38193" xr:uid="{00000000-0005-0000-0000-00007A980000}"/>
    <cellStyle name="Normal 368 3 4" xfId="38194" xr:uid="{00000000-0005-0000-0000-00007B980000}"/>
    <cellStyle name="Normal 368 3 4 2" xfId="38195" xr:uid="{00000000-0005-0000-0000-00007C980000}"/>
    <cellStyle name="Normal 368 3 4 3" xfId="38196" xr:uid="{00000000-0005-0000-0000-00007D980000}"/>
    <cellStyle name="Normal 368 3 5" xfId="38197" xr:uid="{00000000-0005-0000-0000-00007E980000}"/>
    <cellStyle name="Normal 368 3 6" xfId="38198" xr:uid="{00000000-0005-0000-0000-00007F980000}"/>
    <cellStyle name="Normal 368 3 7" xfId="38199" xr:uid="{00000000-0005-0000-0000-000080980000}"/>
    <cellStyle name="Normal 368 3 8" xfId="38200" xr:uid="{00000000-0005-0000-0000-000081980000}"/>
    <cellStyle name="Normal 368 4" xfId="38201" xr:uid="{00000000-0005-0000-0000-000082980000}"/>
    <cellStyle name="Normal 368 4 2" xfId="38202" xr:uid="{00000000-0005-0000-0000-000083980000}"/>
    <cellStyle name="Normal 368 4 2 2" xfId="38203" xr:uid="{00000000-0005-0000-0000-000084980000}"/>
    <cellStyle name="Normal 368 4 2 3" xfId="38204" xr:uid="{00000000-0005-0000-0000-000085980000}"/>
    <cellStyle name="Normal 368 4 3" xfId="38205" xr:uid="{00000000-0005-0000-0000-000086980000}"/>
    <cellStyle name="Normal 368 4 3 2" xfId="38206" xr:uid="{00000000-0005-0000-0000-000087980000}"/>
    <cellStyle name="Normal 368 4 3 3" xfId="38207" xr:uid="{00000000-0005-0000-0000-000088980000}"/>
    <cellStyle name="Normal 368 4 4" xfId="38208" xr:uid="{00000000-0005-0000-0000-000089980000}"/>
    <cellStyle name="Normal 368 4 5" xfId="38209" xr:uid="{00000000-0005-0000-0000-00008A980000}"/>
    <cellStyle name="Normal 368 4 6" xfId="38210" xr:uid="{00000000-0005-0000-0000-00008B980000}"/>
    <cellStyle name="Normal 368 5" xfId="38211" xr:uid="{00000000-0005-0000-0000-00008C980000}"/>
    <cellStyle name="Normal 368 5 2" xfId="38212" xr:uid="{00000000-0005-0000-0000-00008D980000}"/>
    <cellStyle name="Normal 368 5 3" xfId="38213" xr:uid="{00000000-0005-0000-0000-00008E980000}"/>
    <cellStyle name="Normal 368 6" xfId="38214" xr:uid="{00000000-0005-0000-0000-00008F980000}"/>
    <cellStyle name="Normal 368 6 2" xfId="38215" xr:uid="{00000000-0005-0000-0000-000090980000}"/>
    <cellStyle name="Normal 368 6 3" xfId="38216" xr:uid="{00000000-0005-0000-0000-000091980000}"/>
    <cellStyle name="Normal 368 7" xfId="38217" xr:uid="{00000000-0005-0000-0000-000092980000}"/>
    <cellStyle name="Normal 368 8" xfId="38218" xr:uid="{00000000-0005-0000-0000-000093980000}"/>
    <cellStyle name="Normal 368 9" xfId="38219" xr:uid="{00000000-0005-0000-0000-000094980000}"/>
    <cellStyle name="Normal 369" xfId="3286" xr:uid="{00000000-0005-0000-0000-000095980000}"/>
    <cellStyle name="Normal 369 10" xfId="38220" xr:uid="{00000000-0005-0000-0000-000096980000}"/>
    <cellStyle name="Normal 369 11" xfId="38221" xr:uid="{00000000-0005-0000-0000-000097980000}"/>
    <cellStyle name="Normal 369 2" xfId="38222" xr:uid="{00000000-0005-0000-0000-000098980000}"/>
    <cellStyle name="Normal 369 2 2" xfId="38223" xr:uid="{00000000-0005-0000-0000-000099980000}"/>
    <cellStyle name="Normal 369 2 2 2" xfId="38224" xr:uid="{00000000-0005-0000-0000-00009A980000}"/>
    <cellStyle name="Normal 369 2 2 2 2" xfId="38225" xr:uid="{00000000-0005-0000-0000-00009B980000}"/>
    <cellStyle name="Normal 369 2 2 2 2 2" xfId="38226" xr:uid="{00000000-0005-0000-0000-00009C980000}"/>
    <cellStyle name="Normal 369 2 2 2 2 3" xfId="38227" xr:uid="{00000000-0005-0000-0000-00009D980000}"/>
    <cellStyle name="Normal 369 2 2 2 3" xfId="38228" xr:uid="{00000000-0005-0000-0000-00009E980000}"/>
    <cellStyle name="Normal 369 2 2 2 3 2" xfId="38229" xr:uid="{00000000-0005-0000-0000-00009F980000}"/>
    <cellStyle name="Normal 369 2 2 2 3 3" xfId="38230" xr:uid="{00000000-0005-0000-0000-0000A0980000}"/>
    <cellStyle name="Normal 369 2 2 2 4" xfId="38231" xr:uid="{00000000-0005-0000-0000-0000A1980000}"/>
    <cellStyle name="Normal 369 2 2 2 5" xfId="38232" xr:uid="{00000000-0005-0000-0000-0000A2980000}"/>
    <cellStyle name="Normal 369 2 2 2 6" xfId="38233" xr:uid="{00000000-0005-0000-0000-0000A3980000}"/>
    <cellStyle name="Normal 369 2 2 3" xfId="38234" xr:uid="{00000000-0005-0000-0000-0000A4980000}"/>
    <cellStyle name="Normal 369 2 2 3 2" xfId="38235" xr:uid="{00000000-0005-0000-0000-0000A5980000}"/>
    <cellStyle name="Normal 369 2 2 3 3" xfId="38236" xr:uid="{00000000-0005-0000-0000-0000A6980000}"/>
    <cellStyle name="Normal 369 2 2 4" xfId="38237" xr:uid="{00000000-0005-0000-0000-0000A7980000}"/>
    <cellStyle name="Normal 369 2 2 4 2" xfId="38238" xr:uid="{00000000-0005-0000-0000-0000A8980000}"/>
    <cellStyle name="Normal 369 2 2 4 3" xfId="38239" xr:uid="{00000000-0005-0000-0000-0000A9980000}"/>
    <cellStyle name="Normal 369 2 2 5" xfId="38240" xr:uid="{00000000-0005-0000-0000-0000AA980000}"/>
    <cellStyle name="Normal 369 2 2 6" xfId="38241" xr:uid="{00000000-0005-0000-0000-0000AB980000}"/>
    <cellStyle name="Normal 369 2 2 7" xfId="38242" xr:uid="{00000000-0005-0000-0000-0000AC980000}"/>
    <cellStyle name="Normal 369 2 2 8" xfId="38243" xr:uid="{00000000-0005-0000-0000-0000AD980000}"/>
    <cellStyle name="Normal 369 2 3" xfId="38244" xr:uid="{00000000-0005-0000-0000-0000AE980000}"/>
    <cellStyle name="Normal 369 2 3 2" xfId="38245" xr:uid="{00000000-0005-0000-0000-0000AF980000}"/>
    <cellStyle name="Normal 369 2 3 2 2" xfId="38246" xr:uid="{00000000-0005-0000-0000-0000B0980000}"/>
    <cellStyle name="Normal 369 2 3 2 3" xfId="38247" xr:uid="{00000000-0005-0000-0000-0000B1980000}"/>
    <cellStyle name="Normal 369 2 3 3" xfId="38248" xr:uid="{00000000-0005-0000-0000-0000B2980000}"/>
    <cellStyle name="Normal 369 2 3 3 2" xfId="38249" xr:uid="{00000000-0005-0000-0000-0000B3980000}"/>
    <cellStyle name="Normal 369 2 3 3 3" xfId="38250" xr:uid="{00000000-0005-0000-0000-0000B4980000}"/>
    <cellStyle name="Normal 369 2 3 4" xfId="38251" xr:uid="{00000000-0005-0000-0000-0000B5980000}"/>
    <cellStyle name="Normal 369 2 3 5" xfId="38252" xr:uid="{00000000-0005-0000-0000-0000B6980000}"/>
    <cellStyle name="Normal 369 2 3 6" xfId="38253" xr:uid="{00000000-0005-0000-0000-0000B7980000}"/>
    <cellStyle name="Normal 369 2 4" xfId="38254" xr:uid="{00000000-0005-0000-0000-0000B8980000}"/>
    <cellStyle name="Normal 369 2 4 2" xfId="38255" xr:uid="{00000000-0005-0000-0000-0000B9980000}"/>
    <cellStyle name="Normal 369 2 4 3" xfId="38256" xr:uid="{00000000-0005-0000-0000-0000BA980000}"/>
    <cellStyle name="Normal 369 2 5" xfId="38257" xr:uid="{00000000-0005-0000-0000-0000BB980000}"/>
    <cellStyle name="Normal 369 2 5 2" xfId="38258" xr:uid="{00000000-0005-0000-0000-0000BC980000}"/>
    <cellStyle name="Normal 369 2 5 3" xfId="38259" xr:uid="{00000000-0005-0000-0000-0000BD980000}"/>
    <cellStyle name="Normal 369 2 6" xfId="38260" xr:uid="{00000000-0005-0000-0000-0000BE980000}"/>
    <cellStyle name="Normal 369 2 7" xfId="38261" xr:uid="{00000000-0005-0000-0000-0000BF980000}"/>
    <cellStyle name="Normal 369 2 8" xfId="38262" xr:uid="{00000000-0005-0000-0000-0000C0980000}"/>
    <cellStyle name="Normal 369 2 9" xfId="38263" xr:uid="{00000000-0005-0000-0000-0000C1980000}"/>
    <cellStyle name="Normal 369 3" xfId="38264" xr:uid="{00000000-0005-0000-0000-0000C2980000}"/>
    <cellStyle name="Normal 369 3 2" xfId="38265" xr:uid="{00000000-0005-0000-0000-0000C3980000}"/>
    <cellStyle name="Normal 369 3 2 2" xfId="38266" xr:uid="{00000000-0005-0000-0000-0000C4980000}"/>
    <cellStyle name="Normal 369 3 2 2 2" xfId="38267" xr:uid="{00000000-0005-0000-0000-0000C5980000}"/>
    <cellStyle name="Normal 369 3 2 2 3" xfId="38268" xr:uid="{00000000-0005-0000-0000-0000C6980000}"/>
    <cellStyle name="Normal 369 3 2 3" xfId="38269" xr:uid="{00000000-0005-0000-0000-0000C7980000}"/>
    <cellStyle name="Normal 369 3 2 3 2" xfId="38270" xr:uid="{00000000-0005-0000-0000-0000C8980000}"/>
    <cellStyle name="Normal 369 3 2 3 3" xfId="38271" xr:uid="{00000000-0005-0000-0000-0000C9980000}"/>
    <cellStyle name="Normal 369 3 2 4" xfId="38272" xr:uid="{00000000-0005-0000-0000-0000CA980000}"/>
    <cellStyle name="Normal 369 3 2 5" xfId="38273" xr:uid="{00000000-0005-0000-0000-0000CB980000}"/>
    <cellStyle name="Normal 369 3 2 6" xfId="38274" xr:uid="{00000000-0005-0000-0000-0000CC980000}"/>
    <cellStyle name="Normal 369 3 3" xfId="38275" xr:uid="{00000000-0005-0000-0000-0000CD980000}"/>
    <cellStyle name="Normal 369 3 3 2" xfId="38276" xr:uid="{00000000-0005-0000-0000-0000CE980000}"/>
    <cellStyle name="Normal 369 3 3 3" xfId="38277" xr:uid="{00000000-0005-0000-0000-0000CF980000}"/>
    <cellStyle name="Normal 369 3 4" xfId="38278" xr:uid="{00000000-0005-0000-0000-0000D0980000}"/>
    <cellStyle name="Normal 369 3 4 2" xfId="38279" xr:uid="{00000000-0005-0000-0000-0000D1980000}"/>
    <cellStyle name="Normal 369 3 4 3" xfId="38280" xr:uid="{00000000-0005-0000-0000-0000D2980000}"/>
    <cellStyle name="Normal 369 3 5" xfId="38281" xr:uid="{00000000-0005-0000-0000-0000D3980000}"/>
    <cellStyle name="Normal 369 3 6" xfId="38282" xr:uid="{00000000-0005-0000-0000-0000D4980000}"/>
    <cellStyle name="Normal 369 3 7" xfId="38283" xr:uid="{00000000-0005-0000-0000-0000D5980000}"/>
    <cellStyle name="Normal 369 3 8" xfId="38284" xr:uid="{00000000-0005-0000-0000-0000D6980000}"/>
    <cellStyle name="Normal 369 4" xfId="38285" xr:uid="{00000000-0005-0000-0000-0000D7980000}"/>
    <cellStyle name="Normal 369 4 2" xfId="38286" xr:uid="{00000000-0005-0000-0000-0000D8980000}"/>
    <cellStyle name="Normal 369 4 2 2" xfId="38287" xr:uid="{00000000-0005-0000-0000-0000D9980000}"/>
    <cellStyle name="Normal 369 4 2 3" xfId="38288" xr:uid="{00000000-0005-0000-0000-0000DA980000}"/>
    <cellStyle name="Normal 369 4 3" xfId="38289" xr:uid="{00000000-0005-0000-0000-0000DB980000}"/>
    <cellStyle name="Normal 369 4 3 2" xfId="38290" xr:uid="{00000000-0005-0000-0000-0000DC980000}"/>
    <cellStyle name="Normal 369 4 3 3" xfId="38291" xr:uid="{00000000-0005-0000-0000-0000DD980000}"/>
    <cellStyle name="Normal 369 4 4" xfId="38292" xr:uid="{00000000-0005-0000-0000-0000DE980000}"/>
    <cellStyle name="Normal 369 4 5" xfId="38293" xr:uid="{00000000-0005-0000-0000-0000DF980000}"/>
    <cellStyle name="Normal 369 4 6" xfId="38294" xr:uid="{00000000-0005-0000-0000-0000E0980000}"/>
    <cellStyle name="Normal 369 5" xfId="38295" xr:uid="{00000000-0005-0000-0000-0000E1980000}"/>
    <cellStyle name="Normal 369 5 2" xfId="38296" xr:uid="{00000000-0005-0000-0000-0000E2980000}"/>
    <cellStyle name="Normal 369 5 3" xfId="38297" xr:uid="{00000000-0005-0000-0000-0000E3980000}"/>
    <cellStyle name="Normal 369 6" xfId="38298" xr:uid="{00000000-0005-0000-0000-0000E4980000}"/>
    <cellStyle name="Normal 369 6 2" xfId="38299" xr:uid="{00000000-0005-0000-0000-0000E5980000}"/>
    <cellStyle name="Normal 369 6 3" xfId="38300" xr:uid="{00000000-0005-0000-0000-0000E6980000}"/>
    <cellStyle name="Normal 369 7" xfId="38301" xr:uid="{00000000-0005-0000-0000-0000E7980000}"/>
    <cellStyle name="Normal 369 8" xfId="38302" xr:uid="{00000000-0005-0000-0000-0000E8980000}"/>
    <cellStyle name="Normal 369 9" xfId="38303" xr:uid="{00000000-0005-0000-0000-0000E9980000}"/>
    <cellStyle name="Normal 37" xfId="3287" xr:uid="{00000000-0005-0000-0000-0000EA980000}"/>
    <cellStyle name="Normal 37 10" xfId="38304" xr:uid="{00000000-0005-0000-0000-0000EB980000}"/>
    <cellStyle name="Normal 37 11" xfId="38305" xr:uid="{00000000-0005-0000-0000-0000EC980000}"/>
    <cellStyle name="Normal 37 12" xfId="38306" xr:uid="{00000000-0005-0000-0000-0000ED980000}"/>
    <cellStyle name="Normal 37 13" xfId="38307" xr:uid="{00000000-0005-0000-0000-0000EE980000}"/>
    <cellStyle name="Normal 37 2" xfId="38308" xr:uid="{00000000-0005-0000-0000-0000EF980000}"/>
    <cellStyle name="Normal 37 2 2" xfId="38309" xr:uid="{00000000-0005-0000-0000-0000F0980000}"/>
    <cellStyle name="Normal 37 2 2 2" xfId="38310" xr:uid="{00000000-0005-0000-0000-0000F1980000}"/>
    <cellStyle name="Normal 37 2 2 2 2" xfId="38311" xr:uid="{00000000-0005-0000-0000-0000F2980000}"/>
    <cellStyle name="Normal 37 2 2 2 2 2" xfId="38312" xr:uid="{00000000-0005-0000-0000-0000F3980000}"/>
    <cellStyle name="Normal 37 2 2 2 2 3" xfId="38313" xr:uid="{00000000-0005-0000-0000-0000F4980000}"/>
    <cellStyle name="Normal 37 2 2 2 3" xfId="38314" xr:uid="{00000000-0005-0000-0000-0000F5980000}"/>
    <cellStyle name="Normal 37 2 2 2 3 2" xfId="38315" xr:uid="{00000000-0005-0000-0000-0000F6980000}"/>
    <cellStyle name="Normal 37 2 2 2 3 3" xfId="38316" xr:uid="{00000000-0005-0000-0000-0000F7980000}"/>
    <cellStyle name="Normal 37 2 2 2 4" xfId="38317" xr:uid="{00000000-0005-0000-0000-0000F8980000}"/>
    <cellStyle name="Normal 37 2 2 2 5" xfId="38318" xr:uid="{00000000-0005-0000-0000-0000F9980000}"/>
    <cellStyle name="Normal 37 2 2 2 6" xfId="38319" xr:uid="{00000000-0005-0000-0000-0000FA980000}"/>
    <cellStyle name="Normal 37 2 2 3" xfId="38320" xr:uid="{00000000-0005-0000-0000-0000FB980000}"/>
    <cellStyle name="Normal 37 2 2 3 2" xfId="38321" xr:uid="{00000000-0005-0000-0000-0000FC980000}"/>
    <cellStyle name="Normal 37 2 2 3 3" xfId="38322" xr:uid="{00000000-0005-0000-0000-0000FD980000}"/>
    <cellStyle name="Normal 37 2 2 4" xfId="38323" xr:uid="{00000000-0005-0000-0000-0000FE980000}"/>
    <cellStyle name="Normal 37 2 2 4 2" xfId="38324" xr:uid="{00000000-0005-0000-0000-0000FF980000}"/>
    <cellStyle name="Normal 37 2 2 4 3" xfId="38325" xr:uid="{00000000-0005-0000-0000-000000990000}"/>
    <cellStyle name="Normal 37 2 2 5" xfId="38326" xr:uid="{00000000-0005-0000-0000-000001990000}"/>
    <cellStyle name="Normal 37 2 2 6" xfId="38327" xr:uid="{00000000-0005-0000-0000-000002990000}"/>
    <cellStyle name="Normal 37 2 2 7" xfId="38328" xr:uid="{00000000-0005-0000-0000-000003990000}"/>
    <cellStyle name="Normal 37 2 2 8" xfId="38329" xr:uid="{00000000-0005-0000-0000-000004990000}"/>
    <cellStyle name="Normal 37 2 3" xfId="38330" xr:uid="{00000000-0005-0000-0000-000005990000}"/>
    <cellStyle name="Normal 37 2 3 2" xfId="38331" xr:uid="{00000000-0005-0000-0000-000006990000}"/>
    <cellStyle name="Normal 37 2 3 2 2" xfId="38332" xr:uid="{00000000-0005-0000-0000-000007990000}"/>
    <cellStyle name="Normal 37 2 3 2 3" xfId="38333" xr:uid="{00000000-0005-0000-0000-000008990000}"/>
    <cellStyle name="Normal 37 2 3 3" xfId="38334" xr:uid="{00000000-0005-0000-0000-000009990000}"/>
    <cellStyle name="Normal 37 2 3 3 2" xfId="38335" xr:uid="{00000000-0005-0000-0000-00000A990000}"/>
    <cellStyle name="Normal 37 2 3 3 3" xfId="38336" xr:uid="{00000000-0005-0000-0000-00000B990000}"/>
    <cellStyle name="Normal 37 2 3 4" xfId="38337" xr:uid="{00000000-0005-0000-0000-00000C990000}"/>
    <cellStyle name="Normal 37 2 3 5" xfId="38338" xr:uid="{00000000-0005-0000-0000-00000D990000}"/>
    <cellStyle name="Normal 37 2 3 6" xfId="38339" xr:uid="{00000000-0005-0000-0000-00000E990000}"/>
    <cellStyle name="Normal 37 2 4" xfId="38340" xr:uid="{00000000-0005-0000-0000-00000F990000}"/>
    <cellStyle name="Normal 37 2 4 2" xfId="38341" xr:uid="{00000000-0005-0000-0000-000010990000}"/>
    <cellStyle name="Normal 37 2 4 3" xfId="38342" xr:uid="{00000000-0005-0000-0000-000011990000}"/>
    <cellStyle name="Normal 37 2 5" xfId="38343" xr:uid="{00000000-0005-0000-0000-000012990000}"/>
    <cellStyle name="Normal 37 2 5 2" xfId="38344" xr:uid="{00000000-0005-0000-0000-000013990000}"/>
    <cellStyle name="Normal 37 2 5 3" xfId="38345" xr:uid="{00000000-0005-0000-0000-000014990000}"/>
    <cellStyle name="Normal 37 2 6" xfId="38346" xr:uid="{00000000-0005-0000-0000-000015990000}"/>
    <cellStyle name="Normal 37 2 7" xfId="38347" xr:uid="{00000000-0005-0000-0000-000016990000}"/>
    <cellStyle name="Normal 37 2 8" xfId="38348" xr:uid="{00000000-0005-0000-0000-000017990000}"/>
    <cellStyle name="Normal 37 2 9" xfId="38349" xr:uid="{00000000-0005-0000-0000-000018990000}"/>
    <cellStyle name="Normal 37 3" xfId="38350" xr:uid="{00000000-0005-0000-0000-000019990000}"/>
    <cellStyle name="Normal 37 3 2" xfId="38351" xr:uid="{00000000-0005-0000-0000-00001A990000}"/>
    <cellStyle name="Normal 37 3 2 2" xfId="38352" xr:uid="{00000000-0005-0000-0000-00001B990000}"/>
    <cellStyle name="Normal 37 3 2 2 2" xfId="38353" xr:uid="{00000000-0005-0000-0000-00001C990000}"/>
    <cellStyle name="Normal 37 3 2 2 3" xfId="38354" xr:uid="{00000000-0005-0000-0000-00001D990000}"/>
    <cellStyle name="Normal 37 3 2 3" xfId="38355" xr:uid="{00000000-0005-0000-0000-00001E990000}"/>
    <cellStyle name="Normal 37 3 2 3 2" xfId="38356" xr:uid="{00000000-0005-0000-0000-00001F990000}"/>
    <cellStyle name="Normal 37 3 2 3 3" xfId="38357" xr:uid="{00000000-0005-0000-0000-000020990000}"/>
    <cellStyle name="Normal 37 3 2 4" xfId="38358" xr:uid="{00000000-0005-0000-0000-000021990000}"/>
    <cellStyle name="Normal 37 3 2 5" xfId="38359" xr:uid="{00000000-0005-0000-0000-000022990000}"/>
    <cellStyle name="Normal 37 3 2 6" xfId="38360" xr:uid="{00000000-0005-0000-0000-000023990000}"/>
    <cellStyle name="Normal 37 3 3" xfId="38361" xr:uid="{00000000-0005-0000-0000-000024990000}"/>
    <cellStyle name="Normal 37 3 3 2" xfId="38362" xr:uid="{00000000-0005-0000-0000-000025990000}"/>
    <cellStyle name="Normal 37 3 3 3" xfId="38363" xr:uid="{00000000-0005-0000-0000-000026990000}"/>
    <cellStyle name="Normal 37 3 4" xfId="38364" xr:uid="{00000000-0005-0000-0000-000027990000}"/>
    <cellStyle name="Normal 37 3 4 2" xfId="38365" xr:uid="{00000000-0005-0000-0000-000028990000}"/>
    <cellStyle name="Normal 37 3 4 3" xfId="38366" xr:uid="{00000000-0005-0000-0000-000029990000}"/>
    <cellStyle name="Normal 37 3 5" xfId="38367" xr:uid="{00000000-0005-0000-0000-00002A990000}"/>
    <cellStyle name="Normal 37 3 6" xfId="38368" xr:uid="{00000000-0005-0000-0000-00002B990000}"/>
    <cellStyle name="Normal 37 3 7" xfId="38369" xr:uid="{00000000-0005-0000-0000-00002C990000}"/>
    <cellStyle name="Normal 37 3 8" xfId="38370" xr:uid="{00000000-0005-0000-0000-00002D990000}"/>
    <cellStyle name="Normal 37 4" xfId="38371" xr:uid="{00000000-0005-0000-0000-00002E990000}"/>
    <cellStyle name="Normal 37 4 2" xfId="38372" xr:uid="{00000000-0005-0000-0000-00002F990000}"/>
    <cellStyle name="Normal 37 4 2 2" xfId="38373" xr:uid="{00000000-0005-0000-0000-000030990000}"/>
    <cellStyle name="Normal 37 4 2 3" xfId="38374" xr:uid="{00000000-0005-0000-0000-000031990000}"/>
    <cellStyle name="Normal 37 4 3" xfId="38375" xr:uid="{00000000-0005-0000-0000-000032990000}"/>
    <cellStyle name="Normal 37 4 3 2" xfId="38376" xr:uid="{00000000-0005-0000-0000-000033990000}"/>
    <cellStyle name="Normal 37 4 3 3" xfId="38377" xr:uid="{00000000-0005-0000-0000-000034990000}"/>
    <cellStyle name="Normal 37 4 4" xfId="38378" xr:uid="{00000000-0005-0000-0000-000035990000}"/>
    <cellStyle name="Normal 37 4 5" xfId="38379" xr:uid="{00000000-0005-0000-0000-000036990000}"/>
    <cellStyle name="Normal 37 4 6" xfId="38380" xr:uid="{00000000-0005-0000-0000-000037990000}"/>
    <cellStyle name="Normal 37 5" xfId="38381" xr:uid="{00000000-0005-0000-0000-000038990000}"/>
    <cellStyle name="Normal 37 5 2" xfId="38382" xr:uid="{00000000-0005-0000-0000-000039990000}"/>
    <cellStyle name="Normal 37 5 3" xfId="38383" xr:uid="{00000000-0005-0000-0000-00003A990000}"/>
    <cellStyle name="Normal 37 6" xfId="38384" xr:uid="{00000000-0005-0000-0000-00003B990000}"/>
    <cellStyle name="Normal 37 6 2" xfId="38385" xr:uid="{00000000-0005-0000-0000-00003C990000}"/>
    <cellStyle name="Normal 37 6 3" xfId="38386" xr:uid="{00000000-0005-0000-0000-00003D990000}"/>
    <cellStyle name="Normal 37 7" xfId="38387" xr:uid="{00000000-0005-0000-0000-00003E990000}"/>
    <cellStyle name="Normal 37 8" xfId="38388" xr:uid="{00000000-0005-0000-0000-00003F990000}"/>
    <cellStyle name="Normal 37 9" xfId="38389" xr:uid="{00000000-0005-0000-0000-000040990000}"/>
    <cellStyle name="Normal 370" xfId="3288" xr:uid="{00000000-0005-0000-0000-000041990000}"/>
    <cellStyle name="Normal 370 10" xfId="38390" xr:uid="{00000000-0005-0000-0000-000042990000}"/>
    <cellStyle name="Normal 370 11" xfId="38391" xr:uid="{00000000-0005-0000-0000-000043990000}"/>
    <cellStyle name="Normal 370 2" xfId="3289" xr:uid="{00000000-0005-0000-0000-000044990000}"/>
    <cellStyle name="Normal 370 2 10" xfId="38392" xr:uid="{00000000-0005-0000-0000-000045990000}"/>
    <cellStyle name="Normal 370 2 2" xfId="38393" xr:uid="{00000000-0005-0000-0000-000046990000}"/>
    <cellStyle name="Normal 370 2 2 2" xfId="38394" xr:uid="{00000000-0005-0000-0000-000047990000}"/>
    <cellStyle name="Normal 370 2 2 2 2" xfId="38395" xr:uid="{00000000-0005-0000-0000-000048990000}"/>
    <cellStyle name="Normal 370 2 2 2 2 2" xfId="38396" xr:uid="{00000000-0005-0000-0000-000049990000}"/>
    <cellStyle name="Normal 370 2 2 2 2 3" xfId="38397" xr:uid="{00000000-0005-0000-0000-00004A990000}"/>
    <cellStyle name="Normal 370 2 2 2 3" xfId="38398" xr:uid="{00000000-0005-0000-0000-00004B990000}"/>
    <cellStyle name="Normal 370 2 2 2 3 2" xfId="38399" xr:uid="{00000000-0005-0000-0000-00004C990000}"/>
    <cellStyle name="Normal 370 2 2 2 3 3" xfId="38400" xr:uid="{00000000-0005-0000-0000-00004D990000}"/>
    <cellStyle name="Normal 370 2 2 2 4" xfId="38401" xr:uid="{00000000-0005-0000-0000-00004E990000}"/>
    <cellStyle name="Normal 370 2 2 2 5" xfId="38402" xr:uid="{00000000-0005-0000-0000-00004F990000}"/>
    <cellStyle name="Normal 370 2 2 2 6" xfId="38403" xr:uid="{00000000-0005-0000-0000-000050990000}"/>
    <cellStyle name="Normal 370 2 2 3" xfId="38404" xr:uid="{00000000-0005-0000-0000-000051990000}"/>
    <cellStyle name="Normal 370 2 2 3 2" xfId="38405" xr:uid="{00000000-0005-0000-0000-000052990000}"/>
    <cellStyle name="Normal 370 2 2 3 3" xfId="38406" xr:uid="{00000000-0005-0000-0000-000053990000}"/>
    <cellStyle name="Normal 370 2 2 4" xfId="38407" xr:uid="{00000000-0005-0000-0000-000054990000}"/>
    <cellStyle name="Normal 370 2 2 4 2" xfId="38408" xr:uid="{00000000-0005-0000-0000-000055990000}"/>
    <cellStyle name="Normal 370 2 2 4 3" xfId="38409" xr:uid="{00000000-0005-0000-0000-000056990000}"/>
    <cellStyle name="Normal 370 2 2 5" xfId="38410" xr:uid="{00000000-0005-0000-0000-000057990000}"/>
    <cellStyle name="Normal 370 2 2 6" xfId="38411" xr:uid="{00000000-0005-0000-0000-000058990000}"/>
    <cellStyle name="Normal 370 2 2 7" xfId="38412" xr:uid="{00000000-0005-0000-0000-000059990000}"/>
    <cellStyle name="Normal 370 2 2 8" xfId="38413" xr:uid="{00000000-0005-0000-0000-00005A990000}"/>
    <cellStyle name="Normal 370 2 3" xfId="38414" xr:uid="{00000000-0005-0000-0000-00005B990000}"/>
    <cellStyle name="Normal 370 2 3 2" xfId="38415" xr:uid="{00000000-0005-0000-0000-00005C990000}"/>
    <cellStyle name="Normal 370 2 3 2 2" xfId="38416" xr:uid="{00000000-0005-0000-0000-00005D990000}"/>
    <cellStyle name="Normal 370 2 3 2 3" xfId="38417" xr:uid="{00000000-0005-0000-0000-00005E990000}"/>
    <cellStyle name="Normal 370 2 3 3" xfId="38418" xr:uid="{00000000-0005-0000-0000-00005F990000}"/>
    <cellStyle name="Normal 370 2 3 3 2" xfId="38419" xr:uid="{00000000-0005-0000-0000-000060990000}"/>
    <cellStyle name="Normal 370 2 3 3 3" xfId="38420" xr:uid="{00000000-0005-0000-0000-000061990000}"/>
    <cellStyle name="Normal 370 2 3 4" xfId="38421" xr:uid="{00000000-0005-0000-0000-000062990000}"/>
    <cellStyle name="Normal 370 2 3 5" xfId="38422" xr:uid="{00000000-0005-0000-0000-000063990000}"/>
    <cellStyle name="Normal 370 2 3 6" xfId="38423" xr:uid="{00000000-0005-0000-0000-000064990000}"/>
    <cellStyle name="Normal 370 2 4" xfId="38424" xr:uid="{00000000-0005-0000-0000-000065990000}"/>
    <cellStyle name="Normal 370 2 4 2" xfId="38425" xr:uid="{00000000-0005-0000-0000-000066990000}"/>
    <cellStyle name="Normal 370 2 4 3" xfId="38426" xr:uid="{00000000-0005-0000-0000-000067990000}"/>
    <cellStyle name="Normal 370 2 5" xfId="38427" xr:uid="{00000000-0005-0000-0000-000068990000}"/>
    <cellStyle name="Normal 370 2 5 2" xfId="38428" xr:uid="{00000000-0005-0000-0000-000069990000}"/>
    <cellStyle name="Normal 370 2 5 3" xfId="38429" xr:uid="{00000000-0005-0000-0000-00006A990000}"/>
    <cellStyle name="Normal 370 2 6" xfId="38430" xr:uid="{00000000-0005-0000-0000-00006B990000}"/>
    <cellStyle name="Normal 370 2 7" xfId="38431" xr:uid="{00000000-0005-0000-0000-00006C990000}"/>
    <cellStyle name="Normal 370 2 8" xfId="38432" xr:uid="{00000000-0005-0000-0000-00006D990000}"/>
    <cellStyle name="Normal 370 2 9" xfId="38433" xr:uid="{00000000-0005-0000-0000-00006E990000}"/>
    <cellStyle name="Normal 370 3" xfId="38434" xr:uid="{00000000-0005-0000-0000-00006F990000}"/>
    <cellStyle name="Normal 370 3 2" xfId="38435" xr:uid="{00000000-0005-0000-0000-000070990000}"/>
    <cellStyle name="Normal 370 3 2 2" xfId="38436" xr:uid="{00000000-0005-0000-0000-000071990000}"/>
    <cellStyle name="Normal 370 3 2 2 2" xfId="38437" xr:uid="{00000000-0005-0000-0000-000072990000}"/>
    <cellStyle name="Normal 370 3 2 2 3" xfId="38438" xr:uid="{00000000-0005-0000-0000-000073990000}"/>
    <cellStyle name="Normal 370 3 2 3" xfId="38439" xr:uid="{00000000-0005-0000-0000-000074990000}"/>
    <cellStyle name="Normal 370 3 2 3 2" xfId="38440" xr:uid="{00000000-0005-0000-0000-000075990000}"/>
    <cellStyle name="Normal 370 3 2 3 3" xfId="38441" xr:uid="{00000000-0005-0000-0000-000076990000}"/>
    <cellStyle name="Normal 370 3 2 4" xfId="38442" xr:uid="{00000000-0005-0000-0000-000077990000}"/>
    <cellStyle name="Normal 370 3 2 5" xfId="38443" xr:uid="{00000000-0005-0000-0000-000078990000}"/>
    <cellStyle name="Normal 370 3 2 6" xfId="38444" xr:uid="{00000000-0005-0000-0000-000079990000}"/>
    <cellStyle name="Normal 370 3 3" xfId="38445" xr:uid="{00000000-0005-0000-0000-00007A990000}"/>
    <cellStyle name="Normal 370 3 3 2" xfId="38446" xr:uid="{00000000-0005-0000-0000-00007B990000}"/>
    <cellStyle name="Normal 370 3 3 3" xfId="38447" xr:uid="{00000000-0005-0000-0000-00007C990000}"/>
    <cellStyle name="Normal 370 3 4" xfId="38448" xr:uid="{00000000-0005-0000-0000-00007D990000}"/>
    <cellStyle name="Normal 370 3 4 2" xfId="38449" xr:uid="{00000000-0005-0000-0000-00007E990000}"/>
    <cellStyle name="Normal 370 3 4 3" xfId="38450" xr:uid="{00000000-0005-0000-0000-00007F990000}"/>
    <cellStyle name="Normal 370 3 5" xfId="38451" xr:uid="{00000000-0005-0000-0000-000080990000}"/>
    <cellStyle name="Normal 370 3 6" xfId="38452" xr:uid="{00000000-0005-0000-0000-000081990000}"/>
    <cellStyle name="Normal 370 3 7" xfId="38453" xr:uid="{00000000-0005-0000-0000-000082990000}"/>
    <cellStyle name="Normal 370 3 8" xfId="38454" xr:uid="{00000000-0005-0000-0000-000083990000}"/>
    <cellStyle name="Normal 370 4" xfId="38455" xr:uid="{00000000-0005-0000-0000-000084990000}"/>
    <cellStyle name="Normal 370 4 2" xfId="38456" xr:uid="{00000000-0005-0000-0000-000085990000}"/>
    <cellStyle name="Normal 370 4 2 2" xfId="38457" xr:uid="{00000000-0005-0000-0000-000086990000}"/>
    <cellStyle name="Normal 370 4 2 3" xfId="38458" xr:uid="{00000000-0005-0000-0000-000087990000}"/>
    <cellStyle name="Normal 370 4 3" xfId="38459" xr:uid="{00000000-0005-0000-0000-000088990000}"/>
    <cellStyle name="Normal 370 4 3 2" xfId="38460" xr:uid="{00000000-0005-0000-0000-000089990000}"/>
    <cellStyle name="Normal 370 4 3 3" xfId="38461" xr:uid="{00000000-0005-0000-0000-00008A990000}"/>
    <cellStyle name="Normal 370 4 4" xfId="38462" xr:uid="{00000000-0005-0000-0000-00008B990000}"/>
    <cellStyle name="Normal 370 4 5" xfId="38463" xr:uid="{00000000-0005-0000-0000-00008C990000}"/>
    <cellStyle name="Normal 370 4 6" xfId="38464" xr:uid="{00000000-0005-0000-0000-00008D990000}"/>
    <cellStyle name="Normal 370 5" xfId="38465" xr:uid="{00000000-0005-0000-0000-00008E990000}"/>
    <cellStyle name="Normal 370 5 2" xfId="38466" xr:uid="{00000000-0005-0000-0000-00008F990000}"/>
    <cellStyle name="Normal 370 5 3" xfId="38467" xr:uid="{00000000-0005-0000-0000-000090990000}"/>
    <cellStyle name="Normal 370 6" xfId="38468" xr:uid="{00000000-0005-0000-0000-000091990000}"/>
    <cellStyle name="Normal 370 6 2" xfId="38469" xr:uid="{00000000-0005-0000-0000-000092990000}"/>
    <cellStyle name="Normal 370 6 3" xfId="38470" xr:uid="{00000000-0005-0000-0000-000093990000}"/>
    <cellStyle name="Normal 370 7" xfId="38471" xr:uid="{00000000-0005-0000-0000-000094990000}"/>
    <cellStyle name="Normal 370 8" xfId="38472" xr:uid="{00000000-0005-0000-0000-000095990000}"/>
    <cellStyle name="Normal 370 9" xfId="38473" xr:uid="{00000000-0005-0000-0000-000096990000}"/>
    <cellStyle name="Normal 371" xfId="3290" xr:uid="{00000000-0005-0000-0000-000097990000}"/>
    <cellStyle name="Normal 371 10" xfId="38474" xr:uid="{00000000-0005-0000-0000-000098990000}"/>
    <cellStyle name="Normal 371 11" xfId="38475" xr:uid="{00000000-0005-0000-0000-000099990000}"/>
    <cellStyle name="Normal 371 2" xfId="38476" xr:uid="{00000000-0005-0000-0000-00009A990000}"/>
    <cellStyle name="Normal 371 2 2" xfId="38477" xr:uid="{00000000-0005-0000-0000-00009B990000}"/>
    <cellStyle name="Normal 371 2 2 2" xfId="38478" xr:uid="{00000000-0005-0000-0000-00009C990000}"/>
    <cellStyle name="Normal 371 2 2 2 2" xfId="38479" xr:uid="{00000000-0005-0000-0000-00009D990000}"/>
    <cellStyle name="Normal 371 2 2 2 2 2" xfId="38480" xr:uid="{00000000-0005-0000-0000-00009E990000}"/>
    <cellStyle name="Normal 371 2 2 2 2 3" xfId="38481" xr:uid="{00000000-0005-0000-0000-00009F990000}"/>
    <cellStyle name="Normal 371 2 2 2 3" xfId="38482" xr:uid="{00000000-0005-0000-0000-0000A0990000}"/>
    <cellStyle name="Normal 371 2 2 2 3 2" xfId="38483" xr:uid="{00000000-0005-0000-0000-0000A1990000}"/>
    <cellStyle name="Normal 371 2 2 2 3 3" xfId="38484" xr:uid="{00000000-0005-0000-0000-0000A2990000}"/>
    <cellStyle name="Normal 371 2 2 2 4" xfId="38485" xr:uid="{00000000-0005-0000-0000-0000A3990000}"/>
    <cellStyle name="Normal 371 2 2 2 5" xfId="38486" xr:uid="{00000000-0005-0000-0000-0000A4990000}"/>
    <cellStyle name="Normal 371 2 2 2 6" xfId="38487" xr:uid="{00000000-0005-0000-0000-0000A5990000}"/>
    <cellStyle name="Normal 371 2 2 3" xfId="38488" xr:uid="{00000000-0005-0000-0000-0000A6990000}"/>
    <cellStyle name="Normal 371 2 2 3 2" xfId="38489" xr:uid="{00000000-0005-0000-0000-0000A7990000}"/>
    <cellStyle name="Normal 371 2 2 3 3" xfId="38490" xr:uid="{00000000-0005-0000-0000-0000A8990000}"/>
    <cellStyle name="Normal 371 2 2 4" xfId="38491" xr:uid="{00000000-0005-0000-0000-0000A9990000}"/>
    <cellStyle name="Normal 371 2 2 4 2" xfId="38492" xr:uid="{00000000-0005-0000-0000-0000AA990000}"/>
    <cellStyle name="Normal 371 2 2 4 3" xfId="38493" xr:uid="{00000000-0005-0000-0000-0000AB990000}"/>
    <cellStyle name="Normal 371 2 2 5" xfId="38494" xr:uid="{00000000-0005-0000-0000-0000AC990000}"/>
    <cellStyle name="Normal 371 2 2 6" xfId="38495" xr:uid="{00000000-0005-0000-0000-0000AD990000}"/>
    <cellStyle name="Normal 371 2 2 7" xfId="38496" xr:uid="{00000000-0005-0000-0000-0000AE990000}"/>
    <cellStyle name="Normal 371 2 2 8" xfId="38497" xr:uid="{00000000-0005-0000-0000-0000AF990000}"/>
    <cellStyle name="Normal 371 2 3" xfId="38498" xr:uid="{00000000-0005-0000-0000-0000B0990000}"/>
    <cellStyle name="Normal 371 2 3 2" xfId="38499" xr:uid="{00000000-0005-0000-0000-0000B1990000}"/>
    <cellStyle name="Normal 371 2 3 2 2" xfId="38500" xr:uid="{00000000-0005-0000-0000-0000B2990000}"/>
    <cellStyle name="Normal 371 2 3 2 3" xfId="38501" xr:uid="{00000000-0005-0000-0000-0000B3990000}"/>
    <cellStyle name="Normal 371 2 3 3" xfId="38502" xr:uid="{00000000-0005-0000-0000-0000B4990000}"/>
    <cellStyle name="Normal 371 2 3 3 2" xfId="38503" xr:uid="{00000000-0005-0000-0000-0000B5990000}"/>
    <cellStyle name="Normal 371 2 3 3 3" xfId="38504" xr:uid="{00000000-0005-0000-0000-0000B6990000}"/>
    <cellStyle name="Normal 371 2 3 4" xfId="38505" xr:uid="{00000000-0005-0000-0000-0000B7990000}"/>
    <cellStyle name="Normal 371 2 3 5" xfId="38506" xr:uid="{00000000-0005-0000-0000-0000B8990000}"/>
    <cellStyle name="Normal 371 2 3 6" xfId="38507" xr:uid="{00000000-0005-0000-0000-0000B9990000}"/>
    <cellStyle name="Normal 371 2 4" xfId="38508" xr:uid="{00000000-0005-0000-0000-0000BA990000}"/>
    <cellStyle name="Normal 371 2 4 2" xfId="38509" xr:uid="{00000000-0005-0000-0000-0000BB990000}"/>
    <cellStyle name="Normal 371 2 4 3" xfId="38510" xr:uid="{00000000-0005-0000-0000-0000BC990000}"/>
    <cellStyle name="Normal 371 2 5" xfId="38511" xr:uid="{00000000-0005-0000-0000-0000BD990000}"/>
    <cellStyle name="Normal 371 2 5 2" xfId="38512" xr:uid="{00000000-0005-0000-0000-0000BE990000}"/>
    <cellStyle name="Normal 371 2 5 3" xfId="38513" xr:uid="{00000000-0005-0000-0000-0000BF990000}"/>
    <cellStyle name="Normal 371 2 6" xfId="38514" xr:uid="{00000000-0005-0000-0000-0000C0990000}"/>
    <cellStyle name="Normal 371 2 7" xfId="38515" xr:uid="{00000000-0005-0000-0000-0000C1990000}"/>
    <cellStyle name="Normal 371 2 8" xfId="38516" xr:uid="{00000000-0005-0000-0000-0000C2990000}"/>
    <cellStyle name="Normal 371 2 9" xfId="38517" xr:uid="{00000000-0005-0000-0000-0000C3990000}"/>
    <cellStyle name="Normal 371 3" xfId="38518" xr:uid="{00000000-0005-0000-0000-0000C4990000}"/>
    <cellStyle name="Normal 371 3 2" xfId="38519" xr:uid="{00000000-0005-0000-0000-0000C5990000}"/>
    <cellStyle name="Normal 371 3 2 2" xfId="38520" xr:uid="{00000000-0005-0000-0000-0000C6990000}"/>
    <cellStyle name="Normal 371 3 2 2 2" xfId="38521" xr:uid="{00000000-0005-0000-0000-0000C7990000}"/>
    <cellStyle name="Normal 371 3 2 2 3" xfId="38522" xr:uid="{00000000-0005-0000-0000-0000C8990000}"/>
    <cellStyle name="Normal 371 3 2 3" xfId="38523" xr:uid="{00000000-0005-0000-0000-0000C9990000}"/>
    <cellStyle name="Normal 371 3 2 3 2" xfId="38524" xr:uid="{00000000-0005-0000-0000-0000CA990000}"/>
    <cellStyle name="Normal 371 3 2 3 3" xfId="38525" xr:uid="{00000000-0005-0000-0000-0000CB990000}"/>
    <cellStyle name="Normal 371 3 2 4" xfId="38526" xr:uid="{00000000-0005-0000-0000-0000CC990000}"/>
    <cellStyle name="Normal 371 3 2 5" xfId="38527" xr:uid="{00000000-0005-0000-0000-0000CD990000}"/>
    <cellStyle name="Normal 371 3 2 6" xfId="38528" xr:uid="{00000000-0005-0000-0000-0000CE990000}"/>
    <cellStyle name="Normal 371 3 3" xfId="38529" xr:uid="{00000000-0005-0000-0000-0000CF990000}"/>
    <cellStyle name="Normal 371 3 3 2" xfId="38530" xr:uid="{00000000-0005-0000-0000-0000D0990000}"/>
    <cellStyle name="Normal 371 3 3 3" xfId="38531" xr:uid="{00000000-0005-0000-0000-0000D1990000}"/>
    <cellStyle name="Normal 371 3 4" xfId="38532" xr:uid="{00000000-0005-0000-0000-0000D2990000}"/>
    <cellStyle name="Normal 371 3 4 2" xfId="38533" xr:uid="{00000000-0005-0000-0000-0000D3990000}"/>
    <cellStyle name="Normal 371 3 4 3" xfId="38534" xr:uid="{00000000-0005-0000-0000-0000D4990000}"/>
    <cellStyle name="Normal 371 3 5" xfId="38535" xr:uid="{00000000-0005-0000-0000-0000D5990000}"/>
    <cellStyle name="Normal 371 3 6" xfId="38536" xr:uid="{00000000-0005-0000-0000-0000D6990000}"/>
    <cellStyle name="Normal 371 3 7" xfId="38537" xr:uid="{00000000-0005-0000-0000-0000D7990000}"/>
    <cellStyle name="Normal 371 3 8" xfId="38538" xr:uid="{00000000-0005-0000-0000-0000D8990000}"/>
    <cellStyle name="Normal 371 4" xfId="38539" xr:uid="{00000000-0005-0000-0000-0000D9990000}"/>
    <cellStyle name="Normal 371 4 2" xfId="38540" xr:uid="{00000000-0005-0000-0000-0000DA990000}"/>
    <cellStyle name="Normal 371 4 2 2" xfId="38541" xr:uid="{00000000-0005-0000-0000-0000DB990000}"/>
    <cellStyle name="Normal 371 4 2 3" xfId="38542" xr:uid="{00000000-0005-0000-0000-0000DC990000}"/>
    <cellStyle name="Normal 371 4 3" xfId="38543" xr:uid="{00000000-0005-0000-0000-0000DD990000}"/>
    <cellStyle name="Normal 371 4 3 2" xfId="38544" xr:uid="{00000000-0005-0000-0000-0000DE990000}"/>
    <cellStyle name="Normal 371 4 3 3" xfId="38545" xr:uid="{00000000-0005-0000-0000-0000DF990000}"/>
    <cellStyle name="Normal 371 4 4" xfId="38546" xr:uid="{00000000-0005-0000-0000-0000E0990000}"/>
    <cellStyle name="Normal 371 4 5" xfId="38547" xr:uid="{00000000-0005-0000-0000-0000E1990000}"/>
    <cellStyle name="Normal 371 4 6" xfId="38548" xr:uid="{00000000-0005-0000-0000-0000E2990000}"/>
    <cellStyle name="Normal 371 5" xfId="38549" xr:uid="{00000000-0005-0000-0000-0000E3990000}"/>
    <cellStyle name="Normal 371 5 2" xfId="38550" xr:uid="{00000000-0005-0000-0000-0000E4990000}"/>
    <cellStyle name="Normal 371 5 3" xfId="38551" xr:uid="{00000000-0005-0000-0000-0000E5990000}"/>
    <cellStyle name="Normal 371 6" xfId="38552" xr:uid="{00000000-0005-0000-0000-0000E6990000}"/>
    <cellStyle name="Normal 371 6 2" xfId="38553" xr:uid="{00000000-0005-0000-0000-0000E7990000}"/>
    <cellStyle name="Normal 371 6 3" xfId="38554" xr:uid="{00000000-0005-0000-0000-0000E8990000}"/>
    <cellStyle name="Normal 371 7" xfId="38555" xr:uid="{00000000-0005-0000-0000-0000E9990000}"/>
    <cellStyle name="Normal 371 8" xfId="38556" xr:uid="{00000000-0005-0000-0000-0000EA990000}"/>
    <cellStyle name="Normal 371 9" xfId="38557" xr:uid="{00000000-0005-0000-0000-0000EB990000}"/>
    <cellStyle name="Normal 372" xfId="3291" xr:uid="{00000000-0005-0000-0000-0000EC990000}"/>
    <cellStyle name="Normal 372 10" xfId="38558" xr:uid="{00000000-0005-0000-0000-0000ED990000}"/>
    <cellStyle name="Normal 372 11" xfId="38559" xr:uid="{00000000-0005-0000-0000-0000EE990000}"/>
    <cellStyle name="Normal 372 2" xfId="38560" xr:uid="{00000000-0005-0000-0000-0000EF990000}"/>
    <cellStyle name="Normal 372 2 2" xfId="38561" xr:uid="{00000000-0005-0000-0000-0000F0990000}"/>
    <cellStyle name="Normal 372 2 2 2" xfId="38562" xr:uid="{00000000-0005-0000-0000-0000F1990000}"/>
    <cellStyle name="Normal 372 2 2 2 2" xfId="38563" xr:uid="{00000000-0005-0000-0000-0000F2990000}"/>
    <cellStyle name="Normal 372 2 2 2 2 2" xfId="38564" xr:uid="{00000000-0005-0000-0000-0000F3990000}"/>
    <cellStyle name="Normal 372 2 2 2 2 3" xfId="38565" xr:uid="{00000000-0005-0000-0000-0000F4990000}"/>
    <cellStyle name="Normal 372 2 2 2 3" xfId="38566" xr:uid="{00000000-0005-0000-0000-0000F5990000}"/>
    <cellStyle name="Normal 372 2 2 2 3 2" xfId="38567" xr:uid="{00000000-0005-0000-0000-0000F6990000}"/>
    <cellStyle name="Normal 372 2 2 2 3 3" xfId="38568" xr:uid="{00000000-0005-0000-0000-0000F7990000}"/>
    <cellStyle name="Normal 372 2 2 2 4" xfId="38569" xr:uid="{00000000-0005-0000-0000-0000F8990000}"/>
    <cellStyle name="Normal 372 2 2 2 5" xfId="38570" xr:uid="{00000000-0005-0000-0000-0000F9990000}"/>
    <cellStyle name="Normal 372 2 2 2 6" xfId="38571" xr:uid="{00000000-0005-0000-0000-0000FA990000}"/>
    <cellStyle name="Normal 372 2 2 3" xfId="38572" xr:uid="{00000000-0005-0000-0000-0000FB990000}"/>
    <cellStyle name="Normal 372 2 2 3 2" xfId="38573" xr:uid="{00000000-0005-0000-0000-0000FC990000}"/>
    <cellStyle name="Normal 372 2 2 3 3" xfId="38574" xr:uid="{00000000-0005-0000-0000-0000FD990000}"/>
    <cellStyle name="Normal 372 2 2 4" xfId="38575" xr:uid="{00000000-0005-0000-0000-0000FE990000}"/>
    <cellStyle name="Normal 372 2 2 4 2" xfId="38576" xr:uid="{00000000-0005-0000-0000-0000FF990000}"/>
    <cellStyle name="Normal 372 2 2 4 3" xfId="38577" xr:uid="{00000000-0005-0000-0000-0000009A0000}"/>
    <cellStyle name="Normal 372 2 2 5" xfId="38578" xr:uid="{00000000-0005-0000-0000-0000019A0000}"/>
    <cellStyle name="Normal 372 2 2 6" xfId="38579" xr:uid="{00000000-0005-0000-0000-0000029A0000}"/>
    <cellStyle name="Normal 372 2 2 7" xfId="38580" xr:uid="{00000000-0005-0000-0000-0000039A0000}"/>
    <cellStyle name="Normal 372 2 2 8" xfId="38581" xr:uid="{00000000-0005-0000-0000-0000049A0000}"/>
    <cellStyle name="Normal 372 2 3" xfId="38582" xr:uid="{00000000-0005-0000-0000-0000059A0000}"/>
    <cellStyle name="Normal 372 2 3 2" xfId="38583" xr:uid="{00000000-0005-0000-0000-0000069A0000}"/>
    <cellStyle name="Normal 372 2 3 2 2" xfId="38584" xr:uid="{00000000-0005-0000-0000-0000079A0000}"/>
    <cellStyle name="Normal 372 2 3 2 3" xfId="38585" xr:uid="{00000000-0005-0000-0000-0000089A0000}"/>
    <cellStyle name="Normal 372 2 3 3" xfId="38586" xr:uid="{00000000-0005-0000-0000-0000099A0000}"/>
    <cellStyle name="Normal 372 2 3 3 2" xfId="38587" xr:uid="{00000000-0005-0000-0000-00000A9A0000}"/>
    <cellStyle name="Normal 372 2 3 3 3" xfId="38588" xr:uid="{00000000-0005-0000-0000-00000B9A0000}"/>
    <cellStyle name="Normal 372 2 3 4" xfId="38589" xr:uid="{00000000-0005-0000-0000-00000C9A0000}"/>
    <cellStyle name="Normal 372 2 3 5" xfId="38590" xr:uid="{00000000-0005-0000-0000-00000D9A0000}"/>
    <cellStyle name="Normal 372 2 3 6" xfId="38591" xr:uid="{00000000-0005-0000-0000-00000E9A0000}"/>
    <cellStyle name="Normal 372 2 4" xfId="38592" xr:uid="{00000000-0005-0000-0000-00000F9A0000}"/>
    <cellStyle name="Normal 372 2 4 2" xfId="38593" xr:uid="{00000000-0005-0000-0000-0000109A0000}"/>
    <cellStyle name="Normal 372 2 4 3" xfId="38594" xr:uid="{00000000-0005-0000-0000-0000119A0000}"/>
    <cellStyle name="Normal 372 2 5" xfId="38595" xr:uid="{00000000-0005-0000-0000-0000129A0000}"/>
    <cellStyle name="Normal 372 2 5 2" xfId="38596" xr:uid="{00000000-0005-0000-0000-0000139A0000}"/>
    <cellStyle name="Normal 372 2 5 3" xfId="38597" xr:uid="{00000000-0005-0000-0000-0000149A0000}"/>
    <cellStyle name="Normal 372 2 6" xfId="38598" xr:uid="{00000000-0005-0000-0000-0000159A0000}"/>
    <cellStyle name="Normal 372 2 7" xfId="38599" xr:uid="{00000000-0005-0000-0000-0000169A0000}"/>
    <cellStyle name="Normal 372 2 8" xfId="38600" xr:uid="{00000000-0005-0000-0000-0000179A0000}"/>
    <cellStyle name="Normal 372 2 9" xfId="38601" xr:uid="{00000000-0005-0000-0000-0000189A0000}"/>
    <cellStyle name="Normal 372 3" xfId="38602" xr:uid="{00000000-0005-0000-0000-0000199A0000}"/>
    <cellStyle name="Normal 372 3 2" xfId="38603" xr:uid="{00000000-0005-0000-0000-00001A9A0000}"/>
    <cellStyle name="Normal 372 3 2 2" xfId="38604" xr:uid="{00000000-0005-0000-0000-00001B9A0000}"/>
    <cellStyle name="Normal 372 3 2 2 2" xfId="38605" xr:uid="{00000000-0005-0000-0000-00001C9A0000}"/>
    <cellStyle name="Normal 372 3 2 2 3" xfId="38606" xr:uid="{00000000-0005-0000-0000-00001D9A0000}"/>
    <cellStyle name="Normal 372 3 2 3" xfId="38607" xr:uid="{00000000-0005-0000-0000-00001E9A0000}"/>
    <cellStyle name="Normal 372 3 2 3 2" xfId="38608" xr:uid="{00000000-0005-0000-0000-00001F9A0000}"/>
    <cellStyle name="Normal 372 3 2 3 3" xfId="38609" xr:uid="{00000000-0005-0000-0000-0000209A0000}"/>
    <cellStyle name="Normal 372 3 2 4" xfId="38610" xr:uid="{00000000-0005-0000-0000-0000219A0000}"/>
    <cellStyle name="Normal 372 3 2 5" xfId="38611" xr:uid="{00000000-0005-0000-0000-0000229A0000}"/>
    <cellStyle name="Normal 372 3 2 6" xfId="38612" xr:uid="{00000000-0005-0000-0000-0000239A0000}"/>
    <cellStyle name="Normal 372 3 3" xfId="38613" xr:uid="{00000000-0005-0000-0000-0000249A0000}"/>
    <cellStyle name="Normal 372 3 3 2" xfId="38614" xr:uid="{00000000-0005-0000-0000-0000259A0000}"/>
    <cellStyle name="Normal 372 3 3 3" xfId="38615" xr:uid="{00000000-0005-0000-0000-0000269A0000}"/>
    <cellStyle name="Normal 372 3 4" xfId="38616" xr:uid="{00000000-0005-0000-0000-0000279A0000}"/>
    <cellStyle name="Normal 372 3 4 2" xfId="38617" xr:uid="{00000000-0005-0000-0000-0000289A0000}"/>
    <cellStyle name="Normal 372 3 4 3" xfId="38618" xr:uid="{00000000-0005-0000-0000-0000299A0000}"/>
    <cellStyle name="Normal 372 3 5" xfId="38619" xr:uid="{00000000-0005-0000-0000-00002A9A0000}"/>
    <cellStyle name="Normal 372 3 6" xfId="38620" xr:uid="{00000000-0005-0000-0000-00002B9A0000}"/>
    <cellStyle name="Normal 372 3 7" xfId="38621" xr:uid="{00000000-0005-0000-0000-00002C9A0000}"/>
    <cellStyle name="Normal 372 3 8" xfId="38622" xr:uid="{00000000-0005-0000-0000-00002D9A0000}"/>
    <cellStyle name="Normal 372 4" xfId="38623" xr:uid="{00000000-0005-0000-0000-00002E9A0000}"/>
    <cellStyle name="Normal 372 4 2" xfId="38624" xr:uid="{00000000-0005-0000-0000-00002F9A0000}"/>
    <cellStyle name="Normal 372 4 2 2" xfId="38625" xr:uid="{00000000-0005-0000-0000-0000309A0000}"/>
    <cellStyle name="Normal 372 4 2 3" xfId="38626" xr:uid="{00000000-0005-0000-0000-0000319A0000}"/>
    <cellStyle name="Normal 372 4 3" xfId="38627" xr:uid="{00000000-0005-0000-0000-0000329A0000}"/>
    <cellStyle name="Normal 372 4 3 2" xfId="38628" xr:uid="{00000000-0005-0000-0000-0000339A0000}"/>
    <cellStyle name="Normal 372 4 3 3" xfId="38629" xr:uid="{00000000-0005-0000-0000-0000349A0000}"/>
    <cellStyle name="Normal 372 4 4" xfId="38630" xr:uid="{00000000-0005-0000-0000-0000359A0000}"/>
    <cellStyle name="Normal 372 4 5" xfId="38631" xr:uid="{00000000-0005-0000-0000-0000369A0000}"/>
    <cellStyle name="Normal 372 4 6" xfId="38632" xr:uid="{00000000-0005-0000-0000-0000379A0000}"/>
    <cellStyle name="Normal 372 5" xfId="38633" xr:uid="{00000000-0005-0000-0000-0000389A0000}"/>
    <cellStyle name="Normal 372 5 2" xfId="38634" xr:uid="{00000000-0005-0000-0000-0000399A0000}"/>
    <cellStyle name="Normal 372 5 3" xfId="38635" xr:uid="{00000000-0005-0000-0000-00003A9A0000}"/>
    <cellStyle name="Normal 372 6" xfId="38636" xr:uid="{00000000-0005-0000-0000-00003B9A0000}"/>
    <cellStyle name="Normal 372 6 2" xfId="38637" xr:uid="{00000000-0005-0000-0000-00003C9A0000}"/>
    <cellStyle name="Normal 372 6 3" xfId="38638" xr:uid="{00000000-0005-0000-0000-00003D9A0000}"/>
    <cellStyle name="Normal 372 7" xfId="38639" xr:uid="{00000000-0005-0000-0000-00003E9A0000}"/>
    <cellStyle name="Normal 372 8" xfId="38640" xr:uid="{00000000-0005-0000-0000-00003F9A0000}"/>
    <cellStyle name="Normal 372 9" xfId="38641" xr:uid="{00000000-0005-0000-0000-0000409A0000}"/>
    <cellStyle name="Normal 373" xfId="3292" xr:uid="{00000000-0005-0000-0000-0000419A0000}"/>
    <cellStyle name="Normal 373 10" xfId="38642" xr:uid="{00000000-0005-0000-0000-0000429A0000}"/>
    <cellStyle name="Normal 373 11" xfId="38643" xr:uid="{00000000-0005-0000-0000-0000439A0000}"/>
    <cellStyle name="Normal 373 2" xfId="38644" xr:uid="{00000000-0005-0000-0000-0000449A0000}"/>
    <cellStyle name="Normal 373 2 2" xfId="38645" xr:uid="{00000000-0005-0000-0000-0000459A0000}"/>
    <cellStyle name="Normal 373 2 2 2" xfId="38646" xr:uid="{00000000-0005-0000-0000-0000469A0000}"/>
    <cellStyle name="Normal 373 2 2 2 2" xfId="38647" xr:uid="{00000000-0005-0000-0000-0000479A0000}"/>
    <cellStyle name="Normal 373 2 2 2 2 2" xfId="38648" xr:uid="{00000000-0005-0000-0000-0000489A0000}"/>
    <cellStyle name="Normal 373 2 2 2 2 3" xfId="38649" xr:uid="{00000000-0005-0000-0000-0000499A0000}"/>
    <cellStyle name="Normal 373 2 2 2 3" xfId="38650" xr:uid="{00000000-0005-0000-0000-00004A9A0000}"/>
    <cellStyle name="Normal 373 2 2 2 3 2" xfId="38651" xr:uid="{00000000-0005-0000-0000-00004B9A0000}"/>
    <cellStyle name="Normal 373 2 2 2 3 3" xfId="38652" xr:uid="{00000000-0005-0000-0000-00004C9A0000}"/>
    <cellStyle name="Normal 373 2 2 2 4" xfId="38653" xr:uid="{00000000-0005-0000-0000-00004D9A0000}"/>
    <cellStyle name="Normal 373 2 2 2 5" xfId="38654" xr:uid="{00000000-0005-0000-0000-00004E9A0000}"/>
    <cellStyle name="Normal 373 2 2 2 6" xfId="38655" xr:uid="{00000000-0005-0000-0000-00004F9A0000}"/>
    <cellStyle name="Normal 373 2 2 3" xfId="38656" xr:uid="{00000000-0005-0000-0000-0000509A0000}"/>
    <cellStyle name="Normal 373 2 2 3 2" xfId="38657" xr:uid="{00000000-0005-0000-0000-0000519A0000}"/>
    <cellStyle name="Normal 373 2 2 3 3" xfId="38658" xr:uid="{00000000-0005-0000-0000-0000529A0000}"/>
    <cellStyle name="Normal 373 2 2 4" xfId="38659" xr:uid="{00000000-0005-0000-0000-0000539A0000}"/>
    <cellStyle name="Normal 373 2 2 4 2" xfId="38660" xr:uid="{00000000-0005-0000-0000-0000549A0000}"/>
    <cellStyle name="Normal 373 2 2 4 3" xfId="38661" xr:uid="{00000000-0005-0000-0000-0000559A0000}"/>
    <cellStyle name="Normal 373 2 2 5" xfId="38662" xr:uid="{00000000-0005-0000-0000-0000569A0000}"/>
    <cellStyle name="Normal 373 2 2 6" xfId="38663" xr:uid="{00000000-0005-0000-0000-0000579A0000}"/>
    <cellStyle name="Normal 373 2 2 7" xfId="38664" xr:uid="{00000000-0005-0000-0000-0000589A0000}"/>
    <cellStyle name="Normal 373 2 2 8" xfId="38665" xr:uid="{00000000-0005-0000-0000-0000599A0000}"/>
    <cellStyle name="Normal 373 2 3" xfId="38666" xr:uid="{00000000-0005-0000-0000-00005A9A0000}"/>
    <cellStyle name="Normal 373 2 3 2" xfId="38667" xr:uid="{00000000-0005-0000-0000-00005B9A0000}"/>
    <cellStyle name="Normal 373 2 3 2 2" xfId="38668" xr:uid="{00000000-0005-0000-0000-00005C9A0000}"/>
    <cellStyle name="Normal 373 2 3 2 3" xfId="38669" xr:uid="{00000000-0005-0000-0000-00005D9A0000}"/>
    <cellStyle name="Normal 373 2 3 3" xfId="38670" xr:uid="{00000000-0005-0000-0000-00005E9A0000}"/>
    <cellStyle name="Normal 373 2 3 3 2" xfId="38671" xr:uid="{00000000-0005-0000-0000-00005F9A0000}"/>
    <cellStyle name="Normal 373 2 3 3 3" xfId="38672" xr:uid="{00000000-0005-0000-0000-0000609A0000}"/>
    <cellStyle name="Normal 373 2 3 4" xfId="38673" xr:uid="{00000000-0005-0000-0000-0000619A0000}"/>
    <cellStyle name="Normal 373 2 3 5" xfId="38674" xr:uid="{00000000-0005-0000-0000-0000629A0000}"/>
    <cellStyle name="Normal 373 2 3 6" xfId="38675" xr:uid="{00000000-0005-0000-0000-0000639A0000}"/>
    <cellStyle name="Normal 373 2 4" xfId="38676" xr:uid="{00000000-0005-0000-0000-0000649A0000}"/>
    <cellStyle name="Normal 373 2 4 2" xfId="38677" xr:uid="{00000000-0005-0000-0000-0000659A0000}"/>
    <cellStyle name="Normal 373 2 4 3" xfId="38678" xr:uid="{00000000-0005-0000-0000-0000669A0000}"/>
    <cellStyle name="Normal 373 2 5" xfId="38679" xr:uid="{00000000-0005-0000-0000-0000679A0000}"/>
    <cellStyle name="Normal 373 2 5 2" xfId="38680" xr:uid="{00000000-0005-0000-0000-0000689A0000}"/>
    <cellStyle name="Normal 373 2 5 3" xfId="38681" xr:uid="{00000000-0005-0000-0000-0000699A0000}"/>
    <cellStyle name="Normal 373 2 6" xfId="38682" xr:uid="{00000000-0005-0000-0000-00006A9A0000}"/>
    <cellStyle name="Normal 373 2 7" xfId="38683" xr:uid="{00000000-0005-0000-0000-00006B9A0000}"/>
    <cellStyle name="Normal 373 2 8" xfId="38684" xr:uid="{00000000-0005-0000-0000-00006C9A0000}"/>
    <cellStyle name="Normal 373 2 9" xfId="38685" xr:uid="{00000000-0005-0000-0000-00006D9A0000}"/>
    <cellStyle name="Normal 373 3" xfId="38686" xr:uid="{00000000-0005-0000-0000-00006E9A0000}"/>
    <cellStyle name="Normal 373 3 2" xfId="38687" xr:uid="{00000000-0005-0000-0000-00006F9A0000}"/>
    <cellStyle name="Normal 373 3 2 2" xfId="38688" xr:uid="{00000000-0005-0000-0000-0000709A0000}"/>
    <cellStyle name="Normal 373 3 2 2 2" xfId="38689" xr:uid="{00000000-0005-0000-0000-0000719A0000}"/>
    <cellStyle name="Normal 373 3 2 2 3" xfId="38690" xr:uid="{00000000-0005-0000-0000-0000729A0000}"/>
    <cellStyle name="Normal 373 3 2 3" xfId="38691" xr:uid="{00000000-0005-0000-0000-0000739A0000}"/>
    <cellStyle name="Normal 373 3 2 3 2" xfId="38692" xr:uid="{00000000-0005-0000-0000-0000749A0000}"/>
    <cellStyle name="Normal 373 3 2 3 3" xfId="38693" xr:uid="{00000000-0005-0000-0000-0000759A0000}"/>
    <cellStyle name="Normal 373 3 2 4" xfId="38694" xr:uid="{00000000-0005-0000-0000-0000769A0000}"/>
    <cellStyle name="Normal 373 3 2 5" xfId="38695" xr:uid="{00000000-0005-0000-0000-0000779A0000}"/>
    <cellStyle name="Normal 373 3 2 6" xfId="38696" xr:uid="{00000000-0005-0000-0000-0000789A0000}"/>
    <cellStyle name="Normal 373 3 3" xfId="38697" xr:uid="{00000000-0005-0000-0000-0000799A0000}"/>
    <cellStyle name="Normal 373 3 3 2" xfId="38698" xr:uid="{00000000-0005-0000-0000-00007A9A0000}"/>
    <cellStyle name="Normal 373 3 3 3" xfId="38699" xr:uid="{00000000-0005-0000-0000-00007B9A0000}"/>
    <cellStyle name="Normal 373 3 4" xfId="38700" xr:uid="{00000000-0005-0000-0000-00007C9A0000}"/>
    <cellStyle name="Normal 373 3 4 2" xfId="38701" xr:uid="{00000000-0005-0000-0000-00007D9A0000}"/>
    <cellStyle name="Normal 373 3 4 3" xfId="38702" xr:uid="{00000000-0005-0000-0000-00007E9A0000}"/>
    <cellStyle name="Normal 373 3 5" xfId="38703" xr:uid="{00000000-0005-0000-0000-00007F9A0000}"/>
    <cellStyle name="Normal 373 3 6" xfId="38704" xr:uid="{00000000-0005-0000-0000-0000809A0000}"/>
    <cellStyle name="Normal 373 3 7" xfId="38705" xr:uid="{00000000-0005-0000-0000-0000819A0000}"/>
    <cellStyle name="Normal 373 3 8" xfId="38706" xr:uid="{00000000-0005-0000-0000-0000829A0000}"/>
    <cellStyle name="Normal 373 4" xfId="38707" xr:uid="{00000000-0005-0000-0000-0000839A0000}"/>
    <cellStyle name="Normal 373 4 2" xfId="38708" xr:uid="{00000000-0005-0000-0000-0000849A0000}"/>
    <cellStyle name="Normal 373 4 2 2" xfId="38709" xr:uid="{00000000-0005-0000-0000-0000859A0000}"/>
    <cellStyle name="Normal 373 4 2 3" xfId="38710" xr:uid="{00000000-0005-0000-0000-0000869A0000}"/>
    <cellStyle name="Normal 373 4 3" xfId="38711" xr:uid="{00000000-0005-0000-0000-0000879A0000}"/>
    <cellStyle name="Normal 373 4 3 2" xfId="38712" xr:uid="{00000000-0005-0000-0000-0000889A0000}"/>
    <cellStyle name="Normal 373 4 3 3" xfId="38713" xr:uid="{00000000-0005-0000-0000-0000899A0000}"/>
    <cellStyle name="Normal 373 4 4" xfId="38714" xr:uid="{00000000-0005-0000-0000-00008A9A0000}"/>
    <cellStyle name="Normal 373 4 5" xfId="38715" xr:uid="{00000000-0005-0000-0000-00008B9A0000}"/>
    <cellStyle name="Normal 373 4 6" xfId="38716" xr:uid="{00000000-0005-0000-0000-00008C9A0000}"/>
    <cellStyle name="Normal 373 5" xfId="38717" xr:uid="{00000000-0005-0000-0000-00008D9A0000}"/>
    <cellStyle name="Normal 373 5 2" xfId="38718" xr:uid="{00000000-0005-0000-0000-00008E9A0000}"/>
    <cellStyle name="Normal 373 5 3" xfId="38719" xr:uid="{00000000-0005-0000-0000-00008F9A0000}"/>
    <cellStyle name="Normal 373 6" xfId="38720" xr:uid="{00000000-0005-0000-0000-0000909A0000}"/>
    <cellStyle name="Normal 373 6 2" xfId="38721" xr:uid="{00000000-0005-0000-0000-0000919A0000}"/>
    <cellStyle name="Normal 373 6 3" xfId="38722" xr:uid="{00000000-0005-0000-0000-0000929A0000}"/>
    <cellStyle name="Normal 373 7" xfId="38723" xr:uid="{00000000-0005-0000-0000-0000939A0000}"/>
    <cellStyle name="Normal 373 8" xfId="38724" xr:uid="{00000000-0005-0000-0000-0000949A0000}"/>
    <cellStyle name="Normal 373 9" xfId="38725" xr:uid="{00000000-0005-0000-0000-0000959A0000}"/>
    <cellStyle name="Normal 374" xfId="3293" xr:uid="{00000000-0005-0000-0000-0000969A0000}"/>
    <cellStyle name="Normal 374 10" xfId="38726" xr:uid="{00000000-0005-0000-0000-0000979A0000}"/>
    <cellStyle name="Normal 374 11" xfId="38727" xr:uid="{00000000-0005-0000-0000-0000989A0000}"/>
    <cellStyle name="Normal 374 2" xfId="3294" xr:uid="{00000000-0005-0000-0000-0000999A0000}"/>
    <cellStyle name="Normal 374 2 10" xfId="38728" xr:uid="{00000000-0005-0000-0000-00009A9A0000}"/>
    <cellStyle name="Normal 374 2 2" xfId="38729" xr:uid="{00000000-0005-0000-0000-00009B9A0000}"/>
    <cellStyle name="Normal 374 2 2 2" xfId="38730" xr:uid="{00000000-0005-0000-0000-00009C9A0000}"/>
    <cellStyle name="Normal 374 2 2 2 2" xfId="38731" xr:uid="{00000000-0005-0000-0000-00009D9A0000}"/>
    <cellStyle name="Normal 374 2 2 2 2 2" xfId="38732" xr:uid="{00000000-0005-0000-0000-00009E9A0000}"/>
    <cellStyle name="Normal 374 2 2 2 2 3" xfId="38733" xr:uid="{00000000-0005-0000-0000-00009F9A0000}"/>
    <cellStyle name="Normal 374 2 2 2 3" xfId="38734" xr:uid="{00000000-0005-0000-0000-0000A09A0000}"/>
    <cellStyle name="Normal 374 2 2 2 3 2" xfId="38735" xr:uid="{00000000-0005-0000-0000-0000A19A0000}"/>
    <cellStyle name="Normal 374 2 2 2 3 3" xfId="38736" xr:uid="{00000000-0005-0000-0000-0000A29A0000}"/>
    <cellStyle name="Normal 374 2 2 2 4" xfId="38737" xr:uid="{00000000-0005-0000-0000-0000A39A0000}"/>
    <cellStyle name="Normal 374 2 2 2 5" xfId="38738" xr:uid="{00000000-0005-0000-0000-0000A49A0000}"/>
    <cellStyle name="Normal 374 2 2 2 6" xfId="38739" xr:uid="{00000000-0005-0000-0000-0000A59A0000}"/>
    <cellStyle name="Normal 374 2 2 3" xfId="38740" xr:uid="{00000000-0005-0000-0000-0000A69A0000}"/>
    <cellStyle name="Normal 374 2 2 3 2" xfId="38741" xr:uid="{00000000-0005-0000-0000-0000A79A0000}"/>
    <cellStyle name="Normal 374 2 2 3 3" xfId="38742" xr:uid="{00000000-0005-0000-0000-0000A89A0000}"/>
    <cellStyle name="Normal 374 2 2 4" xfId="38743" xr:uid="{00000000-0005-0000-0000-0000A99A0000}"/>
    <cellStyle name="Normal 374 2 2 4 2" xfId="38744" xr:uid="{00000000-0005-0000-0000-0000AA9A0000}"/>
    <cellStyle name="Normal 374 2 2 4 3" xfId="38745" xr:uid="{00000000-0005-0000-0000-0000AB9A0000}"/>
    <cellStyle name="Normal 374 2 2 5" xfId="38746" xr:uid="{00000000-0005-0000-0000-0000AC9A0000}"/>
    <cellStyle name="Normal 374 2 2 6" xfId="38747" xr:uid="{00000000-0005-0000-0000-0000AD9A0000}"/>
    <cellStyle name="Normal 374 2 2 7" xfId="38748" xr:uid="{00000000-0005-0000-0000-0000AE9A0000}"/>
    <cellStyle name="Normal 374 2 2 8" xfId="38749" xr:uid="{00000000-0005-0000-0000-0000AF9A0000}"/>
    <cellStyle name="Normal 374 2 3" xfId="38750" xr:uid="{00000000-0005-0000-0000-0000B09A0000}"/>
    <cellStyle name="Normal 374 2 3 2" xfId="38751" xr:uid="{00000000-0005-0000-0000-0000B19A0000}"/>
    <cellStyle name="Normal 374 2 3 2 2" xfId="38752" xr:uid="{00000000-0005-0000-0000-0000B29A0000}"/>
    <cellStyle name="Normal 374 2 3 2 3" xfId="38753" xr:uid="{00000000-0005-0000-0000-0000B39A0000}"/>
    <cellStyle name="Normal 374 2 3 3" xfId="38754" xr:uid="{00000000-0005-0000-0000-0000B49A0000}"/>
    <cellStyle name="Normal 374 2 3 3 2" xfId="38755" xr:uid="{00000000-0005-0000-0000-0000B59A0000}"/>
    <cellStyle name="Normal 374 2 3 3 3" xfId="38756" xr:uid="{00000000-0005-0000-0000-0000B69A0000}"/>
    <cellStyle name="Normal 374 2 3 4" xfId="38757" xr:uid="{00000000-0005-0000-0000-0000B79A0000}"/>
    <cellStyle name="Normal 374 2 3 5" xfId="38758" xr:uid="{00000000-0005-0000-0000-0000B89A0000}"/>
    <cellStyle name="Normal 374 2 3 6" xfId="38759" xr:uid="{00000000-0005-0000-0000-0000B99A0000}"/>
    <cellStyle name="Normal 374 2 4" xfId="38760" xr:uid="{00000000-0005-0000-0000-0000BA9A0000}"/>
    <cellStyle name="Normal 374 2 4 2" xfId="38761" xr:uid="{00000000-0005-0000-0000-0000BB9A0000}"/>
    <cellStyle name="Normal 374 2 4 3" xfId="38762" xr:uid="{00000000-0005-0000-0000-0000BC9A0000}"/>
    <cellStyle name="Normal 374 2 5" xfId="38763" xr:uid="{00000000-0005-0000-0000-0000BD9A0000}"/>
    <cellStyle name="Normal 374 2 5 2" xfId="38764" xr:uid="{00000000-0005-0000-0000-0000BE9A0000}"/>
    <cellStyle name="Normal 374 2 5 3" xfId="38765" xr:uid="{00000000-0005-0000-0000-0000BF9A0000}"/>
    <cellStyle name="Normal 374 2 6" xfId="38766" xr:uid="{00000000-0005-0000-0000-0000C09A0000}"/>
    <cellStyle name="Normal 374 2 7" xfId="38767" xr:uid="{00000000-0005-0000-0000-0000C19A0000}"/>
    <cellStyle name="Normal 374 2 8" xfId="38768" xr:uid="{00000000-0005-0000-0000-0000C29A0000}"/>
    <cellStyle name="Normal 374 2 9" xfId="38769" xr:uid="{00000000-0005-0000-0000-0000C39A0000}"/>
    <cellStyle name="Normal 374 3" xfId="38770" xr:uid="{00000000-0005-0000-0000-0000C49A0000}"/>
    <cellStyle name="Normal 374 3 2" xfId="38771" xr:uid="{00000000-0005-0000-0000-0000C59A0000}"/>
    <cellStyle name="Normal 374 3 2 2" xfId="38772" xr:uid="{00000000-0005-0000-0000-0000C69A0000}"/>
    <cellStyle name="Normal 374 3 2 2 2" xfId="38773" xr:uid="{00000000-0005-0000-0000-0000C79A0000}"/>
    <cellStyle name="Normal 374 3 2 2 3" xfId="38774" xr:uid="{00000000-0005-0000-0000-0000C89A0000}"/>
    <cellStyle name="Normal 374 3 2 3" xfId="38775" xr:uid="{00000000-0005-0000-0000-0000C99A0000}"/>
    <cellStyle name="Normal 374 3 2 3 2" xfId="38776" xr:uid="{00000000-0005-0000-0000-0000CA9A0000}"/>
    <cellStyle name="Normal 374 3 2 3 3" xfId="38777" xr:uid="{00000000-0005-0000-0000-0000CB9A0000}"/>
    <cellStyle name="Normal 374 3 2 4" xfId="38778" xr:uid="{00000000-0005-0000-0000-0000CC9A0000}"/>
    <cellStyle name="Normal 374 3 2 5" xfId="38779" xr:uid="{00000000-0005-0000-0000-0000CD9A0000}"/>
    <cellStyle name="Normal 374 3 2 6" xfId="38780" xr:uid="{00000000-0005-0000-0000-0000CE9A0000}"/>
    <cellStyle name="Normal 374 3 3" xfId="38781" xr:uid="{00000000-0005-0000-0000-0000CF9A0000}"/>
    <cellStyle name="Normal 374 3 3 2" xfId="38782" xr:uid="{00000000-0005-0000-0000-0000D09A0000}"/>
    <cellStyle name="Normal 374 3 3 3" xfId="38783" xr:uid="{00000000-0005-0000-0000-0000D19A0000}"/>
    <cellStyle name="Normal 374 3 4" xfId="38784" xr:uid="{00000000-0005-0000-0000-0000D29A0000}"/>
    <cellStyle name="Normal 374 3 4 2" xfId="38785" xr:uid="{00000000-0005-0000-0000-0000D39A0000}"/>
    <cellStyle name="Normal 374 3 4 3" xfId="38786" xr:uid="{00000000-0005-0000-0000-0000D49A0000}"/>
    <cellStyle name="Normal 374 3 5" xfId="38787" xr:uid="{00000000-0005-0000-0000-0000D59A0000}"/>
    <cellStyle name="Normal 374 3 6" xfId="38788" xr:uid="{00000000-0005-0000-0000-0000D69A0000}"/>
    <cellStyle name="Normal 374 3 7" xfId="38789" xr:uid="{00000000-0005-0000-0000-0000D79A0000}"/>
    <cellStyle name="Normal 374 3 8" xfId="38790" xr:uid="{00000000-0005-0000-0000-0000D89A0000}"/>
    <cellStyle name="Normal 374 4" xfId="38791" xr:uid="{00000000-0005-0000-0000-0000D99A0000}"/>
    <cellStyle name="Normal 374 4 2" xfId="38792" xr:uid="{00000000-0005-0000-0000-0000DA9A0000}"/>
    <cellStyle name="Normal 374 4 2 2" xfId="38793" xr:uid="{00000000-0005-0000-0000-0000DB9A0000}"/>
    <cellStyle name="Normal 374 4 2 3" xfId="38794" xr:uid="{00000000-0005-0000-0000-0000DC9A0000}"/>
    <cellStyle name="Normal 374 4 3" xfId="38795" xr:uid="{00000000-0005-0000-0000-0000DD9A0000}"/>
    <cellStyle name="Normal 374 4 3 2" xfId="38796" xr:uid="{00000000-0005-0000-0000-0000DE9A0000}"/>
    <cellStyle name="Normal 374 4 3 3" xfId="38797" xr:uid="{00000000-0005-0000-0000-0000DF9A0000}"/>
    <cellStyle name="Normal 374 4 4" xfId="38798" xr:uid="{00000000-0005-0000-0000-0000E09A0000}"/>
    <cellStyle name="Normal 374 4 5" xfId="38799" xr:uid="{00000000-0005-0000-0000-0000E19A0000}"/>
    <cellStyle name="Normal 374 4 6" xfId="38800" xr:uid="{00000000-0005-0000-0000-0000E29A0000}"/>
    <cellStyle name="Normal 374 5" xfId="38801" xr:uid="{00000000-0005-0000-0000-0000E39A0000}"/>
    <cellStyle name="Normal 374 5 2" xfId="38802" xr:uid="{00000000-0005-0000-0000-0000E49A0000}"/>
    <cellStyle name="Normal 374 5 3" xfId="38803" xr:uid="{00000000-0005-0000-0000-0000E59A0000}"/>
    <cellStyle name="Normal 374 6" xfId="38804" xr:uid="{00000000-0005-0000-0000-0000E69A0000}"/>
    <cellStyle name="Normal 374 6 2" xfId="38805" xr:uid="{00000000-0005-0000-0000-0000E79A0000}"/>
    <cellStyle name="Normal 374 6 3" xfId="38806" xr:uid="{00000000-0005-0000-0000-0000E89A0000}"/>
    <cellStyle name="Normal 374 7" xfId="38807" xr:uid="{00000000-0005-0000-0000-0000E99A0000}"/>
    <cellStyle name="Normal 374 8" xfId="38808" xr:uid="{00000000-0005-0000-0000-0000EA9A0000}"/>
    <cellStyle name="Normal 374 9" xfId="38809" xr:uid="{00000000-0005-0000-0000-0000EB9A0000}"/>
    <cellStyle name="Normal 375" xfId="3295" xr:uid="{00000000-0005-0000-0000-0000EC9A0000}"/>
    <cellStyle name="Normal 375 10" xfId="38810" xr:uid="{00000000-0005-0000-0000-0000ED9A0000}"/>
    <cellStyle name="Normal 375 11" xfId="38811" xr:uid="{00000000-0005-0000-0000-0000EE9A0000}"/>
    <cellStyle name="Normal 375 2" xfId="38812" xr:uid="{00000000-0005-0000-0000-0000EF9A0000}"/>
    <cellStyle name="Normal 375 2 2" xfId="38813" xr:uid="{00000000-0005-0000-0000-0000F09A0000}"/>
    <cellStyle name="Normal 375 2 2 2" xfId="38814" xr:uid="{00000000-0005-0000-0000-0000F19A0000}"/>
    <cellStyle name="Normal 375 2 2 2 2" xfId="38815" xr:uid="{00000000-0005-0000-0000-0000F29A0000}"/>
    <cellStyle name="Normal 375 2 2 2 2 2" xfId="38816" xr:uid="{00000000-0005-0000-0000-0000F39A0000}"/>
    <cellStyle name="Normal 375 2 2 2 2 3" xfId="38817" xr:uid="{00000000-0005-0000-0000-0000F49A0000}"/>
    <cellStyle name="Normal 375 2 2 2 3" xfId="38818" xr:uid="{00000000-0005-0000-0000-0000F59A0000}"/>
    <cellStyle name="Normal 375 2 2 2 3 2" xfId="38819" xr:uid="{00000000-0005-0000-0000-0000F69A0000}"/>
    <cellStyle name="Normal 375 2 2 2 3 3" xfId="38820" xr:uid="{00000000-0005-0000-0000-0000F79A0000}"/>
    <cellStyle name="Normal 375 2 2 2 4" xfId="38821" xr:uid="{00000000-0005-0000-0000-0000F89A0000}"/>
    <cellStyle name="Normal 375 2 2 2 5" xfId="38822" xr:uid="{00000000-0005-0000-0000-0000F99A0000}"/>
    <cellStyle name="Normal 375 2 2 2 6" xfId="38823" xr:uid="{00000000-0005-0000-0000-0000FA9A0000}"/>
    <cellStyle name="Normal 375 2 2 3" xfId="38824" xr:uid="{00000000-0005-0000-0000-0000FB9A0000}"/>
    <cellStyle name="Normal 375 2 2 3 2" xfId="38825" xr:uid="{00000000-0005-0000-0000-0000FC9A0000}"/>
    <cellStyle name="Normal 375 2 2 3 3" xfId="38826" xr:uid="{00000000-0005-0000-0000-0000FD9A0000}"/>
    <cellStyle name="Normal 375 2 2 4" xfId="38827" xr:uid="{00000000-0005-0000-0000-0000FE9A0000}"/>
    <cellStyle name="Normal 375 2 2 4 2" xfId="38828" xr:uid="{00000000-0005-0000-0000-0000FF9A0000}"/>
    <cellStyle name="Normal 375 2 2 4 3" xfId="38829" xr:uid="{00000000-0005-0000-0000-0000009B0000}"/>
    <cellStyle name="Normal 375 2 2 5" xfId="38830" xr:uid="{00000000-0005-0000-0000-0000019B0000}"/>
    <cellStyle name="Normal 375 2 2 6" xfId="38831" xr:uid="{00000000-0005-0000-0000-0000029B0000}"/>
    <cellStyle name="Normal 375 2 2 7" xfId="38832" xr:uid="{00000000-0005-0000-0000-0000039B0000}"/>
    <cellStyle name="Normal 375 2 2 8" xfId="38833" xr:uid="{00000000-0005-0000-0000-0000049B0000}"/>
    <cellStyle name="Normal 375 2 3" xfId="38834" xr:uid="{00000000-0005-0000-0000-0000059B0000}"/>
    <cellStyle name="Normal 375 2 3 2" xfId="38835" xr:uid="{00000000-0005-0000-0000-0000069B0000}"/>
    <cellStyle name="Normal 375 2 3 2 2" xfId="38836" xr:uid="{00000000-0005-0000-0000-0000079B0000}"/>
    <cellStyle name="Normal 375 2 3 2 3" xfId="38837" xr:uid="{00000000-0005-0000-0000-0000089B0000}"/>
    <cellStyle name="Normal 375 2 3 3" xfId="38838" xr:uid="{00000000-0005-0000-0000-0000099B0000}"/>
    <cellStyle name="Normal 375 2 3 3 2" xfId="38839" xr:uid="{00000000-0005-0000-0000-00000A9B0000}"/>
    <cellStyle name="Normal 375 2 3 3 3" xfId="38840" xr:uid="{00000000-0005-0000-0000-00000B9B0000}"/>
    <cellStyle name="Normal 375 2 3 4" xfId="38841" xr:uid="{00000000-0005-0000-0000-00000C9B0000}"/>
    <cellStyle name="Normal 375 2 3 5" xfId="38842" xr:uid="{00000000-0005-0000-0000-00000D9B0000}"/>
    <cellStyle name="Normal 375 2 3 6" xfId="38843" xr:uid="{00000000-0005-0000-0000-00000E9B0000}"/>
    <cellStyle name="Normal 375 2 4" xfId="38844" xr:uid="{00000000-0005-0000-0000-00000F9B0000}"/>
    <cellStyle name="Normal 375 2 4 2" xfId="38845" xr:uid="{00000000-0005-0000-0000-0000109B0000}"/>
    <cellStyle name="Normal 375 2 4 3" xfId="38846" xr:uid="{00000000-0005-0000-0000-0000119B0000}"/>
    <cellStyle name="Normal 375 2 5" xfId="38847" xr:uid="{00000000-0005-0000-0000-0000129B0000}"/>
    <cellStyle name="Normal 375 2 5 2" xfId="38848" xr:uid="{00000000-0005-0000-0000-0000139B0000}"/>
    <cellStyle name="Normal 375 2 5 3" xfId="38849" xr:uid="{00000000-0005-0000-0000-0000149B0000}"/>
    <cellStyle name="Normal 375 2 6" xfId="38850" xr:uid="{00000000-0005-0000-0000-0000159B0000}"/>
    <cellStyle name="Normal 375 2 7" xfId="38851" xr:uid="{00000000-0005-0000-0000-0000169B0000}"/>
    <cellStyle name="Normal 375 2 8" xfId="38852" xr:uid="{00000000-0005-0000-0000-0000179B0000}"/>
    <cellStyle name="Normal 375 2 9" xfId="38853" xr:uid="{00000000-0005-0000-0000-0000189B0000}"/>
    <cellStyle name="Normal 375 3" xfId="38854" xr:uid="{00000000-0005-0000-0000-0000199B0000}"/>
    <cellStyle name="Normal 375 3 2" xfId="38855" xr:uid="{00000000-0005-0000-0000-00001A9B0000}"/>
    <cellStyle name="Normal 375 3 2 2" xfId="38856" xr:uid="{00000000-0005-0000-0000-00001B9B0000}"/>
    <cellStyle name="Normal 375 3 2 2 2" xfId="38857" xr:uid="{00000000-0005-0000-0000-00001C9B0000}"/>
    <cellStyle name="Normal 375 3 2 2 3" xfId="38858" xr:uid="{00000000-0005-0000-0000-00001D9B0000}"/>
    <cellStyle name="Normal 375 3 2 3" xfId="38859" xr:uid="{00000000-0005-0000-0000-00001E9B0000}"/>
    <cellStyle name="Normal 375 3 2 3 2" xfId="38860" xr:uid="{00000000-0005-0000-0000-00001F9B0000}"/>
    <cellStyle name="Normal 375 3 2 3 3" xfId="38861" xr:uid="{00000000-0005-0000-0000-0000209B0000}"/>
    <cellStyle name="Normal 375 3 2 4" xfId="38862" xr:uid="{00000000-0005-0000-0000-0000219B0000}"/>
    <cellStyle name="Normal 375 3 2 5" xfId="38863" xr:uid="{00000000-0005-0000-0000-0000229B0000}"/>
    <cellStyle name="Normal 375 3 2 6" xfId="38864" xr:uid="{00000000-0005-0000-0000-0000239B0000}"/>
    <cellStyle name="Normal 375 3 3" xfId="38865" xr:uid="{00000000-0005-0000-0000-0000249B0000}"/>
    <cellStyle name="Normal 375 3 3 2" xfId="38866" xr:uid="{00000000-0005-0000-0000-0000259B0000}"/>
    <cellStyle name="Normal 375 3 3 3" xfId="38867" xr:uid="{00000000-0005-0000-0000-0000269B0000}"/>
    <cellStyle name="Normal 375 3 4" xfId="38868" xr:uid="{00000000-0005-0000-0000-0000279B0000}"/>
    <cellStyle name="Normal 375 3 4 2" xfId="38869" xr:uid="{00000000-0005-0000-0000-0000289B0000}"/>
    <cellStyle name="Normal 375 3 4 3" xfId="38870" xr:uid="{00000000-0005-0000-0000-0000299B0000}"/>
    <cellStyle name="Normal 375 3 5" xfId="38871" xr:uid="{00000000-0005-0000-0000-00002A9B0000}"/>
    <cellStyle name="Normal 375 3 6" xfId="38872" xr:uid="{00000000-0005-0000-0000-00002B9B0000}"/>
    <cellStyle name="Normal 375 3 7" xfId="38873" xr:uid="{00000000-0005-0000-0000-00002C9B0000}"/>
    <cellStyle name="Normal 375 3 8" xfId="38874" xr:uid="{00000000-0005-0000-0000-00002D9B0000}"/>
    <cellStyle name="Normal 375 4" xfId="38875" xr:uid="{00000000-0005-0000-0000-00002E9B0000}"/>
    <cellStyle name="Normal 375 4 2" xfId="38876" xr:uid="{00000000-0005-0000-0000-00002F9B0000}"/>
    <cellStyle name="Normal 375 4 2 2" xfId="38877" xr:uid="{00000000-0005-0000-0000-0000309B0000}"/>
    <cellStyle name="Normal 375 4 2 3" xfId="38878" xr:uid="{00000000-0005-0000-0000-0000319B0000}"/>
    <cellStyle name="Normal 375 4 3" xfId="38879" xr:uid="{00000000-0005-0000-0000-0000329B0000}"/>
    <cellStyle name="Normal 375 4 3 2" xfId="38880" xr:uid="{00000000-0005-0000-0000-0000339B0000}"/>
    <cellStyle name="Normal 375 4 3 3" xfId="38881" xr:uid="{00000000-0005-0000-0000-0000349B0000}"/>
    <cellStyle name="Normal 375 4 4" xfId="38882" xr:uid="{00000000-0005-0000-0000-0000359B0000}"/>
    <cellStyle name="Normal 375 4 5" xfId="38883" xr:uid="{00000000-0005-0000-0000-0000369B0000}"/>
    <cellStyle name="Normal 375 4 6" xfId="38884" xr:uid="{00000000-0005-0000-0000-0000379B0000}"/>
    <cellStyle name="Normal 375 5" xfId="38885" xr:uid="{00000000-0005-0000-0000-0000389B0000}"/>
    <cellStyle name="Normal 375 5 2" xfId="38886" xr:uid="{00000000-0005-0000-0000-0000399B0000}"/>
    <cellStyle name="Normal 375 5 3" xfId="38887" xr:uid="{00000000-0005-0000-0000-00003A9B0000}"/>
    <cellStyle name="Normal 375 6" xfId="38888" xr:uid="{00000000-0005-0000-0000-00003B9B0000}"/>
    <cellStyle name="Normal 375 6 2" xfId="38889" xr:uid="{00000000-0005-0000-0000-00003C9B0000}"/>
    <cellStyle name="Normal 375 6 3" xfId="38890" xr:uid="{00000000-0005-0000-0000-00003D9B0000}"/>
    <cellStyle name="Normal 375 7" xfId="38891" xr:uid="{00000000-0005-0000-0000-00003E9B0000}"/>
    <cellStyle name="Normal 375 8" xfId="38892" xr:uid="{00000000-0005-0000-0000-00003F9B0000}"/>
    <cellStyle name="Normal 375 9" xfId="38893" xr:uid="{00000000-0005-0000-0000-0000409B0000}"/>
    <cellStyle name="Normal 376" xfId="3296" xr:uid="{00000000-0005-0000-0000-0000419B0000}"/>
    <cellStyle name="Normal 376 10" xfId="38894" xr:uid="{00000000-0005-0000-0000-0000429B0000}"/>
    <cellStyle name="Normal 376 11" xfId="38895" xr:uid="{00000000-0005-0000-0000-0000439B0000}"/>
    <cellStyle name="Normal 376 2" xfId="3297" xr:uid="{00000000-0005-0000-0000-0000449B0000}"/>
    <cellStyle name="Normal 376 2 10" xfId="38896" xr:uid="{00000000-0005-0000-0000-0000459B0000}"/>
    <cellStyle name="Normal 376 2 2" xfId="38897" xr:uid="{00000000-0005-0000-0000-0000469B0000}"/>
    <cellStyle name="Normal 376 2 2 2" xfId="38898" xr:uid="{00000000-0005-0000-0000-0000479B0000}"/>
    <cellStyle name="Normal 376 2 2 2 2" xfId="38899" xr:uid="{00000000-0005-0000-0000-0000489B0000}"/>
    <cellStyle name="Normal 376 2 2 2 2 2" xfId="38900" xr:uid="{00000000-0005-0000-0000-0000499B0000}"/>
    <cellStyle name="Normal 376 2 2 2 2 3" xfId="38901" xr:uid="{00000000-0005-0000-0000-00004A9B0000}"/>
    <cellStyle name="Normal 376 2 2 2 3" xfId="38902" xr:uid="{00000000-0005-0000-0000-00004B9B0000}"/>
    <cellStyle name="Normal 376 2 2 2 3 2" xfId="38903" xr:uid="{00000000-0005-0000-0000-00004C9B0000}"/>
    <cellStyle name="Normal 376 2 2 2 3 3" xfId="38904" xr:uid="{00000000-0005-0000-0000-00004D9B0000}"/>
    <cellStyle name="Normal 376 2 2 2 4" xfId="38905" xr:uid="{00000000-0005-0000-0000-00004E9B0000}"/>
    <cellStyle name="Normal 376 2 2 2 5" xfId="38906" xr:uid="{00000000-0005-0000-0000-00004F9B0000}"/>
    <cellStyle name="Normal 376 2 2 2 6" xfId="38907" xr:uid="{00000000-0005-0000-0000-0000509B0000}"/>
    <cellStyle name="Normal 376 2 2 3" xfId="38908" xr:uid="{00000000-0005-0000-0000-0000519B0000}"/>
    <cellStyle name="Normal 376 2 2 3 2" xfId="38909" xr:uid="{00000000-0005-0000-0000-0000529B0000}"/>
    <cellStyle name="Normal 376 2 2 3 3" xfId="38910" xr:uid="{00000000-0005-0000-0000-0000539B0000}"/>
    <cellStyle name="Normal 376 2 2 4" xfId="38911" xr:uid="{00000000-0005-0000-0000-0000549B0000}"/>
    <cellStyle name="Normal 376 2 2 4 2" xfId="38912" xr:uid="{00000000-0005-0000-0000-0000559B0000}"/>
    <cellStyle name="Normal 376 2 2 4 3" xfId="38913" xr:uid="{00000000-0005-0000-0000-0000569B0000}"/>
    <cellStyle name="Normal 376 2 2 5" xfId="38914" xr:uid="{00000000-0005-0000-0000-0000579B0000}"/>
    <cellStyle name="Normal 376 2 2 6" xfId="38915" xr:uid="{00000000-0005-0000-0000-0000589B0000}"/>
    <cellStyle name="Normal 376 2 2 7" xfId="38916" xr:uid="{00000000-0005-0000-0000-0000599B0000}"/>
    <cellStyle name="Normal 376 2 2 8" xfId="38917" xr:uid="{00000000-0005-0000-0000-00005A9B0000}"/>
    <cellStyle name="Normal 376 2 3" xfId="38918" xr:uid="{00000000-0005-0000-0000-00005B9B0000}"/>
    <cellStyle name="Normal 376 2 3 2" xfId="38919" xr:uid="{00000000-0005-0000-0000-00005C9B0000}"/>
    <cellStyle name="Normal 376 2 3 2 2" xfId="38920" xr:uid="{00000000-0005-0000-0000-00005D9B0000}"/>
    <cellStyle name="Normal 376 2 3 2 3" xfId="38921" xr:uid="{00000000-0005-0000-0000-00005E9B0000}"/>
    <cellStyle name="Normal 376 2 3 3" xfId="38922" xr:uid="{00000000-0005-0000-0000-00005F9B0000}"/>
    <cellStyle name="Normal 376 2 3 3 2" xfId="38923" xr:uid="{00000000-0005-0000-0000-0000609B0000}"/>
    <cellStyle name="Normal 376 2 3 3 3" xfId="38924" xr:uid="{00000000-0005-0000-0000-0000619B0000}"/>
    <cellStyle name="Normal 376 2 3 4" xfId="38925" xr:uid="{00000000-0005-0000-0000-0000629B0000}"/>
    <cellStyle name="Normal 376 2 3 5" xfId="38926" xr:uid="{00000000-0005-0000-0000-0000639B0000}"/>
    <cellStyle name="Normal 376 2 3 6" xfId="38927" xr:uid="{00000000-0005-0000-0000-0000649B0000}"/>
    <cellStyle name="Normal 376 2 4" xfId="38928" xr:uid="{00000000-0005-0000-0000-0000659B0000}"/>
    <cellStyle name="Normal 376 2 4 2" xfId="38929" xr:uid="{00000000-0005-0000-0000-0000669B0000}"/>
    <cellStyle name="Normal 376 2 4 3" xfId="38930" xr:uid="{00000000-0005-0000-0000-0000679B0000}"/>
    <cellStyle name="Normal 376 2 5" xfId="38931" xr:uid="{00000000-0005-0000-0000-0000689B0000}"/>
    <cellStyle name="Normal 376 2 5 2" xfId="38932" xr:uid="{00000000-0005-0000-0000-0000699B0000}"/>
    <cellStyle name="Normal 376 2 5 3" xfId="38933" xr:uid="{00000000-0005-0000-0000-00006A9B0000}"/>
    <cellStyle name="Normal 376 2 6" xfId="38934" xr:uid="{00000000-0005-0000-0000-00006B9B0000}"/>
    <cellStyle name="Normal 376 2 7" xfId="38935" xr:uid="{00000000-0005-0000-0000-00006C9B0000}"/>
    <cellStyle name="Normal 376 2 8" xfId="38936" xr:uid="{00000000-0005-0000-0000-00006D9B0000}"/>
    <cellStyle name="Normal 376 2 9" xfId="38937" xr:uid="{00000000-0005-0000-0000-00006E9B0000}"/>
    <cellStyle name="Normal 376 3" xfId="38938" xr:uid="{00000000-0005-0000-0000-00006F9B0000}"/>
    <cellStyle name="Normal 376 3 2" xfId="38939" xr:uid="{00000000-0005-0000-0000-0000709B0000}"/>
    <cellStyle name="Normal 376 3 2 2" xfId="38940" xr:uid="{00000000-0005-0000-0000-0000719B0000}"/>
    <cellStyle name="Normal 376 3 2 2 2" xfId="38941" xr:uid="{00000000-0005-0000-0000-0000729B0000}"/>
    <cellStyle name="Normal 376 3 2 2 3" xfId="38942" xr:uid="{00000000-0005-0000-0000-0000739B0000}"/>
    <cellStyle name="Normal 376 3 2 3" xfId="38943" xr:uid="{00000000-0005-0000-0000-0000749B0000}"/>
    <cellStyle name="Normal 376 3 2 3 2" xfId="38944" xr:uid="{00000000-0005-0000-0000-0000759B0000}"/>
    <cellStyle name="Normal 376 3 2 3 3" xfId="38945" xr:uid="{00000000-0005-0000-0000-0000769B0000}"/>
    <cellStyle name="Normal 376 3 2 4" xfId="38946" xr:uid="{00000000-0005-0000-0000-0000779B0000}"/>
    <cellStyle name="Normal 376 3 2 5" xfId="38947" xr:uid="{00000000-0005-0000-0000-0000789B0000}"/>
    <cellStyle name="Normal 376 3 2 6" xfId="38948" xr:uid="{00000000-0005-0000-0000-0000799B0000}"/>
    <cellStyle name="Normal 376 3 3" xfId="38949" xr:uid="{00000000-0005-0000-0000-00007A9B0000}"/>
    <cellStyle name="Normal 376 3 3 2" xfId="38950" xr:uid="{00000000-0005-0000-0000-00007B9B0000}"/>
    <cellStyle name="Normal 376 3 3 3" xfId="38951" xr:uid="{00000000-0005-0000-0000-00007C9B0000}"/>
    <cellStyle name="Normal 376 3 4" xfId="38952" xr:uid="{00000000-0005-0000-0000-00007D9B0000}"/>
    <cellStyle name="Normal 376 3 4 2" xfId="38953" xr:uid="{00000000-0005-0000-0000-00007E9B0000}"/>
    <cellStyle name="Normal 376 3 4 3" xfId="38954" xr:uid="{00000000-0005-0000-0000-00007F9B0000}"/>
    <cellStyle name="Normal 376 3 5" xfId="38955" xr:uid="{00000000-0005-0000-0000-0000809B0000}"/>
    <cellStyle name="Normal 376 3 6" xfId="38956" xr:uid="{00000000-0005-0000-0000-0000819B0000}"/>
    <cellStyle name="Normal 376 3 7" xfId="38957" xr:uid="{00000000-0005-0000-0000-0000829B0000}"/>
    <cellStyle name="Normal 376 3 8" xfId="38958" xr:uid="{00000000-0005-0000-0000-0000839B0000}"/>
    <cellStyle name="Normal 376 4" xfId="38959" xr:uid="{00000000-0005-0000-0000-0000849B0000}"/>
    <cellStyle name="Normal 376 4 2" xfId="38960" xr:uid="{00000000-0005-0000-0000-0000859B0000}"/>
    <cellStyle name="Normal 376 4 2 2" xfId="38961" xr:uid="{00000000-0005-0000-0000-0000869B0000}"/>
    <cellStyle name="Normal 376 4 2 3" xfId="38962" xr:uid="{00000000-0005-0000-0000-0000879B0000}"/>
    <cellStyle name="Normal 376 4 3" xfId="38963" xr:uid="{00000000-0005-0000-0000-0000889B0000}"/>
    <cellStyle name="Normal 376 4 3 2" xfId="38964" xr:uid="{00000000-0005-0000-0000-0000899B0000}"/>
    <cellStyle name="Normal 376 4 3 3" xfId="38965" xr:uid="{00000000-0005-0000-0000-00008A9B0000}"/>
    <cellStyle name="Normal 376 4 4" xfId="38966" xr:uid="{00000000-0005-0000-0000-00008B9B0000}"/>
    <cellStyle name="Normal 376 4 5" xfId="38967" xr:uid="{00000000-0005-0000-0000-00008C9B0000}"/>
    <cellStyle name="Normal 376 4 6" xfId="38968" xr:uid="{00000000-0005-0000-0000-00008D9B0000}"/>
    <cellStyle name="Normal 376 5" xfId="38969" xr:uid="{00000000-0005-0000-0000-00008E9B0000}"/>
    <cellStyle name="Normal 376 5 2" xfId="38970" xr:uid="{00000000-0005-0000-0000-00008F9B0000}"/>
    <cellStyle name="Normal 376 5 3" xfId="38971" xr:uid="{00000000-0005-0000-0000-0000909B0000}"/>
    <cellStyle name="Normal 376 6" xfId="38972" xr:uid="{00000000-0005-0000-0000-0000919B0000}"/>
    <cellStyle name="Normal 376 6 2" xfId="38973" xr:uid="{00000000-0005-0000-0000-0000929B0000}"/>
    <cellStyle name="Normal 376 6 3" xfId="38974" xr:uid="{00000000-0005-0000-0000-0000939B0000}"/>
    <cellStyle name="Normal 376 7" xfId="38975" xr:uid="{00000000-0005-0000-0000-0000949B0000}"/>
    <cellStyle name="Normal 376 8" xfId="38976" xr:uid="{00000000-0005-0000-0000-0000959B0000}"/>
    <cellStyle name="Normal 376 9" xfId="38977" xr:uid="{00000000-0005-0000-0000-0000969B0000}"/>
    <cellStyle name="Normal 377" xfId="3298" xr:uid="{00000000-0005-0000-0000-0000979B0000}"/>
    <cellStyle name="Normal 377 10" xfId="38978" xr:uid="{00000000-0005-0000-0000-0000989B0000}"/>
    <cellStyle name="Normal 377 11" xfId="38979" xr:uid="{00000000-0005-0000-0000-0000999B0000}"/>
    <cellStyle name="Normal 377 2" xfId="38980" xr:uid="{00000000-0005-0000-0000-00009A9B0000}"/>
    <cellStyle name="Normal 377 2 2" xfId="38981" xr:uid="{00000000-0005-0000-0000-00009B9B0000}"/>
    <cellStyle name="Normal 377 2 2 2" xfId="38982" xr:uid="{00000000-0005-0000-0000-00009C9B0000}"/>
    <cellStyle name="Normal 377 2 2 2 2" xfId="38983" xr:uid="{00000000-0005-0000-0000-00009D9B0000}"/>
    <cellStyle name="Normal 377 2 2 2 2 2" xfId="38984" xr:uid="{00000000-0005-0000-0000-00009E9B0000}"/>
    <cellStyle name="Normal 377 2 2 2 2 3" xfId="38985" xr:uid="{00000000-0005-0000-0000-00009F9B0000}"/>
    <cellStyle name="Normal 377 2 2 2 3" xfId="38986" xr:uid="{00000000-0005-0000-0000-0000A09B0000}"/>
    <cellStyle name="Normal 377 2 2 2 3 2" xfId="38987" xr:uid="{00000000-0005-0000-0000-0000A19B0000}"/>
    <cellStyle name="Normal 377 2 2 2 3 3" xfId="38988" xr:uid="{00000000-0005-0000-0000-0000A29B0000}"/>
    <cellStyle name="Normal 377 2 2 2 4" xfId="38989" xr:uid="{00000000-0005-0000-0000-0000A39B0000}"/>
    <cellStyle name="Normal 377 2 2 2 5" xfId="38990" xr:uid="{00000000-0005-0000-0000-0000A49B0000}"/>
    <cellStyle name="Normal 377 2 2 2 6" xfId="38991" xr:uid="{00000000-0005-0000-0000-0000A59B0000}"/>
    <cellStyle name="Normal 377 2 2 3" xfId="38992" xr:uid="{00000000-0005-0000-0000-0000A69B0000}"/>
    <cellStyle name="Normal 377 2 2 3 2" xfId="38993" xr:uid="{00000000-0005-0000-0000-0000A79B0000}"/>
    <cellStyle name="Normal 377 2 2 3 3" xfId="38994" xr:uid="{00000000-0005-0000-0000-0000A89B0000}"/>
    <cellStyle name="Normal 377 2 2 4" xfId="38995" xr:uid="{00000000-0005-0000-0000-0000A99B0000}"/>
    <cellStyle name="Normal 377 2 2 4 2" xfId="38996" xr:uid="{00000000-0005-0000-0000-0000AA9B0000}"/>
    <cellStyle name="Normal 377 2 2 4 3" xfId="38997" xr:uid="{00000000-0005-0000-0000-0000AB9B0000}"/>
    <cellStyle name="Normal 377 2 2 5" xfId="38998" xr:uid="{00000000-0005-0000-0000-0000AC9B0000}"/>
    <cellStyle name="Normal 377 2 2 6" xfId="38999" xr:uid="{00000000-0005-0000-0000-0000AD9B0000}"/>
    <cellStyle name="Normal 377 2 2 7" xfId="39000" xr:uid="{00000000-0005-0000-0000-0000AE9B0000}"/>
    <cellStyle name="Normal 377 2 2 8" xfId="39001" xr:uid="{00000000-0005-0000-0000-0000AF9B0000}"/>
    <cellStyle name="Normal 377 2 3" xfId="39002" xr:uid="{00000000-0005-0000-0000-0000B09B0000}"/>
    <cellStyle name="Normal 377 2 3 2" xfId="39003" xr:uid="{00000000-0005-0000-0000-0000B19B0000}"/>
    <cellStyle name="Normal 377 2 3 2 2" xfId="39004" xr:uid="{00000000-0005-0000-0000-0000B29B0000}"/>
    <cellStyle name="Normal 377 2 3 2 3" xfId="39005" xr:uid="{00000000-0005-0000-0000-0000B39B0000}"/>
    <cellStyle name="Normal 377 2 3 3" xfId="39006" xr:uid="{00000000-0005-0000-0000-0000B49B0000}"/>
    <cellStyle name="Normal 377 2 3 3 2" xfId="39007" xr:uid="{00000000-0005-0000-0000-0000B59B0000}"/>
    <cellStyle name="Normal 377 2 3 3 3" xfId="39008" xr:uid="{00000000-0005-0000-0000-0000B69B0000}"/>
    <cellStyle name="Normal 377 2 3 4" xfId="39009" xr:uid="{00000000-0005-0000-0000-0000B79B0000}"/>
    <cellStyle name="Normal 377 2 3 5" xfId="39010" xr:uid="{00000000-0005-0000-0000-0000B89B0000}"/>
    <cellStyle name="Normal 377 2 3 6" xfId="39011" xr:uid="{00000000-0005-0000-0000-0000B99B0000}"/>
    <cellStyle name="Normal 377 2 4" xfId="39012" xr:uid="{00000000-0005-0000-0000-0000BA9B0000}"/>
    <cellStyle name="Normal 377 2 4 2" xfId="39013" xr:uid="{00000000-0005-0000-0000-0000BB9B0000}"/>
    <cellStyle name="Normal 377 2 4 3" xfId="39014" xr:uid="{00000000-0005-0000-0000-0000BC9B0000}"/>
    <cellStyle name="Normal 377 2 5" xfId="39015" xr:uid="{00000000-0005-0000-0000-0000BD9B0000}"/>
    <cellStyle name="Normal 377 2 5 2" xfId="39016" xr:uid="{00000000-0005-0000-0000-0000BE9B0000}"/>
    <cellStyle name="Normal 377 2 5 3" xfId="39017" xr:uid="{00000000-0005-0000-0000-0000BF9B0000}"/>
    <cellStyle name="Normal 377 2 6" xfId="39018" xr:uid="{00000000-0005-0000-0000-0000C09B0000}"/>
    <cellStyle name="Normal 377 2 7" xfId="39019" xr:uid="{00000000-0005-0000-0000-0000C19B0000}"/>
    <cellStyle name="Normal 377 2 8" xfId="39020" xr:uid="{00000000-0005-0000-0000-0000C29B0000}"/>
    <cellStyle name="Normal 377 2 9" xfId="39021" xr:uid="{00000000-0005-0000-0000-0000C39B0000}"/>
    <cellStyle name="Normal 377 3" xfId="39022" xr:uid="{00000000-0005-0000-0000-0000C49B0000}"/>
    <cellStyle name="Normal 377 3 2" xfId="39023" xr:uid="{00000000-0005-0000-0000-0000C59B0000}"/>
    <cellStyle name="Normal 377 3 2 2" xfId="39024" xr:uid="{00000000-0005-0000-0000-0000C69B0000}"/>
    <cellStyle name="Normal 377 3 2 2 2" xfId="39025" xr:uid="{00000000-0005-0000-0000-0000C79B0000}"/>
    <cellStyle name="Normal 377 3 2 2 3" xfId="39026" xr:uid="{00000000-0005-0000-0000-0000C89B0000}"/>
    <cellStyle name="Normal 377 3 2 3" xfId="39027" xr:uid="{00000000-0005-0000-0000-0000C99B0000}"/>
    <cellStyle name="Normal 377 3 2 3 2" xfId="39028" xr:uid="{00000000-0005-0000-0000-0000CA9B0000}"/>
    <cellStyle name="Normal 377 3 2 3 3" xfId="39029" xr:uid="{00000000-0005-0000-0000-0000CB9B0000}"/>
    <cellStyle name="Normal 377 3 2 4" xfId="39030" xr:uid="{00000000-0005-0000-0000-0000CC9B0000}"/>
    <cellStyle name="Normal 377 3 2 5" xfId="39031" xr:uid="{00000000-0005-0000-0000-0000CD9B0000}"/>
    <cellStyle name="Normal 377 3 2 6" xfId="39032" xr:uid="{00000000-0005-0000-0000-0000CE9B0000}"/>
    <cellStyle name="Normal 377 3 3" xfId="39033" xr:uid="{00000000-0005-0000-0000-0000CF9B0000}"/>
    <cellStyle name="Normal 377 3 3 2" xfId="39034" xr:uid="{00000000-0005-0000-0000-0000D09B0000}"/>
    <cellStyle name="Normal 377 3 3 3" xfId="39035" xr:uid="{00000000-0005-0000-0000-0000D19B0000}"/>
    <cellStyle name="Normal 377 3 4" xfId="39036" xr:uid="{00000000-0005-0000-0000-0000D29B0000}"/>
    <cellStyle name="Normal 377 3 4 2" xfId="39037" xr:uid="{00000000-0005-0000-0000-0000D39B0000}"/>
    <cellStyle name="Normal 377 3 4 3" xfId="39038" xr:uid="{00000000-0005-0000-0000-0000D49B0000}"/>
    <cellStyle name="Normal 377 3 5" xfId="39039" xr:uid="{00000000-0005-0000-0000-0000D59B0000}"/>
    <cellStyle name="Normal 377 3 6" xfId="39040" xr:uid="{00000000-0005-0000-0000-0000D69B0000}"/>
    <cellStyle name="Normal 377 3 7" xfId="39041" xr:uid="{00000000-0005-0000-0000-0000D79B0000}"/>
    <cellStyle name="Normal 377 3 8" xfId="39042" xr:uid="{00000000-0005-0000-0000-0000D89B0000}"/>
    <cellStyle name="Normal 377 4" xfId="39043" xr:uid="{00000000-0005-0000-0000-0000D99B0000}"/>
    <cellStyle name="Normal 377 4 2" xfId="39044" xr:uid="{00000000-0005-0000-0000-0000DA9B0000}"/>
    <cellStyle name="Normal 377 4 2 2" xfId="39045" xr:uid="{00000000-0005-0000-0000-0000DB9B0000}"/>
    <cellStyle name="Normal 377 4 2 3" xfId="39046" xr:uid="{00000000-0005-0000-0000-0000DC9B0000}"/>
    <cellStyle name="Normal 377 4 3" xfId="39047" xr:uid="{00000000-0005-0000-0000-0000DD9B0000}"/>
    <cellStyle name="Normal 377 4 3 2" xfId="39048" xr:uid="{00000000-0005-0000-0000-0000DE9B0000}"/>
    <cellStyle name="Normal 377 4 3 3" xfId="39049" xr:uid="{00000000-0005-0000-0000-0000DF9B0000}"/>
    <cellStyle name="Normal 377 4 4" xfId="39050" xr:uid="{00000000-0005-0000-0000-0000E09B0000}"/>
    <cellStyle name="Normal 377 4 5" xfId="39051" xr:uid="{00000000-0005-0000-0000-0000E19B0000}"/>
    <cellStyle name="Normal 377 4 6" xfId="39052" xr:uid="{00000000-0005-0000-0000-0000E29B0000}"/>
    <cellStyle name="Normal 377 5" xfId="39053" xr:uid="{00000000-0005-0000-0000-0000E39B0000}"/>
    <cellStyle name="Normal 377 5 2" xfId="39054" xr:uid="{00000000-0005-0000-0000-0000E49B0000}"/>
    <cellStyle name="Normal 377 5 3" xfId="39055" xr:uid="{00000000-0005-0000-0000-0000E59B0000}"/>
    <cellStyle name="Normal 377 6" xfId="39056" xr:uid="{00000000-0005-0000-0000-0000E69B0000}"/>
    <cellStyle name="Normal 377 6 2" xfId="39057" xr:uid="{00000000-0005-0000-0000-0000E79B0000}"/>
    <cellStyle name="Normal 377 6 3" xfId="39058" xr:uid="{00000000-0005-0000-0000-0000E89B0000}"/>
    <cellStyle name="Normal 377 7" xfId="39059" xr:uid="{00000000-0005-0000-0000-0000E99B0000}"/>
    <cellStyle name="Normal 377 8" xfId="39060" xr:uid="{00000000-0005-0000-0000-0000EA9B0000}"/>
    <cellStyle name="Normal 377 9" xfId="39061" xr:uid="{00000000-0005-0000-0000-0000EB9B0000}"/>
    <cellStyle name="Normal 378" xfId="3299" xr:uid="{00000000-0005-0000-0000-0000EC9B0000}"/>
    <cellStyle name="Normal 378 10" xfId="39062" xr:uid="{00000000-0005-0000-0000-0000ED9B0000}"/>
    <cellStyle name="Normal 378 11" xfId="39063" xr:uid="{00000000-0005-0000-0000-0000EE9B0000}"/>
    <cellStyle name="Normal 378 2" xfId="39064" xr:uid="{00000000-0005-0000-0000-0000EF9B0000}"/>
    <cellStyle name="Normal 378 2 2" xfId="39065" xr:uid="{00000000-0005-0000-0000-0000F09B0000}"/>
    <cellStyle name="Normal 378 2 2 2" xfId="39066" xr:uid="{00000000-0005-0000-0000-0000F19B0000}"/>
    <cellStyle name="Normal 378 2 2 2 2" xfId="39067" xr:uid="{00000000-0005-0000-0000-0000F29B0000}"/>
    <cellStyle name="Normal 378 2 2 2 2 2" xfId="39068" xr:uid="{00000000-0005-0000-0000-0000F39B0000}"/>
    <cellStyle name="Normal 378 2 2 2 2 3" xfId="39069" xr:uid="{00000000-0005-0000-0000-0000F49B0000}"/>
    <cellStyle name="Normal 378 2 2 2 3" xfId="39070" xr:uid="{00000000-0005-0000-0000-0000F59B0000}"/>
    <cellStyle name="Normal 378 2 2 2 3 2" xfId="39071" xr:uid="{00000000-0005-0000-0000-0000F69B0000}"/>
    <cellStyle name="Normal 378 2 2 2 3 3" xfId="39072" xr:uid="{00000000-0005-0000-0000-0000F79B0000}"/>
    <cellStyle name="Normal 378 2 2 2 4" xfId="39073" xr:uid="{00000000-0005-0000-0000-0000F89B0000}"/>
    <cellStyle name="Normal 378 2 2 2 5" xfId="39074" xr:uid="{00000000-0005-0000-0000-0000F99B0000}"/>
    <cellStyle name="Normal 378 2 2 2 6" xfId="39075" xr:uid="{00000000-0005-0000-0000-0000FA9B0000}"/>
    <cellStyle name="Normal 378 2 2 3" xfId="39076" xr:uid="{00000000-0005-0000-0000-0000FB9B0000}"/>
    <cellStyle name="Normal 378 2 2 3 2" xfId="39077" xr:uid="{00000000-0005-0000-0000-0000FC9B0000}"/>
    <cellStyle name="Normal 378 2 2 3 3" xfId="39078" xr:uid="{00000000-0005-0000-0000-0000FD9B0000}"/>
    <cellStyle name="Normal 378 2 2 4" xfId="39079" xr:uid="{00000000-0005-0000-0000-0000FE9B0000}"/>
    <cellStyle name="Normal 378 2 2 4 2" xfId="39080" xr:uid="{00000000-0005-0000-0000-0000FF9B0000}"/>
    <cellStyle name="Normal 378 2 2 4 3" xfId="39081" xr:uid="{00000000-0005-0000-0000-0000009C0000}"/>
    <cellStyle name="Normal 378 2 2 5" xfId="39082" xr:uid="{00000000-0005-0000-0000-0000019C0000}"/>
    <cellStyle name="Normal 378 2 2 6" xfId="39083" xr:uid="{00000000-0005-0000-0000-0000029C0000}"/>
    <cellStyle name="Normal 378 2 2 7" xfId="39084" xr:uid="{00000000-0005-0000-0000-0000039C0000}"/>
    <cellStyle name="Normal 378 2 2 8" xfId="39085" xr:uid="{00000000-0005-0000-0000-0000049C0000}"/>
    <cellStyle name="Normal 378 2 3" xfId="39086" xr:uid="{00000000-0005-0000-0000-0000059C0000}"/>
    <cellStyle name="Normal 378 2 3 2" xfId="39087" xr:uid="{00000000-0005-0000-0000-0000069C0000}"/>
    <cellStyle name="Normal 378 2 3 2 2" xfId="39088" xr:uid="{00000000-0005-0000-0000-0000079C0000}"/>
    <cellStyle name="Normal 378 2 3 2 3" xfId="39089" xr:uid="{00000000-0005-0000-0000-0000089C0000}"/>
    <cellStyle name="Normal 378 2 3 3" xfId="39090" xr:uid="{00000000-0005-0000-0000-0000099C0000}"/>
    <cellStyle name="Normal 378 2 3 3 2" xfId="39091" xr:uid="{00000000-0005-0000-0000-00000A9C0000}"/>
    <cellStyle name="Normal 378 2 3 3 3" xfId="39092" xr:uid="{00000000-0005-0000-0000-00000B9C0000}"/>
    <cellStyle name="Normal 378 2 3 4" xfId="39093" xr:uid="{00000000-0005-0000-0000-00000C9C0000}"/>
    <cellStyle name="Normal 378 2 3 5" xfId="39094" xr:uid="{00000000-0005-0000-0000-00000D9C0000}"/>
    <cellStyle name="Normal 378 2 3 6" xfId="39095" xr:uid="{00000000-0005-0000-0000-00000E9C0000}"/>
    <cellStyle name="Normal 378 2 4" xfId="39096" xr:uid="{00000000-0005-0000-0000-00000F9C0000}"/>
    <cellStyle name="Normal 378 2 4 2" xfId="39097" xr:uid="{00000000-0005-0000-0000-0000109C0000}"/>
    <cellStyle name="Normal 378 2 4 3" xfId="39098" xr:uid="{00000000-0005-0000-0000-0000119C0000}"/>
    <cellStyle name="Normal 378 2 5" xfId="39099" xr:uid="{00000000-0005-0000-0000-0000129C0000}"/>
    <cellStyle name="Normal 378 2 5 2" xfId="39100" xr:uid="{00000000-0005-0000-0000-0000139C0000}"/>
    <cellStyle name="Normal 378 2 5 3" xfId="39101" xr:uid="{00000000-0005-0000-0000-0000149C0000}"/>
    <cellStyle name="Normal 378 2 6" xfId="39102" xr:uid="{00000000-0005-0000-0000-0000159C0000}"/>
    <cellStyle name="Normal 378 2 7" xfId="39103" xr:uid="{00000000-0005-0000-0000-0000169C0000}"/>
    <cellStyle name="Normal 378 2 8" xfId="39104" xr:uid="{00000000-0005-0000-0000-0000179C0000}"/>
    <cellStyle name="Normal 378 2 9" xfId="39105" xr:uid="{00000000-0005-0000-0000-0000189C0000}"/>
    <cellStyle name="Normal 378 3" xfId="39106" xr:uid="{00000000-0005-0000-0000-0000199C0000}"/>
    <cellStyle name="Normal 378 3 2" xfId="39107" xr:uid="{00000000-0005-0000-0000-00001A9C0000}"/>
    <cellStyle name="Normal 378 3 2 2" xfId="39108" xr:uid="{00000000-0005-0000-0000-00001B9C0000}"/>
    <cellStyle name="Normal 378 3 2 2 2" xfId="39109" xr:uid="{00000000-0005-0000-0000-00001C9C0000}"/>
    <cellStyle name="Normal 378 3 2 2 3" xfId="39110" xr:uid="{00000000-0005-0000-0000-00001D9C0000}"/>
    <cellStyle name="Normal 378 3 2 3" xfId="39111" xr:uid="{00000000-0005-0000-0000-00001E9C0000}"/>
    <cellStyle name="Normal 378 3 2 3 2" xfId="39112" xr:uid="{00000000-0005-0000-0000-00001F9C0000}"/>
    <cellStyle name="Normal 378 3 2 3 3" xfId="39113" xr:uid="{00000000-0005-0000-0000-0000209C0000}"/>
    <cellStyle name="Normal 378 3 2 4" xfId="39114" xr:uid="{00000000-0005-0000-0000-0000219C0000}"/>
    <cellStyle name="Normal 378 3 2 5" xfId="39115" xr:uid="{00000000-0005-0000-0000-0000229C0000}"/>
    <cellStyle name="Normal 378 3 2 6" xfId="39116" xr:uid="{00000000-0005-0000-0000-0000239C0000}"/>
    <cellStyle name="Normal 378 3 3" xfId="39117" xr:uid="{00000000-0005-0000-0000-0000249C0000}"/>
    <cellStyle name="Normal 378 3 3 2" xfId="39118" xr:uid="{00000000-0005-0000-0000-0000259C0000}"/>
    <cellStyle name="Normal 378 3 3 3" xfId="39119" xr:uid="{00000000-0005-0000-0000-0000269C0000}"/>
    <cellStyle name="Normal 378 3 4" xfId="39120" xr:uid="{00000000-0005-0000-0000-0000279C0000}"/>
    <cellStyle name="Normal 378 3 4 2" xfId="39121" xr:uid="{00000000-0005-0000-0000-0000289C0000}"/>
    <cellStyle name="Normal 378 3 4 3" xfId="39122" xr:uid="{00000000-0005-0000-0000-0000299C0000}"/>
    <cellStyle name="Normal 378 3 5" xfId="39123" xr:uid="{00000000-0005-0000-0000-00002A9C0000}"/>
    <cellStyle name="Normal 378 3 6" xfId="39124" xr:uid="{00000000-0005-0000-0000-00002B9C0000}"/>
    <cellStyle name="Normal 378 3 7" xfId="39125" xr:uid="{00000000-0005-0000-0000-00002C9C0000}"/>
    <cellStyle name="Normal 378 3 8" xfId="39126" xr:uid="{00000000-0005-0000-0000-00002D9C0000}"/>
    <cellStyle name="Normal 378 4" xfId="39127" xr:uid="{00000000-0005-0000-0000-00002E9C0000}"/>
    <cellStyle name="Normal 378 4 2" xfId="39128" xr:uid="{00000000-0005-0000-0000-00002F9C0000}"/>
    <cellStyle name="Normal 378 4 2 2" xfId="39129" xr:uid="{00000000-0005-0000-0000-0000309C0000}"/>
    <cellStyle name="Normal 378 4 2 3" xfId="39130" xr:uid="{00000000-0005-0000-0000-0000319C0000}"/>
    <cellStyle name="Normal 378 4 3" xfId="39131" xr:uid="{00000000-0005-0000-0000-0000329C0000}"/>
    <cellStyle name="Normal 378 4 3 2" xfId="39132" xr:uid="{00000000-0005-0000-0000-0000339C0000}"/>
    <cellStyle name="Normal 378 4 3 3" xfId="39133" xr:uid="{00000000-0005-0000-0000-0000349C0000}"/>
    <cellStyle name="Normal 378 4 4" xfId="39134" xr:uid="{00000000-0005-0000-0000-0000359C0000}"/>
    <cellStyle name="Normal 378 4 5" xfId="39135" xr:uid="{00000000-0005-0000-0000-0000369C0000}"/>
    <cellStyle name="Normal 378 4 6" xfId="39136" xr:uid="{00000000-0005-0000-0000-0000379C0000}"/>
    <cellStyle name="Normal 378 5" xfId="39137" xr:uid="{00000000-0005-0000-0000-0000389C0000}"/>
    <cellStyle name="Normal 378 5 2" xfId="39138" xr:uid="{00000000-0005-0000-0000-0000399C0000}"/>
    <cellStyle name="Normal 378 5 3" xfId="39139" xr:uid="{00000000-0005-0000-0000-00003A9C0000}"/>
    <cellStyle name="Normal 378 6" xfId="39140" xr:uid="{00000000-0005-0000-0000-00003B9C0000}"/>
    <cellStyle name="Normal 378 6 2" xfId="39141" xr:uid="{00000000-0005-0000-0000-00003C9C0000}"/>
    <cellStyle name="Normal 378 6 3" xfId="39142" xr:uid="{00000000-0005-0000-0000-00003D9C0000}"/>
    <cellStyle name="Normal 378 7" xfId="39143" xr:uid="{00000000-0005-0000-0000-00003E9C0000}"/>
    <cellStyle name="Normal 378 8" xfId="39144" xr:uid="{00000000-0005-0000-0000-00003F9C0000}"/>
    <cellStyle name="Normal 378 9" xfId="39145" xr:uid="{00000000-0005-0000-0000-0000409C0000}"/>
    <cellStyle name="Normal 379" xfId="3300" xr:uid="{00000000-0005-0000-0000-0000419C0000}"/>
    <cellStyle name="Normal 379 10" xfId="39146" xr:uid="{00000000-0005-0000-0000-0000429C0000}"/>
    <cellStyle name="Normal 379 11" xfId="39147" xr:uid="{00000000-0005-0000-0000-0000439C0000}"/>
    <cellStyle name="Normal 379 2" xfId="3301" xr:uid="{00000000-0005-0000-0000-0000449C0000}"/>
    <cellStyle name="Normal 379 2 10" xfId="39148" xr:uid="{00000000-0005-0000-0000-0000459C0000}"/>
    <cellStyle name="Normal 379 2 2" xfId="39149" xr:uid="{00000000-0005-0000-0000-0000469C0000}"/>
    <cellStyle name="Normal 379 2 2 2" xfId="39150" xr:uid="{00000000-0005-0000-0000-0000479C0000}"/>
    <cellStyle name="Normal 379 2 2 2 2" xfId="39151" xr:uid="{00000000-0005-0000-0000-0000489C0000}"/>
    <cellStyle name="Normal 379 2 2 2 2 2" xfId="39152" xr:uid="{00000000-0005-0000-0000-0000499C0000}"/>
    <cellStyle name="Normal 379 2 2 2 2 3" xfId="39153" xr:uid="{00000000-0005-0000-0000-00004A9C0000}"/>
    <cellStyle name="Normal 379 2 2 2 3" xfId="39154" xr:uid="{00000000-0005-0000-0000-00004B9C0000}"/>
    <cellStyle name="Normal 379 2 2 2 3 2" xfId="39155" xr:uid="{00000000-0005-0000-0000-00004C9C0000}"/>
    <cellStyle name="Normal 379 2 2 2 3 3" xfId="39156" xr:uid="{00000000-0005-0000-0000-00004D9C0000}"/>
    <cellStyle name="Normal 379 2 2 2 4" xfId="39157" xr:uid="{00000000-0005-0000-0000-00004E9C0000}"/>
    <cellStyle name="Normal 379 2 2 2 5" xfId="39158" xr:uid="{00000000-0005-0000-0000-00004F9C0000}"/>
    <cellStyle name="Normal 379 2 2 2 6" xfId="39159" xr:uid="{00000000-0005-0000-0000-0000509C0000}"/>
    <cellStyle name="Normal 379 2 2 3" xfId="39160" xr:uid="{00000000-0005-0000-0000-0000519C0000}"/>
    <cellStyle name="Normal 379 2 2 3 2" xfId="39161" xr:uid="{00000000-0005-0000-0000-0000529C0000}"/>
    <cellStyle name="Normal 379 2 2 3 3" xfId="39162" xr:uid="{00000000-0005-0000-0000-0000539C0000}"/>
    <cellStyle name="Normal 379 2 2 4" xfId="39163" xr:uid="{00000000-0005-0000-0000-0000549C0000}"/>
    <cellStyle name="Normal 379 2 2 4 2" xfId="39164" xr:uid="{00000000-0005-0000-0000-0000559C0000}"/>
    <cellStyle name="Normal 379 2 2 4 3" xfId="39165" xr:uid="{00000000-0005-0000-0000-0000569C0000}"/>
    <cellStyle name="Normal 379 2 2 5" xfId="39166" xr:uid="{00000000-0005-0000-0000-0000579C0000}"/>
    <cellStyle name="Normal 379 2 2 6" xfId="39167" xr:uid="{00000000-0005-0000-0000-0000589C0000}"/>
    <cellStyle name="Normal 379 2 2 7" xfId="39168" xr:uid="{00000000-0005-0000-0000-0000599C0000}"/>
    <cellStyle name="Normal 379 2 2 8" xfId="39169" xr:uid="{00000000-0005-0000-0000-00005A9C0000}"/>
    <cellStyle name="Normal 379 2 3" xfId="39170" xr:uid="{00000000-0005-0000-0000-00005B9C0000}"/>
    <cellStyle name="Normal 379 2 3 2" xfId="39171" xr:uid="{00000000-0005-0000-0000-00005C9C0000}"/>
    <cellStyle name="Normal 379 2 3 2 2" xfId="39172" xr:uid="{00000000-0005-0000-0000-00005D9C0000}"/>
    <cellStyle name="Normal 379 2 3 2 3" xfId="39173" xr:uid="{00000000-0005-0000-0000-00005E9C0000}"/>
    <cellStyle name="Normal 379 2 3 3" xfId="39174" xr:uid="{00000000-0005-0000-0000-00005F9C0000}"/>
    <cellStyle name="Normal 379 2 3 3 2" xfId="39175" xr:uid="{00000000-0005-0000-0000-0000609C0000}"/>
    <cellStyle name="Normal 379 2 3 3 3" xfId="39176" xr:uid="{00000000-0005-0000-0000-0000619C0000}"/>
    <cellStyle name="Normal 379 2 3 4" xfId="39177" xr:uid="{00000000-0005-0000-0000-0000629C0000}"/>
    <cellStyle name="Normal 379 2 3 5" xfId="39178" xr:uid="{00000000-0005-0000-0000-0000639C0000}"/>
    <cellStyle name="Normal 379 2 3 6" xfId="39179" xr:uid="{00000000-0005-0000-0000-0000649C0000}"/>
    <cellStyle name="Normal 379 2 4" xfId="39180" xr:uid="{00000000-0005-0000-0000-0000659C0000}"/>
    <cellStyle name="Normal 379 2 4 2" xfId="39181" xr:uid="{00000000-0005-0000-0000-0000669C0000}"/>
    <cellStyle name="Normal 379 2 4 3" xfId="39182" xr:uid="{00000000-0005-0000-0000-0000679C0000}"/>
    <cellStyle name="Normal 379 2 5" xfId="39183" xr:uid="{00000000-0005-0000-0000-0000689C0000}"/>
    <cellStyle name="Normal 379 2 5 2" xfId="39184" xr:uid="{00000000-0005-0000-0000-0000699C0000}"/>
    <cellStyle name="Normal 379 2 5 3" xfId="39185" xr:uid="{00000000-0005-0000-0000-00006A9C0000}"/>
    <cellStyle name="Normal 379 2 6" xfId="39186" xr:uid="{00000000-0005-0000-0000-00006B9C0000}"/>
    <cellStyle name="Normal 379 2 7" xfId="39187" xr:uid="{00000000-0005-0000-0000-00006C9C0000}"/>
    <cellStyle name="Normal 379 2 8" xfId="39188" xr:uid="{00000000-0005-0000-0000-00006D9C0000}"/>
    <cellStyle name="Normal 379 2 9" xfId="39189" xr:uid="{00000000-0005-0000-0000-00006E9C0000}"/>
    <cellStyle name="Normal 379 3" xfId="39190" xr:uid="{00000000-0005-0000-0000-00006F9C0000}"/>
    <cellStyle name="Normal 379 3 2" xfId="39191" xr:uid="{00000000-0005-0000-0000-0000709C0000}"/>
    <cellStyle name="Normal 379 3 2 2" xfId="39192" xr:uid="{00000000-0005-0000-0000-0000719C0000}"/>
    <cellStyle name="Normal 379 3 2 2 2" xfId="39193" xr:uid="{00000000-0005-0000-0000-0000729C0000}"/>
    <cellStyle name="Normal 379 3 2 2 3" xfId="39194" xr:uid="{00000000-0005-0000-0000-0000739C0000}"/>
    <cellStyle name="Normal 379 3 2 3" xfId="39195" xr:uid="{00000000-0005-0000-0000-0000749C0000}"/>
    <cellStyle name="Normal 379 3 2 3 2" xfId="39196" xr:uid="{00000000-0005-0000-0000-0000759C0000}"/>
    <cellStyle name="Normal 379 3 2 3 3" xfId="39197" xr:uid="{00000000-0005-0000-0000-0000769C0000}"/>
    <cellStyle name="Normal 379 3 2 4" xfId="39198" xr:uid="{00000000-0005-0000-0000-0000779C0000}"/>
    <cellStyle name="Normal 379 3 2 5" xfId="39199" xr:uid="{00000000-0005-0000-0000-0000789C0000}"/>
    <cellStyle name="Normal 379 3 2 6" xfId="39200" xr:uid="{00000000-0005-0000-0000-0000799C0000}"/>
    <cellStyle name="Normal 379 3 3" xfId="39201" xr:uid="{00000000-0005-0000-0000-00007A9C0000}"/>
    <cellStyle name="Normal 379 3 3 2" xfId="39202" xr:uid="{00000000-0005-0000-0000-00007B9C0000}"/>
    <cellStyle name="Normal 379 3 3 3" xfId="39203" xr:uid="{00000000-0005-0000-0000-00007C9C0000}"/>
    <cellStyle name="Normal 379 3 4" xfId="39204" xr:uid="{00000000-0005-0000-0000-00007D9C0000}"/>
    <cellStyle name="Normal 379 3 4 2" xfId="39205" xr:uid="{00000000-0005-0000-0000-00007E9C0000}"/>
    <cellStyle name="Normal 379 3 4 3" xfId="39206" xr:uid="{00000000-0005-0000-0000-00007F9C0000}"/>
    <cellStyle name="Normal 379 3 5" xfId="39207" xr:uid="{00000000-0005-0000-0000-0000809C0000}"/>
    <cellStyle name="Normal 379 3 6" xfId="39208" xr:uid="{00000000-0005-0000-0000-0000819C0000}"/>
    <cellStyle name="Normal 379 3 7" xfId="39209" xr:uid="{00000000-0005-0000-0000-0000829C0000}"/>
    <cellStyle name="Normal 379 3 8" xfId="39210" xr:uid="{00000000-0005-0000-0000-0000839C0000}"/>
    <cellStyle name="Normal 379 4" xfId="39211" xr:uid="{00000000-0005-0000-0000-0000849C0000}"/>
    <cellStyle name="Normal 379 4 2" xfId="39212" xr:uid="{00000000-0005-0000-0000-0000859C0000}"/>
    <cellStyle name="Normal 379 4 2 2" xfId="39213" xr:uid="{00000000-0005-0000-0000-0000869C0000}"/>
    <cellStyle name="Normal 379 4 2 3" xfId="39214" xr:uid="{00000000-0005-0000-0000-0000879C0000}"/>
    <cellStyle name="Normal 379 4 3" xfId="39215" xr:uid="{00000000-0005-0000-0000-0000889C0000}"/>
    <cellStyle name="Normal 379 4 3 2" xfId="39216" xr:uid="{00000000-0005-0000-0000-0000899C0000}"/>
    <cellStyle name="Normal 379 4 3 3" xfId="39217" xr:uid="{00000000-0005-0000-0000-00008A9C0000}"/>
    <cellStyle name="Normal 379 4 4" xfId="39218" xr:uid="{00000000-0005-0000-0000-00008B9C0000}"/>
    <cellStyle name="Normal 379 4 5" xfId="39219" xr:uid="{00000000-0005-0000-0000-00008C9C0000}"/>
    <cellStyle name="Normal 379 4 6" xfId="39220" xr:uid="{00000000-0005-0000-0000-00008D9C0000}"/>
    <cellStyle name="Normal 379 5" xfId="39221" xr:uid="{00000000-0005-0000-0000-00008E9C0000}"/>
    <cellStyle name="Normal 379 5 2" xfId="39222" xr:uid="{00000000-0005-0000-0000-00008F9C0000}"/>
    <cellStyle name="Normal 379 5 3" xfId="39223" xr:uid="{00000000-0005-0000-0000-0000909C0000}"/>
    <cellStyle name="Normal 379 6" xfId="39224" xr:uid="{00000000-0005-0000-0000-0000919C0000}"/>
    <cellStyle name="Normal 379 6 2" xfId="39225" xr:uid="{00000000-0005-0000-0000-0000929C0000}"/>
    <cellStyle name="Normal 379 6 3" xfId="39226" xr:uid="{00000000-0005-0000-0000-0000939C0000}"/>
    <cellStyle name="Normal 379 7" xfId="39227" xr:uid="{00000000-0005-0000-0000-0000949C0000}"/>
    <cellStyle name="Normal 379 8" xfId="39228" xr:uid="{00000000-0005-0000-0000-0000959C0000}"/>
    <cellStyle name="Normal 379 9" xfId="39229" xr:uid="{00000000-0005-0000-0000-0000969C0000}"/>
    <cellStyle name="Normal 38" xfId="3302" xr:uid="{00000000-0005-0000-0000-0000979C0000}"/>
    <cellStyle name="Normal 38 10" xfId="39230" xr:uid="{00000000-0005-0000-0000-0000989C0000}"/>
    <cellStyle name="Normal 38 11" xfId="39231" xr:uid="{00000000-0005-0000-0000-0000999C0000}"/>
    <cellStyle name="Normal 38 12" xfId="39232" xr:uid="{00000000-0005-0000-0000-00009A9C0000}"/>
    <cellStyle name="Normal 38 13" xfId="39233" xr:uid="{00000000-0005-0000-0000-00009B9C0000}"/>
    <cellStyle name="Normal 38 14" xfId="39234" xr:uid="{00000000-0005-0000-0000-00009C9C0000}"/>
    <cellStyle name="Normal 38 2" xfId="39235" xr:uid="{00000000-0005-0000-0000-00009D9C0000}"/>
    <cellStyle name="Normal 38 2 10" xfId="39236" xr:uid="{00000000-0005-0000-0000-00009E9C0000}"/>
    <cellStyle name="Normal 38 2 11" xfId="39237" xr:uid="{00000000-0005-0000-0000-00009F9C0000}"/>
    <cellStyle name="Normal 38 2 2" xfId="39238" xr:uid="{00000000-0005-0000-0000-0000A09C0000}"/>
    <cellStyle name="Normal 38 2 2 2" xfId="39239" xr:uid="{00000000-0005-0000-0000-0000A19C0000}"/>
    <cellStyle name="Normal 38 2 2 2 2" xfId="39240" xr:uid="{00000000-0005-0000-0000-0000A29C0000}"/>
    <cellStyle name="Normal 38 2 2 2 2 2" xfId="39241" xr:uid="{00000000-0005-0000-0000-0000A39C0000}"/>
    <cellStyle name="Normal 38 2 2 2 2 3" xfId="39242" xr:uid="{00000000-0005-0000-0000-0000A49C0000}"/>
    <cellStyle name="Normal 38 2 2 2 3" xfId="39243" xr:uid="{00000000-0005-0000-0000-0000A59C0000}"/>
    <cellStyle name="Normal 38 2 2 2 3 2" xfId="39244" xr:uid="{00000000-0005-0000-0000-0000A69C0000}"/>
    <cellStyle name="Normal 38 2 2 2 3 3" xfId="39245" xr:uid="{00000000-0005-0000-0000-0000A79C0000}"/>
    <cellStyle name="Normal 38 2 2 2 4" xfId="39246" xr:uid="{00000000-0005-0000-0000-0000A89C0000}"/>
    <cellStyle name="Normal 38 2 2 2 5" xfId="39247" xr:uid="{00000000-0005-0000-0000-0000A99C0000}"/>
    <cellStyle name="Normal 38 2 2 2 6" xfId="39248" xr:uid="{00000000-0005-0000-0000-0000AA9C0000}"/>
    <cellStyle name="Normal 38 2 2 3" xfId="39249" xr:uid="{00000000-0005-0000-0000-0000AB9C0000}"/>
    <cellStyle name="Normal 38 2 2 3 2" xfId="39250" xr:uid="{00000000-0005-0000-0000-0000AC9C0000}"/>
    <cellStyle name="Normal 38 2 2 3 3" xfId="39251" xr:uid="{00000000-0005-0000-0000-0000AD9C0000}"/>
    <cellStyle name="Normal 38 2 2 4" xfId="39252" xr:uid="{00000000-0005-0000-0000-0000AE9C0000}"/>
    <cellStyle name="Normal 38 2 2 4 2" xfId="39253" xr:uid="{00000000-0005-0000-0000-0000AF9C0000}"/>
    <cellStyle name="Normal 38 2 2 4 3" xfId="39254" xr:uid="{00000000-0005-0000-0000-0000B09C0000}"/>
    <cellStyle name="Normal 38 2 2 5" xfId="39255" xr:uid="{00000000-0005-0000-0000-0000B19C0000}"/>
    <cellStyle name="Normal 38 2 2 6" xfId="39256" xr:uid="{00000000-0005-0000-0000-0000B29C0000}"/>
    <cellStyle name="Normal 38 2 2 7" xfId="39257" xr:uid="{00000000-0005-0000-0000-0000B39C0000}"/>
    <cellStyle name="Normal 38 2 2 8" xfId="39258" xr:uid="{00000000-0005-0000-0000-0000B49C0000}"/>
    <cellStyle name="Normal 38 2 3" xfId="39259" xr:uid="{00000000-0005-0000-0000-0000B59C0000}"/>
    <cellStyle name="Normal 38 2 3 2" xfId="39260" xr:uid="{00000000-0005-0000-0000-0000B69C0000}"/>
    <cellStyle name="Normal 38 2 3 2 2" xfId="39261" xr:uid="{00000000-0005-0000-0000-0000B79C0000}"/>
    <cellStyle name="Normal 38 2 3 2 3" xfId="39262" xr:uid="{00000000-0005-0000-0000-0000B89C0000}"/>
    <cellStyle name="Normal 38 2 3 3" xfId="39263" xr:uid="{00000000-0005-0000-0000-0000B99C0000}"/>
    <cellStyle name="Normal 38 2 3 3 2" xfId="39264" xr:uid="{00000000-0005-0000-0000-0000BA9C0000}"/>
    <cellStyle name="Normal 38 2 3 3 3" xfId="39265" xr:uid="{00000000-0005-0000-0000-0000BB9C0000}"/>
    <cellStyle name="Normal 38 2 3 4" xfId="39266" xr:uid="{00000000-0005-0000-0000-0000BC9C0000}"/>
    <cellStyle name="Normal 38 2 3 5" xfId="39267" xr:uid="{00000000-0005-0000-0000-0000BD9C0000}"/>
    <cellStyle name="Normal 38 2 3 6" xfId="39268" xr:uid="{00000000-0005-0000-0000-0000BE9C0000}"/>
    <cellStyle name="Normal 38 2 4" xfId="39269" xr:uid="{00000000-0005-0000-0000-0000BF9C0000}"/>
    <cellStyle name="Normal 38 2 4 2" xfId="39270" xr:uid="{00000000-0005-0000-0000-0000C09C0000}"/>
    <cellStyle name="Normal 38 2 4 3" xfId="39271" xr:uid="{00000000-0005-0000-0000-0000C19C0000}"/>
    <cellStyle name="Normal 38 2 5" xfId="39272" xr:uid="{00000000-0005-0000-0000-0000C29C0000}"/>
    <cellStyle name="Normal 38 2 5 2" xfId="39273" xr:uid="{00000000-0005-0000-0000-0000C39C0000}"/>
    <cellStyle name="Normal 38 2 5 3" xfId="39274" xr:uid="{00000000-0005-0000-0000-0000C49C0000}"/>
    <cellStyle name="Normal 38 2 6" xfId="39275" xr:uid="{00000000-0005-0000-0000-0000C59C0000}"/>
    <cellStyle name="Normal 38 2 7" xfId="39276" xr:uid="{00000000-0005-0000-0000-0000C69C0000}"/>
    <cellStyle name="Normal 38 2 8" xfId="39277" xr:uid="{00000000-0005-0000-0000-0000C79C0000}"/>
    <cellStyle name="Normal 38 2 9" xfId="39278" xr:uid="{00000000-0005-0000-0000-0000C89C0000}"/>
    <cellStyle name="Normal 38 3" xfId="39279" xr:uid="{00000000-0005-0000-0000-0000C99C0000}"/>
    <cellStyle name="Normal 38 3 2" xfId="39280" xr:uid="{00000000-0005-0000-0000-0000CA9C0000}"/>
    <cellStyle name="Normal 38 3 2 2" xfId="39281" xr:uid="{00000000-0005-0000-0000-0000CB9C0000}"/>
    <cellStyle name="Normal 38 3 2 2 2" xfId="39282" xr:uid="{00000000-0005-0000-0000-0000CC9C0000}"/>
    <cellStyle name="Normal 38 3 2 2 3" xfId="39283" xr:uid="{00000000-0005-0000-0000-0000CD9C0000}"/>
    <cellStyle name="Normal 38 3 2 3" xfId="39284" xr:uid="{00000000-0005-0000-0000-0000CE9C0000}"/>
    <cellStyle name="Normal 38 3 2 3 2" xfId="39285" xr:uid="{00000000-0005-0000-0000-0000CF9C0000}"/>
    <cellStyle name="Normal 38 3 2 3 3" xfId="39286" xr:uid="{00000000-0005-0000-0000-0000D09C0000}"/>
    <cellStyle name="Normal 38 3 2 4" xfId="39287" xr:uid="{00000000-0005-0000-0000-0000D19C0000}"/>
    <cellStyle name="Normal 38 3 2 5" xfId="39288" xr:uid="{00000000-0005-0000-0000-0000D29C0000}"/>
    <cellStyle name="Normal 38 3 2 6" xfId="39289" xr:uid="{00000000-0005-0000-0000-0000D39C0000}"/>
    <cellStyle name="Normal 38 3 3" xfId="39290" xr:uid="{00000000-0005-0000-0000-0000D49C0000}"/>
    <cellStyle name="Normal 38 3 3 2" xfId="39291" xr:uid="{00000000-0005-0000-0000-0000D59C0000}"/>
    <cellStyle name="Normal 38 3 3 3" xfId="39292" xr:uid="{00000000-0005-0000-0000-0000D69C0000}"/>
    <cellStyle name="Normal 38 3 4" xfId="39293" xr:uid="{00000000-0005-0000-0000-0000D79C0000}"/>
    <cellStyle name="Normal 38 3 4 2" xfId="39294" xr:uid="{00000000-0005-0000-0000-0000D89C0000}"/>
    <cellStyle name="Normal 38 3 4 3" xfId="39295" xr:uid="{00000000-0005-0000-0000-0000D99C0000}"/>
    <cellStyle name="Normal 38 3 5" xfId="39296" xr:uid="{00000000-0005-0000-0000-0000DA9C0000}"/>
    <cellStyle name="Normal 38 3 6" xfId="39297" xr:uid="{00000000-0005-0000-0000-0000DB9C0000}"/>
    <cellStyle name="Normal 38 3 7" xfId="39298" xr:uid="{00000000-0005-0000-0000-0000DC9C0000}"/>
    <cellStyle name="Normal 38 3 8" xfId="39299" xr:uid="{00000000-0005-0000-0000-0000DD9C0000}"/>
    <cellStyle name="Normal 38 4" xfId="39300" xr:uid="{00000000-0005-0000-0000-0000DE9C0000}"/>
    <cellStyle name="Normal 38 4 2" xfId="39301" xr:uid="{00000000-0005-0000-0000-0000DF9C0000}"/>
    <cellStyle name="Normal 38 4 2 2" xfId="39302" xr:uid="{00000000-0005-0000-0000-0000E09C0000}"/>
    <cellStyle name="Normal 38 4 2 3" xfId="39303" xr:uid="{00000000-0005-0000-0000-0000E19C0000}"/>
    <cellStyle name="Normal 38 4 3" xfId="39304" xr:uid="{00000000-0005-0000-0000-0000E29C0000}"/>
    <cellStyle name="Normal 38 4 3 2" xfId="39305" xr:uid="{00000000-0005-0000-0000-0000E39C0000}"/>
    <cellStyle name="Normal 38 4 3 3" xfId="39306" xr:uid="{00000000-0005-0000-0000-0000E49C0000}"/>
    <cellStyle name="Normal 38 4 4" xfId="39307" xr:uid="{00000000-0005-0000-0000-0000E59C0000}"/>
    <cellStyle name="Normal 38 4 5" xfId="39308" xr:uid="{00000000-0005-0000-0000-0000E69C0000}"/>
    <cellStyle name="Normal 38 4 6" xfId="39309" xr:uid="{00000000-0005-0000-0000-0000E79C0000}"/>
    <cellStyle name="Normal 38 5" xfId="39310" xr:uid="{00000000-0005-0000-0000-0000E89C0000}"/>
    <cellStyle name="Normal 38 5 2" xfId="39311" xr:uid="{00000000-0005-0000-0000-0000E99C0000}"/>
    <cellStyle name="Normal 38 5 3" xfId="39312" xr:uid="{00000000-0005-0000-0000-0000EA9C0000}"/>
    <cellStyle name="Normal 38 6" xfId="39313" xr:uid="{00000000-0005-0000-0000-0000EB9C0000}"/>
    <cellStyle name="Normal 38 6 2" xfId="39314" xr:uid="{00000000-0005-0000-0000-0000EC9C0000}"/>
    <cellStyle name="Normal 38 6 3" xfId="39315" xr:uid="{00000000-0005-0000-0000-0000ED9C0000}"/>
    <cellStyle name="Normal 38 7" xfId="39316" xr:uid="{00000000-0005-0000-0000-0000EE9C0000}"/>
    <cellStyle name="Normal 38 8" xfId="39317" xr:uid="{00000000-0005-0000-0000-0000EF9C0000}"/>
    <cellStyle name="Normal 38 9" xfId="39318" xr:uid="{00000000-0005-0000-0000-0000F09C0000}"/>
    <cellStyle name="Normal 380" xfId="3303" xr:uid="{00000000-0005-0000-0000-0000F19C0000}"/>
    <cellStyle name="Normal 380 10" xfId="39319" xr:uid="{00000000-0005-0000-0000-0000F29C0000}"/>
    <cellStyle name="Normal 380 11" xfId="39320" xr:uid="{00000000-0005-0000-0000-0000F39C0000}"/>
    <cellStyle name="Normal 380 2" xfId="39321" xr:uid="{00000000-0005-0000-0000-0000F49C0000}"/>
    <cellStyle name="Normal 380 2 2" xfId="39322" xr:uid="{00000000-0005-0000-0000-0000F59C0000}"/>
    <cellStyle name="Normal 380 2 2 2" xfId="39323" xr:uid="{00000000-0005-0000-0000-0000F69C0000}"/>
    <cellStyle name="Normal 380 2 2 2 2" xfId="39324" xr:uid="{00000000-0005-0000-0000-0000F79C0000}"/>
    <cellStyle name="Normal 380 2 2 2 2 2" xfId="39325" xr:uid="{00000000-0005-0000-0000-0000F89C0000}"/>
    <cellStyle name="Normal 380 2 2 2 2 3" xfId="39326" xr:uid="{00000000-0005-0000-0000-0000F99C0000}"/>
    <cellStyle name="Normal 380 2 2 2 3" xfId="39327" xr:uid="{00000000-0005-0000-0000-0000FA9C0000}"/>
    <cellStyle name="Normal 380 2 2 2 3 2" xfId="39328" xr:uid="{00000000-0005-0000-0000-0000FB9C0000}"/>
    <cellStyle name="Normal 380 2 2 2 3 3" xfId="39329" xr:uid="{00000000-0005-0000-0000-0000FC9C0000}"/>
    <cellStyle name="Normal 380 2 2 2 4" xfId="39330" xr:uid="{00000000-0005-0000-0000-0000FD9C0000}"/>
    <cellStyle name="Normal 380 2 2 2 5" xfId="39331" xr:uid="{00000000-0005-0000-0000-0000FE9C0000}"/>
    <cellStyle name="Normal 380 2 2 2 6" xfId="39332" xr:uid="{00000000-0005-0000-0000-0000FF9C0000}"/>
    <cellStyle name="Normal 380 2 2 3" xfId="39333" xr:uid="{00000000-0005-0000-0000-0000009D0000}"/>
    <cellStyle name="Normal 380 2 2 3 2" xfId="39334" xr:uid="{00000000-0005-0000-0000-0000019D0000}"/>
    <cellStyle name="Normal 380 2 2 3 3" xfId="39335" xr:uid="{00000000-0005-0000-0000-0000029D0000}"/>
    <cellStyle name="Normal 380 2 2 4" xfId="39336" xr:uid="{00000000-0005-0000-0000-0000039D0000}"/>
    <cellStyle name="Normal 380 2 2 4 2" xfId="39337" xr:uid="{00000000-0005-0000-0000-0000049D0000}"/>
    <cellStyle name="Normal 380 2 2 4 3" xfId="39338" xr:uid="{00000000-0005-0000-0000-0000059D0000}"/>
    <cellStyle name="Normal 380 2 2 5" xfId="39339" xr:uid="{00000000-0005-0000-0000-0000069D0000}"/>
    <cellStyle name="Normal 380 2 2 6" xfId="39340" xr:uid="{00000000-0005-0000-0000-0000079D0000}"/>
    <cellStyle name="Normal 380 2 2 7" xfId="39341" xr:uid="{00000000-0005-0000-0000-0000089D0000}"/>
    <cellStyle name="Normal 380 2 2 8" xfId="39342" xr:uid="{00000000-0005-0000-0000-0000099D0000}"/>
    <cellStyle name="Normal 380 2 3" xfId="39343" xr:uid="{00000000-0005-0000-0000-00000A9D0000}"/>
    <cellStyle name="Normal 380 2 3 2" xfId="39344" xr:uid="{00000000-0005-0000-0000-00000B9D0000}"/>
    <cellStyle name="Normal 380 2 3 2 2" xfId="39345" xr:uid="{00000000-0005-0000-0000-00000C9D0000}"/>
    <cellStyle name="Normal 380 2 3 2 3" xfId="39346" xr:uid="{00000000-0005-0000-0000-00000D9D0000}"/>
    <cellStyle name="Normal 380 2 3 3" xfId="39347" xr:uid="{00000000-0005-0000-0000-00000E9D0000}"/>
    <cellStyle name="Normal 380 2 3 3 2" xfId="39348" xr:uid="{00000000-0005-0000-0000-00000F9D0000}"/>
    <cellStyle name="Normal 380 2 3 3 3" xfId="39349" xr:uid="{00000000-0005-0000-0000-0000109D0000}"/>
    <cellStyle name="Normal 380 2 3 4" xfId="39350" xr:uid="{00000000-0005-0000-0000-0000119D0000}"/>
    <cellStyle name="Normal 380 2 3 5" xfId="39351" xr:uid="{00000000-0005-0000-0000-0000129D0000}"/>
    <cellStyle name="Normal 380 2 3 6" xfId="39352" xr:uid="{00000000-0005-0000-0000-0000139D0000}"/>
    <cellStyle name="Normal 380 2 4" xfId="39353" xr:uid="{00000000-0005-0000-0000-0000149D0000}"/>
    <cellStyle name="Normal 380 2 4 2" xfId="39354" xr:uid="{00000000-0005-0000-0000-0000159D0000}"/>
    <cellStyle name="Normal 380 2 4 3" xfId="39355" xr:uid="{00000000-0005-0000-0000-0000169D0000}"/>
    <cellStyle name="Normal 380 2 5" xfId="39356" xr:uid="{00000000-0005-0000-0000-0000179D0000}"/>
    <cellStyle name="Normal 380 2 5 2" xfId="39357" xr:uid="{00000000-0005-0000-0000-0000189D0000}"/>
    <cellStyle name="Normal 380 2 5 3" xfId="39358" xr:uid="{00000000-0005-0000-0000-0000199D0000}"/>
    <cellStyle name="Normal 380 2 6" xfId="39359" xr:uid="{00000000-0005-0000-0000-00001A9D0000}"/>
    <cellStyle name="Normal 380 2 7" xfId="39360" xr:uid="{00000000-0005-0000-0000-00001B9D0000}"/>
    <cellStyle name="Normal 380 2 8" xfId="39361" xr:uid="{00000000-0005-0000-0000-00001C9D0000}"/>
    <cellStyle name="Normal 380 2 9" xfId="39362" xr:uid="{00000000-0005-0000-0000-00001D9D0000}"/>
    <cellStyle name="Normal 380 3" xfId="39363" xr:uid="{00000000-0005-0000-0000-00001E9D0000}"/>
    <cellStyle name="Normal 380 3 2" xfId="39364" xr:uid="{00000000-0005-0000-0000-00001F9D0000}"/>
    <cellStyle name="Normal 380 3 2 2" xfId="39365" xr:uid="{00000000-0005-0000-0000-0000209D0000}"/>
    <cellStyle name="Normal 380 3 2 2 2" xfId="39366" xr:uid="{00000000-0005-0000-0000-0000219D0000}"/>
    <cellStyle name="Normal 380 3 2 2 3" xfId="39367" xr:uid="{00000000-0005-0000-0000-0000229D0000}"/>
    <cellStyle name="Normal 380 3 2 3" xfId="39368" xr:uid="{00000000-0005-0000-0000-0000239D0000}"/>
    <cellStyle name="Normal 380 3 2 3 2" xfId="39369" xr:uid="{00000000-0005-0000-0000-0000249D0000}"/>
    <cellStyle name="Normal 380 3 2 3 3" xfId="39370" xr:uid="{00000000-0005-0000-0000-0000259D0000}"/>
    <cellStyle name="Normal 380 3 2 4" xfId="39371" xr:uid="{00000000-0005-0000-0000-0000269D0000}"/>
    <cellStyle name="Normal 380 3 2 5" xfId="39372" xr:uid="{00000000-0005-0000-0000-0000279D0000}"/>
    <cellStyle name="Normal 380 3 2 6" xfId="39373" xr:uid="{00000000-0005-0000-0000-0000289D0000}"/>
    <cellStyle name="Normal 380 3 3" xfId="39374" xr:uid="{00000000-0005-0000-0000-0000299D0000}"/>
    <cellStyle name="Normal 380 3 3 2" xfId="39375" xr:uid="{00000000-0005-0000-0000-00002A9D0000}"/>
    <cellStyle name="Normal 380 3 3 3" xfId="39376" xr:uid="{00000000-0005-0000-0000-00002B9D0000}"/>
    <cellStyle name="Normal 380 3 4" xfId="39377" xr:uid="{00000000-0005-0000-0000-00002C9D0000}"/>
    <cellStyle name="Normal 380 3 4 2" xfId="39378" xr:uid="{00000000-0005-0000-0000-00002D9D0000}"/>
    <cellStyle name="Normal 380 3 4 3" xfId="39379" xr:uid="{00000000-0005-0000-0000-00002E9D0000}"/>
    <cellStyle name="Normal 380 3 5" xfId="39380" xr:uid="{00000000-0005-0000-0000-00002F9D0000}"/>
    <cellStyle name="Normal 380 3 6" xfId="39381" xr:uid="{00000000-0005-0000-0000-0000309D0000}"/>
    <cellStyle name="Normal 380 3 7" xfId="39382" xr:uid="{00000000-0005-0000-0000-0000319D0000}"/>
    <cellStyle name="Normal 380 3 8" xfId="39383" xr:uid="{00000000-0005-0000-0000-0000329D0000}"/>
    <cellStyle name="Normal 380 4" xfId="39384" xr:uid="{00000000-0005-0000-0000-0000339D0000}"/>
    <cellStyle name="Normal 380 4 2" xfId="39385" xr:uid="{00000000-0005-0000-0000-0000349D0000}"/>
    <cellStyle name="Normal 380 4 2 2" xfId="39386" xr:uid="{00000000-0005-0000-0000-0000359D0000}"/>
    <cellStyle name="Normal 380 4 2 3" xfId="39387" xr:uid="{00000000-0005-0000-0000-0000369D0000}"/>
    <cellStyle name="Normal 380 4 3" xfId="39388" xr:uid="{00000000-0005-0000-0000-0000379D0000}"/>
    <cellStyle name="Normal 380 4 3 2" xfId="39389" xr:uid="{00000000-0005-0000-0000-0000389D0000}"/>
    <cellStyle name="Normal 380 4 3 3" xfId="39390" xr:uid="{00000000-0005-0000-0000-0000399D0000}"/>
    <cellStyle name="Normal 380 4 4" xfId="39391" xr:uid="{00000000-0005-0000-0000-00003A9D0000}"/>
    <cellStyle name="Normal 380 4 5" xfId="39392" xr:uid="{00000000-0005-0000-0000-00003B9D0000}"/>
    <cellStyle name="Normal 380 4 6" xfId="39393" xr:uid="{00000000-0005-0000-0000-00003C9D0000}"/>
    <cellStyle name="Normal 380 5" xfId="39394" xr:uid="{00000000-0005-0000-0000-00003D9D0000}"/>
    <cellStyle name="Normal 380 5 2" xfId="39395" xr:uid="{00000000-0005-0000-0000-00003E9D0000}"/>
    <cellStyle name="Normal 380 5 3" xfId="39396" xr:uid="{00000000-0005-0000-0000-00003F9D0000}"/>
    <cellStyle name="Normal 380 6" xfId="39397" xr:uid="{00000000-0005-0000-0000-0000409D0000}"/>
    <cellStyle name="Normal 380 6 2" xfId="39398" xr:uid="{00000000-0005-0000-0000-0000419D0000}"/>
    <cellStyle name="Normal 380 6 3" xfId="39399" xr:uid="{00000000-0005-0000-0000-0000429D0000}"/>
    <cellStyle name="Normal 380 7" xfId="39400" xr:uid="{00000000-0005-0000-0000-0000439D0000}"/>
    <cellStyle name="Normal 380 8" xfId="39401" xr:uid="{00000000-0005-0000-0000-0000449D0000}"/>
    <cellStyle name="Normal 380 9" xfId="39402" xr:uid="{00000000-0005-0000-0000-0000459D0000}"/>
    <cellStyle name="Normal 381" xfId="3304" xr:uid="{00000000-0005-0000-0000-0000469D0000}"/>
    <cellStyle name="Normal 381 10" xfId="39403" xr:uid="{00000000-0005-0000-0000-0000479D0000}"/>
    <cellStyle name="Normal 381 11" xfId="39404" xr:uid="{00000000-0005-0000-0000-0000489D0000}"/>
    <cellStyle name="Normal 381 2" xfId="3305" xr:uid="{00000000-0005-0000-0000-0000499D0000}"/>
    <cellStyle name="Normal 381 2 10" xfId="39405" xr:uid="{00000000-0005-0000-0000-00004A9D0000}"/>
    <cellStyle name="Normal 381 2 2" xfId="39406" xr:uid="{00000000-0005-0000-0000-00004B9D0000}"/>
    <cellStyle name="Normal 381 2 2 2" xfId="39407" xr:uid="{00000000-0005-0000-0000-00004C9D0000}"/>
    <cellStyle name="Normal 381 2 2 2 2" xfId="39408" xr:uid="{00000000-0005-0000-0000-00004D9D0000}"/>
    <cellStyle name="Normal 381 2 2 2 2 2" xfId="39409" xr:uid="{00000000-0005-0000-0000-00004E9D0000}"/>
    <cellStyle name="Normal 381 2 2 2 2 3" xfId="39410" xr:uid="{00000000-0005-0000-0000-00004F9D0000}"/>
    <cellStyle name="Normal 381 2 2 2 3" xfId="39411" xr:uid="{00000000-0005-0000-0000-0000509D0000}"/>
    <cellStyle name="Normal 381 2 2 2 3 2" xfId="39412" xr:uid="{00000000-0005-0000-0000-0000519D0000}"/>
    <cellStyle name="Normal 381 2 2 2 3 3" xfId="39413" xr:uid="{00000000-0005-0000-0000-0000529D0000}"/>
    <cellStyle name="Normal 381 2 2 2 4" xfId="39414" xr:uid="{00000000-0005-0000-0000-0000539D0000}"/>
    <cellStyle name="Normal 381 2 2 2 5" xfId="39415" xr:uid="{00000000-0005-0000-0000-0000549D0000}"/>
    <cellStyle name="Normal 381 2 2 2 6" xfId="39416" xr:uid="{00000000-0005-0000-0000-0000559D0000}"/>
    <cellStyle name="Normal 381 2 2 3" xfId="39417" xr:uid="{00000000-0005-0000-0000-0000569D0000}"/>
    <cellStyle name="Normal 381 2 2 3 2" xfId="39418" xr:uid="{00000000-0005-0000-0000-0000579D0000}"/>
    <cellStyle name="Normal 381 2 2 3 3" xfId="39419" xr:uid="{00000000-0005-0000-0000-0000589D0000}"/>
    <cellStyle name="Normal 381 2 2 4" xfId="39420" xr:uid="{00000000-0005-0000-0000-0000599D0000}"/>
    <cellStyle name="Normal 381 2 2 4 2" xfId="39421" xr:uid="{00000000-0005-0000-0000-00005A9D0000}"/>
    <cellStyle name="Normal 381 2 2 4 3" xfId="39422" xr:uid="{00000000-0005-0000-0000-00005B9D0000}"/>
    <cellStyle name="Normal 381 2 2 5" xfId="39423" xr:uid="{00000000-0005-0000-0000-00005C9D0000}"/>
    <cellStyle name="Normal 381 2 2 6" xfId="39424" xr:uid="{00000000-0005-0000-0000-00005D9D0000}"/>
    <cellStyle name="Normal 381 2 2 7" xfId="39425" xr:uid="{00000000-0005-0000-0000-00005E9D0000}"/>
    <cellStyle name="Normal 381 2 2 8" xfId="39426" xr:uid="{00000000-0005-0000-0000-00005F9D0000}"/>
    <cellStyle name="Normal 381 2 3" xfId="39427" xr:uid="{00000000-0005-0000-0000-0000609D0000}"/>
    <cellStyle name="Normal 381 2 3 2" xfId="39428" xr:uid="{00000000-0005-0000-0000-0000619D0000}"/>
    <cellStyle name="Normal 381 2 3 2 2" xfId="39429" xr:uid="{00000000-0005-0000-0000-0000629D0000}"/>
    <cellStyle name="Normal 381 2 3 2 3" xfId="39430" xr:uid="{00000000-0005-0000-0000-0000639D0000}"/>
    <cellStyle name="Normal 381 2 3 3" xfId="39431" xr:uid="{00000000-0005-0000-0000-0000649D0000}"/>
    <cellStyle name="Normal 381 2 3 3 2" xfId="39432" xr:uid="{00000000-0005-0000-0000-0000659D0000}"/>
    <cellStyle name="Normal 381 2 3 3 3" xfId="39433" xr:uid="{00000000-0005-0000-0000-0000669D0000}"/>
    <cellStyle name="Normal 381 2 3 4" xfId="39434" xr:uid="{00000000-0005-0000-0000-0000679D0000}"/>
    <cellStyle name="Normal 381 2 3 5" xfId="39435" xr:uid="{00000000-0005-0000-0000-0000689D0000}"/>
    <cellStyle name="Normal 381 2 3 6" xfId="39436" xr:uid="{00000000-0005-0000-0000-0000699D0000}"/>
    <cellStyle name="Normal 381 2 4" xfId="39437" xr:uid="{00000000-0005-0000-0000-00006A9D0000}"/>
    <cellStyle name="Normal 381 2 4 2" xfId="39438" xr:uid="{00000000-0005-0000-0000-00006B9D0000}"/>
    <cellStyle name="Normal 381 2 4 3" xfId="39439" xr:uid="{00000000-0005-0000-0000-00006C9D0000}"/>
    <cellStyle name="Normal 381 2 5" xfId="39440" xr:uid="{00000000-0005-0000-0000-00006D9D0000}"/>
    <cellStyle name="Normal 381 2 5 2" xfId="39441" xr:uid="{00000000-0005-0000-0000-00006E9D0000}"/>
    <cellStyle name="Normal 381 2 5 3" xfId="39442" xr:uid="{00000000-0005-0000-0000-00006F9D0000}"/>
    <cellStyle name="Normal 381 2 6" xfId="39443" xr:uid="{00000000-0005-0000-0000-0000709D0000}"/>
    <cellStyle name="Normal 381 2 7" xfId="39444" xr:uid="{00000000-0005-0000-0000-0000719D0000}"/>
    <cellStyle name="Normal 381 2 8" xfId="39445" xr:uid="{00000000-0005-0000-0000-0000729D0000}"/>
    <cellStyle name="Normal 381 2 9" xfId="39446" xr:uid="{00000000-0005-0000-0000-0000739D0000}"/>
    <cellStyle name="Normal 381 3" xfId="39447" xr:uid="{00000000-0005-0000-0000-0000749D0000}"/>
    <cellStyle name="Normal 381 3 2" xfId="39448" xr:uid="{00000000-0005-0000-0000-0000759D0000}"/>
    <cellStyle name="Normal 381 3 2 2" xfId="39449" xr:uid="{00000000-0005-0000-0000-0000769D0000}"/>
    <cellStyle name="Normal 381 3 2 2 2" xfId="39450" xr:uid="{00000000-0005-0000-0000-0000779D0000}"/>
    <cellStyle name="Normal 381 3 2 2 3" xfId="39451" xr:uid="{00000000-0005-0000-0000-0000789D0000}"/>
    <cellStyle name="Normal 381 3 2 3" xfId="39452" xr:uid="{00000000-0005-0000-0000-0000799D0000}"/>
    <cellStyle name="Normal 381 3 2 3 2" xfId="39453" xr:uid="{00000000-0005-0000-0000-00007A9D0000}"/>
    <cellStyle name="Normal 381 3 2 3 3" xfId="39454" xr:uid="{00000000-0005-0000-0000-00007B9D0000}"/>
    <cellStyle name="Normal 381 3 2 4" xfId="39455" xr:uid="{00000000-0005-0000-0000-00007C9D0000}"/>
    <cellStyle name="Normal 381 3 2 5" xfId="39456" xr:uid="{00000000-0005-0000-0000-00007D9D0000}"/>
    <cellStyle name="Normal 381 3 2 6" xfId="39457" xr:uid="{00000000-0005-0000-0000-00007E9D0000}"/>
    <cellStyle name="Normal 381 3 3" xfId="39458" xr:uid="{00000000-0005-0000-0000-00007F9D0000}"/>
    <cellStyle name="Normal 381 3 3 2" xfId="39459" xr:uid="{00000000-0005-0000-0000-0000809D0000}"/>
    <cellStyle name="Normal 381 3 3 3" xfId="39460" xr:uid="{00000000-0005-0000-0000-0000819D0000}"/>
    <cellStyle name="Normal 381 3 4" xfId="39461" xr:uid="{00000000-0005-0000-0000-0000829D0000}"/>
    <cellStyle name="Normal 381 3 4 2" xfId="39462" xr:uid="{00000000-0005-0000-0000-0000839D0000}"/>
    <cellStyle name="Normal 381 3 4 3" xfId="39463" xr:uid="{00000000-0005-0000-0000-0000849D0000}"/>
    <cellStyle name="Normal 381 3 5" xfId="39464" xr:uid="{00000000-0005-0000-0000-0000859D0000}"/>
    <cellStyle name="Normal 381 3 6" xfId="39465" xr:uid="{00000000-0005-0000-0000-0000869D0000}"/>
    <cellStyle name="Normal 381 3 7" xfId="39466" xr:uid="{00000000-0005-0000-0000-0000879D0000}"/>
    <cellStyle name="Normal 381 3 8" xfId="39467" xr:uid="{00000000-0005-0000-0000-0000889D0000}"/>
    <cellStyle name="Normal 381 4" xfId="39468" xr:uid="{00000000-0005-0000-0000-0000899D0000}"/>
    <cellStyle name="Normal 381 4 2" xfId="39469" xr:uid="{00000000-0005-0000-0000-00008A9D0000}"/>
    <cellStyle name="Normal 381 4 2 2" xfId="39470" xr:uid="{00000000-0005-0000-0000-00008B9D0000}"/>
    <cellStyle name="Normal 381 4 2 3" xfId="39471" xr:uid="{00000000-0005-0000-0000-00008C9D0000}"/>
    <cellStyle name="Normal 381 4 3" xfId="39472" xr:uid="{00000000-0005-0000-0000-00008D9D0000}"/>
    <cellStyle name="Normal 381 4 3 2" xfId="39473" xr:uid="{00000000-0005-0000-0000-00008E9D0000}"/>
    <cellStyle name="Normal 381 4 3 3" xfId="39474" xr:uid="{00000000-0005-0000-0000-00008F9D0000}"/>
    <cellStyle name="Normal 381 4 4" xfId="39475" xr:uid="{00000000-0005-0000-0000-0000909D0000}"/>
    <cellStyle name="Normal 381 4 5" xfId="39476" xr:uid="{00000000-0005-0000-0000-0000919D0000}"/>
    <cellStyle name="Normal 381 4 6" xfId="39477" xr:uid="{00000000-0005-0000-0000-0000929D0000}"/>
    <cellStyle name="Normal 381 5" xfId="39478" xr:uid="{00000000-0005-0000-0000-0000939D0000}"/>
    <cellStyle name="Normal 381 5 2" xfId="39479" xr:uid="{00000000-0005-0000-0000-0000949D0000}"/>
    <cellStyle name="Normal 381 5 3" xfId="39480" xr:uid="{00000000-0005-0000-0000-0000959D0000}"/>
    <cellStyle name="Normal 381 6" xfId="39481" xr:uid="{00000000-0005-0000-0000-0000969D0000}"/>
    <cellStyle name="Normal 381 6 2" xfId="39482" xr:uid="{00000000-0005-0000-0000-0000979D0000}"/>
    <cellStyle name="Normal 381 6 3" xfId="39483" xr:uid="{00000000-0005-0000-0000-0000989D0000}"/>
    <cellStyle name="Normal 381 7" xfId="39484" xr:uid="{00000000-0005-0000-0000-0000999D0000}"/>
    <cellStyle name="Normal 381 8" xfId="39485" xr:uid="{00000000-0005-0000-0000-00009A9D0000}"/>
    <cellStyle name="Normal 381 9" xfId="39486" xr:uid="{00000000-0005-0000-0000-00009B9D0000}"/>
    <cellStyle name="Normal 382" xfId="3306" xr:uid="{00000000-0005-0000-0000-00009C9D0000}"/>
    <cellStyle name="Normal 382 10" xfId="39487" xr:uid="{00000000-0005-0000-0000-00009D9D0000}"/>
    <cellStyle name="Normal 382 11" xfId="39488" xr:uid="{00000000-0005-0000-0000-00009E9D0000}"/>
    <cellStyle name="Normal 382 2" xfId="39489" xr:uid="{00000000-0005-0000-0000-00009F9D0000}"/>
    <cellStyle name="Normal 382 2 2" xfId="39490" xr:uid="{00000000-0005-0000-0000-0000A09D0000}"/>
    <cellStyle name="Normal 382 2 2 2" xfId="39491" xr:uid="{00000000-0005-0000-0000-0000A19D0000}"/>
    <cellStyle name="Normal 382 2 2 2 2" xfId="39492" xr:uid="{00000000-0005-0000-0000-0000A29D0000}"/>
    <cellStyle name="Normal 382 2 2 2 2 2" xfId="39493" xr:uid="{00000000-0005-0000-0000-0000A39D0000}"/>
    <cellStyle name="Normal 382 2 2 2 2 3" xfId="39494" xr:uid="{00000000-0005-0000-0000-0000A49D0000}"/>
    <cellStyle name="Normal 382 2 2 2 3" xfId="39495" xr:uid="{00000000-0005-0000-0000-0000A59D0000}"/>
    <cellStyle name="Normal 382 2 2 2 3 2" xfId="39496" xr:uid="{00000000-0005-0000-0000-0000A69D0000}"/>
    <cellStyle name="Normal 382 2 2 2 3 3" xfId="39497" xr:uid="{00000000-0005-0000-0000-0000A79D0000}"/>
    <cellStyle name="Normal 382 2 2 2 4" xfId="39498" xr:uid="{00000000-0005-0000-0000-0000A89D0000}"/>
    <cellStyle name="Normal 382 2 2 2 5" xfId="39499" xr:uid="{00000000-0005-0000-0000-0000A99D0000}"/>
    <cellStyle name="Normal 382 2 2 2 6" xfId="39500" xr:uid="{00000000-0005-0000-0000-0000AA9D0000}"/>
    <cellStyle name="Normal 382 2 2 3" xfId="39501" xr:uid="{00000000-0005-0000-0000-0000AB9D0000}"/>
    <cellStyle name="Normal 382 2 2 3 2" xfId="39502" xr:uid="{00000000-0005-0000-0000-0000AC9D0000}"/>
    <cellStyle name="Normal 382 2 2 3 3" xfId="39503" xr:uid="{00000000-0005-0000-0000-0000AD9D0000}"/>
    <cellStyle name="Normal 382 2 2 4" xfId="39504" xr:uid="{00000000-0005-0000-0000-0000AE9D0000}"/>
    <cellStyle name="Normal 382 2 2 4 2" xfId="39505" xr:uid="{00000000-0005-0000-0000-0000AF9D0000}"/>
    <cellStyle name="Normal 382 2 2 4 3" xfId="39506" xr:uid="{00000000-0005-0000-0000-0000B09D0000}"/>
    <cellStyle name="Normal 382 2 2 5" xfId="39507" xr:uid="{00000000-0005-0000-0000-0000B19D0000}"/>
    <cellStyle name="Normal 382 2 2 6" xfId="39508" xr:uid="{00000000-0005-0000-0000-0000B29D0000}"/>
    <cellStyle name="Normal 382 2 2 7" xfId="39509" xr:uid="{00000000-0005-0000-0000-0000B39D0000}"/>
    <cellStyle name="Normal 382 2 2 8" xfId="39510" xr:uid="{00000000-0005-0000-0000-0000B49D0000}"/>
    <cellStyle name="Normal 382 2 3" xfId="39511" xr:uid="{00000000-0005-0000-0000-0000B59D0000}"/>
    <cellStyle name="Normal 382 2 3 2" xfId="39512" xr:uid="{00000000-0005-0000-0000-0000B69D0000}"/>
    <cellStyle name="Normal 382 2 3 2 2" xfId="39513" xr:uid="{00000000-0005-0000-0000-0000B79D0000}"/>
    <cellStyle name="Normal 382 2 3 2 3" xfId="39514" xr:uid="{00000000-0005-0000-0000-0000B89D0000}"/>
    <cellStyle name="Normal 382 2 3 3" xfId="39515" xr:uid="{00000000-0005-0000-0000-0000B99D0000}"/>
    <cellStyle name="Normal 382 2 3 3 2" xfId="39516" xr:uid="{00000000-0005-0000-0000-0000BA9D0000}"/>
    <cellStyle name="Normal 382 2 3 3 3" xfId="39517" xr:uid="{00000000-0005-0000-0000-0000BB9D0000}"/>
    <cellStyle name="Normal 382 2 3 4" xfId="39518" xr:uid="{00000000-0005-0000-0000-0000BC9D0000}"/>
    <cellStyle name="Normal 382 2 3 5" xfId="39519" xr:uid="{00000000-0005-0000-0000-0000BD9D0000}"/>
    <cellStyle name="Normal 382 2 3 6" xfId="39520" xr:uid="{00000000-0005-0000-0000-0000BE9D0000}"/>
    <cellStyle name="Normal 382 2 4" xfId="39521" xr:uid="{00000000-0005-0000-0000-0000BF9D0000}"/>
    <cellStyle name="Normal 382 2 4 2" xfId="39522" xr:uid="{00000000-0005-0000-0000-0000C09D0000}"/>
    <cellStyle name="Normal 382 2 4 3" xfId="39523" xr:uid="{00000000-0005-0000-0000-0000C19D0000}"/>
    <cellStyle name="Normal 382 2 5" xfId="39524" xr:uid="{00000000-0005-0000-0000-0000C29D0000}"/>
    <cellStyle name="Normal 382 2 5 2" xfId="39525" xr:uid="{00000000-0005-0000-0000-0000C39D0000}"/>
    <cellStyle name="Normal 382 2 5 3" xfId="39526" xr:uid="{00000000-0005-0000-0000-0000C49D0000}"/>
    <cellStyle name="Normal 382 2 6" xfId="39527" xr:uid="{00000000-0005-0000-0000-0000C59D0000}"/>
    <cellStyle name="Normal 382 2 7" xfId="39528" xr:uid="{00000000-0005-0000-0000-0000C69D0000}"/>
    <cellStyle name="Normal 382 2 8" xfId="39529" xr:uid="{00000000-0005-0000-0000-0000C79D0000}"/>
    <cellStyle name="Normal 382 2 9" xfId="39530" xr:uid="{00000000-0005-0000-0000-0000C89D0000}"/>
    <cellStyle name="Normal 382 3" xfId="39531" xr:uid="{00000000-0005-0000-0000-0000C99D0000}"/>
    <cellStyle name="Normal 382 3 2" xfId="39532" xr:uid="{00000000-0005-0000-0000-0000CA9D0000}"/>
    <cellStyle name="Normal 382 3 2 2" xfId="39533" xr:uid="{00000000-0005-0000-0000-0000CB9D0000}"/>
    <cellStyle name="Normal 382 3 2 2 2" xfId="39534" xr:uid="{00000000-0005-0000-0000-0000CC9D0000}"/>
    <cellStyle name="Normal 382 3 2 2 3" xfId="39535" xr:uid="{00000000-0005-0000-0000-0000CD9D0000}"/>
    <cellStyle name="Normal 382 3 2 3" xfId="39536" xr:uid="{00000000-0005-0000-0000-0000CE9D0000}"/>
    <cellStyle name="Normal 382 3 2 3 2" xfId="39537" xr:uid="{00000000-0005-0000-0000-0000CF9D0000}"/>
    <cellStyle name="Normal 382 3 2 3 3" xfId="39538" xr:uid="{00000000-0005-0000-0000-0000D09D0000}"/>
    <cellStyle name="Normal 382 3 2 4" xfId="39539" xr:uid="{00000000-0005-0000-0000-0000D19D0000}"/>
    <cellStyle name="Normal 382 3 2 5" xfId="39540" xr:uid="{00000000-0005-0000-0000-0000D29D0000}"/>
    <cellStyle name="Normal 382 3 2 6" xfId="39541" xr:uid="{00000000-0005-0000-0000-0000D39D0000}"/>
    <cellStyle name="Normal 382 3 3" xfId="39542" xr:uid="{00000000-0005-0000-0000-0000D49D0000}"/>
    <cellStyle name="Normal 382 3 3 2" xfId="39543" xr:uid="{00000000-0005-0000-0000-0000D59D0000}"/>
    <cellStyle name="Normal 382 3 3 3" xfId="39544" xr:uid="{00000000-0005-0000-0000-0000D69D0000}"/>
    <cellStyle name="Normal 382 3 4" xfId="39545" xr:uid="{00000000-0005-0000-0000-0000D79D0000}"/>
    <cellStyle name="Normal 382 3 4 2" xfId="39546" xr:uid="{00000000-0005-0000-0000-0000D89D0000}"/>
    <cellStyle name="Normal 382 3 4 3" xfId="39547" xr:uid="{00000000-0005-0000-0000-0000D99D0000}"/>
    <cellStyle name="Normal 382 3 5" xfId="39548" xr:uid="{00000000-0005-0000-0000-0000DA9D0000}"/>
    <cellStyle name="Normal 382 3 6" xfId="39549" xr:uid="{00000000-0005-0000-0000-0000DB9D0000}"/>
    <cellStyle name="Normal 382 3 7" xfId="39550" xr:uid="{00000000-0005-0000-0000-0000DC9D0000}"/>
    <cellStyle name="Normal 382 3 8" xfId="39551" xr:uid="{00000000-0005-0000-0000-0000DD9D0000}"/>
    <cellStyle name="Normal 382 4" xfId="39552" xr:uid="{00000000-0005-0000-0000-0000DE9D0000}"/>
    <cellStyle name="Normal 382 4 2" xfId="39553" xr:uid="{00000000-0005-0000-0000-0000DF9D0000}"/>
    <cellStyle name="Normal 382 4 2 2" xfId="39554" xr:uid="{00000000-0005-0000-0000-0000E09D0000}"/>
    <cellStyle name="Normal 382 4 2 3" xfId="39555" xr:uid="{00000000-0005-0000-0000-0000E19D0000}"/>
    <cellStyle name="Normal 382 4 3" xfId="39556" xr:uid="{00000000-0005-0000-0000-0000E29D0000}"/>
    <cellStyle name="Normal 382 4 3 2" xfId="39557" xr:uid="{00000000-0005-0000-0000-0000E39D0000}"/>
    <cellStyle name="Normal 382 4 3 3" xfId="39558" xr:uid="{00000000-0005-0000-0000-0000E49D0000}"/>
    <cellStyle name="Normal 382 4 4" xfId="39559" xr:uid="{00000000-0005-0000-0000-0000E59D0000}"/>
    <cellStyle name="Normal 382 4 5" xfId="39560" xr:uid="{00000000-0005-0000-0000-0000E69D0000}"/>
    <cellStyle name="Normal 382 4 6" xfId="39561" xr:uid="{00000000-0005-0000-0000-0000E79D0000}"/>
    <cellStyle name="Normal 382 5" xfId="39562" xr:uid="{00000000-0005-0000-0000-0000E89D0000}"/>
    <cellStyle name="Normal 382 5 2" xfId="39563" xr:uid="{00000000-0005-0000-0000-0000E99D0000}"/>
    <cellStyle name="Normal 382 5 3" xfId="39564" xr:uid="{00000000-0005-0000-0000-0000EA9D0000}"/>
    <cellStyle name="Normal 382 6" xfId="39565" xr:uid="{00000000-0005-0000-0000-0000EB9D0000}"/>
    <cellStyle name="Normal 382 6 2" xfId="39566" xr:uid="{00000000-0005-0000-0000-0000EC9D0000}"/>
    <cellStyle name="Normal 382 6 3" xfId="39567" xr:uid="{00000000-0005-0000-0000-0000ED9D0000}"/>
    <cellStyle name="Normal 382 7" xfId="39568" xr:uid="{00000000-0005-0000-0000-0000EE9D0000}"/>
    <cellStyle name="Normal 382 8" xfId="39569" xr:uid="{00000000-0005-0000-0000-0000EF9D0000}"/>
    <cellStyle name="Normal 382 9" xfId="39570" xr:uid="{00000000-0005-0000-0000-0000F09D0000}"/>
    <cellStyle name="Normal 383" xfId="3307" xr:uid="{00000000-0005-0000-0000-0000F19D0000}"/>
    <cellStyle name="Normal 383 10" xfId="39571" xr:uid="{00000000-0005-0000-0000-0000F29D0000}"/>
    <cellStyle name="Normal 383 11" xfId="39572" xr:uid="{00000000-0005-0000-0000-0000F39D0000}"/>
    <cellStyle name="Normal 383 2" xfId="3308" xr:uid="{00000000-0005-0000-0000-0000F49D0000}"/>
    <cellStyle name="Normal 383 2 10" xfId="39573" xr:uid="{00000000-0005-0000-0000-0000F59D0000}"/>
    <cellStyle name="Normal 383 2 2" xfId="39574" xr:uid="{00000000-0005-0000-0000-0000F69D0000}"/>
    <cellStyle name="Normal 383 2 2 2" xfId="39575" xr:uid="{00000000-0005-0000-0000-0000F79D0000}"/>
    <cellStyle name="Normal 383 2 2 2 2" xfId="39576" xr:uid="{00000000-0005-0000-0000-0000F89D0000}"/>
    <cellStyle name="Normal 383 2 2 2 2 2" xfId="39577" xr:uid="{00000000-0005-0000-0000-0000F99D0000}"/>
    <cellStyle name="Normal 383 2 2 2 2 3" xfId="39578" xr:uid="{00000000-0005-0000-0000-0000FA9D0000}"/>
    <cellStyle name="Normal 383 2 2 2 3" xfId="39579" xr:uid="{00000000-0005-0000-0000-0000FB9D0000}"/>
    <cellStyle name="Normal 383 2 2 2 3 2" xfId="39580" xr:uid="{00000000-0005-0000-0000-0000FC9D0000}"/>
    <cellStyle name="Normal 383 2 2 2 3 3" xfId="39581" xr:uid="{00000000-0005-0000-0000-0000FD9D0000}"/>
    <cellStyle name="Normal 383 2 2 2 4" xfId="39582" xr:uid="{00000000-0005-0000-0000-0000FE9D0000}"/>
    <cellStyle name="Normal 383 2 2 2 5" xfId="39583" xr:uid="{00000000-0005-0000-0000-0000FF9D0000}"/>
    <cellStyle name="Normal 383 2 2 2 6" xfId="39584" xr:uid="{00000000-0005-0000-0000-0000009E0000}"/>
    <cellStyle name="Normal 383 2 2 3" xfId="39585" xr:uid="{00000000-0005-0000-0000-0000019E0000}"/>
    <cellStyle name="Normal 383 2 2 3 2" xfId="39586" xr:uid="{00000000-0005-0000-0000-0000029E0000}"/>
    <cellStyle name="Normal 383 2 2 3 3" xfId="39587" xr:uid="{00000000-0005-0000-0000-0000039E0000}"/>
    <cellStyle name="Normal 383 2 2 4" xfId="39588" xr:uid="{00000000-0005-0000-0000-0000049E0000}"/>
    <cellStyle name="Normal 383 2 2 4 2" xfId="39589" xr:uid="{00000000-0005-0000-0000-0000059E0000}"/>
    <cellStyle name="Normal 383 2 2 4 3" xfId="39590" xr:uid="{00000000-0005-0000-0000-0000069E0000}"/>
    <cellStyle name="Normal 383 2 2 5" xfId="39591" xr:uid="{00000000-0005-0000-0000-0000079E0000}"/>
    <cellStyle name="Normal 383 2 2 6" xfId="39592" xr:uid="{00000000-0005-0000-0000-0000089E0000}"/>
    <cellStyle name="Normal 383 2 2 7" xfId="39593" xr:uid="{00000000-0005-0000-0000-0000099E0000}"/>
    <cellStyle name="Normal 383 2 2 8" xfId="39594" xr:uid="{00000000-0005-0000-0000-00000A9E0000}"/>
    <cellStyle name="Normal 383 2 3" xfId="39595" xr:uid="{00000000-0005-0000-0000-00000B9E0000}"/>
    <cellStyle name="Normal 383 2 3 2" xfId="39596" xr:uid="{00000000-0005-0000-0000-00000C9E0000}"/>
    <cellStyle name="Normal 383 2 3 2 2" xfId="39597" xr:uid="{00000000-0005-0000-0000-00000D9E0000}"/>
    <cellStyle name="Normal 383 2 3 2 3" xfId="39598" xr:uid="{00000000-0005-0000-0000-00000E9E0000}"/>
    <cellStyle name="Normal 383 2 3 3" xfId="39599" xr:uid="{00000000-0005-0000-0000-00000F9E0000}"/>
    <cellStyle name="Normal 383 2 3 3 2" xfId="39600" xr:uid="{00000000-0005-0000-0000-0000109E0000}"/>
    <cellStyle name="Normal 383 2 3 3 3" xfId="39601" xr:uid="{00000000-0005-0000-0000-0000119E0000}"/>
    <cellStyle name="Normal 383 2 3 4" xfId="39602" xr:uid="{00000000-0005-0000-0000-0000129E0000}"/>
    <cellStyle name="Normal 383 2 3 5" xfId="39603" xr:uid="{00000000-0005-0000-0000-0000139E0000}"/>
    <cellStyle name="Normal 383 2 3 6" xfId="39604" xr:uid="{00000000-0005-0000-0000-0000149E0000}"/>
    <cellStyle name="Normal 383 2 4" xfId="39605" xr:uid="{00000000-0005-0000-0000-0000159E0000}"/>
    <cellStyle name="Normal 383 2 4 2" xfId="39606" xr:uid="{00000000-0005-0000-0000-0000169E0000}"/>
    <cellStyle name="Normal 383 2 4 3" xfId="39607" xr:uid="{00000000-0005-0000-0000-0000179E0000}"/>
    <cellStyle name="Normal 383 2 5" xfId="39608" xr:uid="{00000000-0005-0000-0000-0000189E0000}"/>
    <cellStyle name="Normal 383 2 5 2" xfId="39609" xr:uid="{00000000-0005-0000-0000-0000199E0000}"/>
    <cellStyle name="Normal 383 2 5 3" xfId="39610" xr:uid="{00000000-0005-0000-0000-00001A9E0000}"/>
    <cellStyle name="Normal 383 2 6" xfId="39611" xr:uid="{00000000-0005-0000-0000-00001B9E0000}"/>
    <cellStyle name="Normal 383 2 7" xfId="39612" xr:uid="{00000000-0005-0000-0000-00001C9E0000}"/>
    <cellStyle name="Normal 383 2 8" xfId="39613" xr:uid="{00000000-0005-0000-0000-00001D9E0000}"/>
    <cellStyle name="Normal 383 2 9" xfId="39614" xr:uid="{00000000-0005-0000-0000-00001E9E0000}"/>
    <cellStyle name="Normal 383 3" xfId="39615" xr:uid="{00000000-0005-0000-0000-00001F9E0000}"/>
    <cellStyle name="Normal 383 3 2" xfId="39616" xr:uid="{00000000-0005-0000-0000-0000209E0000}"/>
    <cellStyle name="Normal 383 3 2 2" xfId="39617" xr:uid="{00000000-0005-0000-0000-0000219E0000}"/>
    <cellStyle name="Normal 383 3 2 2 2" xfId="39618" xr:uid="{00000000-0005-0000-0000-0000229E0000}"/>
    <cellStyle name="Normal 383 3 2 2 3" xfId="39619" xr:uid="{00000000-0005-0000-0000-0000239E0000}"/>
    <cellStyle name="Normal 383 3 2 3" xfId="39620" xr:uid="{00000000-0005-0000-0000-0000249E0000}"/>
    <cellStyle name="Normal 383 3 2 3 2" xfId="39621" xr:uid="{00000000-0005-0000-0000-0000259E0000}"/>
    <cellStyle name="Normal 383 3 2 3 3" xfId="39622" xr:uid="{00000000-0005-0000-0000-0000269E0000}"/>
    <cellStyle name="Normal 383 3 2 4" xfId="39623" xr:uid="{00000000-0005-0000-0000-0000279E0000}"/>
    <cellStyle name="Normal 383 3 2 5" xfId="39624" xr:uid="{00000000-0005-0000-0000-0000289E0000}"/>
    <cellStyle name="Normal 383 3 2 6" xfId="39625" xr:uid="{00000000-0005-0000-0000-0000299E0000}"/>
    <cellStyle name="Normal 383 3 3" xfId="39626" xr:uid="{00000000-0005-0000-0000-00002A9E0000}"/>
    <cellStyle name="Normal 383 3 3 2" xfId="39627" xr:uid="{00000000-0005-0000-0000-00002B9E0000}"/>
    <cellStyle name="Normal 383 3 3 3" xfId="39628" xr:uid="{00000000-0005-0000-0000-00002C9E0000}"/>
    <cellStyle name="Normal 383 3 4" xfId="39629" xr:uid="{00000000-0005-0000-0000-00002D9E0000}"/>
    <cellStyle name="Normal 383 3 4 2" xfId="39630" xr:uid="{00000000-0005-0000-0000-00002E9E0000}"/>
    <cellStyle name="Normal 383 3 4 3" xfId="39631" xr:uid="{00000000-0005-0000-0000-00002F9E0000}"/>
    <cellStyle name="Normal 383 3 5" xfId="39632" xr:uid="{00000000-0005-0000-0000-0000309E0000}"/>
    <cellStyle name="Normal 383 3 6" xfId="39633" xr:uid="{00000000-0005-0000-0000-0000319E0000}"/>
    <cellStyle name="Normal 383 3 7" xfId="39634" xr:uid="{00000000-0005-0000-0000-0000329E0000}"/>
    <cellStyle name="Normal 383 3 8" xfId="39635" xr:uid="{00000000-0005-0000-0000-0000339E0000}"/>
    <cellStyle name="Normal 383 4" xfId="39636" xr:uid="{00000000-0005-0000-0000-0000349E0000}"/>
    <cellStyle name="Normal 383 4 2" xfId="39637" xr:uid="{00000000-0005-0000-0000-0000359E0000}"/>
    <cellStyle name="Normal 383 4 2 2" xfId="39638" xr:uid="{00000000-0005-0000-0000-0000369E0000}"/>
    <cellStyle name="Normal 383 4 2 3" xfId="39639" xr:uid="{00000000-0005-0000-0000-0000379E0000}"/>
    <cellStyle name="Normal 383 4 3" xfId="39640" xr:uid="{00000000-0005-0000-0000-0000389E0000}"/>
    <cellStyle name="Normal 383 4 3 2" xfId="39641" xr:uid="{00000000-0005-0000-0000-0000399E0000}"/>
    <cellStyle name="Normal 383 4 3 3" xfId="39642" xr:uid="{00000000-0005-0000-0000-00003A9E0000}"/>
    <cellStyle name="Normal 383 4 4" xfId="39643" xr:uid="{00000000-0005-0000-0000-00003B9E0000}"/>
    <cellStyle name="Normal 383 4 5" xfId="39644" xr:uid="{00000000-0005-0000-0000-00003C9E0000}"/>
    <cellStyle name="Normal 383 4 6" xfId="39645" xr:uid="{00000000-0005-0000-0000-00003D9E0000}"/>
    <cellStyle name="Normal 383 5" xfId="39646" xr:uid="{00000000-0005-0000-0000-00003E9E0000}"/>
    <cellStyle name="Normal 383 5 2" xfId="39647" xr:uid="{00000000-0005-0000-0000-00003F9E0000}"/>
    <cellStyle name="Normal 383 5 3" xfId="39648" xr:uid="{00000000-0005-0000-0000-0000409E0000}"/>
    <cellStyle name="Normal 383 6" xfId="39649" xr:uid="{00000000-0005-0000-0000-0000419E0000}"/>
    <cellStyle name="Normal 383 6 2" xfId="39650" xr:uid="{00000000-0005-0000-0000-0000429E0000}"/>
    <cellStyle name="Normal 383 6 3" xfId="39651" xr:uid="{00000000-0005-0000-0000-0000439E0000}"/>
    <cellStyle name="Normal 383 7" xfId="39652" xr:uid="{00000000-0005-0000-0000-0000449E0000}"/>
    <cellStyle name="Normal 383 8" xfId="39653" xr:uid="{00000000-0005-0000-0000-0000459E0000}"/>
    <cellStyle name="Normal 383 9" xfId="39654" xr:uid="{00000000-0005-0000-0000-0000469E0000}"/>
    <cellStyle name="Normal 384" xfId="3309" xr:uid="{00000000-0005-0000-0000-0000479E0000}"/>
    <cellStyle name="Normal 384 10" xfId="39655" xr:uid="{00000000-0005-0000-0000-0000489E0000}"/>
    <cellStyle name="Normal 384 11" xfId="39656" xr:uid="{00000000-0005-0000-0000-0000499E0000}"/>
    <cellStyle name="Normal 384 2" xfId="3310" xr:uid="{00000000-0005-0000-0000-00004A9E0000}"/>
    <cellStyle name="Normal 384 2 10" xfId="39657" xr:uid="{00000000-0005-0000-0000-00004B9E0000}"/>
    <cellStyle name="Normal 384 2 2" xfId="39658" xr:uid="{00000000-0005-0000-0000-00004C9E0000}"/>
    <cellStyle name="Normal 384 2 2 2" xfId="39659" xr:uid="{00000000-0005-0000-0000-00004D9E0000}"/>
    <cellStyle name="Normal 384 2 2 2 2" xfId="39660" xr:uid="{00000000-0005-0000-0000-00004E9E0000}"/>
    <cellStyle name="Normal 384 2 2 2 2 2" xfId="39661" xr:uid="{00000000-0005-0000-0000-00004F9E0000}"/>
    <cellStyle name="Normal 384 2 2 2 2 3" xfId="39662" xr:uid="{00000000-0005-0000-0000-0000509E0000}"/>
    <cellStyle name="Normal 384 2 2 2 3" xfId="39663" xr:uid="{00000000-0005-0000-0000-0000519E0000}"/>
    <cellStyle name="Normal 384 2 2 2 3 2" xfId="39664" xr:uid="{00000000-0005-0000-0000-0000529E0000}"/>
    <cellStyle name="Normal 384 2 2 2 3 3" xfId="39665" xr:uid="{00000000-0005-0000-0000-0000539E0000}"/>
    <cellStyle name="Normal 384 2 2 2 4" xfId="39666" xr:uid="{00000000-0005-0000-0000-0000549E0000}"/>
    <cellStyle name="Normal 384 2 2 2 5" xfId="39667" xr:uid="{00000000-0005-0000-0000-0000559E0000}"/>
    <cellStyle name="Normal 384 2 2 2 6" xfId="39668" xr:uid="{00000000-0005-0000-0000-0000569E0000}"/>
    <cellStyle name="Normal 384 2 2 3" xfId="39669" xr:uid="{00000000-0005-0000-0000-0000579E0000}"/>
    <cellStyle name="Normal 384 2 2 3 2" xfId="39670" xr:uid="{00000000-0005-0000-0000-0000589E0000}"/>
    <cellStyle name="Normal 384 2 2 3 3" xfId="39671" xr:uid="{00000000-0005-0000-0000-0000599E0000}"/>
    <cellStyle name="Normal 384 2 2 4" xfId="39672" xr:uid="{00000000-0005-0000-0000-00005A9E0000}"/>
    <cellStyle name="Normal 384 2 2 4 2" xfId="39673" xr:uid="{00000000-0005-0000-0000-00005B9E0000}"/>
    <cellStyle name="Normal 384 2 2 4 3" xfId="39674" xr:uid="{00000000-0005-0000-0000-00005C9E0000}"/>
    <cellStyle name="Normal 384 2 2 5" xfId="39675" xr:uid="{00000000-0005-0000-0000-00005D9E0000}"/>
    <cellStyle name="Normal 384 2 2 6" xfId="39676" xr:uid="{00000000-0005-0000-0000-00005E9E0000}"/>
    <cellStyle name="Normal 384 2 2 7" xfId="39677" xr:uid="{00000000-0005-0000-0000-00005F9E0000}"/>
    <cellStyle name="Normal 384 2 2 8" xfId="39678" xr:uid="{00000000-0005-0000-0000-0000609E0000}"/>
    <cellStyle name="Normal 384 2 3" xfId="39679" xr:uid="{00000000-0005-0000-0000-0000619E0000}"/>
    <cellStyle name="Normal 384 2 3 2" xfId="39680" xr:uid="{00000000-0005-0000-0000-0000629E0000}"/>
    <cellStyle name="Normal 384 2 3 2 2" xfId="39681" xr:uid="{00000000-0005-0000-0000-0000639E0000}"/>
    <cellStyle name="Normal 384 2 3 2 3" xfId="39682" xr:uid="{00000000-0005-0000-0000-0000649E0000}"/>
    <cellStyle name="Normal 384 2 3 3" xfId="39683" xr:uid="{00000000-0005-0000-0000-0000659E0000}"/>
    <cellStyle name="Normal 384 2 3 3 2" xfId="39684" xr:uid="{00000000-0005-0000-0000-0000669E0000}"/>
    <cellStyle name="Normal 384 2 3 3 3" xfId="39685" xr:uid="{00000000-0005-0000-0000-0000679E0000}"/>
    <cellStyle name="Normal 384 2 3 4" xfId="39686" xr:uid="{00000000-0005-0000-0000-0000689E0000}"/>
    <cellStyle name="Normal 384 2 3 5" xfId="39687" xr:uid="{00000000-0005-0000-0000-0000699E0000}"/>
    <cellStyle name="Normal 384 2 3 6" xfId="39688" xr:uid="{00000000-0005-0000-0000-00006A9E0000}"/>
    <cellStyle name="Normal 384 2 4" xfId="39689" xr:uid="{00000000-0005-0000-0000-00006B9E0000}"/>
    <cellStyle name="Normal 384 2 4 2" xfId="39690" xr:uid="{00000000-0005-0000-0000-00006C9E0000}"/>
    <cellStyle name="Normal 384 2 4 3" xfId="39691" xr:uid="{00000000-0005-0000-0000-00006D9E0000}"/>
    <cellStyle name="Normal 384 2 5" xfId="39692" xr:uid="{00000000-0005-0000-0000-00006E9E0000}"/>
    <cellStyle name="Normal 384 2 5 2" xfId="39693" xr:uid="{00000000-0005-0000-0000-00006F9E0000}"/>
    <cellStyle name="Normal 384 2 5 3" xfId="39694" xr:uid="{00000000-0005-0000-0000-0000709E0000}"/>
    <cellStyle name="Normal 384 2 6" xfId="39695" xr:uid="{00000000-0005-0000-0000-0000719E0000}"/>
    <cellStyle name="Normal 384 2 7" xfId="39696" xr:uid="{00000000-0005-0000-0000-0000729E0000}"/>
    <cellStyle name="Normal 384 2 8" xfId="39697" xr:uid="{00000000-0005-0000-0000-0000739E0000}"/>
    <cellStyle name="Normal 384 2 9" xfId="39698" xr:uid="{00000000-0005-0000-0000-0000749E0000}"/>
    <cellStyle name="Normal 384 3" xfId="39699" xr:uid="{00000000-0005-0000-0000-0000759E0000}"/>
    <cellStyle name="Normal 384 3 2" xfId="39700" xr:uid="{00000000-0005-0000-0000-0000769E0000}"/>
    <cellStyle name="Normal 384 3 2 2" xfId="39701" xr:uid="{00000000-0005-0000-0000-0000779E0000}"/>
    <cellStyle name="Normal 384 3 2 2 2" xfId="39702" xr:uid="{00000000-0005-0000-0000-0000789E0000}"/>
    <cellStyle name="Normal 384 3 2 2 3" xfId="39703" xr:uid="{00000000-0005-0000-0000-0000799E0000}"/>
    <cellStyle name="Normal 384 3 2 3" xfId="39704" xr:uid="{00000000-0005-0000-0000-00007A9E0000}"/>
    <cellStyle name="Normal 384 3 2 3 2" xfId="39705" xr:uid="{00000000-0005-0000-0000-00007B9E0000}"/>
    <cellStyle name="Normal 384 3 2 3 3" xfId="39706" xr:uid="{00000000-0005-0000-0000-00007C9E0000}"/>
    <cellStyle name="Normal 384 3 2 4" xfId="39707" xr:uid="{00000000-0005-0000-0000-00007D9E0000}"/>
    <cellStyle name="Normal 384 3 2 5" xfId="39708" xr:uid="{00000000-0005-0000-0000-00007E9E0000}"/>
    <cellStyle name="Normal 384 3 2 6" xfId="39709" xr:uid="{00000000-0005-0000-0000-00007F9E0000}"/>
    <cellStyle name="Normal 384 3 3" xfId="39710" xr:uid="{00000000-0005-0000-0000-0000809E0000}"/>
    <cellStyle name="Normal 384 3 3 2" xfId="39711" xr:uid="{00000000-0005-0000-0000-0000819E0000}"/>
    <cellStyle name="Normal 384 3 3 3" xfId="39712" xr:uid="{00000000-0005-0000-0000-0000829E0000}"/>
    <cellStyle name="Normal 384 3 4" xfId="39713" xr:uid="{00000000-0005-0000-0000-0000839E0000}"/>
    <cellStyle name="Normal 384 3 4 2" xfId="39714" xr:uid="{00000000-0005-0000-0000-0000849E0000}"/>
    <cellStyle name="Normal 384 3 4 3" xfId="39715" xr:uid="{00000000-0005-0000-0000-0000859E0000}"/>
    <cellStyle name="Normal 384 3 5" xfId="39716" xr:uid="{00000000-0005-0000-0000-0000869E0000}"/>
    <cellStyle name="Normal 384 3 6" xfId="39717" xr:uid="{00000000-0005-0000-0000-0000879E0000}"/>
    <cellStyle name="Normal 384 3 7" xfId="39718" xr:uid="{00000000-0005-0000-0000-0000889E0000}"/>
    <cellStyle name="Normal 384 3 8" xfId="39719" xr:uid="{00000000-0005-0000-0000-0000899E0000}"/>
    <cellStyle name="Normal 384 4" xfId="39720" xr:uid="{00000000-0005-0000-0000-00008A9E0000}"/>
    <cellStyle name="Normal 384 4 2" xfId="39721" xr:uid="{00000000-0005-0000-0000-00008B9E0000}"/>
    <cellStyle name="Normal 384 4 2 2" xfId="39722" xr:uid="{00000000-0005-0000-0000-00008C9E0000}"/>
    <cellStyle name="Normal 384 4 2 3" xfId="39723" xr:uid="{00000000-0005-0000-0000-00008D9E0000}"/>
    <cellStyle name="Normal 384 4 3" xfId="39724" xr:uid="{00000000-0005-0000-0000-00008E9E0000}"/>
    <cellStyle name="Normal 384 4 3 2" xfId="39725" xr:uid="{00000000-0005-0000-0000-00008F9E0000}"/>
    <cellStyle name="Normal 384 4 3 3" xfId="39726" xr:uid="{00000000-0005-0000-0000-0000909E0000}"/>
    <cellStyle name="Normal 384 4 4" xfId="39727" xr:uid="{00000000-0005-0000-0000-0000919E0000}"/>
    <cellStyle name="Normal 384 4 5" xfId="39728" xr:uid="{00000000-0005-0000-0000-0000929E0000}"/>
    <cellStyle name="Normal 384 4 6" xfId="39729" xr:uid="{00000000-0005-0000-0000-0000939E0000}"/>
    <cellStyle name="Normal 384 5" xfId="39730" xr:uid="{00000000-0005-0000-0000-0000949E0000}"/>
    <cellStyle name="Normal 384 5 2" xfId="39731" xr:uid="{00000000-0005-0000-0000-0000959E0000}"/>
    <cellStyle name="Normal 384 5 3" xfId="39732" xr:uid="{00000000-0005-0000-0000-0000969E0000}"/>
    <cellStyle name="Normal 384 6" xfId="39733" xr:uid="{00000000-0005-0000-0000-0000979E0000}"/>
    <cellStyle name="Normal 384 6 2" xfId="39734" xr:uid="{00000000-0005-0000-0000-0000989E0000}"/>
    <cellStyle name="Normal 384 6 3" xfId="39735" xr:uid="{00000000-0005-0000-0000-0000999E0000}"/>
    <cellStyle name="Normal 384 7" xfId="39736" xr:uid="{00000000-0005-0000-0000-00009A9E0000}"/>
    <cellStyle name="Normal 384 8" xfId="39737" xr:uid="{00000000-0005-0000-0000-00009B9E0000}"/>
    <cellStyle name="Normal 384 9" xfId="39738" xr:uid="{00000000-0005-0000-0000-00009C9E0000}"/>
    <cellStyle name="Normal 385" xfId="3311" xr:uid="{00000000-0005-0000-0000-00009D9E0000}"/>
    <cellStyle name="Normal 385 10" xfId="39739" xr:uid="{00000000-0005-0000-0000-00009E9E0000}"/>
    <cellStyle name="Normal 385 11" xfId="39740" xr:uid="{00000000-0005-0000-0000-00009F9E0000}"/>
    <cellStyle name="Normal 385 2" xfId="3312" xr:uid="{00000000-0005-0000-0000-0000A09E0000}"/>
    <cellStyle name="Normal 385 2 10" xfId="39741" xr:uid="{00000000-0005-0000-0000-0000A19E0000}"/>
    <cellStyle name="Normal 385 2 2" xfId="39742" xr:uid="{00000000-0005-0000-0000-0000A29E0000}"/>
    <cellStyle name="Normal 385 2 2 2" xfId="39743" xr:uid="{00000000-0005-0000-0000-0000A39E0000}"/>
    <cellStyle name="Normal 385 2 2 2 2" xfId="39744" xr:uid="{00000000-0005-0000-0000-0000A49E0000}"/>
    <cellStyle name="Normal 385 2 2 2 2 2" xfId="39745" xr:uid="{00000000-0005-0000-0000-0000A59E0000}"/>
    <cellStyle name="Normal 385 2 2 2 2 3" xfId="39746" xr:uid="{00000000-0005-0000-0000-0000A69E0000}"/>
    <cellStyle name="Normal 385 2 2 2 3" xfId="39747" xr:uid="{00000000-0005-0000-0000-0000A79E0000}"/>
    <cellStyle name="Normal 385 2 2 2 3 2" xfId="39748" xr:uid="{00000000-0005-0000-0000-0000A89E0000}"/>
    <cellStyle name="Normal 385 2 2 2 3 3" xfId="39749" xr:uid="{00000000-0005-0000-0000-0000A99E0000}"/>
    <cellStyle name="Normal 385 2 2 2 4" xfId="39750" xr:uid="{00000000-0005-0000-0000-0000AA9E0000}"/>
    <cellStyle name="Normal 385 2 2 2 5" xfId="39751" xr:uid="{00000000-0005-0000-0000-0000AB9E0000}"/>
    <cellStyle name="Normal 385 2 2 2 6" xfId="39752" xr:uid="{00000000-0005-0000-0000-0000AC9E0000}"/>
    <cellStyle name="Normal 385 2 2 3" xfId="39753" xr:uid="{00000000-0005-0000-0000-0000AD9E0000}"/>
    <cellStyle name="Normal 385 2 2 3 2" xfId="39754" xr:uid="{00000000-0005-0000-0000-0000AE9E0000}"/>
    <cellStyle name="Normal 385 2 2 3 3" xfId="39755" xr:uid="{00000000-0005-0000-0000-0000AF9E0000}"/>
    <cellStyle name="Normal 385 2 2 4" xfId="39756" xr:uid="{00000000-0005-0000-0000-0000B09E0000}"/>
    <cellStyle name="Normal 385 2 2 4 2" xfId="39757" xr:uid="{00000000-0005-0000-0000-0000B19E0000}"/>
    <cellStyle name="Normal 385 2 2 4 3" xfId="39758" xr:uid="{00000000-0005-0000-0000-0000B29E0000}"/>
    <cellStyle name="Normal 385 2 2 5" xfId="39759" xr:uid="{00000000-0005-0000-0000-0000B39E0000}"/>
    <cellStyle name="Normal 385 2 2 6" xfId="39760" xr:uid="{00000000-0005-0000-0000-0000B49E0000}"/>
    <cellStyle name="Normal 385 2 2 7" xfId="39761" xr:uid="{00000000-0005-0000-0000-0000B59E0000}"/>
    <cellStyle name="Normal 385 2 2 8" xfId="39762" xr:uid="{00000000-0005-0000-0000-0000B69E0000}"/>
    <cellStyle name="Normal 385 2 3" xfId="39763" xr:uid="{00000000-0005-0000-0000-0000B79E0000}"/>
    <cellStyle name="Normal 385 2 3 2" xfId="39764" xr:uid="{00000000-0005-0000-0000-0000B89E0000}"/>
    <cellStyle name="Normal 385 2 3 2 2" xfId="39765" xr:uid="{00000000-0005-0000-0000-0000B99E0000}"/>
    <cellStyle name="Normal 385 2 3 2 3" xfId="39766" xr:uid="{00000000-0005-0000-0000-0000BA9E0000}"/>
    <cellStyle name="Normal 385 2 3 3" xfId="39767" xr:uid="{00000000-0005-0000-0000-0000BB9E0000}"/>
    <cellStyle name="Normal 385 2 3 3 2" xfId="39768" xr:uid="{00000000-0005-0000-0000-0000BC9E0000}"/>
    <cellStyle name="Normal 385 2 3 3 3" xfId="39769" xr:uid="{00000000-0005-0000-0000-0000BD9E0000}"/>
    <cellStyle name="Normal 385 2 3 4" xfId="39770" xr:uid="{00000000-0005-0000-0000-0000BE9E0000}"/>
    <cellStyle name="Normal 385 2 3 5" xfId="39771" xr:uid="{00000000-0005-0000-0000-0000BF9E0000}"/>
    <cellStyle name="Normal 385 2 3 6" xfId="39772" xr:uid="{00000000-0005-0000-0000-0000C09E0000}"/>
    <cellStyle name="Normal 385 2 4" xfId="39773" xr:uid="{00000000-0005-0000-0000-0000C19E0000}"/>
    <cellStyle name="Normal 385 2 4 2" xfId="39774" xr:uid="{00000000-0005-0000-0000-0000C29E0000}"/>
    <cellStyle name="Normal 385 2 4 3" xfId="39775" xr:uid="{00000000-0005-0000-0000-0000C39E0000}"/>
    <cellStyle name="Normal 385 2 5" xfId="39776" xr:uid="{00000000-0005-0000-0000-0000C49E0000}"/>
    <cellStyle name="Normal 385 2 5 2" xfId="39777" xr:uid="{00000000-0005-0000-0000-0000C59E0000}"/>
    <cellStyle name="Normal 385 2 5 3" xfId="39778" xr:uid="{00000000-0005-0000-0000-0000C69E0000}"/>
    <cellStyle name="Normal 385 2 6" xfId="39779" xr:uid="{00000000-0005-0000-0000-0000C79E0000}"/>
    <cellStyle name="Normal 385 2 7" xfId="39780" xr:uid="{00000000-0005-0000-0000-0000C89E0000}"/>
    <cellStyle name="Normal 385 2 8" xfId="39781" xr:uid="{00000000-0005-0000-0000-0000C99E0000}"/>
    <cellStyle name="Normal 385 2 9" xfId="39782" xr:uid="{00000000-0005-0000-0000-0000CA9E0000}"/>
    <cellStyle name="Normal 385 3" xfId="39783" xr:uid="{00000000-0005-0000-0000-0000CB9E0000}"/>
    <cellStyle name="Normal 385 3 2" xfId="39784" xr:uid="{00000000-0005-0000-0000-0000CC9E0000}"/>
    <cellStyle name="Normal 385 3 2 2" xfId="39785" xr:uid="{00000000-0005-0000-0000-0000CD9E0000}"/>
    <cellStyle name="Normal 385 3 2 2 2" xfId="39786" xr:uid="{00000000-0005-0000-0000-0000CE9E0000}"/>
    <cellStyle name="Normal 385 3 2 2 3" xfId="39787" xr:uid="{00000000-0005-0000-0000-0000CF9E0000}"/>
    <cellStyle name="Normal 385 3 2 3" xfId="39788" xr:uid="{00000000-0005-0000-0000-0000D09E0000}"/>
    <cellStyle name="Normal 385 3 2 3 2" xfId="39789" xr:uid="{00000000-0005-0000-0000-0000D19E0000}"/>
    <cellStyle name="Normal 385 3 2 3 3" xfId="39790" xr:uid="{00000000-0005-0000-0000-0000D29E0000}"/>
    <cellStyle name="Normal 385 3 2 4" xfId="39791" xr:uid="{00000000-0005-0000-0000-0000D39E0000}"/>
    <cellStyle name="Normal 385 3 2 5" xfId="39792" xr:uid="{00000000-0005-0000-0000-0000D49E0000}"/>
    <cellStyle name="Normal 385 3 2 6" xfId="39793" xr:uid="{00000000-0005-0000-0000-0000D59E0000}"/>
    <cellStyle name="Normal 385 3 3" xfId="39794" xr:uid="{00000000-0005-0000-0000-0000D69E0000}"/>
    <cellStyle name="Normal 385 3 3 2" xfId="39795" xr:uid="{00000000-0005-0000-0000-0000D79E0000}"/>
    <cellStyle name="Normal 385 3 3 3" xfId="39796" xr:uid="{00000000-0005-0000-0000-0000D89E0000}"/>
    <cellStyle name="Normal 385 3 4" xfId="39797" xr:uid="{00000000-0005-0000-0000-0000D99E0000}"/>
    <cellStyle name="Normal 385 3 4 2" xfId="39798" xr:uid="{00000000-0005-0000-0000-0000DA9E0000}"/>
    <cellStyle name="Normal 385 3 4 3" xfId="39799" xr:uid="{00000000-0005-0000-0000-0000DB9E0000}"/>
    <cellStyle name="Normal 385 3 5" xfId="39800" xr:uid="{00000000-0005-0000-0000-0000DC9E0000}"/>
    <cellStyle name="Normal 385 3 6" xfId="39801" xr:uid="{00000000-0005-0000-0000-0000DD9E0000}"/>
    <cellStyle name="Normal 385 3 7" xfId="39802" xr:uid="{00000000-0005-0000-0000-0000DE9E0000}"/>
    <cellStyle name="Normal 385 3 8" xfId="39803" xr:uid="{00000000-0005-0000-0000-0000DF9E0000}"/>
    <cellStyle name="Normal 385 4" xfId="39804" xr:uid="{00000000-0005-0000-0000-0000E09E0000}"/>
    <cellStyle name="Normal 385 4 2" xfId="39805" xr:uid="{00000000-0005-0000-0000-0000E19E0000}"/>
    <cellStyle name="Normal 385 4 2 2" xfId="39806" xr:uid="{00000000-0005-0000-0000-0000E29E0000}"/>
    <cellStyle name="Normal 385 4 2 3" xfId="39807" xr:uid="{00000000-0005-0000-0000-0000E39E0000}"/>
    <cellStyle name="Normal 385 4 3" xfId="39808" xr:uid="{00000000-0005-0000-0000-0000E49E0000}"/>
    <cellStyle name="Normal 385 4 3 2" xfId="39809" xr:uid="{00000000-0005-0000-0000-0000E59E0000}"/>
    <cellStyle name="Normal 385 4 3 3" xfId="39810" xr:uid="{00000000-0005-0000-0000-0000E69E0000}"/>
    <cellStyle name="Normal 385 4 4" xfId="39811" xr:uid="{00000000-0005-0000-0000-0000E79E0000}"/>
    <cellStyle name="Normal 385 4 5" xfId="39812" xr:uid="{00000000-0005-0000-0000-0000E89E0000}"/>
    <cellStyle name="Normal 385 4 6" xfId="39813" xr:uid="{00000000-0005-0000-0000-0000E99E0000}"/>
    <cellStyle name="Normal 385 5" xfId="39814" xr:uid="{00000000-0005-0000-0000-0000EA9E0000}"/>
    <cellStyle name="Normal 385 5 2" xfId="39815" xr:uid="{00000000-0005-0000-0000-0000EB9E0000}"/>
    <cellStyle name="Normal 385 5 3" xfId="39816" xr:uid="{00000000-0005-0000-0000-0000EC9E0000}"/>
    <cellStyle name="Normal 385 6" xfId="39817" xr:uid="{00000000-0005-0000-0000-0000ED9E0000}"/>
    <cellStyle name="Normal 385 6 2" xfId="39818" xr:uid="{00000000-0005-0000-0000-0000EE9E0000}"/>
    <cellStyle name="Normal 385 6 3" xfId="39819" xr:uid="{00000000-0005-0000-0000-0000EF9E0000}"/>
    <cellStyle name="Normal 385 7" xfId="39820" xr:uid="{00000000-0005-0000-0000-0000F09E0000}"/>
    <cellStyle name="Normal 385 8" xfId="39821" xr:uid="{00000000-0005-0000-0000-0000F19E0000}"/>
    <cellStyle name="Normal 385 9" xfId="39822" xr:uid="{00000000-0005-0000-0000-0000F29E0000}"/>
    <cellStyle name="Normal 386" xfId="3313" xr:uid="{00000000-0005-0000-0000-0000F39E0000}"/>
    <cellStyle name="Normal 386 10" xfId="39823" xr:uid="{00000000-0005-0000-0000-0000F49E0000}"/>
    <cellStyle name="Normal 386 11" xfId="39824" xr:uid="{00000000-0005-0000-0000-0000F59E0000}"/>
    <cellStyle name="Normal 386 2" xfId="39825" xr:uid="{00000000-0005-0000-0000-0000F69E0000}"/>
    <cellStyle name="Normal 386 2 2" xfId="39826" xr:uid="{00000000-0005-0000-0000-0000F79E0000}"/>
    <cellStyle name="Normal 386 2 2 2" xfId="39827" xr:uid="{00000000-0005-0000-0000-0000F89E0000}"/>
    <cellStyle name="Normal 386 2 2 2 2" xfId="39828" xr:uid="{00000000-0005-0000-0000-0000F99E0000}"/>
    <cellStyle name="Normal 386 2 2 2 2 2" xfId="39829" xr:uid="{00000000-0005-0000-0000-0000FA9E0000}"/>
    <cellStyle name="Normal 386 2 2 2 2 3" xfId="39830" xr:uid="{00000000-0005-0000-0000-0000FB9E0000}"/>
    <cellStyle name="Normal 386 2 2 2 3" xfId="39831" xr:uid="{00000000-0005-0000-0000-0000FC9E0000}"/>
    <cellStyle name="Normal 386 2 2 2 3 2" xfId="39832" xr:uid="{00000000-0005-0000-0000-0000FD9E0000}"/>
    <cellStyle name="Normal 386 2 2 2 3 3" xfId="39833" xr:uid="{00000000-0005-0000-0000-0000FE9E0000}"/>
    <cellStyle name="Normal 386 2 2 2 4" xfId="39834" xr:uid="{00000000-0005-0000-0000-0000FF9E0000}"/>
    <cellStyle name="Normal 386 2 2 2 5" xfId="39835" xr:uid="{00000000-0005-0000-0000-0000009F0000}"/>
    <cellStyle name="Normal 386 2 2 2 6" xfId="39836" xr:uid="{00000000-0005-0000-0000-0000019F0000}"/>
    <cellStyle name="Normal 386 2 2 3" xfId="39837" xr:uid="{00000000-0005-0000-0000-0000029F0000}"/>
    <cellStyle name="Normal 386 2 2 3 2" xfId="39838" xr:uid="{00000000-0005-0000-0000-0000039F0000}"/>
    <cellStyle name="Normal 386 2 2 3 3" xfId="39839" xr:uid="{00000000-0005-0000-0000-0000049F0000}"/>
    <cellStyle name="Normal 386 2 2 4" xfId="39840" xr:uid="{00000000-0005-0000-0000-0000059F0000}"/>
    <cellStyle name="Normal 386 2 2 4 2" xfId="39841" xr:uid="{00000000-0005-0000-0000-0000069F0000}"/>
    <cellStyle name="Normal 386 2 2 4 3" xfId="39842" xr:uid="{00000000-0005-0000-0000-0000079F0000}"/>
    <cellStyle name="Normal 386 2 2 5" xfId="39843" xr:uid="{00000000-0005-0000-0000-0000089F0000}"/>
    <cellStyle name="Normal 386 2 2 6" xfId="39844" xr:uid="{00000000-0005-0000-0000-0000099F0000}"/>
    <cellStyle name="Normal 386 2 2 7" xfId="39845" xr:uid="{00000000-0005-0000-0000-00000A9F0000}"/>
    <cellStyle name="Normal 386 2 2 8" xfId="39846" xr:uid="{00000000-0005-0000-0000-00000B9F0000}"/>
    <cellStyle name="Normal 386 2 3" xfId="39847" xr:uid="{00000000-0005-0000-0000-00000C9F0000}"/>
    <cellStyle name="Normal 386 2 3 2" xfId="39848" xr:uid="{00000000-0005-0000-0000-00000D9F0000}"/>
    <cellStyle name="Normal 386 2 3 2 2" xfId="39849" xr:uid="{00000000-0005-0000-0000-00000E9F0000}"/>
    <cellStyle name="Normal 386 2 3 2 3" xfId="39850" xr:uid="{00000000-0005-0000-0000-00000F9F0000}"/>
    <cellStyle name="Normal 386 2 3 3" xfId="39851" xr:uid="{00000000-0005-0000-0000-0000109F0000}"/>
    <cellStyle name="Normal 386 2 3 3 2" xfId="39852" xr:uid="{00000000-0005-0000-0000-0000119F0000}"/>
    <cellStyle name="Normal 386 2 3 3 3" xfId="39853" xr:uid="{00000000-0005-0000-0000-0000129F0000}"/>
    <cellStyle name="Normal 386 2 3 4" xfId="39854" xr:uid="{00000000-0005-0000-0000-0000139F0000}"/>
    <cellStyle name="Normal 386 2 3 5" xfId="39855" xr:uid="{00000000-0005-0000-0000-0000149F0000}"/>
    <cellStyle name="Normal 386 2 3 6" xfId="39856" xr:uid="{00000000-0005-0000-0000-0000159F0000}"/>
    <cellStyle name="Normal 386 2 4" xfId="39857" xr:uid="{00000000-0005-0000-0000-0000169F0000}"/>
    <cellStyle name="Normal 386 2 4 2" xfId="39858" xr:uid="{00000000-0005-0000-0000-0000179F0000}"/>
    <cellStyle name="Normal 386 2 4 3" xfId="39859" xr:uid="{00000000-0005-0000-0000-0000189F0000}"/>
    <cellStyle name="Normal 386 2 5" xfId="39860" xr:uid="{00000000-0005-0000-0000-0000199F0000}"/>
    <cellStyle name="Normal 386 2 5 2" xfId="39861" xr:uid="{00000000-0005-0000-0000-00001A9F0000}"/>
    <cellStyle name="Normal 386 2 5 3" xfId="39862" xr:uid="{00000000-0005-0000-0000-00001B9F0000}"/>
    <cellStyle name="Normal 386 2 6" xfId="39863" xr:uid="{00000000-0005-0000-0000-00001C9F0000}"/>
    <cellStyle name="Normal 386 2 7" xfId="39864" xr:uid="{00000000-0005-0000-0000-00001D9F0000}"/>
    <cellStyle name="Normal 386 2 8" xfId="39865" xr:uid="{00000000-0005-0000-0000-00001E9F0000}"/>
    <cellStyle name="Normal 386 2 9" xfId="39866" xr:uid="{00000000-0005-0000-0000-00001F9F0000}"/>
    <cellStyle name="Normal 386 3" xfId="39867" xr:uid="{00000000-0005-0000-0000-0000209F0000}"/>
    <cellStyle name="Normal 386 3 2" xfId="39868" xr:uid="{00000000-0005-0000-0000-0000219F0000}"/>
    <cellStyle name="Normal 386 3 2 2" xfId="39869" xr:uid="{00000000-0005-0000-0000-0000229F0000}"/>
    <cellStyle name="Normal 386 3 2 2 2" xfId="39870" xr:uid="{00000000-0005-0000-0000-0000239F0000}"/>
    <cellStyle name="Normal 386 3 2 2 3" xfId="39871" xr:uid="{00000000-0005-0000-0000-0000249F0000}"/>
    <cellStyle name="Normal 386 3 2 3" xfId="39872" xr:uid="{00000000-0005-0000-0000-0000259F0000}"/>
    <cellStyle name="Normal 386 3 2 3 2" xfId="39873" xr:uid="{00000000-0005-0000-0000-0000269F0000}"/>
    <cellStyle name="Normal 386 3 2 3 3" xfId="39874" xr:uid="{00000000-0005-0000-0000-0000279F0000}"/>
    <cellStyle name="Normal 386 3 2 4" xfId="39875" xr:uid="{00000000-0005-0000-0000-0000289F0000}"/>
    <cellStyle name="Normal 386 3 2 5" xfId="39876" xr:uid="{00000000-0005-0000-0000-0000299F0000}"/>
    <cellStyle name="Normal 386 3 2 6" xfId="39877" xr:uid="{00000000-0005-0000-0000-00002A9F0000}"/>
    <cellStyle name="Normal 386 3 3" xfId="39878" xr:uid="{00000000-0005-0000-0000-00002B9F0000}"/>
    <cellStyle name="Normal 386 3 3 2" xfId="39879" xr:uid="{00000000-0005-0000-0000-00002C9F0000}"/>
    <cellStyle name="Normal 386 3 3 3" xfId="39880" xr:uid="{00000000-0005-0000-0000-00002D9F0000}"/>
    <cellStyle name="Normal 386 3 4" xfId="39881" xr:uid="{00000000-0005-0000-0000-00002E9F0000}"/>
    <cellStyle name="Normal 386 3 4 2" xfId="39882" xr:uid="{00000000-0005-0000-0000-00002F9F0000}"/>
    <cellStyle name="Normal 386 3 4 3" xfId="39883" xr:uid="{00000000-0005-0000-0000-0000309F0000}"/>
    <cellStyle name="Normal 386 3 5" xfId="39884" xr:uid="{00000000-0005-0000-0000-0000319F0000}"/>
    <cellStyle name="Normal 386 3 6" xfId="39885" xr:uid="{00000000-0005-0000-0000-0000329F0000}"/>
    <cellStyle name="Normal 386 3 7" xfId="39886" xr:uid="{00000000-0005-0000-0000-0000339F0000}"/>
    <cellStyle name="Normal 386 3 8" xfId="39887" xr:uid="{00000000-0005-0000-0000-0000349F0000}"/>
    <cellStyle name="Normal 386 4" xfId="39888" xr:uid="{00000000-0005-0000-0000-0000359F0000}"/>
    <cellStyle name="Normal 386 4 2" xfId="39889" xr:uid="{00000000-0005-0000-0000-0000369F0000}"/>
    <cellStyle name="Normal 386 4 2 2" xfId="39890" xr:uid="{00000000-0005-0000-0000-0000379F0000}"/>
    <cellStyle name="Normal 386 4 2 3" xfId="39891" xr:uid="{00000000-0005-0000-0000-0000389F0000}"/>
    <cellStyle name="Normal 386 4 3" xfId="39892" xr:uid="{00000000-0005-0000-0000-0000399F0000}"/>
    <cellStyle name="Normal 386 4 3 2" xfId="39893" xr:uid="{00000000-0005-0000-0000-00003A9F0000}"/>
    <cellStyle name="Normal 386 4 3 3" xfId="39894" xr:uid="{00000000-0005-0000-0000-00003B9F0000}"/>
    <cellStyle name="Normal 386 4 4" xfId="39895" xr:uid="{00000000-0005-0000-0000-00003C9F0000}"/>
    <cellStyle name="Normal 386 4 5" xfId="39896" xr:uid="{00000000-0005-0000-0000-00003D9F0000}"/>
    <cellStyle name="Normal 386 4 6" xfId="39897" xr:uid="{00000000-0005-0000-0000-00003E9F0000}"/>
    <cellStyle name="Normal 386 5" xfId="39898" xr:uid="{00000000-0005-0000-0000-00003F9F0000}"/>
    <cellStyle name="Normal 386 5 2" xfId="39899" xr:uid="{00000000-0005-0000-0000-0000409F0000}"/>
    <cellStyle name="Normal 386 5 3" xfId="39900" xr:uid="{00000000-0005-0000-0000-0000419F0000}"/>
    <cellStyle name="Normal 386 6" xfId="39901" xr:uid="{00000000-0005-0000-0000-0000429F0000}"/>
    <cellStyle name="Normal 386 6 2" xfId="39902" xr:uid="{00000000-0005-0000-0000-0000439F0000}"/>
    <cellStyle name="Normal 386 6 3" xfId="39903" xr:uid="{00000000-0005-0000-0000-0000449F0000}"/>
    <cellStyle name="Normal 386 7" xfId="39904" xr:uid="{00000000-0005-0000-0000-0000459F0000}"/>
    <cellStyle name="Normal 386 8" xfId="39905" xr:uid="{00000000-0005-0000-0000-0000469F0000}"/>
    <cellStyle name="Normal 386 9" xfId="39906" xr:uid="{00000000-0005-0000-0000-0000479F0000}"/>
    <cellStyle name="Normal 387" xfId="3314" xr:uid="{00000000-0005-0000-0000-0000489F0000}"/>
    <cellStyle name="Normal 387 10" xfId="39907" xr:uid="{00000000-0005-0000-0000-0000499F0000}"/>
    <cellStyle name="Normal 387 11" xfId="39908" xr:uid="{00000000-0005-0000-0000-00004A9F0000}"/>
    <cellStyle name="Normal 387 2" xfId="3315" xr:uid="{00000000-0005-0000-0000-00004B9F0000}"/>
    <cellStyle name="Normal 387 2 10" xfId="39909" xr:uid="{00000000-0005-0000-0000-00004C9F0000}"/>
    <cellStyle name="Normal 387 2 2" xfId="39910" xr:uid="{00000000-0005-0000-0000-00004D9F0000}"/>
    <cellStyle name="Normal 387 2 2 2" xfId="39911" xr:uid="{00000000-0005-0000-0000-00004E9F0000}"/>
    <cellStyle name="Normal 387 2 2 2 2" xfId="39912" xr:uid="{00000000-0005-0000-0000-00004F9F0000}"/>
    <cellStyle name="Normal 387 2 2 2 2 2" xfId="39913" xr:uid="{00000000-0005-0000-0000-0000509F0000}"/>
    <cellStyle name="Normal 387 2 2 2 2 3" xfId="39914" xr:uid="{00000000-0005-0000-0000-0000519F0000}"/>
    <cellStyle name="Normal 387 2 2 2 3" xfId="39915" xr:uid="{00000000-0005-0000-0000-0000529F0000}"/>
    <cellStyle name="Normal 387 2 2 2 3 2" xfId="39916" xr:uid="{00000000-0005-0000-0000-0000539F0000}"/>
    <cellStyle name="Normal 387 2 2 2 3 3" xfId="39917" xr:uid="{00000000-0005-0000-0000-0000549F0000}"/>
    <cellStyle name="Normal 387 2 2 2 4" xfId="39918" xr:uid="{00000000-0005-0000-0000-0000559F0000}"/>
    <cellStyle name="Normal 387 2 2 2 5" xfId="39919" xr:uid="{00000000-0005-0000-0000-0000569F0000}"/>
    <cellStyle name="Normal 387 2 2 2 6" xfId="39920" xr:uid="{00000000-0005-0000-0000-0000579F0000}"/>
    <cellStyle name="Normal 387 2 2 3" xfId="39921" xr:uid="{00000000-0005-0000-0000-0000589F0000}"/>
    <cellStyle name="Normal 387 2 2 3 2" xfId="39922" xr:uid="{00000000-0005-0000-0000-0000599F0000}"/>
    <cellStyle name="Normal 387 2 2 3 3" xfId="39923" xr:uid="{00000000-0005-0000-0000-00005A9F0000}"/>
    <cellStyle name="Normal 387 2 2 4" xfId="39924" xr:uid="{00000000-0005-0000-0000-00005B9F0000}"/>
    <cellStyle name="Normal 387 2 2 4 2" xfId="39925" xr:uid="{00000000-0005-0000-0000-00005C9F0000}"/>
    <cellStyle name="Normal 387 2 2 4 3" xfId="39926" xr:uid="{00000000-0005-0000-0000-00005D9F0000}"/>
    <cellStyle name="Normal 387 2 2 5" xfId="39927" xr:uid="{00000000-0005-0000-0000-00005E9F0000}"/>
    <cellStyle name="Normal 387 2 2 6" xfId="39928" xr:uid="{00000000-0005-0000-0000-00005F9F0000}"/>
    <cellStyle name="Normal 387 2 2 7" xfId="39929" xr:uid="{00000000-0005-0000-0000-0000609F0000}"/>
    <cellStyle name="Normal 387 2 2 8" xfId="39930" xr:uid="{00000000-0005-0000-0000-0000619F0000}"/>
    <cellStyle name="Normal 387 2 3" xfId="39931" xr:uid="{00000000-0005-0000-0000-0000629F0000}"/>
    <cellStyle name="Normal 387 2 3 2" xfId="39932" xr:uid="{00000000-0005-0000-0000-0000639F0000}"/>
    <cellStyle name="Normal 387 2 3 2 2" xfId="39933" xr:uid="{00000000-0005-0000-0000-0000649F0000}"/>
    <cellStyle name="Normal 387 2 3 2 3" xfId="39934" xr:uid="{00000000-0005-0000-0000-0000659F0000}"/>
    <cellStyle name="Normal 387 2 3 3" xfId="39935" xr:uid="{00000000-0005-0000-0000-0000669F0000}"/>
    <cellStyle name="Normal 387 2 3 3 2" xfId="39936" xr:uid="{00000000-0005-0000-0000-0000679F0000}"/>
    <cellStyle name="Normal 387 2 3 3 3" xfId="39937" xr:uid="{00000000-0005-0000-0000-0000689F0000}"/>
    <cellStyle name="Normal 387 2 3 4" xfId="39938" xr:uid="{00000000-0005-0000-0000-0000699F0000}"/>
    <cellStyle name="Normal 387 2 3 5" xfId="39939" xr:uid="{00000000-0005-0000-0000-00006A9F0000}"/>
    <cellStyle name="Normal 387 2 3 6" xfId="39940" xr:uid="{00000000-0005-0000-0000-00006B9F0000}"/>
    <cellStyle name="Normal 387 2 4" xfId="39941" xr:uid="{00000000-0005-0000-0000-00006C9F0000}"/>
    <cellStyle name="Normal 387 2 4 2" xfId="39942" xr:uid="{00000000-0005-0000-0000-00006D9F0000}"/>
    <cellStyle name="Normal 387 2 4 3" xfId="39943" xr:uid="{00000000-0005-0000-0000-00006E9F0000}"/>
    <cellStyle name="Normal 387 2 5" xfId="39944" xr:uid="{00000000-0005-0000-0000-00006F9F0000}"/>
    <cellStyle name="Normal 387 2 5 2" xfId="39945" xr:uid="{00000000-0005-0000-0000-0000709F0000}"/>
    <cellStyle name="Normal 387 2 5 3" xfId="39946" xr:uid="{00000000-0005-0000-0000-0000719F0000}"/>
    <cellStyle name="Normal 387 2 6" xfId="39947" xr:uid="{00000000-0005-0000-0000-0000729F0000}"/>
    <cellStyle name="Normal 387 2 7" xfId="39948" xr:uid="{00000000-0005-0000-0000-0000739F0000}"/>
    <cellStyle name="Normal 387 2 8" xfId="39949" xr:uid="{00000000-0005-0000-0000-0000749F0000}"/>
    <cellStyle name="Normal 387 2 9" xfId="39950" xr:uid="{00000000-0005-0000-0000-0000759F0000}"/>
    <cellStyle name="Normal 387 3" xfId="39951" xr:uid="{00000000-0005-0000-0000-0000769F0000}"/>
    <cellStyle name="Normal 387 3 2" xfId="39952" xr:uid="{00000000-0005-0000-0000-0000779F0000}"/>
    <cellStyle name="Normal 387 3 2 2" xfId="39953" xr:uid="{00000000-0005-0000-0000-0000789F0000}"/>
    <cellStyle name="Normal 387 3 2 2 2" xfId="39954" xr:uid="{00000000-0005-0000-0000-0000799F0000}"/>
    <cellStyle name="Normal 387 3 2 2 3" xfId="39955" xr:uid="{00000000-0005-0000-0000-00007A9F0000}"/>
    <cellStyle name="Normal 387 3 2 3" xfId="39956" xr:uid="{00000000-0005-0000-0000-00007B9F0000}"/>
    <cellStyle name="Normal 387 3 2 3 2" xfId="39957" xr:uid="{00000000-0005-0000-0000-00007C9F0000}"/>
    <cellStyle name="Normal 387 3 2 3 3" xfId="39958" xr:uid="{00000000-0005-0000-0000-00007D9F0000}"/>
    <cellStyle name="Normal 387 3 2 4" xfId="39959" xr:uid="{00000000-0005-0000-0000-00007E9F0000}"/>
    <cellStyle name="Normal 387 3 2 5" xfId="39960" xr:uid="{00000000-0005-0000-0000-00007F9F0000}"/>
    <cellStyle name="Normal 387 3 2 6" xfId="39961" xr:uid="{00000000-0005-0000-0000-0000809F0000}"/>
    <cellStyle name="Normal 387 3 3" xfId="39962" xr:uid="{00000000-0005-0000-0000-0000819F0000}"/>
    <cellStyle name="Normal 387 3 3 2" xfId="39963" xr:uid="{00000000-0005-0000-0000-0000829F0000}"/>
    <cellStyle name="Normal 387 3 3 3" xfId="39964" xr:uid="{00000000-0005-0000-0000-0000839F0000}"/>
    <cellStyle name="Normal 387 3 4" xfId="39965" xr:uid="{00000000-0005-0000-0000-0000849F0000}"/>
    <cellStyle name="Normal 387 3 4 2" xfId="39966" xr:uid="{00000000-0005-0000-0000-0000859F0000}"/>
    <cellStyle name="Normal 387 3 4 3" xfId="39967" xr:uid="{00000000-0005-0000-0000-0000869F0000}"/>
    <cellStyle name="Normal 387 3 5" xfId="39968" xr:uid="{00000000-0005-0000-0000-0000879F0000}"/>
    <cellStyle name="Normal 387 3 6" xfId="39969" xr:uid="{00000000-0005-0000-0000-0000889F0000}"/>
    <cellStyle name="Normal 387 3 7" xfId="39970" xr:uid="{00000000-0005-0000-0000-0000899F0000}"/>
    <cellStyle name="Normal 387 3 8" xfId="39971" xr:uid="{00000000-0005-0000-0000-00008A9F0000}"/>
    <cellStyle name="Normal 387 4" xfId="39972" xr:uid="{00000000-0005-0000-0000-00008B9F0000}"/>
    <cellStyle name="Normal 387 4 2" xfId="39973" xr:uid="{00000000-0005-0000-0000-00008C9F0000}"/>
    <cellStyle name="Normal 387 4 2 2" xfId="39974" xr:uid="{00000000-0005-0000-0000-00008D9F0000}"/>
    <cellStyle name="Normal 387 4 2 3" xfId="39975" xr:uid="{00000000-0005-0000-0000-00008E9F0000}"/>
    <cellStyle name="Normal 387 4 3" xfId="39976" xr:uid="{00000000-0005-0000-0000-00008F9F0000}"/>
    <cellStyle name="Normal 387 4 3 2" xfId="39977" xr:uid="{00000000-0005-0000-0000-0000909F0000}"/>
    <cellStyle name="Normal 387 4 3 3" xfId="39978" xr:uid="{00000000-0005-0000-0000-0000919F0000}"/>
    <cellStyle name="Normal 387 4 4" xfId="39979" xr:uid="{00000000-0005-0000-0000-0000929F0000}"/>
    <cellStyle name="Normal 387 4 5" xfId="39980" xr:uid="{00000000-0005-0000-0000-0000939F0000}"/>
    <cellStyle name="Normal 387 4 6" xfId="39981" xr:uid="{00000000-0005-0000-0000-0000949F0000}"/>
    <cellStyle name="Normal 387 5" xfId="39982" xr:uid="{00000000-0005-0000-0000-0000959F0000}"/>
    <cellStyle name="Normal 387 5 2" xfId="39983" xr:uid="{00000000-0005-0000-0000-0000969F0000}"/>
    <cellStyle name="Normal 387 5 3" xfId="39984" xr:uid="{00000000-0005-0000-0000-0000979F0000}"/>
    <cellStyle name="Normal 387 6" xfId="39985" xr:uid="{00000000-0005-0000-0000-0000989F0000}"/>
    <cellStyle name="Normal 387 6 2" xfId="39986" xr:uid="{00000000-0005-0000-0000-0000999F0000}"/>
    <cellStyle name="Normal 387 6 3" xfId="39987" xr:uid="{00000000-0005-0000-0000-00009A9F0000}"/>
    <cellStyle name="Normal 387 7" xfId="39988" xr:uid="{00000000-0005-0000-0000-00009B9F0000}"/>
    <cellStyle name="Normal 387 8" xfId="39989" xr:uid="{00000000-0005-0000-0000-00009C9F0000}"/>
    <cellStyle name="Normal 387 9" xfId="39990" xr:uid="{00000000-0005-0000-0000-00009D9F0000}"/>
    <cellStyle name="Normal 388" xfId="3316" xr:uid="{00000000-0005-0000-0000-00009E9F0000}"/>
    <cellStyle name="Normal 388 10" xfId="39991" xr:uid="{00000000-0005-0000-0000-00009F9F0000}"/>
    <cellStyle name="Normal 388 11" xfId="39992" xr:uid="{00000000-0005-0000-0000-0000A09F0000}"/>
    <cellStyle name="Normal 388 2" xfId="39993" xr:uid="{00000000-0005-0000-0000-0000A19F0000}"/>
    <cellStyle name="Normal 388 2 2" xfId="39994" xr:uid="{00000000-0005-0000-0000-0000A29F0000}"/>
    <cellStyle name="Normal 388 2 2 2" xfId="39995" xr:uid="{00000000-0005-0000-0000-0000A39F0000}"/>
    <cellStyle name="Normal 388 2 2 2 2" xfId="39996" xr:uid="{00000000-0005-0000-0000-0000A49F0000}"/>
    <cellStyle name="Normal 388 2 2 2 2 2" xfId="39997" xr:uid="{00000000-0005-0000-0000-0000A59F0000}"/>
    <cellStyle name="Normal 388 2 2 2 2 3" xfId="39998" xr:uid="{00000000-0005-0000-0000-0000A69F0000}"/>
    <cellStyle name="Normal 388 2 2 2 3" xfId="39999" xr:uid="{00000000-0005-0000-0000-0000A79F0000}"/>
    <cellStyle name="Normal 388 2 2 2 3 2" xfId="40000" xr:uid="{00000000-0005-0000-0000-0000A89F0000}"/>
    <cellStyle name="Normal 388 2 2 2 3 3" xfId="40001" xr:uid="{00000000-0005-0000-0000-0000A99F0000}"/>
    <cellStyle name="Normal 388 2 2 2 4" xfId="40002" xr:uid="{00000000-0005-0000-0000-0000AA9F0000}"/>
    <cellStyle name="Normal 388 2 2 2 5" xfId="40003" xr:uid="{00000000-0005-0000-0000-0000AB9F0000}"/>
    <cellStyle name="Normal 388 2 2 2 6" xfId="40004" xr:uid="{00000000-0005-0000-0000-0000AC9F0000}"/>
    <cellStyle name="Normal 388 2 2 3" xfId="40005" xr:uid="{00000000-0005-0000-0000-0000AD9F0000}"/>
    <cellStyle name="Normal 388 2 2 3 2" xfId="40006" xr:uid="{00000000-0005-0000-0000-0000AE9F0000}"/>
    <cellStyle name="Normal 388 2 2 3 3" xfId="40007" xr:uid="{00000000-0005-0000-0000-0000AF9F0000}"/>
    <cellStyle name="Normal 388 2 2 4" xfId="40008" xr:uid="{00000000-0005-0000-0000-0000B09F0000}"/>
    <cellStyle name="Normal 388 2 2 4 2" xfId="40009" xr:uid="{00000000-0005-0000-0000-0000B19F0000}"/>
    <cellStyle name="Normal 388 2 2 4 3" xfId="40010" xr:uid="{00000000-0005-0000-0000-0000B29F0000}"/>
    <cellStyle name="Normal 388 2 2 5" xfId="40011" xr:uid="{00000000-0005-0000-0000-0000B39F0000}"/>
    <cellStyle name="Normal 388 2 2 6" xfId="40012" xr:uid="{00000000-0005-0000-0000-0000B49F0000}"/>
    <cellStyle name="Normal 388 2 2 7" xfId="40013" xr:uid="{00000000-0005-0000-0000-0000B59F0000}"/>
    <cellStyle name="Normal 388 2 2 8" xfId="40014" xr:uid="{00000000-0005-0000-0000-0000B69F0000}"/>
    <cellStyle name="Normal 388 2 3" xfId="40015" xr:uid="{00000000-0005-0000-0000-0000B79F0000}"/>
    <cellStyle name="Normal 388 2 3 2" xfId="40016" xr:uid="{00000000-0005-0000-0000-0000B89F0000}"/>
    <cellStyle name="Normal 388 2 3 2 2" xfId="40017" xr:uid="{00000000-0005-0000-0000-0000B99F0000}"/>
    <cellStyle name="Normal 388 2 3 2 3" xfId="40018" xr:uid="{00000000-0005-0000-0000-0000BA9F0000}"/>
    <cellStyle name="Normal 388 2 3 3" xfId="40019" xr:uid="{00000000-0005-0000-0000-0000BB9F0000}"/>
    <cellStyle name="Normal 388 2 3 3 2" xfId="40020" xr:uid="{00000000-0005-0000-0000-0000BC9F0000}"/>
    <cellStyle name="Normal 388 2 3 3 3" xfId="40021" xr:uid="{00000000-0005-0000-0000-0000BD9F0000}"/>
    <cellStyle name="Normal 388 2 3 4" xfId="40022" xr:uid="{00000000-0005-0000-0000-0000BE9F0000}"/>
    <cellStyle name="Normal 388 2 3 5" xfId="40023" xr:uid="{00000000-0005-0000-0000-0000BF9F0000}"/>
    <cellStyle name="Normal 388 2 3 6" xfId="40024" xr:uid="{00000000-0005-0000-0000-0000C09F0000}"/>
    <cellStyle name="Normal 388 2 4" xfId="40025" xr:uid="{00000000-0005-0000-0000-0000C19F0000}"/>
    <cellStyle name="Normal 388 2 4 2" xfId="40026" xr:uid="{00000000-0005-0000-0000-0000C29F0000}"/>
    <cellStyle name="Normal 388 2 4 3" xfId="40027" xr:uid="{00000000-0005-0000-0000-0000C39F0000}"/>
    <cellStyle name="Normal 388 2 5" xfId="40028" xr:uid="{00000000-0005-0000-0000-0000C49F0000}"/>
    <cellStyle name="Normal 388 2 5 2" xfId="40029" xr:uid="{00000000-0005-0000-0000-0000C59F0000}"/>
    <cellStyle name="Normal 388 2 5 3" xfId="40030" xr:uid="{00000000-0005-0000-0000-0000C69F0000}"/>
    <cellStyle name="Normal 388 2 6" xfId="40031" xr:uid="{00000000-0005-0000-0000-0000C79F0000}"/>
    <cellStyle name="Normal 388 2 7" xfId="40032" xr:uid="{00000000-0005-0000-0000-0000C89F0000}"/>
    <cellStyle name="Normal 388 2 8" xfId="40033" xr:uid="{00000000-0005-0000-0000-0000C99F0000}"/>
    <cellStyle name="Normal 388 2 9" xfId="40034" xr:uid="{00000000-0005-0000-0000-0000CA9F0000}"/>
    <cellStyle name="Normal 388 3" xfId="40035" xr:uid="{00000000-0005-0000-0000-0000CB9F0000}"/>
    <cellStyle name="Normal 388 3 2" xfId="40036" xr:uid="{00000000-0005-0000-0000-0000CC9F0000}"/>
    <cellStyle name="Normal 388 3 2 2" xfId="40037" xr:uid="{00000000-0005-0000-0000-0000CD9F0000}"/>
    <cellStyle name="Normal 388 3 2 2 2" xfId="40038" xr:uid="{00000000-0005-0000-0000-0000CE9F0000}"/>
    <cellStyle name="Normal 388 3 2 2 3" xfId="40039" xr:uid="{00000000-0005-0000-0000-0000CF9F0000}"/>
    <cellStyle name="Normal 388 3 2 3" xfId="40040" xr:uid="{00000000-0005-0000-0000-0000D09F0000}"/>
    <cellStyle name="Normal 388 3 2 3 2" xfId="40041" xr:uid="{00000000-0005-0000-0000-0000D19F0000}"/>
    <cellStyle name="Normal 388 3 2 3 3" xfId="40042" xr:uid="{00000000-0005-0000-0000-0000D29F0000}"/>
    <cellStyle name="Normal 388 3 2 4" xfId="40043" xr:uid="{00000000-0005-0000-0000-0000D39F0000}"/>
    <cellStyle name="Normal 388 3 2 5" xfId="40044" xr:uid="{00000000-0005-0000-0000-0000D49F0000}"/>
    <cellStyle name="Normal 388 3 2 6" xfId="40045" xr:uid="{00000000-0005-0000-0000-0000D59F0000}"/>
    <cellStyle name="Normal 388 3 3" xfId="40046" xr:uid="{00000000-0005-0000-0000-0000D69F0000}"/>
    <cellStyle name="Normal 388 3 3 2" xfId="40047" xr:uid="{00000000-0005-0000-0000-0000D79F0000}"/>
    <cellStyle name="Normal 388 3 3 3" xfId="40048" xr:uid="{00000000-0005-0000-0000-0000D89F0000}"/>
    <cellStyle name="Normal 388 3 4" xfId="40049" xr:uid="{00000000-0005-0000-0000-0000D99F0000}"/>
    <cellStyle name="Normal 388 3 4 2" xfId="40050" xr:uid="{00000000-0005-0000-0000-0000DA9F0000}"/>
    <cellStyle name="Normal 388 3 4 3" xfId="40051" xr:uid="{00000000-0005-0000-0000-0000DB9F0000}"/>
    <cellStyle name="Normal 388 3 5" xfId="40052" xr:uid="{00000000-0005-0000-0000-0000DC9F0000}"/>
    <cellStyle name="Normal 388 3 6" xfId="40053" xr:uid="{00000000-0005-0000-0000-0000DD9F0000}"/>
    <cellStyle name="Normal 388 3 7" xfId="40054" xr:uid="{00000000-0005-0000-0000-0000DE9F0000}"/>
    <cellStyle name="Normal 388 3 8" xfId="40055" xr:uid="{00000000-0005-0000-0000-0000DF9F0000}"/>
    <cellStyle name="Normal 388 4" xfId="40056" xr:uid="{00000000-0005-0000-0000-0000E09F0000}"/>
    <cellStyle name="Normal 388 4 2" xfId="40057" xr:uid="{00000000-0005-0000-0000-0000E19F0000}"/>
    <cellStyle name="Normal 388 4 2 2" xfId="40058" xr:uid="{00000000-0005-0000-0000-0000E29F0000}"/>
    <cellStyle name="Normal 388 4 2 3" xfId="40059" xr:uid="{00000000-0005-0000-0000-0000E39F0000}"/>
    <cellStyle name="Normal 388 4 3" xfId="40060" xr:uid="{00000000-0005-0000-0000-0000E49F0000}"/>
    <cellStyle name="Normal 388 4 3 2" xfId="40061" xr:uid="{00000000-0005-0000-0000-0000E59F0000}"/>
    <cellStyle name="Normal 388 4 3 3" xfId="40062" xr:uid="{00000000-0005-0000-0000-0000E69F0000}"/>
    <cellStyle name="Normal 388 4 4" xfId="40063" xr:uid="{00000000-0005-0000-0000-0000E79F0000}"/>
    <cellStyle name="Normal 388 4 5" xfId="40064" xr:uid="{00000000-0005-0000-0000-0000E89F0000}"/>
    <cellStyle name="Normal 388 4 6" xfId="40065" xr:uid="{00000000-0005-0000-0000-0000E99F0000}"/>
    <cellStyle name="Normal 388 5" xfId="40066" xr:uid="{00000000-0005-0000-0000-0000EA9F0000}"/>
    <cellStyle name="Normal 388 5 2" xfId="40067" xr:uid="{00000000-0005-0000-0000-0000EB9F0000}"/>
    <cellStyle name="Normal 388 5 3" xfId="40068" xr:uid="{00000000-0005-0000-0000-0000EC9F0000}"/>
    <cellStyle name="Normal 388 6" xfId="40069" xr:uid="{00000000-0005-0000-0000-0000ED9F0000}"/>
    <cellStyle name="Normal 388 6 2" xfId="40070" xr:uid="{00000000-0005-0000-0000-0000EE9F0000}"/>
    <cellStyle name="Normal 388 6 3" xfId="40071" xr:uid="{00000000-0005-0000-0000-0000EF9F0000}"/>
    <cellStyle name="Normal 388 7" xfId="40072" xr:uid="{00000000-0005-0000-0000-0000F09F0000}"/>
    <cellStyle name="Normal 388 8" xfId="40073" xr:uid="{00000000-0005-0000-0000-0000F19F0000}"/>
    <cellStyle name="Normal 388 9" xfId="40074" xr:uid="{00000000-0005-0000-0000-0000F29F0000}"/>
    <cellStyle name="Normal 389" xfId="3317" xr:uid="{00000000-0005-0000-0000-0000F39F0000}"/>
    <cellStyle name="Normal 389 10" xfId="40075" xr:uid="{00000000-0005-0000-0000-0000F49F0000}"/>
    <cellStyle name="Normal 389 11" xfId="40076" xr:uid="{00000000-0005-0000-0000-0000F59F0000}"/>
    <cellStyle name="Normal 389 2" xfId="40077" xr:uid="{00000000-0005-0000-0000-0000F69F0000}"/>
    <cellStyle name="Normal 389 2 2" xfId="40078" xr:uid="{00000000-0005-0000-0000-0000F79F0000}"/>
    <cellStyle name="Normal 389 2 2 2" xfId="40079" xr:uid="{00000000-0005-0000-0000-0000F89F0000}"/>
    <cellStyle name="Normal 389 2 2 2 2" xfId="40080" xr:uid="{00000000-0005-0000-0000-0000F99F0000}"/>
    <cellStyle name="Normal 389 2 2 2 2 2" xfId="40081" xr:uid="{00000000-0005-0000-0000-0000FA9F0000}"/>
    <cellStyle name="Normal 389 2 2 2 2 3" xfId="40082" xr:uid="{00000000-0005-0000-0000-0000FB9F0000}"/>
    <cellStyle name="Normal 389 2 2 2 3" xfId="40083" xr:uid="{00000000-0005-0000-0000-0000FC9F0000}"/>
    <cellStyle name="Normal 389 2 2 2 3 2" xfId="40084" xr:uid="{00000000-0005-0000-0000-0000FD9F0000}"/>
    <cellStyle name="Normal 389 2 2 2 3 3" xfId="40085" xr:uid="{00000000-0005-0000-0000-0000FE9F0000}"/>
    <cellStyle name="Normal 389 2 2 2 4" xfId="40086" xr:uid="{00000000-0005-0000-0000-0000FF9F0000}"/>
    <cellStyle name="Normal 389 2 2 2 5" xfId="40087" xr:uid="{00000000-0005-0000-0000-000000A00000}"/>
    <cellStyle name="Normal 389 2 2 2 6" xfId="40088" xr:uid="{00000000-0005-0000-0000-000001A00000}"/>
    <cellStyle name="Normal 389 2 2 3" xfId="40089" xr:uid="{00000000-0005-0000-0000-000002A00000}"/>
    <cellStyle name="Normal 389 2 2 3 2" xfId="40090" xr:uid="{00000000-0005-0000-0000-000003A00000}"/>
    <cellStyle name="Normal 389 2 2 3 3" xfId="40091" xr:uid="{00000000-0005-0000-0000-000004A00000}"/>
    <cellStyle name="Normal 389 2 2 4" xfId="40092" xr:uid="{00000000-0005-0000-0000-000005A00000}"/>
    <cellStyle name="Normal 389 2 2 4 2" xfId="40093" xr:uid="{00000000-0005-0000-0000-000006A00000}"/>
    <cellStyle name="Normal 389 2 2 4 3" xfId="40094" xr:uid="{00000000-0005-0000-0000-000007A00000}"/>
    <cellStyle name="Normal 389 2 2 5" xfId="40095" xr:uid="{00000000-0005-0000-0000-000008A00000}"/>
    <cellStyle name="Normal 389 2 2 6" xfId="40096" xr:uid="{00000000-0005-0000-0000-000009A00000}"/>
    <cellStyle name="Normal 389 2 2 7" xfId="40097" xr:uid="{00000000-0005-0000-0000-00000AA00000}"/>
    <cellStyle name="Normal 389 2 2 8" xfId="40098" xr:uid="{00000000-0005-0000-0000-00000BA00000}"/>
    <cellStyle name="Normal 389 2 3" xfId="40099" xr:uid="{00000000-0005-0000-0000-00000CA00000}"/>
    <cellStyle name="Normal 389 2 3 2" xfId="40100" xr:uid="{00000000-0005-0000-0000-00000DA00000}"/>
    <cellStyle name="Normal 389 2 3 2 2" xfId="40101" xr:uid="{00000000-0005-0000-0000-00000EA00000}"/>
    <cellStyle name="Normal 389 2 3 2 3" xfId="40102" xr:uid="{00000000-0005-0000-0000-00000FA00000}"/>
    <cellStyle name="Normal 389 2 3 3" xfId="40103" xr:uid="{00000000-0005-0000-0000-000010A00000}"/>
    <cellStyle name="Normal 389 2 3 3 2" xfId="40104" xr:uid="{00000000-0005-0000-0000-000011A00000}"/>
    <cellStyle name="Normal 389 2 3 3 3" xfId="40105" xr:uid="{00000000-0005-0000-0000-000012A00000}"/>
    <cellStyle name="Normal 389 2 3 4" xfId="40106" xr:uid="{00000000-0005-0000-0000-000013A00000}"/>
    <cellStyle name="Normal 389 2 3 5" xfId="40107" xr:uid="{00000000-0005-0000-0000-000014A00000}"/>
    <cellStyle name="Normal 389 2 3 6" xfId="40108" xr:uid="{00000000-0005-0000-0000-000015A00000}"/>
    <cellStyle name="Normal 389 2 4" xfId="40109" xr:uid="{00000000-0005-0000-0000-000016A00000}"/>
    <cellStyle name="Normal 389 2 4 2" xfId="40110" xr:uid="{00000000-0005-0000-0000-000017A00000}"/>
    <cellStyle name="Normal 389 2 4 3" xfId="40111" xr:uid="{00000000-0005-0000-0000-000018A00000}"/>
    <cellStyle name="Normal 389 2 5" xfId="40112" xr:uid="{00000000-0005-0000-0000-000019A00000}"/>
    <cellStyle name="Normal 389 2 5 2" xfId="40113" xr:uid="{00000000-0005-0000-0000-00001AA00000}"/>
    <cellStyle name="Normal 389 2 5 3" xfId="40114" xr:uid="{00000000-0005-0000-0000-00001BA00000}"/>
    <cellStyle name="Normal 389 2 6" xfId="40115" xr:uid="{00000000-0005-0000-0000-00001CA00000}"/>
    <cellStyle name="Normal 389 2 7" xfId="40116" xr:uid="{00000000-0005-0000-0000-00001DA00000}"/>
    <cellStyle name="Normal 389 2 8" xfId="40117" xr:uid="{00000000-0005-0000-0000-00001EA00000}"/>
    <cellStyle name="Normal 389 2 9" xfId="40118" xr:uid="{00000000-0005-0000-0000-00001FA00000}"/>
    <cellStyle name="Normal 389 3" xfId="40119" xr:uid="{00000000-0005-0000-0000-000020A00000}"/>
    <cellStyle name="Normal 389 3 2" xfId="40120" xr:uid="{00000000-0005-0000-0000-000021A00000}"/>
    <cellStyle name="Normal 389 3 2 2" xfId="40121" xr:uid="{00000000-0005-0000-0000-000022A00000}"/>
    <cellStyle name="Normal 389 3 2 2 2" xfId="40122" xr:uid="{00000000-0005-0000-0000-000023A00000}"/>
    <cellStyle name="Normal 389 3 2 2 3" xfId="40123" xr:uid="{00000000-0005-0000-0000-000024A00000}"/>
    <cellStyle name="Normal 389 3 2 3" xfId="40124" xr:uid="{00000000-0005-0000-0000-000025A00000}"/>
    <cellStyle name="Normal 389 3 2 3 2" xfId="40125" xr:uid="{00000000-0005-0000-0000-000026A00000}"/>
    <cellStyle name="Normal 389 3 2 3 3" xfId="40126" xr:uid="{00000000-0005-0000-0000-000027A00000}"/>
    <cellStyle name="Normal 389 3 2 4" xfId="40127" xr:uid="{00000000-0005-0000-0000-000028A00000}"/>
    <cellStyle name="Normal 389 3 2 5" xfId="40128" xr:uid="{00000000-0005-0000-0000-000029A00000}"/>
    <cellStyle name="Normal 389 3 2 6" xfId="40129" xr:uid="{00000000-0005-0000-0000-00002AA00000}"/>
    <cellStyle name="Normal 389 3 3" xfId="40130" xr:uid="{00000000-0005-0000-0000-00002BA00000}"/>
    <cellStyle name="Normal 389 3 3 2" xfId="40131" xr:uid="{00000000-0005-0000-0000-00002CA00000}"/>
    <cellStyle name="Normal 389 3 3 3" xfId="40132" xr:uid="{00000000-0005-0000-0000-00002DA00000}"/>
    <cellStyle name="Normal 389 3 4" xfId="40133" xr:uid="{00000000-0005-0000-0000-00002EA00000}"/>
    <cellStyle name="Normal 389 3 4 2" xfId="40134" xr:uid="{00000000-0005-0000-0000-00002FA00000}"/>
    <cellStyle name="Normal 389 3 4 3" xfId="40135" xr:uid="{00000000-0005-0000-0000-000030A00000}"/>
    <cellStyle name="Normal 389 3 5" xfId="40136" xr:uid="{00000000-0005-0000-0000-000031A00000}"/>
    <cellStyle name="Normal 389 3 6" xfId="40137" xr:uid="{00000000-0005-0000-0000-000032A00000}"/>
    <cellStyle name="Normal 389 3 7" xfId="40138" xr:uid="{00000000-0005-0000-0000-000033A00000}"/>
    <cellStyle name="Normal 389 3 8" xfId="40139" xr:uid="{00000000-0005-0000-0000-000034A00000}"/>
    <cellStyle name="Normal 389 4" xfId="40140" xr:uid="{00000000-0005-0000-0000-000035A00000}"/>
    <cellStyle name="Normal 389 4 2" xfId="40141" xr:uid="{00000000-0005-0000-0000-000036A00000}"/>
    <cellStyle name="Normal 389 4 2 2" xfId="40142" xr:uid="{00000000-0005-0000-0000-000037A00000}"/>
    <cellStyle name="Normal 389 4 2 3" xfId="40143" xr:uid="{00000000-0005-0000-0000-000038A00000}"/>
    <cellStyle name="Normal 389 4 3" xfId="40144" xr:uid="{00000000-0005-0000-0000-000039A00000}"/>
    <cellStyle name="Normal 389 4 3 2" xfId="40145" xr:uid="{00000000-0005-0000-0000-00003AA00000}"/>
    <cellStyle name="Normal 389 4 3 3" xfId="40146" xr:uid="{00000000-0005-0000-0000-00003BA00000}"/>
    <cellStyle name="Normal 389 4 4" xfId="40147" xr:uid="{00000000-0005-0000-0000-00003CA00000}"/>
    <cellStyle name="Normal 389 4 5" xfId="40148" xr:uid="{00000000-0005-0000-0000-00003DA00000}"/>
    <cellStyle name="Normal 389 4 6" xfId="40149" xr:uid="{00000000-0005-0000-0000-00003EA00000}"/>
    <cellStyle name="Normal 389 5" xfId="40150" xr:uid="{00000000-0005-0000-0000-00003FA00000}"/>
    <cellStyle name="Normal 389 5 2" xfId="40151" xr:uid="{00000000-0005-0000-0000-000040A00000}"/>
    <cellStyle name="Normal 389 5 3" xfId="40152" xr:uid="{00000000-0005-0000-0000-000041A00000}"/>
    <cellStyle name="Normal 389 6" xfId="40153" xr:uid="{00000000-0005-0000-0000-000042A00000}"/>
    <cellStyle name="Normal 389 6 2" xfId="40154" xr:uid="{00000000-0005-0000-0000-000043A00000}"/>
    <cellStyle name="Normal 389 6 3" xfId="40155" xr:uid="{00000000-0005-0000-0000-000044A00000}"/>
    <cellStyle name="Normal 389 7" xfId="40156" xr:uid="{00000000-0005-0000-0000-000045A00000}"/>
    <cellStyle name="Normal 389 8" xfId="40157" xr:uid="{00000000-0005-0000-0000-000046A00000}"/>
    <cellStyle name="Normal 389 9" xfId="40158" xr:uid="{00000000-0005-0000-0000-000047A00000}"/>
    <cellStyle name="Normal 39" xfId="3318" xr:uid="{00000000-0005-0000-0000-000048A00000}"/>
    <cellStyle name="Normal 39 10" xfId="40159" xr:uid="{00000000-0005-0000-0000-000049A00000}"/>
    <cellStyle name="Normal 39 11" xfId="40160" xr:uid="{00000000-0005-0000-0000-00004AA00000}"/>
    <cellStyle name="Normal 39 12" xfId="40161" xr:uid="{00000000-0005-0000-0000-00004BA00000}"/>
    <cellStyle name="Normal 39 13" xfId="40162" xr:uid="{00000000-0005-0000-0000-00004CA00000}"/>
    <cellStyle name="Normal 39 14" xfId="40163" xr:uid="{00000000-0005-0000-0000-00004DA00000}"/>
    <cellStyle name="Normal 39 2" xfId="40164" xr:uid="{00000000-0005-0000-0000-00004EA00000}"/>
    <cellStyle name="Normal 39 2 2" xfId="40165" xr:uid="{00000000-0005-0000-0000-00004FA00000}"/>
    <cellStyle name="Normal 39 2 2 2" xfId="40166" xr:uid="{00000000-0005-0000-0000-000050A00000}"/>
    <cellStyle name="Normal 39 2 2 2 2" xfId="40167" xr:uid="{00000000-0005-0000-0000-000051A00000}"/>
    <cellStyle name="Normal 39 2 2 2 2 2" xfId="40168" xr:uid="{00000000-0005-0000-0000-000052A00000}"/>
    <cellStyle name="Normal 39 2 2 2 2 3" xfId="40169" xr:uid="{00000000-0005-0000-0000-000053A00000}"/>
    <cellStyle name="Normal 39 2 2 2 3" xfId="40170" xr:uid="{00000000-0005-0000-0000-000054A00000}"/>
    <cellStyle name="Normal 39 2 2 2 3 2" xfId="40171" xr:uid="{00000000-0005-0000-0000-000055A00000}"/>
    <cellStyle name="Normal 39 2 2 2 3 3" xfId="40172" xr:uid="{00000000-0005-0000-0000-000056A00000}"/>
    <cellStyle name="Normal 39 2 2 2 4" xfId="40173" xr:uid="{00000000-0005-0000-0000-000057A00000}"/>
    <cellStyle name="Normal 39 2 2 2 5" xfId="40174" xr:uid="{00000000-0005-0000-0000-000058A00000}"/>
    <cellStyle name="Normal 39 2 2 2 6" xfId="40175" xr:uid="{00000000-0005-0000-0000-000059A00000}"/>
    <cellStyle name="Normal 39 2 2 3" xfId="40176" xr:uid="{00000000-0005-0000-0000-00005AA00000}"/>
    <cellStyle name="Normal 39 2 2 3 2" xfId="40177" xr:uid="{00000000-0005-0000-0000-00005BA00000}"/>
    <cellStyle name="Normal 39 2 2 3 3" xfId="40178" xr:uid="{00000000-0005-0000-0000-00005CA00000}"/>
    <cellStyle name="Normal 39 2 2 4" xfId="40179" xr:uid="{00000000-0005-0000-0000-00005DA00000}"/>
    <cellStyle name="Normal 39 2 2 4 2" xfId="40180" xr:uid="{00000000-0005-0000-0000-00005EA00000}"/>
    <cellStyle name="Normal 39 2 2 4 3" xfId="40181" xr:uid="{00000000-0005-0000-0000-00005FA00000}"/>
    <cellStyle name="Normal 39 2 2 5" xfId="40182" xr:uid="{00000000-0005-0000-0000-000060A00000}"/>
    <cellStyle name="Normal 39 2 2 6" xfId="40183" xr:uid="{00000000-0005-0000-0000-000061A00000}"/>
    <cellStyle name="Normal 39 2 2 7" xfId="40184" xr:uid="{00000000-0005-0000-0000-000062A00000}"/>
    <cellStyle name="Normal 39 2 2 8" xfId="40185" xr:uid="{00000000-0005-0000-0000-000063A00000}"/>
    <cellStyle name="Normal 39 2 3" xfId="40186" xr:uid="{00000000-0005-0000-0000-000064A00000}"/>
    <cellStyle name="Normal 39 2 3 2" xfId="40187" xr:uid="{00000000-0005-0000-0000-000065A00000}"/>
    <cellStyle name="Normal 39 2 3 2 2" xfId="40188" xr:uid="{00000000-0005-0000-0000-000066A00000}"/>
    <cellStyle name="Normal 39 2 3 2 3" xfId="40189" xr:uid="{00000000-0005-0000-0000-000067A00000}"/>
    <cellStyle name="Normal 39 2 3 3" xfId="40190" xr:uid="{00000000-0005-0000-0000-000068A00000}"/>
    <cellStyle name="Normal 39 2 3 3 2" xfId="40191" xr:uid="{00000000-0005-0000-0000-000069A00000}"/>
    <cellStyle name="Normal 39 2 3 3 3" xfId="40192" xr:uid="{00000000-0005-0000-0000-00006AA00000}"/>
    <cellStyle name="Normal 39 2 3 4" xfId="40193" xr:uid="{00000000-0005-0000-0000-00006BA00000}"/>
    <cellStyle name="Normal 39 2 3 5" xfId="40194" xr:uid="{00000000-0005-0000-0000-00006CA00000}"/>
    <cellStyle name="Normal 39 2 3 6" xfId="40195" xr:uid="{00000000-0005-0000-0000-00006DA00000}"/>
    <cellStyle name="Normal 39 2 4" xfId="40196" xr:uid="{00000000-0005-0000-0000-00006EA00000}"/>
    <cellStyle name="Normal 39 2 4 2" xfId="40197" xr:uid="{00000000-0005-0000-0000-00006FA00000}"/>
    <cellStyle name="Normal 39 2 4 3" xfId="40198" xr:uid="{00000000-0005-0000-0000-000070A00000}"/>
    <cellStyle name="Normal 39 2 5" xfId="40199" xr:uid="{00000000-0005-0000-0000-000071A00000}"/>
    <cellStyle name="Normal 39 2 5 2" xfId="40200" xr:uid="{00000000-0005-0000-0000-000072A00000}"/>
    <cellStyle name="Normal 39 2 5 3" xfId="40201" xr:uid="{00000000-0005-0000-0000-000073A00000}"/>
    <cellStyle name="Normal 39 2 6" xfId="40202" xr:uid="{00000000-0005-0000-0000-000074A00000}"/>
    <cellStyle name="Normal 39 2 7" xfId="40203" xr:uid="{00000000-0005-0000-0000-000075A00000}"/>
    <cellStyle name="Normal 39 2 8" xfId="40204" xr:uid="{00000000-0005-0000-0000-000076A00000}"/>
    <cellStyle name="Normal 39 2 9" xfId="40205" xr:uid="{00000000-0005-0000-0000-000077A00000}"/>
    <cellStyle name="Normal 39 3" xfId="40206" xr:uid="{00000000-0005-0000-0000-000078A00000}"/>
    <cellStyle name="Normal 39 3 2" xfId="40207" xr:uid="{00000000-0005-0000-0000-000079A00000}"/>
    <cellStyle name="Normal 39 3 2 2" xfId="40208" xr:uid="{00000000-0005-0000-0000-00007AA00000}"/>
    <cellStyle name="Normal 39 3 2 2 2" xfId="40209" xr:uid="{00000000-0005-0000-0000-00007BA00000}"/>
    <cellStyle name="Normal 39 3 2 2 3" xfId="40210" xr:uid="{00000000-0005-0000-0000-00007CA00000}"/>
    <cellStyle name="Normal 39 3 2 3" xfId="40211" xr:uid="{00000000-0005-0000-0000-00007DA00000}"/>
    <cellStyle name="Normal 39 3 2 3 2" xfId="40212" xr:uid="{00000000-0005-0000-0000-00007EA00000}"/>
    <cellStyle name="Normal 39 3 2 3 3" xfId="40213" xr:uid="{00000000-0005-0000-0000-00007FA00000}"/>
    <cellStyle name="Normal 39 3 2 4" xfId="40214" xr:uid="{00000000-0005-0000-0000-000080A00000}"/>
    <cellStyle name="Normal 39 3 2 5" xfId="40215" xr:uid="{00000000-0005-0000-0000-000081A00000}"/>
    <cellStyle name="Normal 39 3 2 6" xfId="40216" xr:uid="{00000000-0005-0000-0000-000082A00000}"/>
    <cellStyle name="Normal 39 3 3" xfId="40217" xr:uid="{00000000-0005-0000-0000-000083A00000}"/>
    <cellStyle name="Normal 39 3 3 2" xfId="40218" xr:uid="{00000000-0005-0000-0000-000084A00000}"/>
    <cellStyle name="Normal 39 3 3 3" xfId="40219" xr:uid="{00000000-0005-0000-0000-000085A00000}"/>
    <cellStyle name="Normal 39 3 4" xfId="40220" xr:uid="{00000000-0005-0000-0000-000086A00000}"/>
    <cellStyle name="Normal 39 3 4 2" xfId="40221" xr:uid="{00000000-0005-0000-0000-000087A00000}"/>
    <cellStyle name="Normal 39 3 4 3" xfId="40222" xr:uid="{00000000-0005-0000-0000-000088A00000}"/>
    <cellStyle name="Normal 39 3 5" xfId="40223" xr:uid="{00000000-0005-0000-0000-000089A00000}"/>
    <cellStyle name="Normal 39 3 6" xfId="40224" xr:uid="{00000000-0005-0000-0000-00008AA00000}"/>
    <cellStyle name="Normal 39 3 7" xfId="40225" xr:uid="{00000000-0005-0000-0000-00008BA00000}"/>
    <cellStyle name="Normal 39 3 8" xfId="40226" xr:uid="{00000000-0005-0000-0000-00008CA00000}"/>
    <cellStyle name="Normal 39 4" xfId="40227" xr:uid="{00000000-0005-0000-0000-00008DA00000}"/>
    <cellStyle name="Normal 39 4 2" xfId="40228" xr:uid="{00000000-0005-0000-0000-00008EA00000}"/>
    <cellStyle name="Normal 39 4 2 2" xfId="40229" xr:uid="{00000000-0005-0000-0000-00008FA00000}"/>
    <cellStyle name="Normal 39 4 2 3" xfId="40230" xr:uid="{00000000-0005-0000-0000-000090A00000}"/>
    <cellStyle name="Normal 39 4 3" xfId="40231" xr:uid="{00000000-0005-0000-0000-000091A00000}"/>
    <cellStyle name="Normal 39 4 3 2" xfId="40232" xr:uid="{00000000-0005-0000-0000-000092A00000}"/>
    <cellStyle name="Normal 39 4 3 3" xfId="40233" xr:uid="{00000000-0005-0000-0000-000093A00000}"/>
    <cellStyle name="Normal 39 4 4" xfId="40234" xr:uid="{00000000-0005-0000-0000-000094A00000}"/>
    <cellStyle name="Normal 39 4 5" xfId="40235" xr:uid="{00000000-0005-0000-0000-000095A00000}"/>
    <cellStyle name="Normal 39 4 6" xfId="40236" xr:uid="{00000000-0005-0000-0000-000096A00000}"/>
    <cellStyle name="Normal 39 5" xfId="40237" xr:uid="{00000000-0005-0000-0000-000097A00000}"/>
    <cellStyle name="Normal 39 5 2" xfId="40238" xr:uid="{00000000-0005-0000-0000-000098A00000}"/>
    <cellStyle name="Normal 39 5 3" xfId="40239" xr:uid="{00000000-0005-0000-0000-000099A00000}"/>
    <cellStyle name="Normal 39 6" xfId="40240" xr:uid="{00000000-0005-0000-0000-00009AA00000}"/>
    <cellStyle name="Normal 39 6 2" xfId="40241" xr:uid="{00000000-0005-0000-0000-00009BA00000}"/>
    <cellStyle name="Normal 39 6 3" xfId="40242" xr:uid="{00000000-0005-0000-0000-00009CA00000}"/>
    <cellStyle name="Normal 39 7" xfId="40243" xr:uid="{00000000-0005-0000-0000-00009DA00000}"/>
    <cellStyle name="Normal 39 8" xfId="40244" xr:uid="{00000000-0005-0000-0000-00009EA00000}"/>
    <cellStyle name="Normal 39 9" xfId="40245" xr:uid="{00000000-0005-0000-0000-00009FA00000}"/>
    <cellStyle name="Normal 390" xfId="3319" xr:uid="{00000000-0005-0000-0000-0000A0A00000}"/>
    <cellStyle name="Normal 390 10" xfId="40246" xr:uid="{00000000-0005-0000-0000-0000A1A00000}"/>
    <cellStyle name="Normal 390 11" xfId="40247" xr:uid="{00000000-0005-0000-0000-0000A2A00000}"/>
    <cellStyle name="Normal 390 2" xfId="40248" xr:uid="{00000000-0005-0000-0000-0000A3A00000}"/>
    <cellStyle name="Normal 390 2 2" xfId="40249" xr:uid="{00000000-0005-0000-0000-0000A4A00000}"/>
    <cellStyle name="Normal 390 2 2 2" xfId="40250" xr:uid="{00000000-0005-0000-0000-0000A5A00000}"/>
    <cellStyle name="Normal 390 2 2 2 2" xfId="40251" xr:uid="{00000000-0005-0000-0000-0000A6A00000}"/>
    <cellStyle name="Normal 390 2 2 2 2 2" xfId="40252" xr:uid="{00000000-0005-0000-0000-0000A7A00000}"/>
    <cellStyle name="Normal 390 2 2 2 2 3" xfId="40253" xr:uid="{00000000-0005-0000-0000-0000A8A00000}"/>
    <cellStyle name="Normal 390 2 2 2 3" xfId="40254" xr:uid="{00000000-0005-0000-0000-0000A9A00000}"/>
    <cellStyle name="Normal 390 2 2 2 3 2" xfId="40255" xr:uid="{00000000-0005-0000-0000-0000AAA00000}"/>
    <cellStyle name="Normal 390 2 2 2 3 3" xfId="40256" xr:uid="{00000000-0005-0000-0000-0000ABA00000}"/>
    <cellStyle name="Normal 390 2 2 2 4" xfId="40257" xr:uid="{00000000-0005-0000-0000-0000ACA00000}"/>
    <cellStyle name="Normal 390 2 2 2 5" xfId="40258" xr:uid="{00000000-0005-0000-0000-0000ADA00000}"/>
    <cellStyle name="Normal 390 2 2 2 6" xfId="40259" xr:uid="{00000000-0005-0000-0000-0000AEA00000}"/>
    <cellStyle name="Normal 390 2 2 3" xfId="40260" xr:uid="{00000000-0005-0000-0000-0000AFA00000}"/>
    <cellStyle name="Normal 390 2 2 3 2" xfId="40261" xr:uid="{00000000-0005-0000-0000-0000B0A00000}"/>
    <cellStyle name="Normal 390 2 2 3 3" xfId="40262" xr:uid="{00000000-0005-0000-0000-0000B1A00000}"/>
    <cellStyle name="Normal 390 2 2 4" xfId="40263" xr:uid="{00000000-0005-0000-0000-0000B2A00000}"/>
    <cellStyle name="Normal 390 2 2 4 2" xfId="40264" xr:uid="{00000000-0005-0000-0000-0000B3A00000}"/>
    <cellStyle name="Normal 390 2 2 4 3" xfId="40265" xr:uid="{00000000-0005-0000-0000-0000B4A00000}"/>
    <cellStyle name="Normal 390 2 2 5" xfId="40266" xr:uid="{00000000-0005-0000-0000-0000B5A00000}"/>
    <cellStyle name="Normal 390 2 2 6" xfId="40267" xr:uid="{00000000-0005-0000-0000-0000B6A00000}"/>
    <cellStyle name="Normal 390 2 2 7" xfId="40268" xr:uid="{00000000-0005-0000-0000-0000B7A00000}"/>
    <cellStyle name="Normal 390 2 2 8" xfId="40269" xr:uid="{00000000-0005-0000-0000-0000B8A00000}"/>
    <cellStyle name="Normal 390 2 3" xfId="40270" xr:uid="{00000000-0005-0000-0000-0000B9A00000}"/>
    <cellStyle name="Normal 390 2 3 2" xfId="40271" xr:uid="{00000000-0005-0000-0000-0000BAA00000}"/>
    <cellStyle name="Normal 390 2 3 2 2" xfId="40272" xr:uid="{00000000-0005-0000-0000-0000BBA00000}"/>
    <cellStyle name="Normal 390 2 3 2 3" xfId="40273" xr:uid="{00000000-0005-0000-0000-0000BCA00000}"/>
    <cellStyle name="Normal 390 2 3 3" xfId="40274" xr:uid="{00000000-0005-0000-0000-0000BDA00000}"/>
    <cellStyle name="Normal 390 2 3 3 2" xfId="40275" xr:uid="{00000000-0005-0000-0000-0000BEA00000}"/>
    <cellStyle name="Normal 390 2 3 3 3" xfId="40276" xr:uid="{00000000-0005-0000-0000-0000BFA00000}"/>
    <cellStyle name="Normal 390 2 3 4" xfId="40277" xr:uid="{00000000-0005-0000-0000-0000C0A00000}"/>
    <cellStyle name="Normal 390 2 3 5" xfId="40278" xr:uid="{00000000-0005-0000-0000-0000C1A00000}"/>
    <cellStyle name="Normal 390 2 3 6" xfId="40279" xr:uid="{00000000-0005-0000-0000-0000C2A00000}"/>
    <cellStyle name="Normal 390 2 4" xfId="40280" xr:uid="{00000000-0005-0000-0000-0000C3A00000}"/>
    <cellStyle name="Normal 390 2 4 2" xfId="40281" xr:uid="{00000000-0005-0000-0000-0000C4A00000}"/>
    <cellStyle name="Normal 390 2 4 3" xfId="40282" xr:uid="{00000000-0005-0000-0000-0000C5A00000}"/>
    <cellStyle name="Normal 390 2 5" xfId="40283" xr:uid="{00000000-0005-0000-0000-0000C6A00000}"/>
    <cellStyle name="Normal 390 2 5 2" xfId="40284" xr:uid="{00000000-0005-0000-0000-0000C7A00000}"/>
    <cellStyle name="Normal 390 2 5 3" xfId="40285" xr:uid="{00000000-0005-0000-0000-0000C8A00000}"/>
    <cellStyle name="Normal 390 2 6" xfId="40286" xr:uid="{00000000-0005-0000-0000-0000C9A00000}"/>
    <cellStyle name="Normal 390 2 7" xfId="40287" xr:uid="{00000000-0005-0000-0000-0000CAA00000}"/>
    <cellStyle name="Normal 390 2 8" xfId="40288" xr:uid="{00000000-0005-0000-0000-0000CBA00000}"/>
    <cellStyle name="Normal 390 2 9" xfId="40289" xr:uid="{00000000-0005-0000-0000-0000CCA00000}"/>
    <cellStyle name="Normal 390 3" xfId="40290" xr:uid="{00000000-0005-0000-0000-0000CDA00000}"/>
    <cellStyle name="Normal 390 3 2" xfId="40291" xr:uid="{00000000-0005-0000-0000-0000CEA00000}"/>
    <cellStyle name="Normal 390 3 2 2" xfId="40292" xr:uid="{00000000-0005-0000-0000-0000CFA00000}"/>
    <cellStyle name="Normal 390 3 2 2 2" xfId="40293" xr:uid="{00000000-0005-0000-0000-0000D0A00000}"/>
    <cellStyle name="Normal 390 3 2 2 3" xfId="40294" xr:uid="{00000000-0005-0000-0000-0000D1A00000}"/>
    <cellStyle name="Normal 390 3 2 3" xfId="40295" xr:uid="{00000000-0005-0000-0000-0000D2A00000}"/>
    <cellStyle name="Normal 390 3 2 3 2" xfId="40296" xr:uid="{00000000-0005-0000-0000-0000D3A00000}"/>
    <cellStyle name="Normal 390 3 2 3 3" xfId="40297" xr:uid="{00000000-0005-0000-0000-0000D4A00000}"/>
    <cellStyle name="Normal 390 3 2 4" xfId="40298" xr:uid="{00000000-0005-0000-0000-0000D5A00000}"/>
    <cellStyle name="Normal 390 3 2 5" xfId="40299" xr:uid="{00000000-0005-0000-0000-0000D6A00000}"/>
    <cellStyle name="Normal 390 3 2 6" xfId="40300" xr:uid="{00000000-0005-0000-0000-0000D7A00000}"/>
    <cellStyle name="Normal 390 3 3" xfId="40301" xr:uid="{00000000-0005-0000-0000-0000D8A00000}"/>
    <cellStyle name="Normal 390 3 3 2" xfId="40302" xr:uid="{00000000-0005-0000-0000-0000D9A00000}"/>
    <cellStyle name="Normal 390 3 3 3" xfId="40303" xr:uid="{00000000-0005-0000-0000-0000DAA00000}"/>
    <cellStyle name="Normal 390 3 4" xfId="40304" xr:uid="{00000000-0005-0000-0000-0000DBA00000}"/>
    <cellStyle name="Normal 390 3 4 2" xfId="40305" xr:uid="{00000000-0005-0000-0000-0000DCA00000}"/>
    <cellStyle name="Normal 390 3 4 3" xfId="40306" xr:uid="{00000000-0005-0000-0000-0000DDA00000}"/>
    <cellStyle name="Normal 390 3 5" xfId="40307" xr:uid="{00000000-0005-0000-0000-0000DEA00000}"/>
    <cellStyle name="Normal 390 3 6" xfId="40308" xr:uid="{00000000-0005-0000-0000-0000DFA00000}"/>
    <cellStyle name="Normal 390 3 7" xfId="40309" xr:uid="{00000000-0005-0000-0000-0000E0A00000}"/>
    <cellStyle name="Normal 390 3 8" xfId="40310" xr:uid="{00000000-0005-0000-0000-0000E1A00000}"/>
    <cellStyle name="Normal 390 4" xfId="40311" xr:uid="{00000000-0005-0000-0000-0000E2A00000}"/>
    <cellStyle name="Normal 390 4 2" xfId="40312" xr:uid="{00000000-0005-0000-0000-0000E3A00000}"/>
    <cellStyle name="Normal 390 4 2 2" xfId="40313" xr:uid="{00000000-0005-0000-0000-0000E4A00000}"/>
    <cellStyle name="Normal 390 4 2 3" xfId="40314" xr:uid="{00000000-0005-0000-0000-0000E5A00000}"/>
    <cellStyle name="Normal 390 4 3" xfId="40315" xr:uid="{00000000-0005-0000-0000-0000E6A00000}"/>
    <cellStyle name="Normal 390 4 3 2" xfId="40316" xr:uid="{00000000-0005-0000-0000-0000E7A00000}"/>
    <cellStyle name="Normal 390 4 3 3" xfId="40317" xr:uid="{00000000-0005-0000-0000-0000E8A00000}"/>
    <cellStyle name="Normal 390 4 4" xfId="40318" xr:uid="{00000000-0005-0000-0000-0000E9A00000}"/>
    <cellStyle name="Normal 390 4 5" xfId="40319" xr:uid="{00000000-0005-0000-0000-0000EAA00000}"/>
    <cellStyle name="Normal 390 4 6" xfId="40320" xr:uid="{00000000-0005-0000-0000-0000EBA00000}"/>
    <cellStyle name="Normal 390 5" xfId="40321" xr:uid="{00000000-0005-0000-0000-0000ECA00000}"/>
    <cellStyle name="Normal 390 5 2" xfId="40322" xr:uid="{00000000-0005-0000-0000-0000EDA00000}"/>
    <cellStyle name="Normal 390 5 3" xfId="40323" xr:uid="{00000000-0005-0000-0000-0000EEA00000}"/>
    <cellStyle name="Normal 390 6" xfId="40324" xr:uid="{00000000-0005-0000-0000-0000EFA00000}"/>
    <cellStyle name="Normal 390 6 2" xfId="40325" xr:uid="{00000000-0005-0000-0000-0000F0A00000}"/>
    <cellStyle name="Normal 390 6 3" xfId="40326" xr:uid="{00000000-0005-0000-0000-0000F1A00000}"/>
    <cellStyle name="Normal 390 7" xfId="40327" xr:uid="{00000000-0005-0000-0000-0000F2A00000}"/>
    <cellStyle name="Normal 390 8" xfId="40328" xr:uid="{00000000-0005-0000-0000-0000F3A00000}"/>
    <cellStyle name="Normal 390 9" xfId="40329" xr:uid="{00000000-0005-0000-0000-0000F4A00000}"/>
    <cellStyle name="Normal 391" xfId="3320" xr:uid="{00000000-0005-0000-0000-0000F5A00000}"/>
    <cellStyle name="Normal 391 10" xfId="40330" xr:uid="{00000000-0005-0000-0000-0000F6A00000}"/>
    <cellStyle name="Normal 391 11" xfId="40331" xr:uid="{00000000-0005-0000-0000-0000F7A00000}"/>
    <cellStyle name="Normal 391 2" xfId="40332" xr:uid="{00000000-0005-0000-0000-0000F8A00000}"/>
    <cellStyle name="Normal 391 2 2" xfId="40333" xr:uid="{00000000-0005-0000-0000-0000F9A00000}"/>
    <cellStyle name="Normal 391 2 2 2" xfId="40334" xr:uid="{00000000-0005-0000-0000-0000FAA00000}"/>
    <cellStyle name="Normal 391 2 2 2 2" xfId="40335" xr:uid="{00000000-0005-0000-0000-0000FBA00000}"/>
    <cellStyle name="Normal 391 2 2 2 2 2" xfId="40336" xr:uid="{00000000-0005-0000-0000-0000FCA00000}"/>
    <cellStyle name="Normal 391 2 2 2 2 3" xfId="40337" xr:uid="{00000000-0005-0000-0000-0000FDA00000}"/>
    <cellStyle name="Normal 391 2 2 2 3" xfId="40338" xr:uid="{00000000-0005-0000-0000-0000FEA00000}"/>
    <cellStyle name="Normal 391 2 2 2 3 2" xfId="40339" xr:uid="{00000000-0005-0000-0000-0000FFA00000}"/>
    <cellStyle name="Normal 391 2 2 2 3 3" xfId="40340" xr:uid="{00000000-0005-0000-0000-000000A10000}"/>
    <cellStyle name="Normal 391 2 2 2 4" xfId="40341" xr:uid="{00000000-0005-0000-0000-000001A10000}"/>
    <cellStyle name="Normal 391 2 2 2 5" xfId="40342" xr:uid="{00000000-0005-0000-0000-000002A10000}"/>
    <cellStyle name="Normal 391 2 2 2 6" xfId="40343" xr:uid="{00000000-0005-0000-0000-000003A10000}"/>
    <cellStyle name="Normal 391 2 2 3" xfId="40344" xr:uid="{00000000-0005-0000-0000-000004A10000}"/>
    <cellStyle name="Normal 391 2 2 3 2" xfId="40345" xr:uid="{00000000-0005-0000-0000-000005A10000}"/>
    <cellStyle name="Normal 391 2 2 3 3" xfId="40346" xr:uid="{00000000-0005-0000-0000-000006A10000}"/>
    <cellStyle name="Normal 391 2 2 4" xfId="40347" xr:uid="{00000000-0005-0000-0000-000007A10000}"/>
    <cellStyle name="Normal 391 2 2 4 2" xfId="40348" xr:uid="{00000000-0005-0000-0000-000008A10000}"/>
    <cellStyle name="Normal 391 2 2 4 3" xfId="40349" xr:uid="{00000000-0005-0000-0000-000009A10000}"/>
    <cellStyle name="Normal 391 2 2 5" xfId="40350" xr:uid="{00000000-0005-0000-0000-00000AA10000}"/>
    <cellStyle name="Normal 391 2 2 6" xfId="40351" xr:uid="{00000000-0005-0000-0000-00000BA10000}"/>
    <cellStyle name="Normal 391 2 2 7" xfId="40352" xr:uid="{00000000-0005-0000-0000-00000CA10000}"/>
    <cellStyle name="Normal 391 2 2 8" xfId="40353" xr:uid="{00000000-0005-0000-0000-00000DA10000}"/>
    <cellStyle name="Normal 391 2 3" xfId="40354" xr:uid="{00000000-0005-0000-0000-00000EA10000}"/>
    <cellStyle name="Normal 391 2 3 2" xfId="40355" xr:uid="{00000000-0005-0000-0000-00000FA10000}"/>
    <cellStyle name="Normal 391 2 3 2 2" xfId="40356" xr:uid="{00000000-0005-0000-0000-000010A10000}"/>
    <cellStyle name="Normal 391 2 3 2 3" xfId="40357" xr:uid="{00000000-0005-0000-0000-000011A10000}"/>
    <cellStyle name="Normal 391 2 3 3" xfId="40358" xr:uid="{00000000-0005-0000-0000-000012A10000}"/>
    <cellStyle name="Normal 391 2 3 3 2" xfId="40359" xr:uid="{00000000-0005-0000-0000-000013A10000}"/>
    <cellStyle name="Normal 391 2 3 3 3" xfId="40360" xr:uid="{00000000-0005-0000-0000-000014A10000}"/>
    <cellStyle name="Normal 391 2 3 4" xfId="40361" xr:uid="{00000000-0005-0000-0000-000015A10000}"/>
    <cellStyle name="Normal 391 2 3 5" xfId="40362" xr:uid="{00000000-0005-0000-0000-000016A10000}"/>
    <cellStyle name="Normal 391 2 3 6" xfId="40363" xr:uid="{00000000-0005-0000-0000-000017A10000}"/>
    <cellStyle name="Normal 391 2 4" xfId="40364" xr:uid="{00000000-0005-0000-0000-000018A10000}"/>
    <cellStyle name="Normal 391 2 4 2" xfId="40365" xr:uid="{00000000-0005-0000-0000-000019A10000}"/>
    <cellStyle name="Normal 391 2 4 3" xfId="40366" xr:uid="{00000000-0005-0000-0000-00001AA10000}"/>
    <cellStyle name="Normal 391 2 5" xfId="40367" xr:uid="{00000000-0005-0000-0000-00001BA10000}"/>
    <cellStyle name="Normal 391 2 5 2" xfId="40368" xr:uid="{00000000-0005-0000-0000-00001CA10000}"/>
    <cellStyle name="Normal 391 2 5 3" xfId="40369" xr:uid="{00000000-0005-0000-0000-00001DA10000}"/>
    <cellStyle name="Normal 391 2 6" xfId="40370" xr:uid="{00000000-0005-0000-0000-00001EA10000}"/>
    <cellStyle name="Normal 391 2 7" xfId="40371" xr:uid="{00000000-0005-0000-0000-00001FA10000}"/>
    <cellStyle name="Normal 391 2 8" xfId="40372" xr:uid="{00000000-0005-0000-0000-000020A10000}"/>
    <cellStyle name="Normal 391 2 9" xfId="40373" xr:uid="{00000000-0005-0000-0000-000021A10000}"/>
    <cellStyle name="Normal 391 3" xfId="40374" xr:uid="{00000000-0005-0000-0000-000022A10000}"/>
    <cellStyle name="Normal 391 3 2" xfId="40375" xr:uid="{00000000-0005-0000-0000-000023A10000}"/>
    <cellStyle name="Normal 391 3 2 2" xfId="40376" xr:uid="{00000000-0005-0000-0000-000024A10000}"/>
    <cellStyle name="Normal 391 3 2 2 2" xfId="40377" xr:uid="{00000000-0005-0000-0000-000025A10000}"/>
    <cellStyle name="Normal 391 3 2 2 3" xfId="40378" xr:uid="{00000000-0005-0000-0000-000026A10000}"/>
    <cellStyle name="Normal 391 3 2 3" xfId="40379" xr:uid="{00000000-0005-0000-0000-000027A10000}"/>
    <cellStyle name="Normal 391 3 2 3 2" xfId="40380" xr:uid="{00000000-0005-0000-0000-000028A10000}"/>
    <cellStyle name="Normal 391 3 2 3 3" xfId="40381" xr:uid="{00000000-0005-0000-0000-000029A10000}"/>
    <cellStyle name="Normal 391 3 2 4" xfId="40382" xr:uid="{00000000-0005-0000-0000-00002AA10000}"/>
    <cellStyle name="Normal 391 3 2 5" xfId="40383" xr:uid="{00000000-0005-0000-0000-00002BA10000}"/>
    <cellStyle name="Normal 391 3 2 6" xfId="40384" xr:uid="{00000000-0005-0000-0000-00002CA10000}"/>
    <cellStyle name="Normal 391 3 3" xfId="40385" xr:uid="{00000000-0005-0000-0000-00002DA10000}"/>
    <cellStyle name="Normal 391 3 3 2" xfId="40386" xr:uid="{00000000-0005-0000-0000-00002EA10000}"/>
    <cellStyle name="Normal 391 3 3 3" xfId="40387" xr:uid="{00000000-0005-0000-0000-00002FA10000}"/>
    <cellStyle name="Normal 391 3 4" xfId="40388" xr:uid="{00000000-0005-0000-0000-000030A10000}"/>
    <cellStyle name="Normal 391 3 4 2" xfId="40389" xr:uid="{00000000-0005-0000-0000-000031A10000}"/>
    <cellStyle name="Normal 391 3 4 3" xfId="40390" xr:uid="{00000000-0005-0000-0000-000032A10000}"/>
    <cellStyle name="Normal 391 3 5" xfId="40391" xr:uid="{00000000-0005-0000-0000-000033A10000}"/>
    <cellStyle name="Normal 391 3 6" xfId="40392" xr:uid="{00000000-0005-0000-0000-000034A10000}"/>
    <cellStyle name="Normal 391 3 7" xfId="40393" xr:uid="{00000000-0005-0000-0000-000035A10000}"/>
    <cellStyle name="Normal 391 3 8" xfId="40394" xr:uid="{00000000-0005-0000-0000-000036A10000}"/>
    <cellStyle name="Normal 391 4" xfId="40395" xr:uid="{00000000-0005-0000-0000-000037A10000}"/>
    <cellStyle name="Normal 391 4 2" xfId="40396" xr:uid="{00000000-0005-0000-0000-000038A10000}"/>
    <cellStyle name="Normal 391 4 2 2" xfId="40397" xr:uid="{00000000-0005-0000-0000-000039A10000}"/>
    <cellStyle name="Normal 391 4 2 3" xfId="40398" xr:uid="{00000000-0005-0000-0000-00003AA10000}"/>
    <cellStyle name="Normal 391 4 3" xfId="40399" xr:uid="{00000000-0005-0000-0000-00003BA10000}"/>
    <cellStyle name="Normal 391 4 3 2" xfId="40400" xr:uid="{00000000-0005-0000-0000-00003CA10000}"/>
    <cellStyle name="Normal 391 4 3 3" xfId="40401" xr:uid="{00000000-0005-0000-0000-00003DA10000}"/>
    <cellStyle name="Normal 391 4 4" xfId="40402" xr:uid="{00000000-0005-0000-0000-00003EA10000}"/>
    <cellStyle name="Normal 391 4 5" xfId="40403" xr:uid="{00000000-0005-0000-0000-00003FA10000}"/>
    <cellStyle name="Normal 391 4 6" xfId="40404" xr:uid="{00000000-0005-0000-0000-000040A10000}"/>
    <cellStyle name="Normal 391 5" xfId="40405" xr:uid="{00000000-0005-0000-0000-000041A10000}"/>
    <cellStyle name="Normal 391 5 2" xfId="40406" xr:uid="{00000000-0005-0000-0000-000042A10000}"/>
    <cellStyle name="Normal 391 5 3" xfId="40407" xr:uid="{00000000-0005-0000-0000-000043A10000}"/>
    <cellStyle name="Normal 391 6" xfId="40408" xr:uid="{00000000-0005-0000-0000-000044A10000}"/>
    <cellStyle name="Normal 391 6 2" xfId="40409" xr:uid="{00000000-0005-0000-0000-000045A10000}"/>
    <cellStyle name="Normal 391 6 3" xfId="40410" xr:uid="{00000000-0005-0000-0000-000046A10000}"/>
    <cellStyle name="Normal 391 7" xfId="40411" xr:uid="{00000000-0005-0000-0000-000047A10000}"/>
    <cellStyle name="Normal 391 8" xfId="40412" xr:uid="{00000000-0005-0000-0000-000048A10000}"/>
    <cellStyle name="Normal 391 9" xfId="40413" xr:uid="{00000000-0005-0000-0000-000049A10000}"/>
    <cellStyle name="Normal 392" xfId="3321" xr:uid="{00000000-0005-0000-0000-00004AA10000}"/>
    <cellStyle name="Normal 392 10" xfId="40414" xr:uid="{00000000-0005-0000-0000-00004BA10000}"/>
    <cellStyle name="Normal 392 11" xfId="40415" xr:uid="{00000000-0005-0000-0000-00004CA10000}"/>
    <cellStyle name="Normal 392 2" xfId="40416" xr:uid="{00000000-0005-0000-0000-00004DA10000}"/>
    <cellStyle name="Normal 392 2 2" xfId="40417" xr:uid="{00000000-0005-0000-0000-00004EA10000}"/>
    <cellStyle name="Normal 392 2 2 2" xfId="40418" xr:uid="{00000000-0005-0000-0000-00004FA10000}"/>
    <cellStyle name="Normal 392 2 2 2 2" xfId="40419" xr:uid="{00000000-0005-0000-0000-000050A10000}"/>
    <cellStyle name="Normal 392 2 2 2 2 2" xfId="40420" xr:uid="{00000000-0005-0000-0000-000051A10000}"/>
    <cellStyle name="Normal 392 2 2 2 2 3" xfId="40421" xr:uid="{00000000-0005-0000-0000-000052A10000}"/>
    <cellStyle name="Normal 392 2 2 2 3" xfId="40422" xr:uid="{00000000-0005-0000-0000-000053A10000}"/>
    <cellStyle name="Normal 392 2 2 2 3 2" xfId="40423" xr:uid="{00000000-0005-0000-0000-000054A10000}"/>
    <cellStyle name="Normal 392 2 2 2 3 3" xfId="40424" xr:uid="{00000000-0005-0000-0000-000055A10000}"/>
    <cellStyle name="Normal 392 2 2 2 4" xfId="40425" xr:uid="{00000000-0005-0000-0000-000056A10000}"/>
    <cellStyle name="Normal 392 2 2 2 5" xfId="40426" xr:uid="{00000000-0005-0000-0000-000057A10000}"/>
    <cellStyle name="Normal 392 2 2 2 6" xfId="40427" xr:uid="{00000000-0005-0000-0000-000058A10000}"/>
    <cellStyle name="Normal 392 2 2 3" xfId="40428" xr:uid="{00000000-0005-0000-0000-000059A10000}"/>
    <cellStyle name="Normal 392 2 2 3 2" xfId="40429" xr:uid="{00000000-0005-0000-0000-00005AA10000}"/>
    <cellStyle name="Normal 392 2 2 3 3" xfId="40430" xr:uid="{00000000-0005-0000-0000-00005BA10000}"/>
    <cellStyle name="Normal 392 2 2 4" xfId="40431" xr:uid="{00000000-0005-0000-0000-00005CA10000}"/>
    <cellStyle name="Normal 392 2 2 4 2" xfId="40432" xr:uid="{00000000-0005-0000-0000-00005DA10000}"/>
    <cellStyle name="Normal 392 2 2 4 3" xfId="40433" xr:uid="{00000000-0005-0000-0000-00005EA10000}"/>
    <cellStyle name="Normal 392 2 2 5" xfId="40434" xr:uid="{00000000-0005-0000-0000-00005FA10000}"/>
    <cellStyle name="Normal 392 2 2 6" xfId="40435" xr:uid="{00000000-0005-0000-0000-000060A10000}"/>
    <cellStyle name="Normal 392 2 2 7" xfId="40436" xr:uid="{00000000-0005-0000-0000-000061A10000}"/>
    <cellStyle name="Normal 392 2 2 8" xfId="40437" xr:uid="{00000000-0005-0000-0000-000062A10000}"/>
    <cellStyle name="Normal 392 2 3" xfId="40438" xr:uid="{00000000-0005-0000-0000-000063A10000}"/>
    <cellStyle name="Normal 392 2 3 2" xfId="40439" xr:uid="{00000000-0005-0000-0000-000064A10000}"/>
    <cellStyle name="Normal 392 2 3 2 2" xfId="40440" xr:uid="{00000000-0005-0000-0000-000065A10000}"/>
    <cellStyle name="Normal 392 2 3 2 3" xfId="40441" xr:uid="{00000000-0005-0000-0000-000066A10000}"/>
    <cellStyle name="Normal 392 2 3 3" xfId="40442" xr:uid="{00000000-0005-0000-0000-000067A10000}"/>
    <cellStyle name="Normal 392 2 3 3 2" xfId="40443" xr:uid="{00000000-0005-0000-0000-000068A10000}"/>
    <cellStyle name="Normal 392 2 3 3 3" xfId="40444" xr:uid="{00000000-0005-0000-0000-000069A10000}"/>
    <cellStyle name="Normal 392 2 3 4" xfId="40445" xr:uid="{00000000-0005-0000-0000-00006AA10000}"/>
    <cellStyle name="Normal 392 2 3 5" xfId="40446" xr:uid="{00000000-0005-0000-0000-00006BA10000}"/>
    <cellStyle name="Normal 392 2 3 6" xfId="40447" xr:uid="{00000000-0005-0000-0000-00006CA10000}"/>
    <cellStyle name="Normal 392 2 4" xfId="40448" xr:uid="{00000000-0005-0000-0000-00006DA10000}"/>
    <cellStyle name="Normal 392 2 4 2" xfId="40449" xr:uid="{00000000-0005-0000-0000-00006EA10000}"/>
    <cellStyle name="Normal 392 2 4 3" xfId="40450" xr:uid="{00000000-0005-0000-0000-00006FA10000}"/>
    <cellStyle name="Normal 392 2 5" xfId="40451" xr:uid="{00000000-0005-0000-0000-000070A10000}"/>
    <cellStyle name="Normal 392 2 5 2" xfId="40452" xr:uid="{00000000-0005-0000-0000-000071A10000}"/>
    <cellStyle name="Normal 392 2 5 3" xfId="40453" xr:uid="{00000000-0005-0000-0000-000072A10000}"/>
    <cellStyle name="Normal 392 2 6" xfId="40454" xr:uid="{00000000-0005-0000-0000-000073A10000}"/>
    <cellStyle name="Normal 392 2 7" xfId="40455" xr:uid="{00000000-0005-0000-0000-000074A10000}"/>
    <cellStyle name="Normal 392 2 8" xfId="40456" xr:uid="{00000000-0005-0000-0000-000075A10000}"/>
    <cellStyle name="Normal 392 2 9" xfId="40457" xr:uid="{00000000-0005-0000-0000-000076A10000}"/>
    <cellStyle name="Normal 392 3" xfId="40458" xr:uid="{00000000-0005-0000-0000-000077A10000}"/>
    <cellStyle name="Normal 392 3 2" xfId="40459" xr:uid="{00000000-0005-0000-0000-000078A10000}"/>
    <cellStyle name="Normal 392 3 2 2" xfId="40460" xr:uid="{00000000-0005-0000-0000-000079A10000}"/>
    <cellStyle name="Normal 392 3 2 2 2" xfId="40461" xr:uid="{00000000-0005-0000-0000-00007AA10000}"/>
    <cellStyle name="Normal 392 3 2 2 3" xfId="40462" xr:uid="{00000000-0005-0000-0000-00007BA10000}"/>
    <cellStyle name="Normal 392 3 2 3" xfId="40463" xr:uid="{00000000-0005-0000-0000-00007CA10000}"/>
    <cellStyle name="Normal 392 3 2 3 2" xfId="40464" xr:uid="{00000000-0005-0000-0000-00007DA10000}"/>
    <cellStyle name="Normal 392 3 2 3 3" xfId="40465" xr:uid="{00000000-0005-0000-0000-00007EA10000}"/>
    <cellStyle name="Normal 392 3 2 4" xfId="40466" xr:uid="{00000000-0005-0000-0000-00007FA10000}"/>
    <cellStyle name="Normal 392 3 2 5" xfId="40467" xr:uid="{00000000-0005-0000-0000-000080A10000}"/>
    <cellStyle name="Normal 392 3 2 6" xfId="40468" xr:uid="{00000000-0005-0000-0000-000081A10000}"/>
    <cellStyle name="Normal 392 3 3" xfId="40469" xr:uid="{00000000-0005-0000-0000-000082A10000}"/>
    <cellStyle name="Normal 392 3 3 2" xfId="40470" xr:uid="{00000000-0005-0000-0000-000083A10000}"/>
    <cellStyle name="Normal 392 3 3 3" xfId="40471" xr:uid="{00000000-0005-0000-0000-000084A10000}"/>
    <cellStyle name="Normal 392 3 4" xfId="40472" xr:uid="{00000000-0005-0000-0000-000085A10000}"/>
    <cellStyle name="Normal 392 3 4 2" xfId="40473" xr:uid="{00000000-0005-0000-0000-000086A10000}"/>
    <cellStyle name="Normal 392 3 4 3" xfId="40474" xr:uid="{00000000-0005-0000-0000-000087A10000}"/>
    <cellStyle name="Normal 392 3 5" xfId="40475" xr:uid="{00000000-0005-0000-0000-000088A10000}"/>
    <cellStyle name="Normal 392 3 6" xfId="40476" xr:uid="{00000000-0005-0000-0000-000089A10000}"/>
    <cellStyle name="Normal 392 3 7" xfId="40477" xr:uid="{00000000-0005-0000-0000-00008AA10000}"/>
    <cellStyle name="Normal 392 3 8" xfId="40478" xr:uid="{00000000-0005-0000-0000-00008BA10000}"/>
    <cellStyle name="Normal 392 4" xfId="40479" xr:uid="{00000000-0005-0000-0000-00008CA10000}"/>
    <cellStyle name="Normal 392 4 2" xfId="40480" xr:uid="{00000000-0005-0000-0000-00008DA10000}"/>
    <cellStyle name="Normal 392 4 2 2" xfId="40481" xr:uid="{00000000-0005-0000-0000-00008EA10000}"/>
    <cellStyle name="Normal 392 4 2 3" xfId="40482" xr:uid="{00000000-0005-0000-0000-00008FA10000}"/>
    <cellStyle name="Normal 392 4 3" xfId="40483" xr:uid="{00000000-0005-0000-0000-000090A10000}"/>
    <cellStyle name="Normal 392 4 3 2" xfId="40484" xr:uid="{00000000-0005-0000-0000-000091A10000}"/>
    <cellStyle name="Normal 392 4 3 3" xfId="40485" xr:uid="{00000000-0005-0000-0000-000092A10000}"/>
    <cellStyle name="Normal 392 4 4" xfId="40486" xr:uid="{00000000-0005-0000-0000-000093A10000}"/>
    <cellStyle name="Normal 392 4 5" xfId="40487" xr:uid="{00000000-0005-0000-0000-000094A10000}"/>
    <cellStyle name="Normal 392 4 6" xfId="40488" xr:uid="{00000000-0005-0000-0000-000095A10000}"/>
    <cellStyle name="Normal 392 5" xfId="40489" xr:uid="{00000000-0005-0000-0000-000096A10000}"/>
    <cellStyle name="Normal 392 5 2" xfId="40490" xr:uid="{00000000-0005-0000-0000-000097A10000}"/>
    <cellStyle name="Normal 392 5 3" xfId="40491" xr:uid="{00000000-0005-0000-0000-000098A10000}"/>
    <cellStyle name="Normal 392 6" xfId="40492" xr:uid="{00000000-0005-0000-0000-000099A10000}"/>
    <cellStyle name="Normal 392 6 2" xfId="40493" xr:uid="{00000000-0005-0000-0000-00009AA10000}"/>
    <cellStyle name="Normal 392 6 3" xfId="40494" xr:uid="{00000000-0005-0000-0000-00009BA10000}"/>
    <cellStyle name="Normal 392 7" xfId="40495" xr:uid="{00000000-0005-0000-0000-00009CA10000}"/>
    <cellStyle name="Normal 392 8" xfId="40496" xr:uid="{00000000-0005-0000-0000-00009DA10000}"/>
    <cellStyle name="Normal 392 9" xfId="40497" xr:uid="{00000000-0005-0000-0000-00009EA10000}"/>
    <cellStyle name="Normal 393" xfId="3322" xr:uid="{00000000-0005-0000-0000-00009FA10000}"/>
    <cellStyle name="Normal 393 10" xfId="40498" xr:uid="{00000000-0005-0000-0000-0000A0A10000}"/>
    <cellStyle name="Normal 393 11" xfId="40499" xr:uid="{00000000-0005-0000-0000-0000A1A10000}"/>
    <cellStyle name="Normal 393 2" xfId="40500" xr:uid="{00000000-0005-0000-0000-0000A2A10000}"/>
    <cellStyle name="Normal 393 2 2" xfId="40501" xr:uid="{00000000-0005-0000-0000-0000A3A10000}"/>
    <cellStyle name="Normal 393 2 2 2" xfId="40502" xr:uid="{00000000-0005-0000-0000-0000A4A10000}"/>
    <cellStyle name="Normal 393 2 2 2 2" xfId="40503" xr:uid="{00000000-0005-0000-0000-0000A5A10000}"/>
    <cellStyle name="Normal 393 2 2 2 2 2" xfId="40504" xr:uid="{00000000-0005-0000-0000-0000A6A10000}"/>
    <cellStyle name="Normal 393 2 2 2 2 3" xfId="40505" xr:uid="{00000000-0005-0000-0000-0000A7A10000}"/>
    <cellStyle name="Normal 393 2 2 2 3" xfId="40506" xr:uid="{00000000-0005-0000-0000-0000A8A10000}"/>
    <cellStyle name="Normal 393 2 2 2 3 2" xfId="40507" xr:uid="{00000000-0005-0000-0000-0000A9A10000}"/>
    <cellStyle name="Normal 393 2 2 2 3 3" xfId="40508" xr:uid="{00000000-0005-0000-0000-0000AAA10000}"/>
    <cellStyle name="Normal 393 2 2 2 4" xfId="40509" xr:uid="{00000000-0005-0000-0000-0000ABA10000}"/>
    <cellStyle name="Normal 393 2 2 2 5" xfId="40510" xr:uid="{00000000-0005-0000-0000-0000ACA10000}"/>
    <cellStyle name="Normal 393 2 2 2 6" xfId="40511" xr:uid="{00000000-0005-0000-0000-0000ADA10000}"/>
    <cellStyle name="Normal 393 2 2 3" xfId="40512" xr:uid="{00000000-0005-0000-0000-0000AEA10000}"/>
    <cellStyle name="Normal 393 2 2 3 2" xfId="40513" xr:uid="{00000000-0005-0000-0000-0000AFA10000}"/>
    <cellStyle name="Normal 393 2 2 3 3" xfId="40514" xr:uid="{00000000-0005-0000-0000-0000B0A10000}"/>
    <cellStyle name="Normal 393 2 2 4" xfId="40515" xr:uid="{00000000-0005-0000-0000-0000B1A10000}"/>
    <cellStyle name="Normal 393 2 2 4 2" xfId="40516" xr:uid="{00000000-0005-0000-0000-0000B2A10000}"/>
    <cellStyle name="Normal 393 2 2 4 3" xfId="40517" xr:uid="{00000000-0005-0000-0000-0000B3A10000}"/>
    <cellStyle name="Normal 393 2 2 5" xfId="40518" xr:uid="{00000000-0005-0000-0000-0000B4A10000}"/>
    <cellStyle name="Normal 393 2 2 6" xfId="40519" xr:uid="{00000000-0005-0000-0000-0000B5A10000}"/>
    <cellStyle name="Normal 393 2 2 7" xfId="40520" xr:uid="{00000000-0005-0000-0000-0000B6A10000}"/>
    <cellStyle name="Normal 393 2 2 8" xfId="40521" xr:uid="{00000000-0005-0000-0000-0000B7A10000}"/>
    <cellStyle name="Normal 393 2 3" xfId="40522" xr:uid="{00000000-0005-0000-0000-0000B8A10000}"/>
    <cellStyle name="Normal 393 2 3 2" xfId="40523" xr:uid="{00000000-0005-0000-0000-0000B9A10000}"/>
    <cellStyle name="Normal 393 2 3 2 2" xfId="40524" xr:uid="{00000000-0005-0000-0000-0000BAA10000}"/>
    <cellStyle name="Normal 393 2 3 2 3" xfId="40525" xr:uid="{00000000-0005-0000-0000-0000BBA10000}"/>
    <cellStyle name="Normal 393 2 3 3" xfId="40526" xr:uid="{00000000-0005-0000-0000-0000BCA10000}"/>
    <cellStyle name="Normal 393 2 3 3 2" xfId="40527" xr:uid="{00000000-0005-0000-0000-0000BDA10000}"/>
    <cellStyle name="Normal 393 2 3 3 3" xfId="40528" xr:uid="{00000000-0005-0000-0000-0000BEA10000}"/>
    <cellStyle name="Normal 393 2 3 4" xfId="40529" xr:uid="{00000000-0005-0000-0000-0000BFA10000}"/>
    <cellStyle name="Normal 393 2 3 5" xfId="40530" xr:uid="{00000000-0005-0000-0000-0000C0A10000}"/>
    <cellStyle name="Normal 393 2 3 6" xfId="40531" xr:uid="{00000000-0005-0000-0000-0000C1A10000}"/>
    <cellStyle name="Normal 393 2 4" xfId="40532" xr:uid="{00000000-0005-0000-0000-0000C2A10000}"/>
    <cellStyle name="Normal 393 2 4 2" xfId="40533" xr:uid="{00000000-0005-0000-0000-0000C3A10000}"/>
    <cellStyle name="Normal 393 2 4 3" xfId="40534" xr:uid="{00000000-0005-0000-0000-0000C4A10000}"/>
    <cellStyle name="Normal 393 2 5" xfId="40535" xr:uid="{00000000-0005-0000-0000-0000C5A10000}"/>
    <cellStyle name="Normal 393 2 5 2" xfId="40536" xr:uid="{00000000-0005-0000-0000-0000C6A10000}"/>
    <cellStyle name="Normal 393 2 5 3" xfId="40537" xr:uid="{00000000-0005-0000-0000-0000C7A10000}"/>
    <cellStyle name="Normal 393 2 6" xfId="40538" xr:uid="{00000000-0005-0000-0000-0000C8A10000}"/>
    <cellStyle name="Normal 393 2 7" xfId="40539" xr:uid="{00000000-0005-0000-0000-0000C9A10000}"/>
    <cellStyle name="Normal 393 2 8" xfId="40540" xr:uid="{00000000-0005-0000-0000-0000CAA10000}"/>
    <cellStyle name="Normal 393 2 9" xfId="40541" xr:uid="{00000000-0005-0000-0000-0000CBA10000}"/>
    <cellStyle name="Normal 393 3" xfId="40542" xr:uid="{00000000-0005-0000-0000-0000CCA10000}"/>
    <cellStyle name="Normal 393 3 2" xfId="40543" xr:uid="{00000000-0005-0000-0000-0000CDA10000}"/>
    <cellStyle name="Normal 393 3 2 2" xfId="40544" xr:uid="{00000000-0005-0000-0000-0000CEA10000}"/>
    <cellStyle name="Normal 393 3 2 2 2" xfId="40545" xr:uid="{00000000-0005-0000-0000-0000CFA10000}"/>
    <cellStyle name="Normal 393 3 2 2 3" xfId="40546" xr:uid="{00000000-0005-0000-0000-0000D0A10000}"/>
    <cellStyle name="Normal 393 3 2 3" xfId="40547" xr:uid="{00000000-0005-0000-0000-0000D1A10000}"/>
    <cellStyle name="Normal 393 3 2 3 2" xfId="40548" xr:uid="{00000000-0005-0000-0000-0000D2A10000}"/>
    <cellStyle name="Normal 393 3 2 3 3" xfId="40549" xr:uid="{00000000-0005-0000-0000-0000D3A10000}"/>
    <cellStyle name="Normal 393 3 2 4" xfId="40550" xr:uid="{00000000-0005-0000-0000-0000D4A10000}"/>
    <cellStyle name="Normal 393 3 2 5" xfId="40551" xr:uid="{00000000-0005-0000-0000-0000D5A10000}"/>
    <cellStyle name="Normal 393 3 2 6" xfId="40552" xr:uid="{00000000-0005-0000-0000-0000D6A10000}"/>
    <cellStyle name="Normal 393 3 3" xfId="40553" xr:uid="{00000000-0005-0000-0000-0000D7A10000}"/>
    <cellStyle name="Normal 393 3 3 2" xfId="40554" xr:uid="{00000000-0005-0000-0000-0000D8A10000}"/>
    <cellStyle name="Normal 393 3 3 3" xfId="40555" xr:uid="{00000000-0005-0000-0000-0000D9A10000}"/>
    <cellStyle name="Normal 393 3 4" xfId="40556" xr:uid="{00000000-0005-0000-0000-0000DAA10000}"/>
    <cellStyle name="Normal 393 3 4 2" xfId="40557" xr:uid="{00000000-0005-0000-0000-0000DBA10000}"/>
    <cellStyle name="Normal 393 3 4 3" xfId="40558" xr:uid="{00000000-0005-0000-0000-0000DCA10000}"/>
    <cellStyle name="Normal 393 3 5" xfId="40559" xr:uid="{00000000-0005-0000-0000-0000DDA10000}"/>
    <cellStyle name="Normal 393 3 6" xfId="40560" xr:uid="{00000000-0005-0000-0000-0000DEA10000}"/>
    <cellStyle name="Normal 393 3 7" xfId="40561" xr:uid="{00000000-0005-0000-0000-0000DFA10000}"/>
    <cellStyle name="Normal 393 3 8" xfId="40562" xr:uid="{00000000-0005-0000-0000-0000E0A10000}"/>
    <cellStyle name="Normal 393 4" xfId="40563" xr:uid="{00000000-0005-0000-0000-0000E1A10000}"/>
    <cellStyle name="Normal 393 4 2" xfId="40564" xr:uid="{00000000-0005-0000-0000-0000E2A10000}"/>
    <cellStyle name="Normal 393 4 2 2" xfId="40565" xr:uid="{00000000-0005-0000-0000-0000E3A10000}"/>
    <cellStyle name="Normal 393 4 2 3" xfId="40566" xr:uid="{00000000-0005-0000-0000-0000E4A10000}"/>
    <cellStyle name="Normal 393 4 3" xfId="40567" xr:uid="{00000000-0005-0000-0000-0000E5A10000}"/>
    <cellStyle name="Normal 393 4 3 2" xfId="40568" xr:uid="{00000000-0005-0000-0000-0000E6A10000}"/>
    <cellStyle name="Normal 393 4 3 3" xfId="40569" xr:uid="{00000000-0005-0000-0000-0000E7A10000}"/>
    <cellStyle name="Normal 393 4 4" xfId="40570" xr:uid="{00000000-0005-0000-0000-0000E8A10000}"/>
    <cellStyle name="Normal 393 4 5" xfId="40571" xr:uid="{00000000-0005-0000-0000-0000E9A10000}"/>
    <cellStyle name="Normal 393 4 6" xfId="40572" xr:uid="{00000000-0005-0000-0000-0000EAA10000}"/>
    <cellStyle name="Normal 393 5" xfId="40573" xr:uid="{00000000-0005-0000-0000-0000EBA10000}"/>
    <cellStyle name="Normal 393 5 2" xfId="40574" xr:uid="{00000000-0005-0000-0000-0000ECA10000}"/>
    <cellStyle name="Normal 393 5 3" xfId="40575" xr:uid="{00000000-0005-0000-0000-0000EDA10000}"/>
    <cellStyle name="Normal 393 6" xfId="40576" xr:uid="{00000000-0005-0000-0000-0000EEA10000}"/>
    <cellStyle name="Normal 393 6 2" xfId="40577" xr:uid="{00000000-0005-0000-0000-0000EFA10000}"/>
    <cellStyle name="Normal 393 6 3" xfId="40578" xr:uid="{00000000-0005-0000-0000-0000F0A10000}"/>
    <cellStyle name="Normal 393 7" xfId="40579" xr:uid="{00000000-0005-0000-0000-0000F1A10000}"/>
    <cellStyle name="Normal 393 8" xfId="40580" xr:uid="{00000000-0005-0000-0000-0000F2A10000}"/>
    <cellStyle name="Normal 393 9" xfId="40581" xr:uid="{00000000-0005-0000-0000-0000F3A10000}"/>
    <cellStyle name="Normal 394" xfId="3323" xr:uid="{00000000-0005-0000-0000-0000F4A10000}"/>
    <cellStyle name="Normal 394 10" xfId="40582" xr:uid="{00000000-0005-0000-0000-0000F5A10000}"/>
    <cellStyle name="Normal 394 11" xfId="40583" xr:uid="{00000000-0005-0000-0000-0000F6A10000}"/>
    <cellStyle name="Normal 394 2" xfId="40584" xr:uid="{00000000-0005-0000-0000-0000F7A10000}"/>
    <cellStyle name="Normal 394 2 2" xfId="40585" xr:uid="{00000000-0005-0000-0000-0000F8A10000}"/>
    <cellStyle name="Normal 394 2 2 2" xfId="40586" xr:uid="{00000000-0005-0000-0000-0000F9A10000}"/>
    <cellStyle name="Normal 394 2 2 2 2" xfId="40587" xr:uid="{00000000-0005-0000-0000-0000FAA10000}"/>
    <cellStyle name="Normal 394 2 2 2 2 2" xfId="40588" xr:uid="{00000000-0005-0000-0000-0000FBA10000}"/>
    <cellStyle name="Normal 394 2 2 2 2 3" xfId="40589" xr:uid="{00000000-0005-0000-0000-0000FCA10000}"/>
    <cellStyle name="Normal 394 2 2 2 3" xfId="40590" xr:uid="{00000000-0005-0000-0000-0000FDA10000}"/>
    <cellStyle name="Normal 394 2 2 2 3 2" xfId="40591" xr:uid="{00000000-0005-0000-0000-0000FEA10000}"/>
    <cellStyle name="Normal 394 2 2 2 3 3" xfId="40592" xr:uid="{00000000-0005-0000-0000-0000FFA10000}"/>
    <cellStyle name="Normal 394 2 2 2 4" xfId="40593" xr:uid="{00000000-0005-0000-0000-000000A20000}"/>
    <cellStyle name="Normal 394 2 2 2 5" xfId="40594" xr:uid="{00000000-0005-0000-0000-000001A20000}"/>
    <cellStyle name="Normal 394 2 2 2 6" xfId="40595" xr:uid="{00000000-0005-0000-0000-000002A20000}"/>
    <cellStyle name="Normal 394 2 2 3" xfId="40596" xr:uid="{00000000-0005-0000-0000-000003A20000}"/>
    <cellStyle name="Normal 394 2 2 3 2" xfId="40597" xr:uid="{00000000-0005-0000-0000-000004A20000}"/>
    <cellStyle name="Normal 394 2 2 3 3" xfId="40598" xr:uid="{00000000-0005-0000-0000-000005A20000}"/>
    <cellStyle name="Normal 394 2 2 4" xfId="40599" xr:uid="{00000000-0005-0000-0000-000006A20000}"/>
    <cellStyle name="Normal 394 2 2 4 2" xfId="40600" xr:uid="{00000000-0005-0000-0000-000007A20000}"/>
    <cellStyle name="Normal 394 2 2 4 3" xfId="40601" xr:uid="{00000000-0005-0000-0000-000008A20000}"/>
    <cellStyle name="Normal 394 2 2 5" xfId="40602" xr:uid="{00000000-0005-0000-0000-000009A20000}"/>
    <cellStyle name="Normal 394 2 2 6" xfId="40603" xr:uid="{00000000-0005-0000-0000-00000AA20000}"/>
    <cellStyle name="Normal 394 2 2 7" xfId="40604" xr:uid="{00000000-0005-0000-0000-00000BA20000}"/>
    <cellStyle name="Normal 394 2 2 8" xfId="40605" xr:uid="{00000000-0005-0000-0000-00000CA20000}"/>
    <cellStyle name="Normal 394 2 3" xfId="40606" xr:uid="{00000000-0005-0000-0000-00000DA20000}"/>
    <cellStyle name="Normal 394 2 3 2" xfId="40607" xr:uid="{00000000-0005-0000-0000-00000EA20000}"/>
    <cellStyle name="Normal 394 2 3 2 2" xfId="40608" xr:uid="{00000000-0005-0000-0000-00000FA20000}"/>
    <cellStyle name="Normal 394 2 3 2 3" xfId="40609" xr:uid="{00000000-0005-0000-0000-000010A20000}"/>
    <cellStyle name="Normal 394 2 3 3" xfId="40610" xr:uid="{00000000-0005-0000-0000-000011A20000}"/>
    <cellStyle name="Normal 394 2 3 3 2" xfId="40611" xr:uid="{00000000-0005-0000-0000-000012A20000}"/>
    <cellStyle name="Normal 394 2 3 3 3" xfId="40612" xr:uid="{00000000-0005-0000-0000-000013A20000}"/>
    <cellStyle name="Normal 394 2 3 4" xfId="40613" xr:uid="{00000000-0005-0000-0000-000014A20000}"/>
    <cellStyle name="Normal 394 2 3 5" xfId="40614" xr:uid="{00000000-0005-0000-0000-000015A20000}"/>
    <cellStyle name="Normal 394 2 3 6" xfId="40615" xr:uid="{00000000-0005-0000-0000-000016A20000}"/>
    <cellStyle name="Normal 394 2 4" xfId="40616" xr:uid="{00000000-0005-0000-0000-000017A20000}"/>
    <cellStyle name="Normal 394 2 4 2" xfId="40617" xr:uid="{00000000-0005-0000-0000-000018A20000}"/>
    <cellStyle name="Normal 394 2 4 3" xfId="40618" xr:uid="{00000000-0005-0000-0000-000019A20000}"/>
    <cellStyle name="Normal 394 2 5" xfId="40619" xr:uid="{00000000-0005-0000-0000-00001AA20000}"/>
    <cellStyle name="Normal 394 2 5 2" xfId="40620" xr:uid="{00000000-0005-0000-0000-00001BA20000}"/>
    <cellStyle name="Normal 394 2 5 3" xfId="40621" xr:uid="{00000000-0005-0000-0000-00001CA20000}"/>
    <cellStyle name="Normal 394 2 6" xfId="40622" xr:uid="{00000000-0005-0000-0000-00001DA20000}"/>
    <cellStyle name="Normal 394 2 7" xfId="40623" xr:uid="{00000000-0005-0000-0000-00001EA20000}"/>
    <cellStyle name="Normal 394 2 8" xfId="40624" xr:uid="{00000000-0005-0000-0000-00001FA20000}"/>
    <cellStyle name="Normal 394 2 9" xfId="40625" xr:uid="{00000000-0005-0000-0000-000020A20000}"/>
    <cellStyle name="Normal 394 3" xfId="40626" xr:uid="{00000000-0005-0000-0000-000021A20000}"/>
    <cellStyle name="Normal 394 3 2" xfId="40627" xr:uid="{00000000-0005-0000-0000-000022A20000}"/>
    <cellStyle name="Normal 394 3 2 2" xfId="40628" xr:uid="{00000000-0005-0000-0000-000023A20000}"/>
    <cellStyle name="Normal 394 3 2 2 2" xfId="40629" xr:uid="{00000000-0005-0000-0000-000024A20000}"/>
    <cellStyle name="Normal 394 3 2 2 3" xfId="40630" xr:uid="{00000000-0005-0000-0000-000025A20000}"/>
    <cellStyle name="Normal 394 3 2 3" xfId="40631" xr:uid="{00000000-0005-0000-0000-000026A20000}"/>
    <cellStyle name="Normal 394 3 2 3 2" xfId="40632" xr:uid="{00000000-0005-0000-0000-000027A20000}"/>
    <cellStyle name="Normal 394 3 2 3 3" xfId="40633" xr:uid="{00000000-0005-0000-0000-000028A20000}"/>
    <cellStyle name="Normal 394 3 2 4" xfId="40634" xr:uid="{00000000-0005-0000-0000-000029A20000}"/>
    <cellStyle name="Normal 394 3 2 5" xfId="40635" xr:uid="{00000000-0005-0000-0000-00002AA20000}"/>
    <cellStyle name="Normal 394 3 2 6" xfId="40636" xr:uid="{00000000-0005-0000-0000-00002BA20000}"/>
    <cellStyle name="Normal 394 3 3" xfId="40637" xr:uid="{00000000-0005-0000-0000-00002CA20000}"/>
    <cellStyle name="Normal 394 3 3 2" xfId="40638" xr:uid="{00000000-0005-0000-0000-00002DA20000}"/>
    <cellStyle name="Normal 394 3 3 3" xfId="40639" xr:uid="{00000000-0005-0000-0000-00002EA20000}"/>
    <cellStyle name="Normal 394 3 4" xfId="40640" xr:uid="{00000000-0005-0000-0000-00002FA20000}"/>
    <cellStyle name="Normal 394 3 4 2" xfId="40641" xr:uid="{00000000-0005-0000-0000-000030A20000}"/>
    <cellStyle name="Normal 394 3 4 3" xfId="40642" xr:uid="{00000000-0005-0000-0000-000031A20000}"/>
    <cellStyle name="Normal 394 3 5" xfId="40643" xr:uid="{00000000-0005-0000-0000-000032A20000}"/>
    <cellStyle name="Normal 394 3 6" xfId="40644" xr:uid="{00000000-0005-0000-0000-000033A20000}"/>
    <cellStyle name="Normal 394 3 7" xfId="40645" xr:uid="{00000000-0005-0000-0000-000034A20000}"/>
    <cellStyle name="Normal 394 3 8" xfId="40646" xr:uid="{00000000-0005-0000-0000-000035A20000}"/>
    <cellStyle name="Normal 394 4" xfId="40647" xr:uid="{00000000-0005-0000-0000-000036A20000}"/>
    <cellStyle name="Normal 394 4 2" xfId="40648" xr:uid="{00000000-0005-0000-0000-000037A20000}"/>
    <cellStyle name="Normal 394 4 2 2" xfId="40649" xr:uid="{00000000-0005-0000-0000-000038A20000}"/>
    <cellStyle name="Normal 394 4 2 3" xfId="40650" xr:uid="{00000000-0005-0000-0000-000039A20000}"/>
    <cellStyle name="Normal 394 4 3" xfId="40651" xr:uid="{00000000-0005-0000-0000-00003AA20000}"/>
    <cellStyle name="Normal 394 4 3 2" xfId="40652" xr:uid="{00000000-0005-0000-0000-00003BA20000}"/>
    <cellStyle name="Normal 394 4 3 3" xfId="40653" xr:uid="{00000000-0005-0000-0000-00003CA20000}"/>
    <cellStyle name="Normal 394 4 4" xfId="40654" xr:uid="{00000000-0005-0000-0000-00003DA20000}"/>
    <cellStyle name="Normal 394 4 5" xfId="40655" xr:uid="{00000000-0005-0000-0000-00003EA20000}"/>
    <cellStyle name="Normal 394 4 6" xfId="40656" xr:uid="{00000000-0005-0000-0000-00003FA20000}"/>
    <cellStyle name="Normal 394 5" xfId="40657" xr:uid="{00000000-0005-0000-0000-000040A20000}"/>
    <cellStyle name="Normal 394 5 2" xfId="40658" xr:uid="{00000000-0005-0000-0000-000041A20000}"/>
    <cellStyle name="Normal 394 5 3" xfId="40659" xr:uid="{00000000-0005-0000-0000-000042A20000}"/>
    <cellStyle name="Normal 394 6" xfId="40660" xr:uid="{00000000-0005-0000-0000-000043A20000}"/>
    <cellStyle name="Normal 394 6 2" xfId="40661" xr:uid="{00000000-0005-0000-0000-000044A20000}"/>
    <cellStyle name="Normal 394 6 3" xfId="40662" xr:uid="{00000000-0005-0000-0000-000045A20000}"/>
    <cellStyle name="Normal 394 7" xfId="40663" xr:uid="{00000000-0005-0000-0000-000046A20000}"/>
    <cellStyle name="Normal 394 8" xfId="40664" xr:uid="{00000000-0005-0000-0000-000047A20000}"/>
    <cellStyle name="Normal 394 9" xfId="40665" xr:uid="{00000000-0005-0000-0000-000048A20000}"/>
    <cellStyle name="Normal 395" xfId="3324" xr:uid="{00000000-0005-0000-0000-000049A20000}"/>
    <cellStyle name="Normal 395 10" xfId="40666" xr:uid="{00000000-0005-0000-0000-00004AA20000}"/>
    <cellStyle name="Normal 395 11" xfId="40667" xr:uid="{00000000-0005-0000-0000-00004BA20000}"/>
    <cellStyle name="Normal 395 2" xfId="40668" xr:uid="{00000000-0005-0000-0000-00004CA20000}"/>
    <cellStyle name="Normal 395 2 2" xfId="40669" xr:uid="{00000000-0005-0000-0000-00004DA20000}"/>
    <cellStyle name="Normal 395 2 2 2" xfId="40670" xr:uid="{00000000-0005-0000-0000-00004EA20000}"/>
    <cellStyle name="Normal 395 2 2 2 2" xfId="40671" xr:uid="{00000000-0005-0000-0000-00004FA20000}"/>
    <cellStyle name="Normal 395 2 2 2 2 2" xfId="40672" xr:uid="{00000000-0005-0000-0000-000050A20000}"/>
    <cellStyle name="Normal 395 2 2 2 2 3" xfId="40673" xr:uid="{00000000-0005-0000-0000-000051A20000}"/>
    <cellStyle name="Normal 395 2 2 2 3" xfId="40674" xr:uid="{00000000-0005-0000-0000-000052A20000}"/>
    <cellStyle name="Normal 395 2 2 2 3 2" xfId="40675" xr:uid="{00000000-0005-0000-0000-000053A20000}"/>
    <cellStyle name="Normal 395 2 2 2 3 3" xfId="40676" xr:uid="{00000000-0005-0000-0000-000054A20000}"/>
    <cellStyle name="Normal 395 2 2 2 4" xfId="40677" xr:uid="{00000000-0005-0000-0000-000055A20000}"/>
    <cellStyle name="Normal 395 2 2 2 5" xfId="40678" xr:uid="{00000000-0005-0000-0000-000056A20000}"/>
    <cellStyle name="Normal 395 2 2 2 6" xfId="40679" xr:uid="{00000000-0005-0000-0000-000057A20000}"/>
    <cellStyle name="Normal 395 2 2 3" xfId="40680" xr:uid="{00000000-0005-0000-0000-000058A20000}"/>
    <cellStyle name="Normal 395 2 2 3 2" xfId="40681" xr:uid="{00000000-0005-0000-0000-000059A20000}"/>
    <cellStyle name="Normal 395 2 2 3 3" xfId="40682" xr:uid="{00000000-0005-0000-0000-00005AA20000}"/>
    <cellStyle name="Normal 395 2 2 4" xfId="40683" xr:uid="{00000000-0005-0000-0000-00005BA20000}"/>
    <cellStyle name="Normal 395 2 2 4 2" xfId="40684" xr:uid="{00000000-0005-0000-0000-00005CA20000}"/>
    <cellStyle name="Normal 395 2 2 4 3" xfId="40685" xr:uid="{00000000-0005-0000-0000-00005DA20000}"/>
    <cellStyle name="Normal 395 2 2 5" xfId="40686" xr:uid="{00000000-0005-0000-0000-00005EA20000}"/>
    <cellStyle name="Normal 395 2 2 6" xfId="40687" xr:uid="{00000000-0005-0000-0000-00005FA20000}"/>
    <cellStyle name="Normal 395 2 2 7" xfId="40688" xr:uid="{00000000-0005-0000-0000-000060A20000}"/>
    <cellStyle name="Normal 395 2 2 8" xfId="40689" xr:uid="{00000000-0005-0000-0000-000061A20000}"/>
    <cellStyle name="Normal 395 2 3" xfId="40690" xr:uid="{00000000-0005-0000-0000-000062A20000}"/>
    <cellStyle name="Normal 395 2 3 2" xfId="40691" xr:uid="{00000000-0005-0000-0000-000063A20000}"/>
    <cellStyle name="Normal 395 2 3 2 2" xfId="40692" xr:uid="{00000000-0005-0000-0000-000064A20000}"/>
    <cellStyle name="Normal 395 2 3 2 3" xfId="40693" xr:uid="{00000000-0005-0000-0000-000065A20000}"/>
    <cellStyle name="Normal 395 2 3 3" xfId="40694" xr:uid="{00000000-0005-0000-0000-000066A20000}"/>
    <cellStyle name="Normal 395 2 3 3 2" xfId="40695" xr:uid="{00000000-0005-0000-0000-000067A20000}"/>
    <cellStyle name="Normal 395 2 3 3 3" xfId="40696" xr:uid="{00000000-0005-0000-0000-000068A20000}"/>
    <cellStyle name="Normal 395 2 3 4" xfId="40697" xr:uid="{00000000-0005-0000-0000-000069A20000}"/>
    <cellStyle name="Normal 395 2 3 5" xfId="40698" xr:uid="{00000000-0005-0000-0000-00006AA20000}"/>
    <cellStyle name="Normal 395 2 3 6" xfId="40699" xr:uid="{00000000-0005-0000-0000-00006BA20000}"/>
    <cellStyle name="Normal 395 2 4" xfId="40700" xr:uid="{00000000-0005-0000-0000-00006CA20000}"/>
    <cellStyle name="Normal 395 2 4 2" xfId="40701" xr:uid="{00000000-0005-0000-0000-00006DA20000}"/>
    <cellStyle name="Normal 395 2 4 3" xfId="40702" xr:uid="{00000000-0005-0000-0000-00006EA20000}"/>
    <cellStyle name="Normal 395 2 5" xfId="40703" xr:uid="{00000000-0005-0000-0000-00006FA20000}"/>
    <cellStyle name="Normal 395 2 5 2" xfId="40704" xr:uid="{00000000-0005-0000-0000-000070A20000}"/>
    <cellStyle name="Normal 395 2 5 3" xfId="40705" xr:uid="{00000000-0005-0000-0000-000071A20000}"/>
    <cellStyle name="Normal 395 2 6" xfId="40706" xr:uid="{00000000-0005-0000-0000-000072A20000}"/>
    <cellStyle name="Normal 395 2 7" xfId="40707" xr:uid="{00000000-0005-0000-0000-000073A20000}"/>
    <cellStyle name="Normal 395 2 8" xfId="40708" xr:uid="{00000000-0005-0000-0000-000074A20000}"/>
    <cellStyle name="Normal 395 2 9" xfId="40709" xr:uid="{00000000-0005-0000-0000-000075A20000}"/>
    <cellStyle name="Normal 395 3" xfId="40710" xr:uid="{00000000-0005-0000-0000-000076A20000}"/>
    <cellStyle name="Normal 395 3 2" xfId="40711" xr:uid="{00000000-0005-0000-0000-000077A20000}"/>
    <cellStyle name="Normal 395 3 2 2" xfId="40712" xr:uid="{00000000-0005-0000-0000-000078A20000}"/>
    <cellStyle name="Normal 395 3 2 2 2" xfId="40713" xr:uid="{00000000-0005-0000-0000-000079A20000}"/>
    <cellStyle name="Normal 395 3 2 2 3" xfId="40714" xr:uid="{00000000-0005-0000-0000-00007AA20000}"/>
    <cellStyle name="Normal 395 3 2 3" xfId="40715" xr:uid="{00000000-0005-0000-0000-00007BA20000}"/>
    <cellStyle name="Normal 395 3 2 3 2" xfId="40716" xr:uid="{00000000-0005-0000-0000-00007CA20000}"/>
    <cellStyle name="Normal 395 3 2 3 3" xfId="40717" xr:uid="{00000000-0005-0000-0000-00007DA20000}"/>
    <cellStyle name="Normal 395 3 2 4" xfId="40718" xr:uid="{00000000-0005-0000-0000-00007EA20000}"/>
    <cellStyle name="Normal 395 3 2 5" xfId="40719" xr:uid="{00000000-0005-0000-0000-00007FA20000}"/>
    <cellStyle name="Normal 395 3 2 6" xfId="40720" xr:uid="{00000000-0005-0000-0000-000080A20000}"/>
    <cellStyle name="Normal 395 3 3" xfId="40721" xr:uid="{00000000-0005-0000-0000-000081A20000}"/>
    <cellStyle name="Normal 395 3 3 2" xfId="40722" xr:uid="{00000000-0005-0000-0000-000082A20000}"/>
    <cellStyle name="Normal 395 3 3 3" xfId="40723" xr:uid="{00000000-0005-0000-0000-000083A20000}"/>
    <cellStyle name="Normal 395 3 4" xfId="40724" xr:uid="{00000000-0005-0000-0000-000084A20000}"/>
    <cellStyle name="Normal 395 3 4 2" xfId="40725" xr:uid="{00000000-0005-0000-0000-000085A20000}"/>
    <cellStyle name="Normal 395 3 4 3" xfId="40726" xr:uid="{00000000-0005-0000-0000-000086A20000}"/>
    <cellStyle name="Normal 395 3 5" xfId="40727" xr:uid="{00000000-0005-0000-0000-000087A20000}"/>
    <cellStyle name="Normal 395 3 6" xfId="40728" xr:uid="{00000000-0005-0000-0000-000088A20000}"/>
    <cellStyle name="Normal 395 3 7" xfId="40729" xr:uid="{00000000-0005-0000-0000-000089A20000}"/>
    <cellStyle name="Normal 395 3 8" xfId="40730" xr:uid="{00000000-0005-0000-0000-00008AA20000}"/>
    <cellStyle name="Normal 395 4" xfId="40731" xr:uid="{00000000-0005-0000-0000-00008BA20000}"/>
    <cellStyle name="Normal 395 4 2" xfId="40732" xr:uid="{00000000-0005-0000-0000-00008CA20000}"/>
    <cellStyle name="Normal 395 4 2 2" xfId="40733" xr:uid="{00000000-0005-0000-0000-00008DA20000}"/>
    <cellStyle name="Normal 395 4 2 3" xfId="40734" xr:uid="{00000000-0005-0000-0000-00008EA20000}"/>
    <cellStyle name="Normal 395 4 3" xfId="40735" xr:uid="{00000000-0005-0000-0000-00008FA20000}"/>
    <cellStyle name="Normal 395 4 3 2" xfId="40736" xr:uid="{00000000-0005-0000-0000-000090A20000}"/>
    <cellStyle name="Normal 395 4 3 3" xfId="40737" xr:uid="{00000000-0005-0000-0000-000091A20000}"/>
    <cellStyle name="Normal 395 4 4" xfId="40738" xr:uid="{00000000-0005-0000-0000-000092A20000}"/>
    <cellStyle name="Normal 395 4 5" xfId="40739" xr:uid="{00000000-0005-0000-0000-000093A20000}"/>
    <cellStyle name="Normal 395 4 6" xfId="40740" xr:uid="{00000000-0005-0000-0000-000094A20000}"/>
    <cellStyle name="Normal 395 5" xfId="40741" xr:uid="{00000000-0005-0000-0000-000095A20000}"/>
    <cellStyle name="Normal 395 5 2" xfId="40742" xr:uid="{00000000-0005-0000-0000-000096A20000}"/>
    <cellStyle name="Normal 395 5 3" xfId="40743" xr:uid="{00000000-0005-0000-0000-000097A20000}"/>
    <cellStyle name="Normal 395 6" xfId="40744" xr:uid="{00000000-0005-0000-0000-000098A20000}"/>
    <cellStyle name="Normal 395 6 2" xfId="40745" xr:uid="{00000000-0005-0000-0000-000099A20000}"/>
    <cellStyle name="Normal 395 6 3" xfId="40746" xr:uid="{00000000-0005-0000-0000-00009AA20000}"/>
    <cellStyle name="Normal 395 7" xfId="40747" xr:uid="{00000000-0005-0000-0000-00009BA20000}"/>
    <cellStyle name="Normal 395 8" xfId="40748" xr:uid="{00000000-0005-0000-0000-00009CA20000}"/>
    <cellStyle name="Normal 395 9" xfId="40749" xr:uid="{00000000-0005-0000-0000-00009DA20000}"/>
    <cellStyle name="Normal 396" xfId="3325" xr:uid="{00000000-0005-0000-0000-00009EA20000}"/>
    <cellStyle name="Normal 396 10" xfId="40750" xr:uid="{00000000-0005-0000-0000-00009FA20000}"/>
    <cellStyle name="Normal 396 11" xfId="40751" xr:uid="{00000000-0005-0000-0000-0000A0A20000}"/>
    <cellStyle name="Normal 396 2" xfId="40752" xr:uid="{00000000-0005-0000-0000-0000A1A20000}"/>
    <cellStyle name="Normal 396 2 2" xfId="40753" xr:uid="{00000000-0005-0000-0000-0000A2A20000}"/>
    <cellStyle name="Normal 396 2 2 2" xfId="40754" xr:uid="{00000000-0005-0000-0000-0000A3A20000}"/>
    <cellStyle name="Normal 396 2 2 2 2" xfId="40755" xr:uid="{00000000-0005-0000-0000-0000A4A20000}"/>
    <cellStyle name="Normal 396 2 2 2 2 2" xfId="40756" xr:uid="{00000000-0005-0000-0000-0000A5A20000}"/>
    <cellStyle name="Normal 396 2 2 2 2 3" xfId="40757" xr:uid="{00000000-0005-0000-0000-0000A6A20000}"/>
    <cellStyle name="Normal 396 2 2 2 3" xfId="40758" xr:uid="{00000000-0005-0000-0000-0000A7A20000}"/>
    <cellStyle name="Normal 396 2 2 2 3 2" xfId="40759" xr:uid="{00000000-0005-0000-0000-0000A8A20000}"/>
    <cellStyle name="Normal 396 2 2 2 3 3" xfId="40760" xr:uid="{00000000-0005-0000-0000-0000A9A20000}"/>
    <cellStyle name="Normal 396 2 2 2 4" xfId="40761" xr:uid="{00000000-0005-0000-0000-0000AAA20000}"/>
    <cellStyle name="Normal 396 2 2 2 5" xfId="40762" xr:uid="{00000000-0005-0000-0000-0000ABA20000}"/>
    <cellStyle name="Normal 396 2 2 2 6" xfId="40763" xr:uid="{00000000-0005-0000-0000-0000ACA20000}"/>
    <cellStyle name="Normal 396 2 2 3" xfId="40764" xr:uid="{00000000-0005-0000-0000-0000ADA20000}"/>
    <cellStyle name="Normal 396 2 2 3 2" xfId="40765" xr:uid="{00000000-0005-0000-0000-0000AEA20000}"/>
    <cellStyle name="Normal 396 2 2 3 3" xfId="40766" xr:uid="{00000000-0005-0000-0000-0000AFA20000}"/>
    <cellStyle name="Normal 396 2 2 4" xfId="40767" xr:uid="{00000000-0005-0000-0000-0000B0A20000}"/>
    <cellStyle name="Normal 396 2 2 4 2" xfId="40768" xr:uid="{00000000-0005-0000-0000-0000B1A20000}"/>
    <cellStyle name="Normal 396 2 2 4 3" xfId="40769" xr:uid="{00000000-0005-0000-0000-0000B2A20000}"/>
    <cellStyle name="Normal 396 2 2 5" xfId="40770" xr:uid="{00000000-0005-0000-0000-0000B3A20000}"/>
    <cellStyle name="Normal 396 2 2 6" xfId="40771" xr:uid="{00000000-0005-0000-0000-0000B4A20000}"/>
    <cellStyle name="Normal 396 2 2 7" xfId="40772" xr:uid="{00000000-0005-0000-0000-0000B5A20000}"/>
    <cellStyle name="Normal 396 2 2 8" xfId="40773" xr:uid="{00000000-0005-0000-0000-0000B6A20000}"/>
    <cellStyle name="Normal 396 2 3" xfId="40774" xr:uid="{00000000-0005-0000-0000-0000B7A20000}"/>
    <cellStyle name="Normal 396 2 3 2" xfId="40775" xr:uid="{00000000-0005-0000-0000-0000B8A20000}"/>
    <cellStyle name="Normal 396 2 3 2 2" xfId="40776" xr:uid="{00000000-0005-0000-0000-0000B9A20000}"/>
    <cellStyle name="Normal 396 2 3 2 3" xfId="40777" xr:uid="{00000000-0005-0000-0000-0000BAA20000}"/>
    <cellStyle name="Normal 396 2 3 3" xfId="40778" xr:uid="{00000000-0005-0000-0000-0000BBA20000}"/>
    <cellStyle name="Normal 396 2 3 3 2" xfId="40779" xr:uid="{00000000-0005-0000-0000-0000BCA20000}"/>
    <cellStyle name="Normal 396 2 3 3 3" xfId="40780" xr:uid="{00000000-0005-0000-0000-0000BDA20000}"/>
    <cellStyle name="Normal 396 2 3 4" xfId="40781" xr:uid="{00000000-0005-0000-0000-0000BEA20000}"/>
    <cellStyle name="Normal 396 2 3 5" xfId="40782" xr:uid="{00000000-0005-0000-0000-0000BFA20000}"/>
    <cellStyle name="Normal 396 2 3 6" xfId="40783" xr:uid="{00000000-0005-0000-0000-0000C0A20000}"/>
    <cellStyle name="Normal 396 2 4" xfId="40784" xr:uid="{00000000-0005-0000-0000-0000C1A20000}"/>
    <cellStyle name="Normal 396 2 4 2" xfId="40785" xr:uid="{00000000-0005-0000-0000-0000C2A20000}"/>
    <cellStyle name="Normal 396 2 4 3" xfId="40786" xr:uid="{00000000-0005-0000-0000-0000C3A20000}"/>
    <cellStyle name="Normal 396 2 5" xfId="40787" xr:uid="{00000000-0005-0000-0000-0000C4A20000}"/>
    <cellStyle name="Normal 396 2 5 2" xfId="40788" xr:uid="{00000000-0005-0000-0000-0000C5A20000}"/>
    <cellStyle name="Normal 396 2 5 3" xfId="40789" xr:uid="{00000000-0005-0000-0000-0000C6A20000}"/>
    <cellStyle name="Normal 396 2 6" xfId="40790" xr:uid="{00000000-0005-0000-0000-0000C7A20000}"/>
    <cellStyle name="Normal 396 2 7" xfId="40791" xr:uid="{00000000-0005-0000-0000-0000C8A20000}"/>
    <cellStyle name="Normal 396 2 8" xfId="40792" xr:uid="{00000000-0005-0000-0000-0000C9A20000}"/>
    <cellStyle name="Normal 396 2 9" xfId="40793" xr:uid="{00000000-0005-0000-0000-0000CAA20000}"/>
    <cellStyle name="Normal 396 3" xfId="40794" xr:uid="{00000000-0005-0000-0000-0000CBA20000}"/>
    <cellStyle name="Normal 396 3 2" xfId="40795" xr:uid="{00000000-0005-0000-0000-0000CCA20000}"/>
    <cellStyle name="Normal 396 3 2 2" xfId="40796" xr:uid="{00000000-0005-0000-0000-0000CDA20000}"/>
    <cellStyle name="Normal 396 3 2 2 2" xfId="40797" xr:uid="{00000000-0005-0000-0000-0000CEA20000}"/>
    <cellStyle name="Normal 396 3 2 2 3" xfId="40798" xr:uid="{00000000-0005-0000-0000-0000CFA20000}"/>
    <cellStyle name="Normal 396 3 2 3" xfId="40799" xr:uid="{00000000-0005-0000-0000-0000D0A20000}"/>
    <cellStyle name="Normal 396 3 2 3 2" xfId="40800" xr:uid="{00000000-0005-0000-0000-0000D1A20000}"/>
    <cellStyle name="Normal 396 3 2 3 3" xfId="40801" xr:uid="{00000000-0005-0000-0000-0000D2A20000}"/>
    <cellStyle name="Normal 396 3 2 4" xfId="40802" xr:uid="{00000000-0005-0000-0000-0000D3A20000}"/>
    <cellStyle name="Normal 396 3 2 5" xfId="40803" xr:uid="{00000000-0005-0000-0000-0000D4A20000}"/>
    <cellStyle name="Normal 396 3 2 6" xfId="40804" xr:uid="{00000000-0005-0000-0000-0000D5A20000}"/>
    <cellStyle name="Normal 396 3 3" xfId="40805" xr:uid="{00000000-0005-0000-0000-0000D6A20000}"/>
    <cellStyle name="Normal 396 3 3 2" xfId="40806" xr:uid="{00000000-0005-0000-0000-0000D7A20000}"/>
    <cellStyle name="Normal 396 3 3 3" xfId="40807" xr:uid="{00000000-0005-0000-0000-0000D8A20000}"/>
    <cellStyle name="Normal 396 3 4" xfId="40808" xr:uid="{00000000-0005-0000-0000-0000D9A20000}"/>
    <cellStyle name="Normal 396 3 4 2" xfId="40809" xr:uid="{00000000-0005-0000-0000-0000DAA20000}"/>
    <cellStyle name="Normal 396 3 4 3" xfId="40810" xr:uid="{00000000-0005-0000-0000-0000DBA20000}"/>
    <cellStyle name="Normal 396 3 5" xfId="40811" xr:uid="{00000000-0005-0000-0000-0000DCA20000}"/>
    <cellStyle name="Normal 396 3 6" xfId="40812" xr:uid="{00000000-0005-0000-0000-0000DDA20000}"/>
    <cellStyle name="Normal 396 3 7" xfId="40813" xr:uid="{00000000-0005-0000-0000-0000DEA20000}"/>
    <cellStyle name="Normal 396 3 8" xfId="40814" xr:uid="{00000000-0005-0000-0000-0000DFA20000}"/>
    <cellStyle name="Normal 396 4" xfId="40815" xr:uid="{00000000-0005-0000-0000-0000E0A20000}"/>
    <cellStyle name="Normal 396 4 2" xfId="40816" xr:uid="{00000000-0005-0000-0000-0000E1A20000}"/>
    <cellStyle name="Normal 396 4 2 2" xfId="40817" xr:uid="{00000000-0005-0000-0000-0000E2A20000}"/>
    <cellStyle name="Normal 396 4 2 3" xfId="40818" xr:uid="{00000000-0005-0000-0000-0000E3A20000}"/>
    <cellStyle name="Normal 396 4 3" xfId="40819" xr:uid="{00000000-0005-0000-0000-0000E4A20000}"/>
    <cellStyle name="Normal 396 4 3 2" xfId="40820" xr:uid="{00000000-0005-0000-0000-0000E5A20000}"/>
    <cellStyle name="Normal 396 4 3 3" xfId="40821" xr:uid="{00000000-0005-0000-0000-0000E6A20000}"/>
    <cellStyle name="Normal 396 4 4" xfId="40822" xr:uid="{00000000-0005-0000-0000-0000E7A20000}"/>
    <cellStyle name="Normal 396 4 5" xfId="40823" xr:uid="{00000000-0005-0000-0000-0000E8A20000}"/>
    <cellStyle name="Normal 396 4 6" xfId="40824" xr:uid="{00000000-0005-0000-0000-0000E9A20000}"/>
    <cellStyle name="Normal 396 5" xfId="40825" xr:uid="{00000000-0005-0000-0000-0000EAA20000}"/>
    <cellStyle name="Normal 396 5 2" xfId="40826" xr:uid="{00000000-0005-0000-0000-0000EBA20000}"/>
    <cellStyle name="Normal 396 5 3" xfId="40827" xr:uid="{00000000-0005-0000-0000-0000ECA20000}"/>
    <cellStyle name="Normal 396 6" xfId="40828" xr:uid="{00000000-0005-0000-0000-0000EDA20000}"/>
    <cellStyle name="Normal 396 6 2" xfId="40829" xr:uid="{00000000-0005-0000-0000-0000EEA20000}"/>
    <cellStyle name="Normal 396 6 3" xfId="40830" xr:uid="{00000000-0005-0000-0000-0000EFA20000}"/>
    <cellStyle name="Normal 396 7" xfId="40831" xr:uid="{00000000-0005-0000-0000-0000F0A20000}"/>
    <cellStyle name="Normal 396 8" xfId="40832" xr:uid="{00000000-0005-0000-0000-0000F1A20000}"/>
    <cellStyle name="Normal 396 9" xfId="40833" xr:uid="{00000000-0005-0000-0000-0000F2A20000}"/>
    <cellStyle name="Normal 397" xfId="3326" xr:uid="{00000000-0005-0000-0000-0000F3A20000}"/>
    <cellStyle name="Normal 397 10" xfId="40834" xr:uid="{00000000-0005-0000-0000-0000F4A20000}"/>
    <cellStyle name="Normal 397 11" xfId="40835" xr:uid="{00000000-0005-0000-0000-0000F5A20000}"/>
    <cellStyle name="Normal 397 2" xfId="40836" xr:uid="{00000000-0005-0000-0000-0000F6A20000}"/>
    <cellStyle name="Normal 397 2 2" xfId="40837" xr:uid="{00000000-0005-0000-0000-0000F7A20000}"/>
    <cellStyle name="Normal 397 2 2 2" xfId="40838" xr:uid="{00000000-0005-0000-0000-0000F8A20000}"/>
    <cellStyle name="Normal 397 2 2 2 2" xfId="40839" xr:uid="{00000000-0005-0000-0000-0000F9A20000}"/>
    <cellStyle name="Normal 397 2 2 2 2 2" xfId="40840" xr:uid="{00000000-0005-0000-0000-0000FAA20000}"/>
    <cellStyle name="Normal 397 2 2 2 2 3" xfId="40841" xr:uid="{00000000-0005-0000-0000-0000FBA20000}"/>
    <cellStyle name="Normal 397 2 2 2 3" xfId="40842" xr:uid="{00000000-0005-0000-0000-0000FCA20000}"/>
    <cellStyle name="Normal 397 2 2 2 3 2" xfId="40843" xr:uid="{00000000-0005-0000-0000-0000FDA20000}"/>
    <cellStyle name="Normal 397 2 2 2 3 3" xfId="40844" xr:uid="{00000000-0005-0000-0000-0000FEA20000}"/>
    <cellStyle name="Normal 397 2 2 2 4" xfId="40845" xr:uid="{00000000-0005-0000-0000-0000FFA20000}"/>
    <cellStyle name="Normal 397 2 2 2 5" xfId="40846" xr:uid="{00000000-0005-0000-0000-000000A30000}"/>
    <cellStyle name="Normal 397 2 2 2 6" xfId="40847" xr:uid="{00000000-0005-0000-0000-000001A30000}"/>
    <cellStyle name="Normal 397 2 2 3" xfId="40848" xr:uid="{00000000-0005-0000-0000-000002A30000}"/>
    <cellStyle name="Normal 397 2 2 3 2" xfId="40849" xr:uid="{00000000-0005-0000-0000-000003A30000}"/>
    <cellStyle name="Normal 397 2 2 3 3" xfId="40850" xr:uid="{00000000-0005-0000-0000-000004A30000}"/>
    <cellStyle name="Normal 397 2 2 4" xfId="40851" xr:uid="{00000000-0005-0000-0000-000005A30000}"/>
    <cellStyle name="Normal 397 2 2 4 2" xfId="40852" xr:uid="{00000000-0005-0000-0000-000006A30000}"/>
    <cellStyle name="Normal 397 2 2 4 3" xfId="40853" xr:uid="{00000000-0005-0000-0000-000007A30000}"/>
    <cellStyle name="Normal 397 2 2 5" xfId="40854" xr:uid="{00000000-0005-0000-0000-000008A30000}"/>
    <cellStyle name="Normal 397 2 2 6" xfId="40855" xr:uid="{00000000-0005-0000-0000-000009A30000}"/>
    <cellStyle name="Normal 397 2 2 7" xfId="40856" xr:uid="{00000000-0005-0000-0000-00000AA30000}"/>
    <cellStyle name="Normal 397 2 2 8" xfId="40857" xr:uid="{00000000-0005-0000-0000-00000BA30000}"/>
    <cellStyle name="Normal 397 2 3" xfId="40858" xr:uid="{00000000-0005-0000-0000-00000CA30000}"/>
    <cellStyle name="Normal 397 2 3 2" xfId="40859" xr:uid="{00000000-0005-0000-0000-00000DA30000}"/>
    <cellStyle name="Normal 397 2 3 2 2" xfId="40860" xr:uid="{00000000-0005-0000-0000-00000EA30000}"/>
    <cellStyle name="Normal 397 2 3 2 3" xfId="40861" xr:uid="{00000000-0005-0000-0000-00000FA30000}"/>
    <cellStyle name="Normal 397 2 3 3" xfId="40862" xr:uid="{00000000-0005-0000-0000-000010A30000}"/>
    <cellStyle name="Normal 397 2 3 3 2" xfId="40863" xr:uid="{00000000-0005-0000-0000-000011A30000}"/>
    <cellStyle name="Normal 397 2 3 3 3" xfId="40864" xr:uid="{00000000-0005-0000-0000-000012A30000}"/>
    <cellStyle name="Normal 397 2 3 4" xfId="40865" xr:uid="{00000000-0005-0000-0000-000013A30000}"/>
    <cellStyle name="Normal 397 2 3 5" xfId="40866" xr:uid="{00000000-0005-0000-0000-000014A30000}"/>
    <cellStyle name="Normal 397 2 3 6" xfId="40867" xr:uid="{00000000-0005-0000-0000-000015A30000}"/>
    <cellStyle name="Normal 397 2 4" xfId="40868" xr:uid="{00000000-0005-0000-0000-000016A30000}"/>
    <cellStyle name="Normal 397 2 4 2" xfId="40869" xr:uid="{00000000-0005-0000-0000-000017A30000}"/>
    <cellStyle name="Normal 397 2 4 3" xfId="40870" xr:uid="{00000000-0005-0000-0000-000018A30000}"/>
    <cellStyle name="Normal 397 2 5" xfId="40871" xr:uid="{00000000-0005-0000-0000-000019A30000}"/>
    <cellStyle name="Normal 397 2 5 2" xfId="40872" xr:uid="{00000000-0005-0000-0000-00001AA30000}"/>
    <cellStyle name="Normal 397 2 5 3" xfId="40873" xr:uid="{00000000-0005-0000-0000-00001BA30000}"/>
    <cellStyle name="Normal 397 2 6" xfId="40874" xr:uid="{00000000-0005-0000-0000-00001CA30000}"/>
    <cellStyle name="Normal 397 2 7" xfId="40875" xr:uid="{00000000-0005-0000-0000-00001DA30000}"/>
    <cellStyle name="Normal 397 2 8" xfId="40876" xr:uid="{00000000-0005-0000-0000-00001EA30000}"/>
    <cellStyle name="Normal 397 2 9" xfId="40877" xr:uid="{00000000-0005-0000-0000-00001FA30000}"/>
    <cellStyle name="Normal 397 3" xfId="40878" xr:uid="{00000000-0005-0000-0000-000020A30000}"/>
    <cellStyle name="Normal 397 3 2" xfId="40879" xr:uid="{00000000-0005-0000-0000-000021A30000}"/>
    <cellStyle name="Normal 397 3 2 2" xfId="40880" xr:uid="{00000000-0005-0000-0000-000022A30000}"/>
    <cellStyle name="Normal 397 3 2 2 2" xfId="40881" xr:uid="{00000000-0005-0000-0000-000023A30000}"/>
    <cellStyle name="Normal 397 3 2 2 3" xfId="40882" xr:uid="{00000000-0005-0000-0000-000024A30000}"/>
    <cellStyle name="Normal 397 3 2 3" xfId="40883" xr:uid="{00000000-0005-0000-0000-000025A30000}"/>
    <cellStyle name="Normal 397 3 2 3 2" xfId="40884" xr:uid="{00000000-0005-0000-0000-000026A30000}"/>
    <cellStyle name="Normal 397 3 2 3 3" xfId="40885" xr:uid="{00000000-0005-0000-0000-000027A30000}"/>
    <cellStyle name="Normal 397 3 2 4" xfId="40886" xr:uid="{00000000-0005-0000-0000-000028A30000}"/>
    <cellStyle name="Normal 397 3 2 5" xfId="40887" xr:uid="{00000000-0005-0000-0000-000029A30000}"/>
    <cellStyle name="Normal 397 3 2 6" xfId="40888" xr:uid="{00000000-0005-0000-0000-00002AA30000}"/>
    <cellStyle name="Normal 397 3 3" xfId="40889" xr:uid="{00000000-0005-0000-0000-00002BA30000}"/>
    <cellStyle name="Normal 397 3 3 2" xfId="40890" xr:uid="{00000000-0005-0000-0000-00002CA30000}"/>
    <cellStyle name="Normal 397 3 3 3" xfId="40891" xr:uid="{00000000-0005-0000-0000-00002DA30000}"/>
    <cellStyle name="Normal 397 3 4" xfId="40892" xr:uid="{00000000-0005-0000-0000-00002EA30000}"/>
    <cellStyle name="Normal 397 3 4 2" xfId="40893" xr:uid="{00000000-0005-0000-0000-00002FA30000}"/>
    <cellStyle name="Normal 397 3 4 3" xfId="40894" xr:uid="{00000000-0005-0000-0000-000030A30000}"/>
    <cellStyle name="Normal 397 3 5" xfId="40895" xr:uid="{00000000-0005-0000-0000-000031A30000}"/>
    <cellStyle name="Normal 397 3 6" xfId="40896" xr:uid="{00000000-0005-0000-0000-000032A30000}"/>
    <cellStyle name="Normal 397 3 7" xfId="40897" xr:uid="{00000000-0005-0000-0000-000033A30000}"/>
    <cellStyle name="Normal 397 3 8" xfId="40898" xr:uid="{00000000-0005-0000-0000-000034A30000}"/>
    <cellStyle name="Normal 397 4" xfId="40899" xr:uid="{00000000-0005-0000-0000-000035A30000}"/>
    <cellStyle name="Normal 397 4 2" xfId="40900" xr:uid="{00000000-0005-0000-0000-000036A30000}"/>
    <cellStyle name="Normal 397 4 2 2" xfId="40901" xr:uid="{00000000-0005-0000-0000-000037A30000}"/>
    <cellStyle name="Normal 397 4 2 3" xfId="40902" xr:uid="{00000000-0005-0000-0000-000038A30000}"/>
    <cellStyle name="Normal 397 4 3" xfId="40903" xr:uid="{00000000-0005-0000-0000-000039A30000}"/>
    <cellStyle name="Normal 397 4 3 2" xfId="40904" xr:uid="{00000000-0005-0000-0000-00003AA30000}"/>
    <cellStyle name="Normal 397 4 3 3" xfId="40905" xr:uid="{00000000-0005-0000-0000-00003BA30000}"/>
    <cellStyle name="Normal 397 4 4" xfId="40906" xr:uid="{00000000-0005-0000-0000-00003CA30000}"/>
    <cellStyle name="Normal 397 4 5" xfId="40907" xr:uid="{00000000-0005-0000-0000-00003DA30000}"/>
    <cellStyle name="Normal 397 4 6" xfId="40908" xr:uid="{00000000-0005-0000-0000-00003EA30000}"/>
    <cellStyle name="Normal 397 5" xfId="40909" xr:uid="{00000000-0005-0000-0000-00003FA30000}"/>
    <cellStyle name="Normal 397 5 2" xfId="40910" xr:uid="{00000000-0005-0000-0000-000040A30000}"/>
    <cellStyle name="Normal 397 5 3" xfId="40911" xr:uid="{00000000-0005-0000-0000-000041A30000}"/>
    <cellStyle name="Normal 397 6" xfId="40912" xr:uid="{00000000-0005-0000-0000-000042A30000}"/>
    <cellStyle name="Normal 397 6 2" xfId="40913" xr:uid="{00000000-0005-0000-0000-000043A30000}"/>
    <cellStyle name="Normal 397 6 3" xfId="40914" xr:uid="{00000000-0005-0000-0000-000044A30000}"/>
    <cellStyle name="Normal 397 7" xfId="40915" xr:uid="{00000000-0005-0000-0000-000045A30000}"/>
    <cellStyle name="Normal 397 8" xfId="40916" xr:uid="{00000000-0005-0000-0000-000046A30000}"/>
    <cellStyle name="Normal 397 9" xfId="40917" xr:uid="{00000000-0005-0000-0000-000047A30000}"/>
    <cellStyle name="Normal 398" xfId="3327" xr:uid="{00000000-0005-0000-0000-000048A30000}"/>
    <cellStyle name="Normal 398 10" xfId="40918" xr:uid="{00000000-0005-0000-0000-000049A30000}"/>
    <cellStyle name="Normal 398 11" xfId="40919" xr:uid="{00000000-0005-0000-0000-00004AA30000}"/>
    <cellStyle name="Normal 398 2" xfId="40920" xr:uid="{00000000-0005-0000-0000-00004BA30000}"/>
    <cellStyle name="Normal 398 2 2" xfId="40921" xr:uid="{00000000-0005-0000-0000-00004CA30000}"/>
    <cellStyle name="Normal 398 2 2 2" xfId="40922" xr:uid="{00000000-0005-0000-0000-00004DA30000}"/>
    <cellStyle name="Normal 398 2 2 2 2" xfId="40923" xr:uid="{00000000-0005-0000-0000-00004EA30000}"/>
    <cellStyle name="Normal 398 2 2 2 2 2" xfId="40924" xr:uid="{00000000-0005-0000-0000-00004FA30000}"/>
    <cellStyle name="Normal 398 2 2 2 2 3" xfId="40925" xr:uid="{00000000-0005-0000-0000-000050A30000}"/>
    <cellStyle name="Normal 398 2 2 2 3" xfId="40926" xr:uid="{00000000-0005-0000-0000-000051A30000}"/>
    <cellStyle name="Normal 398 2 2 2 3 2" xfId="40927" xr:uid="{00000000-0005-0000-0000-000052A30000}"/>
    <cellStyle name="Normal 398 2 2 2 3 3" xfId="40928" xr:uid="{00000000-0005-0000-0000-000053A30000}"/>
    <cellStyle name="Normal 398 2 2 2 4" xfId="40929" xr:uid="{00000000-0005-0000-0000-000054A30000}"/>
    <cellStyle name="Normal 398 2 2 2 5" xfId="40930" xr:uid="{00000000-0005-0000-0000-000055A30000}"/>
    <cellStyle name="Normal 398 2 2 2 6" xfId="40931" xr:uid="{00000000-0005-0000-0000-000056A30000}"/>
    <cellStyle name="Normal 398 2 2 3" xfId="40932" xr:uid="{00000000-0005-0000-0000-000057A30000}"/>
    <cellStyle name="Normal 398 2 2 3 2" xfId="40933" xr:uid="{00000000-0005-0000-0000-000058A30000}"/>
    <cellStyle name="Normal 398 2 2 3 3" xfId="40934" xr:uid="{00000000-0005-0000-0000-000059A30000}"/>
    <cellStyle name="Normal 398 2 2 4" xfId="40935" xr:uid="{00000000-0005-0000-0000-00005AA30000}"/>
    <cellStyle name="Normal 398 2 2 4 2" xfId="40936" xr:uid="{00000000-0005-0000-0000-00005BA30000}"/>
    <cellStyle name="Normal 398 2 2 4 3" xfId="40937" xr:uid="{00000000-0005-0000-0000-00005CA30000}"/>
    <cellStyle name="Normal 398 2 2 5" xfId="40938" xr:uid="{00000000-0005-0000-0000-00005DA30000}"/>
    <cellStyle name="Normal 398 2 2 6" xfId="40939" xr:uid="{00000000-0005-0000-0000-00005EA30000}"/>
    <cellStyle name="Normal 398 2 2 7" xfId="40940" xr:uid="{00000000-0005-0000-0000-00005FA30000}"/>
    <cellStyle name="Normal 398 2 2 8" xfId="40941" xr:uid="{00000000-0005-0000-0000-000060A30000}"/>
    <cellStyle name="Normal 398 2 3" xfId="40942" xr:uid="{00000000-0005-0000-0000-000061A30000}"/>
    <cellStyle name="Normal 398 2 3 2" xfId="40943" xr:uid="{00000000-0005-0000-0000-000062A30000}"/>
    <cellStyle name="Normal 398 2 3 2 2" xfId="40944" xr:uid="{00000000-0005-0000-0000-000063A30000}"/>
    <cellStyle name="Normal 398 2 3 2 3" xfId="40945" xr:uid="{00000000-0005-0000-0000-000064A30000}"/>
    <cellStyle name="Normal 398 2 3 3" xfId="40946" xr:uid="{00000000-0005-0000-0000-000065A30000}"/>
    <cellStyle name="Normal 398 2 3 3 2" xfId="40947" xr:uid="{00000000-0005-0000-0000-000066A30000}"/>
    <cellStyle name="Normal 398 2 3 3 3" xfId="40948" xr:uid="{00000000-0005-0000-0000-000067A30000}"/>
    <cellStyle name="Normal 398 2 3 4" xfId="40949" xr:uid="{00000000-0005-0000-0000-000068A30000}"/>
    <cellStyle name="Normal 398 2 3 5" xfId="40950" xr:uid="{00000000-0005-0000-0000-000069A30000}"/>
    <cellStyle name="Normal 398 2 3 6" xfId="40951" xr:uid="{00000000-0005-0000-0000-00006AA30000}"/>
    <cellStyle name="Normal 398 2 4" xfId="40952" xr:uid="{00000000-0005-0000-0000-00006BA30000}"/>
    <cellStyle name="Normal 398 2 4 2" xfId="40953" xr:uid="{00000000-0005-0000-0000-00006CA30000}"/>
    <cellStyle name="Normal 398 2 4 3" xfId="40954" xr:uid="{00000000-0005-0000-0000-00006DA30000}"/>
    <cellStyle name="Normal 398 2 5" xfId="40955" xr:uid="{00000000-0005-0000-0000-00006EA30000}"/>
    <cellStyle name="Normal 398 2 5 2" xfId="40956" xr:uid="{00000000-0005-0000-0000-00006FA30000}"/>
    <cellStyle name="Normal 398 2 5 3" xfId="40957" xr:uid="{00000000-0005-0000-0000-000070A30000}"/>
    <cellStyle name="Normal 398 2 6" xfId="40958" xr:uid="{00000000-0005-0000-0000-000071A30000}"/>
    <cellStyle name="Normal 398 2 7" xfId="40959" xr:uid="{00000000-0005-0000-0000-000072A30000}"/>
    <cellStyle name="Normal 398 2 8" xfId="40960" xr:uid="{00000000-0005-0000-0000-000073A30000}"/>
    <cellStyle name="Normal 398 2 9" xfId="40961" xr:uid="{00000000-0005-0000-0000-000074A30000}"/>
    <cellStyle name="Normal 398 3" xfId="40962" xr:uid="{00000000-0005-0000-0000-000075A30000}"/>
    <cellStyle name="Normal 398 3 2" xfId="40963" xr:uid="{00000000-0005-0000-0000-000076A30000}"/>
    <cellStyle name="Normal 398 3 2 2" xfId="40964" xr:uid="{00000000-0005-0000-0000-000077A30000}"/>
    <cellStyle name="Normal 398 3 2 2 2" xfId="40965" xr:uid="{00000000-0005-0000-0000-000078A30000}"/>
    <cellStyle name="Normal 398 3 2 2 3" xfId="40966" xr:uid="{00000000-0005-0000-0000-000079A30000}"/>
    <cellStyle name="Normal 398 3 2 3" xfId="40967" xr:uid="{00000000-0005-0000-0000-00007AA30000}"/>
    <cellStyle name="Normal 398 3 2 3 2" xfId="40968" xr:uid="{00000000-0005-0000-0000-00007BA30000}"/>
    <cellStyle name="Normal 398 3 2 3 3" xfId="40969" xr:uid="{00000000-0005-0000-0000-00007CA30000}"/>
    <cellStyle name="Normal 398 3 2 4" xfId="40970" xr:uid="{00000000-0005-0000-0000-00007DA30000}"/>
    <cellStyle name="Normal 398 3 2 5" xfId="40971" xr:uid="{00000000-0005-0000-0000-00007EA30000}"/>
    <cellStyle name="Normal 398 3 2 6" xfId="40972" xr:uid="{00000000-0005-0000-0000-00007FA30000}"/>
    <cellStyle name="Normal 398 3 3" xfId="40973" xr:uid="{00000000-0005-0000-0000-000080A30000}"/>
    <cellStyle name="Normal 398 3 3 2" xfId="40974" xr:uid="{00000000-0005-0000-0000-000081A30000}"/>
    <cellStyle name="Normal 398 3 3 3" xfId="40975" xr:uid="{00000000-0005-0000-0000-000082A30000}"/>
    <cellStyle name="Normal 398 3 4" xfId="40976" xr:uid="{00000000-0005-0000-0000-000083A30000}"/>
    <cellStyle name="Normal 398 3 4 2" xfId="40977" xr:uid="{00000000-0005-0000-0000-000084A30000}"/>
    <cellStyle name="Normal 398 3 4 3" xfId="40978" xr:uid="{00000000-0005-0000-0000-000085A30000}"/>
    <cellStyle name="Normal 398 3 5" xfId="40979" xr:uid="{00000000-0005-0000-0000-000086A30000}"/>
    <cellStyle name="Normal 398 3 6" xfId="40980" xr:uid="{00000000-0005-0000-0000-000087A30000}"/>
    <cellStyle name="Normal 398 3 7" xfId="40981" xr:uid="{00000000-0005-0000-0000-000088A30000}"/>
    <cellStyle name="Normal 398 3 8" xfId="40982" xr:uid="{00000000-0005-0000-0000-000089A30000}"/>
    <cellStyle name="Normal 398 4" xfId="40983" xr:uid="{00000000-0005-0000-0000-00008AA30000}"/>
    <cellStyle name="Normal 398 4 2" xfId="40984" xr:uid="{00000000-0005-0000-0000-00008BA30000}"/>
    <cellStyle name="Normal 398 4 2 2" xfId="40985" xr:uid="{00000000-0005-0000-0000-00008CA30000}"/>
    <cellStyle name="Normal 398 4 2 3" xfId="40986" xr:uid="{00000000-0005-0000-0000-00008DA30000}"/>
    <cellStyle name="Normal 398 4 3" xfId="40987" xr:uid="{00000000-0005-0000-0000-00008EA30000}"/>
    <cellStyle name="Normal 398 4 3 2" xfId="40988" xr:uid="{00000000-0005-0000-0000-00008FA30000}"/>
    <cellStyle name="Normal 398 4 3 3" xfId="40989" xr:uid="{00000000-0005-0000-0000-000090A30000}"/>
    <cellStyle name="Normal 398 4 4" xfId="40990" xr:uid="{00000000-0005-0000-0000-000091A30000}"/>
    <cellStyle name="Normal 398 4 5" xfId="40991" xr:uid="{00000000-0005-0000-0000-000092A30000}"/>
    <cellStyle name="Normal 398 4 6" xfId="40992" xr:uid="{00000000-0005-0000-0000-000093A30000}"/>
    <cellStyle name="Normal 398 5" xfId="40993" xr:uid="{00000000-0005-0000-0000-000094A30000}"/>
    <cellStyle name="Normal 398 5 2" xfId="40994" xr:uid="{00000000-0005-0000-0000-000095A30000}"/>
    <cellStyle name="Normal 398 5 3" xfId="40995" xr:uid="{00000000-0005-0000-0000-000096A30000}"/>
    <cellStyle name="Normal 398 6" xfId="40996" xr:uid="{00000000-0005-0000-0000-000097A30000}"/>
    <cellStyle name="Normal 398 6 2" xfId="40997" xr:uid="{00000000-0005-0000-0000-000098A30000}"/>
    <cellStyle name="Normal 398 6 3" xfId="40998" xr:uid="{00000000-0005-0000-0000-000099A30000}"/>
    <cellStyle name="Normal 398 7" xfId="40999" xr:uid="{00000000-0005-0000-0000-00009AA30000}"/>
    <cellStyle name="Normal 398 8" xfId="41000" xr:uid="{00000000-0005-0000-0000-00009BA30000}"/>
    <cellStyle name="Normal 398 9" xfId="41001" xr:uid="{00000000-0005-0000-0000-00009CA30000}"/>
    <cellStyle name="Normal 399" xfId="3328" xr:uid="{00000000-0005-0000-0000-00009DA30000}"/>
    <cellStyle name="Normal 399 10" xfId="41002" xr:uid="{00000000-0005-0000-0000-00009EA30000}"/>
    <cellStyle name="Normal 399 11" xfId="41003" xr:uid="{00000000-0005-0000-0000-00009FA30000}"/>
    <cellStyle name="Normal 399 2" xfId="3329" xr:uid="{00000000-0005-0000-0000-0000A0A30000}"/>
    <cellStyle name="Normal 399 2 10" xfId="41004" xr:uid="{00000000-0005-0000-0000-0000A1A30000}"/>
    <cellStyle name="Normal 399 2 2" xfId="41005" xr:uid="{00000000-0005-0000-0000-0000A2A30000}"/>
    <cellStyle name="Normal 399 2 2 2" xfId="41006" xr:uid="{00000000-0005-0000-0000-0000A3A30000}"/>
    <cellStyle name="Normal 399 2 2 2 2" xfId="41007" xr:uid="{00000000-0005-0000-0000-0000A4A30000}"/>
    <cellStyle name="Normal 399 2 2 2 2 2" xfId="41008" xr:uid="{00000000-0005-0000-0000-0000A5A30000}"/>
    <cellStyle name="Normal 399 2 2 2 2 3" xfId="41009" xr:uid="{00000000-0005-0000-0000-0000A6A30000}"/>
    <cellStyle name="Normal 399 2 2 2 3" xfId="41010" xr:uid="{00000000-0005-0000-0000-0000A7A30000}"/>
    <cellStyle name="Normal 399 2 2 2 3 2" xfId="41011" xr:uid="{00000000-0005-0000-0000-0000A8A30000}"/>
    <cellStyle name="Normal 399 2 2 2 3 3" xfId="41012" xr:uid="{00000000-0005-0000-0000-0000A9A30000}"/>
    <cellStyle name="Normal 399 2 2 2 4" xfId="41013" xr:uid="{00000000-0005-0000-0000-0000AAA30000}"/>
    <cellStyle name="Normal 399 2 2 2 5" xfId="41014" xr:uid="{00000000-0005-0000-0000-0000ABA30000}"/>
    <cellStyle name="Normal 399 2 2 2 6" xfId="41015" xr:uid="{00000000-0005-0000-0000-0000ACA30000}"/>
    <cellStyle name="Normal 399 2 2 3" xfId="41016" xr:uid="{00000000-0005-0000-0000-0000ADA30000}"/>
    <cellStyle name="Normal 399 2 2 3 2" xfId="41017" xr:uid="{00000000-0005-0000-0000-0000AEA30000}"/>
    <cellStyle name="Normal 399 2 2 3 3" xfId="41018" xr:uid="{00000000-0005-0000-0000-0000AFA30000}"/>
    <cellStyle name="Normal 399 2 2 4" xfId="41019" xr:uid="{00000000-0005-0000-0000-0000B0A30000}"/>
    <cellStyle name="Normal 399 2 2 4 2" xfId="41020" xr:uid="{00000000-0005-0000-0000-0000B1A30000}"/>
    <cellStyle name="Normal 399 2 2 4 3" xfId="41021" xr:uid="{00000000-0005-0000-0000-0000B2A30000}"/>
    <cellStyle name="Normal 399 2 2 5" xfId="41022" xr:uid="{00000000-0005-0000-0000-0000B3A30000}"/>
    <cellStyle name="Normal 399 2 2 6" xfId="41023" xr:uid="{00000000-0005-0000-0000-0000B4A30000}"/>
    <cellStyle name="Normal 399 2 2 7" xfId="41024" xr:uid="{00000000-0005-0000-0000-0000B5A30000}"/>
    <cellStyle name="Normal 399 2 2 8" xfId="41025" xr:uid="{00000000-0005-0000-0000-0000B6A30000}"/>
    <cellStyle name="Normal 399 2 3" xfId="41026" xr:uid="{00000000-0005-0000-0000-0000B7A30000}"/>
    <cellStyle name="Normal 399 2 3 2" xfId="41027" xr:uid="{00000000-0005-0000-0000-0000B8A30000}"/>
    <cellStyle name="Normal 399 2 3 2 2" xfId="41028" xr:uid="{00000000-0005-0000-0000-0000B9A30000}"/>
    <cellStyle name="Normal 399 2 3 2 3" xfId="41029" xr:uid="{00000000-0005-0000-0000-0000BAA30000}"/>
    <cellStyle name="Normal 399 2 3 3" xfId="41030" xr:uid="{00000000-0005-0000-0000-0000BBA30000}"/>
    <cellStyle name="Normal 399 2 3 3 2" xfId="41031" xr:uid="{00000000-0005-0000-0000-0000BCA30000}"/>
    <cellStyle name="Normal 399 2 3 3 3" xfId="41032" xr:uid="{00000000-0005-0000-0000-0000BDA30000}"/>
    <cellStyle name="Normal 399 2 3 4" xfId="41033" xr:uid="{00000000-0005-0000-0000-0000BEA30000}"/>
    <cellStyle name="Normal 399 2 3 5" xfId="41034" xr:uid="{00000000-0005-0000-0000-0000BFA30000}"/>
    <cellStyle name="Normal 399 2 3 6" xfId="41035" xr:uid="{00000000-0005-0000-0000-0000C0A30000}"/>
    <cellStyle name="Normal 399 2 4" xfId="41036" xr:uid="{00000000-0005-0000-0000-0000C1A30000}"/>
    <cellStyle name="Normal 399 2 4 2" xfId="41037" xr:uid="{00000000-0005-0000-0000-0000C2A30000}"/>
    <cellStyle name="Normal 399 2 4 3" xfId="41038" xr:uid="{00000000-0005-0000-0000-0000C3A30000}"/>
    <cellStyle name="Normal 399 2 5" xfId="41039" xr:uid="{00000000-0005-0000-0000-0000C4A30000}"/>
    <cellStyle name="Normal 399 2 5 2" xfId="41040" xr:uid="{00000000-0005-0000-0000-0000C5A30000}"/>
    <cellStyle name="Normal 399 2 5 3" xfId="41041" xr:uid="{00000000-0005-0000-0000-0000C6A30000}"/>
    <cellStyle name="Normal 399 2 6" xfId="41042" xr:uid="{00000000-0005-0000-0000-0000C7A30000}"/>
    <cellStyle name="Normal 399 2 7" xfId="41043" xr:uid="{00000000-0005-0000-0000-0000C8A30000}"/>
    <cellStyle name="Normal 399 2 8" xfId="41044" xr:uid="{00000000-0005-0000-0000-0000C9A30000}"/>
    <cellStyle name="Normal 399 2 9" xfId="41045" xr:uid="{00000000-0005-0000-0000-0000CAA30000}"/>
    <cellStyle name="Normal 399 3" xfId="41046" xr:uid="{00000000-0005-0000-0000-0000CBA30000}"/>
    <cellStyle name="Normal 399 3 2" xfId="41047" xr:uid="{00000000-0005-0000-0000-0000CCA30000}"/>
    <cellStyle name="Normal 399 3 2 2" xfId="41048" xr:uid="{00000000-0005-0000-0000-0000CDA30000}"/>
    <cellStyle name="Normal 399 3 2 2 2" xfId="41049" xr:uid="{00000000-0005-0000-0000-0000CEA30000}"/>
    <cellStyle name="Normal 399 3 2 2 3" xfId="41050" xr:uid="{00000000-0005-0000-0000-0000CFA30000}"/>
    <cellStyle name="Normal 399 3 2 3" xfId="41051" xr:uid="{00000000-0005-0000-0000-0000D0A30000}"/>
    <cellStyle name="Normal 399 3 2 3 2" xfId="41052" xr:uid="{00000000-0005-0000-0000-0000D1A30000}"/>
    <cellStyle name="Normal 399 3 2 3 3" xfId="41053" xr:uid="{00000000-0005-0000-0000-0000D2A30000}"/>
    <cellStyle name="Normal 399 3 2 4" xfId="41054" xr:uid="{00000000-0005-0000-0000-0000D3A30000}"/>
    <cellStyle name="Normal 399 3 2 5" xfId="41055" xr:uid="{00000000-0005-0000-0000-0000D4A30000}"/>
    <cellStyle name="Normal 399 3 2 6" xfId="41056" xr:uid="{00000000-0005-0000-0000-0000D5A30000}"/>
    <cellStyle name="Normal 399 3 3" xfId="41057" xr:uid="{00000000-0005-0000-0000-0000D6A30000}"/>
    <cellStyle name="Normal 399 3 3 2" xfId="41058" xr:uid="{00000000-0005-0000-0000-0000D7A30000}"/>
    <cellStyle name="Normal 399 3 3 3" xfId="41059" xr:uid="{00000000-0005-0000-0000-0000D8A30000}"/>
    <cellStyle name="Normal 399 3 4" xfId="41060" xr:uid="{00000000-0005-0000-0000-0000D9A30000}"/>
    <cellStyle name="Normal 399 3 4 2" xfId="41061" xr:uid="{00000000-0005-0000-0000-0000DAA30000}"/>
    <cellStyle name="Normal 399 3 4 3" xfId="41062" xr:uid="{00000000-0005-0000-0000-0000DBA30000}"/>
    <cellStyle name="Normal 399 3 5" xfId="41063" xr:uid="{00000000-0005-0000-0000-0000DCA30000}"/>
    <cellStyle name="Normal 399 3 6" xfId="41064" xr:uid="{00000000-0005-0000-0000-0000DDA30000}"/>
    <cellStyle name="Normal 399 3 7" xfId="41065" xr:uid="{00000000-0005-0000-0000-0000DEA30000}"/>
    <cellStyle name="Normal 399 3 8" xfId="41066" xr:uid="{00000000-0005-0000-0000-0000DFA30000}"/>
    <cellStyle name="Normal 399 4" xfId="41067" xr:uid="{00000000-0005-0000-0000-0000E0A30000}"/>
    <cellStyle name="Normal 399 4 2" xfId="41068" xr:uid="{00000000-0005-0000-0000-0000E1A30000}"/>
    <cellStyle name="Normal 399 4 2 2" xfId="41069" xr:uid="{00000000-0005-0000-0000-0000E2A30000}"/>
    <cellStyle name="Normal 399 4 2 3" xfId="41070" xr:uid="{00000000-0005-0000-0000-0000E3A30000}"/>
    <cellStyle name="Normal 399 4 3" xfId="41071" xr:uid="{00000000-0005-0000-0000-0000E4A30000}"/>
    <cellStyle name="Normal 399 4 3 2" xfId="41072" xr:uid="{00000000-0005-0000-0000-0000E5A30000}"/>
    <cellStyle name="Normal 399 4 3 3" xfId="41073" xr:uid="{00000000-0005-0000-0000-0000E6A30000}"/>
    <cellStyle name="Normal 399 4 4" xfId="41074" xr:uid="{00000000-0005-0000-0000-0000E7A30000}"/>
    <cellStyle name="Normal 399 4 5" xfId="41075" xr:uid="{00000000-0005-0000-0000-0000E8A30000}"/>
    <cellStyle name="Normal 399 4 6" xfId="41076" xr:uid="{00000000-0005-0000-0000-0000E9A30000}"/>
    <cellStyle name="Normal 399 5" xfId="41077" xr:uid="{00000000-0005-0000-0000-0000EAA30000}"/>
    <cellStyle name="Normal 399 5 2" xfId="41078" xr:uid="{00000000-0005-0000-0000-0000EBA30000}"/>
    <cellStyle name="Normal 399 5 3" xfId="41079" xr:uid="{00000000-0005-0000-0000-0000ECA30000}"/>
    <cellStyle name="Normal 399 6" xfId="41080" xr:uid="{00000000-0005-0000-0000-0000EDA30000}"/>
    <cellStyle name="Normal 399 6 2" xfId="41081" xr:uid="{00000000-0005-0000-0000-0000EEA30000}"/>
    <cellStyle name="Normal 399 6 3" xfId="41082" xr:uid="{00000000-0005-0000-0000-0000EFA30000}"/>
    <cellStyle name="Normal 399 7" xfId="41083" xr:uid="{00000000-0005-0000-0000-0000F0A30000}"/>
    <cellStyle name="Normal 399 8" xfId="41084" xr:uid="{00000000-0005-0000-0000-0000F1A30000}"/>
    <cellStyle name="Normal 399 9" xfId="41085" xr:uid="{00000000-0005-0000-0000-0000F2A30000}"/>
    <cellStyle name="Normal 4" xfId="3330" xr:uid="{00000000-0005-0000-0000-0000F3A30000}"/>
    <cellStyle name="Normal 4 10" xfId="54207" xr:uid="{00000000-0005-0000-0000-0000F4A30000}"/>
    <cellStyle name="Normal 4 11" xfId="54208" xr:uid="{00000000-0005-0000-0000-0000F5A30000}"/>
    <cellStyle name="Normal 4 2" xfId="3331" xr:uid="{00000000-0005-0000-0000-0000F6A30000}"/>
    <cellStyle name="Normal 4 2 10" xfId="54209" xr:uid="{00000000-0005-0000-0000-0000F7A30000}"/>
    <cellStyle name="Normal 4 2 2" xfId="3332" xr:uid="{00000000-0005-0000-0000-0000F8A30000}"/>
    <cellStyle name="Normal 4 2 2 2" xfId="3333" xr:uid="{00000000-0005-0000-0000-0000F9A30000}"/>
    <cellStyle name="Normal 4 2 2 2 2" xfId="3334" xr:uid="{00000000-0005-0000-0000-0000FAA30000}"/>
    <cellStyle name="Normal 4 2 2 2 2 2" xfId="3335" xr:uid="{00000000-0005-0000-0000-0000FBA30000}"/>
    <cellStyle name="Normal 4 2 2 2 2 2 2" xfId="3336" xr:uid="{00000000-0005-0000-0000-0000FCA30000}"/>
    <cellStyle name="Normal 4 2 2 2 2 2 2 2" xfId="54210" xr:uid="{00000000-0005-0000-0000-0000FDA30000}"/>
    <cellStyle name="Normal 4 2 2 2 2 2 3" xfId="3337" xr:uid="{00000000-0005-0000-0000-0000FEA30000}"/>
    <cellStyle name="Normal 4 2 2 2 2 3" xfId="3338" xr:uid="{00000000-0005-0000-0000-0000FFA30000}"/>
    <cellStyle name="Normal 4 2 2 2 2 3 2" xfId="54211" xr:uid="{00000000-0005-0000-0000-000000A40000}"/>
    <cellStyle name="Normal 4 2 2 2 2 3 2 2" xfId="54212" xr:uid="{00000000-0005-0000-0000-000001A40000}"/>
    <cellStyle name="Normal 4 2 2 2 2 3 3" xfId="54213" xr:uid="{00000000-0005-0000-0000-000002A40000}"/>
    <cellStyle name="Normal 4 2 2 2 2 4" xfId="3339" xr:uid="{00000000-0005-0000-0000-000003A40000}"/>
    <cellStyle name="Normal 4 2 2 2 2 4 2" xfId="54214" xr:uid="{00000000-0005-0000-0000-000004A40000}"/>
    <cellStyle name="Normal 4 2 2 2 2 5" xfId="54215" xr:uid="{00000000-0005-0000-0000-000005A40000}"/>
    <cellStyle name="Normal 4 2 2 2 3" xfId="3340" xr:uid="{00000000-0005-0000-0000-000006A40000}"/>
    <cellStyle name="Normal 4 2 2 2 3 2" xfId="3341" xr:uid="{00000000-0005-0000-0000-000007A40000}"/>
    <cellStyle name="Normal 4 2 2 2 3 2 2" xfId="3342" xr:uid="{00000000-0005-0000-0000-000008A40000}"/>
    <cellStyle name="Normal 4 2 2 2 3 3" xfId="3343" xr:uid="{00000000-0005-0000-0000-000009A40000}"/>
    <cellStyle name="Normal 4 2 2 2 4" xfId="3344" xr:uid="{00000000-0005-0000-0000-00000AA40000}"/>
    <cellStyle name="Normal 4 2 2 2 4 2" xfId="3345" xr:uid="{00000000-0005-0000-0000-00000BA40000}"/>
    <cellStyle name="Normal 4 2 2 2 4 2 2" xfId="54216" xr:uid="{00000000-0005-0000-0000-00000CA40000}"/>
    <cellStyle name="Normal 4 2 2 2 4 3" xfId="54217" xr:uid="{00000000-0005-0000-0000-00000DA40000}"/>
    <cellStyle name="Normal 4 2 2 2 5" xfId="3346" xr:uid="{00000000-0005-0000-0000-00000EA40000}"/>
    <cellStyle name="Normal 4 2 2 2 5 2" xfId="41086" xr:uid="{00000000-0005-0000-0000-00000FA40000}"/>
    <cellStyle name="Normal 4 2 2 2 6" xfId="41087" xr:uid="{00000000-0005-0000-0000-000010A40000}"/>
    <cellStyle name="Normal 4 2 2 3" xfId="3347" xr:uid="{00000000-0005-0000-0000-000011A40000}"/>
    <cellStyle name="Normal 4 2 2 3 2" xfId="3348" xr:uid="{00000000-0005-0000-0000-000012A40000}"/>
    <cellStyle name="Normal 4 2 2 3 2 2" xfId="3349" xr:uid="{00000000-0005-0000-0000-000013A40000}"/>
    <cellStyle name="Normal 4 2 2 3 2 2 2" xfId="54218" xr:uid="{00000000-0005-0000-0000-000014A40000}"/>
    <cellStyle name="Normal 4 2 2 3 2 2 2 2" xfId="54219" xr:uid="{00000000-0005-0000-0000-000015A40000}"/>
    <cellStyle name="Normal 4 2 2 3 2 2 3" xfId="54220" xr:uid="{00000000-0005-0000-0000-000016A40000}"/>
    <cellStyle name="Normal 4 2 2 3 2 3" xfId="3350" xr:uid="{00000000-0005-0000-0000-000017A40000}"/>
    <cellStyle name="Normal 4 2 2 3 2 3 2" xfId="54221" xr:uid="{00000000-0005-0000-0000-000018A40000}"/>
    <cellStyle name="Normal 4 2 2 3 2 3 2 2" xfId="54222" xr:uid="{00000000-0005-0000-0000-000019A40000}"/>
    <cellStyle name="Normal 4 2 2 3 2 3 3" xfId="54223" xr:uid="{00000000-0005-0000-0000-00001AA40000}"/>
    <cellStyle name="Normal 4 2 2 3 2 4" xfId="54224" xr:uid="{00000000-0005-0000-0000-00001BA40000}"/>
    <cellStyle name="Normal 4 2 2 3 2 4 2" xfId="54225" xr:uid="{00000000-0005-0000-0000-00001CA40000}"/>
    <cellStyle name="Normal 4 2 2 3 2 5" xfId="54226" xr:uid="{00000000-0005-0000-0000-00001DA40000}"/>
    <cellStyle name="Normal 4 2 2 3 3" xfId="3351" xr:uid="{00000000-0005-0000-0000-00001EA40000}"/>
    <cellStyle name="Normal 4 2 2 3 3 2" xfId="54227" xr:uid="{00000000-0005-0000-0000-00001FA40000}"/>
    <cellStyle name="Normal 4 2 2 3 3 2 2" xfId="54228" xr:uid="{00000000-0005-0000-0000-000020A40000}"/>
    <cellStyle name="Normal 4 2 2 3 3 3" xfId="54229" xr:uid="{00000000-0005-0000-0000-000021A40000}"/>
    <cellStyle name="Normal 4 2 2 3 4" xfId="3352" xr:uid="{00000000-0005-0000-0000-000022A40000}"/>
    <cellStyle name="Normal 4 2 2 3 4 2" xfId="54230" xr:uid="{00000000-0005-0000-0000-000023A40000}"/>
    <cellStyle name="Normal 4 2 2 3 4 2 2" xfId="54231" xr:uid="{00000000-0005-0000-0000-000024A40000}"/>
    <cellStyle name="Normal 4 2 2 3 4 3" xfId="54232" xr:uid="{00000000-0005-0000-0000-000025A40000}"/>
    <cellStyle name="Normal 4 2 2 3 5" xfId="54233" xr:uid="{00000000-0005-0000-0000-000026A40000}"/>
    <cellStyle name="Normal 4 2 2 3 5 2" xfId="54234" xr:uid="{00000000-0005-0000-0000-000027A40000}"/>
    <cellStyle name="Normal 4 2 2 3 6" xfId="54235" xr:uid="{00000000-0005-0000-0000-000028A40000}"/>
    <cellStyle name="Normal 4 2 2 4" xfId="3353" xr:uid="{00000000-0005-0000-0000-000029A40000}"/>
    <cellStyle name="Normal 4 2 2 4 2" xfId="3354" xr:uid="{00000000-0005-0000-0000-00002AA40000}"/>
    <cellStyle name="Normal 4 2 2 4 2 2" xfId="3355" xr:uid="{00000000-0005-0000-0000-00002BA40000}"/>
    <cellStyle name="Normal 4 2 2 4 2 2 2" xfId="54236" xr:uid="{00000000-0005-0000-0000-00002CA40000}"/>
    <cellStyle name="Normal 4 2 2 4 2 3" xfId="54237" xr:uid="{00000000-0005-0000-0000-00002DA40000}"/>
    <cellStyle name="Normal 4 2 2 4 3" xfId="3356" xr:uid="{00000000-0005-0000-0000-00002EA40000}"/>
    <cellStyle name="Normal 4 2 2 4 3 2" xfId="54238" xr:uid="{00000000-0005-0000-0000-00002FA40000}"/>
    <cellStyle name="Normal 4 2 2 4 3 2 2" xfId="54239" xr:uid="{00000000-0005-0000-0000-000030A40000}"/>
    <cellStyle name="Normal 4 2 2 4 3 3" xfId="54240" xr:uid="{00000000-0005-0000-0000-000031A40000}"/>
    <cellStyle name="Normal 4 2 2 4 4" xfId="54241" xr:uid="{00000000-0005-0000-0000-000032A40000}"/>
    <cellStyle name="Normal 4 2 2 4 4 2" xfId="54242" xr:uid="{00000000-0005-0000-0000-000033A40000}"/>
    <cellStyle name="Normal 4 2 2 4 5" xfId="54243" xr:uid="{00000000-0005-0000-0000-000034A40000}"/>
    <cellStyle name="Normal 4 2 2 5" xfId="3357" xr:uid="{00000000-0005-0000-0000-000035A40000}"/>
    <cellStyle name="Normal 4 2 2 5 2" xfId="3358" xr:uid="{00000000-0005-0000-0000-000036A40000}"/>
    <cellStyle name="Normal 4 2 2 5 2 2" xfId="54244" xr:uid="{00000000-0005-0000-0000-000037A40000}"/>
    <cellStyle name="Normal 4 2 2 5 3" xfId="54245" xr:uid="{00000000-0005-0000-0000-000038A40000}"/>
    <cellStyle name="Normal 4 2 2 6" xfId="3359" xr:uid="{00000000-0005-0000-0000-000039A40000}"/>
    <cellStyle name="Normal 4 2 2 6 2" xfId="41088" xr:uid="{00000000-0005-0000-0000-00003AA40000}"/>
    <cellStyle name="Normal 4 2 2 6 2 2" xfId="54246" xr:uid="{00000000-0005-0000-0000-00003BA40000}"/>
    <cellStyle name="Normal 4 2 2 6 3" xfId="54247" xr:uid="{00000000-0005-0000-0000-00003CA40000}"/>
    <cellStyle name="Normal 4 2 2 7" xfId="41089" xr:uid="{00000000-0005-0000-0000-00003DA40000}"/>
    <cellStyle name="Normal 4 2 2 7 2" xfId="54248" xr:uid="{00000000-0005-0000-0000-00003EA40000}"/>
    <cellStyle name="Normal 4 2 2 8" xfId="54249" xr:uid="{00000000-0005-0000-0000-00003FA40000}"/>
    <cellStyle name="Normal 4 2 3" xfId="3360" xr:uid="{00000000-0005-0000-0000-000040A40000}"/>
    <cellStyle name="Normal 4 2 3 2" xfId="3361" xr:uid="{00000000-0005-0000-0000-000041A40000}"/>
    <cellStyle name="Normal 4 2 3 2 2" xfId="3362" xr:uid="{00000000-0005-0000-0000-000042A40000}"/>
    <cellStyle name="Normal 4 2 3 2 2 2" xfId="3363" xr:uid="{00000000-0005-0000-0000-000043A40000}"/>
    <cellStyle name="Normal 4 2 3 2 2 2 2" xfId="54250" xr:uid="{00000000-0005-0000-0000-000044A40000}"/>
    <cellStyle name="Normal 4 2 3 2 2 3" xfId="3364" xr:uid="{00000000-0005-0000-0000-000045A40000}"/>
    <cellStyle name="Normal 4 2 3 2 3" xfId="3365" xr:uid="{00000000-0005-0000-0000-000046A40000}"/>
    <cellStyle name="Normal 4 2 3 2 3 2" xfId="54251" xr:uid="{00000000-0005-0000-0000-000047A40000}"/>
    <cellStyle name="Normal 4 2 3 2 3 2 2" xfId="54252" xr:uid="{00000000-0005-0000-0000-000048A40000}"/>
    <cellStyle name="Normal 4 2 3 2 3 3" xfId="54253" xr:uid="{00000000-0005-0000-0000-000049A40000}"/>
    <cellStyle name="Normal 4 2 3 2 4" xfId="3366" xr:uid="{00000000-0005-0000-0000-00004AA40000}"/>
    <cellStyle name="Normal 4 2 3 2 4 2" xfId="54254" xr:uid="{00000000-0005-0000-0000-00004BA40000}"/>
    <cellStyle name="Normal 4 2 3 2 5" xfId="54255" xr:uid="{00000000-0005-0000-0000-00004CA40000}"/>
    <cellStyle name="Normal 4 2 3 3" xfId="3367" xr:uid="{00000000-0005-0000-0000-00004DA40000}"/>
    <cellStyle name="Normal 4 2 3 3 2" xfId="3368" xr:uid="{00000000-0005-0000-0000-00004EA40000}"/>
    <cellStyle name="Normal 4 2 3 3 2 2" xfId="3369" xr:uid="{00000000-0005-0000-0000-00004FA40000}"/>
    <cellStyle name="Normal 4 2 3 3 3" xfId="3370" xr:uid="{00000000-0005-0000-0000-000050A40000}"/>
    <cellStyle name="Normal 4 2 3 4" xfId="3371" xr:uid="{00000000-0005-0000-0000-000051A40000}"/>
    <cellStyle name="Normal 4 2 3 4 2" xfId="3372" xr:uid="{00000000-0005-0000-0000-000052A40000}"/>
    <cellStyle name="Normal 4 2 3 4 2 2" xfId="54256" xr:uid="{00000000-0005-0000-0000-000053A40000}"/>
    <cellStyle name="Normal 4 2 3 4 3" xfId="54257" xr:uid="{00000000-0005-0000-0000-000054A40000}"/>
    <cellStyle name="Normal 4 2 3 5" xfId="3373" xr:uid="{00000000-0005-0000-0000-000055A40000}"/>
    <cellStyle name="Normal 4 2 3 5 2" xfId="41090" xr:uid="{00000000-0005-0000-0000-000056A40000}"/>
    <cellStyle name="Normal 4 2 3 6" xfId="41091" xr:uid="{00000000-0005-0000-0000-000057A40000}"/>
    <cellStyle name="Normal 4 2 4" xfId="3374" xr:uid="{00000000-0005-0000-0000-000058A40000}"/>
    <cellStyle name="Normal 4 2 4 2" xfId="3375" xr:uid="{00000000-0005-0000-0000-000059A40000}"/>
    <cellStyle name="Normal 4 2 4 2 2" xfId="3376" xr:uid="{00000000-0005-0000-0000-00005AA40000}"/>
    <cellStyle name="Normal 4 2 4 2 2 2" xfId="54258" xr:uid="{00000000-0005-0000-0000-00005BA40000}"/>
    <cellStyle name="Normal 4 2 4 2 2 2 2" xfId="54259" xr:uid="{00000000-0005-0000-0000-00005CA40000}"/>
    <cellStyle name="Normal 4 2 4 2 2 3" xfId="54260" xr:uid="{00000000-0005-0000-0000-00005DA40000}"/>
    <cellStyle name="Normal 4 2 4 2 3" xfId="3377" xr:uid="{00000000-0005-0000-0000-00005EA40000}"/>
    <cellStyle name="Normal 4 2 4 2 3 2" xfId="54261" xr:uid="{00000000-0005-0000-0000-00005FA40000}"/>
    <cellStyle name="Normal 4 2 4 2 3 2 2" xfId="54262" xr:uid="{00000000-0005-0000-0000-000060A40000}"/>
    <cellStyle name="Normal 4 2 4 2 3 3" xfId="54263" xr:uid="{00000000-0005-0000-0000-000061A40000}"/>
    <cellStyle name="Normal 4 2 4 2 4" xfId="54264" xr:uid="{00000000-0005-0000-0000-000062A40000}"/>
    <cellStyle name="Normal 4 2 4 2 4 2" xfId="54265" xr:uid="{00000000-0005-0000-0000-000063A40000}"/>
    <cellStyle name="Normal 4 2 4 2 5" xfId="54266" xr:uid="{00000000-0005-0000-0000-000064A40000}"/>
    <cellStyle name="Normal 4 2 4 3" xfId="3378" xr:uid="{00000000-0005-0000-0000-000065A40000}"/>
    <cellStyle name="Normal 4 2 4 3 2" xfId="54267" xr:uid="{00000000-0005-0000-0000-000066A40000}"/>
    <cellStyle name="Normal 4 2 4 3 2 2" xfId="54268" xr:uid="{00000000-0005-0000-0000-000067A40000}"/>
    <cellStyle name="Normal 4 2 4 3 3" xfId="54269" xr:uid="{00000000-0005-0000-0000-000068A40000}"/>
    <cellStyle name="Normal 4 2 4 4" xfId="3379" xr:uid="{00000000-0005-0000-0000-000069A40000}"/>
    <cellStyle name="Normal 4 2 4 4 2" xfId="54270" xr:uid="{00000000-0005-0000-0000-00006AA40000}"/>
    <cellStyle name="Normal 4 2 4 4 2 2" xfId="54271" xr:uid="{00000000-0005-0000-0000-00006BA40000}"/>
    <cellStyle name="Normal 4 2 4 4 3" xfId="54272" xr:uid="{00000000-0005-0000-0000-00006CA40000}"/>
    <cellStyle name="Normal 4 2 4 5" xfId="54273" xr:uid="{00000000-0005-0000-0000-00006DA40000}"/>
    <cellStyle name="Normal 4 2 4 5 2" xfId="54274" xr:uid="{00000000-0005-0000-0000-00006EA40000}"/>
    <cellStyle name="Normal 4 2 4 6" xfId="54275" xr:uid="{00000000-0005-0000-0000-00006FA40000}"/>
    <cellStyle name="Normal 4 2 5" xfId="3380" xr:uid="{00000000-0005-0000-0000-000070A40000}"/>
    <cellStyle name="Normal 4 2 5 2" xfId="3381" xr:uid="{00000000-0005-0000-0000-000071A40000}"/>
    <cellStyle name="Normal 4 2 5 2 2" xfId="3382" xr:uid="{00000000-0005-0000-0000-000072A40000}"/>
    <cellStyle name="Normal 4 2 5 2 2 2" xfId="54276" xr:uid="{00000000-0005-0000-0000-000073A40000}"/>
    <cellStyle name="Normal 4 2 5 2 3" xfId="54277" xr:uid="{00000000-0005-0000-0000-000074A40000}"/>
    <cellStyle name="Normal 4 2 5 3" xfId="3383" xr:uid="{00000000-0005-0000-0000-000075A40000}"/>
    <cellStyle name="Normal 4 2 5 3 2" xfId="54278" xr:uid="{00000000-0005-0000-0000-000076A40000}"/>
    <cellStyle name="Normal 4 2 5 3 2 2" xfId="54279" xr:uid="{00000000-0005-0000-0000-000077A40000}"/>
    <cellStyle name="Normal 4 2 5 3 3" xfId="54280" xr:uid="{00000000-0005-0000-0000-000078A40000}"/>
    <cellStyle name="Normal 4 2 5 4" xfId="54281" xr:uid="{00000000-0005-0000-0000-000079A40000}"/>
    <cellStyle name="Normal 4 2 5 4 2" xfId="54282" xr:uid="{00000000-0005-0000-0000-00007AA40000}"/>
    <cellStyle name="Normal 4 2 5 5" xfId="54283" xr:uid="{00000000-0005-0000-0000-00007BA40000}"/>
    <cellStyle name="Normal 4 2 6" xfId="3384" xr:uid="{00000000-0005-0000-0000-00007CA40000}"/>
    <cellStyle name="Normal 4 2 6 2" xfId="3385" xr:uid="{00000000-0005-0000-0000-00007DA40000}"/>
    <cellStyle name="Normal 4 2 6 2 2" xfId="54284" xr:uid="{00000000-0005-0000-0000-00007EA40000}"/>
    <cellStyle name="Normal 4 2 6 3" xfId="54285" xr:uid="{00000000-0005-0000-0000-00007FA40000}"/>
    <cellStyle name="Normal 4 2 7" xfId="3386" xr:uid="{00000000-0005-0000-0000-000080A40000}"/>
    <cellStyle name="Normal 4 2 7 2" xfId="41092" xr:uid="{00000000-0005-0000-0000-000081A40000}"/>
    <cellStyle name="Normal 4 2 7 2 2" xfId="54286" xr:uid="{00000000-0005-0000-0000-000082A40000}"/>
    <cellStyle name="Normal 4 2 7 3" xfId="54287" xr:uid="{00000000-0005-0000-0000-000083A40000}"/>
    <cellStyle name="Normal 4 2 8" xfId="41093" xr:uid="{00000000-0005-0000-0000-000084A40000}"/>
    <cellStyle name="Normal 4 2 8 2" xfId="54288" xr:uid="{00000000-0005-0000-0000-000085A40000}"/>
    <cellStyle name="Normal 4 2 9" xfId="54289" xr:uid="{00000000-0005-0000-0000-000086A40000}"/>
    <cellStyle name="Normal 4 3" xfId="3387" xr:uid="{00000000-0005-0000-0000-000087A40000}"/>
    <cellStyle name="Normal 4 3 2" xfId="3388" xr:uid="{00000000-0005-0000-0000-000088A40000}"/>
    <cellStyle name="Normal 4 3 2 2" xfId="3389" xr:uid="{00000000-0005-0000-0000-000089A40000}"/>
    <cellStyle name="Normal 4 3 2 2 2" xfId="3390" xr:uid="{00000000-0005-0000-0000-00008AA40000}"/>
    <cellStyle name="Normal 4 3 2 2 2 2" xfId="3391" xr:uid="{00000000-0005-0000-0000-00008BA40000}"/>
    <cellStyle name="Normal 4 3 2 2 2 2 2" xfId="54290" xr:uid="{00000000-0005-0000-0000-00008CA40000}"/>
    <cellStyle name="Normal 4 3 2 2 2 3" xfId="3392" xr:uid="{00000000-0005-0000-0000-00008DA40000}"/>
    <cellStyle name="Normal 4 3 2 2 3" xfId="3393" xr:uid="{00000000-0005-0000-0000-00008EA40000}"/>
    <cellStyle name="Normal 4 3 2 2 3 2" xfId="54291" xr:uid="{00000000-0005-0000-0000-00008FA40000}"/>
    <cellStyle name="Normal 4 3 2 2 3 2 2" xfId="54292" xr:uid="{00000000-0005-0000-0000-000090A40000}"/>
    <cellStyle name="Normal 4 3 2 2 3 3" xfId="54293" xr:uid="{00000000-0005-0000-0000-000091A40000}"/>
    <cellStyle name="Normal 4 3 2 2 4" xfId="3394" xr:uid="{00000000-0005-0000-0000-000092A40000}"/>
    <cellStyle name="Normal 4 3 2 2 4 2" xfId="54294" xr:uid="{00000000-0005-0000-0000-000093A40000}"/>
    <cellStyle name="Normal 4 3 2 2 5" xfId="54295" xr:uid="{00000000-0005-0000-0000-000094A40000}"/>
    <cellStyle name="Normal 4 3 2 3" xfId="3395" xr:uid="{00000000-0005-0000-0000-000095A40000}"/>
    <cellStyle name="Normal 4 3 2 3 2" xfId="3396" xr:uid="{00000000-0005-0000-0000-000096A40000}"/>
    <cellStyle name="Normal 4 3 2 3 2 2" xfId="3397" xr:uid="{00000000-0005-0000-0000-000097A40000}"/>
    <cellStyle name="Normal 4 3 2 3 3" xfId="3398" xr:uid="{00000000-0005-0000-0000-000098A40000}"/>
    <cellStyle name="Normal 4 3 2 4" xfId="3399" xr:uid="{00000000-0005-0000-0000-000099A40000}"/>
    <cellStyle name="Normal 4 3 2 4 2" xfId="3400" xr:uid="{00000000-0005-0000-0000-00009AA40000}"/>
    <cellStyle name="Normal 4 3 2 4 2 2" xfId="54296" xr:uid="{00000000-0005-0000-0000-00009BA40000}"/>
    <cellStyle name="Normal 4 3 2 4 3" xfId="54297" xr:uid="{00000000-0005-0000-0000-00009CA40000}"/>
    <cellStyle name="Normal 4 3 2 5" xfId="3401" xr:uid="{00000000-0005-0000-0000-00009DA40000}"/>
    <cellStyle name="Normal 4 3 2 5 2" xfId="41094" xr:uid="{00000000-0005-0000-0000-00009EA40000}"/>
    <cellStyle name="Normal 4 3 2 6" xfId="41095" xr:uid="{00000000-0005-0000-0000-00009FA40000}"/>
    <cellStyle name="Normal 4 3 3" xfId="3402" xr:uid="{00000000-0005-0000-0000-0000A0A40000}"/>
    <cellStyle name="Normal 4 3 3 2" xfId="3403" xr:uid="{00000000-0005-0000-0000-0000A1A40000}"/>
    <cellStyle name="Normal 4 3 3 2 2" xfId="3404" xr:uid="{00000000-0005-0000-0000-0000A2A40000}"/>
    <cellStyle name="Normal 4 3 3 2 2 2" xfId="54298" xr:uid="{00000000-0005-0000-0000-0000A3A40000}"/>
    <cellStyle name="Normal 4 3 3 2 2 2 2" xfId="54299" xr:uid="{00000000-0005-0000-0000-0000A4A40000}"/>
    <cellStyle name="Normal 4 3 3 2 2 3" xfId="54300" xr:uid="{00000000-0005-0000-0000-0000A5A40000}"/>
    <cellStyle name="Normal 4 3 3 2 3" xfId="3405" xr:uid="{00000000-0005-0000-0000-0000A6A40000}"/>
    <cellStyle name="Normal 4 3 3 2 3 2" xfId="54301" xr:uid="{00000000-0005-0000-0000-0000A7A40000}"/>
    <cellStyle name="Normal 4 3 3 2 3 2 2" xfId="54302" xr:uid="{00000000-0005-0000-0000-0000A8A40000}"/>
    <cellStyle name="Normal 4 3 3 2 3 3" xfId="54303" xr:uid="{00000000-0005-0000-0000-0000A9A40000}"/>
    <cellStyle name="Normal 4 3 3 2 4" xfId="54304" xr:uid="{00000000-0005-0000-0000-0000AAA40000}"/>
    <cellStyle name="Normal 4 3 3 2 4 2" xfId="54305" xr:uid="{00000000-0005-0000-0000-0000ABA40000}"/>
    <cellStyle name="Normal 4 3 3 2 5" xfId="54306" xr:uid="{00000000-0005-0000-0000-0000ACA40000}"/>
    <cellStyle name="Normal 4 3 3 3" xfId="3406" xr:uid="{00000000-0005-0000-0000-0000ADA40000}"/>
    <cellStyle name="Normal 4 3 3 3 2" xfId="54307" xr:uid="{00000000-0005-0000-0000-0000AEA40000}"/>
    <cellStyle name="Normal 4 3 3 3 2 2" xfId="54308" xr:uid="{00000000-0005-0000-0000-0000AFA40000}"/>
    <cellStyle name="Normal 4 3 3 3 3" xfId="54309" xr:uid="{00000000-0005-0000-0000-0000B0A40000}"/>
    <cellStyle name="Normal 4 3 3 4" xfId="3407" xr:uid="{00000000-0005-0000-0000-0000B1A40000}"/>
    <cellStyle name="Normal 4 3 3 4 2" xfId="54310" xr:uid="{00000000-0005-0000-0000-0000B2A40000}"/>
    <cellStyle name="Normal 4 3 3 4 2 2" xfId="54311" xr:uid="{00000000-0005-0000-0000-0000B3A40000}"/>
    <cellStyle name="Normal 4 3 3 4 3" xfId="54312" xr:uid="{00000000-0005-0000-0000-0000B4A40000}"/>
    <cellStyle name="Normal 4 3 3 5" xfId="54313" xr:uid="{00000000-0005-0000-0000-0000B5A40000}"/>
    <cellStyle name="Normal 4 3 3 5 2" xfId="54314" xr:uid="{00000000-0005-0000-0000-0000B6A40000}"/>
    <cellStyle name="Normal 4 3 3 6" xfId="54315" xr:uid="{00000000-0005-0000-0000-0000B7A40000}"/>
    <cellStyle name="Normal 4 3 4" xfId="3408" xr:uid="{00000000-0005-0000-0000-0000B8A40000}"/>
    <cellStyle name="Normal 4 3 4 2" xfId="3409" xr:uid="{00000000-0005-0000-0000-0000B9A40000}"/>
    <cellStyle name="Normal 4 3 4 2 2" xfId="3410" xr:uid="{00000000-0005-0000-0000-0000BAA40000}"/>
    <cellStyle name="Normal 4 3 4 2 2 2" xfId="54316" xr:uid="{00000000-0005-0000-0000-0000BBA40000}"/>
    <cellStyle name="Normal 4 3 4 2 3" xfId="54317" xr:uid="{00000000-0005-0000-0000-0000BCA40000}"/>
    <cellStyle name="Normal 4 3 4 3" xfId="3411" xr:uid="{00000000-0005-0000-0000-0000BDA40000}"/>
    <cellStyle name="Normal 4 3 4 3 2" xfId="54318" xr:uid="{00000000-0005-0000-0000-0000BEA40000}"/>
    <cellStyle name="Normal 4 3 4 3 2 2" xfId="54319" xr:uid="{00000000-0005-0000-0000-0000BFA40000}"/>
    <cellStyle name="Normal 4 3 4 3 3" xfId="54320" xr:uid="{00000000-0005-0000-0000-0000C0A40000}"/>
    <cellStyle name="Normal 4 3 4 4" xfId="54321" xr:uid="{00000000-0005-0000-0000-0000C1A40000}"/>
    <cellStyle name="Normal 4 3 4 4 2" xfId="54322" xr:uid="{00000000-0005-0000-0000-0000C2A40000}"/>
    <cellStyle name="Normal 4 3 4 5" xfId="54323" xr:uid="{00000000-0005-0000-0000-0000C3A40000}"/>
    <cellStyle name="Normal 4 3 5" xfId="3412" xr:uid="{00000000-0005-0000-0000-0000C4A40000}"/>
    <cellStyle name="Normal 4 3 5 2" xfId="3413" xr:uid="{00000000-0005-0000-0000-0000C5A40000}"/>
    <cellStyle name="Normal 4 3 5 2 2" xfId="54324" xr:uid="{00000000-0005-0000-0000-0000C6A40000}"/>
    <cellStyle name="Normal 4 3 5 3" xfId="54325" xr:uid="{00000000-0005-0000-0000-0000C7A40000}"/>
    <cellStyle name="Normal 4 3 6" xfId="3414" xr:uid="{00000000-0005-0000-0000-0000C8A40000}"/>
    <cellStyle name="Normal 4 3 6 2" xfId="41096" xr:uid="{00000000-0005-0000-0000-0000C9A40000}"/>
    <cellStyle name="Normal 4 3 6 2 2" xfId="54326" xr:uid="{00000000-0005-0000-0000-0000CAA40000}"/>
    <cellStyle name="Normal 4 3 6 3" xfId="54327" xr:uid="{00000000-0005-0000-0000-0000CBA40000}"/>
    <cellStyle name="Normal 4 3 7" xfId="54328" xr:uid="{00000000-0005-0000-0000-0000CCA40000}"/>
    <cellStyle name="Normal 4 3 7 2" xfId="54329" xr:uid="{00000000-0005-0000-0000-0000CDA40000}"/>
    <cellStyle name="Normal 4 3 8" xfId="54330" xr:uid="{00000000-0005-0000-0000-0000CEA40000}"/>
    <cellStyle name="Normal 4 4" xfId="3415" xr:uid="{00000000-0005-0000-0000-0000CFA40000}"/>
    <cellStyle name="Normal 4 4 2" xfId="3416" xr:uid="{00000000-0005-0000-0000-0000D0A40000}"/>
    <cellStyle name="Normal 4 4 2 2" xfId="3417" xr:uid="{00000000-0005-0000-0000-0000D1A40000}"/>
    <cellStyle name="Normal 4 4 2 2 2" xfId="3418" xr:uid="{00000000-0005-0000-0000-0000D2A40000}"/>
    <cellStyle name="Normal 4 4 2 2 2 2" xfId="54331" xr:uid="{00000000-0005-0000-0000-0000D3A40000}"/>
    <cellStyle name="Normal 4 4 2 2 3" xfId="3419" xr:uid="{00000000-0005-0000-0000-0000D4A40000}"/>
    <cellStyle name="Normal 4 4 2 3" xfId="3420" xr:uid="{00000000-0005-0000-0000-0000D5A40000}"/>
    <cellStyle name="Normal 4 4 2 3 2" xfId="54332" xr:uid="{00000000-0005-0000-0000-0000D6A40000}"/>
    <cellStyle name="Normal 4 4 2 3 2 2" xfId="54333" xr:uid="{00000000-0005-0000-0000-0000D7A40000}"/>
    <cellStyle name="Normal 4 4 2 3 3" xfId="54334" xr:uid="{00000000-0005-0000-0000-0000D8A40000}"/>
    <cellStyle name="Normal 4 4 2 4" xfId="3421" xr:uid="{00000000-0005-0000-0000-0000D9A40000}"/>
    <cellStyle name="Normal 4 4 2 4 2" xfId="54335" xr:uid="{00000000-0005-0000-0000-0000DAA40000}"/>
    <cellStyle name="Normal 4 4 2 5" xfId="54336" xr:uid="{00000000-0005-0000-0000-0000DBA40000}"/>
    <cellStyle name="Normal 4 4 3" xfId="3422" xr:uid="{00000000-0005-0000-0000-0000DCA40000}"/>
    <cellStyle name="Normal 4 4 3 2" xfId="3423" xr:uid="{00000000-0005-0000-0000-0000DDA40000}"/>
    <cellStyle name="Normal 4 4 3 2 2" xfId="3424" xr:uid="{00000000-0005-0000-0000-0000DEA40000}"/>
    <cellStyle name="Normal 4 4 3 3" xfId="3425" xr:uid="{00000000-0005-0000-0000-0000DFA40000}"/>
    <cellStyle name="Normal 4 4 4" xfId="3426" xr:uid="{00000000-0005-0000-0000-0000E0A40000}"/>
    <cellStyle name="Normal 4 4 4 2" xfId="3427" xr:uid="{00000000-0005-0000-0000-0000E1A40000}"/>
    <cellStyle name="Normal 4 4 4 2 2" xfId="54337" xr:uid="{00000000-0005-0000-0000-0000E2A40000}"/>
    <cellStyle name="Normal 4 4 4 3" xfId="54338" xr:uid="{00000000-0005-0000-0000-0000E3A40000}"/>
    <cellStyle name="Normal 4 4 5" xfId="3428" xr:uid="{00000000-0005-0000-0000-0000E4A40000}"/>
    <cellStyle name="Normal 4 4 5 2" xfId="41097" xr:uid="{00000000-0005-0000-0000-0000E5A40000}"/>
    <cellStyle name="Normal 4 4 6" xfId="41098" xr:uid="{00000000-0005-0000-0000-0000E6A40000}"/>
    <cellStyle name="Normal 4 5" xfId="3429" xr:uid="{00000000-0005-0000-0000-0000E7A40000}"/>
    <cellStyle name="Normal 4 5 2" xfId="3430" xr:uid="{00000000-0005-0000-0000-0000E8A40000}"/>
    <cellStyle name="Normal 4 5 2 2" xfId="3431" xr:uid="{00000000-0005-0000-0000-0000E9A40000}"/>
    <cellStyle name="Normal 4 5 2 2 2" xfId="54339" xr:uid="{00000000-0005-0000-0000-0000EAA40000}"/>
    <cellStyle name="Normal 4 5 2 2 2 2" xfId="54340" xr:uid="{00000000-0005-0000-0000-0000EBA40000}"/>
    <cellStyle name="Normal 4 5 2 2 3" xfId="54341" xr:uid="{00000000-0005-0000-0000-0000ECA40000}"/>
    <cellStyle name="Normal 4 5 2 3" xfId="3432" xr:uid="{00000000-0005-0000-0000-0000EDA40000}"/>
    <cellStyle name="Normal 4 5 2 3 2" xfId="54342" xr:uid="{00000000-0005-0000-0000-0000EEA40000}"/>
    <cellStyle name="Normal 4 5 2 3 2 2" xfId="54343" xr:uid="{00000000-0005-0000-0000-0000EFA40000}"/>
    <cellStyle name="Normal 4 5 2 3 3" xfId="54344" xr:uid="{00000000-0005-0000-0000-0000F0A40000}"/>
    <cellStyle name="Normal 4 5 2 4" xfId="54345" xr:uid="{00000000-0005-0000-0000-0000F1A40000}"/>
    <cellStyle name="Normal 4 5 2 4 2" xfId="54346" xr:uid="{00000000-0005-0000-0000-0000F2A40000}"/>
    <cellStyle name="Normal 4 5 2 5" xfId="54347" xr:uid="{00000000-0005-0000-0000-0000F3A40000}"/>
    <cellStyle name="Normal 4 5 3" xfId="3433" xr:uid="{00000000-0005-0000-0000-0000F4A40000}"/>
    <cellStyle name="Normal 4 5 3 2" xfId="54348" xr:uid="{00000000-0005-0000-0000-0000F5A40000}"/>
    <cellStyle name="Normal 4 5 3 2 2" xfId="54349" xr:uid="{00000000-0005-0000-0000-0000F6A40000}"/>
    <cellStyle name="Normal 4 5 3 3" xfId="54350" xr:uid="{00000000-0005-0000-0000-0000F7A40000}"/>
    <cellStyle name="Normal 4 5 4" xfId="3434" xr:uid="{00000000-0005-0000-0000-0000F8A40000}"/>
    <cellStyle name="Normal 4 5 4 2" xfId="54351" xr:uid="{00000000-0005-0000-0000-0000F9A40000}"/>
    <cellStyle name="Normal 4 5 4 2 2" xfId="54352" xr:uid="{00000000-0005-0000-0000-0000FAA40000}"/>
    <cellStyle name="Normal 4 5 4 3" xfId="54353" xr:uid="{00000000-0005-0000-0000-0000FBA40000}"/>
    <cellStyle name="Normal 4 5 5" xfId="54354" xr:uid="{00000000-0005-0000-0000-0000FCA40000}"/>
    <cellStyle name="Normal 4 5 5 2" xfId="54355" xr:uid="{00000000-0005-0000-0000-0000FDA40000}"/>
    <cellStyle name="Normal 4 5 6" xfId="54356" xr:uid="{00000000-0005-0000-0000-0000FEA40000}"/>
    <cellStyle name="Normal 4 6" xfId="3435" xr:uid="{00000000-0005-0000-0000-0000FFA40000}"/>
    <cellStyle name="Normal 4 6 2" xfId="3436" xr:uid="{00000000-0005-0000-0000-000000A50000}"/>
    <cellStyle name="Normal 4 6 2 2" xfId="3437" xr:uid="{00000000-0005-0000-0000-000001A50000}"/>
    <cellStyle name="Normal 4 6 2 2 2" xfId="54357" xr:uid="{00000000-0005-0000-0000-000002A50000}"/>
    <cellStyle name="Normal 4 6 2 3" xfId="54358" xr:uid="{00000000-0005-0000-0000-000003A50000}"/>
    <cellStyle name="Normal 4 6 3" xfId="3438" xr:uid="{00000000-0005-0000-0000-000004A50000}"/>
    <cellStyle name="Normal 4 6 3 2" xfId="54359" xr:uid="{00000000-0005-0000-0000-000005A50000}"/>
    <cellStyle name="Normal 4 6 3 2 2" xfId="54360" xr:uid="{00000000-0005-0000-0000-000006A50000}"/>
    <cellStyle name="Normal 4 6 3 3" xfId="54361" xr:uid="{00000000-0005-0000-0000-000007A50000}"/>
    <cellStyle name="Normal 4 6 4" xfId="54362" xr:uid="{00000000-0005-0000-0000-000008A50000}"/>
    <cellStyle name="Normal 4 6 4 2" xfId="54363" xr:uid="{00000000-0005-0000-0000-000009A50000}"/>
    <cellStyle name="Normal 4 6 5" xfId="54364" xr:uid="{00000000-0005-0000-0000-00000AA50000}"/>
    <cellStyle name="Normal 4 7" xfId="3439" xr:uid="{00000000-0005-0000-0000-00000BA50000}"/>
    <cellStyle name="Normal 4 7 2" xfId="3440" xr:uid="{00000000-0005-0000-0000-00000CA50000}"/>
    <cellStyle name="Normal 4 7 2 2" xfId="54365" xr:uid="{00000000-0005-0000-0000-00000DA50000}"/>
    <cellStyle name="Normal 4 7 3" xfId="54366" xr:uid="{00000000-0005-0000-0000-00000EA50000}"/>
    <cellStyle name="Normal 4 8" xfId="3441" xr:uid="{00000000-0005-0000-0000-00000FA50000}"/>
    <cellStyle name="Normal 4 8 2" xfId="41099" xr:uid="{00000000-0005-0000-0000-000010A50000}"/>
    <cellStyle name="Normal 4 8 2 2" xfId="54367" xr:uid="{00000000-0005-0000-0000-000011A50000}"/>
    <cellStyle name="Normal 4 8 3" xfId="54368" xr:uid="{00000000-0005-0000-0000-000012A50000}"/>
    <cellStyle name="Normal 4 9" xfId="41100" xr:uid="{00000000-0005-0000-0000-000013A50000}"/>
    <cellStyle name="Normal 4 9 2" xfId="54369" xr:uid="{00000000-0005-0000-0000-000014A50000}"/>
    <cellStyle name="Normal 40" xfId="3442" xr:uid="{00000000-0005-0000-0000-000015A50000}"/>
    <cellStyle name="Normal 40 10" xfId="41101" xr:uid="{00000000-0005-0000-0000-000016A50000}"/>
    <cellStyle name="Normal 40 11" xfId="41102" xr:uid="{00000000-0005-0000-0000-000017A50000}"/>
    <cellStyle name="Normal 40 12" xfId="41103" xr:uid="{00000000-0005-0000-0000-000018A50000}"/>
    <cellStyle name="Normal 40 2" xfId="41104" xr:uid="{00000000-0005-0000-0000-000019A50000}"/>
    <cellStyle name="Normal 40 2 10" xfId="41105" xr:uid="{00000000-0005-0000-0000-00001AA50000}"/>
    <cellStyle name="Normal 40 2 2" xfId="41106" xr:uid="{00000000-0005-0000-0000-00001BA50000}"/>
    <cellStyle name="Normal 40 2 2 2" xfId="41107" xr:uid="{00000000-0005-0000-0000-00001CA50000}"/>
    <cellStyle name="Normal 40 2 2 2 2" xfId="41108" xr:uid="{00000000-0005-0000-0000-00001DA50000}"/>
    <cellStyle name="Normal 40 2 2 2 2 2" xfId="41109" xr:uid="{00000000-0005-0000-0000-00001EA50000}"/>
    <cellStyle name="Normal 40 2 2 2 2 3" xfId="41110" xr:uid="{00000000-0005-0000-0000-00001FA50000}"/>
    <cellStyle name="Normal 40 2 2 2 3" xfId="41111" xr:uid="{00000000-0005-0000-0000-000020A50000}"/>
    <cellStyle name="Normal 40 2 2 2 3 2" xfId="41112" xr:uid="{00000000-0005-0000-0000-000021A50000}"/>
    <cellStyle name="Normal 40 2 2 2 3 3" xfId="41113" xr:uid="{00000000-0005-0000-0000-000022A50000}"/>
    <cellStyle name="Normal 40 2 2 2 4" xfId="41114" xr:uid="{00000000-0005-0000-0000-000023A50000}"/>
    <cellStyle name="Normal 40 2 2 2 5" xfId="41115" xr:uid="{00000000-0005-0000-0000-000024A50000}"/>
    <cellStyle name="Normal 40 2 2 2 6" xfId="41116" xr:uid="{00000000-0005-0000-0000-000025A50000}"/>
    <cellStyle name="Normal 40 2 2 3" xfId="41117" xr:uid="{00000000-0005-0000-0000-000026A50000}"/>
    <cellStyle name="Normal 40 2 2 3 2" xfId="41118" xr:uid="{00000000-0005-0000-0000-000027A50000}"/>
    <cellStyle name="Normal 40 2 2 3 3" xfId="41119" xr:uid="{00000000-0005-0000-0000-000028A50000}"/>
    <cellStyle name="Normal 40 2 2 4" xfId="41120" xr:uid="{00000000-0005-0000-0000-000029A50000}"/>
    <cellStyle name="Normal 40 2 2 4 2" xfId="41121" xr:uid="{00000000-0005-0000-0000-00002AA50000}"/>
    <cellStyle name="Normal 40 2 2 4 3" xfId="41122" xr:uid="{00000000-0005-0000-0000-00002BA50000}"/>
    <cellStyle name="Normal 40 2 2 5" xfId="41123" xr:uid="{00000000-0005-0000-0000-00002CA50000}"/>
    <cellStyle name="Normal 40 2 2 6" xfId="41124" xr:uid="{00000000-0005-0000-0000-00002DA50000}"/>
    <cellStyle name="Normal 40 2 2 7" xfId="41125" xr:uid="{00000000-0005-0000-0000-00002EA50000}"/>
    <cellStyle name="Normal 40 2 2 8" xfId="41126" xr:uid="{00000000-0005-0000-0000-00002FA50000}"/>
    <cellStyle name="Normal 40 2 3" xfId="41127" xr:uid="{00000000-0005-0000-0000-000030A50000}"/>
    <cellStyle name="Normal 40 2 3 2" xfId="41128" xr:uid="{00000000-0005-0000-0000-000031A50000}"/>
    <cellStyle name="Normal 40 2 3 2 2" xfId="41129" xr:uid="{00000000-0005-0000-0000-000032A50000}"/>
    <cellStyle name="Normal 40 2 3 2 3" xfId="41130" xr:uid="{00000000-0005-0000-0000-000033A50000}"/>
    <cellStyle name="Normal 40 2 3 3" xfId="41131" xr:uid="{00000000-0005-0000-0000-000034A50000}"/>
    <cellStyle name="Normal 40 2 3 3 2" xfId="41132" xr:uid="{00000000-0005-0000-0000-000035A50000}"/>
    <cellStyle name="Normal 40 2 3 3 3" xfId="41133" xr:uid="{00000000-0005-0000-0000-000036A50000}"/>
    <cellStyle name="Normal 40 2 3 4" xfId="41134" xr:uid="{00000000-0005-0000-0000-000037A50000}"/>
    <cellStyle name="Normal 40 2 3 5" xfId="41135" xr:uid="{00000000-0005-0000-0000-000038A50000}"/>
    <cellStyle name="Normal 40 2 3 6" xfId="41136" xr:uid="{00000000-0005-0000-0000-000039A50000}"/>
    <cellStyle name="Normal 40 2 4" xfId="41137" xr:uid="{00000000-0005-0000-0000-00003AA50000}"/>
    <cellStyle name="Normal 40 2 4 2" xfId="41138" xr:uid="{00000000-0005-0000-0000-00003BA50000}"/>
    <cellStyle name="Normal 40 2 4 3" xfId="41139" xr:uid="{00000000-0005-0000-0000-00003CA50000}"/>
    <cellStyle name="Normal 40 2 5" xfId="41140" xr:uid="{00000000-0005-0000-0000-00003DA50000}"/>
    <cellStyle name="Normal 40 2 5 2" xfId="41141" xr:uid="{00000000-0005-0000-0000-00003EA50000}"/>
    <cellStyle name="Normal 40 2 5 3" xfId="41142" xr:uid="{00000000-0005-0000-0000-00003FA50000}"/>
    <cellStyle name="Normal 40 2 6" xfId="41143" xr:uid="{00000000-0005-0000-0000-000040A50000}"/>
    <cellStyle name="Normal 40 2 7" xfId="41144" xr:uid="{00000000-0005-0000-0000-000041A50000}"/>
    <cellStyle name="Normal 40 2 8" xfId="41145" xr:uid="{00000000-0005-0000-0000-000042A50000}"/>
    <cellStyle name="Normal 40 2 9" xfId="41146" xr:uid="{00000000-0005-0000-0000-000043A50000}"/>
    <cellStyle name="Normal 40 3" xfId="41147" xr:uid="{00000000-0005-0000-0000-000044A50000}"/>
    <cellStyle name="Normal 40 3 2" xfId="41148" xr:uid="{00000000-0005-0000-0000-000045A50000}"/>
    <cellStyle name="Normal 40 3 2 2" xfId="41149" xr:uid="{00000000-0005-0000-0000-000046A50000}"/>
    <cellStyle name="Normal 40 3 2 2 2" xfId="41150" xr:uid="{00000000-0005-0000-0000-000047A50000}"/>
    <cellStyle name="Normal 40 3 2 2 3" xfId="41151" xr:uid="{00000000-0005-0000-0000-000048A50000}"/>
    <cellStyle name="Normal 40 3 2 3" xfId="41152" xr:uid="{00000000-0005-0000-0000-000049A50000}"/>
    <cellStyle name="Normal 40 3 2 3 2" xfId="41153" xr:uid="{00000000-0005-0000-0000-00004AA50000}"/>
    <cellStyle name="Normal 40 3 2 3 3" xfId="41154" xr:uid="{00000000-0005-0000-0000-00004BA50000}"/>
    <cellStyle name="Normal 40 3 2 4" xfId="41155" xr:uid="{00000000-0005-0000-0000-00004CA50000}"/>
    <cellStyle name="Normal 40 3 2 5" xfId="41156" xr:uid="{00000000-0005-0000-0000-00004DA50000}"/>
    <cellStyle name="Normal 40 3 2 6" xfId="41157" xr:uid="{00000000-0005-0000-0000-00004EA50000}"/>
    <cellStyle name="Normal 40 3 3" xfId="41158" xr:uid="{00000000-0005-0000-0000-00004FA50000}"/>
    <cellStyle name="Normal 40 3 3 2" xfId="41159" xr:uid="{00000000-0005-0000-0000-000050A50000}"/>
    <cellStyle name="Normal 40 3 3 3" xfId="41160" xr:uid="{00000000-0005-0000-0000-000051A50000}"/>
    <cellStyle name="Normal 40 3 4" xfId="41161" xr:uid="{00000000-0005-0000-0000-000052A50000}"/>
    <cellStyle name="Normal 40 3 4 2" xfId="41162" xr:uid="{00000000-0005-0000-0000-000053A50000}"/>
    <cellStyle name="Normal 40 3 4 3" xfId="41163" xr:uid="{00000000-0005-0000-0000-000054A50000}"/>
    <cellStyle name="Normal 40 3 5" xfId="41164" xr:uid="{00000000-0005-0000-0000-000055A50000}"/>
    <cellStyle name="Normal 40 3 6" xfId="41165" xr:uid="{00000000-0005-0000-0000-000056A50000}"/>
    <cellStyle name="Normal 40 3 7" xfId="41166" xr:uid="{00000000-0005-0000-0000-000057A50000}"/>
    <cellStyle name="Normal 40 3 8" xfId="41167" xr:uid="{00000000-0005-0000-0000-000058A50000}"/>
    <cellStyle name="Normal 40 4" xfId="41168" xr:uid="{00000000-0005-0000-0000-000059A50000}"/>
    <cellStyle name="Normal 40 4 2" xfId="41169" xr:uid="{00000000-0005-0000-0000-00005AA50000}"/>
    <cellStyle name="Normal 40 4 2 2" xfId="41170" xr:uid="{00000000-0005-0000-0000-00005BA50000}"/>
    <cellStyle name="Normal 40 4 2 3" xfId="41171" xr:uid="{00000000-0005-0000-0000-00005CA50000}"/>
    <cellStyle name="Normal 40 4 3" xfId="41172" xr:uid="{00000000-0005-0000-0000-00005DA50000}"/>
    <cellStyle name="Normal 40 4 3 2" xfId="41173" xr:uid="{00000000-0005-0000-0000-00005EA50000}"/>
    <cellStyle name="Normal 40 4 3 3" xfId="41174" xr:uid="{00000000-0005-0000-0000-00005FA50000}"/>
    <cellStyle name="Normal 40 4 4" xfId="41175" xr:uid="{00000000-0005-0000-0000-000060A50000}"/>
    <cellStyle name="Normal 40 4 5" xfId="41176" xr:uid="{00000000-0005-0000-0000-000061A50000}"/>
    <cellStyle name="Normal 40 4 6" xfId="41177" xr:uid="{00000000-0005-0000-0000-000062A50000}"/>
    <cellStyle name="Normal 40 5" xfId="41178" xr:uid="{00000000-0005-0000-0000-000063A50000}"/>
    <cellStyle name="Normal 40 5 2" xfId="41179" xr:uid="{00000000-0005-0000-0000-000064A50000}"/>
    <cellStyle name="Normal 40 5 3" xfId="41180" xr:uid="{00000000-0005-0000-0000-000065A50000}"/>
    <cellStyle name="Normal 40 6" xfId="41181" xr:uid="{00000000-0005-0000-0000-000066A50000}"/>
    <cellStyle name="Normal 40 6 2" xfId="41182" xr:uid="{00000000-0005-0000-0000-000067A50000}"/>
    <cellStyle name="Normal 40 6 3" xfId="41183" xr:uid="{00000000-0005-0000-0000-000068A50000}"/>
    <cellStyle name="Normal 40 7" xfId="41184" xr:uid="{00000000-0005-0000-0000-000069A50000}"/>
    <cellStyle name="Normal 40 8" xfId="41185" xr:uid="{00000000-0005-0000-0000-00006AA50000}"/>
    <cellStyle name="Normal 40 9" xfId="41186" xr:uid="{00000000-0005-0000-0000-00006BA50000}"/>
    <cellStyle name="Normal 400" xfId="3443" xr:uid="{00000000-0005-0000-0000-00006CA50000}"/>
    <cellStyle name="Normal 400 10" xfId="41187" xr:uid="{00000000-0005-0000-0000-00006DA50000}"/>
    <cellStyle name="Normal 400 11" xfId="41188" xr:uid="{00000000-0005-0000-0000-00006EA50000}"/>
    <cellStyle name="Normal 400 2" xfId="41189" xr:uid="{00000000-0005-0000-0000-00006FA50000}"/>
    <cellStyle name="Normal 400 2 2" xfId="41190" xr:uid="{00000000-0005-0000-0000-000070A50000}"/>
    <cellStyle name="Normal 400 2 2 2" xfId="41191" xr:uid="{00000000-0005-0000-0000-000071A50000}"/>
    <cellStyle name="Normal 400 2 2 2 2" xfId="41192" xr:uid="{00000000-0005-0000-0000-000072A50000}"/>
    <cellStyle name="Normal 400 2 2 2 2 2" xfId="41193" xr:uid="{00000000-0005-0000-0000-000073A50000}"/>
    <cellStyle name="Normal 400 2 2 2 2 3" xfId="41194" xr:uid="{00000000-0005-0000-0000-000074A50000}"/>
    <cellStyle name="Normal 400 2 2 2 3" xfId="41195" xr:uid="{00000000-0005-0000-0000-000075A50000}"/>
    <cellStyle name="Normal 400 2 2 2 3 2" xfId="41196" xr:uid="{00000000-0005-0000-0000-000076A50000}"/>
    <cellStyle name="Normal 400 2 2 2 3 3" xfId="41197" xr:uid="{00000000-0005-0000-0000-000077A50000}"/>
    <cellStyle name="Normal 400 2 2 2 4" xfId="41198" xr:uid="{00000000-0005-0000-0000-000078A50000}"/>
    <cellStyle name="Normal 400 2 2 2 5" xfId="41199" xr:uid="{00000000-0005-0000-0000-000079A50000}"/>
    <cellStyle name="Normal 400 2 2 2 6" xfId="41200" xr:uid="{00000000-0005-0000-0000-00007AA50000}"/>
    <cellStyle name="Normal 400 2 2 3" xfId="41201" xr:uid="{00000000-0005-0000-0000-00007BA50000}"/>
    <cellStyle name="Normal 400 2 2 3 2" xfId="41202" xr:uid="{00000000-0005-0000-0000-00007CA50000}"/>
    <cellStyle name="Normal 400 2 2 3 3" xfId="41203" xr:uid="{00000000-0005-0000-0000-00007DA50000}"/>
    <cellStyle name="Normal 400 2 2 4" xfId="41204" xr:uid="{00000000-0005-0000-0000-00007EA50000}"/>
    <cellStyle name="Normal 400 2 2 4 2" xfId="41205" xr:uid="{00000000-0005-0000-0000-00007FA50000}"/>
    <cellStyle name="Normal 400 2 2 4 3" xfId="41206" xr:uid="{00000000-0005-0000-0000-000080A50000}"/>
    <cellStyle name="Normal 400 2 2 5" xfId="41207" xr:uid="{00000000-0005-0000-0000-000081A50000}"/>
    <cellStyle name="Normal 400 2 2 6" xfId="41208" xr:uid="{00000000-0005-0000-0000-000082A50000}"/>
    <cellStyle name="Normal 400 2 2 7" xfId="41209" xr:uid="{00000000-0005-0000-0000-000083A50000}"/>
    <cellStyle name="Normal 400 2 2 8" xfId="41210" xr:uid="{00000000-0005-0000-0000-000084A50000}"/>
    <cellStyle name="Normal 400 2 3" xfId="41211" xr:uid="{00000000-0005-0000-0000-000085A50000}"/>
    <cellStyle name="Normal 400 2 3 2" xfId="41212" xr:uid="{00000000-0005-0000-0000-000086A50000}"/>
    <cellStyle name="Normal 400 2 3 2 2" xfId="41213" xr:uid="{00000000-0005-0000-0000-000087A50000}"/>
    <cellStyle name="Normal 400 2 3 2 3" xfId="41214" xr:uid="{00000000-0005-0000-0000-000088A50000}"/>
    <cellStyle name="Normal 400 2 3 3" xfId="41215" xr:uid="{00000000-0005-0000-0000-000089A50000}"/>
    <cellStyle name="Normal 400 2 3 3 2" xfId="41216" xr:uid="{00000000-0005-0000-0000-00008AA50000}"/>
    <cellStyle name="Normal 400 2 3 3 3" xfId="41217" xr:uid="{00000000-0005-0000-0000-00008BA50000}"/>
    <cellStyle name="Normal 400 2 3 4" xfId="41218" xr:uid="{00000000-0005-0000-0000-00008CA50000}"/>
    <cellStyle name="Normal 400 2 3 5" xfId="41219" xr:uid="{00000000-0005-0000-0000-00008DA50000}"/>
    <cellStyle name="Normal 400 2 3 6" xfId="41220" xr:uid="{00000000-0005-0000-0000-00008EA50000}"/>
    <cellStyle name="Normal 400 2 4" xfId="41221" xr:uid="{00000000-0005-0000-0000-00008FA50000}"/>
    <cellStyle name="Normal 400 2 4 2" xfId="41222" xr:uid="{00000000-0005-0000-0000-000090A50000}"/>
    <cellStyle name="Normal 400 2 4 3" xfId="41223" xr:uid="{00000000-0005-0000-0000-000091A50000}"/>
    <cellStyle name="Normal 400 2 5" xfId="41224" xr:uid="{00000000-0005-0000-0000-000092A50000}"/>
    <cellStyle name="Normal 400 2 5 2" xfId="41225" xr:uid="{00000000-0005-0000-0000-000093A50000}"/>
    <cellStyle name="Normal 400 2 5 3" xfId="41226" xr:uid="{00000000-0005-0000-0000-000094A50000}"/>
    <cellStyle name="Normal 400 2 6" xfId="41227" xr:uid="{00000000-0005-0000-0000-000095A50000}"/>
    <cellStyle name="Normal 400 2 7" xfId="41228" xr:uid="{00000000-0005-0000-0000-000096A50000}"/>
    <cellStyle name="Normal 400 2 8" xfId="41229" xr:uid="{00000000-0005-0000-0000-000097A50000}"/>
    <cellStyle name="Normal 400 2 9" xfId="41230" xr:uid="{00000000-0005-0000-0000-000098A50000}"/>
    <cellStyle name="Normal 400 3" xfId="41231" xr:uid="{00000000-0005-0000-0000-000099A50000}"/>
    <cellStyle name="Normal 400 3 2" xfId="41232" xr:uid="{00000000-0005-0000-0000-00009AA50000}"/>
    <cellStyle name="Normal 400 3 2 2" xfId="41233" xr:uid="{00000000-0005-0000-0000-00009BA50000}"/>
    <cellStyle name="Normal 400 3 2 2 2" xfId="41234" xr:uid="{00000000-0005-0000-0000-00009CA50000}"/>
    <cellStyle name="Normal 400 3 2 2 3" xfId="41235" xr:uid="{00000000-0005-0000-0000-00009DA50000}"/>
    <cellStyle name="Normal 400 3 2 3" xfId="41236" xr:uid="{00000000-0005-0000-0000-00009EA50000}"/>
    <cellStyle name="Normal 400 3 2 3 2" xfId="41237" xr:uid="{00000000-0005-0000-0000-00009FA50000}"/>
    <cellStyle name="Normal 400 3 2 3 3" xfId="41238" xr:uid="{00000000-0005-0000-0000-0000A0A50000}"/>
    <cellStyle name="Normal 400 3 2 4" xfId="41239" xr:uid="{00000000-0005-0000-0000-0000A1A50000}"/>
    <cellStyle name="Normal 400 3 2 5" xfId="41240" xr:uid="{00000000-0005-0000-0000-0000A2A50000}"/>
    <cellStyle name="Normal 400 3 2 6" xfId="41241" xr:uid="{00000000-0005-0000-0000-0000A3A50000}"/>
    <cellStyle name="Normal 400 3 3" xfId="41242" xr:uid="{00000000-0005-0000-0000-0000A4A50000}"/>
    <cellStyle name="Normal 400 3 3 2" xfId="41243" xr:uid="{00000000-0005-0000-0000-0000A5A50000}"/>
    <cellStyle name="Normal 400 3 3 3" xfId="41244" xr:uid="{00000000-0005-0000-0000-0000A6A50000}"/>
    <cellStyle name="Normal 400 3 4" xfId="41245" xr:uid="{00000000-0005-0000-0000-0000A7A50000}"/>
    <cellStyle name="Normal 400 3 4 2" xfId="41246" xr:uid="{00000000-0005-0000-0000-0000A8A50000}"/>
    <cellStyle name="Normal 400 3 4 3" xfId="41247" xr:uid="{00000000-0005-0000-0000-0000A9A50000}"/>
    <cellStyle name="Normal 400 3 5" xfId="41248" xr:uid="{00000000-0005-0000-0000-0000AAA50000}"/>
    <cellStyle name="Normal 400 3 6" xfId="41249" xr:uid="{00000000-0005-0000-0000-0000ABA50000}"/>
    <cellStyle name="Normal 400 3 7" xfId="41250" xr:uid="{00000000-0005-0000-0000-0000ACA50000}"/>
    <cellStyle name="Normal 400 3 8" xfId="41251" xr:uid="{00000000-0005-0000-0000-0000ADA50000}"/>
    <cellStyle name="Normal 400 4" xfId="41252" xr:uid="{00000000-0005-0000-0000-0000AEA50000}"/>
    <cellStyle name="Normal 400 4 2" xfId="41253" xr:uid="{00000000-0005-0000-0000-0000AFA50000}"/>
    <cellStyle name="Normal 400 4 2 2" xfId="41254" xr:uid="{00000000-0005-0000-0000-0000B0A50000}"/>
    <cellStyle name="Normal 400 4 2 3" xfId="41255" xr:uid="{00000000-0005-0000-0000-0000B1A50000}"/>
    <cellStyle name="Normal 400 4 3" xfId="41256" xr:uid="{00000000-0005-0000-0000-0000B2A50000}"/>
    <cellStyle name="Normal 400 4 3 2" xfId="41257" xr:uid="{00000000-0005-0000-0000-0000B3A50000}"/>
    <cellStyle name="Normal 400 4 3 3" xfId="41258" xr:uid="{00000000-0005-0000-0000-0000B4A50000}"/>
    <cellStyle name="Normal 400 4 4" xfId="41259" xr:uid="{00000000-0005-0000-0000-0000B5A50000}"/>
    <cellStyle name="Normal 400 4 5" xfId="41260" xr:uid="{00000000-0005-0000-0000-0000B6A50000}"/>
    <cellStyle name="Normal 400 4 6" xfId="41261" xr:uid="{00000000-0005-0000-0000-0000B7A50000}"/>
    <cellStyle name="Normal 400 5" xfId="41262" xr:uid="{00000000-0005-0000-0000-0000B8A50000}"/>
    <cellStyle name="Normal 400 5 2" xfId="41263" xr:uid="{00000000-0005-0000-0000-0000B9A50000}"/>
    <cellStyle name="Normal 400 5 3" xfId="41264" xr:uid="{00000000-0005-0000-0000-0000BAA50000}"/>
    <cellStyle name="Normal 400 6" xfId="41265" xr:uid="{00000000-0005-0000-0000-0000BBA50000}"/>
    <cellStyle name="Normal 400 6 2" xfId="41266" xr:uid="{00000000-0005-0000-0000-0000BCA50000}"/>
    <cellStyle name="Normal 400 6 3" xfId="41267" xr:uid="{00000000-0005-0000-0000-0000BDA50000}"/>
    <cellStyle name="Normal 400 7" xfId="41268" xr:uid="{00000000-0005-0000-0000-0000BEA50000}"/>
    <cellStyle name="Normal 400 8" xfId="41269" xr:uid="{00000000-0005-0000-0000-0000BFA50000}"/>
    <cellStyle name="Normal 400 9" xfId="41270" xr:uid="{00000000-0005-0000-0000-0000C0A50000}"/>
    <cellStyle name="Normal 401" xfId="3444" xr:uid="{00000000-0005-0000-0000-0000C1A50000}"/>
    <cellStyle name="Normal 401 10" xfId="41271" xr:uid="{00000000-0005-0000-0000-0000C2A50000}"/>
    <cellStyle name="Normal 401 11" xfId="41272" xr:uid="{00000000-0005-0000-0000-0000C3A50000}"/>
    <cellStyle name="Normal 401 2" xfId="41273" xr:uid="{00000000-0005-0000-0000-0000C4A50000}"/>
    <cellStyle name="Normal 401 2 2" xfId="41274" xr:uid="{00000000-0005-0000-0000-0000C5A50000}"/>
    <cellStyle name="Normal 401 2 2 2" xfId="41275" xr:uid="{00000000-0005-0000-0000-0000C6A50000}"/>
    <cellStyle name="Normal 401 2 2 2 2" xfId="41276" xr:uid="{00000000-0005-0000-0000-0000C7A50000}"/>
    <cellStyle name="Normal 401 2 2 2 2 2" xfId="41277" xr:uid="{00000000-0005-0000-0000-0000C8A50000}"/>
    <cellStyle name="Normal 401 2 2 2 2 3" xfId="41278" xr:uid="{00000000-0005-0000-0000-0000C9A50000}"/>
    <cellStyle name="Normal 401 2 2 2 3" xfId="41279" xr:uid="{00000000-0005-0000-0000-0000CAA50000}"/>
    <cellStyle name="Normal 401 2 2 2 3 2" xfId="41280" xr:uid="{00000000-0005-0000-0000-0000CBA50000}"/>
    <cellStyle name="Normal 401 2 2 2 3 3" xfId="41281" xr:uid="{00000000-0005-0000-0000-0000CCA50000}"/>
    <cellStyle name="Normal 401 2 2 2 4" xfId="41282" xr:uid="{00000000-0005-0000-0000-0000CDA50000}"/>
    <cellStyle name="Normal 401 2 2 2 5" xfId="41283" xr:uid="{00000000-0005-0000-0000-0000CEA50000}"/>
    <cellStyle name="Normal 401 2 2 2 6" xfId="41284" xr:uid="{00000000-0005-0000-0000-0000CFA50000}"/>
    <cellStyle name="Normal 401 2 2 3" xfId="41285" xr:uid="{00000000-0005-0000-0000-0000D0A50000}"/>
    <cellStyle name="Normal 401 2 2 3 2" xfId="41286" xr:uid="{00000000-0005-0000-0000-0000D1A50000}"/>
    <cellStyle name="Normal 401 2 2 3 3" xfId="41287" xr:uid="{00000000-0005-0000-0000-0000D2A50000}"/>
    <cellStyle name="Normal 401 2 2 4" xfId="41288" xr:uid="{00000000-0005-0000-0000-0000D3A50000}"/>
    <cellStyle name="Normal 401 2 2 4 2" xfId="41289" xr:uid="{00000000-0005-0000-0000-0000D4A50000}"/>
    <cellStyle name="Normal 401 2 2 4 3" xfId="41290" xr:uid="{00000000-0005-0000-0000-0000D5A50000}"/>
    <cellStyle name="Normal 401 2 2 5" xfId="41291" xr:uid="{00000000-0005-0000-0000-0000D6A50000}"/>
    <cellStyle name="Normal 401 2 2 6" xfId="41292" xr:uid="{00000000-0005-0000-0000-0000D7A50000}"/>
    <cellStyle name="Normal 401 2 2 7" xfId="41293" xr:uid="{00000000-0005-0000-0000-0000D8A50000}"/>
    <cellStyle name="Normal 401 2 2 8" xfId="41294" xr:uid="{00000000-0005-0000-0000-0000D9A50000}"/>
    <cellStyle name="Normal 401 2 3" xfId="41295" xr:uid="{00000000-0005-0000-0000-0000DAA50000}"/>
    <cellStyle name="Normal 401 2 3 2" xfId="41296" xr:uid="{00000000-0005-0000-0000-0000DBA50000}"/>
    <cellStyle name="Normal 401 2 3 2 2" xfId="41297" xr:uid="{00000000-0005-0000-0000-0000DCA50000}"/>
    <cellStyle name="Normal 401 2 3 2 3" xfId="41298" xr:uid="{00000000-0005-0000-0000-0000DDA50000}"/>
    <cellStyle name="Normal 401 2 3 3" xfId="41299" xr:uid="{00000000-0005-0000-0000-0000DEA50000}"/>
    <cellStyle name="Normal 401 2 3 3 2" xfId="41300" xr:uid="{00000000-0005-0000-0000-0000DFA50000}"/>
    <cellStyle name="Normal 401 2 3 3 3" xfId="41301" xr:uid="{00000000-0005-0000-0000-0000E0A50000}"/>
    <cellStyle name="Normal 401 2 3 4" xfId="41302" xr:uid="{00000000-0005-0000-0000-0000E1A50000}"/>
    <cellStyle name="Normal 401 2 3 5" xfId="41303" xr:uid="{00000000-0005-0000-0000-0000E2A50000}"/>
    <cellStyle name="Normal 401 2 3 6" xfId="41304" xr:uid="{00000000-0005-0000-0000-0000E3A50000}"/>
    <cellStyle name="Normal 401 2 4" xfId="41305" xr:uid="{00000000-0005-0000-0000-0000E4A50000}"/>
    <cellStyle name="Normal 401 2 4 2" xfId="41306" xr:uid="{00000000-0005-0000-0000-0000E5A50000}"/>
    <cellStyle name="Normal 401 2 4 3" xfId="41307" xr:uid="{00000000-0005-0000-0000-0000E6A50000}"/>
    <cellStyle name="Normal 401 2 5" xfId="41308" xr:uid="{00000000-0005-0000-0000-0000E7A50000}"/>
    <cellStyle name="Normal 401 2 5 2" xfId="41309" xr:uid="{00000000-0005-0000-0000-0000E8A50000}"/>
    <cellStyle name="Normal 401 2 5 3" xfId="41310" xr:uid="{00000000-0005-0000-0000-0000E9A50000}"/>
    <cellStyle name="Normal 401 2 6" xfId="41311" xr:uid="{00000000-0005-0000-0000-0000EAA50000}"/>
    <cellStyle name="Normal 401 2 7" xfId="41312" xr:uid="{00000000-0005-0000-0000-0000EBA50000}"/>
    <cellStyle name="Normal 401 2 8" xfId="41313" xr:uid="{00000000-0005-0000-0000-0000ECA50000}"/>
    <cellStyle name="Normal 401 2 9" xfId="41314" xr:uid="{00000000-0005-0000-0000-0000EDA50000}"/>
    <cellStyle name="Normal 401 3" xfId="41315" xr:uid="{00000000-0005-0000-0000-0000EEA50000}"/>
    <cellStyle name="Normal 401 3 2" xfId="41316" xr:uid="{00000000-0005-0000-0000-0000EFA50000}"/>
    <cellStyle name="Normal 401 3 2 2" xfId="41317" xr:uid="{00000000-0005-0000-0000-0000F0A50000}"/>
    <cellStyle name="Normal 401 3 2 2 2" xfId="41318" xr:uid="{00000000-0005-0000-0000-0000F1A50000}"/>
    <cellStyle name="Normal 401 3 2 2 3" xfId="41319" xr:uid="{00000000-0005-0000-0000-0000F2A50000}"/>
    <cellStyle name="Normal 401 3 2 3" xfId="41320" xr:uid="{00000000-0005-0000-0000-0000F3A50000}"/>
    <cellStyle name="Normal 401 3 2 3 2" xfId="41321" xr:uid="{00000000-0005-0000-0000-0000F4A50000}"/>
    <cellStyle name="Normal 401 3 2 3 3" xfId="41322" xr:uid="{00000000-0005-0000-0000-0000F5A50000}"/>
    <cellStyle name="Normal 401 3 2 4" xfId="41323" xr:uid="{00000000-0005-0000-0000-0000F6A50000}"/>
    <cellStyle name="Normal 401 3 2 5" xfId="41324" xr:uid="{00000000-0005-0000-0000-0000F7A50000}"/>
    <cellStyle name="Normal 401 3 2 6" xfId="41325" xr:uid="{00000000-0005-0000-0000-0000F8A50000}"/>
    <cellStyle name="Normal 401 3 3" xfId="41326" xr:uid="{00000000-0005-0000-0000-0000F9A50000}"/>
    <cellStyle name="Normal 401 3 3 2" xfId="41327" xr:uid="{00000000-0005-0000-0000-0000FAA50000}"/>
    <cellStyle name="Normal 401 3 3 3" xfId="41328" xr:uid="{00000000-0005-0000-0000-0000FBA50000}"/>
    <cellStyle name="Normal 401 3 4" xfId="41329" xr:uid="{00000000-0005-0000-0000-0000FCA50000}"/>
    <cellStyle name="Normal 401 3 4 2" xfId="41330" xr:uid="{00000000-0005-0000-0000-0000FDA50000}"/>
    <cellStyle name="Normal 401 3 4 3" xfId="41331" xr:uid="{00000000-0005-0000-0000-0000FEA50000}"/>
    <cellStyle name="Normal 401 3 5" xfId="41332" xr:uid="{00000000-0005-0000-0000-0000FFA50000}"/>
    <cellStyle name="Normal 401 3 6" xfId="41333" xr:uid="{00000000-0005-0000-0000-000000A60000}"/>
    <cellStyle name="Normal 401 3 7" xfId="41334" xr:uid="{00000000-0005-0000-0000-000001A60000}"/>
    <cellStyle name="Normal 401 3 8" xfId="41335" xr:uid="{00000000-0005-0000-0000-000002A60000}"/>
    <cellStyle name="Normal 401 4" xfId="41336" xr:uid="{00000000-0005-0000-0000-000003A60000}"/>
    <cellStyle name="Normal 401 4 2" xfId="41337" xr:uid="{00000000-0005-0000-0000-000004A60000}"/>
    <cellStyle name="Normal 401 4 2 2" xfId="41338" xr:uid="{00000000-0005-0000-0000-000005A60000}"/>
    <cellStyle name="Normal 401 4 2 3" xfId="41339" xr:uid="{00000000-0005-0000-0000-000006A60000}"/>
    <cellStyle name="Normal 401 4 3" xfId="41340" xr:uid="{00000000-0005-0000-0000-000007A60000}"/>
    <cellStyle name="Normal 401 4 3 2" xfId="41341" xr:uid="{00000000-0005-0000-0000-000008A60000}"/>
    <cellStyle name="Normal 401 4 3 3" xfId="41342" xr:uid="{00000000-0005-0000-0000-000009A60000}"/>
    <cellStyle name="Normal 401 4 4" xfId="41343" xr:uid="{00000000-0005-0000-0000-00000AA60000}"/>
    <cellStyle name="Normal 401 4 5" xfId="41344" xr:uid="{00000000-0005-0000-0000-00000BA60000}"/>
    <cellStyle name="Normal 401 4 6" xfId="41345" xr:uid="{00000000-0005-0000-0000-00000CA60000}"/>
    <cellStyle name="Normal 401 5" xfId="41346" xr:uid="{00000000-0005-0000-0000-00000DA60000}"/>
    <cellStyle name="Normal 401 5 2" xfId="41347" xr:uid="{00000000-0005-0000-0000-00000EA60000}"/>
    <cellStyle name="Normal 401 5 3" xfId="41348" xr:uid="{00000000-0005-0000-0000-00000FA60000}"/>
    <cellStyle name="Normal 401 6" xfId="41349" xr:uid="{00000000-0005-0000-0000-000010A60000}"/>
    <cellStyle name="Normal 401 6 2" xfId="41350" xr:uid="{00000000-0005-0000-0000-000011A60000}"/>
    <cellStyle name="Normal 401 6 3" xfId="41351" xr:uid="{00000000-0005-0000-0000-000012A60000}"/>
    <cellStyle name="Normal 401 7" xfId="41352" xr:uid="{00000000-0005-0000-0000-000013A60000}"/>
    <cellStyle name="Normal 401 8" xfId="41353" xr:uid="{00000000-0005-0000-0000-000014A60000}"/>
    <cellStyle name="Normal 401 9" xfId="41354" xr:uid="{00000000-0005-0000-0000-000015A60000}"/>
    <cellStyle name="Normal 402" xfId="3445" xr:uid="{00000000-0005-0000-0000-000016A60000}"/>
    <cellStyle name="Normal 402 10" xfId="41355" xr:uid="{00000000-0005-0000-0000-000017A60000}"/>
    <cellStyle name="Normal 402 11" xfId="41356" xr:uid="{00000000-0005-0000-0000-000018A60000}"/>
    <cellStyle name="Normal 402 2" xfId="3446" xr:uid="{00000000-0005-0000-0000-000019A60000}"/>
    <cellStyle name="Normal 402 2 10" xfId="41357" xr:uid="{00000000-0005-0000-0000-00001AA60000}"/>
    <cellStyle name="Normal 402 2 2" xfId="41358" xr:uid="{00000000-0005-0000-0000-00001BA60000}"/>
    <cellStyle name="Normal 402 2 2 2" xfId="41359" xr:uid="{00000000-0005-0000-0000-00001CA60000}"/>
    <cellStyle name="Normal 402 2 2 2 2" xfId="41360" xr:uid="{00000000-0005-0000-0000-00001DA60000}"/>
    <cellStyle name="Normal 402 2 2 2 2 2" xfId="41361" xr:uid="{00000000-0005-0000-0000-00001EA60000}"/>
    <cellStyle name="Normal 402 2 2 2 2 3" xfId="41362" xr:uid="{00000000-0005-0000-0000-00001FA60000}"/>
    <cellStyle name="Normal 402 2 2 2 3" xfId="41363" xr:uid="{00000000-0005-0000-0000-000020A60000}"/>
    <cellStyle name="Normal 402 2 2 2 3 2" xfId="41364" xr:uid="{00000000-0005-0000-0000-000021A60000}"/>
    <cellStyle name="Normal 402 2 2 2 3 3" xfId="41365" xr:uid="{00000000-0005-0000-0000-000022A60000}"/>
    <cellStyle name="Normal 402 2 2 2 4" xfId="41366" xr:uid="{00000000-0005-0000-0000-000023A60000}"/>
    <cellStyle name="Normal 402 2 2 2 5" xfId="41367" xr:uid="{00000000-0005-0000-0000-000024A60000}"/>
    <cellStyle name="Normal 402 2 2 2 6" xfId="41368" xr:uid="{00000000-0005-0000-0000-000025A60000}"/>
    <cellStyle name="Normal 402 2 2 3" xfId="41369" xr:uid="{00000000-0005-0000-0000-000026A60000}"/>
    <cellStyle name="Normal 402 2 2 3 2" xfId="41370" xr:uid="{00000000-0005-0000-0000-000027A60000}"/>
    <cellStyle name="Normal 402 2 2 3 3" xfId="41371" xr:uid="{00000000-0005-0000-0000-000028A60000}"/>
    <cellStyle name="Normal 402 2 2 4" xfId="41372" xr:uid="{00000000-0005-0000-0000-000029A60000}"/>
    <cellStyle name="Normal 402 2 2 4 2" xfId="41373" xr:uid="{00000000-0005-0000-0000-00002AA60000}"/>
    <cellStyle name="Normal 402 2 2 4 3" xfId="41374" xr:uid="{00000000-0005-0000-0000-00002BA60000}"/>
    <cellStyle name="Normal 402 2 2 5" xfId="41375" xr:uid="{00000000-0005-0000-0000-00002CA60000}"/>
    <cellStyle name="Normal 402 2 2 6" xfId="41376" xr:uid="{00000000-0005-0000-0000-00002DA60000}"/>
    <cellStyle name="Normal 402 2 2 7" xfId="41377" xr:uid="{00000000-0005-0000-0000-00002EA60000}"/>
    <cellStyle name="Normal 402 2 2 8" xfId="41378" xr:uid="{00000000-0005-0000-0000-00002FA60000}"/>
    <cellStyle name="Normal 402 2 3" xfId="41379" xr:uid="{00000000-0005-0000-0000-000030A60000}"/>
    <cellStyle name="Normal 402 2 3 2" xfId="41380" xr:uid="{00000000-0005-0000-0000-000031A60000}"/>
    <cellStyle name="Normal 402 2 3 2 2" xfId="41381" xr:uid="{00000000-0005-0000-0000-000032A60000}"/>
    <cellStyle name="Normal 402 2 3 2 3" xfId="41382" xr:uid="{00000000-0005-0000-0000-000033A60000}"/>
    <cellStyle name="Normal 402 2 3 3" xfId="41383" xr:uid="{00000000-0005-0000-0000-000034A60000}"/>
    <cellStyle name="Normal 402 2 3 3 2" xfId="41384" xr:uid="{00000000-0005-0000-0000-000035A60000}"/>
    <cellStyle name="Normal 402 2 3 3 3" xfId="41385" xr:uid="{00000000-0005-0000-0000-000036A60000}"/>
    <cellStyle name="Normal 402 2 3 4" xfId="41386" xr:uid="{00000000-0005-0000-0000-000037A60000}"/>
    <cellStyle name="Normal 402 2 3 5" xfId="41387" xr:uid="{00000000-0005-0000-0000-000038A60000}"/>
    <cellStyle name="Normal 402 2 3 6" xfId="41388" xr:uid="{00000000-0005-0000-0000-000039A60000}"/>
    <cellStyle name="Normal 402 2 4" xfId="41389" xr:uid="{00000000-0005-0000-0000-00003AA60000}"/>
    <cellStyle name="Normal 402 2 4 2" xfId="41390" xr:uid="{00000000-0005-0000-0000-00003BA60000}"/>
    <cellStyle name="Normal 402 2 4 3" xfId="41391" xr:uid="{00000000-0005-0000-0000-00003CA60000}"/>
    <cellStyle name="Normal 402 2 5" xfId="41392" xr:uid="{00000000-0005-0000-0000-00003DA60000}"/>
    <cellStyle name="Normal 402 2 5 2" xfId="41393" xr:uid="{00000000-0005-0000-0000-00003EA60000}"/>
    <cellStyle name="Normal 402 2 5 3" xfId="41394" xr:uid="{00000000-0005-0000-0000-00003FA60000}"/>
    <cellStyle name="Normal 402 2 6" xfId="41395" xr:uid="{00000000-0005-0000-0000-000040A60000}"/>
    <cellStyle name="Normal 402 2 7" xfId="41396" xr:uid="{00000000-0005-0000-0000-000041A60000}"/>
    <cellStyle name="Normal 402 2 8" xfId="41397" xr:uid="{00000000-0005-0000-0000-000042A60000}"/>
    <cellStyle name="Normal 402 2 9" xfId="41398" xr:uid="{00000000-0005-0000-0000-000043A60000}"/>
    <cellStyle name="Normal 402 3" xfId="41399" xr:uid="{00000000-0005-0000-0000-000044A60000}"/>
    <cellStyle name="Normal 402 3 2" xfId="41400" xr:uid="{00000000-0005-0000-0000-000045A60000}"/>
    <cellStyle name="Normal 402 3 2 2" xfId="41401" xr:uid="{00000000-0005-0000-0000-000046A60000}"/>
    <cellStyle name="Normal 402 3 2 2 2" xfId="41402" xr:uid="{00000000-0005-0000-0000-000047A60000}"/>
    <cellStyle name="Normal 402 3 2 2 3" xfId="41403" xr:uid="{00000000-0005-0000-0000-000048A60000}"/>
    <cellStyle name="Normal 402 3 2 3" xfId="41404" xr:uid="{00000000-0005-0000-0000-000049A60000}"/>
    <cellStyle name="Normal 402 3 2 3 2" xfId="41405" xr:uid="{00000000-0005-0000-0000-00004AA60000}"/>
    <cellStyle name="Normal 402 3 2 3 3" xfId="41406" xr:uid="{00000000-0005-0000-0000-00004BA60000}"/>
    <cellStyle name="Normal 402 3 2 4" xfId="41407" xr:uid="{00000000-0005-0000-0000-00004CA60000}"/>
    <cellStyle name="Normal 402 3 2 5" xfId="41408" xr:uid="{00000000-0005-0000-0000-00004DA60000}"/>
    <cellStyle name="Normal 402 3 2 6" xfId="41409" xr:uid="{00000000-0005-0000-0000-00004EA60000}"/>
    <cellStyle name="Normal 402 3 3" xfId="41410" xr:uid="{00000000-0005-0000-0000-00004FA60000}"/>
    <cellStyle name="Normal 402 3 3 2" xfId="41411" xr:uid="{00000000-0005-0000-0000-000050A60000}"/>
    <cellStyle name="Normal 402 3 3 3" xfId="41412" xr:uid="{00000000-0005-0000-0000-000051A60000}"/>
    <cellStyle name="Normal 402 3 4" xfId="41413" xr:uid="{00000000-0005-0000-0000-000052A60000}"/>
    <cellStyle name="Normal 402 3 4 2" xfId="41414" xr:uid="{00000000-0005-0000-0000-000053A60000}"/>
    <cellStyle name="Normal 402 3 4 3" xfId="41415" xr:uid="{00000000-0005-0000-0000-000054A60000}"/>
    <cellStyle name="Normal 402 3 5" xfId="41416" xr:uid="{00000000-0005-0000-0000-000055A60000}"/>
    <cellStyle name="Normal 402 3 6" xfId="41417" xr:uid="{00000000-0005-0000-0000-000056A60000}"/>
    <cellStyle name="Normal 402 3 7" xfId="41418" xr:uid="{00000000-0005-0000-0000-000057A60000}"/>
    <cellStyle name="Normal 402 3 8" xfId="41419" xr:uid="{00000000-0005-0000-0000-000058A60000}"/>
    <cellStyle name="Normal 402 4" xfId="41420" xr:uid="{00000000-0005-0000-0000-000059A60000}"/>
    <cellStyle name="Normal 402 4 2" xfId="41421" xr:uid="{00000000-0005-0000-0000-00005AA60000}"/>
    <cellStyle name="Normal 402 4 2 2" xfId="41422" xr:uid="{00000000-0005-0000-0000-00005BA60000}"/>
    <cellStyle name="Normal 402 4 2 3" xfId="41423" xr:uid="{00000000-0005-0000-0000-00005CA60000}"/>
    <cellStyle name="Normal 402 4 3" xfId="41424" xr:uid="{00000000-0005-0000-0000-00005DA60000}"/>
    <cellStyle name="Normal 402 4 3 2" xfId="41425" xr:uid="{00000000-0005-0000-0000-00005EA60000}"/>
    <cellStyle name="Normal 402 4 3 3" xfId="41426" xr:uid="{00000000-0005-0000-0000-00005FA60000}"/>
    <cellStyle name="Normal 402 4 4" xfId="41427" xr:uid="{00000000-0005-0000-0000-000060A60000}"/>
    <cellStyle name="Normal 402 4 5" xfId="41428" xr:uid="{00000000-0005-0000-0000-000061A60000}"/>
    <cellStyle name="Normal 402 4 6" xfId="41429" xr:uid="{00000000-0005-0000-0000-000062A60000}"/>
    <cellStyle name="Normal 402 5" xfId="41430" xr:uid="{00000000-0005-0000-0000-000063A60000}"/>
    <cellStyle name="Normal 402 5 2" xfId="41431" xr:uid="{00000000-0005-0000-0000-000064A60000}"/>
    <cellStyle name="Normal 402 5 3" xfId="41432" xr:uid="{00000000-0005-0000-0000-000065A60000}"/>
    <cellStyle name="Normal 402 6" xfId="41433" xr:uid="{00000000-0005-0000-0000-000066A60000}"/>
    <cellStyle name="Normal 402 6 2" xfId="41434" xr:uid="{00000000-0005-0000-0000-000067A60000}"/>
    <cellStyle name="Normal 402 6 3" xfId="41435" xr:uid="{00000000-0005-0000-0000-000068A60000}"/>
    <cellStyle name="Normal 402 7" xfId="41436" xr:uid="{00000000-0005-0000-0000-000069A60000}"/>
    <cellStyle name="Normal 402 8" xfId="41437" xr:uid="{00000000-0005-0000-0000-00006AA60000}"/>
    <cellStyle name="Normal 402 9" xfId="41438" xr:uid="{00000000-0005-0000-0000-00006BA60000}"/>
    <cellStyle name="Normal 403" xfId="3447" xr:uid="{00000000-0005-0000-0000-00006CA60000}"/>
    <cellStyle name="Normal 403 10" xfId="41439" xr:uid="{00000000-0005-0000-0000-00006DA60000}"/>
    <cellStyle name="Normal 403 11" xfId="41440" xr:uid="{00000000-0005-0000-0000-00006EA60000}"/>
    <cellStyle name="Normal 403 2" xfId="41441" xr:uid="{00000000-0005-0000-0000-00006FA60000}"/>
    <cellStyle name="Normal 403 2 2" xfId="41442" xr:uid="{00000000-0005-0000-0000-000070A60000}"/>
    <cellStyle name="Normal 403 2 2 2" xfId="41443" xr:uid="{00000000-0005-0000-0000-000071A60000}"/>
    <cellStyle name="Normal 403 2 2 2 2" xfId="41444" xr:uid="{00000000-0005-0000-0000-000072A60000}"/>
    <cellStyle name="Normal 403 2 2 2 2 2" xfId="41445" xr:uid="{00000000-0005-0000-0000-000073A60000}"/>
    <cellStyle name="Normal 403 2 2 2 2 3" xfId="41446" xr:uid="{00000000-0005-0000-0000-000074A60000}"/>
    <cellStyle name="Normal 403 2 2 2 3" xfId="41447" xr:uid="{00000000-0005-0000-0000-000075A60000}"/>
    <cellStyle name="Normal 403 2 2 2 3 2" xfId="41448" xr:uid="{00000000-0005-0000-0000-000076A60000}"/>
    <cellStyle name="Normal 403 2 2 2 3 3" xfId="41449" xr:uid="{00000000-0005-0000-0000-000077A60000}"/>
    <cellStyle name="Normal 403 2 2 2 4" xfId="41450" xr:uid="{00000000-0005-0000-0000-000078A60000}"/>
    <cellStyle name="Normal 403 2 2 2 5" xfId="41451" xr:uid="{00000000-0005-0000-0000-000079A60000}"/>
    <cellStyle name="Normal 403 2 2 2 6" xfId="41452" xr:uid="{00000000-0005-0000-0000-00007AA60000}"/>
    <cellStyle name="Normal 403 2 2 3" xfId="41453" xr:uid="{00000000-0005-0000-0000-00007BA60000}"/>
    <cellStyle name="Normal 403 2 2 3 2" xfId="41454" xr:uid="{00000000-0005-0000-0000-00007CA60000}"/>
    <cellStyle name="Normal 403 2 2 3 3" xfId="41455" xr:uid="{00000000-0005-0000-0000-00007DA60000}"/>
    <cellStyle name="Normal 403 2 2 4" xfId="41456" xr:uid="{00000000-0005-0000-0000-00007EA60000}"/>
    <cellStyle name="Normal 403 2 2 4 2" xfId="41457" xr:uid="{00000000-0005-0000-0000-00007FA60000}"/>
    <cellStyle name="Normal 403 2 2 4 3" xfId="41458" xr:uid="{00000000-0005-0000-0000-000080A60000}"/>
    <cellStyle name="Normal 403 2 2 5" xfId="41459" xr:uid="{00000000-0005-0000-0000-000081A60000}"/>
    <cellStyle name="Normal 403 2 2 6" xfId="41460" xr:uid="{00000000-0005-0000-0000-000082A60000}"/>
    <cellStyle name="Normal 403 2 2 7" xfId="41461" xr:uid="{00000000-0005-0000-0000-000083A60000}"/>
    <cellStyle name="Normal 403 2 2 8" xfId="41462" xr:uid="{00000000-0005-0000-0000-000084A60000}"/>
    <cellStyle name="Normal 403 2 3" xfId="41463" xr:uid="{00000000-0005-0000-0000-000085A60000}"/>
    <cellStyle name="Normal 403 2 3 2" xfId="41464" xr:uid="{00000000-0005-0000-0000-000086A60000}"/>
    <cellStyle name="Normal 403 2 3 2 2" xfId="41465" xr:uid="{00000000-0005-0000-0000-000087A60000}"/>
    <cellStyle name="Normal 403 2 3 2 3" xfId="41466" xr:uid="{00000000-0005-0000-0000-000088A60000}"/>
    <cellStyle name="Normal 403 2 3 3" xfId="41467" xr:uid="{00000000-0005-0000-0000-000089A60000}"/>
    <cellStyle name="Normal 403 2 3 3 2" xfId="41468" xr:uid="{00000000-0005-0000-0000-00008AA60000}"/>
    <cellStyle name="Normal 403 2 3 3 3" xfId="41469" xr:uid="{00000000-0005-0000-0000-00008BA60000}"/>
    <cellStyle name="Normal 403 2 3 4" xfId="41470" xr:uid="{00000000-0005-0000-0000-00008CA60000}"/>
    <cellStyle name="Normal 403 2 3 5" xfId="41471" xr:uid="{00000000-0005-0000-0000-00008DA60000}"/>
    <cellStyle name="Normal 403 2 3 6" xfId="41472" xr:uid="{00000000-0005-0000-0000-00008EA60000}"/>
    <cellStyle name="Normal 403 2 4" xfId="41473" xr:uid="{00000000-0005-0000-0000-00008FA60000}"/>
    <cellStyle name="Normal 403 2 4 2" xfId="41474" xr:uid="{00000000-0005-0000-0000-000090A60000}"/>
    <cellStyle name="Normal 403 2 4 3" xfId="41475" xr:uid="{00000000-0005-0000-0000-000091A60000}"/>
    <cellStyle name="Normal 403 2 5" xfId="41476" xr:uid="{00000000-0005-0000-0000-000092A60000}"/>
    <cellStyle name="Normal 403 2 5 2" xfId="41477" xr:uid="{00000000-0005-0000-0000-000093A60000}"/>
    <cellStyle name="Normal 403 2 5 3" xfId="41478" xr:uid="{00000000-0005-0000-0000-000094A60000}"/>
    <cellStyle name="Normal 403 2 6" xfId="41479" xr:uid="{00000000-0005-0000-0000-000095A60000}"/>
    <cellStyle name="Normal 403 2 7" xfId="41480" xr:uid="{00000000-0005-0000-0000-000096A60000}"/>
    <cellStyle name="Normal 403 2 8" xfId="41481" xr:uid="{00000000-0005-0000-0000-000097A60000}"/>
    <cellStyle name="Normal 403 2 9" xfId="41482" xr:uid="{00000000-0005-0000-0000-000098A60000}"/>
    <cellStyle name="Normal 403 3" xfId="41483" xr:uid="{00000000-0005-0000-0000-000099A60000}"/>
    <cellStyle name="Normal 403 3 2" xfId="41484" xr:uid="{00000000-0005-0000-0000-00009AA60000}"/>
    <cellStyle name="Normal 403 3 2 2" xfId="41485" xr:uid="{00000000-0005-0000-0000-00009BA60000}"/>
    <cellStyle name="Normal 403 3 2 2 2" xfId="41486" xr:uid="{00000000-0005-0000-0000-00009CA60000}"/>
    <cellStyle name="Normal 403 3 2 2 3" xfId="41487" xr:uid="{00000000-0005-0000-0000-00009DA60000}"/>
    <cellStyle name="Normal 403 3 2 3" xfId="41488" xr:uid="{00000000-0005-0000-0000-00009EA60000}"/>
    <cellStyle name="Normal 403 3 2 3 2" xfId="41489" xr:uid="{00000000-0005-0000-0000-00009FA60000}"/>
    <cellStyle name="Normal 403 3 2 3 3" xfId="41490" xr:uid="{00000000-0005-0000-0000-0000A0A60000}"/>
    <cellStyle name="Normal 403 3 2 4" xfId="41491" xr:uid="{00000000-0005-0000-0000-0000A1A60000}"/>
    <cellStyle name="Normal 403 3 2 5" xfId="41492" xr:uid="{00000000-0005-0000-0000-0000A2A60000}"/>
    <cellStyle name="Normal 403 3 2 6" xfId="41493" xr:uid="{00000000-0005-0000-0000-0000A3A60000}"/>
    <cellStyle name="Normal 403 3 3" xfId="41494" xr:uid="{00000000-0005-0000-0000-0000A4A60000}"/>
    <cellStyle name="Normal 403 3 3 2" xfId="41495" xr:uid="{00000000-0005-0000-0000-0000A5A60000}"/>
    <cellStyle name="Normal 403 3 3 3" xfId="41496" xr:uid="{00000000-0005-0000-0000-0000A6A60000}"/>
    <cellStyle name="Normal 403 3 4" xfId="41497" xr:uid="{00000000-0005-0000-0000-0000A7A60000}"/>
    <cellStyle name="Normal 403 3 4 2" xfId="41498" xr:uid="{00000000-0005-0000-0000-0000A8A60000}"/>
    <cellStyle name="Normal 403 3 4 3" xfId="41499" xr:uid="{00000000-0005-0000-0000-0000A9A60000}"/>
    <cellStyle name="Normal 403 3 5" xfId="41500" xr:uid="{00000000-0005-0000-0000-0000AAA60000}"/>
    <cellStyle name="Normal 403 3 6" xfId="41501" xr:uid="{00000000-0005-0000-0000-0000ABA60000}"/>
    <cellStyle name="Normal 403 3 7" xfId="41502" xr:uid="{00000000-0005-0000-0000-0000ACA60000}"/>
    <cellStyle name="Normal 403 3 8" xfId="41503" xr:uid="{00000000-0005-0000-0000-0000ADA60000}"/>
    <cellStyle name="Normal 403 4" xfId="41504" xr:uid="{00000000-0005-0000-0000-0000AEA60000}"/>
    <cellStyle name="Normal 403 4 2" xfId="41505" xr:uid="{00000000-0005-0000-0000-0000AFA60000}"/>
    <cellStyle name="Normal 403 4 2 2" xfId="41506" xr:uid="{00000000-0005-0000-0000-0000B0A60000}"/>
    <cellStyle name="Normal 403 4 2 3" xfId="41507" xr:uid="{00000000-0005-0000-0000-0000B1A60000}"/>
    <cellStyle name="Normal 403 4 3" xfId="41508" xr:uid="{00000000-0005-0000-0000-0000B2A60000}"/>
    <cellStyle name="Normal 403 4 3 2" xfId="41509" xr:uid="{00000000-0005-0000-0000-0000B3A60000}"/>
    <cellStyle name="Normal 403 4 3 3" xfId="41510" xr:uid="{00000000-0005-0000-0000-0000B4A60000}"/>
    <cellStyle name="Normal 403 4 4" xfId="41511" xr:uid="{00000000-0005-0000-0000-0000B5A60000}"/>
    <cellStyle name="Normal 403 4 5" xfId="41512" xr:uid="{00000000-0005-0000-0000-0000B6A60000}"/>
    <cellStyle name="Normal 403 4 6" xfId="41513" xr:uid="{00000000-0005-0000-0000-0000B7A60000}"/>
    <cellStyle name="Normal 403 5" xfId="41514" xr:uid="{00000000-0005-0000-0000-0000B8A60000}"/>
    <cellStyle name="Normal 403 5 2" xfId="41515" xr:uid="{00000000-0005-0000-0000-0000B9A60000}"/>
    <cellStyle name="Normal 403 5 3" xfId="41516" xr:uid="{00000000-0005-0000-0000-0000BAA60000}"/>
    <cellStyle name="Normal 403 6" xfId="41517" xr:uid="{00000000-0005-0000-0000-0000BBA60000}"/>
    <cellStyle name="Normal 403 6 2" xfId="41518" xr:uid="{00000000-0005-0000-0000-0000BCA60000}"/>
    <cellStyle name="Normal 403 6 3" xfId="41519" xr:uid="{00000000-0005-0000-0000-0000BDA60000}"/>
    <cellStyle name="Normal 403 7" xfId="41520" xr:uid="{00000000-0005-0000-0000-0000BEA60000}"/>
    <cellStyle name="Normal 403 8" xfId="41521" xr:uid="{00000000-0005-0000-0000-0000BFA60000}"/>
    <cellStyle name="Normal 403 9" xfId="41522" xr:uid="{00000000-0005-0000-0000-0000C0A60000}"/>
    <cellStyle name="Normal 404" xfId="3448" xr:uid="{00000000-0005-0000-0000-0000C1A60000}"/>
    <cellStyle name="Normal 404 10" xfId="41523" xr:uid="{00000000-0005-0000-0000-0000C2A60000}"/>
    <cellStyle name="Normal 404 11" xfId="41524" xr:uid="{00000000-0005-0000-0000-0000C3A60000}"/>
    <cellStyle name="Normal 404 2" xfId="41525" xr:uid="{00000000-0005-0000-0000-0000C4A60000}"/>
    <cellStyle name="Normal 404 2 2" xfId="41526" xr:uid="{00000000-0005-0000-0000-0000C5A60000}"/>
    <cellStyle name="Normal 404 2 2 2" xfId="41527" xr:uid="{00000000-0005-0000-0000-0000C6A60000}"/>
    <cellStyle name="Normal 404 2 2 2 2" xfId="41528" xr:uid="{00000000-0005-0000-0000-0000C7A60000}"/>
    <cellStyle name="Normal 404 2 2 2 2 2" xfId="41529" xr:uid="{00000000-0005-0000-0000-0000C8A60000}"/>
    <cellStyle name="Normal 404 2 2 2 2 3" xfId="41530" xr:uid="{00000000-0005-0000-0000-0000C9A60000}"/>
    <cellStyle name="Normal 404 2 2 2 3" xfId="41531" xr:uid="{00000000-0005-0000-0000-0000CAA60000}"/>
    <cellStyle name="Normal 404 2 2 2 3 2" xfId="41532" xr:uid="{00000000-0005-0000-0000-0000CBA60000}"/>
    <cellStyle name="Normal 404 2 2 2 3 3" xfId="41533" xr:uid="{00000000-0005-0000-0000-0000CCA60000}"/>
    <cellStyle name="Normal 404 2 2 2 4" xfId="41534" xr:uid="{00000000-0005-0000-0000-0000CDA60000}"/>
    <cellStyle name="Normal 404 2 2 2 5" xfId="41535" xr:uid="{00000000-0005-0000-0000-0000CEA60000}"/>
    <cellStyle name="Normal 404 2 2 2 6" xfId="41536" xr:uid="{00000000-0005-0000-0000-0000CFA60000}"/>
    <cellStyle name="Normal 404 2 2 3" xfId="41537" xr:uid="{00000000-0005-0000-0000-0000D0A60000}"/>
    <cellStyle name="Normal 404 2 2 3 2" xfId="41538" xr:uid="{00000000-0005-0000-0000-0000D1A60000}"/>
    <cellStyle name="Normal 404 2 2 3 3" xfId="41539" xr:uid="{00000000-0005-0000-0000-0000D2A60000}"/>
    <cellStyle name="Normal 404 2 2 4" xfId="41540" xr:uid="{00000000-0005-0000-0000-0000D3A60000}"/>
    <cellStyle name="Normal 404 2 2 4 2" xfId="41541" xr:uid="{00000000-0005-0000-0000-0000D4A60000}"/>
    <cellStyle name="Normal 404 2 2 4 3" xfId="41542" xr:uid="{00000000-0005-0000-0000-0000D5A60000}"/>
    <cellStyle name="Normal 404 2 2 5" xfId="41543" xr:uid="{00000000-0005-0000-0000-0000D6A60000}"/>
    <cellStyle name="Normal 404 2 2 6" xfId="41544" xr:uid="{00000000-0005-0000-0000-0000D7A60000}"/>
    <cellStyle name="Normal 404 2 2 7" xfId="41545" xr:uid="{00000000-0005-0000-0000-0000D8A60000}"/>
    <cellStyle name="Normal 404 2 2 8" xfId="41546" xr:uid="{00000000-0005-0000-0000-0000D9A60000}"/>
    <cellStyle name="Normal 404 2 3" xfId="41547" xr:uid="{00000000-0005-0000-0000-0000DAA60000}"/>
    <cellStyle name="Normal 404 2 3 2" xfId="41548" xr:uid="{00000000-0005-0000-0000-0000DBA60000}"/>
    <cellStyle name="Normal 404 2 3 2 2" xfId="41549" xr:uid="{00000000-0005-0000-0000-0000DCA60000}"/>
    <cellStyle name="Normal 404 2 3 2 3" xfId="41550" xr:uid="{00000000-0005-0000-0000-0000DDA60000}"/>
    <cellStyle name="Normal 404 2 3 3" xfId="41551" xr:uid="{00000000-0005-0000-0000-0000DEA60000}"/>
    <cellStyle name="Normal 404 2 3 3 2" xfId="41552" xr:uid="{00000000-0005-0000-0000-0000DFA60000}"/>
    <cellStyle name="Normal 404 2 3 3 3" xfId="41553" xr:uid="{00000000-0005-0000-0000-0000E0A60000}"/>
    <cellStyle name="Normal 404 2 3 4" xfId="41554" xr:uid="{00000000-0005-0000-0000-0000E1A60000}"/>
    <cellStyle name="Normal 404 2 3 5" xfId="41555" xr:uid="{00000000-0005-0000-0000-0000E2A60000}"/>
    <cellStyle name="Normal 404 2 3 6" xfId="41556" xr:uid="{00000000-0005-0000-0000-0000E3A60000}"/>
    <cellStyle name="Normal 404 2 4" xfId="41557" xr:uid="{00000000-0005-0000-0000-0000E4A60000}"/>
    <cellStyle name="Normal 404 2 4 2" xfId="41558" xr:uid="{00000000-0005-0000-0000-0000E5A60000}"/>
    <cellStyle name="Normal 404 2 4 3" xfId="41559" xr:uid="{00000000-0005-0000-0000-0000E6A60000}"/>
    <cellStyle name="Normal 404 2 5" xfId="41560" xr:uid="{00000000-0005-0000-0000-0000E7A60000}"/>
    <cellStyle name="Normal 404 2 5 2" xfId="41561" xr:uid="{00000000-0005-0000-0000-0000E8A60000}"/>
    <cellStyle name="Normal 404 2 5 3" xfId="41562" xr:uid="{00000000-0005-0000-0000-0000E9A60000}"/>
    <cellStyle name="Normal 404 2 6" xfId="41563" xr:uid="{00000000-0005-0000-0000-0000EAA60000}"/>
    <cellStyle name="Normal 404 2 7" xfId="41564" xr:uid="{00000000-0005-0000-0000-0000EBA60000}"/>
    <cellStyle name="Normal 404 2 8" xfId="41565" xr:uid="{00000000-0005-0000-0000-0000ECA60000}"/>
    <cellStyle name="Normal 404 2 9" xfId="41566" xr:uid="{00000000-0005-0000-0000-0000EDA60000}"/>
    <cellStyle name="Normal 404 3" xfId="41567" xr:uid="{00000000-0005-0000-0000-0000EEA60000}"/>
    <cellStyle name="Normal 404 3 2" xfId="41568" xr:uid="{00000000-0005-0000-0000-0000EFA60000}"/>
    <cellStyle name="Normal 404 3 2 2" xfId="41569" xr:uid="{00000000-0005-0000-0000-0000F0A60000}"/>
    <cellStyle name="Normal 404 3 2 2 2" xfId="41570" xr:uid="{00000000-0005-0000-0000-0000F1A60000}"/>
    <cellStyle name="Normal 404 3 2 2 3" xfId="41571" xr:uid="{00000000-0005-0000-0000-0000F2A60000}"/>
    <cellStyle name="Normal 404 3 2 3" xfId="41572" xr:uid="{00000000-0005-0000-0000-0000F3A60000}"/>
    <cellStyle name="Normal 404 3 2 3 2" xfId="41573" xr:uid="{00000000-0005-0000-0000-0000F4A60000}"/>
    <cellStyle name="Normal 404 3 2 3 3" xfId="41574" xr:uid="{00000000-0005-0000-0000-0000F5A60000}"/>
    <cellStyle name="Normal 404 3 2 4" xfId="41575" xr:uid="{00000000-0005-0000-0000-0000F6A60000}"/>
    <cellStyle name="Normal 404 3 2 5" xfId="41576" xr:uid="{00000000-0005-0000-0000-0000F7A60000}"/>
    <cellStyle name="Normal 404 3 2 6" xfId="41577" xr:uid="{00000000-0005-0000-0000-0000F8A60000}"/>
    <cellStyle name="Normal 404 3 3" xfId="41578" xr:uid="{00000000-0005-0000-0000-0000F9A60000}"/>
    <cellStyle name="Normal 404 3 3 2" xfId="41579" xr:uid="{00000000-0005-0000-0000-0000FAA60000}"/>
    <cellStyle name="Normal 404 3 3 3" xfId="41580" xr:uid="{00000000-0005-0000-0000-0000FBA60000}"/>
    <cellStyle name="Normal 404 3 4" xfId="41581" xr:uid="{00000000-0005-0000-0000-0000FCA60000}"/>
    <cellStyle name="Normal 404 3 4 2" xfId="41582" xr:uid="{00000000-0005-0000-0000-0000FDA60000}"/>
    <cellStyle name="Normal 404 3 4 3" xfId="41583" xr:uid="{00000000-0005-0000-0000-0000FEA60000}"/>
    <cellStyle name="Normal 404 3 5" xfId="41584" xr:uid="{00000000-0005-0000-0000-0000FFA60000}"/>
    <cellStyle name="Normal 404 3 6" xfId="41585" xr:uid="{00000000-0005-0000-0000-000000A70000}"/>
    <cellStyle name="Normal 404 3 7" xfId="41586" xr:uid="{00000000-0005-0000-0000-000001A70000}"/>
    <cellStyle name="Normal 404 3 8" xfId="41587" xr:uid="{00000000-0005-0000-0000-000002A70000}"/>
    <cellStyle name="Normal 404 4" xfId="41588" xr:uid="{00000000-0005-0000-0000-000003A70000}"/>
    <cellStyle name="Normal 404 4 2" xfId="41589" xr:uid="{00000000-0005-0000-0000-000004A70000}"/>
    <cellStyle name="Normal 404 4 2 2" xfId="41590" xr:uid="{00000000-0005-0000-0000-000005A70000}"/>
    <cellStyle name="Normal 404 4 2 3" xfId="41591" xr:uid="{00000000-0005-0000-0000-000006A70000}"/>
    <cellStyle name="Normal 404 4 3" xfId="41592" xr:uid="{00000000-0005-0000-0000-000007A70000}"/>
    <cellStyle name="Normal 404 4 3 2" xfId="41593" xr:uid="{00000000-0005-0000-0000-000008A70000}"/>
    <cellStyle name="Normal 404 4 3 3" xfId="41594" xr:uid="{00000000-0005-0000-0000-000009A70000}"/>
    <cellStyle name="Normal 404 4 4" xfId="41595" xr:uid="{00000000-0005-0000-0000-00000AA70000}"/>
    <cellStyle name="Normal 404 4 5" xfId="41596" xr:uid="{00000000-0005-0000-0000-00000BA70000}"/>
    <cellStyle name="Normal 404 4 6" xfId="41597" xr:uid="{00000000-0005-0000-0000-00000CA70000}"/>
    <cellStyle name="Normal 404 5" xfId="41598" xr:uid="{00000000-0005-0000-0000-00000DA70000}"/>
    <cellStyle name="Normal 404 5 2" xfId="41599" xr:uid="{00000000-0005-0000-0000-00000EA70000}"/>
    <cellStyle name="Normal 404 5 3" xfId="41600" xr:uid="{00000000-0005-0000-0000-00000FA70000}"/>
    <cellStyle name="Normal 404 6" xfId="41601" xr:uid="{00000000-0005-0000-0000-000010A70000}"/>
    <cellStyle name="Normal 404 6 2" xfId="41602" xr:uid="{00000000-0005-0000-0000-000011A70000}"/>
    <cellStyle name="Normal 404 6 3" xfId="41603" xr:uid="{00000000-0005-0000-0000-000012A70000}"/>
    <cellStyle name="Normal 404 7" xfId="41604" xr:uid="{00000000-0005-0000-0000-000013A70000}"/>
    <cellStyle name="Normal 404 8" xfId="41605" xr:uid="{00000000-0005-0000-0000-000014A70000}"/>
    <cellStyle name="Normal 404 9" xfId="41606" xr:uid="{00000000-0005-0000-0000-000015A70000}"/>
    <cellStyle name="Normal 405" xfId="3449" xr:uid="{00000000-0005-0000-0000-000016A70000}"/>
    <cellStyle name="Normal 405 10" xfId="41607" xr:uid="{00000000-0005-0000-0000-000017A70000}"/>
    <cellStyle name="Normal 405 11" xfId="41608" xr:uid="{00000000-0005-0000-0000-000018A70000}"/>
    <cellStyle name="Normal 405 2" xfId="3450" xr:uid="{00000000-0005-0000-0000-000019A70000}"/>
    <cellStyle name="Normal 405 2 10" xfId="41609" xr:uid="{00000000-0005-0000-0000-00001AA70000}"/>
    <cellStyle name="Normal 405 2 2" xfId="41610" xr:uid="{00000000-0005-0000-0000-00001BA70000}"/>
    <cellStyle name="Normal 405 2 2 2" xfId="41611" xr:uid="{00000000-0005-0000-0000-00001CA70000}"/>
    <cellStyle name="Normal 405 2 2 2 2" xfId="41612" xr:uid="{00000000-0005-0000-0000-00001DA70000}"/>
    <cellStyle name="Normal 405 2 2 2 2 2" xfId="41613" xr:uid="{00000000-0005-0000-0000-00001EA70000}"/>
    <cellStyle name="Normal 405 2 2 2 2 3" xfId="41614" xr:uid="{00000000-0005-0000-0000-00001FA70000}"/>
    <cellStyle name="Normal 405 2 2 2 3" xfId="41615" xr:uid="{00000000-0005-0000-0000-000020A70000}"/>
    <cellStyle name="Normal 405 2 2 2 3 2" xfId="41616" xr:uid="{00000000-0005-0000-0000-000021A70000}"/>
    <cellStyle name="Normal 405 2 2 2 3 3" xfId="41617" xr:uid="{00000000-0005-0000-0000-000022A70000}"/>
    <cellStyle name="Normal 405 2 2 2 4" xfId="41618" xr:uid="{00000000-0005-0000-0000-000023A70000}"/>
    <cellStyle name="Normal 405 2 2 2 5" xfId="41619" xr:uid="{00000000-0005-0000-0000-000024A70000}"/>
    <cellStyle name="Normal 405 2 2 2 6" xfId="41620" xr:uid="{00000000-0005-0000-0000-000025A70000}"/>
    <cellStyle name="Normal 405 2 2 3" xfId="41621" xr:uid="{00000000-0005-0000-0000-000026A70000}"/>
    <cellStyle name="Normal 405 2 2 3 2" xfId="41622" xr:uid="{00000000-0005-0000-0000-000027A70000}"/>
    <cellStyle name="Normal 405 2 2 3 3" xfId="41623" xr:uid="{00000000-0005-0000-0000-000028A70000}"/>
    <cellStyle name="Normal 405 2 2 4" xfId="41624" xr:uid="{00000000-0005-0000-0000-000029A70000}"/>
    <cellStyle name="Normal 405 2 2 4 2" xfId="41625" xr:uid="{00000000-0005-0000-0000-00002AA70000}"/>
    <cellStyle name="Normal 405 2 2 4 3" xfId="41626" xr:uid="{00000000-0005-0000-0000-00002BA70000}"/>
    <cellStyle name="Normal 405 2 2 5" xfId="41627" xr:uid="{00000000-0005-0000-0000-00002CA70000}"/>
    <cellStyle name="Normal 405 2 2 6" xfId="41628" xr:uid="{00000000-0005-0000-0000-00002DA70000}"/>
    <cellStyle name="Normal 405 2 2 7" xfId="41629" xr:uid="{00000000-0005-0000-0000-00002EA70000}"/>
    <cellStyle name="Normal 405 2 2 8" xfId="41630" xr:uid="{00000000-0005-0000-0000-00002FA70000}"/>
    <cellStyle name="Normal 405 2 3" xfId="41631" xr:uid="{00000000-0005-0000-0000-000030A70000}"/>
    <cellStyle name="Normal 405 2 3 2" xfId="41632" xr:uid="{00000000-0005-0000-0000-000031A70000}"/>
    <cellStyle name="Normal 405 2 3 2 2" xfId="41633" xr:uid="{00000000-0005-0000-0000-000032A70000}"/>
    <cellStyle name="Normal 405 2 3 2 3" xfId="41634" xr:uid="{00000000-0005-0000-0000-000033A70000}"/>
    <cellStyle name="Normal 405 2 3 3" xfId="41635" xr:uid="{00000000-0005-0000-0000-000034A70000}"/>
    <cellStyle name="Normal 405 2 3 3 2" xfId="41636" xr:uid="{00000000-0005-0000-0000-000035A70000}"/>
    <cellStyle name="Normal 405 2 3 3 3" xfId="41637" xr:uid="{00000000-0005-0000-0000-000036A70000}"/>
    <cellStyle name="Normal 405 2 3 4" xfId="41638" xr:uid="{00000000-0005-0000-0000-000037A70000}"/>
    <cellStyle name="Normal 405 2 3 5" xfId="41639" xr:uid="{00000000-0005-0000-0000-000038A70000}"/>
    <cellStyle name="Normal 405 2 3 6" xfId="41640" xr:uid="{00000000-0005-0000-0000-000039A70000}"/>
    <cellStyle name="Normal 405 2 4" xfId="41641" xr:uid="{00000000-0005-0000-0000-00003AA70000}"/>
    <cellStyle name="Normal 405 2 4 2" xfId="41642" xr:uid="{00000000-0005-0000-0000-00003BA70000}"/>
    <cellStyle name="Normal 405 2 4 3" xfId="41643" xr:uid="{00000000-0005-0000-0000-00003CA70000}"/>
    <cellStyle name="Normal 405 2 5" xfId="41644" xr:uid="{00000000-0005-0000-0000-00003DA70000}"/>
    <cellStyle name="Normal 405 2 5 2" xfId="41645" xr:uid="{00000000-0005-0000-0000-00003EA70000}"/>
    <cellStyle name="Normal 405 2 5 3" xfId="41646" xr:uid="{00000000-0005-0000-0000-00003FA70000}"/>
    <cellStyle name="Normal 405 2 6" xfId="41647" xr:uid="{00000000-0005-0000-0000-000040A70000}"/>
    <cellStyle name="Normal 405 2 7" xfId="41648" xr:uid="{00000000-0005-0000-0000-000041A70000}"/>
    <cellStyle name="Normal 405 2 8" xfId="41649" xr:uid="{00000000-0005-0000-0000-000042A70000}"/>
    <cellStyle name="Normal 405 2 9" xfId="41650" xr:uid="{00000000-0005-0000-0000-000043A70000}"/>
    <cellStyle name="Normal 405 3" xfId="41651" xr:uid="{00000000-0005-0000-0000-000044A70000}"/>
    <cellStyle name="Normal 405 3 2" xfId="41652" xr:uid="{00000000-0005-0000-0000-000045A70000}"/>
    <cellStyle name="Normal 405 3 2 2" xfId="41653" xr:uid="{00000000-0005-0000-0000-000046A70000}"/>
    <cellStyle name="Normal 405 3 2 2 2" xfId="41654" xr:uid="{00000000-0005-0000-0000-000047A70000}"/>
    <cellStyle name="Normal 405 3 2 2 3" xfId="41655" xr:uid="{00000000-0005-0000-0000-000048A70000}"/>
    <cellStyle name="Normal 405 3 2 3" xfId="41656" xr:uid="{00000000-0005-0000-0000-000049A70000}"/>
    <cellStyle name="Normal 405 3 2 3 2" xfId="41657" xr:uid="{00000000-0005-0000-0000-00004AA70000}"/>
    <cellStyle name="Normal 405 3 2 3 3" xfId="41658" xr:uid="{00000000-0005-0000-0000-00004BA70000}"/>
    <cellStyle name="Normal 405 3 2 4" xfId="41659" xr:uid="{00000000-0005-0000-0000-00004CA70000}"/>
    <cellStyle name="Normal 405 3 2 5" xfId="41660" xr:uid="{00000000-0005-0000-0000-00004DA70000}"/>
    <cellStyle name="Normal 405 3 2 6" xfId="41661" xr:uid="{00000000-0005-0000-0000-00004EA70000}"/>
    <cellStyle name="Normal 405 3 3" xfId="41662" xr:uid="{00000000-0005-0000-0000-00004FA70000}"/>
    <cellStyle name="Normal 405 3 3 2" xfId="41663" xr:uid="{00000000-0005-0000-0000-000050A70000}"/>
    <cellStyle name="Normal 405 3 3 3" xfId="41664" xr:uid="{00000000-0005-0000-0000-000051A70000}"/>
    <cellStyle name="Normal 405 3 4" xfId="41665" xr:uid="{00000000-0005-0000-0000-000052A70000}"/>
    <cellStyle name="Normal 405 3 4 2" xfId="41666" xr:uid="{00000000-0005-0000-0000-000053A70000}"/>
    <cellStyle name="Normal 405 3 4 3" xfId="41667" xr:uid="{00000000-0005-0000-0000-000054A70000}"/>
    <cellStyle name="Normal 405 3 5" xfId="41668" xr:uid="{00000000-0005-0000-0000-000055A70000}"/>
    <cellStyle name="Normal 405 3 6" xfId="41669" xr:uid="{00000000-0005-0000-0000-000056A70000}"/>
    <cellStyle name="Normal 405 3 7" xfId="41670" xr:uid="{00000000-0005-0000-0000-000057A70000}"/>
    <cellStyle name="Normal 405 3 8" xfId="41671" xr:uid="{00000000-0005-0000-0000-000058A70000}"/>
    <cellStyle name="Normal 405 4" xfId="41672" xr:uid="{00000000-0005-0000-0000-000059A70000}"/>
    <cellStyle name="Normal 405 4 2" xfId="41673" xr:uid="{00000000-0005-0000-0000-00005AA70000}"/>
    <cellStyle name="Normal 405 4 2 2" xfId="41674" xr:uid="{00000000-0005-0000-0000-00005BA70000}"/>
    <cellStyle name="Normal 405 4 2 3" xfId="41675" xr:uid="{00000000-0005-0000-0000-00005CA70000}"/>
    <cellStyle name="Normal 405 4 3" xfId="41676" xr:uid="{00000000-0005-0000-0000-00005DA70000}"/>
    <cellStyle name="Normal 405 4 3 2" xfId="41677" xr:uid="{00000000-0005-0000-0000-00005EA70000}"/>
    <cellStyle name="Normal 405 4 3 3" xfId="41678" xr:uid="{00000000-0005-0000-0000-00005FA70000}"/>
    <cellStyle name="Normal 405 4 4" xfId="41679" xr:uid="{00000000-0005-0000-0000-000060A70000}"/>
    <cellStyle name="Normal 405 4 5" xfId="41680" xr:uid="{00000000-0005-0000-0000-000061A70000}"/>
    <cellStyle name="Normal 405 4 6" xfId="41681" xr:uid="{00000000-0005-0000-0000-000062A70000}"/>
    <cellStyle name="Normal 405 5" xfId="41682" xr:uid="{00000000-0005-0000-0000-000063A70000}"/>
    <cellStyle name="Normal 405 5 2" xfId="41683" xr:uid="{00000000-0005-0000-0000-000064A70000}"/>
    <cellStyle name="Normal 405 5 3" xfId="41684" xr:uid="{00000000-0005-0000-0000-000065A70000}"/>
    <cellStyle name="Normal 405 6" xfId="41685" xr:uid="{00000000-0005-0000-0000-000066A70000}"/>
    <cellStyle name="Normal 405 6 2" xfId="41686" xr:uid="{00000000-0005-0000-0000-000067A70000}"/>
    <cellStyle name="Normal 405 6 3" xfId="41687" xr:uid="{00000000-0005-0000-0000-000068A70000}"/>
    <cellStyle name="Normal 405 7" xfId="41688" xr:uid="{00000000-0005-0000-0000-000069A70000}"/>
    <cellStyle name="Normal 405 8" xfId="41689" xr:uid="{00000000-0005-0000-0000-00006AA70000}"/>
    <cellStyle name="Normal 405 9" xfId="41690" xr:uid="{00000000-0005-0000-0000-00006BA70000}"/>
    <cellStyle name="Normal 406" xfId="3451" xr:uid="{00000000-0005-0000-0000-00006CA70000}"/>
    <cellStyle name="Normal 406 10" xfId="41691" xr:uid="{00000000-0005-0000-0000-00006DA70000}"/>
    <cellStyle name="Normal 406 11" xfId="41692" xr:uid="{00000000-0005-0000-0000-00006EA70000}"/>
    <cellStyle name="Normal 406 2" xfId="41693" xr:uid="{00000000-0005-0000-0000-00006FA70000}"/>
    <cellStyle name="Normal 406 2 2" xfId="41694" xr:uid="{00000000-0005-0000-0000-000070A70000}"/>
    <cellStyle name="Normal 406 2 2 2" xfId="41695" xr:uid="{00000000-0005-0000-0000-000071A70000}"/>
    <cellStyle name="Normal 406 2 2 2 2" xfId="41696" xr:uid="{00000000-0005-0000-0000-000072A70000}"/>
    <cellStyle name="Normal 406 2 2 2 2 2" xfId="41697" xr:uid="{00000000-0005-0000-0000-000073A70000}"/>
    <cellStyle name="Normal 406 2 2 2 2 3" xfId="41698" xr:uid="{00000000-0005-0000-0000-000074A70000}"/>
    <cellStyle name="Normal 406 2 2 2 3" xfId="41699" xr:uid="{00000000-0005-0000-0000-000075A70000}"/>
    <cellStyle name="Normal 406 2 2 2 3 2" xfId="41700" xr:uid="{00000000-0005-0000-0000-000076A70000}"/>
    <cellStyle name="Normal 406 2 2 2 3 3" xfId="41701" xr:uid="{00000000-0005-0000-0000-000077A70000}"/>
    <cellStyle name="Normal 406 2 2 2 4" xfId="41702" xr:uid="{00000000-0005-0000-0000-000078A70000}"/>
    <cellStyle name="Normal 406 2 2 2 5" xfId="41703" xr:uid="{00000000-0005-0000-0000-000079A70000}"/>
    <cellStyle name="Normal 406 2 2 2 6" xfId="41704" xr:uid="{00000000-0005-0000-0000-00007AA70000}"/>
    <cellStyle name="Normal 406 2 2 3" xfId="41705" xr:uid="{00000000-0005-0000-0000-00007BA70000}"/>
    <cellStyle name="Normal 406 2 2 3 2" xfId="41706" xr:uid="{00000000-0005-0000-0000-00007CA70000}"/>
    <cellStyle name="Normal 406 2 2 3 3" xfId="41707" xr:uid="{00000000-0005-0000-0000-00007DA70000}"/>
    <cellStyle name="Normal 406 2 2 4" xfId="41708" xr:uid="{00000000-0005-0000-0000-00007EA70000}"/>
    <cellStyle name="Normal 406 2 2 4 2" xfId="41709" xr:uid="{00000000-0005-0000-0000-00007FA70000}"/>
    <cellStyle name="Normal 406 2 2 4 3" xfId="41710" xr:uid="{00000000-0005-0000-0000-000080A70000}"/>
    <cellStyle name="Normal 406 2 2 5" xfId="41711" xr:uid="{00000000-0005-0000-0000-000081A70000}"/>
    <cellStyle name="Normal 406 2 2 6" xfId="41712" xr:uid="{00000000-0005-0000-0000-000082A70000}"/>
    <cellStyle name="Normal 406 2 2 7" xfId="41713" xr:uid="{00000000-0005-0000-0000-000083A70000}"/>
    <cellStyle name="Normal 406 2 2 8" xfId="41714" xr:uid="{00000000-0005-0000-0000-000084A70000}"/>
    <cellStyle name="Normal 406 2 3" xfId="41715" xr:uid="{00000000-0005-0000-0000-000085A70000}"/>
    <cellStyle name="Normal 406 2 3 2" xfId="41716" xr:uid="{00000000-0005-0000-0000-000086A70000}"/>
    <cellStyle name="Normal 406 2 3 2 2" xfId="41717" xr:uid="{00000000-0005-0000-0000-000087A70000}"/>
    <cellStyle name="Normal 406 2 3 2 3" xfId="41718" xr:uid="{00000000-0005-0000-0000-000088A70000}"/>
    <cellStyle name="Normal 406 2 3 3" xfId="41719" xr:uid="{00000000-0005-0000-0000-000089A70000}"/>
    <cellStyle name="Normal 406 2 3 3 2" xfId="41720" xr:uid="{00000000-0005-0000-0000-00008AA70000}"/>
    <cellStyle name="Normal 406 2 3 3 3" xfId="41721" xr:uid="{00000000-0005-0000-0000-00008BA70000}"/>
    <cellStyle name="Normal 406 2 3 4" xfId="41722" xr:uid="{00000000-0005-0000-0000-00008CA70000}"/>
    <cellStyle name="Normal 406 2 3 5" xfId="41723" xr:uid="{00000000-0005-0000-0000-00008DA70000}"/>
    <cellStyle name="Normal 406 2 3 6" xfId="41724" xr:uid="{00000000-0005-0000-0000-00008EA70000}"/>
    <cellStyle name="Normal 406 2 4" xfId="41725" xr:uid="{00000000-0005-0000-0000-00008FA70000}"/>
    <cellStyle name="Normal 406 2 4 2" xfId="41726" xr:uid="{00000000-0005-0000-0000-000090A70000}"/>
    <cellStyle name="Normal 406 2 4 3" xfId="41727" xr:uid="{00000000-0005-0000-0000-000091A70000}"/>
    <cellStyle name="Normal 406 2 5" xfId="41728" xr:uid="{00000000-0005-0000-0000-000092A70000}"/>
    <cellStyle name="Normal 406 2 5 2" xfId="41729" xr:uid="{00000000-0005-0000-0000-000093A70000}"/>
    <cellStyle name="Normal 406 2 5 3" xfId="41730" xr:uid="{00000000-0005-0000-0000-000094A70000}"/>
    <cellStyle name="Normal 406 2 6" xfId="41731" xr:uid="{00000000-0005-0000-0000-000095A70000}"/>
    <cellStyle name="Normal 406 2 7" xfId="41732" xr:uid="{00000000-0005-0000-0000-000096A70000}"/>
    <cellStyle name="Normal 406 2 8" xfId="41733" xr:uid="{00000000-0005-0000-0000-000097A70000}"/>
    <cellStyle name="Normal 406 2 9" xfId="41734" xr:uid="{00000000-0005-0000-0000-000098A70000}"/>
    <cellStyle name="Normal 406 3" xfId="41735" xr:uid="{00000000-0005-0000-0000-000099A70000}"/>
    <cellStyle name="Normal 406 3 2" xfId="41736" xr:uid="{00000000-0005-0000-0000-00009AA70000}"/>
    <cellStyle name="Normal 406 3 2 2" xfId="41737" xr:uid="{00000000-0005-0000-0000-00009BA70000}"/>
    <cellStyle name="Normal 406 3 2 2 2" xfId="41738" xr:uid="{00000000-0005-0000-0000-00009CA70000}"/>
    <cellStyle name="Normal 406 3 2 2 3" xfId="41739" xr:uid="{00000000-0005-0000-0000-00009DA70000}"/>
    <cellStyle name="Normal 406 3 2 3" xfId="41740" xr:uid="{00000000-0005-0000-0000-00009EA70000}"/>
    <cellStyle name="Normal 406 3 2 3 2" xfId="41741" xr:uid="{00000000-0005-0000-0000-00009FA70000}"/>
    <cellStyle name="Normal 406 3 2 3 3" xfId="41742" xr:uid="{00000000-0005-0000-0000-0000A0A70000}"/>
    <cellStyle name="Normal 406 3 2 4" xfId="41743" xr:uid="{00000000-0005-0000-0000-0000A1A70000}"/>
    <cellStyle name="Normal 406 3 2 5" xfId="41744" xr:uid="{00000000-0005-0000-0000-0000A2A70000}"/>
    <cellStyle name="Normal 406 3 2 6" xfId="41745" xr:uid="{00000000-0005-0000-0000-0000A3A70000}"/>
    <cellStyle name="Normal 406 3 3" xfId="41746" xr:uid="{00000000-0005-0000-0000-0000A4A70000}"/>
    <cellStyle name="Normal 406 3 3 2" xfId="41747" xr:uid="{00000000-0005-0000-0000-0000A5A70000}"/>
    <cellStyle name="Normal 406 3 3 3" xfId="41748" xr:uid="{00000000-0005-0000-0000-0000A6A70000}"/>
    <cellStyle name="Normal 406 3 4" xfId="41749" xr:uid="{00000000-0005-0000-0000-0000A7A70000}"/>
    <cellStyle name="Normal 406 3 4 2" xfId="41750" xr:uid="{00000000-0005-0000-0000-0000A8A70000}"/>
    <cellStyle name="Normal 406 3 4 3" xfId="41751" xr:uid="{00000000-0005-0000-0000-0000A9A70000}"/>
    <cellStyle name="Normal 406 3 5" xfId="41752" xr:uid="{00000000-0005-0000-0000-0000AAA70000}"/>
    <cellStyle name="Normal 406 3 6" xfId="41753" xr:uid="{00000000-0005-0000-0000-0000ABA70000}"/>
    <cellStyle name="Normal 406 3 7" xfId="41754" xr:uid="{00000000-0005-0000-0000-0000ACA70000}"/>
    <cellStyle name="Normal 406 3 8" xfId="41755" xr:uid="{00000000-0005-0000-0000-0000ADA70000}"/>
    <cellStyle name="Normal 406 4" xfId="41756" xr:uid="{00000000-0005-0000-0000-0000AEA70000}"/>
    <cellStyle name="Normal 406 4 2" xfId="41757" xr:uid="{00000000-0005-0000-0000-0000AFA70000}"/>
    <cellStyle name="Normal 406 4 2 2" xfId="41758" xr:uid="{00000000-0005-0000-0000-0000B0A70000}"/>
    <cellStyle name="Normal 406 4 2 3" xfId="41759" xr:uid="{00000000-0005-0000-0000-0000B1A70000}"/>
    <cellStyle name="Normal 406 4 3" xfId="41760" xr:uid="{00000000-0005-0000-0000-0000B2A70000}"/>
    <cellStyle name="Normal 406 4 3 2" xfId="41761" xr:uid="{00000000-0005-0000-0000-0000B3A70000}"/>
    <cellStyle name="Normal 406 4 3 3" xfId="41762" xr:uid="{00000000-0005-0000-0000-0000B4A70000}"/>
    <cellStyle name="Normal 406 4 4" xfId="41763" xr:uid="{00000000-0005-0000-0000-0000B5A70000}"/>
    <cellStyle name="Normal 406 4 5" xfId="41764" xr:uid="{00000000-0005-0000-0000-0000B6A70000}"/>
    <cellStyle name="Normal 406 4 6" xfId="41765" xr:uid="{00000000-0005-0000-0000-0000B7A70000}"/>
    <cellStyle name="Normal 406 5" xfId="41766" xr:uid="{00000000-0005-0000-0000-0000B8A70000}"/>
    <cellStyle name="Normal 406 5 2" xfId="41767" xr:uid="{00000000-0005-0000-0000-0000B9A70000}"/>
    <cellStyle name="Normal 406 5 3" xfId="41768" xr:uid="{00000000-0005-0000-0000-0000BAA70000}"/>
    <cellStyle name="Normal 406 6" xfId="41769" xr:uid="{00000000-0005-0000-0000-0000BBA70000}"/>
    <cellStyle name="Normal 406 6 2" xfId="41770" xr:uid="{00000000-0005-0000-0000-0000BCA70000}"/>
    <cellStyle name="Normal 406 6 3" xfId="41771" xr:uid="{00000000-0005-0000-0000-0000BDA70000}"/>
    <cellStyle name="Normal 406 7" xfId="41772" xr:uid="{00000000-0005-0000-0000-0000BEA70000}"/>
    <cellStyle name="Normal 406 8" xfId="41773" xr:uid="{00000000-0005-0000-0000-0000BFA70000}"/>
    <cellStyle name="Normal 406 9" xfId="41774" xr:uid="{00000000-0005-0000-0000-0000C0A70000}"/>
    <cellStyle name="Normal 407" xfId="3452" xr:uid="{00000000-0005-0000-0000-0000C1A70000}"/>
    <cellStyle name="Normal 407 10" xfId="41775" xr:uid="{00000000-0005-0000-0000-0000C2A70000}"/>
    <cellStyle name="Normal 407 11" xfId="41776" xr:uid="{00000000-0005-0000-0000-0000C3A70000}"/>
    <cellStyle name="Normal 407 2" xfId="3453" xr:uid="{00000000-0005-0000-0000-0000C4A70000}"/>
    <cellStyle name="Normal 407 2 10" xfId="41777" xr:uid="{00000000-0005-0000-0000-0000C5A70000}"/>
    <cellStyle name="Normal 407 2 2" xfId="41778" xr:uid="{00000000-0005-0000-0000-0000C6A70000}"/>
    <cellStyle name="Normal 407 2 2 2" xfId="41779" xr:uid="{00000000-0005-0000-0000-0000C7A70000}"/>
    <cellStyle name="Normal 407 2 2 2 2" xfId="41780" xr:uid="{00000000-0005-0000-0000-0000C8A70000}"/>
    <cellStyle name="Normal 407 2 2 2 2 2" xfId="41781" xr:uid="{00000000-0005-0000-0000-0000C9A70000}"/>
    <cellStyle name="Normal 407 2 2 2 2 3" xfId="41782" xr:uid="{00000000-0005-0000-0000-0000CAA70000}"/>
    <cellStyle name="Normal 407 2 2 2 3" xfId="41783" xr:uid="{00000000-0005-0000-0000-0000CBA70000}"/>
    <cellStyle name="Normal 407 2 2 2 3 2" xfId="41784" xr:uid="{00000000-0005-0000-0000-0000CCA70000}"/>
    <cellStyle name="Normal 407 2 2 2 3 3" xfId="41785" xr:uid="{00000000-0005-0000-0000-0000CDA70000}"/>
    <cellStyle name="Normal 407 2 2 2 4" xfId="41786" xr:uid="{00000000-0005-0000-0000-0000CEA70000}"/>
    <cellStyle name="Normal 407 2 2 2 5" xfId="41787" xr:uid="{00000000-0005-0000-0000-0000CFA70000}"/>
    <cellStyle name="Normal 407 2 2 2 6" xfId="41788" xr:uid="{00000000-0005-0000-0000-0000D0A70000}"/>
    <cellStyle name="Normal 407 2 2 3" xfId="41789" xr:uid="{00000000-0005-0000-0000-0000D1A70000}"/>
    <cellStyle name="Normal 407 2 2 3 2" xfId="41790" xr:uid="{00000000-0005-0000-0000-0000D2A70000}"/>
    <cellStyle name="Normal 407 2 2 3 3" xfId="41791" xr:uid="{00000000-0005-0000-0000-0000D3A70000}"/>
    <cellStyle name="Normal 407 2 2 4" xfId="41792" xr:uid="{00000000-0005-0000-0000-0000D4A70000}"/>
    <cellStyle name="Normal 407 2 2 4 2" xfId="41793" xr:uid="{00000000-0005-0000-0000-0000D5A70000}"/>
    <cellStyle name="Normal 407 2 2 4 3" xfId="41794" xr:uid="{00000000-0005-0000-0000-0000D6A70000}"/>
    <cellStyle name="Normal 407 2 2 5" xfId="41795" xr:uid="{00000000-0005-0000-0000-0000D7A70000}"/>
    <cellStyle name="Normal 407 2 2 6" xfId="41796" xr:uid="{00000000-0005-0000-0000-0000D8A70000}"/>
    <cellStyle name="Normal 407 2 2 7" xfId="41797" xr:uid="{00000000-0005-0000-0000-0000D9A70000}"/>
    <cellStyle name="Normal 407 2 2 8" xfId="41798" xr:uid="{00000000-0005-0000-0000-0000DAA70000}"/>
    <cellStyle name="Normal 407 2 3" xfId="41799" xr:uid="{00000000-0005-0000-0000-0000DBA70000}"/>
    <cellStyle name="Normal 407 2 3 2" xfId="41800" xr:uid="{00000000-0005-0000-0000-0000DCA70000}"/>
    <cellStyle name="Normal 407 2 3 2 2" xfId="41801" xr:uid="{00000000-0005-0000-0000-0000DDA70000}"/>
    <cellStyle name="Normal 407 2 3 2 3" xfId="41802" xr:uid="{00000000-0005-0000-0000-0000DEA70000}"/>
    <cellStyle name="Normal 407 2 3 3" xfId="41803" xr:uid="{00000000-0005-0000-0000-0000DFA70000}"/>
    <cellStyle name="Normal 407 2 3 3 2" xfId="41804" xr:uid="{00000000-0005-0000-0000-0000E0A70000}"/>
    <cellStyle name="Normal 407 2 3 3 3" xfId="41805" xr:uid="{00000000-0005-0000-0000-0000E1A70000}"/>
    <cellStyle name="Normal 407 2 3 4" xfId="41806" xr:uid="{00000000-0005-0000-0000-0000E2A70000}"/>
    <cellStyle name="Normal 407 2 3 5" xfId="41807" xr:uid="{00000000-0005-0000-0000-0000E3A70000}"/>
    <cellStyle name="Normal 407 2 3 6" xfId="41808" xr:uid="{00000000-0005-0000-0000-0000E4A70000}"/>
    <cellStyle name="Normal 407 2 4" xfId="41809" xr:uid="{00000000-0005-0000-0000-0000E5A70000}"/>
    <cellStyle name="Normal 407 2 4 2" xfId="41810" xr:uid="{00000000-0005-0000-0000-0000E6A70000}"/>
    <cellStyle name="Normal 407 2 4 3" xfId="41811" xr:uid="{00000000-0005-0000-0000-0000E7A70000}"/>
    <cellStyle name="Normal 407 2 5" xfId="41812" xr:uid="{00000000-0005-0000-0000-0000E8A70000}"/>
    <cellStyle name="Normal 407 2 5 2" xfId="41813" xr:uid="{00000000-0005-0000-0000-0000E9A70000}"/>
    <cellStyle name="Normal 407 2 5 3" xfId="41814" xr:uid="{00000000-0005-0000-0000-0000EAA70000}"/>
    <cellStyle name="Normal 407 2 6" xfId="41815" xr:uid="{00000000-0005-0000-0000-0000EBA70000}"/>
    <cellStyle name="Normal 407 2 7" xfId="41816" xr:uid="{00000000-0005-0000-0000-0000ECA70000}"/>
    <cellStyle name="Normal 407 2 8" xfId="41817" xr:uid="{00000000-0005-0000-0000-0000EDA70000}"/>
    <cellStyle name="Normal 407 2 9" xfId="41818" xr:uid="{00000000-0005-0000-0000-0000EEA70000}"/>
    <cellStyle name="Normal 407 3" xfId="41819" xr:uid="{00000000-0005-0000-0000-0000EFA70000}"/>
    <cellStyle name="Normal 407 3 2" xfId="41820" xr:uid="{00000000-0005-0000-0000-0000F0A70000}"/>
    <cellStyle name="Normal 407 3 2 2" xfId="41821" xr:uid="{00000000-0005-0000-0000-0000F1A70000}"/>
    <cellStyle name="Normal 407 3 2 2 2" xfId="41822" xr:uid="{00000000-0005-0000-0000-0000F2A70000}"/>
    <cellStyle name="Normal 407 3 2 2 3" xfId="41823" xr:uid="{00000000-0005-0000-0000-0000F3A70000}"/>
    <cellStyle name="Normal 407 3 2 3" xfId="41824" xr:uid="{00000000-0005-0000-0000-0000F4A70000}"/>
    <cellStyle name="Normal 407 3 2 3 2" xfId="41825" xr:uid="{00000000-0005-0000-0000-0000F5A70000}"/>
    <cellStyle name="Normal 407 3 2 3 3" xfId="41826" xr:uid="{00000000-0005-0000-0000-0000F6A70000}"/>
    <cellStyle name="Normal 407 3 2 4" xfId="41827" xr:uid="{00000000-0005-0000-0000-0000F7A70000}"/>
    <cellStyle name="Normal 407 3 2 5" xfId="41828" xr:uid="{00000000-0005-0000-0000-0000F8A70000}"/>
    <cellStyle name="Normal 407 3 2 6" xfId="41829" xr:uid="{00000000-0005-0000-0000-0000F9A70000}"/>
    <cellStyle name="Normal 407 3 3" xfId="41830" xr:uid="{00000000-0005-0000-0000-0000FAA70000}"/>
    <cellStyle name="Normal 407 3 3 2" xfId="41831" xr:uid="{00000000-0005-0000-0000-0000FBA70000}"/>
    <cellStyle name="Normal 407 3 3 3" xfId="41832" xr:uid="{00000000-0005-0000-0000-0000FCA70000}"/>
    <cellStyle name="Normal 407 3 4" xfId="41833" xr:uid="{00000000-0005-0000-0000-0000FDA70000}"/>
    <cellStyle name="Normal 407 3 4 2" xfId="41834" xr:uid="{00000000-0005-0000-0000-0000FEA70000}"/>
    <cellStyle name="Normal 407 3 4 3" xfId="41835" xr:uid="{00000000-0005-0000-0000-0000FFA70000}"/>
    <cellStyle name="Normal 407 3 5" xfId="41836" xr:uid="{00000000-0005-0000-0000-000000A80000}"/>
    <cellStyle name="Normal 407 3 6" xfId="41837" xr:uid="{00000000-0005-0000-0000-000001A80000}"/>
    <cellStyle name="Normal 407 3 7" xfId="41838" xr:uid="{00000000-0005-0000-0000-000002A80000}"/>
    <cellStyle name="Normal 407 3 8" xfId="41839" xr:uid="{00000000-0005-0000-0000-000003A80000}"/>
    <cellStyle name="Normal 407 4" xfId="41840" xr:uid="{00000000-0005-0000-0000-000004A80000}"/>
    <cellStyle name="Normal 407 4 2" xfId="41841" xr:uid="{00000000-0005-0000-0000-000005A80000}"/>
    <cellStyle name="Normal 407 4 2 2" xfId="41842" xr:uid="{00000000-0005-0000-0000-000006A80000}"/>
    <cellStyle name="Normal 407 4 2 3" xfId="41843" xr:uid="{00000000-0005-0000-0000-000007A80000}"/>
    <cellStyle name="Normal 407 4 3" xfId="41844" xr:uid="{00000000-0005-0000-0000-000008A80000}"/>
    <cellStyle name="Normal 407 4 3 2" xfId="41845" xr:uid="{00000000-0005-0000-0000-000009A80000}"/>
    <cellStyle name="Normal 407 4 3 3" xfId="41846" xr:uid="{00000000-0005-0000-0000-00000AA80000}"/>
    <cellStyle name="Normal 407 4 4" xfId="41847" xr:uid="{00000000-0005-0000-0000-00000BA80000}"/>
    <cellStyle name="Normal 407 4 5" xfId="41848" xr:uid="{00000000-0005-0000-0000-00000CA80000}"/>
    <cellStyle name="Normal 407 4 6" xfId="41849" xr:uid="{00000000-0005-0000-0000-00000DA80000}"/>
    <cellStyle name="Normal 407 5" xfId="41850" xr:uid="{00000000-0005-0000-0000-00000EA80000}"/>
    <cellStyle name="Normal 407 5 2" xfId="41851" xr:uid="{00000000-0005-0000-0000-00000FA80000}"/>
    <cellStyle name="Normal 407 5 3" xfId="41852" xr:uid="{00000000-0005-0000-0000-000010A80000}"/>
    <cellStyle name="Normal 407 6" xfId="41853" xr:uid="{00000000-0005-0000-0000-000011A80000}"/>
    <cellStyle name="Normal 407 6 2" xfId="41854" xr:uid="{00000000-0005-0000-0000-000012A80000}"/>
    <cellStyle name="Normal 407 6 3" xfId="41855" xr:uid="{00000000-0005-0000-0000-000013A80000}"/>
    <cellStyle name="Normal 407 7" xfId="41856" xr:uid="{00000000-0005-0000-0000-000014A80000}"/>
    <cellStyle name="Normal 407 8" xfId="41857" xr:uid="{00000000-0005-0000-0000-000015A80000}"/>
    <cellStyle name="Normal 407 9" xfId="41858" xr:uid="{00000000-0005-0000-0000-000016A80000}"/>
    <cellStyle name="Normal 408" xfId="3454" xr:uid="{00000000-0005-0000-0000-000017A80000}"/>
    <cellStyle name="Normal 408 10" xfId="41859" xr:uid="{00000000-0005-0000-0000-000018A80000}"/>
    <cellStyle name="Normal 408 11" xfId="41860" xr:uid="{00000000-0005-0000-0000-000019A80000}"/>
    <cellStyle name="Normal 408 2" xfId="41861" xr:uid="{00000000-0005-0000-0000-00001AA80000}"/>
    <cellStyle name="Normal 408 2 2" xfId="41862" xr:uid="{00000000-0005-0000-0000-00001BA80000}"/>
    <cellStyle name="Normal 408 2 2 2" xfId="41863" xr:uid="{00000000-0005-0000-0000-00001CA80000}"/>
    <cellStyle name="Normal 408 2 2 2 2" xfId="41864" xr:uid="{00000000-0005-0000-0000-00001DA80000}"/>
    <cellStyle name="Normal 408 2 2 2 2 2" xfId="41865" xr:uid="{00000000-0005-0000-0000-00001EA80000}"/>
    <cellStyle name="Normal 408 2 2 2 2 3" xfId="41866" xr:uid="{00000000-0005-0000-0000-00001FA80000}"/>
    <cellStyle name="Normal 408 2 2 2 3" xfId="41867" xr:uid="{00000000-0005-0000-0000-000020A80000}"/>
    <cellStyle name="Normal 408 2 2 2 3 2" xfId="41868" xr:uid="{00000000-0005-0000-0000-000021A80000}"/>
    <cellStyle name="Normal 408 2 2 2 3 3" xfId="41869" xr:uid="{00000000-0005-0000-0000-000022A80000}"/>
    <cellStyle name="Normal 408 2 2 2 4" xfId="41870" xr:uid="{00000000-0005-0000-0000-000023A80000}"/>
    <cellStyle name="Normal 408 2 2 2 5" xfId="41871" xr:uid="{00000000-0005-0000-0000-000024A80000}"/>
    <cellStyle name="Normal 408 2 2 2 6" xfId="41872" xr:uid="{00000000-0005-0000-0000-000025A80000}"/>
    <cellStyle name="Normal 408 2 2 3" xfId="41873" xr:uid="{00000000-0005-0000-0000-000026A80000}"/>
    <cellStyle name="Normal 408 2 2 3 2" xfId="41874" xr:uid="{00000000-0005-0000-0000-000027A80000}"/>
    <cellStyle name="Normal 408 2 2 3 3" xfId="41875" xr:uid="{00000000-0005-0000-0000-000028A80000}"/>
    <cellStyle name="Normal 408 2 2 4" xfId="41876" xr:uid="{00000000-0005-0000-0000-000029A80000}"/>
    <cellStyle name="Normal 408 2 2 4 2" xfId="41877" xr:uid="{00000000-0005-0000-0000-00002AA80000}"/>
    <cellStyle name="Normal 408 2 2 4 3" xfId="41878" xr:uid="{00000000-0005-0000-0000-00002BA80000}"/>
    <cellStyle name="Normal 408 2 2 5" xfId="41879" xr:uid="{00000000-0005-0000-0000-00002CA80000}"/>
    <cellStyle name="Normal 408 2 2 6" xfId="41880" xr:uid="{00000000-0005-0000-0000-00002DA80000}"/>
    <cellStyle name="Normal 408 2 2 7" xfId="41881" xr:uid="{00000000-0005-0000-0000-00002EA80000}"/>
    <cellStyle name="Normal 408 2 2 8" xfId="41882" xr:uid="{00000000-0005-0000-0000-00002FA80000}"/>
    <cellStyle name="Normal 408 2 3" xfId="41883" xr:uid="{00000000-0005-0000-0000-000030A80000}"/>
    <cellStyle name="Normal 408 2 3 2" xfId="41884" xr:uid="{00000000-0005-0000-0000-000031A80000}"/>
    <cellStyle name="Normal 408 2 3 2 2" xfId="41885" xr:uid="{00000000-0005-0000-0000-000032A80000}"/>
    <cellStyle name="Normal 408 2 3 2 3" xfId="41886" xr:uid="{00000000-0005-0000-0000-000033A80000}"/>
    <cellStyle name="Normal 408 2 3 3" xfId="41887" xr:uid="{00000000-0005-0000-0000-000034A80000}"/>
    <cellStyle name="Normal 408 2 3 3 2" xfId="41888" xr:uid="{00000000-0005-0000-0000-000035A80000}"/>
    <cellStyle name="Normal 408 2 3 3 3" xfId="41889" xr:uid="{00000000-0005-0000-0000-000036A80000}"/>
    <cellStyle name="Normal 408 2 3 4" xfId="41890" xr:uid="{00000000-0005-0000-0000-000037A80000}"/>
    <cellStyle name="Normal 408 2 3 5" xfId="41891" xr:uid="{00000000-0005-0000-0000-000038A80000}"/>
    <cellStyle name="Normal 408 2 3 6" xfId="41892" xr:uid="{00000000-0005-0000-0000-000039A80000}"/>
    <cellStyle name="Normal 408 2 4" xfId="41893" xr:uid="{00000000-0005-0000-0000-00003AA80000}"/>
    <cellStyle name="Normal 408 2 4 2" xfId="41894" xr:uid="{00000000-0005-0000-0000-00003BA80000}"/>
    <cellStyle name="Normal 408 2 4 3" xfId="41895" xr:uid="{00000000-0005-0000-0000-00003CA80000}"/>
    <cellStyle name="Normal 408 2 5" xfId="41896" xr:uid="{00000000-0005-0000-0000-00003DA80000}"/>
    <cellStyle name="Normal 408 2 5 2" xfId="41897" xr:uid="{00000000-0005-0000-0000-00003EA80000}"/>
    <cellStyle name="Normal 408 2 5 3" xfId="41898" xr:uid="{00000000-0005-0000-0000-00003FA80000}"/>
    <cellStyle name="Normal 408 2 6" xfId="41899" xr:uid="{00000000-0005-0000-0000-000040A80000}"/>
    <cellStyle name="Normal 408 2 7" xfId="41900" xr:uid="{00000000-0005-0000-0000-000041A80000}"/>
    <cellStyle name="Normal 408 2 8" xfId="41901" xr:uid="{00000000-0005-0000-0000-000042A80000}"/>
    <cellStyle name="Normal 408 2 9" xfId="41902" xr:uid="{00000000-0005-0000-0000-000043A80000}"/>
    <cellStyle name="Normal 408 3" xfId="41903" xr:uid="{00000000-0005-0000-0000-000044A80000}"/>
    <cellStyle name="Normal 408 3 2" xfId="41904" xr:uid="{00000000-0005-0000-0000-000045A80000}"/>
    <cellStyle name="Normal 408 3 2 2" xfId="41905" xr:uid="{00000000-0005-0000-0000-000046A80000}"/>
    <cellStyle name="Normal 408 3 2 2 2" xfId="41906" xr:uid="{00000000-0005-0000-0000-000047A80000}"/>
    <cellStyle name="Normal 408 3 2 2 3" xfId="41907" xr:uid="{00000000-0005-0000-0000-000048A80000}"/>
    <cellStyle name="Normal 408 3 2 3" xfId="41908" xr:uid="{00000000-0005-0000-0000-000049A80000}"/>
    <cellStyle name="Normal 408 3 2 3 2" xfId="41909" xr:uid="{00000000-0005-0000-0000-00004AA80000}"/>
    <cellStyle name="Normal 408 3 2 3 3" xfId="41910" xr:uid="{00000000-0005-0000-0000-00004BA80000}"/>
    <cellStyle name="Normal 408 3 2 4" xfId="41911" xr:uid="{00000000-0005-0000-0000-00004CA80000}"/>
    <cellStyle name="Normal 408 3 2 5" xfId="41912" xr:uid="{00000000-0005-0000-0000-00004DA80000}"/>
    <cellStyle name="Normal 408 3 2 6" xfId="41913" xr:uid="{00000000-0005-0000-0000-00004EA80000}"/>
    <cellStyle name="Normal 408 3 3" xfId="41914" xr:uid="{00000000-0005-0000-0000-00004FA80000}"/>
    <cellStyle name="Normal 408 3 3 2" xfId="41915" xr:uid="{00000000-0005-0000-0000-000050A80000}"/>
    <cellStyle name="Normal 408 3 3 3" xfId="41916" xr:uid="{00000000-0005-0000-0000-000051A80000}"/>
    <cellStyle name="Normal 408 3 4" xfId="41917" xr:uid="{00000000-0005-0000-0000-000052A80000}"/>
    <cellStyle name="Normal 408 3 4 2" xfId="41918" xr:uid="{00000000-0005-0000-0000-000053A80000}"/>
    <cellStyle name="Normal 408 3 4 3" xfId="41919" xr:uid="{00000000-0005-0000-0000-000054A80000}"/>
    <cellStyle name="Normal 408 3 5" xfId="41920" xr:uid="{00000000-0005-0000-0000-000055A80000}"/>
    <cellStyle name="Normal 408 3 6" xfId="41921" xr:uid="{00000000-0005-0000-0000-000056A80000}"/>
    <cellStyle name="Normal 408 3 7" xfId="41922" xr:uid="{00000000-0005-0000-0000-000057A80000}"/>
    <cellStyle name="Normal 408 3 8" xfId="41923" xr:uid="{00000000-0005-0000-0000-000058A80000}"/>
    <cellStyle name="Normal 408 4" xfId="41924" xr:uid="{00000000-0005-0000-0000-000059A80000}"/>
    <cellStyle name="Normal 408 4 2" xfId="41925" xr:uid="{00000000-0005-0000-0000-00005AA80000}"/>
    <cellStyle name="Normal 408 4 2 2" xfId="41926" xr:uid="{00000000-0005-0000-0000-00005BA80000}"/>
    <cellStyle name="Normal 408 4 2 3" xfId="41927" xr:uid="{00000000-0005-0000-0000-00005CA80000}"/>
    <cellStyle name="Normal 408 4 3" xfId="41928" xr:uid="{00000000-0005-0000-0000-00005DA80000}"/>
    <cellStyle name="Normal 408 4 3 2" xfId="41929" xr:uid="{00000000-0005-0000-0000-00005EA80000}"/>
    <cellStyle name="Normal 408 4 3 3" xfId="41930" xr:uid="{00000000-0005-0000-0000-00005FA80000}"/>
    <cellStyle name="Normal 408 4 4" xfId="41931" xr:uid="{00000000-0005-0000-0000-000060A80000}"/>
    <cellStyle name="Normal 408 4 5" xfId="41932" xr:uid="{00000000-0005-0000-0000-000061A80000}"/>
    <cellStyle name="Normal 408 4 6" xfId="41933" xr:uid="{00000000-0005-0000-0000-000062A80000}"/>
    <cellStyle name="Normal 408 5" xfId="41934" xr:uid="{00000000-0005-0000-0000-000063A80000}"/>
    <cellStyle name="Normal 408 5 2" xfId="41935" xr:uid="{00000000-0005-0000-0000-000064A80000}"/>
    <cellStyle name="Normal 408 5 3" xfId="41936" xr:uid="{00000000-0005-0000-0000-000065A80000}"/>
    <cellStyle name="Normal 408 6" xfId="41937" xr:uid="{00000000-0005-0000-0000-000066A80000}"/>
    <cellStyle name="Normal 408 6 2" xfId="41938" xr:uid="{00000000-0005-0000-0000-000067A80000}"/>
    <cellStyle name="Normal 408 6 3" xfId="41939" xr:uid="{00000000-0005-0000-0000-000068A80000}"/>
    <cellStyle name="Normal 408 7" xfId="41940" xr:uid="{00000000-0005-0000-0000-000069A80000}"/>
    <cellStyle name="Normal 408 8" xfId="41941" xr:uid="{00000000-0005-0000-0000-00006AA80000}"/>
    <cellStyle name="Normal 408 9" xfId="41942" xr:uid="{00000000-0005-0000-0000-00006BA80000}"/>
    <cellStyle name="Normal 409" xfId="3455" xr:uid="{00000000-0005-0000-0000-00006CA80000}"/>
    <cellStyle name="Normal 409 10" xfId="41943" xr:uid="{00000000-0005-0000-0000-00006DA80000}"/>
    <cellStyle name="Normal 409 11" xfId="41944" xr:uid="{00000000-0005-0000-0000-00006EA80000}"/>
    <cellStyle name="Normal 409 2" xfId="41945" xr:uid="{00000000-0005-0000-0000-00006FA80000}"/>
    <cellStyle name="Normal 409 2 2" xfId="41946" xr:uid="{00000000-0005-0000-0000-000070A80000}"/>
    <cellStyle name="Normal 409 2 2 2" xfId="41947" xr:uid="{00000000-0005-0000-0000-000071A80000}"/>
    <cellStyle name="Normal 409 2 2 2 2" xfId="41948" xr:uid="{00000000-0005-0000-0000-000072A80000}"/>
    <cellStyle name="Normal 409 2 2 2 2 2" xfId="41949" xr:uid="{00000000-0005-0000-0000-000073A80000}"/>
    <cellStyle name="Normal 409 2 2 2 2 3" xfId="41950" xr:uid="{00000000-0005-0000-0000-000074A80000}"/>
    <cellStyle name="Normal 409 2 2 2 3" xfId="41951" xr:uid="{00000000-0005-0000-0000-000075A80000}"/>
    <cellStyle name="Normal 409 2 2 2 3 2" xfId="41952" xr:uid="{00000000-0005-0000-0000-000076A80000}"/>
    <cellStyle name="Normal 409 2 2 2 3 3" xfId="41953" xr:uid="{00000000-0005-0000-0000-000077A80000}"/>
    <cellStyle name="Normal 409 2 2 2 4" xfId="41954" xr:uid="{00000000-0005-0000-0000-000078A80000}"/>
    <cellStyle name="Normal 409 2 2 2 5" xfId="41955" xr:uid="{00000000-0005-0000-0000-000079A80000}"/>
    <cellStyle name="Normal 409 2 2 2 6" xfId="41956" xr:uid="{00000000-0005-0000-0000-00007AA80000}"/>
    <cellStyle name="Normal 409 2 2 3" xfId="41957" xr:uid="{00000000-0005-0000-0000-00007BA80000}"/>
    <cellStyle name="Normal 409 2 2 3 2" xfId="41958" xr:uid="{00000000-0005-0000-0000-00007CA80000}"/>
    <cellStyle name="Normal 409 2 2 3 3" xfId="41959" xr:uid="{00000000-0005-0000-0000-00007DA80000}"/>
    <cellStyle name="Normal 409 2 2 4" xfId="41960" xr:uid="{00000000-0005-0000-0000-00007EA80000}"/>
    <cellStyle name="Normal 409 2 2 4 2" xfId="41961" xr:uid="{00000000-0005-0000-0000-00007FA80000}"/>
    <cellStyle name="Normal 409 2 2 4 3" xfId="41962" xr:uid="{00000000-0005-0000-0000-000080A80000}"/>
    <cellStyle name="Normal 409 2 2 5" xfId="41963" xr:uid="{00000000-0005-0000-0000-000081A80000}"/>
    <cellStyle name="Normal 409 2 2 6" xfId="41964" xr:uid="{00000000-0005-0000-0000-000082A80000}"/>
    <cellStyle name="Normal 409 2 2 7" xfId="41965" xr:uid="{00000000-0005-0000-0000-000083A80000}"/>
    <cellStyle name="Normal 409 2 2 8" xfId="41966" xr:uid="{00000000-0005-0000-0000-000084A80000}"/>
    <cellStyle name="Normal 409 2 3" xfId="41967" xr:uid="{00000000-0005-0000-0000-000085A80000}"/>
    <cellStyle name="Normal 409 2 3 2" xfId="41968" xr:uid="{00000000-0005-0000-0000-000086A80000}"/>
    <cellStyle name="Normal 409 2 3 2 2" xfId="41969" xr:uid="{00000000-0005-0000-0000-000087A80000}"/>
    <cellStyle name="Normal 409 2 3 2 3" xfId="41970" xr:uid="{00000000-0005-0000-0000-000088A80000}"/>
    <cellStyle name="Normal 409 2 3 3" xfId="41971" xr:uid="{00000000-0005-0000-0000-000089A80000}"/>
    <cellStyle name="Normal 409 2 3 3 2" xfId="41972" xr:uid="{00000000-0005-0000-0000-00008AA80000}"/>
    <cellStyle name="Normal 409 2 3 3 3" xfId="41973" xr:uid="{00000000-0005-0000-0000-00008BA80000}"/>
    <cellStyle name="Normal 409 2 3 4" xfId="41974" xr:uid="{00000000-0005-0000-0000-00008CA80000}"/>
    <cellStyle name="Normal 409 2 3 5" xfId="41975" xr:uid="{00000000-0005-0000-0000-00008DA80000}"/>
    <cellStyle name="Normal 409 2 3 6" xfId="41976" xr:uid="{00000000-0005-0000-0000-00008EA80000}"/>
    <cellStyle name="Normal 409 2 4" xfId="41977" xr:uid="{00000000-0005-0000-0000-00008FA80000}"/>
    <cellStyle name="Normal 409 2 4 2" xfId="41978" xr:uid="{00000000-0005-0000-0000-000090A80000}"/>
    <cellStyle name="Normal 409 2 4 3" xfId="41979" xr:uid="{00000000-0005-0000-0000-000091A80000}"/>
    <cellStyle name="Normal 409 2 5" xfId="41980" xr:uid="{00000000-0005-0000-0000-000092A80000}"/>
    <cellStyle name="Normal 409 2 5 2" xfId="41981" xr:uid="{00000000-0005-0000-0000-000093A80000}"/>
    <cellStyle name="Normal 409 2 5 3" xfId="41982" xr:uid="{00000000-0005-0000-0000-000094A80000}"/>
    <cellStyle name="Normal 409 2 6" xfId="41983" xr:uid="{00000000-0005-0000-0000-000095A80000}"/>
    <cellStyle name="Normal 409 2 7" xfId="41984" xr:uid="{00000000-0005-0000-0000-000096A80000}"/>
    <cellStyle name="Normal 409 2 8" xfId="41985" xr:uid="{00000000-0005-0000-0000-000097A80000}"/>
    <cellStyle name="Normal 409 2 9" xfId="41986" xr:uid="{00000000-0005-0000-0000-000098A80000}"/>
    <cellStyle name="Normal 409 3" xfId="41987" xr:uid="{00000000-0005-0000-0000-000099A80000}"/>
    <cellStyle name="Normal 409 3 2" xfId="41988" xr:uid="{00000000-0005-0000-0000-00009AA80000}"/>
    <cellStyle name="Normal 409 3 2 2" xfId="41989" xr:uid="{00000000-0005-0000-0000-00009BA80000}"/>
    <cellStyle name="Normal 409 3 2 2 2" xfId="41990" xr:uid="{00000000-0005-0000-0000-00009CA80000}"/>
    <cellStyle name="Normal 409 3 2 2 3" xfId="41991" xr:uid="{00000000-0005-0000-0000-00009DA80000}"/>
    <cellStyle name="Normal 409 3 2 3" xfId="41992" xr:uid="{00000000-0005-0000-0000-00009EA80000}"/>
    <cellStyle name="Normal 409 3 2 3 2" xfId="41993" xr:uid="{00000000-0005-0000-0000-00009FA80000}"/>
    <cellStyle name="Normal 409 3 2 3 3" xfId="41994" xr:uid="{00000000-0005-0000-0000-0000A0A80000}"/>
    <cellStyle name="Normal 409 3 2 4" xfId="41995" xr:uid="{00000000-0005-0000-0000-0000A1A80000}"/>
    <cellStyle name="Normal 409 3 2 5" xfId="41996" xr:uid="{00000000-0005-0000-0000-0000A2A80000}"/>
    <cellStyle name="Normal 409 3 2 6" xfId="41997" xr:uid="{00000000-0005-0000-0000-0000A3A80000}"/>
    <cellStyle name="Normal 409 3 3" xfId="41998" xr:uid="{00000000-0005-0000-0000-0000A4A80000}"/>
    <cellStyle name="Normal 409 3 3 2" xfId="41999" xr:uid="{00000000-0005-0000-0000-0000A5A80000}"/>
    <cellStyle name="Normal 409 3 3 3" xfId="42000" xr:uid="{00000000-0005-0000-0000-0000A6A80000}"/>
    <cellStyle name="Normal 409 3 4" xfId="42001" xr:uid="{00000000-0005-0000-0000-0000A7A80000}"/>
    <cellStyle name="Normal 409 3 4 2" xfId="42002" xr:uid="{00000000-0005-0000-0000-0000A8A80000}"/>
    <cellStyle name="Normal 409 3 4 3" xfId="42003" xr:uid="{00000000-0005-0000-0000-0000A9A80000}"/>
    <cellStyle name="Normal 409 3 5" xfId="42004" xr:uid="{00000000-0005-0000-0000-0000AAA80000}"/>
    <cellStyle name="Normal 409 3 6" xfId="42005" xr:uid="{00000000-0005-0000-0000-0000ABA80000}"/>
    <cellStyle name="Normal 409 3 7" xfId="42006" xr:uid="{00000000-0005-0000-0000-0000ACA80000}"/>
    <cellStyle name="Normal 409 3 8" xfId="42007" xr:uid="{00000000-0005-0000-0000-0000ADA80000}"/>
    <cellStyle name="Normal 409 4" xfId="42008" xr:uid="{00000000-0005-0000-0000-0000AEA80000}"/>
    <cellStyle name="Normal 409 4 2" xfId="42009" xr:uid="{00000000-0005-0000-0000-0000AFA80000}"/>
    <cellStyle name="Normal 409 4 2 2" xfId="42010" xr:uid="{00000000-0005-0000-0000-0000B0A80000}"/>
    <cellStyle name="Normal 409 4 2 3" xfId="42011" xr:uid="{00000000-0005-0000-0000-0000B1A80000}"/>
    <cellStyle name="Normal 409 4 3" xfId="42012" xr:uid="{00000000-0005-0000-0000-0000B2A80000}"/>
    <cellStyle name="Normal 409 4 3 2" xfId="42013" xr:uid="{00000000-0005-0000-0000-0000B3A80000}"/>
    <cellStyle name="Normal 409 4 3 3" xfId="42014" xr:uid="{00000000-0005-0000-0000-0000B4A80000}"/>
    <cellStyle name="Normal 409 4 4" xfId="42015" xr:uid="{00000000-0005-0000-0000-0000B5A80000}"/>
    <cellStyle name="Normal 409 4 5" xfId="42016" xr:uid="{00000000-0005-0000-0000-0000B6A80000}"/>
    <cellStyle name="Normal 409 4 6" xfId="42017" xr:uid="{00000000-0005-0000-0000-0000B7A80000}"/>
    <cellStyle name="Normal 409 5" xfId="42018" xr:uid="{00000000-0005-0000-0000-0000B8A80000}"/>
    <cellStyle name="Normal 409 5 2" xfId="42019" xr:uid="{00000000-0005-0000-0000-0000B9A80000}"/>
    <cellStyle name="Normal 409 5 3" xfId="42020" xr:uid="{00000000-0005-0000-0000-0000BAA80000}"/>
    <cellStyle name="Normal 409 6" xfId="42021" xr:uid="{00000000-0005-0000-0000-0000BBA80000}"/>
    <cellStyle name="Normal 409 6 2" xfId="42022" xr:uid="{00000000-0005-0000-0000-0000BCA80000}"/>
    <cellStyle name="Normal 409 6 3" xfId="42023" xr:uid="{00000000-0005-0000-0000-0000BDA80000}"/>
    <cellStyle name="Normal 409 7" xfId="42024" xr:uid="{00000000-0005-0000-0000-0000BEA80000}"/>
    <cellStyle name="Normal 409 8" xfId="42025" xr:uid="{00000000-0005-0000-0000-0000BFA80000}"/>
    <cellStyle name="Normal 409 9" xfId="42026" xr:uid="{00000000-0005-0000-0000-0000C0A80000}"/>
    <cellStyle name="Normal 41" xfId="3456" xr:uid="{00000000-0005-0000-0000-0000C1A80000}"/>
    <cellStyle name="Normal 41 10" xfId="42027" xr:uid="{00000000-0005-0000-0000-0000C2A80000}"/>
    <cellStyle name="Normal 41 11" xfId="42028" xr:uid="{00000000-0005-0000-0000-0000C3A80000}"/>
    <cellStyle name="Normal 41 12" xfId="42029" xr:uid="{00000000-0005-0000-0000-0000C4A80000}"/>
    <cellStyle name="Normal 41 13" xfId="42030" xr:uid="{00000000-0005-0000-0000-0000C5A80000}"/>
    <cellStyle name="Normal 41 14" xfId="42031" xr:uid="{00000000-0005-0000-0000-0000C6A80000}"/>
    <cellStyle name="Normal 41 2" xfId="42032" xr:uid="{00000000-0005-0000-0000-0000C7A80000}"/>
    <cellStyle name="Normal 41 2 10" xfId="42033" xr:uid="{00000000-0005-0000-0000-0000C8A80000}"/>
    <cellStyle name="Normal 41 2 2" xfId="42034" xr:uid="{00000000-0005-0000-0000-0000C9A80000}"/>
    <cellStyle name="Normal 41 2 2 2" xfId="42035" xr:uid="{00000000-0005-0000-0000-0000CAA80000}"/>
    <cellStyle name="Normal 41 2 2 2 2" xfId="42036" xr:uid="{00000000-0005-0000-0000-0000CBA80000}"/>
    <cellStyle name="Normal 41 2 2 2 2 2" xfId="42037" xr:uid="{00000000-0005-0000-0000-0000CCA80000}"/>
    <cellStyle name="Normal 41 2 2 2 2 3" xfId="42038" xr:uid="{00000000-0005-0000-0000-0000CDA80000}"/>
    <cellStyle name="Normal 41 2 2 2 3" xfId="42039" xr:uid="{00000000-0005-0000-0000-0000CEA80000}"/>
    <cellStyle name="Normal 41 2 2 2 3 2" xfId="42040" xr:uid="{00000000-0005-0000-0000-0000CFA80000}"/>
    <cellStyle name="Normal 41 2 2 2 3 3" xfId="42041" xr:uid="{00000000-0005-0000-0000-0000D0A80000}"/>
    <cellStyle name="Normal 41 2 2 2 4" xfId="42042" xr:uid="{00000000-0005-0000-0000-0000D1A80000}"/>
    <cellStyle name="Normal 41 2 2 2 5" xfId="42043" xr:uid="{00000000-0005-0000-0000-0000D2A80000}"/>
    <cellStyle name="Normal 41 2 2 2 6" xfId="42044" xr:uid="{00000000-0005-0000-0000-0000D3A80000}"/>
    <cellStyle name="Normal 41 2 2 3" xfId="42045" xr:uid="{00000000-0005-0000-0000-0000D4A80000}"/>
    <cellStyle name="Normal 41 2 2 3 2" xfId="42046" xr:uid="{00000000-0005-0000-0000-0000D5A80000}"/>
    <cellStyle name="Normal 41 2 2 3 3" xfId="42047" xr:uid="{00000000-0005-0000-0000-0000D6A80000}"/>
    <cellStyle name="Normal 41 2 2 4" xfId="42048" xr:uid="{00000000-0005-0000-0000-0000D7A80000}"/>
    <cellStyle name="Normal 41 2 2 4 2" xfId="42049" xr:uid="{00000000-0005-0000-0000-0000D8A80000}"/>
    <cellStyle name="Normal 41 2 2 4 3" xfId="42050" xr:uid="{00000000-0005-0000-0000-0000D9A80000}"/>
    <cellStyle name="Normal 41 2 2 5" xfId="42051" xr:uid="{00000000-0005-0000-0000-0000DAA80000}"/>
    <cellStyle name="Normal 41 2 2 6" xfId="42052" xr:uid="{00000000-0005-0000-0000-0000DBA80000}"/>
    <cellStyle name="Normal 41 2 2 7" xfId="42053" xr:uid="{00000000-0005-0000-0000-0000DCA80000}"/>
    <cellStyle name="Normal 41 2 2 8" xfId="42054" xr:uid="{00000000-0005-0000-0000-0000DDA80000}"/>
    <cellStyle name="Normal 41 2 3" xfId="42055" xr:uid="{00000000-0005-0000-0000-0000DEA80000}"/>
    <cellStyle name="Normal 41 2 3 2" xfId="42056" xr:uid="{00000000-0005-0000-0000-0000DFA80000}"/>
    <cellStyle name="Normal 41 2 3 2 2" xfId="42057" xr:uid="{00000000-0005-0000-0000-0000E0A80000}"/>
    <cellStyle name="Normal 41 2 3 2 3" xfId="42058" xr:uid="{00000000-0005-0000-0000-0000E1A80000}"/>
    <cellStyle name="Normal 41 2 3 3" xfId="42059" xr:uid="{00000000-0005-0000-0000-0000E2A80000}"/>
    <cellStyle name="Normal 41 2 3 3 2" xfId="42060" xr:uid="{00000000-0005-0000-0000-0000E3A80000}"/>
    <cellStyle name="Normal 41 2 3 3 3" xfId="42061" xr:uid="{00000000-0005-0000-0000-0000E4A80000}"/>
    <cellStyle name="Normal 41 2 3 4" xfId="42062" xr:uid="{00000000-0005-0000-0000-0000E5A80000}"/>
    <cellStyle name="Normal 41 2 3 5" xfId="42063" xr:uid="{00000000-0005-0000-0000-0000E6A80000}"/>
    <cellStyle name="Normal 41 2 3 6" xfId="42064" xr:uid="{00000000-0005-0000-0000-0000E7A80000}"/>
    <cellStyle name="Normal 41 2 4" xfId="42065" xr:uid="{00000000-0005-0000-0000-0000E8A80000}"/>
    <cellStyle name="Normal 41 2 4 2" xfId="42066" xr:uid="{00000000-0005-0000-0000-0000E9A80000}"/>
    <cellStyle name="Normal 41 2 4 3" xfId="42067" xr:uid="{00000000-0005-0000-0000-0000EAA80000}"/>
    <cellStyle name="Normal 41 2 5" xfId="42068" xr:uid="{00000000-0005-0000-0000-0000EBA80000}"/>
    <cellStyle name="Normal 41 2 5 2" xfId="42069" xr:uid="{00000000-0005-0000-0000-0000ECA80000}"/>
    <cellStyle name="Normal 41 2 5 3" xfId="42070" xr:uid="{00000000-0005-0000-0000-0000EDA80000}"/>
    <cellStyle name="Normal 41 2 6" xfId="42071" xr:uid="{00000000-0005-0000-0000-0000EEA80000}"/>
    <cellStyle name="Normal 41 2 7" xfId="42072" xr:uid="{00000000-0005-0000-0000-0000EFA80000}"/>
    <cellStyle name="Normal 41 2 8" xfId="42073" xr:uid="{00000000-0005-0000-0000-0000F0A80000}"/>
    <cellStyle name="Normal 41 2 9" xfId="42074" xr:uid="{00000000-0005-0000-0000-0000F1A80000}"/>
    <cellStyle name="Normal 41 3" xfId="42075" xr:uid="{00000000-0005-0000-0000-0000F2A80000}"/>
    <cellStyle name="Normal 41 3 2" xfId="42076" xr:uid="{00000000-0005-0000-0000-0000F3A80000}"/>
    <cellStyle name="Normal 41 3 2 2" xfId="42077" xr:uid="{00000000-0005-0000-0000-0000F4A80000}"/>
    <cellStyle name="Normal 41 3 2 2 2" xfId="42078" xr:uid="{00000000-0005-0000-0000-0000F5A80000}"/>
    <cellStyle name="Normal 41 3 2 2 3" xfId="42079" xr:uid="{00000000-0005-0000-0000-0000F6A80000}"/>
    <cellStyle name="Normal 41 3 2 3" xfId="42080" xr:uid="{00000000-0005-0000-0000-0000F7A80000}"/>
    <cellStyle name="Normal 41 3 2 3 2" xfId="42081" xr:uid="{00000000-0005-0000-0000-0000F8A80000}"/>
    <cellStyle name="Normal 41 3 2 3 3" xfId="42082" xr:uid="{00000000-0005-0000-0000-0000F9A80000}"/>
    <cellStyle name="Normal 41 3 2 4" xfId="42083" xr:uid="{00000000-0005-0000-0000-0000FAA80000}"/>
    <cellStyle name="Normal 41 3 2 5" xfId="42084" xr:uid="{00000000-0005-0000-0000-0000FBA80000}"/>
    <cellStyle name="Normal 41 3 2 6" xfId="42085" xr:uid="{00000000-0005-0000-0000-0000FCA80000}"/>
    <cellStyle name="Normal 41 3 3" xfId="42086" xr:uid="{00000000-0005-0000-0000-0000FDA80000}"/>
    <cellStyle name="Normal 41 3 3 2" xfId="42087" xr:uid="{00000000-0005-0000-0000-0000FEA80000}"/>
    <cellStyle name="Normal 41 3 3 3" xfId="42088" xr:uid="{00000000-0005-0000-0000-0000FFA80000}"/>
    <cellStyle name="Normal 41 3 4" xfId="42089" xr:uid="{00000000-0005-0000-0000-000000A90000}"/>
    <cellStyle name="Normal 41 3 4 2" xfId="42090" xr:uid="{00000000-0005-0000-0000-000001A90000}"/>
    <cellStyle name="Normal 41 3 4 3" xfId="42091" xr:uid="{00000000-0005-0000-0000-000002A90000}"/>
    <cellStyle name="Normal 41 3 5" xfId="42092" xr:uid="{00000000-0005-0000-0000-000003A90000}"/>
    <cellStyle name="Normal 41 3 6" xfId="42093" xr:uid="{00000000-0005-0000-0000-000004A90000}"/>
    <cellStyle name="Normal 41 3 7" xfId="42094" xr:uid="{00000000-0005-0000-0000-000005A90000}"/>
    <cellStyle name="Normal 41 3 8" xfId="42095" xr:uid="{00000000-0005-0000-0000-000006A90000}"/>
    <cellStyle name="Normal 41 4" xfId="42096" xr:uid="{00000000-0005-0000-0000-000007A90000}"/>
    <cellStyle name="Normal 41 4 2" xfId="42097" xr:uid="{00000000-0005-0000-0000-000008A90000}"/>
    <cellStyle name="Normal 41 4 2 2" xfId="42098" xr:uid="{00000000-0005-0000-0000-000009A90000}"/>
    <cellStyle name="Normal 41 4 2 3" xfId="42099" xr:uid="{00000000-0005-0000-0000-00000AA90000}"/>
    <cellStyle name="Normal 41 4 3" xfId="42100" xr:uid="{00000000-0005-0000-0000-00000BA90000}"/>
    <cellStyle name="Normal 41 4 3 2" xfId="42101" xr:uid="{00000000-0005-0000-0000-00000CA90000}"/>
    <cellStyle name="Normal 41 4 3 3" xfId="42102" xr:uid="{00000000-0005-0000-0000-00000DA90000}"/>
    <cellStyle name="Normal 41 4 4" xfId="42103" xr:uid="{00000000-0005-0000-0000-00000EA90000}"/>
    <cellStyle name="Normal 41 4 5" xfId="42104" xr:uid="{00000000-0005-0000-0000-00000FA90000}"/>
    <cellStyle name="Normal 41 4 6" xfId="42105" xr:uid="{00000000-0005-0000-0000-000010A90000}"/>
    <cellStyle name="Normal 41 5" xfId="42106" xr:uid="{00000000-0005-0000-0000-000011A90000}"/>
    <cellStyle name="Normal 41 5 2" xfId="42107" xr:uid="{00000000-0005-0000-0000-000012A90000}"/>
    <cellStyle name="Normal 41 5 3" xfId="42108" xr:uid="{00000000-0005-0000-0000-000013A90000}"/>
    <cellStyle name="Normal 41 6" xfId="42109" xr:uid="{00000000-0005-0000-0000-000014A90000}"/>
    <cellStyle name="Normal 41 6 2" xfId="42110" xr:uid="{00000000-0005-0000-0000-000015A90000}"/>
    <cellStyle name="Normal 41 6 3" xfId="42111" xr:uid="{00000000-0005-0000-0000-000016A90000}"/>
    <cellStyle name="Normal 41 7" xfId="42112" xr:uid="{00000000-0005-0000-0000-000017A90000}"/>
    <cellStyle name="Normal 41 8" xfId="42113" xr:uid="{00000000-0005-0000-0000-000018A90000}"/>
    <cellStyle name="Normal 41 9" xfId="42114" xr:uid="{00000000-0005-0000-0000-000019A90000}"/>
    <cellStyle name="Normal 410" xfId="3457" xr:uid="{00000000-0005-0000-0000-00001AA90000}"/>
    <cellStyle name="Normal 410 10" xfId="42115" xr:uid="{00000000-0005-0000-0000-00001BA90000}"/>
    <cellStyle name="Normal 410 11" xfId="42116" xr:uid="{00000000-0005-0000-0000-00001CA90000}"/>
    <cellStyle name="Normal 410 2" xfId="3458" xr:uid="{00000000-0005-0000-0000-00001DA90000}"/>
    <cellStyle name="Normal 410 2 10" xfId="42117" xr:uid="{00000000-0005-0000-0000-00001EA90000}"/>
    <cellStyle name="Normal 410 2 2" xfId="42118" xr:uid="{00000000-0005-0000-0000-00001FA90000}"/>
    <cellStyle name="Normal 410 2 2 2" xfId="42119" xr:uid="{00000000-0005-0000-0000-000020A90000}"/>
    <cellStyle name="Normal 410 2 2 2 2" xfId="42120" xr:uid="{00000000-0005-0000-0000-000021A90000}"/>
    <cellStyle name="Normal 410 2 2 2 2 2" xfId="42121" xr:uid="{00000000-0005-0000-0000-000022A90000}"/>
    <cellStyle name="Normal 410 2 2 2 2 3" xfId="42122" xr:uid="{00000000-0005-0000-0000-000023A90000}"/>
    <cellStyle name="Normal 410 2 2 2 3" xfId="42123" xr:uid="{00000000-0005-0000-0000-000024A90000}"/>
    <cellStyle name="Normal 410 2 2 2 3 2" xfId="42124" xr:uid="{00000000-0005-0000-0000-000025A90000}"/>
    <cellStyle name="Normal 410 2 2 2 3 3" xfId="42125" xr:uid="{00000000-0005-0000-0000-000026A90000}"/>
    <cellStyle name="Normal 410 2 2 2 4" xfId="42126" xr:uid="{00000000-0005-0000-0000-000027A90000}"/>
    <cellStyle name="Normal 410 2 2 2 5" xfId="42127" xr:uid="{00000000-0005-0000-0000-000028A90000}"/>
    <cellStyle name="Normal 410 2 2 2 6" xfId="42128" xr:uid="{00000000-0005-0000-0000-000029A90000}"/>
    <cellStyle name="Normal 410 2 2 3" xfId="42129" xr:uid="{00000000-0005-0000-0000-00002AA90000}"/>
    <cellStyle name="Normal 410 2 2 3 2" xfId="42130" xr:uid="{00000000-0005-0000-0000-00002BA90000}"/>
    <cellStyle name="Normal 410 2 2 3 3" xfId="42131" xr:uid="{00000000-0005-0000-0000-00002CA90000}"/>
    <cellStyle name="Normal 410 2 2 4" xfId="42132" xr:uid="{00000000-0005-0000-0000-00002DA90000}"/>
    <cellStyle name="Normal 410 2 2 4 2" xfId="42133" xr:uid="{00000000-0005-0000-0000-00002EA90000}"/>
    <cellStyle name="Normal 410 2 2 4 3" xfId="42134" xr:uid="{00000000-0005-0000-0000-00002FA90000}"/>
    <cellStyle name="Normal 410 2 2 5" xfId="42135" xr:uid="{00000000-0005-0000-0000-000030A90000}"/>
    <cellStyle name="Normal 410 2 2 6" xfId="42136" xr:uid="{00000000-0005-0000-0000-000031A90000}"/>
    <cellStyle name="Normal 410 2 2 7" xfId="42137" xr:uid="{00000000-0005-0000-0000-000032A90000}"/>
    <cellStyle name="Normal 410 2 2 8" xfId="42138" xr:uid="{00000000-0005-0000-0000-000033A90000}"/>
    <cellStyle name="Normal 410 2 3" xfId="42139" xr:uid="{00000000-0005-0000-0000-000034A90000}"/>
    <cellStyle name="Normal 410 2 3 2" xfId="42140" xr:uid="{00000000-0005-0000-0000-000035A90000}"/>
    <cellStyle name="Normal 410 2 3 2 2" xfId="42141" xr:uid="{00000000-0005-0000-0000-000036A90000}"/>
    <cellStyle name="Normal 410 2 3 2 3" xfId="42142" xr:uid="{00000000-0005-0000-0000-000037A90000}"/>
    <cellStyle name="Normal 410 2 3 3" xfId="42143" xr:uid="{00000000-0005-0000-0000-000038A90000}"/>
    <cellStyle name="Normal 410 2 3 3 2" xfId="42144" xr:uid="{00000000-0005-0000-0000-000039A90000}"/>
    <cellStyle name="Normal 410 2 3 3 3" xfId="42145" xr:uid="{00000000-0005-0000-0000-00003AA90000}"/>
    <cellStyle name="Normal 410 2 3 4" xfId="42146" xr:uid="{00000000-0005-0000-0000-00003BA90000}"/>
    <cellStyle name="Normal 410 2 3 5" xfId="42147" xr:uid="{00000000-0005-0000-0000-00003CA90000}"/>
    <cellStyle name="Normal 410 2 3 6" xfId="42148" xr:uid="{00000000-0005-0000-0000-00003DA90000}"/>
    <cellStyle name="Normal 410 2 4" xfId="42149" xr:uid="{00000000-0005-0000-0000-00003EA90000}"/>
    <cellStyle name="Normal 410 2 4 2" xfId="42150" xr:uid="{00000000-0005-0000-0000-00003FA90000}"/>
    <cellStyle name="Normal 410 2 4 3" xfId="42151" xr:uid="{00000000-0005-0000-0000-000040A90000}"/>
    <cellStyle name="Normal 410 2 5" xfId="42152" xr:uid="{00000000-0005-0000-0000-000041A90000}"/>
    <cellStyle name="Normal 410 2 5 2" xfId="42153" xr:uid="{00000000-0005-0000-0000-000042A90000}"/>
    <cellStyle name="Normal 410 2 5 3" xfId="42154" xr:uid="{00000000-0005-0000-0000-000043A90000}"/>
    <cellStyle name="Normal 410 2 6" xfId="42155" xr:uid="{00000000-0005-0000-0000-000044A90000}"/>
    <cellStyle name="Normal 410 2 7" xfId="42156" xr:uid="{00000000-0005-0000-0000-000045A90000}"/>
    <cellStyle name="Normal 410 2 8" xfId="42157" xr:uid="{00000000-0005-0000-0000-000046A90000}"/>
    <cellStyle name="Normal 410 2 9" xfId="42158" xr:uid="{00000000-0005-0000-0000-000047A90000}"/>
    <cellStyle name="Normal 410 3" xfId="42159" xr:uid="{00000000-0005-0000-0000-000048A90000}"/>
    <cellStyle name="Normal 410 3 2" xfId="42160" xr:uid="{00000000-0005-0000-0000-000049A90000}"/>
    <cellStyle name="Normal 410 3 2 2" xfId="42161" xr:uid="{00000000-0005-0000-0000-00004AA90000}"/>
    <cellStyle name="Normal 410 3 2 2 2" xfId="42162" xr:uid="{00000000-0005-0000-0000-00004BA90000}"/>
    <cellStyle name="Normal 410 3 2 2 3" xfId="42163" xr:uid="{00000000-0005-0000-0000-00004CA90000}"/>
    <cellStyle name="Normal 410 3 2 3" xfId="42164" xr:uid="{00000000-0005-0000-0000-00004DA90000}"/>
    <cellStyle name="Normal 410 3 2 3 2" xfId="42165" xr:uid="{00000000-0005-0000-0000-00004EA90000}"/>
    <cellStyle name="Normal 410 3 2 3 3" xfId="42166" xr:uid="{00000000-0005-0000-0000-00004FA90000}"/>
    <cellStyle name="Normal 410 3 2 4" xfId="42167" xr:uid="{00000000-0005-0000-0000-000050A90000}"/>
    <cellStyle name="Normal 410 3 2 5" xfId="42168" xr:uid="{00000000-0005-0000-0000-000051A90000}"/>
    <cellStyle name="Normal 410 3 2 6" xfId="42169" xr:uid="{00000000-0005-0000-0000-000052A90000}"/>
    <cellStyle name="Normal 410 3 3" xfId="42170" xr:uid="{00000000-0005-0000-0000-000053A90000}"/>
    <cellStyle name="Normal 410 3 3 2" xfId="42171" xr:uid="{00000000-0005-0000-0000-000054A90000}"/>
    <cellStyle name="Normal 410 3 3 3" xfId="42172" xr:uid="{00000000-0005-0000-0000-000055A90000}"/>
    <cellStyle name="Normal 410 3 4" xfId="42173" xr:uid="{00000000-0005-0000-0000-000056A90000}"/>
    <cellStyle name="Normal 410 3 4 2" xfId="42174" xr:uid="{00000000-0005-0000-0000-000057A90000}"/>
    <cellStyle name="Normal 410 3 4 3" xfId="42175" xr:uid="{00000000-0005-0000-0000-000058A90000}"/>
    <cellStyle name="Normal 410 3 5" xfId="42176" xr:uid="{00000000-0005-0000-0000-000059A90000}"/>
    <cellStyle name="Normal 410 3 6" xfId="42177" xr:uid="{00000000-0005-0000-0000-00005AA90000}"/>
    <cellStyle name="Normal 410 3 7" xfId="42178" xr:uid="{00000000-0005-0000-0000-00005BA90000}"/>
    <cellStyle name="Normal 410 3 8" xfId="42179" xr:uid="{00000000-0005-0000-0000-00005CA90000}"/>
    <cellStyle name="Normal 410 4" xfId="42180" xr:uid="{00000000-0005-0000-0000-00005DA90000}"/>
    <cellStyle name="Normal 410 4 2" xfId="42181" xr:uid="{00000000-0005-0000-0000-00005EA90000}"/>
    <cellStyle name="Normal 410 4 2 2" xfId="42182" xr:uid="{00000000-0005-0000-0000-00005FA90000}"/>
    <cellStyle name="Normal 410 4 2 3" xfId="42183" xr:uid="{00000000-0005-0000-0000-000060A90000}"/>
    <cellStyle name="Normal 410 4 3" xfId="42184" xr:uid="{00000000-0005-0000-0000-000061A90000}"/>
    <cellStyle name="Normal 410 4 3 2" xfId="42185" xr:uid="{00000000-0005-0000-0000-000062A90000}"/>
    <cellStyle name="Normal 410 4 3 3" xfId="42186" xr:uid="{00000000-0005-0000-0000-000063A90000}"/>
    <cellStyle name="Normal 410 4 4" xfId="42187" xr:uid="{00000000-0005-0000-0000-000064A90000}"/>
    <cellStyle name="Normal 410 4 5" xfId="42188" xr:uid="{00000000-0005-0000-0000-000065A90000}"/>
    <cellStyle name="Normal 410 4 6" xfId="42189" xr:uid="{00000000-0005-0000-0000-000066A90000}"/>
    <cellStyle name="Normal 410 5" xfId="42190" xr:uid="{00000000-0005-0000-0000-000067A90000}"/>
    <cellStyle name="Normal 410 5 2" xfId="42191" xr:uid="{00000000-0005-0000-0000-000068A90000}"/>
    <cellStyle name="Normal 410 5 3" xfId="42192" xr:uid="{00000000-0005-0000-0000-000069A90000}"/>
    <cellStyle name="Normal 410 6" xfId="42193" xr:uid="{00000000-0005-0000-0000-00006AA90000}"/>
    <cellStyle name="Normal 410 6 2" xfId="42194" xr:uid="{00000000-0005-0000-0000-00006BA90000}"/>
    <cellStyle name="Normal 410 6 3" xfId="42195" xr:uid="{00000000-0005-0000-0000-00006CA90000}"/>
    <cellStyle name="Normal 410 7" xfId="42196" xr:uid="{00000000-0005-0000-0000-00006DA90000}"/>
    <cellStyle name="Normal 410 8" xfId="42197" xr:uid="{00000000-0005-0000-0000-00006EA90000}"/>
    <cellStyle name="Normal 410 9" xfId="42198" xr:uid="{00000000-0005-0000-0000-00006FA90000}"/>
    <cellStyle name="Normal 411" xfId="3459" xr:uid="{00000000-0005-0000-0000-000070A90000}"/>
    <cellStyle name="Normal 411 10" xfId="42199" xr:uid="{00000000-0005-0000-0000-000071A90000}"/>
    <cellStyle name="Normal 411 11" xfId="42200" xr:uid="{00000000-0005-0000-0000-000072A90000}"/>
    <cellStyle name="Normal 411 2" xfId="42201" xr:uid="{00000000-0005-0000-0000-000073A90000}"/>
    <cellStyle name="Normal 411 2 2" xfId="42202" xr:uid="{00000000-0005-0000-0000-000074A90000}"/>
    <cellStyle name="Normal 411 2 2 2" xfId="42203" xr:uid="{00000000-0005-0000-0000-000075A90000}"/>
    <cellStyle name="Normal 411 2 2 2 2" xfId="42204" xr:uid="{00000000-0005-0000-0000-000076A90000}"/>
    <cellStyle name="Normal 411 2 2 2 2 2" xfId="42205" xr:uid="{00000000-0005-0000-0000-000077A90000}"/>
    <cellStyle name="Normal 411 2 2 2 2 3" xfId="42206" xr:uid="{00000000-0005-0000-0000-000078A90000}"/>
    <cellStyle name="Normal 411 2 2 2 3" xfId="42207" xr:uid="{00000000-0005-0000-0000-000079A90000}"/>
    <cellStyle name="Normal 411 2 2 2 3 2" xfId="42208" xr:uid="{00000000-0005-0000-0000-00007AA90000}"/>
    <cellStyle name="Normal 411 2 2 2 3 3" xfId="42209" xr:uid="{00000000-0005-0000-0000-00007BA90000}"/>
    <cellStyle name="Normal 411 2 2 2 4" xfId="42210" xr:uid="{00000000-0005-0000-0000-00007CA90000}"/>
    <cellStyle name="Normal 411 2 2 2 5" xfId="42211" xr:uid="{00000000-0005-0000-0000-00007DA90000}"/>
    <cellStyle name="Normal 411 2 2 2 6" xfId="42212" xr:uid="{00000000-0005-0000-0000-00007EA90000}"/>
    <cellStyle name="Normal 411 2 2 3" xfId="42213" xr:uid="{00000000-0005-0000-0000-00007FA90000}"/>
    <cellStyle name="Normal 411 2 2 3 2" xfId="42214" xr:uid="{00000000-0005-0000-0000-000080A90000}"/>
    <cellStyle name="Normal 411 2 2 3 3" xfId="42215" xr:uid="{00000000-0005-0000-0000-000081A90000}"/>
    <cellStyle name="Normal 411 2 2 4" xfId="42216" xr:uid="{00000000-0005-0000-0000-000082A90000}"/>
    <cellStyle name="Normal 411 2 2 4 2" xfId="42217" xr:uid="{00000000-0005-0000-0000-000083A90000}"/>
    <cellStyle name="Normal 411 2 2 4 3" xfId="42218" xr:uid="{00000000-0005-0000-0000-000084A90000}"/>
    <cellStyle name="Normal 411 2 2 5" xfId="42219" xr:uid="{00000000-0005-0000-0000-000085A90000}"/>
    <cellStyle name="Normal 411 2 2 6" xfId="42220" xr:uid="{00000000-0005-0000-0000-000086A90000}"/>
    <cellStyle name="Normal 411 2 2 7" xfId="42221" xr:uid="{00000000-0005-0000-0000-000087A90000}"/>
    <cellStyle name="Normal 411 2 2 8" xfId="42222" xr:uid="{00000000-0005-0000-0000-000088A90000}"/>
    <cellStyle name="Normal 411 2 3" xfId="42223" xr:uid="{00000000-0005-0000-0000-000089A90000}"/>
    <cellStyle name="Normal 411 2 3 2" xfId="42224" xr:uid="{00000000-0005-0000-0000-00008AA90000}"/>
    <cellStyle name="Normal 411 2 3 2 2" xfId="42225" xr:uid="{00000000-0005-0000-0000-00008BA90000}"/>
    <cellStyle name="Normal 411 2 3 2 3" xfId="42226" xr:uid="{00000000-0005-0000-0000-00008CA90000}"/>
    <cellStyle name="Normal 411 2 3 3" xfId="42227" xr:uid="{00000000-0005-0000-0000-00008DA90000}"/>
    <cellStyle name="Normal 411 2 3 3 2" xfId="42228" xr:uid="{00000000-0005-0000-0000-00008EA90000}"/>
    <cellStyle name="Normal 411 2 3 3 3" xfId="42229" xr:uid="{00000000-0005-0000-0000-00008FA90000}"/>
    <cellStyle name="Normal 411 2 3 4" xfId="42230" xr:uid="{00000000-0005-0000-0000-000090A90000}"/>
    <cellStyle name="Normal 411 2 3 5" xfId="42231" xr:uid="{00000000-0005-0000-0000-000091A90000}"/>
    <cellStyle name="Normal 411 2 3 6" xfId="42232" xr:uid="{00000000-0005-0000-0000-000092A90000}"/>
    <cellStyle name="Normal 411 2 4" xfId="42233" xr:uid="{00000000-0005-0000-0000-000093A90000}"/>
    <cellStyle name="Normal 411 2 4 2" xfId="42234" xr:uid="{00000000-0005-0000-0000-000094A90000}"/>
    <cellStyle name="Normal 411 2 4 3" xfId="42235" xr:uid="{00000000-0005-0000-0000-000095A90000}"/>
    <cellStyle name="Normal 411 2 5" xfId="42236" xr:uid="{00000000-0005-0000-0000-000096A90000}"/>
    <cellStyle name="Normal 411 2 5 2" xfId="42237" xr:uid="{00000000-0005-0000-0000-000097A90000}"/>
    <cellStyle name="Normal 411 2 5 3" xfId="42238" xr:uid="{00000000-0005-0000-0000-000098A90000}"/>
    <cellStyle name="Normal 411 2 6" xfId="42239" xr:uid="{00000000-0005-0000-0000-000099A90000}"/>
    <cellStyle name="Normal 411 2 7" xfId="42240" xr:uid="{00000000-0005-0000-0000-00009AA90000}"/>
    <cellStyle name="Normal 411 2 8" xfId="42241" xr:uid="{00000000-0005-0000-0000-00009BA90000}"/>
    <cellStyle name="Normal 411 2 9" xfId="42242" xr:uid="{00000000-0005-0000-0000-00009CA90000}"/>
    <cellStyle name="Normal 411 3" xfId="42243" xr:uid="{00000000-0005-0000-0000-00009DA90000}"/>
    <cellStyle name="Normal 411 3 2" xfId="42244" xr:uid="{00000000-0005-0000-0000-00009EA90000}"/>
    <cellStyle name="Normal 411 3 2 2" xfId="42245" xr:uid="{00000000-0005-0000-0000-00009FA90000}"/>
    <cellStyle name="Normal 411 3 2 2 2" xfId="42246" xr:uid="{00000000-0005-0000-0000-0000A0A90000}"/>
    <cellStyle name="Normal 411 3 2 2 3" xfId="42247" xr:uid="{00000000-0005-0000-0000-0000A1A90000}"/>
    <cellStyle name="Normal 411 3 2 3" xfId="42248" xr:uid="{00000000-0005-0000-0000-0000A2A90000}"/>
    <cellStyle name="Normal 411 3 2 3 2" xfId="42249" xr:uid="{00000000-0005-0000-0000-0000A3A90000}"/>
    <cellStyle name="Normal 411 3 2 3 3" xfId="42250" xr:uid="{00000000-0005-0000-0000-0000A4A90000}"/>
    <cellStyle name="Normal 411 3 2 4" xfId="42251" xr:uid="{00000000-0005-0000-0000-0000A5A90000}"/>
    <cellStyle name="Normal 411 3 2 5" xfId="42252" xr:uid="{00000000-0005-0000-0000-0000A6A90000}"/>
    <cellStyle name="Normal 411 3 2 6" xfId="42253" xr:uid="{00000000-0005-0000-0000-0000A7A90000}"/>
    <cellStyle name="Normal 411 3 3" xfId="42254" xr:uid="{00000000-0005-0000-0000-0000A8A90000}"/>
    <cellStyle name="Normal 411 3 3 2" xfId="42255" xr:uid="{00000000-0005-0000-0000-0000A9A90000}"/>
    <cellStyle name="Normal 411 3 3 3" xfId="42256" xr:uid="{00000000-0005-0000-0000-0000AAA90000}"/>
    <cellStyle name="Normal 411 3 4" xfId="42257" xr:uid="{00000000-0005-0000-0000-0000ABA90000}"/>
    <cellStyle name="Normal 411 3 4 2" xfId="42258" xr:uid="{00000000-0005-0000-0000-0000ACA90000}"/>
    <cellStyle name="Normal 411 3 4 3" xfId="42259" xr:uid="{00000000-0005-0000-0000-0000ADA90000}"/>
    <cellStyle name="Normal 411 3 5" xfId="42260" xr:uid="{00000000-0005-0000-0000-0000AEA90000}"/>
    <cellStyle name="Normal 411 3 6" xfId="42261" xr:uid="{00000000-0005-0000-0000-0000AFA90000}"/>
    <cellStyle name="Normal 411 3 7" xfId="42262" xr:uid="{00000000-0005-0000-0000-0000B0A90000}"/>
    <cellStyle name="Normal 411 3 8" xfId="42263" xr:uid="{00000000-0005-0000-0000-0000B1A90000}"/>
    <cellStyle name="Normal 411 4" xfId="42264" xr:uid="{00000000-0005-0000-0000-0000B2A90000}"/>
    <cellStyle name="Normal 411 4 2" xfId="42265" xr:uid="{00000000-0005-0000-0000-0000B3A90000}"/>
    <cellStyle name="Normal 411 4 2 2" xfId="42266" xr:uid="{00000000-0005-0000-0000-0000B4A90000}"/>
    <cellStyle name="Normal 411 4 2 3" xfId="42267" xr:uid="{00000000-0005-0000-0000-0000B5A90000}"/>
    <cellStyle name="Normal 411 4 3" xfId="42268" xr:uid="{00000000-0005-0000-0000-0000B6A90000}"/>
    <cellStyle name="Normal 411 4 3 2" xfId="42269" xr:uid="{00000000-0005-0000-0000-0000B7A90000}"/>
    <cellStyle name="Normal 411 4 3 3" xfId="42270" xr:uid="{00000000-0005-0000-0000-0000B8A90000}"/>
    <cellStyle name="Normal 411 4 4" xfId="42271" xr:uid="{00000000-0005-0000-0000-0000B9A90000}"/>
    <cellStyle name="Normal 411 4 5" xfId="42272" xr:uid="{00000000-0005-0000-0000-0000BAA90000}"/>
    <cellStyle name="Normal 411 4 6" xfId="42273" xr:uid="{00000000-0005-0000-0000-0000BBA90000}"/>
    <cellStyle name="Normal 411 5" xfId="42274" xr:uid="{00000000-0005-0000-0000-0000BCA90000}"/>
    <cellStyle name="Normal 411 5 2" xfId="42275" xr:uid="{00000000-0005-0000-0000-0000BDA90000}"/>
    <cellStyle name="Normal 411 5 3" xfId="42276" xr:uid="{00000000-0005-0000-0000-0000BEA90000}"/>
    <cellStyle name="Normal 411 6" xfId="42277" xr:uid="{00000000-0005-0000-0000-0000BFA90000}"/>
    <cellStyle name="Normal 411 6 2" xfId="42278" xr:uid="{00000000-0005-0000-0000-0000C0A90000}"/>
    <cellStyle name="Normal 411 6 3" xfId="42279" xr:uid="{00000000-0005-0000-0000-0000C1A90000}"/>
    <cellStyle name="Normal 411 7" xfId="42280" xr:uid="{00000000-0005-0000-0000-0000C2A90000}"/>
    <cellStyle name="Normal 411 8" xfId="42281" xr:uid="{00000000-0005-0000-0000-0000C3A90000}"/>
    <cellStyle name="Normal 411 9" xfId="42282" xr:uid="{00000000-0005-0000-0000-0000C4A90000}"/>
    <cellStyle name="Normal 412" xfId="3460" xr:uid="{00000000-0005-0000-0000-0000C5A90000}"/>
    <cellStyle name="Normal 412 10" xfId="42283" xr:uid="{00000000-0005-0000-0000-0000C6A90000}"/>
    <cellStyle name="Normal 412 11" xfId="42284" xr:uid="{00000000-0005-0000-0000-0000C7A90000}"/>
    <cellStyle name="Normal 412 2" xfId="42285" xr:uid="{00000000-0005-0000-0000-0000C8A90000}"/>
    <cellStyle name="Normal 412 2 2" xfId="42286" xr:uid="{00000000-0005-0000-0000-0000C9A90000}"/>
    <cellStyle name="Normal 412 2 2 2" xfId="42287" xr:uid="{00000000-0005-0000-0000-0000CAA90000}"/>
    <cellStyle name="Normal 412 2 2 2 2" xfId="42288" xr:uid="{00000000-0005-0000-0000-0000CBA90000}"/>
    <cellStyle name="Normal 412 2 2 2 2 2" xfId="42289" xr:uid="{00000000-0005-0000-0000-0000CCA90000}"/>
    <cellStyle name="Normal 412 2 2 2 2 3" xfId="42290" xr:uid="{00000000-0005-0000-0000-0000CDA90000}"/>
    <cellStyle name="Normal 412 2 2 2 3" xfId="42291" xr:uid="{00000000-0005-0000-0000-0000CEA90000}"/>
    <cellStyle name="Normal 412 2 2 2 3 2" xfId="42292" xr:uid="{00000000-0005-0000-0000-0000CFA90000}"/>
    <cellStyle name="Normal 412 2 2 2 3 3" xfId="42293" xr:uid="{00000000-0005-0000-0000-0000D0A90000}"/>
    <cellStyle name="Normal 412 2 2 2 4" xfId="42294" xr:uid="{00000000-0005-0000-0000-0000D1A90000}"/>
    <cellStyle name="Normal 412 2 2 2 5" xfId="42295" xr:uid="{00000000-0005-0000-0000-0000D2A90000}"/>
    <cellStyle name="Normal 412 2 2 2 6" xfId="42296" xr:uid="{00000000-0005-0000-0000-0000D3A90000}"/>
    <cellStyle name="Normal 412 2 2 3" xfId="42297" xr:uid="{00000000-0005-0000-0000-0000D4A90000}"/>
    <cellStyle name="Normal 412 2 2 3 2" xfId="42298" xr:uid="{00000000-0005-0000-0000-0000D5A90000}"/>
    <cellStyle name="Normal 412 2 2 3 3" xfId="42299" xr:uid="{00000000-0005-0000-0000-0000D6A90000}"/>
    <cellStyle name="Normal 412 2 2 4" xfId="42300" xr:uid="{00000000-0005-0000-0000-0000D7A90000}"/>
    <cellStyle name="Normal 412 2 2 4 2" xfId="42301" xr:uid="{00000000-0005-0000-0000-0000D8A90000}"/>
    <cellStyle name="Normal 412 2 2 4 3" xfId="42302" xr:uid="{00000000-0005-0000-0000-0000D9A90000}"/>
    <cellStyle name="Normal 412 2 2 5" xfId="42303" xr:uid="{00000000-0005-0000-0000-0000DAA90000}"/>
    <cellStyle name="Normal 412 2 2 6" xfId="42304" xr:uid="{00000000-0005-0000-0000-0000DBA90000}"/>
    <cellStyle name="Normal 412 2 2 7" xfId="42305" xr:uid="{00000000-0005-0000-0000-0000DCA90000}"/>
    <cellStyle name="Normal 412 2 2 8" xfId="42306" xr:uid="{00000000-0005-0000-0000-0000DDA90000}"/>
    <cellStyle name="Normal 412 2 3" xfId="42307" xr:uid="{00000000-0005-0000-0000-0000DEA90000}"/>
    <cellStyle name="Normal 412 2 3 2" xfId="42308" xr:uid="{00000000-0005-0000-0000-0000DFA90000}"/>
    <cellStyle name="Normal 412 2 3 2 2" xfId="42309" xr:uid="{00000000-0005-0000-0000-0000E0A90000}"/>
    <cellStyle name="Normal 412 2 3 2 3" xfId="42310" xr:uid="{00000000-0005-0000-0000-0000E1A90000}"/>
    <cellStyle name="Normal 412 2 3 3" xfId="42311" xr:uid="{00000000-0005-0000-0000-0000E2A90000}"/>
    <cellStyle name="Normal 412 2 3 3 2" xfId="42312" xr:uid="{00000000-0005-0000-0000-0000E3A90000}"/>
    <cellStyle name="Normal 412 2 3 3 3" xfId="42313" xr:uid="{00000000-0005-0000-0000-0000E4A90000}"/>
    <cellStyle name="Normal 412 2 3 4" xfId="42314" xr:uid="{00000000-0005-0000-0000-0000E5A90000}"/>
    <cellStyle name="Normal 412 2 3 5" xfId="42315" xr:uid="{00000000-0005-0000-0000-0000E6A90000}"/>
    <cellStyle name="Normal 412 2 3 6" xfId="42316" xr:uid="{00000000-0005-0000-0000-0000E7A90000}"/>
    <cellStyle name="Normal 412 2 4" xfId="42317" xr:uid="{00000000-0005-0000-0000-0000E8A90000}"/>
    <cellStyle name="Normal 412 2 4 2" xfId="42318" xr:uid="{00000000-0005-0000-0000-0000E9A90000}"/>
    <cellStyle name="Normal 412 2 4 3" xfId="42319" xr:uid="{00000000-0005-0000-0000-0000EAA90000}"/>
    <cellStyle name="Normal 412 2 5" xfId="42320" xr:uid="{00000000-0005-0000-0000-0000EBA90000}"/>
    <cellStyle name="Normal 412 2 5 2" xfId="42321" xr:uid="{00000000-0005-0000-0000-0000ECA90000}"/>
    <cellStyle name="Normal 412 2 5 3" xfId="42322" xr:uid="{00000000-0005-0000-0000-0000EDA90000}"/>
    <cellStyle name="Normal 412 2 6" xfId="42323" xr:uid="{00000000-0005-0000-0000-0000EEA90000}"/>
    <cellStyle name="Normal 412 2 7" xfId="42324" xr:uid="{00000000-0005-0000-0000-0000EFA90000}"/>
    <cellStyle name="Normal 412 2 8" xfId="42325" xr:uid="{00000000-0005-0000-0000-0000F0A90000}"/>
    <cellStyle name="Normal 412 2 9" xfId="42326" xr:uid="{00000000-0005-0000-0000-0000F1A90000}"/>
    <cellStyle name="Normal 412 3" xfId="42327" xr:uid="{00000000-0005-0000-0000-0000F2A90000}"/>
    <cellStyle name="Normal 412 3 2" xfId="42328" xr:uid="{00000000-0005-0000-0000-0000F3A90000}"/>
    <cellStyle name="Normal 412 3 2 2" xfId="42329" xr:uid="{00000000-0005-0000-0000-0000F4A90000}"/>
    <cellStyle name="Normal 412 3 2 2 2" xfId="42330" xr:uid="{00000000-0005-0000-0000-0000F5A90000}"/>
    <cellStyle name="Normal 412 3 2 2 3" xfId="42331" xr:uid="{00000000-0005-0000-0000-0000F6A90000}"/>
    <cellStyle name="Normal 412 3 2 3" xfId="42332" xr:uid="{00000000-0005-0000-0000-0000F7A90000}"/>
    <cellStyle name="Normal 412 3 2 3 2" xfId="42333" xr:uid="{00000000-0005-0000-0000-0000F8A90000}"/>
    <cellStyle name="Normal 412 3 2 3 3" xfId="42334" xr:uid="{00000000-0005-0000-0000-0000F9A90000}"/>
    <cellStyle name="Normal 412 3 2 4" xfId="42335" xr:uid="{00000000-0005-0000-0000-0000FAA90000}"/>
    <cellStyle name="Normal 412 3 2 5" xfId="42336" xr:uid="{00000000-0005-0000-0000-0000FBA90000}"/>
    <cellStyle name="Normal 412 3 2 6" xfId="42337" xr:uid="{00000000-0005-0000-0000-0000FCA90000}"/>
    <cellStyle name="Normal 412 3 3" xfId="42338" xr:uid="{00000000-0005-0000-0000-0000FDA90000}"/>
    <cellStyle name="Normal 412 3 3 2" xfId="42339" xr:uid="{00000000-0005-0000-0000-0000FEA90000}"/>
    <cellStyle name="Normal 412 3 3 3" xfId="42340" xr:uid="{00000000-0005-0000-0000-0000FFA90000}"/>
    <cellStyle name="Normal 412 3 4" xfId="42341" xr:uid="{00000000-0005-0000-0000-000000AA0000}"/>
    <cellStyle name="Normal 412 3 4 2" xfId="42342" xr:uid="{00000000-0005-0000-0000-000001AA0000}"/>
    <cellStyle name="Normal 412 3 4 3" xfId="42343" xr:uid="{00000000-0005-0000-0000-000002AA0000}"/>
    <cellStyle name="Normal 412 3 5" xfId="42344" xr:uid="{00000000-0005-0000-0000-000003AA0000}"/>
    <cellStyle name="Normal 412 3 6" xfId="42345" xr:uid="{00000000-0005-0000-0000-000004AA0000}"/>
    <cellStyle name="Normal 412 3 7" xfId="42346" xr:uid="{00000000-0005-0000-0000-000005AA0000}"/>
    <cellStyle name="Normal 412 3 8" xfId="42347" xr:uid="{00000000-0005-0000-0000-000006AA0000}"/>
    <cellStyle name="Normal 412 4" xfId="42348" xr:uid="{00000000-0005-0000-0000-000007AA0000}"/>
    <cellStyle name="Normal 412 4 2" xfId="42349" xr:uid="{00000000-0005-0000-0000-000008AA0000}"/>
    <cellStyle name="Normal 412 4 2 2" xfId="42350" xr:uid="{00000000-0005-0000-0000-000009AA0000}"/>
    <cellStyle name="Normal 412 4 2 3" xfId="42351" xr:uid="{00000000-0005-0000-0000-00000AAA0000}"/>
    <cellStyle name="Normal 412 4 3" xfId="42352" xr:uid="{00000000-0005-0000-0000-00000BAA0000}"/>
    <cellStyle name="Normal 412 4 3 2" xfId="42353" xr:uid="{00000000-0005-0000-0000-00000CAA0000}"/>
    <cellStyle name="Normal 412 4 3 3" xfId="42354" xr:uid="{00000000-0005-0000-0000-00000DAA0000}"/>
    <cellStyle name="Normal 412 4 4" xfId="42355" xr:uid="{00000000-0005-0000-0000-00000EAA0000}"/>
    <cellStyle name="Normal 412 4 5" xfId="42356" xr:uid="{00000000-0005-0000-0000-00000FAA0000}"/>
    <cellStyle name="Normal 412 4 6" xfId="42357" xr:uid="{00000000-0005-0000-0000-000010AA0000}"/>
    <cellStyle name="Normal 412 5" xfId="42358" xr:uid="{00000000-0005-0000-0000-000011AA0000}"/>
    <cellStyle name="Normal 412 5 2" xfId="42359" xr:uid="{00000000-0005-0000-0000-000012AA0000}"/>
    <cellStyle name="Normal 412 5 3" xfId="42360" xr:uid="{00000000-0005-0000-0000-000013AA0000}"/>
    <cellStyle name="Normal 412 6" xfId="42361" xr:uid="{00000000-0005-0000-0000-000014AA0000}"/>
    <cellStyle name="Normal 412 6 2" xfId="42362" xr:uid="{00000000-0005-0000-0000-000015AA0000}"/>
    <cellStyle name="Normal 412 6 3" xfId="42363" xr:uid="{00000000-0005-0000-0000-000016AA0000}"/>
    <cellStyle name="Normal 412 7" xfId="42364" xr:uid="{00000000-0005-0000-0000-000017AA0000}"/>
    <cellStyle name="Normal 412 8" xfId="42365" xr:uid="{00000000-0005-0000-0000-000018AA0000}"/>
    <cellStyle name="Normal 412 9" xfId="42366" xr:uid="{00000000-0005-0000-0000-000019AA0000}"/>
    <cellStyle name="Normal 413" xfId="3461" xr:uid="{00000000-0005-0000-0000-00001AAA0000}"/>
    <cellStyle name="Normal 413 10" xfId="42367" xr:uid="{00000000-0005-0000-0000-00001BAA0000}"/>
    <cellStyle name="Normal 413 11" xfId="42368" xr:uid="{00000000-0005-0000-0000-00001CAA0000}"/>
    <cellStyle name="Normal 413 2" xfId="3462" xr:uid="{00000000-0005-0000-0000-00001DAA0000}"/>
    <cellStyle name="Normal 413 2 10" xfId="42369" xr:uid="{00000000-0005-0000-0000-00001EAA0000}"/>
    <cellStyle name="Normal 413 2 2" xfId="42370" xr:uid="{00000000-0005-0000-0000-00001FAA0000}"/>
    <cellStyle name="Normal 413 2 2 2" xfId="42371" xr:uid="{00000000-0005-0000-0000-000020AA0000}"/>
    <cellStyle name="Normal 413 2 2 2 2" xfId="42372" xr:uid="{00000000-0005-0000-0000-000021AA0000}"/>
    <cellStyle name="Normal 413 2 2 2 2 2" xfId="42373" xr:uid="{00000000-0005-0000-0000-000022AA0000}"/>
    <cellStyle name="Normal 413 2 2 2 2 3" xfId="42374" xr:uid="{00000000-0005-0000-0000-000023AA0000}"/>
    <cellStyle name="Normal 413 2 2 2 3" xfId="42375" xr:uid="{00000000-0005-0000-0000-000024AA0000}"/>
    <cellStyle name="Normal 413 2 2 2 3 2" xfId="42376" xr:uid="{00000000-0005-0000-0000-000025AA0000}"/>
    <cellStyle name="Normal 413 2 2 2 3 3" xfId="42377" xr:uid="{00000000-0005-0000-0000-000026AA0000}"/>
    <cellStyle name="Normal 413 2 2 2 4" xfId="42378" xr:uid="{00000000-0005-0000-0000-000027AA0000}"/>
    <cellStyle name="Normal 413 2 2 2 5" xfId="42379" xr:uid="{00000000-0005-0000-0000-000028AA0000}"/>
    <cellStyle name="Normal 413 2 2 2 6" xfId="42380" xr:uid="{00000000-0005-0000-0000-000029AA0000}"/>
    <cellStyle name="Normal 413 2 2 3" xfId="42381" xr:uid="{00000000-0005-0000-0000-00002AAA0000}"/>
    <cellStyle name="Normal 413 2 2 3 2" xfId="42382" xr:uid="{00000000-0005-0000-0000-00002BAA0000}"/>
    <cellStyle name="Normal 413 2 2 3 3" xfId="42383" xr:uid="{00000000-0005-0000-0000-00002CAA0000}"/>
    <cellStyle name="Normal 413 2 2 4" xfId="42384" xr:uid="{00000000-0005-0000-0000-00002DAA0000}"/>
    <cellStyle name="Normal 413 2 2 4 2" xfId="42385" xr:uid="{00000000-0005-0000-0000-00002EAA0000}"/>
    <cellStyle name="Normal 413 2 2 4 3" xfId="42386" xr:uid="{00000000-0005-0000-0000-00002FAA0000}"/>
    <cellStyle name="Normal 413 2 2 5" xfId="42387" xr:uid="{00000000-0005-0000-0000-000030AA0000}"/>
    <cellStyle name="Normal 413 2 2 6" xfId="42388" xr:uid="{00000000-0005-0000-0000-000031AA0000}"/>
    <cellStyle name="Normal 413 2 2 7" xfId="42389" xr:uid="{00000000-0005-0000-0000-000032AA0000}"/>
    <cellStyle name="Normal 413 2 2 8" xfId="42390" xr:uid="{00000000-0005-0000-0000-000033AA0000}"/>
    <cellStyle name="Normal 413 2 3" xfId="42391" xr:uid="{00000000-0005-0000-0000-000034AA0000}"/>
    <cellStyle name="Normal 413 2 3 2" xfId="42392" xr:uid="{00000000-0005-0000-0000-000035AA0000}"/>
    <cellStyle name="Normal 413 2 3 2 2" xfId="42393" xr:uid="{00000000-0005-0000-0000-000036AA0000}"/>
    <cellStyle name="Normal 413 2 3 2 3" xfId="42394" xr:uid="{00000000-0005-0000-0000-000037AA0000}"/>
    <cellStyle name="Normal 413 2 3 3" xfId="42395" xr:uid="{00000000-0005-0000-0000-000038AA0000}"/>
    <cellStyle name="Normal 413 2 3 3 2" xfId="42396" xr:uid="{00000000-0005-0000-0000-000039AA0000}"/>
    <cellStyle name="Normal 413 2 3 3 3" xfId="42397" xr:uid="{00000000-0005-0000-0000-00003AAA0000}"/>
    <cellStyle name="Normal 413 2 3 4" xfId="42398" xr:uid="{00000000-0005-0000-0000-00003BAA0000}"/>
    <cellStyle name="Normal 413 2 3 5" xfId="42399" xr:uid="{00000000-0005-0000-0000-00003CAA0000}"/>
    <cellStyle name="Normal 413 2 3 6" xfId="42400" xr:uid="{00000000-0005-0000-0000-00003DAA0000}"/>
    <cellStyle name="Normal 413 2 4" xfId="42401" xr:uid="{00000000-0005-0000-0000-00003EAA0000}"/>
    <cellStyle name="Normal 413 2 4 2" xfId="42402" xr:uid="{00000000-0005-0000-0000-00003FAA0000}"/>
    <cellStyle name="Normal 413 2 4 3" xfId="42403" xr:uid="{00000000-0005-0000-0000-000040AA0000}"/>
    <cellStyle name="Normal 413 2 5" xfId="42404" xr:uid="{00000000-0005-0000-0000-000041AA0000}"/>
    <cellStyle name="Normal 413 2 5 2" xfId="42405" xr:uid="{00000000-0005-0000-0000-000042AA0000}"/>
    <cellStyle name="Normal 413 2 5 3" xfId="42406" xr:uid="{00000000-0005-0000-0000-000043AA0000}"/>
    <cellStyle name="Normal 413 2 6" xfId="42407" xr:uid="{00000000-0005-0000-0000-000044AA0000}"/>
    <cellStyle name="Normal 413 2 7" xfId="42408" xr:uid="{00000000-0005-0000-0000-000045AA0000}"/>
    <cellStyle name="Normal 413 2 8" xfId="42409" xr:uid="{00000000-0005-0000-0000-000046AA0000}"/>
    <cellStyle name="Normal 413 2 9" xfId="42410" xr:uid="{00000000-0005-0000-0000-000047AA0000}"/>
    <cellStyle name="Normal 413 3" xfId="42411" xr:uid="{00000000-0005-0000-0000-000048AA0000}"/>
    <cellStyle name="Normal 413 3 2" xfId="42412" xr:uid="{00000000-0005-0000-0000-000049AA0000}"/>
    <cellStyle name="Normal 413 3 2 2" xfId="42413" xr:uid="{00000000-0005-0000-0000-00004AAA0000}"/>
    <cellStyle name="Normal 413 3 2 2 2" xfId="42414" xr:uid="{00000000-0005-0000-0000-00004BAA0000}"/>
    <cellStyle name="Normal 413 3 2 2 3" xfId="42415" xr:uid="{00000000-0005-0000-0000-00004CAA0000}"/>
    <cellStyle name="Normal 413 3 2 3" xfId="42416" xr:uid="{00000000-0005-0000-0000-00004DAA0000}"/>
    <cellStyle name="Normal 413 3 2 3 2" xfId="42417" xr:uid="{00000000-0005-0000-0000-00004EAA0000}"/>
    <cellStyle name="Normal 413 3 2 3 3" xfId="42418" xr:uid="{00000000-0005-0000-0000-00004FAA0000}"/>
    <cellStyle name="Normal 413 3 2 4" xfId="42419" xr:uid="{00000000-0005-0000-0000-000050AA0000}"/>
    <cellStyle name="Normal 413 3 2 5" xfId="42420" xr:uid="{00000000-0005-0000-0000-000051AA0000}"/>
    <cellStyle name="Normal 413 3 2 6" xfId="42421" xr:uid="{00000000-0005-0000-0000-000052AA0000}"/>
    <cellStyle name="Normal 413 3 3" xfId="42422" xr:uid="{00000000-0005-0000-0000-000053AA0000}"/>
    <cellStyle name="Normal 413 3 3 2" xfId="42423" xr:uid="{00000000-0005-0000-0000-000054AA0000}"/>
    <cellStyle name="Normal 413 3 3 3" xfId="42424" xr:uid="{00000000-0005-0000-0000-000055AA0000}"/>
    <cellStyle name="Normal 413 3 4" xfId="42425" xr:uid="{00000000-0005-0000-0000-000056AA0000}"/>
    <cellStyle name="Normal 413 3 4 2" xfId="42426" xr:uid="{00000000-0005-0000-0000-000057AA0000}"/>
    <cellStyle name="Normal 413 3 4 3" xfId="42427" xr:uid="{00000000-0005-0000-0000-000058AA0000}"/>
    <cellStyle name="Normal 413 3 5" xfId="42428" xr:uid="{00000000-0005-0000-0000-000059AA0000}"/>
    <cellStyle name="Normal 413 3 6" xfId="42429" xr:uid="{00000000-0005-0000-0000-00005AAA0000}"/>
    <cellStyle name="Normal 413 3 7" xfId="42430" xr:uid="{00000000-0005-0000-0000-00005BAA0000}"/>
    <cellStyle name="Normal 413 3 8" xfId="42431" xr:uid="{00000000-0005-0000-0000-00005CAA0000}"/>
    <cellStyle name="Normal 413 4" xfId="42432" xr:uid="{00000000-0005-0000-0000-00005DAA0000}"/>
    <cellStyle name="Normal 413 4 2" xfId="42433" xr:uid="{00000000-0005-0000-0000-00005EAA0000}"/>
    <cellStyle name="Normal 413 4 2 2" xfId="42434" xr:uid="{00000000-0005-0000-0000-00005FAA0000}"/>
    <cellStyle name="Normal 413 4 2 3" xfId="42435" xr:uid="{00000000-0005-0000-0000-000060AA0000}"/>
    <cellStyle name="Normal 413 4 3" xfId="42436" xr:uid="{00000000-0005-0000-0000-000061AA0000}"/>
    <cellStyle name="Normal 413 4 3 2" xfId="42437" xr:uid="{00000000-0005-0000-0000-000062AA0000}"/>
    <cellStyle name="Normal 413 4 3 3" xfId="42438" xr:uid="{00000000-0005-0000-0000-000063AA0000}"/>
    <cellStyle name="Normal 413 4 4" xfId="42439" xr:uid="{00000000-0005-0000-0000-000064AA0000}"/>
    <cellStyle name="Normal 413 4 5" xfId="42440" xr:uid="{00000000-0005-0000-0000-000065AA0000}"/>
    <cellStyle name="Normal 413 4 6" xfId="42441" xr:uid="{00000000-0005-0000-0000-000066AA0000}"/>
    <cellStyle name="Normal 413 5" xfId="42442" xr:uid="{00000000-0005-0000-0000-000067AA0000}"/>
    <cellStyle name="Normal 413 5 2" xfId="42443" xr:uid="{00000000-0005-0000-0000-000068AA0000}"/>
    <cellStyle name="Normal 413 5 3" xfId="42444" xr:uid="{00000000-0005-0000-0000-000069AA0000}"/>
    <cellStyle name="Normal 413 6" xfId="42445" xr:uid="{00000000-0005-0000-0000-00006AAA0000}"/>
    <cellStyle name="Normal 413 6 2" xfId="42446" xr:uid="{00000000-0005-0000-0000-00006BAA0000}"/>
    <cellStyle name="Normal 413 6 3" xfId="42447" xr:uid="{00000000-0005-0000-0000-00006CAA0000}"/>
    <cellStyle name="Normal 413 7" xfId="42448" xr:uid="{00000000-0005-0000-0000-00006DAA0000}"/>
    <cellStyle name="Normal 413 8" xfId="42449" xr:uid="{00000000-0005-0000-0000-00006EAA0000}"/>
    <cellStyle name="Normal 413 9" xfId="42450" xr:uid="{00000000-0005-0000-0000-00006FAA0000}"/>
    <cellStyle name="Normal 414" xfId="3463" xr:uid="{00000000-0005-0000-0000-000070AA0000}"/>
    <cellStyle name="Normal 414 10" xfId="42451" xr:uid="{00000000-0005-0000-0000-000071AA0000}"/>
    <cellStyle name="Normal 414 11" xfId="42452" xr:uid="{00000000-0005-0000-0000-000072AA0000}"/>
    <cellStyle name="Normal 414 2" xfId="42453" xr:uid="{00000000-0005-0000-0000-000073AA0000}"/>
    <cellStyle name="Normal 414 2 2" xfId="42454" xr:uid="{00000000-0005-0000-0000-000074AA0000}"/>
    <cellStyle name="Normal 414 2 2 2" xfId="42455" xr:uid="{00000000-0005-0000-0000-000075AA0000}"/>
    <cellStyle name="Normal 414 2 2 2 2" xfId="42456" xr:uid="{00000000-0005-0000-0000-000076AA0000}"/>
    <cellStyle name="Normal 414 2 2 2 2 2" xfId="42457" xr:uid="{00000000-0005-0000-0000-000077AA0000}"/>
    <cellStyle name="Normal 414 2 2 2 2 3" xfId="42458" xr:uid="{00000000-0005-0000-0000-000078AA0000}"/>
    <cellStyle name="Normal 414 2 2 2 3" xfId="42459" xr:uid="{00000000-0005-0000-0000-000079AA0000}"/>
    <cellStyle name="Normal 414 2 2 2 3 2" xfId="42460" xr:uid="{00000000-0005-0000-0000-00007AAA0000}"/>
    <cellStyle name="Normal 414 2 2 2 3 3" xfId="42461" xr:uid="{00000000-0005-0000-0000-00007BAA0000}"/>
    <cellStyle name="Normal 414 2 2 2 4" xfId="42462" xr:uid="{00000000-0005-0000-0000-00007CAA0000}"/>
    <cellStyle name="Normal 414 2 2 2 5" xfId="42463" xr:uid="{00000000-0005-0000-0000-00007DAA0000}"/>
    <cellStyle name="Normal 414 2 2 2 6" xfId="42464" xr:uid="{00000000-0005-0000-0000-00007EAA0000}"/>
    <cellStyle name="Normal 414 2 2 3" xfId="42465" xr:uid="{00000000-0005-0000-0000-00007FAA0000}"/>
    <cellStyle name="Normal 414 2 2 3 2" xfId="42466" xr:uid="{00000000-0005-0000-0000-000080AA0000}"/>
    <cellStyle name="Normal 414 2 2 3 3" xfId="42467" xr:uid="{00000000-0005-0000-0000-000081AA0000}"/>
    <cellStyle name="Normal 414 2 2 4" xfId="42468" xr:uid="{00000000-0005-0000-0000-000082AA0000}"/>
    <cellStyle name="Normal 414 2 2 4 2" xfId="42469" xr:uid="{00000000-0005-0000-0000-000083AA0000}"/>
    <cellStyle name="Normal 414 2 2 4 3" xfId="42470" xr:uid="{00000000-0005-0000-0000-000084AA0000}"/>
    <cellStyle name="Normal 414 2 2 5" xfId="42471" xr:uid="{00000000-0005-0000-0000-000085AA0000}"/>
    <cellStyle name="Normal 414 2 2 6" xfId="42472" xr:uid="{00000000-0005-0000-0000-000086AA0000}"/>
    <cellStyle name="Normal 414 2 2 7" xfId="42473" xr:uid="{00000000-0005-0000-0000-000087AA0000}"/>
    <cellStyle name="Normal 414 2 2 8" xfId="42474" xr:uid="{00000000-0005-0000-0000-000088AA0000}"/>
    <cellStyle name="Normal 414 2 3" xfId="42475" xr:uid="{00000000-0005-0000-0000-000089AA0000}"/>
    <cellStyle name="Normal 414 2 3 2" xfId="42476" xr:uid="{00000000-0005-0000-0000-00008AAA0000}"/>
    <cellStyle name="Normal 414 2 3 2 2" xfId="42477" xr:uid="{00000000-0005-0000-0000-00008BAA0000}"/>
    <cellStyle name="Normal 414 2 3 2 3" xfId="42478" xr:uid="{00000000-0005-0000-0000-00008CAA0000}"/>
    <cellStyle name="Normal 414 2 3 3" xfId="42479" xr:uid="{00000000-0005-0000-0000-00008DAA0000}"/>
    <cellStyle name="Normal 414 2 3 3 2" xfId="42480" xr:uid="{00000000-0005-0000-0000-00008EAA0000}"/>
    <cellStyle name="Normal 414 2 3 3 3" xfId="42481" xr:uid="{00000000-0005-0000-0000-00008FAA0000}"/>
    <cellStyle name="Normal 414 2 3 4" xfId="42482" xr:uid="{00000000-0005-0000-0000-000090AA0000}"/>
    <cellStyle name="Normal 414 2 3 5" xfId="42483" xr:uid="{00000000-0005-0000-0000-000091AA0000}"/>
    <cellStyle name="Normal 414 2 3 6" xfId="42484" xr:uid="{00000000-0005-0000-0000-000092AA0000}"/>
    <cellStyle name="Normal 414 2 4" xfId="42485" xr:uid="{00000000-0005-0000-0000-000093AA0000}"/>
    <cellStyle name="Normal 414 2 4 2" xfId="42486" xr:uid="{00000000-0005-0000-0000-000094AA0000}"/>
    <cellStyle name="Normal 414 2 4 3" xfId="42487" xr:uid="{00000000-0005-0000-0000-000095AA0000}"/>
    <cellStyle name="Normal 414 2 5" xfId="42488" xr:uid="{00000000-0005-0000-0000-000096AA0000}"/>
    <cellStyle name="Normal 414 2 5 2" xfId="42489" xr:uid="{00000000-0005-0000-0000-000097AA0000}"/>
    <cellStyle name="Normal 414 2 5 3" xfId="42490" xr:uid="{00000000-0005-0000-0000-000098AA0000}"/>
    <cellStyle name="Normal 414 2 6" xfId="42491" xr:uid="{00000000-0005-0000-0000-000099AA0000}"/>
    <cellStyle name="Normal 414 2 7" xfId="42492" xr:uid="{00000000-0005-0000-0000-00009AAA0000}"/>
    <cellStyle name="Normal 414 2 8" xfId="42493" xr:uid="{00000000-0005-0000-0000-00009BAA0000}"/>
    <cellStyle name="Normal 414 2 9" xfId="42494" xr:uid="{00000000-0005-0000-0000-00009CAA0000}"/>
    <cellStyle name="Normal 414 3" xfId="42495" xr:uid="{00000000-0005-0000-0000-00009DAA0000}"/>
    <cellStyle name="Normal 414 3 2" xfId="42496" xr:uid="{00000000-0005-0000-0000-00009EAA0000}"/>
    <cellStyle name="Normal 414 3 2 2" xfId="42497" xr:uid="{00000000-0005-0000-0000-00009FAA0000}"/>
    <cellStyle name="Normal 414 3 2 2 2" xfId="42498" xr:uid="{00000000-0005-0000-0000-0000A0AA0000}"/>
    <cellStyle name="Normal 414 3 2 2 3" xfId="42499" xr:uid="{00000000-0005-0000-0000-0000A1AA0000}"/>
    <cellStyle name="Normal 414 3 2 3" xfId="42500" xr:uid="{00000000-0005-0000-0000-0000A2AA0000}"/>
    <cellStyle name="Normal 414 3 2 3 2" xfId="42501" xr:uid="{00000000-0005-0000-0000-0000A3AA0000}"/>
    <cellStyle name="Normal 414 3 2 3 3" xfId="42502" xr:uid="{00000000-0005-0000-0000-0000A4AA0000}"/>
    <cellStyle name="Normal 414 3 2 4" xfId="42503" xr:uid="{00000000-0005-0000-0000-0000A5AA0000}"/>
    <cellStyle name="Normal 414 3 2 5" xfId="42504" xr:uid="{00000000-0005-0000-0000-0000A6AA0000}"/>
    <cellStyle name="Normal 414 3 2 6" xfId="42505" xr:uid="{00000000-0005-0000-0000-0000A7AA0000}"/>
    <cellStyle name="Normal 414 3 3" xfId="42506" xr:uid="{00000000-0005-0000-0000-0000A8AA0000}"/>
    <cellStyle name="Normal 414 3 3 2" xfId="42507" xr:uid="{00000000-0005-0000-0000-0000A9AA0000}"/>
    <cellStyle name="Normal 414 3 3 3" xfId="42508" xr:uid="{00000000-0005-0000-0000-0000AAAA0000}"/>
    <cellStyle name="Normal 414 3 4" xfId="42509" xr:uid="{00000000-0005-0000-0000-0000ABAA0000}"/>
    <cellStyle name="Normal 414 3 4 2" xfId="42510" xr:uid="{00000000-0005-0000-0000-0000ACAA0000}"/>
    <cellStyle name="Normal 414 3 4 3" xfId="42511" xr:uid="{00000000-0005-0000-0000-0000ADAA0000}"/>
    <cellStyle name="Normal 414 3 5" xfId="42512" xr:uid="{00000000-0005-0000-0000-0000AEAA0000}"/>
    <cellStyle name="Normal 414 3 6" xfId="42513" xr:uid="{00000000-0005-0000-0000-0000AFAA0000}"/>
    <cellStyle name="Normal 414 3 7" xfId="42514" xr:uid="{00000000-0005-0000-0000-0000B0AA0000}"/>
    <cellStyle name="Normal 414 3 8" xfId="42515" xr:uid="{00000000-0005-0000-0000-0000B1AA0000}"/>
    <cellStyle name="Normal 414 4" xfId="42516" xr:uid="{00000000-0005-0000-0000-0000B2AA0000}"/>
    <cellStyle name="Normal 414 4 2" xfId="42517" xr:uid="{00000000-0005-0000-0000-0000B3AA0000}"/>
    <cellStyle name="Normal 414 4 2 2" xfId="42518" xr:uid="{00000000-0005-0000-0000-0000B4AA0000}"/>
    <cellStyle name="Normal 414 4 2 3" xfId="42519" xr:uid="{00000000-0005-0000-0000-0000B5AA0000}"/>
    <cellStyle name="Normal 414 4 3" xfId="42520" xr:uid="{00000000-0005-0000-0000-0000B6AA0000}"/>
    <cellStyle name="Normal 414 4 3 2" xfId="42521" xr:uid="{00000000-0005-0000-0000-0000B7AA0000}"/>
    <cellStyle name="Normal 414 4 3 3" xfId="42522" xr:uid="{00000000-0005-0000-0000-0000B8AA0000}"/>
    <cellStyle name="Normal 414 4 4" xfId="42523" xr:uid="{00000000-0005-0000-0000-0000B9AA0000}"/>
    <cellStyle name="Normal 414 4 5" xfId="42524" xr:uid="{00000000-0005-0000-0000-0000BAAA0000}"/>
    <cellStyle name="Normal 414 4 6" xfId="42525" xr:uid="{00000000-0005-0000-0000-0000BBAA0000}"/>
    <cellStyle name="Normal 414 5" xfId="42526" xr:uid="{00000000-0005-0000-0000-0000BCAA0000}"/>
    <cellStyle name="Normal 414 5 2" xfId="42527" xr:uid="{00000000-0005-0000-0000-0000BDAA0000}"/>
    <cellStyle name="Normal 414 5 3" xfId="42528" xr:uid="{00000000-0005-0000-0000-0000BEAA0000}"/>
    <cellStyle name="Normal 414 6" xfId="42529" xr:uid="{00000000-0005-0000-0000-0000BFAA0000}"/>
    <cellStyle name="Normal 414 6 2" xfId="42530" xr:uid="{00000000-0005-0000-0000-0000C0AA0000}"/>
    <cellStyle name="Normal 414 6 3" xfId="42531" xr:uid="{00000000-0005-0000-0000-0000C1AA0000}"/>
    <cellStyle name="Normal 414 7" xfId="42532" xr:uid="{00000000-0005-0000-0000-0000C2AA0000}"/>
    <cellStyle name="Normal 414 8" xfId="42533" xr:uid="{00000000-0005-0000-0000-0000C3AA0000}"/>
    <cellStyle name="Normal 414 9" xfId="42534" xr:uid="{00000000-0005-0000-0000-0000C4AA0000}"/>
    <cellStyle name="Normal 415" xfId="3464" xr:uid="{00000000-0005-0000-0000-0000C5AA0000}"/>
    <cellStyle name="Normal 415 10" xfId="42535" xr:uid="{00000000-0005-0000-0000-0000C6AA0000}"/>
    <cellStyle name="Normal 415 11" xfId="42536" xr:uid="{00000000-0005-0000-0000-0000C7AA0000}"/>
    <cellStyle name="Normal 415 2" xfId="42537" xr:uid="{00000000-0005-0000-0000-0000C8AA0000}"/>
    <cellStyle name="Normal 415 2 2" xfId="42538" xr:uid="{00000000-0005-0000-0000-0000C9AA0000}"/>
    <cellStyle name="Normal 415 2 2 2" xfId="42539" xr:uid="{00000000-0005-0000-0000-0000CAAA0000}"/>
    <cellStyle name="Normal 415 2 2 2 2" xfId="42540" xr:uid="{00000000-0005-0000-0000-0000CBAA0000}"/>
    <cellStyle name="Normal 415 2 2 2 2 2" xfId="42541" xr:uid="{00000000-0005-0000-0000-0000CCAA0000}"/>
    <cellStyle name="Normal 415 2 2 2 2 3" xfId="42542" xr:uid="{00000000-0005-0000-0000-0000CDAA0000}"/>
    <cellStyle name="Normal 415 2 2 2 3" xfId="42543" xr:uid="{00000000-0005-0000-0000-0000CEAA0000}"/>
    <cellStyle name="Normal 415 2 2 2 3 2" xfId="42544" xr:uid="{00000000-0005-0000-0000-0000CFAA0000}"/>
    <cellStyle name="Normal 415 2 2 2 3 3" xfId="42545" xr:uid="{00000000-0005-0000-0000-0000D0AA0000}"/>
    <cellStyle name="Normal 415 2 2 2 4" xfId="42546" xr:uid="{00000000-0005-0000-0000-0000D1AA0000}"/>
    <cellStyle name="Normal 415 2 2 2 5" xfId="42547" xr:uid="{00000000-0005-0000-0000-0000D2AA0000}"/>
    <cellStyle name="Normal 415 2 2 2 6" xfId="42548" xr:uid="{00000000-0005-0000-0000-0000D3AA0000}"/>
    <cellStyle name="Normal 415 2 2 3" xfId="42549" xr:uid="{00000000-0005-0000-0000-0000D4AA0000}"/>
    <cellStyle name="Normal 415 2 2 3 2" xfId="42550" xr:uid="{00000000-0005-0000-0000-0000D5AA0000}"/>
    <cellStyle name="Normal 415 2 2 3 3" xfId="42551" xr:uid="{00000000-0005-0000-0000-0000D6AA0000}"/>
    <cellStyle name="Normal 415 2 2 4" xfId="42552" xr:uid="{00000000-0005-0000-0000-0000D7AA0000}"/>
    <cellStyle name="Normal 415 2 2 4 2" xfId="42553" xr:uid="{00000000-0005-0000-0000-0000D8AA0000}"/>
    <cellStyle name="Normal 415 2 2 4 3" xfId="42554" xr:uid="{00000000-0005-0000-0000-0000D9AA0000}"/>
    <cellStyle name="Normal 415 2 2 5" xfId="42555" xr:uid="{00000000-0005-0000-0000-0000DAAA0000}"/>
    <cellStyle name="Normal 415 2 2 6" xfId="42556" xr:uid="{00000000-0005-0000-0000-0000DBAA0000}"/>
    <cellStyle name="Normal 415 2 2 7" xfId="42557" xr:uid="{00000000-0005-0000-0000-0000DCAA0000}"/>
    <cellStyle name="Normal 415 2 2 8" xfId="42558" xr:uid="{00000000-0005-0000-0000-0000DDAA0000}"/>
    <cellStyle name="Normal 415 2 3" xfId="42559" xr:uid="{00000000-0005-0000-0000-0000DEAA0000}"/>
    <cellStyle name="Normal 415 2 3 2" xfId="42560" xr:uid="{00000000-0005-0000-0000-0000DFAA0000}"/>
    <cellStyle name="Normal 415 2 3 2 2" xfId="42561" xr:uid="{00000000-0005-0000-0000-0000E0AA0000}"/>
    <cellStyle name="Normal 415 2 3 2 3" xfId="42562" xr:uid="{00000000-0005-0000-0000-0000E1AA0000}"/>
    <cellStyle name="Normal 415 2 3 3" xfId="42563" xr:uid="{00000000-0005-0000-0000-0000E2AA0000}"/>
    <cellStyle name="Normal 415 2 3 3 2" xfId="42564" xr:uid="{00000000-0005-0000-0000-0000E3AA0000}"/>
    <cellStyle name="Normal 415 2 3 3 3" xfId="42565" xr:uid="{00000000-0005-0000-0000-0000E4AA0000}"/>
    <cellStyle name="Normal 415 2 3 4" xfId="42566" xr:uid="{00000000-0005-0000-0000-0000E5AA0000}"/>
    <cellStyle name="Normal 415 2 3 5" xfId="42567" xr:uid="{00000000-0005-0000-0000-0000E6AA0000}"/>
    <cellStyle name="Normal 415 2 3 6" xfId="42568" xr:uid="{00000000-0005-0000-0000-0000E7AA0000}"/>
    <cellStyle name="Normal 415 2 4" xfId="42569" xr:uid="{00000000-0005-0000-0000-0000E8AA0000}"/>
    <cellStyle name="Normal 415 2 4 2" xfId="42570" xr:uid="{00000000-0005-0000-0000-0000E9AA0000}"/>
    <cellStyle name="Normal 415 2 4 3" xfId="42571" xr:uid="{00000000-0005-0000-0000-0000EAAA0000}"/>
    <cellStyle name="Normal 415 2 5" xfId="42572" xr:uid="{00000000-0005-0000-0000-0000EBAA0000}"/>
    <cellStyle name="Normal 415 2 5 2" xfId="42573" xr:uid="{00000000-0005-0000-0000-0000ECAA0000}"/>
    <cellStyle name="Normal 415 2 5 3" xfId="42574" xr:uid="{00000000-0005-0000-0000-0000EDAA0000}"/>
    <cellStyle name="Normal 415 2 6" xfId="42575" xr:uid="{00000000-0005-0000-0000-0000EEAA0000}"/>
    <cellStyle name="Normal 415 2 7" xfId="42576" xr:uid="{00000000-0005-0000-0000-0000EFAA0000}"/>
    <cellStyle name="Normal 415 2 8" xfId="42577" xr:uid="{00000000-0005-0000-0000-0000F0AA0000}"/>
    <cellStyle name="Normal 415 2 9" xfId="42578" xr:uid="{00000000-0005-0000-0000-0000F1AA0000}"/>
    <cellStyle name="Normal 415 3" xfId="42579" xr:uid="{00000000-0005-0000-0000-0000F2AA0000}"/>
    <cellStyle name="Normal 415 3 2" xfId="42580" xr:uid="{00000000-0005-0000-0000-0000F3AA0000}"/>
    <cellStyle name="Normal 415 3 2 2" xfId="42581" xr:uid="{00000000-0005-0000-0000-0000F4AA0000}"/>
    <cellStyle name="Normal 415 3 2 2 2" xfId="42582" xr:uid="{00000000-0005-0000-0000-0000F5AA0000}"/>
    <cellStyle name="Normal 415 3 2 2 3" xfId="42583" xr:uid="{00000000-0005-0000-0000-0000F6AA0000}"/>
    <cellStyle name="Normal 415 3 2 3" xfId="42584" xr:uid="{00000000-0005-0000-0000-0000F7AA0000}"/>
    <cellStyle name="Normal 415 3 2 3 2" xfId="42585" xr:uid="{00000000-0005-0000-0000-0000F8AA0000}"/>
    <cellStyle name="Normal 415 3 2 3 3" xfId="42586" xr:uid="{00000000-0005-0000-0000-0000F9AA0000}"/>
    <cellStyle name="Normal 415 3 2 4" xfId="42587" xr:uid="{00000000-0005-0000-0000-0000FAAA0000}"/>
    <cellStyle name="Normal 415 3 2 5" xfId="42588" xr:uid="{00000000-0005-0000-0000-0000FBAA0000}"/>
    <cellStyle name="Normal 415 3 2 6" xfId="42589" xr:uid="{00000000-0005-0000-0000-0000FCAA0000}"/>
    <cellStyle name="Normal 415 3 3" xfId="42590" xr:uid="{00000000-0005-0000-0000-0000FDAA0000}"/>
    <cellStyle name="Normal 415 3 3 2" xfId="42591" xr:uid="{00000000-0005-0000-0000-0000FEAA0000}"/>
    <cellStyle name="Normal 415 3 3 3" xfId="42592" xr:uid="{00000000-0005-0000-0000-0000FFAA0000}"/>
    <cellStyle name="Normal 415 3 4" xfId="42593" xr:uid="{00000000-0005-0000-0000-000000AB0000}"/>
    <cellStyle name="Normal 415 3 4 2" xfId="42594" xr:uid="{00000000-0005-0000-0000-000001AB0000}"/>
    <cellStyle name="Normal 415 3 4 3" xfId="42595" xr:uid="{00000000-0005-0000-0000-000002AB0000}"/>
    <cellStyle name="Normal 415 3 5" xfId="42596" xr:uid="{00000000-0005-0000-0000-000003AB0000}"/>
    <cellStyle name="Normal 415 3 6" xfId="42597" xr:uid="{00000000-0005-0000-0000-000004AB0000}"/>
    <cellStyle name="Normal 415 3 7" xfId="42598" xr:uid="{00000000-0005-0000-0000-000005AB0000}"/>
    <cellStyle name="Normal 415 3 8" xfId="42599" xr:uid="{00000000-0005-0000-0000-000006AB0000}"/>
    <cellStyle name="Normal 415 4" xfId="42600" xr:uid="{00000000-0005-0000-0000-000007AB0000}"/>
    <cellStyle name="Normal 415 4 2" xfId="42601" xr:uid="{00000000-0005-0000-0000-000008AB0000}"/>
    <cellStyle name="Normal 415 4 2 2" xfId="42602" xr:uid="{00000000-0005-0000-0000-000009AB0000}"/>
    <cellStyle name="Normal 415 4 2 3" xfId="42603" xr:uid="{00000000-0005-0000-0000-00000AAB0000}"/>
    <cellStyle name="Normal 415 4 3" xfId="42604" xr:uid="{00000000-0005-0000-0000-00000BAB0000}"/>
    <cellStyle name="Normal 415 4 3 2" xfId="42605" xr:uid="{00000000-0005-0000-0000-00000CAB0000}"/>
    <cellStyle name="Normal 415 4 3 3" xfId="42606" xr:uid="{00000000-0005-0000-0000-00000DAB0000}"/>
    <cellStyle name="Normal 415 4 4" xfId="42607" xr:uid="{00000000-0005-0000-0000-00000EAB0000}"/>
    <cellStyle name="Normal 415 4 5" xfId="42608" xr:uid="{00000000-0005-0000-0000-00000FAB0000}"/>
    <cellStyle name="Normal 415 4 6" xfId="42609" xr:uid="{00000000-0005-0000-0000-000010AB0000}"/>
    <cellStyle name="Normal 415 5" xfId="42610" xr:uid="{00000000-0005-0000-0000-000011AB0000}"/>
    <cellStyle name="Normal 415 5 2" xfId="42611" xr:uid="{00000000-0005-0000-0000-000012AB0000}"/>
    <cellStyle name="Normal 415 5 3" xfId="42612" xr:uid="{00000000-0005-0000-0000-000013AB0000}"/>
    <cellStyle name="Normal 415 6" xfId="42613" xr:uid="{00000000-0005-0000-0000-000014AB0000}"/>
    <cellStyle name="Normal 415 6 2" xfId="42614" xr:uid="{00000000-0005-0000-0000-000015AB0000}"/>
    <cellStyle name="Normal 415 6 3" xfId="42615" xr:uid="{00000000-0005-0000-0000-000016AB0000}"/>
    <cellStyle name="Normal 415 7" xfId="42616" xr:uid="{00000000-0005-0000-0000-000017AB0000}"/>
    <cellStyle name="Normal 415 8" xfId="42617" xr:uid="{00000000-0005-0000-0000-000018AB0000}"/>
    <cellStyle name="Normal 415 9" xfId="42618" xr:uid="{00000000-0005-0000-0000-000019AB0000}"/>
    <cellStyle name="Normal 416" xfId="3465" xr:uid="{00000000-0005-0000-0000-00001AAB0000}"/>
    <cellStyle name="Normal 416 10" xfId="42619" xr:uid="{00000000-0005-0000-0000-00001BAB0000}"/>
    <cellStyle name="Normal 416 11" xfId="42620" xr:uid="{00000000-0005-0000-0000-00001CAB0000}"/>
    <cellStyle name="Normal 416 2" xfId="3466" xr:uid="{00000000-0005-0000-0000-00001DAB0000}"/>
    <cellStyle name="Normal 416 2 10" xfId="42621" xr:uid="{00000000-0005-0000-0000-00001EAB0000}"/>
    <cellStyle name="Normal 416 2 2" xfId="42622" xr:uid="{00000000-0005-0000-0000-00001FAB0000}"/>
    <cellStyle name="Normal 416 2 2 2" xfId="42623" xr:uid="{00000000-0005-0000-0000-000020AB0000}"/>
    <cellStyle name="Normal 416 2 2 2 2" xfId="42624" xr:uid="{00000000-0005-0000-0000-000021AB0000}"/>
    <cellStyle name="Normal 416 2 2 2 2 2" xfId="42625" xr:uid="{00000000-0005-0000-0000-000022AB0000}"/>
    <cellStyle name="Normal 416 2 2 2 2 3" xfId="42626" xr:uid="{00000000-0005-0000-0000-000023AB0000}"/>
    <cellStyle name="Normal 416 2 2 2 3" xfId="42627" xr:uid="{00000000-0005-0000-0000-000024AB0000}"/>
    <cellStyle name="Normal 416 2 2 2 3 2" xfId="42628" xr:uid="{00000000-0005-0000-0000-000025AB0000}"/>
    <cellStyle name="Normal 416 2 2 2 3 3" xfId="42629" xr:uid="{00000000-0005-0000-0000-000026AB0000}"/>
    <cellStyle name="Normal 416 2 2 2 4" xfId="42630" xr:uid="{00000000-0005-0000-0000-000027AB0000}"/>
    <cellStyle name="Normal 416 2 2 2 5" xfId="42631" xr:uid="{00000000-0005-0000-0000-000028AB0000}"/>
    <cellStyle name="Normal 416 2 2 2 6" xfId="42632" xr:uid="{00000000-0005-0000-0000-000029AB0000}"/>
    <cellStyle name="Normal 416 2 2 3" xfId="42633" xr:uid="{00000000-0005-0000-0000-00002AAB0000}"/>
    <cellStyle name="Normal 416 2 2 3 2" xfId="42634" xr:uid="{00000000-0005-0000-0000-00002BAB0000}"/>
    <cellStyle name="Normal 416 2 2 3 3" xfId="42635" xr:uid="{00000000-0005-0000-0000-00002CAB0000}"/>
    <cellStyle name="Normal 416 2 2 4" xfId="42636" xr:uid="{00000000-0005-0000-0000-00002DAB0000}"/>
    <cellStyle name="Normal 416 2 2 4 2" xfId="42637" xr:uid="{00000000-0005-0000-0000-00002EAB0000}"/>
    <cellStyle name="Normal 416 2 2 4 3" xfId="42638" xr:uid="{00000000-0005-0000-0000-00002FAB0000}"/>
    <cellStyle name="Normal 416 2 2 5" xfId="42639" xr:uid="{00000000-0005-0000-0000-000030AB0000}"/>
    <cellStyle name="Normal 416 2 2 6" xfId="42640" xr:uid="{00000000-0005-0000-0000-000031AB0000}"/>
    <cellStyle name="Normal 416 2 2 7" xfId="42641" xr:uid="{00000000-0005-0000-0000-000032AB0000}"/>
    <cellStyle name="Normal 416 2 2 8" xfId="42642" xr:uid="{00000000-0005-0000-0000-000033AB0000}"/>
    <cellStyle name="Normal 416 2 3" xfId="42643" xr:uid="{00000000-0005-0000-0000-000034AB0000}"/>
    <cellStyle name="Normal 416 2 3 2" xfId="42644" xr:uid="{00000000-0005-0000-0000-000035AB0000}"/>
    <cellStyle name="Normal 416 2 3 2 2" xfId="42645" xr:uid="{00000000-0005-0000-0000-000036AB0000}"/>
    <cellStyle name="Normal 416 2 3 2 3" xfId="42646" xr:uid="{00000000-0005-0000-0000-000037AB0000}"/>
    <cellStyle name="Normal 416 2 3 3" xfId="42647" xr:uid="{00000000-0005-0000-0000-000038AB0000}"/>
    <cellStyle name="Normal 416 2 3 3 2" xfId="42648" xr:uid="{00000000-0005-0000-0000-000039AB0000}"/>
    <cellStyle name="Normal 416 2 3 3 3" xfId="42649" xr:uid="{00000000-0005-0000-0000-00003AAB0000}"/>
    <cellStyle name="Normal 416 2 3 4" xfId="42650" xr:uid="{00000000-0005-0000-0000-00003BAB0000}"/>
    <cellStyle name="Normal 416 2 3 5" xfId="42651" xr:uid="{00000000-0005-0000-0000-00003CAB0000}"/>
    <cellStyle name="Normal 416 2 3 6" xfId="42652" xr:uid="{00000000-0005-0000-0000-00003DAB0000}"/>
    <cellStyle name="Normal 416 2 4" xfId="42653" xr:uid="{00000000-0005-0000-0000-00003EAB0000}"/>
    <cellStyle name="Normal 416 2 4 2" xfId="42654" xr:uid="{00000000-0005-0000-0000-00003FAB0000}"/>
    <cellStyle name="Normal 416 2 4 3" xfId="42655" xr:uid="{00000000-0005-0000-0000-000040AB0000}"/>
    <cellStyle name="Normal 416 2 5" xfId="42656" xr:uid="{00000000-0005-0000-0000-000041AB0000}"/>
    <cellStyle name="Normal 416 2 5 2" xfId="42657" xr:uid="{00000000-0005-0000-0000-000042AB0000}"/>
    <cellStyle name="Normal 416 2 5 3" xfId="42658" xr:uid="{00000000-0005-0000-0000-000043AB0000}"/>
    <cellStyle name="Normal 416 2 6" xfId="42659" xr:uid="{00000000-0005-0000-0000-000044AB0000}"/>
    <cellStyle name="Normal 416 2 7" xfId="42660" xr:uid="{00000000-0005-0000-0000-000045AB0000}"/>
    <cellStyle name="Normal 416 2 8" xfId="42661" xr:uid="{00000000-0005-0000-0000-000046AB0000}"/>
    <cellStyle name="Normal 416 2 9" xfId="42662" xr:uid="{00000000-0005-0000-0000-000047AB0000}"/>
    <cellStyle name="Normal 416 3" xfId="42663" xr:uid="{00000000-0005-0000-0000-000048AB0000}"/>
    <cellStyle name="Normal 416 3 2" xfId="42664" xr:uid="{00000000-0005-0000-0000-000049AB0000}"/>
    <cellStyle name="Normal 416 3 2 2" xfId="42665" xr:uid="{00000000-0005-0000-0000-00004AAB0000}"/>
    <cellStyle name="Normal 416 3 2 2 2" xfId="42666" xr:uid="{00000000-0005-0000-0000-00004BAB0000}"/>
    <cellStyle name="Normal 416 3 2 2 3" xfId="42667" xr:uid="{00000000-0005-0000-0000-00004CAB0000}"/>
    <cellStyle name="Normal 416 3 2 3" xfId="42668" xr:uid="{00000000-0005-0000-0000-00004DAB0000}"/>
    <cellStyle name="Normal 416 3 2 3 2" xfId="42669" xr:uid="{00000000-0005-0000-0000-00004EAB0000}"/>
    <cellStyle name="Normal 416 3 2 3 3" xfId="42670" xr:uid="{00000000-0005-0000-0000-00004FAB0000}"/>
    <cellStyle name="Normal 416 3 2 4" xfId="42671" xr:uid="{00000000-0005-0000-0000-000050AB0000}"/>
    <cellStyle name="Normal 416 3 2 5" xfId="42672" xr:uid="{00000000-0005-0000-0000-000051AB0000}"/>
    <cellStyle name="Normal 416 3 2 6" xfId="42673" xr:uid="{00000000-0005-0000-0000-000052AB0000}"/>
    <cellStyle name="Normal 416 3 3" xfId="42674" xr:uid="{00000000-0005-0000-0000-000053AB0000}"/>
    <cellStyle name="Normal 416 3 3 2" xfId="42675" xr:uid="{00000000-0005-0000-0000-000054AB0000}"/>
    <cellStyle name="Normal 416 3 3 3" xfId="42676" xr:uid="{00000000-0005-0000-0000-000055AB0000}"/>
    <cellStyle name="Normal 416 3 4" xfId="42677" xr:uid="{00000000-0005-0000-0000-000056AB0000}"/>
    <cellStyle name="Normal 416 3 4 2" xfId="42678" xr:uid="{00000000-0005-0000-0000-000057AB0000}"/>
    <cellStyle name="Normal 416 3 4 3" xfId="42679" xr:uid="{00000000-0005-0000-0000-000058AB0000}"/>
    <cellStyle name="Normal 416 3 5" xfId="42680" xr:uid="{00000000-0005-0000-0000-000059AB0000}"/>
    <cellStyle name="Normal 416 3 6" xfId="42681" xr:uid="{00000000-0005-0000-0000-00005AAB0000}"/>
    <cellStyle name="Normal 416 3 7" xfId="42682" xr:uid="{00000000-0005-0000-0000-00005BAB0000}"/>
    <cellStyle name="Normal 416 3 8" xfId="42683" xr:uid="{00000000-0005-0000-0000-00005CAB0000}"/>
    <cellStyle name="Normal 416 4" xfId="42684" xr:uid="{00000000-0005-0000-0000-00005DAB0000}"/>
    <cellStyle name="Normal 416 4 2" xfId="42685" xr:uid="{00000000-0005-0000-0000-00005EAB0000}"/>
    <cellStyle name="Normal 416 4 2 2" xfId="42686" xr:uid="{00000000-0005-0000-0000-00005FAB0000}"/>
    <cellStyle name="Normal 416 4 2 3" xfId="42687" xr:uid="{00000000-0005-0000-0000-000060AB0000}"/>
    <cellStyle name="Normal 416 4 3" xfId="42688" xr:uid="{00000000-0005-0000-0000-000061AB0000}"/>
    <cellStyle name="Normal 416 4 3 2" xfId="42689" xr:uid="{00000000-0005-0000-0000-000062AB0000}"/>
    <cellStyle name="Normal 416 4 3 3" xfId="42690" xr:uid="{00000000-0005-0000-0000-000063AB0000}"/>
    <cellStyle name="Normal 416 4 4" xfId="42691" xr:uid="{00000000-0005-0000-0000-000064AB0000}"/>
    <cellStyle name="Normal 416 4 5" xfId="42692" xr:uid="{00000000-0005-0000-0000-000065AB0000}"/>
    <cellStyle name="Normal 416 4 6" xfId="42693" xr:uid="{00000000-0005-0000-0000-000066AB0000}"/>
    <cellStyle name="Normal 416 5" xfId="42694" xr:uid="{00000000-0005-0000-0000-000067AB0000}"/>
    <cellStyle name="Normal 416 5 2" xfId="42695" xr:uid="{00000000-0005-0000-0000-000068AB0000}"/>
    <cellStyle name="Normal 416 5 3" xfId="42696" xr:uid="{00000000-0005-0000-0000-000069AB0000}"/>
    <cellStyle name="Normal 416 6" xfId="42697" xr:uid="{00000000-0005-0000-0000-00006AAB0000}"/>
    <cellStyle name="Normal 416 6 2" xfId="42698" xr:uid="{00000000-0005-0000-0000-00006BAB0000}"/>
    <cellStyle name="Normal 416 6 3" xfId="42699" xr:uid="{00000000-0005-0000-0000-00006CAB0000}"/>
    <cellStyle name="Normal 416 7" xfId="42700" xr:uid="{00000000-0005-0000-0000-00006DAB0000}"/>
    <cellStyle name="Normal 416 8" xfId="42701" xr:uid="{00000000-0005-0000-0000-00006EAB0000}"/>
    <cellStyle name="Normal 416 9" xfId="42702" xr:uid="{00000000-0005-0000-0000-00006FAB0000}"/>
    <cellStyle name="Normal 417" xfId="3467" xr:uid="{00000000-0005-0000-0000-000070AB0000}"/>
    <cellStyle name="Normal 417 10" xfId="42703" xr:uid="{00000000-0005-0000-0000-000071AB0000}"/>
    <cellStyle name="Normal 417 11" xfId="42704" xr:uid="{00000000-0005-0000-0000-000072AB0000}"/>
    <cellStyle name="Normal 417 2" xfId="42705" xr:uid="{00000000-0005-0000-0000-000073AB0000}"/>
    <cellStyle name="Normal 417 2 2" xfId="42706" xr:uid="{00000000-0005-0000-0000-000074AB0000}"/>
    <cellStyle name="Normal 417 2 2 2" xfId="42707" xr:uid="{00000000-0005-0000-0000-000075AB0000}"/>
    <cellStyle name="Normal 417 2 2 2 2" xfId="42708" xr:uid="{00000000-0005-0000-0000-000076AB0000}"/>
    <cellStyle name="Normal 417 2 2 2 2 2" xfId="42709" xr:uid="{00000000-0005-0000-0000-000077AB0000}"/>
    <cellStyle name="Normal 417 2 2 2 2 3" xfId="42710" xr:uid="{00000000-0005-0000-0000-000078AB0000}"/>
    <cellStyle name="Normal 417 2 2 2 3" xfId="42711" xr:uid="{00000000-0005-0000-0000-000079AB0000}"/>
    <cellStyle name="Normal 417 2 2 2 3 2" xfId="42712" xr:uid="{00000000-0005-0000-0000-00007AAB0000}"/>
    <cellStyle name="Normal 417 2 2 2 3 3" xfId="42713" xr:uid="{00000000-0005-0000-0000-00007BAB0000}"/>
    <cellStyle name="Normal 417 2 2 2 4" xfId="42714" xr:uid="{00000000-0005-0000-0000-00007CAB0000}"/>
    <cellStyle name="Normal 417 2 2 2 5" xfId="42715" xr:uid="{00000000-0005-0000-0000-00007DAB0000}"/>
    <cellStyle name="Normal 417 2 2 2 6" xfId="42716" xr:uid="{00000000-0005-0000-0000-00007EAB0000}"/>
    <cellStyle name="Normal 417 2 2 3" xfId="42717" xr:uid="{00000000-0005-0000-0000-00007FAB0000}"/>
    <cellStyle name="Normal 417 2 2 3 2" xfId="42718" xr:uid="{00000000-0005-0000-0000-000080AB0000}"/>
    <cellStyle name="Normal 417 2 2 3 3" xfId="42719" xr:uid="{00000000-0005-0000-0000-000081AB0000}"/>
    <cellStyle name="Normal 417 2 2 4" xfId="42720" xr:uid="{00000000-0005-0000-0000-000082AB0000}"/>
    <cellStyle name="Normal 417 2 2 4 2" xfId="42721" xr:uid="{00000000-0005-0000-0000-000083AB0000}"/>
    <cellStyle name="Normal 417 2 2 4 3" xfId="42722" xr:uid="{00000000-0005-0000-0000-000084AB0000}"/>
    <cellStyle name="Normal 417 2 2 5" xfId="42723" xr:uid="{00000000-0005-0000-0000-000085AB0000}"/>
    <cellStyle name="Normal 417 2 2 6" xfId="42724" xr:uid="{00000000-0005-0000-0000-000086AB0000}"/>
    <cellStyle name="Normal 417 2 2 7" xfId="42725" xr:uid="{00000000-0005-0000-0000-000087AB0000}"/>
    <cellStyle name="Normal 417 2 2 8" xfId="42726" xr:uid="{00000000-0005-0000-0000-000088AB0000}"/>
    <cellStyle name="Normal 417 2 3" xfId="42727" xr:uid="{00000000-0005-0000-0000-000089AB0000}"/>
    <cellStyle name="Normal 417 2 3 2" xfId="42728" xr:uid="{00000000-0005-0000-0000-00008AAB0000}"/>
    <cellStyle name="Normal 417 2 3 2 2" xfId="42729" xr:uid="{00000000-0005-0000-0000-00008BAB0000}"/>
    <cellStyle name="Normal 417 2 3 2 3" xfId="42730" xr:uid="{00000000-0005-0000-0000-00008CAB0000}"/>
    <cellStyle name="Normal 417 2 3 3" xfId="42731" xr:uid="{00000000-0005-0000-0000-00008DAB0000}"/>
    <cellStyle name="Normal 417 2 3 3 2" xfId="42732" xr:uid="{00000000-0005-0000-0000-00008EAB0000}"/>
    <cellStyle name="Normal 417 2 3 3 3" xfId="42733" xr:uid="{00000000-0005-0000-0000-00008FAB0000}"/>
    <cellStyle name="Normal 417 2 3 4" xfId="42734" xr:uid="{00000000-0005-0000-0000-000090AB0000}"/>
    <cellStyle name="Normal 417 2 3 5" xfId="42735" xr:uid="{00000000-0005-0000-0000-000091AB0000}"/>
    <cellStyle name="Normal 417 2 3 6" xfId="42736" xr:uid="{00000000-0005-0000-0000-000092AB0000}"/>
    <cellStyle name="Normal 417 2 4" xfId="42737" xr:uid="{00000000-0005-0000-0000-000093AB0000}"/>
    <cellStyle name="Normal 417 2 4 2" xfId="42738" xr:uid="{00000000-0005-0000-0000-000094AB0000}"/>
    <cellStyle name="Normal 417 2 4 3" xfId="42739" xr:uid="{00000000-0005-0000-0000-000095AB0000}"/>
    <cellStyle name="Normal 417 2 5" xfId="42740" xr:uid="{00000000-0005-0000-0000-000096AB0000}"/>
    <cellStyle name="Normal 417 2 5 2" xfId="42741" xr:uid="{00000000-0005-0000-0000-000097AB0000}"/>
    <cellStyle name="Normal 417 2 5 3" xfId="42742" xr:uid="{00000000-0005-0000-0000-000098AB0000}"/>
    <cellStyle name="Normal 417 2 6" xfId="42743" xr:uid="{00000000-0005-0000-0000-000099AB0000}"/>
    <cellStyle name="Normal 417 2 7" xfId="42744" xr:uid="{00000000-0005-0000-0000-00009AAB0000}"/>
    <cellStyle name="Normal 417 2 8" xfId="42745" xr:uid="{00000000-0005-0000-0000-00009BAB0000}"/>
    <cellStyle name="Normal 417 2 9" xfId="42746" xr:uid="{00000000-0005-0000-0000-00009CAB0000}"/>
    <cellStyle name="Normal 417 3" xfId="42747" xr:uid="{00000000-0005-0000-0000-00009DAB0000}"/>
    <cellStyle name="Normal 417 3 2" xfId="42748" xr:uid="{00000000-0005-0000-0000-00009EAB0000}"/>
    <cellStyle name="Normal 417 3 2 2" xfId="42749" xr:uid="{00000000-0005-0000-0000-00009FAB0000}"/>
    <cellStyle name="Normal 417 3 2 2 2" xfId="42750" xr:uid="{00000000-0005-0000-0000-0000A0AB0000}"/>
    <cellStyle name="Normal 417 3 2 2 3" xfId="42751" xr:uid="{00000000-0005-0000-0000-0000A1AB0000}"/>
    <cellStyle name="Normal 417 3 2 3" xfId="42752" xr:uid="{00000000-0005-0000-0000-0000A2AB0000}"/>
    <cellStyle name="Normal 417 3 2 3 2" xfId="42753" xr:uid="{00000000-0005-0000-0000-0000A3AB0000}"/>
    <cellStyle name="Normal 417 3 2 3 3" xfId="42754" xr:uid="{00000000-0005-0000-0000-0000A4AB0000}"/>
    <cellStyle name="Normal 417 3 2 4" xfId="42755" xr:uid="{00000000-0005-0000-0000-0000A5AB0000}"/>
    <cellStyle name="Normal 417 3 2 5" xfId="42756" xr:uid="{00000000-0005-0000-0000-0000A6AB0000}"/>
    <cellStyle name="Normal 417 3 2 6" xfId="42757" xr:uid="{00000000-0005-0000-0000-0000A7AB0000}"/>
    <cellStyle name="Normal 417 3 3" xfId="42758" xr:uid="{00000000-0005-0000-0000-0000A8AB0000}"/>
    <cellStyle name="Normal 417 3 3 2" xfId="42759" xr:uid="{00000000-0005-0000-0000-0000A9AB0000}"/>
    <cellStyle name="Normal 417 3 3 3" xfId="42760" xr:uid="{00000000-0005-0000-0000-0000AAAB0000}"/>
    <cellStyle name="Normal 417 3 4" xfId="42761" xr:uid="{00000000-0005-0000-0000-0000ABAB0000}"/>
    <cellStyle name="Normal 417 3 4 2" xfId="42762" xr:uid="{00000000-0005-0000-0000-0000ACAB0000}"/>
    <cellStyle name="Normal 417 3 4 3" xfId="42763" xr:uid="{00000000-0005-0000-0000-0000ADAB0000}"/>
    <cellStyle name="Normal 417 3 5" xfId="42764" xr:uid="{00000000-0005-0000-0000-0000AEAB0000}"/>
    <cellStyle name="Normal 417 3 6" xfId="42765" xr:uid="{00000000-0005-0000-0000-0000AFAB0000}"/>
    <cellStyle name="Normal 417 3 7" xfId="42766" xr:uid="{00000000-0005-0000-0000-0000B0AB0000}"/>
    <cellStyle name="Normal 417 3 8" xfId="42767" xr:uid="{00000000-0005-0000-0000-0000B1AB0000}"/>
    <cellStyle name="Normal 417 4" xfId="42768" xr:uid="{00000000-0005-0000-0000-0000B2AB0000}"/>
    <cellStyle name="Normal 417 4 2" xfId="42769" xr:uid="{00000000-0005-0000-0000-0000B3AB0000}"/>
    <cellStyle name="Normal 417 4 2 2" xfId="42770" xr:uid="{00000000-0005-0000-0000-0000B4AB0000}"/>
    <cellStyle name="Normal 417 4 2 3" xfId="42771" xr:uid="{00000000-0005-0000-0000-0000B5AB0000}"/>
    <cellStyle name="Normal 417 4 3" xfId="42772" xr:uid="{00000000-0005-0000-0000-0000B6AB0000}"/>
    <cellStyle name="Normal 417 4 3 2" xfId="42773" xr:uid="{00000000-0005-0000-0000-0000B7AB0000}"/>
    <cellStyle name="Normal 417 4 3 3" xfId="42774" xr:uid="{00000000-0005-0000-0000-0000B8AB0000}"/>
    <cellStyle name="Normal 417 4 4" xfId="42775" xr:uid="{00000000-0005-0000-0000-0000B9AB0000}"/>
    <cellStyle name="Normal 417 4 5" xfId="42776" xr:uid="{00000000-0005-0000-0000-0000BAAB0000}"/>
    <cellStyle name="Normal 417 4 6" xfId="42777" xr:uid="{00000000-0005-0000-0000-0000BBAB0000}"/>
    <cellStyle name="Normal 417 5" xfId="42778" xr:uid="{00000000-0005-0000-0000-0000BCAB0000}"/>
    <cellStyle name="Normal 417 5 2" xfId="42779" xr:uid="{00000000-0005-0000-0000-0000BDAB0000}"/>
    <cellStyle name="Normal 417 5 3" xfId="42780" xr:uid="{00000000-0005-0000-0000-0000BEAB0000}"/>
    <cellStyle name="Normal 417 6" xfId="42781" xr:uid="{00000000-0005-0000-0000-0000BFAB0000}"/>
    <cellStyle name="Normal 417 6 2" xfId="42782" xr:uid="{00000000-0005-0000-0000-0000C0AB0000}"/>
    <cellStyle name="Normal 417 6 3" xfId="42783" xr:uid="{00000000-0005-0000-0000-0000C1AB0000}"/>
    <cellStyle name="Normal 417 7" xfId="42784" xr:uid="{00000000-0005-0000-0000-0000C2AB0000}"/>
    <cellStyle name="Normal 417 8" xfId="42785" xr:uid="{00000000-0005-0000-0000-0000C3AB0000}"/>
    <cellStyle name="Normal 417 9" xfId="42786" xr:uid="{00000000-0005-0000-0000-0000C4AB0000}"/>
    <cellStyle name="Normal 418" xfId="3468" xr:uid="{00000000-0005-0000-0000-0000C5AB0000}"/>
    <cellStyle name="Normal 418 10" xfId="42787" xr:uid="{00000000-0005-0000-0000-0000C6AB0000}"/>
    <cellStyle name="Normal 418 11" xfId="42788" xr:uid="{00000000-0005-0000-0000-0000C7AB0000}"/>
    <cellStyle name="Normal 418 2" xfId="42789" xr:uid="{00000000-0005-0000-0000-0000C8AB0000}"/>
    <cellStyle name="Normal 418 2 2" xfId="42790" xr:uid="{00000000-0005-0000-0000-0000C9AB0000}"/>
    <cellStyle name="Normal 418 2 2 2" xfId="42791" xr:uid="{00000000-0005-0000-0000-0000CAAB0000}"/>
    <cellStyle name="Normal 418 2 2 2 2" xfId="42792" xr:uid="{00000000-0005-0000-0000-0000CBAB0000}"/>
    <cellStyle name="Normal 418 2 2 2 2 2" xfId="42793" xr:uid="{00000000-0005-0000-0000-0000CCAB0000}"/>
    <cellStyle name="Normal 418 2 2 2 2 3" xfId="42794" xr:uid="{00000000-0005-0000-0000-0000CDAB0000}"/>
    <cellStyle name="Normal 418 2 2 2 3" xfId="42795" xr:uid="{00000000-0005-0000-0000-0000CEAB0000}"/>
    <cellStyle name="Normal 418 2 2 2 3 2" xfId="42796" xr:uid="{00000000-0005-0000-0000-0000CFAB0000}"/>
    <cellStyle name="Normal 418 2 2 2 3 3" xfId="42797" xr:uid="{00000000-0005-0000-0000-0000D0AB0000}"/>
    <cellStyle name="Normal 418 2 2 2 4" xfId="42798" xr:uid="{00000000-0005-0000-0000-0000D1AB0000}"/>
    <cellStyle name="Normal 418 2 2 2 5" xfId="42799" xr:uid="{00000000-0005-0000-0000-0000D2AB0000}"/>
    <cellStyle name="Normal 418 2 2 2 6" xfId="42800" xr:uid="{00000000-0005-0000-0000-0000D3AB0000}"/>
    <cellStyle name="Normal 418 2 2 3" xfId="42801" xr:uid="{00000000-0005-0000-0000-0000D4AB0000}"/>
    <cellStyle name="Normal 418 2 2 3 2" xfId="42802" xr:uid="{00000000-0005-0000-0000-0000D5AB0000}"/>
    <cellStyle name="Normal 418 2 2 3 3" xfId="42803" xr:uid="{00000000-0005-0000-0000-0000D6AB0000}"/>
    <cellStyle name="Normal 418 2 2 4" xfId="42804" xr:uid="{00000000-0005-0000-0000-0000D7AB0000}"/>
    <cellStyle name="Normal 418 2 2 4 2" xfId="42805" xr:uid="{00000000-0005-0000-0000-0000D8AB0000}"/>
    <cellStyle name="Normal 418 2 2 4 3" xfId="42806" xr:uid="{00000000-0005-0000-0000-0000D9AB0000}"/>
    <cellStyle name="Normal 418 2 2 5" xfId="42807" xr:uid="{00000000-0005-0000-0000-0000DAAB0000}"/>
    <cellStyle name="Normal 418 2 2 6" xfId="42808" xr:uid="{00000000-0005-0000-0000-0000DBAB0000}"/>
    <cellStyle name="Normal 418 2 2 7" xfId="42809" xr:uid="{00000000-0005-0000-0000-0000DCAB0000}"/>
    <cellStyle name="Normal 418 2 2 8" xfId="42810" xr:uid="{00000000-0005-0000-0000-0000DDAB0000}"/>
    <cellStyle name="Normal 418 2 3" xfId="42811" xr:uid="{00000000-0005-0000-0000-0000DEAB0000}"/>
    <cellStyle name="Normal 418 2 3 2" xfId="42812" xr:uid="{00000000-0005-0000-0000-0000DFAB0000}"/>
    <cellStyle name="Normal 418 2 3 2 2" xfId="42813" xr:uid="{00000000-0005-0000-0000-0000E0AB0000}"/>
    <cellStyle name="Normal 418 2 3 2 3" xfId="42814" xr:uid="{00000000-0005-0000-0000-0000E1AB0000}"/>
    <cellStyle name="Normal 418 2 3 3" xfId="42815" xr:uid="{00000000-0005-0000-0000-0000E2AB0000}"/>
    <cellStyle name="Normal 418 2 3 3 2" xfId="42816" xr:uid="{00000000-0005-0000-0000-0000E3AB0000}"/>
    <cellStyle name="Normal 418 2 3 3 3" xfId="42817" xr:uid="{00000000-0005-0000-0000-0000E4AB0000}"/>
    <cellStyle name="Normal 418 2 3 4" xfId="42818" xr:uid="{00000000-0005-0000-0000-0000E5AB0000}"/>
    <cellStyle name="Normal 418 2 3 5" xfId="42819" xr:uid="{00000000-0005-0000-0000-0000E6AB0000}"/>
    <cellStyle name="Normal 418 2 3 6" xfId="42820" xr:uid="{00000000-0005-0000-0000-0000E7AB0000}"/>
    <cellStyle name="Normal 418 2 4" xfId="42821" xr:uid="{00000000-0005-0000-0000-0000E8AB0000}"/>
    <cellStyle name="Normal 418 2 4 2" xfId="42822" xr:uid="{00000000-0005-0000-0000-0000E9AB0000}"/>
    <cellStyle name="Normal 418 2 4 3" xfId="42823" xr:uid="{00000000-0005-0000-0000-0000EAAB0000}"/>
    <cellStyle name="Normal 418 2 5" xfId="42824" xr:uid="{00000000-0005-0000-0000-0000EBAB0000}"/>
    <cellStyle name="Normal 418 2 5 2" xfId="42825" xr:uid="{00000000-0005-0000-0000-0000ECAB0000}"/>
    <cellStyle name="Normal 418 2 5 3" xfId="42826" xr:uid="{00000000-0005-0000-0000-0000EDAB0000}"/>
    <cellStyle name="Normal 418 2 6" xfId="42827" xr:uid="{00000000-0005-0000-0000-0000EEAB0000}"/>
    <cellStyle name="Normal 418 2 7" xfId="42828" xr:uid="{00000000-0005-0000-0000-0000EFAB0000}"/>
    <cellStyle name="Normal 418 2 8" xfId="42829" xr:uid="{00000000-0005-0000-0000-0000F0AB0000}"/>
    <cellStyle name="Normal 418 2 9" xfId="42830" xr:uid="{00000000-0005-0000-0000-0000F1AB0000}"/>
    <cellStyle name="Normal 418 3" xfId="42831" xr:uid="{00000000-0005-0000-0000-0000F2AB0000}"/>
    <cellStyle name="Normal 418 3 2" xfId="42832" xr:uid="{00000000-0005-0000-0000-0000F3AB0000}"/>
    <cellStyle name="Normal 418 3 2 2" xfId="42833" xr:uid="{00000000-0005-0000-0000-0000F4AB0000}"/>
    <cellStyle name="Normal 418 3 2 2 2" xfId="42834" xr:uid="{00000000-0005-0000-0000-0000F5AB0000}"/>
    <cellStyle name="Normal 418 3 2 2 3" xfId="42835" xr:uid="{00000000-0005-0000-0000-0000F6AB0000}"/>
    <cellStyle name="Normal 418 3 2 3" xfId="42836" xr:uid="{00000000-0005-0000-0000-0000F7AB0000}"/>
    <cellStyle name="Normal 418 3 2 3 2" xfId="42837" xr:uid="{00000000-0005-0000-0000-0000F8AB0000}"/>
    <cellStyle name="Normal 418 3 2 3 3" xfId="42838" xr:uid="{00000000-0005-0000-0000-0000F9AB0000}"/>
    <cellStyle name="Normal 418 3 2 4" xfId="42839" xr:uid="{00000000-0005-0000-0000-0000FAAB0000}"/>
    <cellStyle name="Normal 418 3 2 5" xfId="42840" xr:uid="{00000000-0005-0000-0000-0000FBAB0000}"/>
    <cellStyle name="Normal 418 3 2 6" xfId="42841" xr:uid="{00000000-0005-0000-0000-0000FCAB0000}"/>
    <cellStyle name="Normal 418 3 3" xfId="42842" xr:uid="{00000000-0005-0000-0000-0000FDAB0000}"/>
    <cellStyle name="Normal 418 3 3 2" xfId="42843" xr:uid="{00000000-0005-0000-0000-0000FEAB0000}"/>
    <cellStyle name="Normal 418 3 3 3" xfId="42844" xr:uid="{00000000-0005-0000-0000-0000FFAB0000}"/>
    <cellStyle name="Normal 418 3 4" xfId="42845" xr:uid="{00000000-0005-0000-0000-000000AC0000}"/>
    <cellStyle name="Normal 418 3 4 2" xfId="42846" xr:uid="{00000000-0005-0000-0000-000001AC0000}"/>
    <cellStyle name="Normal 418 3 4 3" xfId="42847" xr:uid="{00000000-0005-0000-0000-000002AC0000}"/>
    <cellStyle name="Normal 418 3 5" xfId="42848" xr:uid="{00000000-0005-0000-0000-000003AC0000}"/>
    <cellStyle name="Normal 418 3 6" xfId="42849" xr:uid="{00000000-0005-0000-0000-000004AC0000}"/>
    <cellStyle name="Normal 418 3 7" xfId="42850" xr:uid="{00000000-0005-0000-0000-000005AC0000}"/>
    <cellStyle name="Normal 418 3 8" xfId="42851" xr:uid="{00000000-0005-0000-0000-000006AC0000}"/>
    <cellStyle name="Normal 418 4" xfId="42852" xr:uid="{00000000-0005-0000-0000-000007AC0000}"/>
    <cellStyle name="Normal 418 4 2" xfId="42853" xr:uid="{00000000-0005-0000-0000-000008AC0000}"/>
    <cellStyle name="Normal 418 4 2 2" xfId="42854" xr:uid="{00000000-0005-0000-0000-000009AC0000}"/>
    <cellStyle name="Normal 418 4 2 3" xfId="42855" xr:uid="{00000000-0005-0000-0000-00000AAC0000}"/>
    <cellStyle name="Normal 418 4 3" xfId="42856" xr:uid="{00000000-0005-0000-0000-00000BAC0000}"/>
    <cellStyle name="Normal 418 4 3 2" xfId="42857" xr:uid="{00000000-0005-0000-0000-00000CAC0000}"/>
    <cellStyle name="Normal 418 4 3 3" xfId="42858" xr:uid="{00000000-0005-0000-0000-00000DAC0000}"/>
    <cellStyle name="Normal 418 4 4" xfId="42859" xr:uid="{00000000-0005-0000-0000-00000EAC0000}"/>
    <cellStyle name="Normal 418 4 5" xfId="42860" xr:uid="{00000000-0005-0000-0000-00000FAC0000}"/>
    <cellStyle name="Normal 418 4 6" xfId="42861" xr:uid="{00000000-0005-0000-0000-000010AC0000}"/>
    <cellStyle name="Normal 418 5" xfId="42862" xr:uid="{00000000-0005-0000-0000-000011AC0000}"/>
    <cellStyle name="Normal 418 5 2" xfId="42863" xr:uid="{00000000-0005-0000-0000-000012AC0000}"/>
    <cellStyle name="Normal 418 5 3" xfId="42864" xr:uid="{00000000-0005-0000-0000-000013AC0000}"/>
    <cellStyle name="Normal 418 6" xfId="42865" xr:uid="{00000000-0005-0000-0000-000014AC0000}"/>
    <cellStyle name="Normal 418 6 2" xfId="42866" xr:uid="{00000000-0005-0000-0000-000015AC0000}"/>
    <cellStyle name="Normal 418 6 3" xfId="42867" xr:uid="{00000000-0005-0000-0000-000016AC0000}"/>
    <cellStyle name="Normal 418 7" xfId="42868" xr:uid="{00000000-0005-0000-0000-000017AC0000}"/>
    <cellStyle name="Normal 418 8" xfId="42869" xr:uid="{00000000-0005-0000-0000-000018AC0000}"/>
    <cellStyle name="Normal 418 9" xfId="42870" xr:uid="{00000000-0005-0000-0000-000019AC0000}"/>
    <cellStyle name="Normal 419" xfId="3469" xr:uid="{00000000-0005-0000-0000-00001AAC0000}"/>
    <cellStyle name="Normal 419 10" xfId="42871" xr:uid="{00000000-0005-0000-0000-00001BAC0000}"/>
    <cellStyle name="Normal 419 11" xfId="42872" xr:uid="{00000000-0005-0000-0000-00001CAC0000}"/>
    <cellStyle name="Normal 419 2" xfId="3470" xr:uid="{00000000-0005-0000-0000-00001DAC0000}"/>
    <cellStyle name="Normal 419 2 10" xfId="42873" xr:uid="{00000000-0005-0000-0000-00001EAC0000}"/>
    <cellStyle name="Normal 419 2 2" xfId="42874" xr:uid="{00000000-0005-0000-0000-00001FAC0000}"/>
    <cellStyle name="Normal 419 2 2 2" xfId="42875" xr:uid="{00000000-0005-0000-0000-000020AC0000}"/>
    <cellStyle name="Normal 419 2 2 2 2" xfId="42876" xr:uid="{00000000-0005-0000-0000-000021AC0000}"/>
    <cellStyle name="Normal 419 2 2 2 2 2" xfId="42877" xr:uid="{00000000-0005-0000-0000-000022AC0000}"/>
    <cellStyle name="Normal 419 2 2 2 2 3" xfId="42878" xr:uid="{00000000-0005-0000-0000-000023AC0000}"/>
    <cellStyle name="Normal 419 2 2 2 3" xfId="42879" xr:uid="{00000000-0005-0000-0000-000024AC0000}"/>
    <cellStyle name="Normal 419 2 2 2 3 2" xfId="42880" xr:uid="{00000000-0005-0000-0000-000025AC0000}"/>
    <cellStyle name="Normal 419 2 2 2 3 3" xfId="42881" xr:uid="{00000000-0005-0000-0000-000026AC0000}"/>
    <cellStyle name="Normal 419 2 2 2 4" xfId="42882" xr:uid="{00000000-0005-0000-0000-000027AC0000}"/>
    <cellStyle name="Normal 419 2 2 2 5" xfId="42883" xr:uid="{00000000-0005-0000-0000-000028AC0000}"/>
    <cellStyle name="Normal 419 2 2 2 6" xfId="42884" xr:uid="{00000000-0005-0000-0000-000029AC0000}"/>
    <cellStyle name="Normal 419 2 2 3" xfId="42885" xr:uid="{00000000-0005-0000-0000-00002AAC0000}"/>
    <cellStyle name="Normal 419 2 2 3 2" xfId="42886" xr:uid="{00000000-0005-0000-0000-00002BAC0000}"/>
    <cellStyle name="Normal 419 2 2 3 3" xfId="42887" xr:uid="{00000000-0005-0000-0000-00002CAC0000}"/>
    <cellStyle name="Normal 419 2 2 4" xfId="42888" xr:uid="{00000000-0005-0000-0000-00002DAC0000}"/>
    <cellStyle name="Normal 419 2 2 4 2" xfId="42889" xr:uid="{00000000-0005-0000-0000-00002EAC0000}"/>
    <cellStyle name="Normal 419 2 2 4 3" xfId="42890" xr:uid="{00000000-0005-0000-0000-00002FAC0000}"/>
    <cellStyle name="Normal 419 2 2 5" xfId="42891" xr:uid="{00000000-0005-0000-0000-000030AC0000}"/>
    <cellStyle name="Normal 419 2 2 6" xfId="42892" xr:uid="{00000000-0005-0000-0000-000031AC0000}"/>
    <cellStyle name="Normal 419 2 2 7" xfId="42893" xr:uid="{00000000-0005-0000-0000-000032AC0000}"/>
    <cellStyle name="Normal 419 2 2 8" xfId="42894" xr:uid="{00000000-0005-0000-0000-000033AC0000}"/>
    <cellStyle name="Normal 419 2 3" xfId="42895" xr:uid="{00000000-0005-0000-0000-000034AC0000}"/>
    <cellStyle name="Normal 419 2 3 2" xfId="42896" xr:uid="{00000000-0005-0000-0000-000035AC0000}"/>
    <cellStyle name="Normal 419 2 3 2 2" xfId="42897" xr:uid="{00000000-0005-0000-0000-000036AC0000}"/>
    <cellStyle name="Normal 419 2 3 2 3" xfId="42898" xr:uid="{00000000-0005-0000-0000-000037AC0000}"/>
    <cellStyle name="Normal 419 2 3 3" xfId="42899" xr:uid="{00000000-0005-0000-0000-000038AC0000}"/>
    <cellStyle name="Normal 419 2 3 3 2" xfId="42900" xr:uid="{00000000-0005-0000-0000-000039AC0000}"/>
    <cellStyle name="Normal 419 2 3 3 3" xfId="42901" xr:uid="{00000000-0005-0000-0000-00003AAC0000}"/>
    <cellStyle name="Normal 419 2 3 4" xfId="42902" xr:uid="{00000000-0005-0000-0000-00003BAC0000}"/>
    <cellStyle name="Normal 419 2 3 5" xfId="42903" xr:uid="{00000000-0005-0000-0000-00003CAC0000}"/>
    <cellStyle name="Normal 419 2 3 6" xfId="42904" xr:uid="{00000000-0005-0000-0000-00003DAC0000}"/>
    <cellStyle name="Normal 419 2 4" xfId="42905" xr:uid="{00000000-0005-0000-0000-00003EAC0000}"/>
    <cellStyle name="Normal 419 2 4 2" xfId="42906" xr:uid="{00000000-0005-0000-0000-00003FAC0000}"/>
    <cellStyle name="Normal 419 2 4 3" xfId="42907" xr:uid="{00000000-0005-0000-0000-000040AC0000}"/>
    <cellStyle name="Normal 419 2 5" xfId="42908" xr:uid="{00000000-0005-0000-0000-000041AC0000}"/>
    <cellStyle name="Normal 419 2 5 2" xfId="42909" xr:uid="{00000000-0005-0000-0000-000042AC0000}"/>
    <cellStyle name="Normal 419 2 5 3" xfId="42910" xr:uid="{00000000-0005-0000-0000-000043AC0000}"/>
    <cellStyle name="Normal 419 2 6" xfId="42911" xr:uid="{00000000-0005-0000-0000-000044AC0000}"/>
    <cellStyle name="Normal 419 2 7" xfId="42912" xr:uid="{00000000-0005-0000-0000-000045AC0000}"/>
    <cellStyle name="Normal 419 2 8" xfId="42913" xr:uid="{00000000-0005-0000-0000-000046AC0000}"/>
    <cellStyle name="Normal 419 2 9" xfId="42914" xr:uid="{00000000-0005-0000-0000-000047AC0000}"/>
    <cellStyle name="Normal 419 3" xfId="42915" xr:uid="{00000000-0005-0000-0000-000048AC0000}"/>
    <cellStyle name="Normal 419 3 2" xfId="42916" xr:uid="{00000000-0005-0000-0000-000049AC0000}"/>
    <cellStyle name="Normal 419 3 2 2" xfId="42917" xr:uid="{00000000-0005-0000-0000-00004AAC0000}"/>
    <cellStyle name="Normal 419 3 2 2 2" xfId="42918" xr:uid="{00000000-0005-0000-0000-00004BAC0000}"/>
    <cellStyle name="Normal 419 3 2 2 3" xfId="42919" xr:uid="{00000000-0005-0000-0000-00004CAC0000}"/>
    <cellStyle name="Normal 419 3 2 3" xfId="42920" xr:uid="{00000000-0005-0000-0000-00004DAC0000}"/>
    <cellStyle name="Normal 419 3 2 3 2" xfId="42921" xr:uid="{00000000-0005-0000-0000-00004EAC0000}"/>
    <cellStyle name="Normal 419 3 2 3 3" xfId="42922" xr:uid="{00000000-0005-0000-0000-00004FAC0000}"/>
    <cellStyle name="Normal 419 3 2 4" xfId="42923" xr:uid="{00000000-0005-0000-0000-000050AC0000}"/>
    <cellStyle name="Normal 419 3 2 5" xfId="42924" xr:uid="{00000000-0005-0000-0000-000051AC0000}"/>
    <cellStyle name="Normal 419 3 2 6" xfId="42925" xr:uid="{00000000-0005-0000-0000-000052AC0000}"/>
    <cellStyle name="Normal 419 3 3" xfId="42926" xr:uid="{00000000-0005-0000-0000-000053AC0000}"/>
    <cellStyle name="Normal 419 3 3 2" xfId="42927" xr:uid="{00000000-0005-0000-0000-000054AC0000}"/>
    <cellStyle name="Normal 419 3 3 3" xfId="42928" xr:uid="{00000000-0005-0000-0000-000055AC0000}"/>
    <cellStyle name="Normal 419 3 4" xfId="42929" xr:uid="{00000000-0005-0000-0000-000056AC0000}"/>
    <cellStyle name="Normal 419 3 4 2" xfId="42930" xr:uid="{00000000-0005-0000-0000-000057AC0000}"/>
    <cellStyle name="Normal 419 3 4 3" xfId="42931" xr:uid="{00000000-0005-0000-0000-000058AC0000}"/>
    <cellStyle name="Normal 419 3 5" xfId="42932" xr:uid="{00000000-0005-0000-0000-000059AC0000}"/>
    <cellStyle name="Normal 419 3 6" xfId="42933" xr:uid="{00000000-0005-0000-0000-00005AAC0000}"/>
    <cellStyle name="Normal 419 3 7" xfId="42934" xr:uid="{00000000-0005-0000-0000-00005BAC0000}"/>
    <cellStyle name="Normal 419 3 8" xfId="42935" xr:uid="{00000000-0005-0000-0000-00005CAC0000}"/>
    <cellStyle name="Normal 419 4" xfId="42936" xr:uid="{00000000-0005-0000-0000-00005DAC0000}"/>
    <cellStyle name="Normal 419 4 2" xfId="42937" xr:uid="{00000000-0005-0000-0000-00005EAC0000}"/>
    <cellStyle name="Normal 419 4 2 2" xfId="42938" xr:uid="{00000000-0005-0000-0000-00005FAC0000}"/>
    <cellStyle name="Normal 419 4 2 3" xfId="42939" xr:uid="{00000000-0005-0000-0000-000060AC0000}"/>
    <cellStyle name="Normal 419 4 3" xfId="42940" xr:uid="{00000000-0005-0000-0000-000061AC0000}"/>
    <cellStyle name="Normal 419 4 3 2" xfId="42941" xr:uid="{00000000-0005-0000-0000-000062AC0000}"/>
    <cellStyle name="Normal 419 4 3 3" xfId="42942" xr:uid="{00000000-0005-0000-0000-000063AC0000}"/>
    <cellStyle name="Normal 419 4 4" xfId="42943" xr:uid="{00000000-0005-0000-0000-000064AC0000}"/>
    <cellStyle name="Normal 419 4 5" xfId="42944" xr:uid="{00000000-0005-0000-0000-000065AC0000}"/>
    <cellStyle name="Normal 419 4 6" xfId="42945" xr:uid="{00000000-0005-0000-0000-000066AC0000}"/>
    <cellStyle name="Normal 419 5" xfId="42946" xr:uid="{00000000-0005-0000-0000-000067AC0000}"/>
    <cellStyle name="Normal 419 5 2" xfId="42947" xr:uid="{00000000-0005-0000-0000-000068AC0000}"/>
    <cellStyle name="Normal 419 5 3" xfId="42948" xr:uid="{00000000-0005-0000-0000-000069AC0000}"/>
    <cellStyle name="Normal 419 6" xfId="42949" xr:uid="{00000000-0005-0000-0000-00006AAC0000}"/>
    <cellStyle name="Normal 419 6 2" xfId="42950" xr:uid="{00000000-0005-0000-0000-00006BAC0000}"/>
    <cellStyle name="Normal 419 6 3" xfId="42951" xr:uid="{00000000-0005-0000-0000-00006CAC0000}"/>
    <cellStyle name="Normal 419 7" xfId="42952" xr:uid="{00000000-0005-0000-0000-00006DAC0000}"/>
    <cellStyle name="Normal 419 8" xfId="42953" xr:uid="{00000000-0005-0000-0000-00006EAC0000}"/>
    <cellStyle name="Normal 419 9" xfId="42954" xr:uid="{00000000-0005-0000-0000-00006FAC0000}"/>
    <cellStyle name="Normal 42" xfId="3471" xr:uid="{00000000-0005-0000-0000-000070AC0000}"/>
    <cellStyle name="Normal 42 10" xfId="42955" xr:uid="{00000000-0005-0000-0000-000071AC0000}"/>
    <cellStyle name="Normal 42 11" xfId="42956" xr:uid="{00000000-0005-0000-0000-000072AC0000}"/>
    <cellStyle name="Normal 42 12" xfId="42957" xr:uid="{00000000-0005-0000-0000-000073AC0000}"/>
    <cellStyle name="Normal 42 2" xfId="42958" xr:uid="{00000000-0005-0000-0000-000074AC0000}"/>
    <cellStyle name="Normal 42 2 10" xfId="42959" xr:uid="{00000000-0005-0000-0000-000075AC0000}"/>
    <cellStyle name="Normal 42 2 2" xfId="42960" xr:uid="{00000000-0005-0000-0000-000076AC0000}"/>
    <cellStyle name="Normal 42 2 2 2" xfId="42961" xr:uid="{00000000-0005-0000-0000-000077AC0000}"/>
    <cellStyle name="Normal 42 2 2 2 2" xfId="42962" xr:uid="{00000000-0005-0000-0000-000078AC0000}"/>
    <cellStyle name="Normal 42 2 2 2 2 2" xfId="42963" xr:uid="{00000000-0005-0000-0000-000079AC0000}"/>
    <cellStyle name="Normal 42 2 2 2 2 3" xfId="42964" xr:uid="{00000000-0005-0000-0000-00007AAC0000}"/>
    <cellStyle name="Normal 42 2 2 2 3" xfId="42965" xr:uid="{00000000-0005-0000-0000-00007BAC0000}"/>
    <cellStyle name="Normal 42 2 2 2 3 2" xfId="42966" xr:uid="{00000000-0005-0000-0000-00007CAC0000}"/>
    <cellStyle name="Normal 42 2 2 2 3 3" xfId="42967" xr:uid="{00000000-0005-0000-0000-00007DAC0000}"/>
    <cellStyle name="Normal 42 2 2 2 4" xfId="42968" xr:uid="{00000000-0005-0000-0000-00007EAC0000}"/>
    <cellStyle name="Normal 42 2 2 2 5" xfId="42969" xr:uid="{00000000-0005-0000-0000-00007FAC0000}"/>
    <cellStyle name="Normal 42 2 2 2 6" xfId="42970" xr:uid="{00000000-0005-0000-0000-000080AC0000}"/>
    <cellStyle name="Normal 42 2 2 3" xfId="42971" xr:uid="{00000000-0005-0000-0000-000081AC0000}"/>
    <cellStyle name="Normal 42 2 2 3 2" xfId="42972" xr:uid="{00000000-0005-0000-0000-000082AC0000}"/>
    <cellStyle name="Normal 42 2 2 3 3" xfId="42973" xr:uid="{00000000-0005-0000-0000-000083AC0000}"/>
    <cellStyle name="Normal 42 2 2 4" xfId="42974" xr:uid="{00000000-0005-0000-0000-000084AC0000}"/>
    <cellStyle name="Normal 42 2 2 4 2" xfId="42975" xr:uid="{00000000-0005-0000-0000-000085AC0000}"/>
    <cellStyle name="Normal 42 2 2 4 3" xfId="42976" xr:uid="{00000000-0005-0000-0000-000086AC0000}"/>
    <cellStyle name="Normal 42 2 2 5" xfId="42977" xr:uid="{00000000-0005-0000-0000-000087AC0000}"/>
    <cellStyle name="Normal 42 2 2 6" xfId="42978" xr:uid="{00000000-0005-0000-0000-000088AC0000}"/>
    <cellStyle name="Normal 42 2 2 7" xfId="42979" xr:uid="{00000000-0005-0000-0000-000089AC0000}"/>
    <cellStyle name="Normal 42 2 2 8" xfId="42980" xr:uid="{00000000-0005-0000-0000-00008AAC0000}"/>
    <cellStyle name="Normal 42 2 3" xfId="42981" xr:uid="{00000000-0005-0000-0000-00008BAC0000}"/>
    <cellStyle name="Normal 42 2 3 2" xfId="42982" xr:uid="{00000000-0005-0000-0000-00008CAC0000}"/>
    <cellStyle name="Normal 42 2 3 2 2" xfId="42983" xr:uid="{00000000-0005-0000-0000-00008DAC0000}"/>
    <cellStyle name="Normal 42 2 3 2 3" xfId="42984" xr:uid="{00000000-0005-0000-0000-00008EAC0000}"/>
    <cellStyle name="Normal 42 2 3 3" xfId="42985" xr:uid="{00000000-0005-0000-0000-00008FAC0000}"/>
    <cellStyle name="Normal 42 2 3 3 2" xfId="42986" xr:uid="{00000000-0005-0000-0000-000090AC0000}"/>
    <cellStyle name="Normal 42 2 3 3 3" xfId="42987" xr:uid="{00000000-0005-0000-0000-000091AC0000}"/>
    <cellStyle name="Normal 42 2 3 4" xfId="42988" xr:uid="{00000000-0005-0000-0000-000092AC0000}"/>
    <cellStyle name="Normal 42 2 3 5" xfId="42989" xr:uid="{00000000-0005-0000-0000-000093AC0000}"/>
    <cellStyle name="Normal 42 2 3 6" xfId="42990" xr:uid="{00000000-0005-0000-0000-000094AC0000}"/>
    <cellStyle name="Normal 42 2 4" xfId="42991" xr:uid="{00000000-0005-0000-0000-000095AC0000}"/>
    <cellStyle name="Normal 42 2 4 2" xfId="42992" xr:uid="{00000000-0005-0000-0000-000096AC0000}"/>
    <cellStyle name="Normal 42 2 4 3" xfId="42993" xr:uid="{00000000-0005-0000-0000-000097AC0000}"/>
    <cellStyle name="Normal 42 2 5" xfId="42994" xr:uid="{00000000-0005-0000-0000-000098AC0000}"/>
    <cellStyle name="Normal 42 2 5 2" xfId="42995" xr:uid="{00000000-0005-0000-0000-000099AC0000}"/>
    <cellStyle name="Normal 42 2 5 3" xfId="42996" xr:uid="{00000000-0005-0000-0000-00009AAC0000}"/>
    <cellStyle name="Normal 42 2 6" xfId="42997" xr:uid="{00000000-0005-0000-0000-00009BAC0000}"/>
    <cellStyle name="Normal 42 2 7" xfId="42998" xr:uid="{00000000-0005-0000-0000-00009CAC0000}"/>
    <cellStyle name="Normal 42 2 8" xfId="42999" xr:uid="{00000000-0005-0000-0000-00009DAC0000}"/>
    <cellStyle name="Normal 42 2 9" xfId="43000" xr:uid="{00000000-0005-0000-0000-00009EAC0000}"/>
    <cellStyle name="Normal 42 3" xfId="43001" xr:uid="{00000000-0005-0000-0000-00009FAC0000}"/>
    <cellStyle name="Normal 42 3 2" xfId="43002" xr:uid="{00000000-0005-0000-0000-0000A0AC0000}"/>
    <cellStyle name="Normal 42 3 2 2" xfId="43003" xr:uid="{00000000-0005-0000-0000-0000A1AC0000}"/>
    <cellStyle name="Normal 42 3 2 2 2" xfId="43004" xr:uid="{00000000-0005-0000-0000-0000A2AC0000}"/>
    <cellStyle name="Normal 42 3 2 2 3" xfId="43005" xr:uid="{00000000-0005-0000-0000-0000A3AC0000}"/>
    <cellStyle name="Normal 42 3 2 3" xfId="43006" xr:uid="{00000000-0005-0000-0000-0000A4AC0000}"/>
    <cellStyle name="Normal 42 3 2 3 2" xfId="43007" xr:uid="{00000000-0005-0000-0000-0000A5AC0000}"/>
    <cellStyle name="Normal 42 3 2 3 3" xfId="43008" xr:uid="{00000000-0005-0000-0000-0000A6AC0000}"/>
    <cellStyle name="Normal 42 3 2 4" xfId="43009" xr:uid="{00000000-0005-0000-0000-0000A7AC0000}"/>
    <cellStyle name="Normal 42 3 2 5" xfId="43010" xr:uid="{00000000-0005-0000-0000-0000A8AC0000}"/>
    <cellStyle name="Normal 42 3 2 6" xfId="43011" xr:uid="{00000000-0005-0000-0000-0000A9AC0000}"/>
    <cellStyle name="Normal 42 3 3" xfId="43012" xr:uid="{00000000-0005-0000-0000-0000AAAC0000}"/>
    <cellStyle name="Normal 42 3 3 2" xfId="43013" xr:uid="{00000000-0005-0000-0000-0000ABAC0000}"/>
    <cellStyle name="Normal 42 3 3 3" xfId="43014" xr:uid="{00000000-0005-0000-0000-0000ACAC0000}"/>
    <cellStyle name="Normal 42 3 4" xfId="43015" xr:uid="{00000000-0005-0000-0000-0000ADAC0000}"/>
    <cellStyle name="Normal 42 3 4 2" xfId="43016" xr:uid="{00000000-0005-0000-0000-0000AEAC0000}"/>
    <cellStyle name="Normal 42 3 4 3" xfId="43017" xr:uid="{00000000-0005-0000-0000-0000AFAC0000}"/>
    <cellStyle name="Normal 42 3 5" xfId="43018" xr:uid="{00000000-0005-0000-0000-0000B0AC0000}"/>
    <cellStyle name="Normal 42 3 6" xfId="43019" xr:uid="{00000000-0005-0000-0000-0000B1AC0000}"/>
    <cellStyle name="Normal 42 3 7" xfId="43020" xr:uid="{00000000-0005-0000-0000-0000B2AC0000}"/>
    <cellStyle name="Normal 42 3 8" xfId="43021" xr:uid="{00000000-0005-0000-0000-0000B3AC0000}"/>
    <cellStyle name="Normal 42 4" xfId="43022" xr:uid="{00000000-0005-0000-0000-0000B4AC0000}"/>
    <cellStyle name="Normal 42 4 2" xfId="43023" xr:uid="{00000000-0005-0000-0000-0000B5AC0000}"/>
    <cellStyle name="Normal 42 4 2 2" xfId="43024" xr:uid="{00000000-0005-0000-0000-0000B6AC0000}"/>
    <cellStyle name="Normal 42 4 2 3" xfId="43025" xr:uid="{00000000-0005-0000-0000-0000B7AC0000}"/>
    <cellStyle name="Normal 42 4 3" xfId="43026" xr:uid="{00000000-0005-0000-0000-0000B8AC0000}"/>
    <cellStyle name="Normal 42 4 3 2" xfId="43027" xr:uid="{00000000-0005-0000-0000-0000B9AC0000}"/>
    <cellStyle name="Normal 42 4 3 3" xfId="43028" xr:uid="{00000000-0005-0000-0000-0000BAAC0000}"/>
    <cellStyle name="Normal 42 4 4" xfId="43029" xr:uid="{00000000-0005-0000-0000-0000BBAC0000}"/>
    <cellStyle name="Normal 42 4 5" xfId="43030" xr:uid="{00000000-0005-0000-0000-0000BCAC0000}"/>
    <cellStyle name="Normal 42 4 6" xfId="43031" xr:uid="{00000000-0005-0000-0000-0000BDAC0000}"/>
    <cellStyle name="Normal 42 5" xfId="43032" xr:uid="{00000000-0005-0000-0000-0000BEAC0000}"/>
    <cellStyle name="Normal 42 5 2" xfId="43033" xr:uid="{00000000-0005-0000-0000-0000BFAC0000}"/>
    <cellStyle name="Normal 42 5 3" xfId="43034" xr:uid="{00000000-0005-0000-0000-0000C0AC0000}"/>
    <cellStyle name="Normal 42 6" xfId="43035" xr:uid="{00000000-0005-0000-0000-0000C1AC0000}"/>
    <cellStyle name="Normal 42 6 2" xfId="43036" xr:uid="{00000000-0005-0000-0000-0000C2AC0000}"/>
    <cellStyle name="Normal 42 6 3" xfId="43037" xr:uid="{00000000-0005-0000-0000-0000C3AC0000}"/>
    <cellStyle name="Normal 42 7" xfId="43038" xr:uid="{00000000-0005-0000-0000-0000C4AC0000}"/>
    <cellStyle name="Normal 42 8" xfId="43039" xr:uid="{00000000-0005-0000-0000-0000C5AC0000}"/>
    <cellStyle name="Normal 42 9" xfId="43040" xr:uid="{00000000-0005-0000-0000-0000C6AC0000}"/>
    <cellStyle name="Normal 420" xfId="3472" xr:uid="{00000000-0005-0000-0000-0000C7AC0000}"/>
    <cellStyle name="Normal 420 10" xfId="43041" xr:uid="{00000000-0005-0000-0000-0000C8AC0000}"/>
    <cellStyle name="Normal 420 11" xfId="43042" xr:uid="{00000000-0005-0000-0000-0000C9AC0000}"/>
    <cellStyle name="Normal 420 2" xfId="43043" xr:uid="{00000000-0005-0000-0000-0000CAAC0000}"/>
    <cellStyle name="Normal 420 2 2" xfId="43044" xr:uid="{00000000-0005-0000-0000-0000CBAC0000}"/>
    <cellStyle name="Normal 420 2 2 2" xfId="43045" xr:uid="{00000000-0005-0000-0000-0000CCAC0000}"/>
    <cellStyle name="Normal 420 2 2 2 2" xfId="43046" xr:uid="{00000000-0005-0000-0000-0000CDAC0000}"/>
    <cellStyle name="Normal 420 2 2 2 2 2" xfId="43047" xr:uid="{00000000-0005-0000-0000-0000CEAC0000}"/>
    <cellStyle name="Normal 420 2 2 2 2 3" xfId="43048" xr:uid="{00000000-0005-0000-0000-0000CFAC0000}"/>
    <cellStyle name="Normal 420 2 2 2 3" xfId="43049" xr:uid="{00000000-0005-0000-0000-0000D0AC0000}"/>
    <cellStyle name="Normal 420 2 2 2 3 2" xfId="43050" xr:uid="{00000000-0005-0000-0000-0000D1AC0000}"/>
    <cellStyle name="Normal 420 2 2 2 3 3" xfId="43051" xr:uid="{00000000-0005-0000-0000-0000D2AC0000}"/>
    <cellStyle name="Normal 420 2 2 2 4" xfId="43052" xr:uid="{00000000-0005-0000-0000-0000D3AC0000}"/>
    <cellStyle name="Normal 420 2 2 2 5" xfId="43053" xr:uid="{00000000-0005-0000-0000-0000D4AC0000}"/>
    <cellStyle name="Normal 420 2 2 2 6" xfId="43054" xr:uid="{00000000-0005-0000-0000-0000D5AC0000}"/>
    <cellStyle name="Normal 420 2 2 3" xfId="43055" xr:uid="{00000000-0005-0000-0000-0000D6AC0000}"/>
    <cellStyle name="Normal 420 2 2 3 2" xfId="43056" xr:uid="{00000000-0005-0000-0000-0000D7AC0000}"/>
    <cellStyle name="Normal 420 2 2 3 3" xfId="43057" xr:uid="{00000000-0005-0000-0000-0000D8AC0000}"/>
    <cellStyle name="Normal 420 2 2 4" xfId="43058" xr:uid="{00000000-0005-0000-0000-0000D9AC0000}"/>
    <cellStyle name="Normal 420 2 2 4 2" xfId="43059" xr:uid="{00000000-0005-0000-0000-0000DAAC0000}"/>
    <cellStyle name="Normal 420 2 2 4 3" xfId="43060" xr:uid="{00000000-0005-0000-0000-0000DBAC0000}"/>
    <cellStyle name="Normal 420 2 2 5" xfId="43061" xr:uid="{00000000-0005-0000-0000-0000DCAC0000}"/>
    <cellStyle name="Normal 420 2 2 6" xfId="43062" xr:uid="{00000000-0005-0000-0000-0000DDAC0000}"/>
    <cellStyle name="Normal 420 2 2 7" xfId="43063" xr:uid="{00000000-0005-0000-0000-0000DEAC0000}"/>
    <cellStyle name="Normal 420 2 2 8" xfId="43064" xr:uid="{00000000-0005-0000-0000-0000DFAC0000}"/>
    <cellStyle name="Normal 420 2 3" xfId="43065" xr:uid="{00000000-0005-0000-0000-0000E0AC0000}"/>
    <cellStyle name="Normal 420 2 3 2" xfId="43066" xr:uid="{00000000-0005-0000-0000-0000E1AC0000}"/>
    <cellStyle name="Normal 420 2 3 2 2" xfId="43067" xr:uid="{00000000-0005-0000-0000-0000E2AC0000}"/>
    <cellStyle name="Normal 420 2 3 2 3" xfId="43068" xr:uid="{00000000-0005-0000-0000-0000E3AC0000}"/>
    <cellStyle name="Normal 420 2 3 3" xfId="43069" xr:uid="{00000000-0005-0000-0000-0000E4AC0000}"/>
    <cellStyle name="Normal 420 2 3 3 2" xfId="43070" xr:uid="{00000000-0005-0000-0000-0000E5AC0000}"/>
    <cellStyle name="Normal 420 2 3 3 3" xfId="43071" xr:uid="{00000000-0005-0000-0000-0000E6AC0000}"/>
    <cellStyle name="Normal 420 2 3 4" xfId="43072" xr:uid="{00000000-0005-0000-0000-0000E7AC0000}"/>
    <cellStyle name="Normal 420 2 3 5" xfId="43073" xr:uid="{00000000-0005-0000-0000-0000E8AC0000}"/>
    <cellStyle name="Normal 420 2 3 6" xfId="43074" xr:uid="{00000000-0005-0000-0000-0000E9AC0000}"/>
    <cellStyle name="Normal 420 2 4" xfId="43075" xr:uid="{00000000-0005-0000-0000-0000EAAC0000}"/>
    <cellStyle name="Normal 420 2 4 2" xfId="43076" xr:uid="{00000000-0005-0000-0000-0000EBAC0000}"/>
    <cellStyle name="Normal 420 2 4 3" xfId="43077" xr:uid="{00000000-0005-0000-0000-0000ECAC0000}"/>
    <cellStyle name="Normal 420 2 5" xfId="43078" xr:uid="{00000000-0005-0000-0000-0000EDAC0000}"/>
    <cellStyle name="Normal 420 2 5 2" xfId="43079" xr:uid="{00000000-0005-0000-0000-0000EEAC0000}"/>
    <cellStyle name="Normal 420 2 5 3" xfId="43080" xr:uid="{00000000-0005-0000-0000-0000EFAC0000}"/>
    <cellStyle name="Normal 420 2 6" xfId="43081" xr:uid="{00000000-0005-0000-0000-0000F0AC0000}"/>
    <cellStyle name="Normal 420 2 7" xfId="43082" xr:uid="{00000000-0005-0000-0000-0000F1AC0000}"/>
    <cellStyle name="Normal 420 2 8" xfId="43083" xr:uid="{00000000-0005-0000-0000-0000F2AC0000}"/>
    <cellStyle name="Normal 420 2 9" xfId="43084" xr:uid="{00000000-0005-0000-0000-0000F3AC0000}"/>
    <cellStyle name="Normal 420 3" xfId="43085" xr:uid="{00000000-0005-0000-0000-0000F4AC0000}"/>
    <cellStyle name="Normal 420 3 2" xfId="43086" xr:uid="{00000000-0005-0000-0000-0000F5AC0000}"/>
    <cellStyle name="Normal 420 3 2 2" xfId="43087" xr:uid="{00000000-0005-0000-0000-0000F6AC0000}"/>
    <cellStyle name="Normal 420 3 2 2 2" xfId="43088" xr:uid="{00000000-0005-0000-0000-0000F7AC0000}"/>
    <cellStyle name="Normal 420 3 2 2 3" xfId="43089" xr:uid="{00000000-0005-0000-0000-0000F8AC0000}"/>
    <cellStyle name="Normal 420 3 2 3" xfId="43090" xr:uid="{00000000-0005-0000-0000-0000F9AC0000}"/>
    <cellStyle name="Normal 420 3 2 3 2" xfId="43091" xr:uid="{00000000-0005-0000-0000-0000FAAC0000}"/>
    <cellStyle name="Normal 420 3 2 3 3" xfId="43092" xr:uid="{00000000-0005-0000-0000-0000FBAC0000}"/>
    <cellStyle name="Normal 420 3 2 4" xfId="43093" xr:uid="{00000000-0005-0000-0000-0000FCAC0000}"/>
    <cellStyle name="Normal 420 3 2 5" xfId="43094" xr:uid="{00000000-0005-0000-0000-0000FDAC0000}"/>
    <cellStyle name="Normal 420 3 2 6" xfId="43095" xr:uid="{00000000-0005-0000-0000-0000FEAC0000}"/>
    <cellStyle name="Normal 420 3 3" xfId="43096" xr:uid="{00000000-0005-0000-0000-0000FFAC0000}"/>
    <cellStyle name="Normal 420 3 3 2" xfId="43097" xr:uid="{00000000-0005-0000-0000-000000AD0000}"/>
    <cellStyle name="Normal 420 3 3 3" xfId="43098" xr:uid="{00000000-0005-0000-0000-000001AD0000}"/>
    <cellStyle name="Normal 420 3 4" xfId="43099" xr:uid="{00000000-0005-0000-0000-000002AD0000}"/>
    <cellStyle name="Normal 420 3 4 2" xfId="43100" xr:uid="{00000000-0005-0000-0000-000003AD0000}"/>
    <cellStyle name="Normal 420 3 4 3" xfId="43101" xr:uid="{00000000-0005-0000-0000-000004AD0000}"/>
    <cellStyle name="Normal 420 3 5" xfId="43102" xr:uid="{00000000-0005-0000-0000-000005AD0000}"/>
    <cellStyle name="Normal 420 3 6" xfId="43103" xr:uid="{00000000-0005-0000-0000-000006AD0000}"/>
    <cellStyle name="Normal 420 3 7" xfId="43104" xr:uid="{00000000-0005-0000-0000-000007AD0000}"/>
    <cellStyle name="Normal 420 3 8" xfId="43105" xr:uid="{00000000-0005-0000-0000-000008AD0000}"/>
    <cellStyle name="Normal 420 4" xfId="43106" xr:uid="{00000000-0005-0000-0000-000009AD0000}"/>
    <cellStyle name="Normal 420 4 2" xfId="43107" xr:uid="{00000000-0005-0000-0000-00000AAD0000}"/>
    <cellStyle name="Normal 420 4 2 2" xfId="43108" xr:uid="{00000000-0005-0000-0000-00000BAD0000}"/>
    <cellStyle name="Normal 420 4 2 3" xfId="43109" xr:uid="{00000000-0005-0000-0000-00000CAD0000}"/>
    <cellStyle name="Normal 420 4 3" xfId="43110" xr:uid="{00000000-0005-0000-0000-00000DAD0000}"/>
    <cellStyle name="Normal 420 4 3 2" xfId="43111" xr:uid="{00000000-0005-0000-0000-00000EAD0000}"/>
    <cellStyle name="Normal 420 4 3 3" xfId="43112" xr:uid="{00000000-0005-0000-0000-00000FAD0000}"/>
    <cellStyle name="Normal 420 4 4" xfId="43113" xr:uid="{00000000-0005-0000-0000-000010AD0000}"/>
    <cellStyle name="Normal 420 4 5" xfId="43114" xr:uid="{00000000-0005-0000-0000-000011AD0000}"/>
    <cellStyle name="Normal 420 4 6" xfId="43115" xr:uid="{00000000-0005-0000-0000-000012AD0000}"/>
    <cellStyle name="Normal 420 5" xfId="43116" xr:uid="{00000000-0005-0000-0000-000013AD0000}"/>
    <cellStyle name="Normal 420 5 2" xfId="43117" xr:uid="{00000000-0005-0000-0000-000014AD0000}"/>
    <cellStyle name="Normal 420 5 3" xfId="43118" xr:uid="{00000000-0005-0000-0000-000015AD0000}"/>
    <cellStyle name="Normal 420 6" xfId="43119" xr:uid="{00000000-0005-0000-0000-000016AD0000}"/>
    <cellStyle name="Normal 420 6 2" xfId="43120" xr:uid="{00000000-0005-0000-0000-000017AD0000}"/>
    <cellStyle name="Normal 420 6 3" xfId="43121" xr:uid="{00000000-0005-0000-0000-000018AD0000}"/>
    <cellStyle name="Normal 420 7" xfId="43122" xr:uid="{00000000-0005-0000-0000-000019AD0000}"/>
    <cellStyle name="Normal 420 8" xfId="43123" xr:uid="{00000000-0005-0000-0000-00001AAD0000}"/>
    <cellStyle name="Normal 420 9" xfId="43124" xr:uid="{00000000-0005-0000-0000-00001BAD0000}"/>
    <cellStyle name="Normal 421" xfId="3473" xr:uid="{00000000-0005-0000-0000-00001CAD0000}"/>
    <cellStyle name="Normal 421 10" xfId="43125" xr:uid="{00000000-0005-0000-0000-00001DAD0000}"/>
    <cellStyle name="Normal 421 11" xfId="43126" xr:uid="{00000000-0005-0000-0000-00001EAD0000}"/>
    <cellStyle name="Normal 421 2" xfId="3474" xr:uid="{00000000-0005-0000-0000-00001FAD0000}"/>
    <cellStyle name="Normal 421 2 10" xfId="43127" xr:uid="{00000000-0005-0000-0000-000020AD0000}"/>
    <cellStyle name="Normal 421 2 2" xfId="43128" xr:uid="{00000000-0005-0000-0000-000021AD0000}"/>
    <cellStyle name="Normal 421 2 2 2" xfId="43129" xr:uid="{00000000-0005-0000-0000-000022AD0000}"/>
    <cellStyle name="Normal 421 2 2 2 2" xfId="43130" xr:uid="{00000000-0005-0000-0000-000023AD0000}"/>
    <cellStyle name="Normal 421 2 2 2 2 2" xfId="43131" xr:uid="{00000000-0005-0000-0000-000024AD0000}"/>
    <cellStyle name="Normal 421 2 2 2 2 3" xfId="43132" xr:uid="{00000000-0005-0000-0000-000025AD0000}"/>
    <cellStyle name="Normal 421 2 2 2 3" xfId="43133" xr:uid="{00000000-0005-0000-0000-000026AD0000}"/>
    <cellStyle name="Normal 421 2 2 2 3 2" xfId="43134" xr:uid="{00000000-0005-0000-0000-000027AD0000}"/>
    <cellStyle name="Normal 421 2 2 2 3 3" xfId="43135" xr:uid="{00000000-0005-0000-0000-000028AD0000}"/>
    <cellStyle name="Normal 421 2 2 2 4" xfId="43136" xr:uid="{00000000-0005-0000-0000-000029AD0000}"/>
    <cellStyle name="Normal 421 2 2 2 5" xfId="43137" xr:uid="{00000000-0005-0000-0000-00002AAD0000}"/>
    <cellStyle name="Normal 421 2 2 2 6" xfId="43138" xr:uid="{00000000-0005-0000-0000-00002BAD0000}"/>
    <cellStyle name="Normal 421 2 2 3" xfId="43139" xr:uid="{00000000-0005-0000-0000-00002CAD0000}"/>
    <cellStyle name="Normal 421 2 2 3 2" xfId="43140" xr:uid="{00000000-0005-0000-0000-00002DAD0000}"/>
    <cellStyle name="Normal 421 2 2 3 3" xfId="43141" xr:uid="{00000000-0005-0000-0000-00002EAD0000}"/>
    <cellStyle name="Normal 421 2 2 4" xfId="43142" xr:uid="{00000000-0005-0000-0000-00002FAD0000}"/>
    <cellStyle name="Normal 421 2 2 4 2" xfId="43143" xr:uid="{00000000-0005-0000-0000-000030AD0000}"/>
    <cellStyle name="Normal 421 2 2 4 3" xfId="43144" xr:uid="{00000000-0005-0000-0000-000031AD0000}"/>
    <cellStyle name="Normal 421 2 2 5" xfId="43145" xr:uid="{00000000-0005-0000-0000-000032AD0000}"/>
    <cellStyle name="Normal 421 2 2 6" xfId="43146" xr:uid="{00000000-0005-0000-0000-000033AD0000}"/>
    <cellStyle name="Normal 421 2 2 7" xfId="43147" xr:uid="{00000000-0005-0000-0000-000034AD0000}"/>
    <cellStyle name="Normal 421 2 2 8" xfId="43148" xr:uid="{00000000-0005-0000-0000-000035AD0000}"/>
    <cellStyle name="Normal 421 2 3" xfId="43149" xr:uid="{00000000-0005-0000-0000-000036AD0000}"/>
    <cellStyle name="Normal 421 2 3 2" xfId="43150" xr:uid="{00000000-0005-0000-0000-000037AD0000}"/>
    <cellStyle name="Normal 421 2 3 2 2" xfId="43151" xr:uid="{00000000-0005-0000-0000-000038AD0000}"/>
    <cellStyle name="Normal 421 2 3 2 3" xfId="43152" xr:uid="{00000000-0005-0000-0000-000039AD0000}"/>
    <cellStyle name="Normal 421 2 3 3" xfId="43153" xr:uid="{00000000-0005-0000-0000-00003AAD0000}"/>
    <cellStyle name="Normal 421 2 3 3 2" xfId="43154" xr:uid="{00000000-0005-0000-0000-00003BAD0000}"/>
    <cellStyle name="Normal 421 2 3 3 3" xfId="43155" xr:uid="{00000000-0005-0000-0000-00003CAD0000}"/>
    <cellStyle name="Normal 421 2 3 4" xfId="43156" xr:uid="{00000000-0005-0000-0000-00003DAD0000}"/>
    <cellStyle name="Normal 421 2 3 5" xfId="43157" xr:uid="{00000000-0005-0000-0000-00003EAD0000}"/>
    <cellStyle name="Normal 421 2 3 6" xfId="43158" xr:uid="{00000000-0005-0000-0000-00003FAD0000}"/>
    <cellStyle name="Normal 421 2 4" xfId="43159" xr:uid="{00000000-0005-0000-0000-000040AD0000}"/>
    <cellStyle name="Normal 421 2 4 2" xfId="43160" xr:uid="{00000000-0005-0000-0000-000041AD0000}"/>
    <cellStyle name="Normal 421 2 4 3" xfId="43161" xr:uid="{00000000-0005-0000-0000-000042AD0000}"/>
    <cellStyle name="Normal 421 2 5" xfId="43162" xr:uid="{00000000-0005-0000-0000-000043AD0000}"/>
    <cellStyle name="Normal 421 2 5 2" xfId="43163" xr:uid="{00000000-0005-0000-0000-000044AD0000}"/>
    <cellStyle name="Normal 421 2 5 3" xfId="43164" xr:uid="{00000000-0005-0000-0000-000045AD0000}"/>
    <cellStyle name="Normal 421 2 6" xfId="43165" xr:uid="{00000000-0005-0000-0000-000046AD0000}"/>
    <cellStyle name="Normal 421 2 7" xfId="43166" xr:uid="{00000000-0005-0000-0000-000047AD0000}"/>
    <cellStyle name="Normal 421 2 8" xfId="43167" xr:uid="{00000000-0005-0000-0000-000048AD0000}"/>
    <cellStyle name="Normal 421 2 9" xfId="43168" xr:uid="{00000000-0005-0000-0000-000049AD0000}"/>
    <cellStyle name="Normal 421 3" xfId="43169" xr:uid="{00000000-0005-0000-0000-00004AAD0000}"/>
    <cellStyle name="Normal 421 3 2" xfId="43170" xr:uid="{00000000-0005-0000-0000-00004BAD0000}"/>
    <cellStyle name="Normal 421 3 2 2" xfId="43171" xr:uid="{00000000-0005-0000-0000-00004CAD0000}"/>
    <cellStyle name="Normal 421 3 2 2 2" xfId="43172" xr:uid="{00000000-0005-0000-0000-00004DAD0000}"/>
    <cellStyle name="Normal 421 3 2 2 3" xfId="43173" xr:uid="{00000000-0005-0000-0000-00004EAD0000}"/>
    <cellStyle name="Normal 421 3 2 3" xfId="43174" xr:uid="{00000000-0005-0000-0000-00004FAD0000}"/>
    <cellStyle name="Normal 421 3 2 3 2" xfId="43175" xr:uid="{00000000-0005-0000-0000-000050AD0000}"/>
    <cellStyle name="Normal 421 3 2 3 3" xfId="43176" xr:uid="{00000000-0005-0000-0000-000051AD0000}"/>
    <cellStyle name="Normal 421 3 2 4" xfId="43177" xr:uid="{00000000-0005-0000-0000-000052AD0000}"/>
    <cellStyle name="Normal 421 3 2 5" xfId="43178" xr:uid="{00000000-0005-0000-0000-000053AD0000}"/>
    <cellStyle name="Normal 421 3 2 6" xfId="43179" xr:uid="{00000000-0005-0000-0000-000054AD0000}"/>
    <cellStyle name="Normal 421 3 3" xfId="43180" xr:uid="{00000000-0005-0000-0000-000055AD0000}"/>
    <cellStyle name="Normal 421 3 3 2" xfId="43181" xr:uid="{00000000-0005-0000-0000-000056AD0000}"/>
    <cellStyle name="Normal 421 3 3 3" xfId="43182" xr:uid="{00000000-0005-0000-0000-000057AD0000}"/>
    <cellStyle name="Normal 421 3 4" xfId="43183" xr:uid="{00000000-0005-0000-0000-000058AD0000}"/>
    <cellStyle name="Normal 421 3 4 2" xfId="43184" xr:uid="{00000000-0005-0000-0000-000059AD0000}"/>
    <cellStyle name="Normal 421 3 4 3" xfId="43185" xr:uid="{00000000-0005-0000-0000-00005AAD0000}"/>
    <cellStyle name="Normal 421 3 5" xfId="43186" xr:uid="{00000000-0005-0000-0000-00005BAD0000}"/>
    <cellStyle name="Normal 421 3 6" xfId="43187" xr:uid="{00000000-0005-0000-0000-00005CAD0000}"/>
    <cellStyle name="Normal 421 3 7" xfId="43188" xr:uid="{00000000-0005-0000-0000-00005DAD0000}"/>
    <cellStyle name="Normal 421 3 8" xfId="43189" xr:uid="{00000000-0005-0000-0000-00005EAD0000}"/>
    <cellStyle name="Normal 421 4" xfId="43190" xr:uid="{00000000-0005-0000-0000-00005FAD0000}"/>
    <cellStyle name="Normal 421 4 2" xfId="43191" xr:uid="{00000000-0005-0000-0000-000060AD0000}"/>
    <cellStyle name="Normal 421 4 2 2" xfId="43192" xr:uid="{00000000-0005-0000-0000-000061AD0000}"/>
    <cellStyle name="Normal 421 4 2 3" xfId="43193" xr:uid="{00000000-0005-0000-0000-000062AD0000}"/>
    <cellStyle name="Normal 421 4 3" xfId="43194" xr:uid="{00000000-0005-0000-0000-000063AD0000}"/>
    <cellStyle name="Normal 421 4 3 2" xfId="43195" xr:uid="{00000000-0005-0000-0000-000064AD0000}"/>
    <cellStyle name="Normal 421 4 3 3" xfId="43196" xr:uid="{00000000-0005-0000-0000-000065AD0000}"/>
    <cellStyle name="Normal 421 4 4" xfId="43197" xr:uid="{00000000-0005-0000-0000-000066AD0000}"/>
    <cellStyle name="Normal 421 4 5" xfId="43198" xr:uid="{00000000-0005-0000-0000-000067AD0000}"/>
    <cellStyle name="Normal 421 4 6" xfId="43199" xr:uid="{00000000-0005-0000-0000-000068AD0000}"/>
    <cellStyle name="Normal 421 5" xfId="43200" xr:uid="{00000000-0005-0000-0000-000069AD0000}"/>
    <cellStyle name="Normal 421 5 2" xfId="43201" xr:uid="{00000000-0005-0000-0000-00006AAD0000}"/>
    <cellStyle name="Normal 421 5 3" xfId="43202" xr:uid="{00000000-0005-0000-0000-00006BAD0000}"/>
    <cellStyle name="Normal 421 6" xfId="43203" xr:uid="{00000000-0005-0000-0000-00006CAD0000}"/>
    <cellStyle name="Normal 421 6 2" xfId="43204" xr:uid="{00000000-0005-0000-0000-00006DAD0000}"/>
    <cellStyle name="Normal 421 6 3" xfId="43205" xr:uid="{00000000-0005-0000-0000-00006EAD0000}"/>
    <cellStyle name="Normal 421 7" xfId="43206" xr:uid="{00000000-0005-0000-0000-00006FAD0000}"/>
    <cellStyle name="Normal 421 8" xfId="43207" xr:uid="{00000000-0005-0000-0000-000070AD0000}"/>
    <cellStyle name="Normal 421 9" xfId="43208" xr:uid="{00000000-0005-0000-0000-000071AD0000}"/>
    <cellStyle name="Normal 422" xfId="3475" xr:uid="{00000000-0005-0000-0000-000072AD0000}"/>
    <cellStyle name="Normal 422 10" xfId="43209" xr:uid="{00000000-0005-0000-0000-000073AD0000}"/>
    <cellStyle name="Normal 422 11" xfId="43210" xr:uid="{00000000-0005-0000-0000-000074AD0000}"/>
    <cellStyle name="Normal 422 2" xfId="43211" xr:uid="{00000000-0005-0000-0000-000075AD0000}"/>
    <cellStyle name="Normal 422 2 2" xfId="43212" xr:uid="{00000000-0005-0000-0000-000076AD0000}"/>
    <cellStyle name="Normal 422 2 2 2" xfId="43213" xr:uid="{00000000-0005-0000-0000-000077AD0000}"/>
    <cellStyle name="Normal 422 2 2 2 2" xfId="43214" xr:uid="{00000000-0005-0000-0000-000078AD0000}"/>
    <cellStyle name="Normal 422 2 2 2 2 2" xfId="43215" xr:uid="{00000000-0005-0000-0000-000079AD0000}"/>
    <cellStyle name="Normal 422 2 2 2 2 3" xfId="43216" xr:uid="{00000000-0005-0000-0000-00007AAD0000}"/>
    <cellStyle name="Normal 422 2 2 2 3" xfId="43217" xr:uid="{00000000-0005-0000-0000-00007BAD0000}"/>
    <cellStyle name="Normal 422 2 2 2 3 2" xfId="43218" xr:uid="{00000000-0005-0000-0000-00007CAD0000}"/>
    <cellStyle name="Normal 422 2 2 2 3 3" xfId="43219" xr:uid="{00000000-0005-0000-0000-00007DAD0000}"/>
    <cellStyle name="Normal 422 2 2 2 4" xfId="43220" xr:uid="{00000000-0005-0000-0000-00007EAD0000}"/>
    <cellStyle name="Normal 422 2 2 2 5" xfId="43221" xr:uid="{00000000-0005-0000-0000-00007FAD0000}"/>
    <cellStyle name="Normal 422 2 2 2 6" xfId="43222" xr:uid="{00000000-0005-0000-0000-000080AD0000}"/>
    <cellStyle name="Normal 422 2 2 3" xfId="43223" xr:uid="{00000000-0005-0000-0000-000081AD0000}"/>
    <cellStyle name="Normal 422 2 2 3 2" xfId="43224" xr:uid="{00000000-0005-0000-0000-000082AD0000}"/>
    <cellStyle name="Normal 422 2 2 3 3" xfId="43225" xr:uid="{00000000-0005-0000-0000-000083AD0000}"/>
    <cellStyle name="Normal 422 2 2 4" xfId="43226" xr:uid="{00000000-0005-0000-0000-000084AD0000}"/>
    <cellStyle name="Normal 422 2 2 4 2" xfId="43227" xr:uid="{00000000-0005-0000-0000-000085AD0000}"/>
    <cellStyle name="Normal 422 2 2 4 3" xfId="43228" xr:uid="{00000000-0005-0000-0000-000086AD0000}"/>
    <cellStyle name="Normal 422 2 2 5" xfId="43229" xr:uid="{00000000-0005-0000-0000-000087AD0000}"/>
    <cellStyle name="Normal 422 2 2 6" xfId="43230" xr:uid="{00000000-0005-0000-0000-000088AD0000}"/>
    <cellStyle name="Normal 422 2 2 7" xfId="43231" xr:uid="{00000000-0005-0000-0000-000089AD0000}"/>
    <cellStyle name="Normal 422 2 2 8" xfId="43232" xr:uid="{00000000-0005-0000-0000-00008AAD0000}"/>
    <cellStyle name="Normal 422 2 3" xfId="43233" xr:uid="{00000000-0005-0000-0000-00008BAD0000}"/>
    <cellStyle name="Normal 422 2 3 2" xfId="43234" xr:uid="{00000000-0005-0000-0000-00008CAD0000}"/>
    <cellStyle name="Normal 422 2 3 2 2" xfId="43235" xr:uid="{00000000-0005-0000-0000-00008DAD0000}"/>
    <cellStyle name="Normal 422 2 3 2 3" xfId="43236" xr:uid="{00000000-0005-0000-0000-00008EAD0000}"/>
    <cellStyle name="Normal 422 2 3 3" xfId="43237" xr:uid="{00000000-0005-0000-0000-00008FAD0000}"/>
    <cellStyle name="Normal 422 2 3 3 2" xfId="43238" xr:uid="{00000000-0005-0000-0000-000090AD0000}"/>
    <cellStyle name="Normal 422 2 3 3 3" xfId="43239" xr:uid="{00000000-0005-0000-0000-000091AD0000}"/>
    <cellStyle name="Normal 422 2 3 4" xfId="43240" xr:uid="{00000000-0005-0000-0000-000092AD0000}"/>
    <cellStyle name="Normal 422 2 3 5" xfId="43241" xr:uid="{00000000-0005-0000-0000-000093AD0000}"/>
    <cellStyle name="Normal 422 2 3 6" xfId="43242" xr:uid="{00000000-0005-0000-0000-000094AD0000}"/>
    <cellStyle name="Normal 422 2 4" xfId="43243" xr:uid="{00000000-0005-0000-0000-000095AD0000}"/>
    <cellStyle name="Normal 422 2 4 2" xfId="43244" xr:uid="{00000000-0005-0000-0000-000096AD0000}"/>
    <cellStyle name="Normal 422 2 4 3" xfId="43245" xr:uid="{00000000-0005-0000-0000-000097AD0000}"/>
    <cellStyle name="Normal 422 2 5" xfId="43246" xr:uid="{00000000-0005-0000-0000-000098AD0000}"/>
    <cellStyle name="Normal 422 2 5 2" xfId="43247" xr:uid="{00000000-0005-0000-0000-000099AD0000}"/>
    <cellStyle name="Normal 422 2 5 3" xfId="43248" xr:uid="{00000000-0005-0000-0000-00009AAD0000}"/>
    <cellStyle name="Normal 422 2 6" xfId="43249" xr:uid="{00000000-0005-0000-0000-00009BAD0000}"/>
    <cellStyle name="Normal 422 2 7" xfId="43250" xr:uid="{00000000-0005-0000-0000-00009CAD0000}"/>
    <cellStyle name="Normal 422 2 8" xfId="43251" xr:uid="{00000000-0005-0000-0000-00009DAD0000}"/>
    <cellStyle name="Normal 422 2 9" xfId="43252" xr:uid="{00000000-0005-0000-0000-00009EAD0000}"/>
    <cellStyle name="Normal 422 3" xfId="43253" xr:uid="{00000000-0005-0000-0000-00009FAD0000}"/>
    <cellStyle name="Normal 422 3 2" xfId="43254" xr:uid="{00000000-0005-0000-0000-0000A0AD0000}"/>
    <cellStyle name="Normal 422 3 2 2" xfId="43255" xr:uid="{00000000-0005-0000-0000-0000A1AD0000}"/>
    <cellStyle name="Normal 422 3 2 2 2" xfId="43256" xr:uid="{00000000-0005-0000-0000-0000A2AD0000}"/>
    <cellStyle name="Normal 422 3 2 2 3" xfId="43257" xr:uid="{00000000-0005-0000-0000-0000A3AD0000}"/>
    <cellStyle name="Normal 422 3 2 3" xfId="43258" xr:uid="{00000000-0005-0000-0000-0000A4AD0000}"/>
    <cellStyle name="Normal 422 3 2 3 2" xfId="43259" xr:uid="{00000000-0005-0000-0000-0000A5AD0000}"/>
    <cellStyle name="Normal 422 3 2 3 3" xfId="43260" xr:uid="{00000000-0005-0000-0000-0000A6AD0000}"/>
    <cellStyle name="Normal 422 3 2 4" xfId="43261" xr:uid="{00000000-0005-0000-0000-0000A7AD0000}"/>
    <cellStyle name="Normal 422 3 2 5" xfId="43262" xr:uid="{00000000-0005-0000-0000-0000A8AD0000}"/>
    <cellStyle name="Normal 422 3 2 6" xfId="43263" xr:uid="{00000000-0005-0000-0000-0000A9AD0000}"/>
    <cellStyle name="Normal 422 3 3" xfId="43264" xr:uid="{00000000-0005-0000-0000-0000AAAD0000}"/>
    <cellStyle name="Normal 422 3 3 2" xfId="43265" xr:uid="{00000000-0005-0000-0000-0000ABAD0000}"/>
    <cellStyle name="Normal 422 3 3 3" xfId="43266" xr:uid="{00000000-0005-0000-0000-0000ACAD0000}"/>
    <cellStyle name="Normal 422 3 4" xfId="43267" xr:uid="{00000000-0005-0000-0000-0000ADAD0000}"/>
    <cellStyle name="Normal 422 3 4 2" xfId="43268" xr:uid="{00000000-0005-0000-0000-0000AEAD0000}"/>
    <cellStyle name="Normal 422 3 4 3" xfId="43269" xr:uid="{00000000-0005-0000-0000-0000AFAD0000}"/>
    <cellStyle name="Normal 422 3 5" xfId="43270" xr:uid="{00000000-0005-0000-0000-0000B0AD0000}"/>
    <cellStyle name="Normal 422 3 6" xfId="43271" xr:uid="{00000000-0005-0000-0000-0000B1AD0000}"/>
    <cellStyle name="Normal 422 3 7" xfId="43272" xr:uid="{00000000-0005-0000-0000-0000B2AD0000}"/>
    <cellStyle name="Normal 422 3 8" xfId="43273" xr:uid="{00000000-0005-0000-0000-0000B3AD0000}"/>
    <cellStyle name="Normal 422 4" xfId="43274" xr:uid="{00000000-0005-0000-0000-0000B4AD0000}"/>
    <cellStyle name="Normal 422 4 2" xfId="43275" xr:uid="{00000000-0005-0000-0000-0000B5AD0000}"/>
    <cellStyle name="Normal 422 4 2 2" xfId="43276" xr:uid="{00000000-0005-0000-0000-0000B6AD0000}"/>
    <cellStyle name="Normal 422 4 2 3" xfId="43277" xr:uid="{00000000-0005-0000-0000-0000B7AD0000}"/>
    <cellStyle name="Normal 422 4 3" xfId="43278" xr:uid="{00000000-0005-0000-0000-0000B8AD0000}"/>
    <cellStyle name="Normal 422 4 3 2" xfId="43279" xr:uid="{00000000-0005-0000-0000-0000B9AD0000}"/>
    <cellStyle name="Normal 422 4 3 3" xfId="43280" xr:uid="{00000000-0005-0000-0000-0000BAAD0000}"/>
    <cellStyle name="Normal 422 4 4" xfId="43281" xr:uid="{00000000-0005-0000-0000-0000BBAD0000}"/>
    <cellStyle name="Normal 422 4 5" xfId="43282" xr:uid="{00000000-0005-0000-0000-0000BCAD0000}"/>
    <cellStyle name="Normal 422 4 6" xfId="43283" xr:uid="{00000000-0005-0000-0000-0000BDAD0000}"/>
    <cellStyle name="Normal 422 5" xfId="43284" xr:uid="{00000000-0005-0000-0000-0000BEAD0000}"/>
    <cellStyle name="Normal 422 5 2" xfId="43285" xr:uid="{00000000-0005-0000-0000-0000BFAD0000}"/>
    <cellStyle name="Normal 422 5 3" xfId="43286" xr:uid="{00000000-0005-0000-0000-0000C0AD0000}"/>
    <cellStyle name="Normal 422 6" xfId="43287" xr:uid="{00000000-0005-0000-0000-0000C1AD0000}"/>
    <cellStyle name="Normal 422 6 2" xfId="43288" xr:uid="{00000000-0005-0000-0000-0000C2AD0000}"/>
    <cellStyle name="Normal 422 6 3" xfId="43289" xr:uid="{00000000-0005-0000-0000-0000C3AD0000}"/>
    <cellStyle name="Normal 422 7" xfId="43290" xr:uid="{00000000-0005-0000-0000-0000C4AD0000}"/>
    <cellStyle name="Normal 422 8" xfId="43291" xr:uid="{00000000-0005-0000-0000-0000C5AD0000}"/>
    <cellStyle name="Normal 422 9" xfId="43292" xr:uid="{00000000-0005-0000-0000-0000C6AD0000}"/>
    <cellStyle name="Normal 423" xfId="3476" xr:uid="{00000000-0005-0000-0000-0000C7AD0000}"/>
    <cellStyle name="Normal 423 10" xfId="43293" xr:uid="{00000000-0005-0000-0000-0000C8AD0000}"/>
    <cellStyle name="Normal 423 11" xfId="43294" xr:uid="{00000000-0005-0000-0000-0000C9AD0000}"/>
    <cellStyle name="Normal 423 2" xfId="43295" xr:uid="{00000000-0005-0000-0000-0000CAAD0000}"/>
    <cellStyle name="Normal 423 2 2" xfId="43296" xr:uid="{00000000-0005-0000-0000-0000CBAD0000}"/>
    <cellStyle name="Normal 423 2 2 2" xfId="43297" xr:uid="{00000000-0005-0000-0000-0000CCAD0000}"/>
    <cellStyle name="Normal 423 2 2 2 2" xfId="43298" xr:uid="{00000000-0005-0000-0000-0000CDAD0000}"/>
    <cellStyle name="Normal 423 2 2 2 2 2" xfId="43299" xr:uid="{00000000-0005-0000-0000-0000CEAD0000}"/>
    <cellStyle name="Normal 423 2 2 2 2 3" xfId="43300" xr:uid="{00000000-0005-0000-0000-0000CFAD0000}"/>
    <cellStyle name="Normal 423 2 2 2 3" xfId="43301" xr:uid="{00000000-0005-0000-0000-0000D0AD0000}"/>
    <cellStyle name="Normal 423 2 2 2 3 2" xfId="43302" xr:uid="{00000000-0005-0000-0000-0000D1AD0000}"/>
    <cellStyle name="Normal 423 2 2 2 3 3" xfId="43303" xr:uid="{00000000-0005-0000-0000-0000D2AD0000}"/>
    <cellStyle name="Normal 423 2 2 2 4" xfId="43304" xr:uid="{00000000-0005-0000-0000-0000D3AD0000}"/>
    <cellStyle name="Normal 423 2 2 2 5" xfId="43305" xr:uid="{00000000-0005-0000-0000-0000D4AD0000}"/>
    <cellStyle name="Normal 423 2 2 2 6" xfId="43306" xr:uid="{00000000-0005-0000-0000-0000D5AD0000}"/>
    <cellStyle name="Normal 423 2 2 3" xfId="43307" xr:uid="{00000000-0005-0000-0000-0000D6AD0000}"/>
    <cellStyle name="Normal 423 2 2 3 2" xfId="43308" xr:uid="{00000000-0005-0000-0000-0000D7AD0000}"/>
    <cellStyle name="Normal 423 2 2 3 3" xfId="43309" xr:uid="{00000000-0005-0000-0000-0000D8AD0000}"/>
    <cellStyle name="Normal 423 2 2 4" xfId="43310" xr:uid="{00000000-0005-0000-0000-0000D9AD0000}"/>
    <cellStyle name="Normal 423 2 2 4 2" xfId="43311" xr:uid="{00000000-0005-0000-0000-0000DAAD0000}"/>
    <cellStyle name="Normal 423 2 2 4 3" xfId="43312" xr:uid="{00000000-0005-0000-0000-0000DBAD0000}"/>
    <cellStyle name="Normal 423 2 2 5" xfId="43313" xr:uid="{00000000-0005-0000-0000-0000DCAD0000}"/>
    <cellStyle name="Normal 423 2 2 6" xfId="43314" xr:uid="{00000000-0005-0000-0000-0000DDAD0000}"/>
    <cellStyle name="Normal 423 2 2 7" xfId="43315" xr:uid="{00000000-0005-0000-0000-0000DEAD0000}"/>
    <cellStyle name="Normal 423 2 2 8" xfId="43316" xr:uid="{00000000-0005-0000-0000-0000DFAD0000}"/>
    <cellStyle name="Normal 423 2 3" xfId="43317" xr:uid="{00000000-0005-0000-0000-0000E0AD0000}"/>
    <cellStyle name="Normal 423 2 3 2" xfId="43318" xr:uid="{00000000-0005-0000-0000-0000E1AD0000}"/>
    <cellStyle name="Normal 423 2 3 2 2" xfId="43319" xr:uid="{00000000-0005-0000-0000-0000E2AD0000}"/>
    <cellStyle name="Normal 423 2 3 2 3" xfId="43320" xr:uid="{00000000-0005-0000-0000-0000E3AD0000}"/>
    <cellStyle name="Normal 423 2 3 3" xfId="43321" xr:uid="{00000000-0005-0000-0000-0000E4AD0000}"/>
    <cellStyle name="Normal 423 2 3 3 2" xfId="43322" xr:uid="{00000000-0005-0000-0000-0000E5AD0000}"/>
    <cellStyle name="Normal 423 2 3 3 3" xfId="43323" xr:uid="{00000000-0005-0000-0000-0000E6AD0000}"/>
    <cellStyle name="Normal 423 2 3 4" xfId="43324" xr:uid="{00000000-0005-0000-0000-0000E7AD0000}"/>
    <cellStyle name="Normal 423 2 3 5" xfId="43325" xr:uid="{00000000-0005-0000-0000-0000E8AD0000}"/>
    <cellStyle name="Normal 423 2 3 6" xfId="43326" xr:uid="{00000000-0005-0000-0000-0000E9AD0000}"/>
    <cellStyle name="Normal 423 2 4" xfId="43327" xr:uid="{00000000-0005-0000-0000-0000EAAD0000}"/>
    <cellStyle name="Normal 423 2 4 2" xfId="43328" xr:uid="{00000000-0005-0000-0000-0000EBAD0000}"/>
    <cellStyle name="Normal 423 2 4 3" xfId="43329" xr:uid="{00000000-0005-0000-0000-0000ECAD0000}"/>
    <cellStyle name="Normal 423 2 5" xfId="43330" xr:uid="{00000000-0005-0000-0000-0000EDAD0000}"/>
    <cellStyle name="Normal 423 2 5 2" xfId="43331" xr:uid="{00000000-0005-0000-0000-0000EEAD0000}"/>
    <cellStyle name="Normal 423 2 5 3" xfId="43332" xr:uid="{00000000-0005-0000-0000-0000EFAD0000}"/>
    <cellStyle name="Normal 423 2 6" xfId="43333" xr:uid="{00000000-0005-0000-0000-0000F0AD0000}"/>
    <cellStyle name="Normal 423 2 7" xfId="43334" xr:uid="{00000000-0005-0000-0000-0000F1AD0000}"/>
    <cellStyle name="Normal 423 2 8" xfId="43335" xr:uid="{00000000-0005-0000-0000-0000F2AD0000}"/>
    <cellStyle name="Normal 423 2 9" xfId="43336" xr:uid="{00000000-0005-0000-0000-0000F3AD0000}"/>
    <cellStyle name="Normal 423 3" xfId="43337" xr:uid="{00000000-0005-0000-0000-0000F4AD0000}"/>
    <cellStyle name="Normal 423 3 2" xfId="43338" xr:uid="{00000000-0005-0000-0000-0000F5AD0000}"/>
    <cellStyle name="Normal 423 3 2 2" xfId="43339" xr:uid="{00000000-0005-0000-0000-0000F6AD0000}"/>
    <cellStyle name="Normal 423 3 2 2 2" xfId="43340" xr:uid="{00000000-0005-0000-0000-0000F7AD0000}"/>
    <cellStyle name="Normal 423 3 2 2 3" xfId="43341" xr:uid="{00000000-0005-0000-0000-0000F8AD0000}"/>
    <cellStyle name="Normal 423 3 2 3" xfId="43342" xr:uid="{00000000-0005-0000-0000-0000F9AD0000}"/>
    <cellStyle name="Normal 423 3 2 3 2" xfId="43343" xr:uid="{00000000-0005-0000-0000-0000FAAD0000}"/>
    <cellStyle name="Normal 423 3 2 3 3" xfId="43344" xr:uid="{00000000-0005-0000-0000-0000FBAD0000}"/>
    <cellStyle name="Normal 423 3 2 4" xfId="43345" xr:uid="{00000000-0005-0000-0000-0000FCAD0000}"/>
    <cellStyle name="Normal 423 3 2 5" xfId="43346" xr:uid="{00000000-0005-0000-0000-0000FDAD0000}"/>
    <cellStyle name="Normal 423 3 2 6" xfId="43347" xr:uid="{00000000-0005-0000-0000-0000FEAD0000}"/>
    <cellStyle name="Normal 423 3 3" xfId="43348" xr:uid="{00000000-0005-0000-0000-0000FFAD0000}"/>
    <cellStyle name="Normal 423 3 3 2" xfId="43349" xr:uid="{00000000-0005-0000-0000-000000AE0000}"/>
    <cellStyle name="Normal 423 3 3 3" xfId="43350" xr:uid="{00000000-0005-0000-0000-000001AE0000}"/>
    <cellStyle name="Normal 423 3 4" xfId="43351" xr:uid="{00000000-0005-0000-0000-000002AE0000}"/>
    <cellStyle name="Normal 423 3 4 2" xfId="43352" xr:uid="{00000000-0005-0000-0000-000003AE0000}"/>
    <cellStyle name="Normal 423 3 4 3" xfId="43353" xr:uid="{00000000-0005-0000-0000-000004AE0000}"/>
    <cellStyle name="Normal 423 3 5" xfId="43354" xr:uid="{00000000-0005-0000-0000-000005AE0000}"/>
    <cellStyle name="Normal 423 3 6" xfId="43355" xr:uid="{00000000-0005-0000-0000-000006AE0000}"/>
    <cellStyle name="Normal 423 3 7" xfId="43356" xr:uid="{00000000-0005-0000-0000-000007AE0000}"/>
    <cellStyle name="Normal 423 3 8" xfId="43357" xr:uid="{00000000-0005-0000-0000-000008AE0000}"/>
    <cellStyle name="Normal 423 4" xfId="43358" xr:uid="{00000000-0005-0000-0000-000009AE0000}"/>
    <cellStyle name="Normal 423 4 2" xfId="43359" xr:uid="{00000000-0005-0000-0000-00000AAE0000}"/>
    <cellStyle name="Normal 423 4 2 2" xfId="43360" xr:uid="{00000000-0005-0000-0000-00000BAE0000}"/>
    <cellStyle name="Normal 423 4 2 3" xfId="43361" xr:uid="{00000000-0005-0000-0000-00000CAE0000}"/>
    <cellStyle name="Normal 423 4 3" xfId="43362" xr:uid="{00000000-0005-0000-0000-00000DAE0000}"/>
    <cellStyle name="Normal 423 4 3 2" xfId="43363" xr:uid="{00000000-0005-0000-0000-00000EAE0000}"/>
    <cellStyle name="Normal 423 4 3 3" xfId="43364" xr:uid="{00000000-0005-0000-0000-00000FAE0000}"/>
    <cellStyle name="Normal 423 4 4" xfId="43365" xr:uid="{00000000-0005-0000-0000-000010AE0000}"/>
    <cellStyle name="Normal 423 4 5" xfId="43366" xr:uid="{00000000-0005-0000-0000-000011AE0000}"/>
    <cellStyle name="Normal 423 4 6" xfId="43367" xr:uid="{00000000-0005-0000-0000-000012AE0000}"/>
    <cellStyle name="Normal 423 5" xfId="43368" xr:uid="{00000000-0005-0000-0000-000013AE0000}"/>
    <cellStyle name="Normal 423 5 2" xfId="43369" xr:uid="{00000000-0005-0000-0000-000014AE0000}"/>
    <cellStyle name="Normal 423 5 3" xfId="43370" xr:uid="{00000000-0005-0000-0000-000015AE0000}"/>
    <cellStyle name="Normal 423 6" xfId="43371" xr:uid="{00000000-0005-0000-0000-000016AE0000}"/>
    <cellStyle name="Normal 423 6 2" xfId="43372" xr:uid="{00000000-0005-0000-0000-000017AE0000}"/>
    <cellStyle name="Normal 423 6 3" xfId="43373" xr:uid="{00000000-0005-0000-0000-000018AE0000}"/>
    <cellStyle name="Normal 423 7" xfId="43374" xr:uid="{00000000-0005-0000-0000-000019AE0000}"/>
    <cellStyle name="Normal 423 8" xfId="43375" xr:uid="{00000000-0005-0000-0000-00001AAE0000}"/>
    <cellStyle name="Normal 423 9" xfId="43376" xr:uid="{00000000-0005-0000-0000-00001BAE0000}"/>
    <cellStyle name="Normal 424" xfId="3477" xr:uid="{00000000-0005-0000-0000-00001CAE0000}"/>
    <cellStyle name="Normal 424 10" xfId="43377" xr:uid="{00000000-0005-0000-0000-00001DAE0000}"/>
    <cellStyle name="Normal 424 11" xfId="43378" xr:uid="{00000000-0005-0000-0000-00001EAE0000}"/>
    <cellStyle name="Normal 424 2" xfId="3478" xr:uid="{00000000-0005-0000-0000-00001FAE0000}"/>
    <cellStyle name="Normal 424 2 10" xfId="43379" xr:uid="{00000000-0005-0000-0000-000020AE0000}"/>
    <cellStyle name="Normal 424 2 2" xfId="43380" xr:uid="{00000000-0005-0000-0000-000021AE0000}"/>
    <cellStyle name="Normal 424 2 2 2" xfId="43381" xr:uid="{00000000-0005-0000-0000-000022AE0000}"/>
    <cellStyle name="Normal 424 2 2 2 2" xfId="43382" xr:uid="{00000000-0005-0000-0000-000023AE0000}"/>
    <cellStyle name="Normal 424 2 2 2 2 2" xfId="43383" xr:uid="{00000000-0005-0000-0000-000024AE0000}"/>
    <cellStyle name="Normal 424 2 2 2 2 3" xfId="43384" xr:uid="{00000000-0005-0000-0000-000025AE0000}"/>
    <cellStyle name="Normal 424 2 2 2 3" xfId="43385" xr:uid="{00000000-0005-0000-0000-000026AE0000}"/>
    <cellStyle name="Normal 424 2 2 2 3 2" xfId="43386" xr:uid="{00000000-0005-0000-0000-000027AE0000}"/>
    <cellStyle name="Normal 424 2 2 2 3 3" xfId="43387" xr:uid="{00000000-0005-0000-0000-000028AE0000}"/>
    <cellStyle name="Normal 424 2 2 2 4" xfId="43388" xr:uid="{00000000-0005-0000-0000-000029AE0000}"/>
    <cellStyle name="Normal 424 2 2 2 5" xfId="43389" xr:uid="{00000000-0005-0000-0000-00002AAE0000}"/>
    <cellStyle name="Normal 424 2 2 2 6" xfId="43390" xr:uid="{00000000-0005-0000-0000-00002BAE0000}"/>
    <cellStyle name="Normal 424 2 2 3" xfId="43391" xr:uid="{00000000-0005-0000-0000-00002CAE0000}"/>
    <cellStyle name="Normal 424 2 2 3 2" xfId="43392" xr:uid="{00000000-0005-0000-0000-00002DAE0000}"/>
    <cellStyle name="Normal 424 2 2 3 3" xfId="43393" xr:uid="{00000000-0005-0000-0000-00002EAE0000}"/>
    <cellStyle name="Normal 424 2 2 4" xfId="43394" xr:uid="{00000000-0005-0000-0000-00002FAE0000}"/>
    <cellStyle name="Normal 424 2 2 4 2" xfId="43395" xr:uid="{00000000-0005-0000-0000-000030AE0000}"/>
    <cellStyle name="Normal 424 2 2 4 3" xfId="43396" xr:uid="{00000000-0005-0000-0000-000031AE0000}"/>
    <cellStyle name="Normal 424 2 2 5" xfId="43397" xr:uid="{00000000-0005-0000-0000-000032AE0000}"/>
    <cellStyle name="Normal 424 2 2 6" xfId="43398" xr:uid="{00000000-0005-0000-0000-000033AE0000}"/>
    <cellStyle name="Normal 424 2 2 7" xfId="43399" xr:uid="{00000000-0005-0000-0000-000034AE0000}"/>
    <cellStyle name="Normal 424 2 2 8" xfId="43400" xr:uid="{00000000-0005-0000-0000-000035AE0000}"/>
    <cellStyle name="Normal 424 2 3" xfId="43401" xr:uid="{00000000-0005-0000-0000-000036AE0000}"/>
    <cellStyle name="Normal 424 2 3 2" xfId="43402" xr:uid="{00000000-0005-0000-0000-000037AE0000}"/>
    <cellStyle name="Normal 424 2 3 2 2" xfId="43403" xr:uid="{00000000-0005-0000-0000-000038AE0000}"/>
    <cellStyle name="Normal 424 2 3 2 3" xfId="43404" xr:uid="{00000000-0005-0000-0000-000039AE0000}"/>
    <cellStyle name="Normal 424 2 3 3" xfId="43405" xr:uid="{00000000-0005-0000-0000-00003AAE0000}"/>
    <cellStyle name="Normal 424 2 3 3 2" xfId="43406" xr:uid="{00000000-0005-0000-0000-00003BAE0000}"/>
    <cellStyle name="Normal 424 2 3 3 3" xfId="43407" xr:uid="{00000000-0005-0000-0000-00003CAE0000}"/>
    <cellStyle name="Normal 424 2 3 4" xfId="43408" xr:uid="{00000000-0005-0000-0000-00003DAE0000}"/>
    <cellStyle name="Normal 424 2 3 5" xfId="43409" xr:uid="{00000000-0005-0000-0000-00003EAE0000}"/>
    <cellStyle name="Normal 424 2 3 6" xfId="43410" xr:uid="{00000000-0005-0000-0000-00003FAE0000}"/>
    <cellStyle name="Normal 424 2 4" xfId="43411" xr:uid="{00000000-0005-0000-0000-000040AE0000}"/>
    <cellStyle name="Normal 424 2 4 2" xfId="43412" xr:uid="{00000000-0005-0000-0000-000041AE0000}"/>
    <cellStyle name="Normal 424 2 4 3" xfId="43413" xr:uid="{00000000-0005-0000-0000-000042AE0000}"/>
    <cellStyle name="Normal 424 2 5" xfId="43414" xr:uid="{00000000-0005-0000-0000-000043AE0000}"/>
    <cellStyle name="Normal 424 2 5 2" xfId="43415" xr:uid="{00000000-0005-0000-0000-000044AE0000}"/>
    <cellStyle name="Normal 424 2 5 3" xfId="43416" xr:uid="{00000000-0005-0000-0000-000045AE0000}"/>
    <cellStyle name="Normal 424 2 6" xfId="43417" xr:uid="{00000000-0005-0000-0000-000046AE0000}"/>
    <cellStyle name="Normal 424 2 7" xfId="43418" xr:uid="{00000000-0005-0000-0000-000047AE0000}"/>
    <cellStyle name="Normal 424 2 8" xfId="43419" xr:uid="{00000000-0005-0000-0000-000048AE0000}"/>
    <cellStyle name="Normal 424 2 9" xfId="43420" xr:uid="{00000000-0005-0000-0000-000049AE0000}"/>
    <cellStyle name="Normal 424 3" xfId="43421" xr:uid="{00000000-0005-0000-0000-00004AAE0000}"/>
    <cellStyle name="Normal 424 3 2" xfId="43422" xr:uid="{00000000-0005-0000-0000-00004BAE0000}"/>
    <cellStyle name="Normal 424 3 2 2" xfId="43423" xr:uid="{00000000-0005-0000-0000-00004CAE0000}"/>
    <cellStyle name="Normal 424 3 2 2 2" xfId="43424" xr:uid="{00000000-0005-0000-0000-00004DAE0000}"/>
    <cellStyle name="Normal 424 3 2 2 3" xfId="43425" xr:uid="{00000000-0005-0000-0000-00004EAE0000}"/>
    <cellStyle name="Normal 424 3 2 3" xfId="43426" xr:uid="{00000000-0005-0000-0000-00004FAE0000}"/>
    <cellStyle name="Normal 424 3 2 3 2" xfId="43427" xr:uid="{00000000-0005-0000-0000-000050AE0000}"/>
    <cellStyle name="Normal 424 3 2 3 3" xfId="43428" xr:uid="{00000000-0005-0000-0000-000051AE0000}"/>
    <cellStyle name="Normal 424 3 2 4" xfId="43429" xr:uid="{00000000-0005-0000-0000-000052AE0000}"/>
    <cellStyle name="Normal 424 3 2 5" xfId="43430" xr:uid="{00000000-0005-0000-0000-000053AE0000}"/>
    <cellStyle name="Normal 424 3 2 6" xfId="43431" xr:uid="{00000000-0005-0000-0000-000054AE0000}"/>
    <cellStyle name="Normal 424 3 3" xfId="43432" xr:uid="{00000000-0005-0000-0000-000055AE0000}"/>
    <cellStyle name="Normal 424 3 3 2" xfId="43433" xr:uid="{00000000-0005-0000-0000-000056AE0000}"/>
    <cellStyle name="Normal 424 3 3 3" xfId="43434" xr:uid="{00000000-0005-0000-0000-000057AE0000}"/>
    <cellStyle name="Normal 424 3 4" xfId="43435" xr:uid="{00000000-0005-0000-0000-000058AE0000}"/>
    <cellStyle name="Normal 424 3 4 2" xfId="43436" xr:uid="{00000000-0005-0000-0000-000059AE0000}"/>
    <cellStyle name="Normal 424 3 4 3" xfId="43437" xr:uid="{00000000-0005-0000-0000-00005AAE0000}"/>
    <cellStyle name="Normal 424 3 5" xfId="43438" xr:uid="{00000000-0005-0000-0000-00005BAE0000}"/>
    <cellStyle name="Normal 424 3 6" xfId="43439" xr:uid="{00000000-0005-0000-0000-00005CAE0000}"/>
    <cellStyle name="Normal 424 3 7" xfId="43440" xr:uid="{00000000-0005-0000-0000-00005DAE0000}"/>
    <cellStyle name="Normal 424 3 8" xfId="43441" xr:uid="{00000000-0005-0000-0000-00005EAE0000}"/>
    <cellStyle name="Normal 424 4" xfId="43442" xr:uid="{00000000-0005-0000-0000-00005FAE0000}"/>
    <cellStyle name="Normal 424 4 2" xfId="43443" xr:uid="{00000000-0005-0000-0000-000060AE0000}"/>
    <cellStyle name="Normal 424 4 2 2" xfId="43444" xr:uid="{00000000-0005-0000-0000-000061AE0000}"/>
    <cellStyle name="Normal 424 4 2 3" xfId="43445" xr:uid="{00000000-0005-0000-0000-000062AE0000}"/>
    <cellStyle name="Normal 424 4 3" xfId="43446" xr:uid="{00000000-0005-0000-0000-000063AE0000}"/>
    <cellStyle name="Normal 424 4 3 2" xfId="43447" xr:uid="{00000000-0005-0000-0000-000064AE0000}"/>
    <cellStyle name="Normal 424 4 3 3" xfId="43448" xr:uid="{00000000-0005-0000-0000-000065AE0000}"/>
    <cellStyle name="Normal 424 4 4" xfId="43449" xr:uid="{00000000-0005-0000-0000-000066AE0000}"/>
    <cellStyle name="Normal 424 4 5" xfId="43450" xr:uid="{00000000-0005-0000-0000-000067AE0000}"/>
    <cellStyle name="Normal 424 4 6" xfId="43451" xr:uid="{00000000-0005-0000-0000-000068AE0000}"/>
    <cellStyle name="Normal 424 5" xfId="43452" xr:uid="{00000000-0005-0000-0000-000069AE0000}"/>
    <cellStyle name="Normal 424 5 2" xfId="43453" xr:uid="{00000000-0005-0000-0000-00006AAE0000}"/>
    <cellStyle name="Normal 424 5 3" xfId="43454" xr:uid="{00000000-0005-0000-0000-00006BAE0000}"/>
    <cellStyle name="Normal 424 6" xfId="43455" xr:uid="{00000000-0005-0000-0000-00006CAE0000}"/>
    <cellStyle name="Normal 424 6 2" xfId="43456" xr:uid="{00000000-0005-0000-0000-00006DAE0000}"/>
    <cellStyle name="Normal 424 6 3" xfId="43457" xr:uid="{00000000-0005-0000-0000-00006EAE0000}"/>
    <cellStyle name="Normal 424 7" xfId="43458" xr:uid="{00000000-0005-0000-0000-00006FAE0000}"/>
    <cellStyle name="Normal 424 8" xfId="43459" xr:uid="{00000000-0005-0000-0000-000070AE0000}"/>
    <cellStyle name="Normal 424 9" xfId="43460" xr:uid="{00000000-0005-0000-0000-000071AE0000}"/>
    <cellStyle name="Normal 425" xfId="3479" xr:uid="{00000000-0005-0000-0000-000072AE0000}"/>
    <cellStyle name="Normal 425 10" xfId="43461" xr:uid="{00000000-0005-0000-0000-000073AE0000}"/>
    <cellStyle name="Normal 425 11" xfId="43462" xr:uid="{00000000-0005-0000-0000-000074AE0000}"/>
    <cellStyle name="Normal 425 2" xfId="43463" xr:uid="{00000000-0005-0000-0000-000075AE0000}"/>
    <cellStyle name="Normal 425 2 2" xfId="43464" xr:uid="{00000000-0005-0000-0000-000076AE0000}"/>
    <cellStyle name="Normal 425 2 2 2" xfId="43465" xr:uid="{00000000-0005-0000-0000-000077AE0000}"/>
    <cellStyle name="Normal 425 2 2 2 2" xfId="43466" xr:uid="{00000000-0005-0000-0000-000078AE0000}"/>
    <cellStyle name="Normal 425 2 2 2 2 2" xfId="43467" xr:uid="{00000000-0005-0000-0000-000079AE0000}"/>
    <cellStyle name="Normal 425 2 2 2 2 3" xfId="43468" xr:uid="{00000000-0005-0000-0000-00007AAE0000}"/>
    <cellStyle name="Normal 425 2 2 2 3" xfId="43469" xr:uid="{00000000-0005-0000-0000-00007BAE0000}"/>
    <cellStyle name="Normal 425 2 2 2 3 2" xfId="43470" xr:uid="{00000000-0005-0000-0000-00007CAE0000}"/>
    <cellStyle name="Normal 425 2 2 2 3 3" xfId="43471" xr:uid="{00000000-0005-0000-0000-00007DAE0000}"/>
    <cellStyle name="Normal 425 2 2 2 4" xfId="43472" xr:uid="{00000000-0005-0000-0000-00007EAE0000}"/>
    <cellStyle name="Normal 425 2 2 2 5" xfId="43473" xr:uid="{00000000-0005-0000-0000-00007FAE0000}"/>
    <cellStyle name="Normal 425 2 2 2 6" xfId="43474" xr:uid="{00000000-0005-0000-0000-000080AE0000}"/>
    <cellStyle name="Normal 425 2 2 3" xfId="43475" xr:uid="{00000000-0005-0000-0000-000081AE0000}"/>
    <cellStyle name="Normal 425 2 2 3 2" xfId="43476" xr:uid="{00000000-0005-0000-0000-000082AE0000}"/>
    <cellStyle name="Normal 425 2 2 3 3" xfId="43477" xr:uid="{00000000-0005-0000-0000-000083AE0000}"/>
    <cellStyle name="Normal 425 2 2 4" xfId="43478" xr:uid="{00000000-0005-0000-0000-000084AE0000}"/>
    <cellStyle name="Normal 425 2 2 4 2" xfId="43479" xr:uid="{00000000-0005-0000-0000-000085AE0000}"/>
    <cellStyle name="Normal 425 2 2 4 3" xfId="43480" xr:uid="{00000000-0005-0000-0000-000086AE0000}"/>
    <cellStyle name="Normal 425 2 2 5" xfId="43481" xr:uid="{00000000-0005-0000-0000-000087AE0000}"/>
    <cellStyle name="Normal 425 2 2 6" xfId="43482" xr:uid="{00000000-0005-0000-0000-000088AE0000}"/>
    <cellStyle name="Normal 425 2 2 7" xfId="43483" xr:uid="{00000000-0005-0000-0000-000089AE0000}"/>
    <cellStyle name="Normal 425 2 2 8" xfId="43484" xr:uid="{00000000-0005-0000-0000-00008AAE0000}"/>
    <cellStyle name="Normal 425 2 3" xfId="43485" xr:uid="{00000000-0005-0000-0000-00008BAE0000}"/>
    <cellStyle name="Normal 425 2 3 2" xfId="43486" xr:uid="{00000000-0005-0000-0000-00008CAE0000}"/>
    <cellStyle name="Normal 425 2 3 2 2" xfId="43487" xr:uid="{00000000-0005-0000-0000-00008DAE0000}"/>
    <cellStyle name="Normal 425 2 3 2 3" xfId="43488" xr:uid="{00000000-0005-0000-0000-00008EAE0000}"/>
    <cellStyle name="Normal 425 2 3 3" xfId="43489" xr:uid="{00000000-0005-0000-0000-00008FAE0000}"/>
    <cellStyle name="Normal 425 2 3 3 2" xfId="43490" xr:uid="{00000000-0005-0000-0000-000090AE0000}"/>
    <cellStyle name="Normal 425 2 3 3 3" xfId="43491" xr:uid="{00000000-0005-0000-0000-000091AE0000}"/>
    <cellStyle name="Normal 425 2 3 4" xfId="43492" xr:uid="{00000000-0005-0000-0000-000092AE0000}"/>
    <cellStyle name="Normal 425 2 3 5" xfId="43493" xr:uid="{00000000-0005-0000-0000-000093AE0000}"/>
    <cellStyle name="Normal 425 2 3 6" xfId="43494" xr:uid="{00000000-0005-0000-0000-000094AE0000}"/>
    <cellStyle name="Normal 425 2 4" xfId="43495" xr:uid="{00000000-0005-0000-0000-000095AE0000}"/>
    <cellStyle name="Normal 425 2 4 2" xfId="43496" xr:uid="{00000000-0005-0000-0000-000096AE0000}"/>
    <cellStyle name="Normal 425 2 4 3" xfId="43497" xr:uid="{00000000-0005-0000-0000-000097AE0000}"/>
    <cellStyle name="Normal 425 2 5" xfId="43498" xr:uid="{00000000-0005-0000-0000-000098AE0000}"/>
    <cellStyle name="Normal 425 2 5 2" xfId="43499" xr:uid="{00000000-0005-0000-0000-000099AE0000}"/>
    <cellStyle name="Normal 425 2 5 3" xfId="43500" xr:uid="{00000000-0005-0000-0000-00009AAE0000}"/>
    <cellStyle name="Normal 425 2 6" xfId="43501" xr:uid="{00000000-0005-0000-0000-00009BAE0000}"/>
    <cellStyle name="Normal 425 2 7" xfId="43502" xr:uid="{00000000-0005-0000-0000-00009CAE0000}"/>
    <cellStyle name="Normal 425 2 8" xfId="43503" xr:uid="{00000000-0005-0000-0000-00009DAE0000}"/>
    <cellStyle name="Normal 425 2 9" xfId="43504" xr:uid="{00000000-0005-0000-0000-00009EAE0000}"/>
    <cellStyle name="Normal 425 3" xfId="43505" xr:uid="{00000000-0005-0000-0000-00009FAE0000}"/>
    <cellStyle name="Normal 425 3 2" xfId="43506" xr:uid="{00000000-0005-0000-0000-0000A0AE0000}"/>
    <cellStyle name="Normal 425 3 2 2" xfId="43507" xr:uid="{00000000-0005-0000-0000-0000A1AE0000}"/>
    <cellStyle name="Normal 425 3 2 2 2" xfId="43508" xr:uid="{00000000-0005-0000-0000-0000A2AE0000}"/>
    <cellStyle name="Normal 425 3 2 2 3" xfId="43509" xr:uid="{00000000-0005-0000-0000-0000A3AE0000}"/>
    <cellStyle name="Normal 425 3 2 3" xfId="43510" xr:uid="{00000000-0005-0000-0000-0000A4AE0000}"/>
    <cellStyle name="Normal 425 3 2 3 2" xfId="43511" xr:uid="{00000000-0005-0000-0000-0000A5AE0000}"/>
    <cellStyle name="Normal 425 3 2 3 3" xfId="43512" xr:uid="{00000000-0005-0000-0000-0000A6AE0000}"/>
    <cellStyle name="Normal 425 3 2 4" xfId="43513" xr:uid="{00000000-0005-0000-0000-0000A7AE0000}"/>
    <cellStyle name="Normal 425 3 2 5" xfId="43514" xr:uid="{00000000-0005-0000-0000-0000A8AE0000}"/>
    <cellStyle name="Normal 425 3 2 6" xfId="43515" xr:uid="{00000000-0005-0000-0000-0000A9AE0000}"/>
    <cellStyle name="Normal 425 3 3" xfId="43516" xr:uid="{00000000-0005-0000-0000-0000AAAE0000}"/>
    <cellStyle name="Normal 425 3 3 2" xfId="43517" xr:uid="{00000000-0005-0000-0000-0000ABAE0000}"/>
    <cellStyle name="Normal 425 3 3 3" xfId="43518" xr:uid="{00000000-0005-0000-0000-0000ACAE0000}"/>
    <cellStyle name="Normal 425 3 4" xfId="43519" xr:uid="{00000000-0005-0000-0000-0000ADAE0000}"/>
    <cellStyle name="Normal 425 3 4 2" xfId="43520" xr:uid="{00000000-0005-0000-0000-0000AEAE0000}"/>
    <cellStyle name="Normal 425 3 4 3" xfId="43521" xr:uid="{00000000-0005-0000-0000-0000AFAE0000}"/>
    <cellStyle name="Normal 425 3 5" xfId="43522" xr:uid="{00000000-0005-0000-0000-0000B0AE0000}"/>
    <cellStyle name="Normal 425 3 6" xfId="43523" xr:uid="{00000000-0005-0000-0000-0000B1AE0000}"/>
    <cellStyle name="Normal 425 3 7" xfId="43524" xr:uid="{00000000-0005-0000-0000-0000B2AE0000}"/>
    <cellStyle name="Normal 425 3 8" xfId="43525" xr:uid="{00000000-0005-0000-0000-0000B3AE0000}"/>
    <cellStyle name="Normal 425 4" xfId="43526" xr:uid="{00000000-0005-0000-0000-0000B4AE0000}"/>
    <cellStyle name="Normal 425 4 2" xfId="43527" xr:uid="{00000000-0005-0000-0000-0000B5AE0000}"/>
    <cellStyle name="Normal 425 4 2 2" xfId="43528" xr:uid="{00000000-0005-0000-0000-0000B6AE0000}"/>
    <cellStyle name="Normal 425 4 2 3" xfId="43529" xr:uid="{00000000-0005-0000-0000-0000B7AE0000}"/>
    <cellStyle name="Normal 425 4 3" xfId="43530" xr:uid="{00000000-0005-0000-0000-0000B8AE0000}"/>
    <cellStyle name="Normal 425 4 3 2" xfId="43531" xr:uid="{00000000-0005-0000-0000-0000B9AE0000}"/>
    <cellStyle name="Normal 425 4 3 3" xfId="43532" xr:uid="{00000000-0005-0000-0000-0000BAAE0000}"/>
    <cellStyle name="Normal 425 4 4" xfId="43533" xr:uid="{00000000-0005-0000-0000-0000BBAE0000}"/>
    <cellStyle name="Normal 425 4 5" xfId="43534" xr:uid="{00000000-0005-0000-0000-0000BCAE0000}"/>
    <cellStyle name="Normal 425 4 6" xfId="43535" xr:uid="{00000000-0005-0000-0000-0000BDAE0000}"/>
    <cellStyle name="Normal 425 5" xfId="43536" xr:uid="{00000000-0005-0000-0000-0000BEAE0000}"/>
    <cellStyle name="Normal 425 5 2" xfId="43537" xr:uid="{00000000-0005-0000-0000-0000BFAE0000}"/>
    <cellStyle name="Normal 425 5 3" xfId="43538" xr:uid="{00000000-0005-0000-0000-0000C0AE0000}"/>
    <cellStyle name="Normal 425 6" xfId="43539" xr:uid="{00000000-0005-0000-0000-0000C1AE0000}"/>
    <cellStyle name="Normal 425 6 2" xfId="43540" xr:uid="{00000000-0005-0000-0000-0000C2AE0000}"/>
    <cellStyle name="Normal 425 6 3" xfId="43541" xr:uid="{00000000-0005-0000-0000-0000C3AE0000}"/>
    <cellStyle name="Normal 425 7" xfId="43542" xr:uid="{00000000-0005-0000-0000-0000C4AE0000}"/>
    <cellStyle name="Normal 425 8" xfId="43543" xr:uid="{00000000-0005-0000-0000-0000C5AE0000}"/>
    <cellStyle name="Normal 425 9" xfId="43544" xr:uid="{00000000-0005-0000-0000-0000C6AE0000}"/>
    <cellStyle name="Normal 426" xfId="3480" xr:uid="{00000000-0005-0000-0000-0000C7AE0000}"/>
    <cellStyle name="Normal 426 10" xfId="43545" xr:uid="{00000000-0005-0000-0000-0000C8AE0000}"/>
    <cellStyle name="Normal 426 11" xfId="43546" xr:uid="{00000000-0005-0000-0000-0000C9AE0000}"/>
    <cellStyle name="Normal 426 2" xfId="43547" xr:uid="{00000000-0005-0000-0000-0000CAAE0000}"/>
    <cellStyle name="Normal 426 2 2" xfId="43548" xr:uid="{00000000-0005-0000-0000-0000CBAE0000}"/>
    <cellStyle name="Normal 426 2 2 2" xfId="43549" xr:uid="{00000000-0005-0000-0000-0000CCAE0000}"/>
    <cellStyle name="Normal 426 2 2 2 2" xfId="43550" xr:uid="{00000000-0005-0000-0000-0000CDAE0000}"/>
    <cellStyle name="Normal 426 2 2 2 2 2" xfId="43551" xr:uid="{00000000-0005-0000-0000-0000CEAE0000}"/>
    <cellStyle name="Normal 426 2 2 2 2 3" xfId="43552" xr:uid="{00000000-0005-0000-0000-0000CFAE0000}"/>
    <cellStyle name="Normal 426 2 2 2 3" xfId="43553" xr:uid="{00000000-0005-0000-0000-0000D0AE0000}"/>
    <cellStyle name="Normal 426 2 2 2 3 2" xfId="43554" xr:uid="{00000000-0005-0000-0000-0000D1AE0000}"/>
    <cellStyle name="Normal 426 2 2 2 3 3" xfId="43555" xr:uid="{00000000-0005-0000-0000-0000D2AE0000}"/>
    <cellStyle name="Normal 426 2 2 2 4" xfId="43556" xr:uid="{00000000-0005-0000-0000-0000D3AE0000}"/>
    <cellStyle name="Normal 426 2 2 2 5" xfId="43557" xr:uid="{00000000-0005-0000-0000-0000D4AE0000}"/>
    <cellStyle name="Normal 426 2 2 2 6" xfId="43558" xr:uid="{00000000-0005-0000-0000-0000D5AE0000}"/>
    <cellStyle name="Normal 426 2 2 3" xfId="43559" xr:uid="{00000000-0005-0000-0000-0000D6AE0000}"/>
    <cellStyle name="Normal 426 2 2 3 2" xfId="43560" xr:uid="{00000000-0005-0000-0000-0000D7AE0000}"/>
    <cellStyle name="Normal 426 2 2 3 3" xfId="43561" xr:uid="{00000000-0005-0000-0000-0000D8AE0000}"/>
    <cellStyle name="Normal 426 2 2 4" xfId="43562" xr:uid="{00000000-0005-0000-0000-0000D9AE0000}"/>
    <cellStyle name="Normal 426 2 2 4 2" xfId="43563" xr:uid="{00000000-0005-0000-0000-0000DAAE0000}"/>
    <cellStyle name="Normal 426 2 2 4 3" xfId="43564" xr:uid="{00000000-0005-0000-0000-0000DBAE0000}"/>
    <cellStyle name="Normal 426 2 2 5" xfId="43565" xr:uid="{00000000-0005-0000-0000-0000DCAE0000}"/>
    <cellStyle name="Normal 426 2 2 6" xfId="43566" xr:uid="{00000000-0005-0000-0000-0000DDAE0000}"/>
    <cellStyle name="Normal 426 2 2 7" xfId="43567" xr:uid="{00000000-0005-0000-0000-0000DEAE0000}"/>
    <cellStyle name="Normal 426 2 2 8" xfId="43568" xr:uid="{00000000-0005-0000-0000-0000DFAE0000}"/>
    <cellStyle name="Normal 426 2 3" xfId="43569" xr:uid="{00000000-0005-0000-0000-0000E0AE0000}"/>
    <cellStyle name="Normal 426 2 3 2" xfId="43570" xr:uid="{00000000-0005-0000-0000-0000E1AE0000}"/>
    <cellStyle name="Normal 426 2 3 2 2" xfId="43571" xr:uid="{00000000-0005-0000-0000-0000E2AE0000}"/>
    <cellStyle name="Normal 426 2 3 2 3" xfId="43572" xr:uid="{00000000-0005-0000-0000-0000E3AE0000}"/>
    <cellStyle name="Normal 426 2 3 3" xfId="43573" xr:uid="{00000000-0005-0000-0000-0000E4AE0000}"/>
    <cellStyle name="Normal 426 2 3 3 2" xfId="43574" xr:uid="{00000000-0005-0000-0000-0000E5AE0000}"/>
    <cellStyle name="Normal 426 2 3 3 3" xfId="43575" xr:uid="{00000000-0005-0000-0000-0000E6AE0000}"/>
    <cellStyle name="Normal 426 2 3 4" xfId="43576" xr:uid="{00000000-0005-0000-0000-0000E7AE0000}"/>
    <cellStyle name="Normal 426 2 3 5" xfId="43577" xr:uid="{00000000-0005-0000-0000-0000E8AE0000}"/>
    <cellStyle name="Normal 426 2 3 6" xfId="43578" xr:uid="{00000000-0005-0000-0000-0000E9AE0000}"/>
    <cellStyle name="Normal 426 2 4" xfId="43579" xr:uid="{00000000-0005-0000-0000-0000EAAE0000}"/>
    <cellStyle name="Normal 426 2 4 2" xfId="43580" xr:uid="{00000000-0005-0000-0000-0000EBAE0000}"/>
    <cellStyle name="Normal 426 2 4 3" xfId="43581" xr:uid="{00000000-0005-0000-0000-0000ECAE0000}"/>
    <cellStyle name="Normal 426 2 5" xfId="43582" xr:uid="{00000000-0005-0000-0000-0000EDAE0000}"/>
    <cellStyle name="Normal 426 2 5 2" xfId="43583" xr:uid="{00000000-0005-0000-0000-0000EEAE0000}"/>
    <cellStyle name="Normal 426 2 5 3" xfId="43584" xr:uid="{00000000-0005-0000-0000-0000EFAE0000}"/>
    <cellStyle name="Normal 426 2 6" xfId="43585" xr:uid="{00000000-0005-0000-0000-0000F0AE0000}"/>
    <cellStyle name="Normal 426 2 7" xfId="43586" xr:uid="{00000000-0005-0000-0000-0000F1AE0000}"/>
    <cellStyle name="Normal 426 2 8" xfId="43587" xr:uid="{00000000-0005-0000-0000-0000F2AE0000}"/>
    <cellStyle name="Normal 426 2 9" xfId="43588" xr:uid="{00000000-0005-0000-0000-0000F3AE0000}"/>
    <cellStyle name="Normal 426 3" xfId="43589" xr:uid="{00000000-0005-0000-0000-0000F4AE0000}"/>
    <cellStyle name="Normal 426 3 2" xfId="43590" xr:uid="{00000000-0005-0000-0000-0000F5AE0000}"/>
    <cellStyle name="Normal 426 3 2 2" xfId="43591" xr:uid="{00000000-0005-0000-0000-0000F6AE0000}"/>
    <cellStyle name="Normal 426 3 2 2 2" xfId="43592" xr:uid="{00000000-0005-0000-0000-0000F7AE0000}"/>
    <cellStyle name="Normal 426 3 2 2 3" xfId="43593" xr:uid="{00000000-0005-0000-0000-0000F8AE0000}"/>
    <cellStyle name="Normal 426 3 2 3" xfId="43594" xr:uid="{00000000-0005-0000-0000-0000F9AE0000}"/>
    <cellStyle name="Normal 426 3 2 3 2" xfId="43595" xr:uid="{00000000-0005-0000-0000-0000FAAE0000}"/>
    <cellStyle name="Normal 426 3 2 3 3" xfId="43596" xr:uid="{00000000-0005-0000-0000-0000FBAE0000}"/>
    <cellStyle name="Normal 426 3 2 4" xfId="43597" xr:uid="{00000000-0005-0000-0000-0000FCAE0000}"/>
    <cellStyle name="Normal 426 3 2 5" xfId="43598" xr:uid="{00000000-0005-0000-0000-0000FDAE0000}"/>
    <cellStyle name="Normal 426 3 2 6" xfId="43599" xr:uid="{00000000-0005-0000-0000-0000FEAE0000}"/>
    <cellStyle name="Normal 426 3 3" xfId="43600" xr:uid="{00000000-0005-0000-0000-0000FFAE0000}"/>
    <cellStyle name="Normal 426 3 3 2" xfId="43601" xr:uid="{00000000-0005-0000-0000-000000AF0000}"/>
    <cellStyle name="Normal 426 3 3 3" xfId="43602" xr:uid="{00000000-0005-0000-0000-000001AF0000}"/>
    <cellStyle name="Normal 426 3 4" xfId="43603" xr:uid="{00000000-0005-0000-0000-000002AF0000}"/>
    <cellStyle name="Normal 426 3 4 2" xfId="43604" xr:uid="{00000000-0005-0000-0000-000003AF0000}"/>
    <cellStyle name="Normal 426 3 4 3" xfId="43605" xr:uid="{00000000-0005-0000-0000-000004AF0000}"/>
    <cellStyle name="Normal 426 3 5" xfId="43606" xr:uid="{00000000-0005-0000-0000-000005AF0000}"/>
    <cellStyle name="Normal 426 3 6" xfId="43607" xr:uid="{00000000-0005-0000-0000-000006AF0000}"/>
    <cellStyle name="Normal 426 3 7" xfId="43608" xr:uid="{00000000-0005-0000-0000-000007AF0000}"/>
    <cellStyle name="Normal 426 3 8" xfId="43609" xr:uid="{00000000-0005-0000-0000-000008AF0000}"/>
    <cellStyle name="Normal 426 4" xfId="43610" xr:uid="{00000000-0005-0000-0000-000009AF0000}"/>
    <cellStyle name="Normal 426 4 2" xfId="43611" xr:uid="{00000000-0005-0000-0000-00000AAF0000}"/>
    <cellStyle name="Normal 426 4 2 2" xfId="43612" xr:uid="{00000000-0005-0000-0000-00000BAF0000}"/>
    <cellStyle name="Normal 426 4 2 3" xfId="43613" xr:uid="{00000000-0005-0000-0000-00000CAF0000}"/>
    <cellStyle name="Normal 426 4 3" xfId="43614" xr:uid="{00000000-0005-0000-0000-00000DAF0000}"/>
    <cellStyle name="Normal 426 4 3 2" xfId="43615" xr:uid="{00000000-0005-0000-0000-00000EAF0000}"/>
    <cellStyle name="Normal 426 4 3 3" xfId="43616" xr:uid="{00000000-0005-0000-0000-00000FAF0000}"/>
    <cellStyle name="Normal 426 4 4" xfId="43617" xr:uid="{00000000-0005-0000-0000-000010AF0000}"/>
    <cellStyle name="Normal 426 4 5" xfId="43618" xr:uid="{00000000-0005-0000-0000-000011AF0000}"/>
    <cellStyle name="Normal 426 4 6" xfId="43619" xr:uid="{00000000-0005-0000-0000-000012AF0000}"/>
    <cellStyle name="Normal 426 5" xfId="43620" xr:uid="{00000000-0005-0000-0000-000013AF0000}"/>
    <cellStyle name="Normal 426 5 2" xfId="43621" xr:uid="{00000000-0005-0000-0000-000014AF0000}"/>
    <cellStyle name="Normal 426 5 3" xfId="43622" xr:uid="{00000000-0005-0000-0000-000015AF0000}"/>
    <cellStyle name="Normal 426 6" xfId="43623" xr:uid="{00000000-0005-0000-0000-000016AF0000}"/>
    <cellStyle name="Normal 426 6 2" xfId="43624" xr:uid="{00000000-0005-0000-0000-000017AF0000}"/>
    <cellStyle name="Normal 426 6 3" xfId="43625" xr:uid="{00000000-0005-0000-0000-000018AF0000}"/>
    <cellStyle name="Normal 426 7" xfId="43626" xr:uid="{00000000-0005-0000-0000-000019AF0000}"/>
    <cellStyle name="Normal 426 8" xfId="43627" xr:uid="{00000000-0005-0000-0000-00001AAF0000}"/>
    <cellStyle name="Normal 426 9" xfId="43628" xr:uid="{00000000-0005-0000-0000-00001BAF0000}"/>
    <cellStyle name="Normal 427" xfId="3481" xr:uid="{00000000-0005-0000-0000-00001CAF0000}"/>
    <cellStyle name="Normal 427 10" xfId="43629" xr:uid="{00000000-0005-0000-0000-00001DAF0000}"/>
    <cellStyle name="Normal 427 11" xfId="43630" xr:uid="{00000000-0005-0000-0000-00001EAF0000}"/>
    <cellStyle name="Normal 427 2" xfId="3482" xr:uid="{00000000-0005-0000-0000-00001FAF0000}"/>
    <cellStyle name="Normal 427 2 10" xfId="43631" xr:uid="{00000000-0005-0000-0000-000020AF0000}"/>
    <cellStyle name="Normal 427 2 2" xfId="43632" xr:uid="{00000000-0005-0000-0000-000021AF0000}"/>
    <cellStyle name="Normal 427 2 2 2" xfId="43633" xr:uid="{00000000-0005-0000-0000-000022AF0000}"/>
    <cellStyle name="Normal 427 2 2 2 2" xfId="43634" xr:uid="{00000000-0005-0000-0000-000023AF0000}"/>
    <cellStyle name="Normal 427 2 2 2 2 2" xfId="43635" xr:uid="{00000000-0005-0000-0000-000024AF0000}"/>
    <cellStyle name="Normal 427 2 2 2 2 3" xfId="43636" xr:uid="{00000000-0005-0000-0000-000025AF0000}"/>
    <cellStyle name="Normal 427 2 2 2 3" xfId="43637" xr:uid="{00000000-0005-0000-0000-000026AF0000}"/>
    <cellStyle name="Normal 427 2 2 2 3 2" xfId="43638" xr:uid="{00000000-0005-0000-0000-000027AF0000}"/>
    <cellStyle name="Normal 427 2 2 2 3 3" xfId="43639" xr:uid="{00000000-0005-0000-0000-000028AF0000}"/>
    <cellStyle name="Normal 427 2 2 2 4" xfId="43640" xr:uid="{00000000-0005-0000-0000-000029AF0000}"/>
    <cellStyle name="Normal 427 2 2 2 5" xfId="43641" xr:uid="{00000000-0005-0000-0000-00002AAF0000}"/>
    <cellStyle name="Normal 427 2 2 2 6" xfId="43642" xr:uid="{00000000-0005-0000-0000-00002BAF0000}"/>
    <cellStyle name="Normal 427 2 2 3" xfId="43643" xr:uid="{00000000-0005-0000-0000-00002CAF0000}"/>
    <cellStyle name="Normal 427 2 2 3 2" xfId="43644" xr:uid="{00000000-0005-0000-0000-00002DAF0000}"/>
    <cellStyle name="Normal 427 2 2 3 3" xfId="43645" xr:uid="{00000000-0005-0000-0000-00002EAF0000}"/>
    <cellStyle name="Normal 427 2 2 4" xfId="43646" xr:uid="{00000000-0005-0000-0000-00002FAF0000}"/>
    <cellStyle name="Normal 427 2 2 4 2" xfId="43647" xr:uid="{00000000-0005-0000-0000-000030AF0000}"/>
    <cellStyle name="Normal 427 2 2 4 3" xfId="43648" xr:uid="{00000000-0005-0000-0000-000031AF0000}"/>
    <cellStyle name="Normal 427 2 2 5" xfId="43649" xr:uid="{00000000-0005-0000-0000-000032AF0000}"/>
    <cellStyle name="Normal 427 2 2 6" xfId="43650" xr:uid="{00000000-0005-0000-0000-000033AF0000}"/>
    <cellStyle name="Normal 427 2 2 7" xfId="43651" xr:uid="{00000000-0005-0000-0000-000034AF0000}"/>
    <cellStyle name="Normal 427 2 2 8" xfId="43652" xr:uid="{00000000-0005-0000-0000-000035AF0000}"/>
    <cellStyle name="Normal 427 2 3" xfId="43653" xr:uid="{00000000-0005-0000-0000-000036AF0000}"/>
    <cellStyle name="Normal 427 2 3 2" xfId="43654" xr:uid="{00000000-0005-0000-0000-000037AF0000}"/>
    <cellStyle name="Normal 427 2 3 2 2" xfId="43655" xr:uid="{00000000-0005-0000-0000-000038AF0000}"/>
    <cellStyle name="Normal 427 2 3 2 3" xfId="43656" xr:uid="{00000000-0005-0000-0000-000039AF0000}"/>
    <cellStyle name="Normal 427 2 3 3" xfId="43657" xr:uid="{00000000-0005-0000-0000-00003AAF0000}"/>
    <cellStyle name="Normal 427 2 3 3 2" xfId="43658" xr:uid="{00000000-0005-0000-0000-00003BAF0000}"/>
    <cellStyle name="Normal 427 2 3 3 3" xfId="43659" xr:uid="{00000000-0005-0000-0000-00003CAF0000}"/>
    <cellStyle name="Normal 427 2 3 4" xfId="43660" xr:uid="{00000000-0005-0000-0000-00003DAF0000}"/>
    <cellStyle name="Normal 427 2 3 5" xfId="43661" xr:uid="{00000000-0005-0000-0000-00003EAF0000}"/>
    <cellStyle name="Normal 427 2 3 6" xfId="43662" xr:uid="{00000000-0005-0000-0000-00003FAF0000}"/>
    <cellStyle name="Normal 427 2 4" xfId="43663" xr:uid="{00000000-0005-0000-0000-000040AF0000}"/>
    <cellStyle name="Normal 427 2 4 2" xfId="43664" xr:uid="{00000000-0005-0000-0000-000041AF0000}"/>
    <cellStyle name="Normal 427 2 4 3" xfId="43665" xr:uid="{00000000-0005-0000-0000-000042AF0000}"/>
    <cellStyle name="Normal 427 2 5" xfId="43666" xr:uid="{00000000-0005-0000-0000-000043AF0000}"/>
    <cellStyle name="Normal 427 2 5 2" xfId="43667" xr:uid="{00000000-0005-0000-0000-000044AF0000}"/>
    <cellStyle name="Normal 427 2 5 3" xfId="43668" xr:uid="{00000000-0005-0000-0000-000045AF0000}"/>
    <cellStyle name="Normal 427 2 6" xfId="43669" xr:uid="{00000000-0005-0000-0000-000046AF0000}"/>
    <cellStyle name="Normal 427 2 7" xfId="43670" xr:uid="{00000000-0005-0000-0000-000047AF0000}"/>
    <cellStyle name="Normal 427 2 8" xfId="43671" xr:uid="{00000000-0005-0000-0000-000048AF0000}"/>
    <cellStyle name="Normal 427 2 9" xfId="43672" xr:uid="{00000000-0005-0000-0000-000049AF0000}"/>
    <cellStyle name="Normal 427 3" xfId="43673" xr:uid="{00000000-0005-0000-0000-00004AAF0000}"/>
    <cellStyle name="Normal 427 3 2" xfId="43674" xr:uid="{00000000-0005-0000-0000-00004BAF0000}"/>
    <cellStyle name="Normal 427 3 2 2" xfId="43675" xr:uid="{00000000-0005-0000-0000-00004CAF0000}"/>
    <cellStyle name="Normal 427 3 2 2 2" xfId="43676" xr:uid="{00000000-0005-0000-0000-00004DAF0000}"/>
    <cellStyle name="Normal 427 3 2 2 3" xfId="43677" xr:uid="{00000000-0005-0000-0000-00004EAF0000}"/>
    <cellStyle name="Normal 427 3 2 3" xfId="43678" xr:uid="{00000000-0005-0000-0000-00004FAF0000}"/>
    <cellStyle name="Normal 427 3 2 3 2" xfId="43679" xr:uid="{00000000-0005-0000-0000-000050AF0000}"/>
    <cellStyle name="Normal 427 3 2 3 3" xfId="43680" xr:uid="{00000000-0005-0000-0000-000051AF0000}"/>
    <cellStyle name="Normal 427 3 2 4" xfId="43681" xr:uid="{00000000-0005-0000-0000-000052AF0000}"/>
    <cellStyle name="Normal 427 3 2 5" xfId="43682" xr:uid="{00000000-0005-0000-0000-000053AF0000}"/>
    <cellStyle name="Normal 427 3 2 6" xfId="43683" xr:uid="{00000000-0005-0000-0000-000054AF0000}"/>
    <cellStyle name="Normal 427 3 3" xfId="43684" xr:uid="{00000000-0005-0000-0000-000055AF0000}"/>
    <cellStyle name="Normal 427 3 3 2" xfId="43685" xr:uid="{00000000-0005-0000-0000-000056AF0000}"/>
    <cellStyle name="Normal 427 3 3 3" xfId="43686" xr:uid="{00000000-0005-0000-0000-000057AF0000}"/>
    <cellStyle name="Normal 427 3 4" xfId="43687" xr:uid="{00000000-0005-0000-0000-000058AF0000}"/>
    <cellStyle name="Normal 427 3 4 2" xfId="43688" xr:uid="{00000000-0005-0000-0000-000059AF0000}"/>
    <cellStyle name="Normal 427 3 4 3" xfId="43689" xr:uid="{00000000-0005-0000-0000-00005AAF0000}"/>
    <cellStyle name="Normal 427 3 5" xfId="43690" xr:uid="{00000000-0005-0000-0000-00005BAF0000}"/>
    <cellStyle name="Normal 427 3 6" xfId="43691" xr:uid="{00000000-0005-0000-0000-00005CAF0000}"/>
    <cellStyle name="Normal 427 3 7" xfId="43692" xr:uid="{00000000-0005-0000-0000-00005DAF0000}"/>
    <cellStyle name="Normal 427 3 8" xfId="43693" xr:uid="{00000000-0005-0000-0000-00005EAF0000}"/>
    <cellStyle name="Normal 427 4" xfId="43694" xr:uid="{00000000-0005-0000-0000-00005FAF0000}"/>
    <cellStyle name="Normal 427 4 2" xfId="43695" xr:uid="{00000000-0005-0000-0000-000060AF0000}"/>
    <cellStyle name="Normal 427 4 2 2" xfId="43696" xr:uid="{00000000-0005-0000-0000-000061AF0000}"/>
    <cellStyle name="Normal 427 4 2 3" xfId="43697" xr:uid="{00000000-0005-0000-0000-000062AF0000}"/>
    <cellStyle name="Normal 427 4 3" xfId="43698" xr:uid="{00000000-0005-0000-0000-000063AF0000}"/>
    <cellStyle name="Normal 427 4 3 2" xfId="43699" xr:uid="{00000000-0005-0000-0000-000064AF0000}"/>
    <cellStyle name="Normal 427 4 3 3" xfId="43700" xr:uid="{00000000-0005-0000-0000-000065AF0000}"/>
    <cellStyle name="Normal 427 4 4" xfId="43701" xr:uid="{00000000-0005-0000-0000-000066AF0000}"/>
    <cellStyle name="Normal 427 4 5" xfId="43702" xr:uid="{00000000-0005-0000-0000-000067AF0000}"/>
    <cellStyle name="Normal 427 4 6" xfId="43703" xr:uid="{00000000-0005-0000-0000-000068AF0000}"/>
    <cellStyle name="Normal 427 5" xfId="43704" xr:uid="{00000000-0005-0000-0000-000069AF0000}"/>
    <cellStyle name="Normal 427 5 2" xfId="43705" xr:uid="{00000000-0005-0000-0000-00006AAF0000}"/>
    <cellStyle name="Normal 427 5 3" xfId="43706" xr:uid="{00000000-0005-0000-0000-00006BAF0000}"/>
    <cellStyle name="Normal 427 6" xfId="43707" xr:uid="{00000000-0005-0000-0000-00006CAF0000}"/>
    <cellStyle name="Normal 427 6 2" xfId="43708" xr:uid="{00000000-0005-0000-0000-00006DAF0000}"/>
    <cellStyle name="Normal 427 6 3" xfId="43709" xr:uid="{00000000-0005-0000-0000-00006EAF0000}"/>
    <cellStyle name="Normal 427 7" xfId="43710" xr:uid="{00000000-0005-0000-0000-00006FAF0000}"/>
    <cellStyle name="Normal 427 8" xfId="43711" xr:uid="{00000000-0005-0000-0000-000070AF0000}"/>
    <cellStyle name="Normal 427 9" xfId="43712" xr:uid="{00000000-0005-0000-0000-000071AF0000}"/>
    <cellStyle name="Normal 428" xfId="3483" xr:uid="{00000000-0005-0000-0000-000072AF0000}"/>
    <cellStyle name="Normal 428 10" xfId="43713" xr:uid="{00000000-0005-0000-0000-000073AF0000}"/>
    <cellStyle name="Normal 428 11" xfId="43714" xr:uid="{00000000-0005-0000-0000-000074AF0000}"/>
    <cellStyle name="Normal 428 2" xfId="43715" xr:uid="{00000000-0005-0000-0000-000075AF0000}"/>
    <cellStyle name="Normal 428 2 2" xfId="43716" xr:uid="{00000000-0005-0000-0000-000076AF0000}"/>
    <cellStyle name="Normal 428 2 2 2" xfId="43717" xr:uid="{00000000-0005-0000-0000-000077AF0000}"/>
    <cellStyle name="Normal 428 2 2 2 2" xfId="43718" xr:uid="{00000000-0005-0000-0000-000078AF0000}"/>
    <cellStyle name="Normal 428 2 2 2 2 2" xfId="43719" xr:uid="{00000000-0005-0000-0000-000079AF0000}"/>
    <cellStyle name="Normal 428 2 2 2 2 3" xfId="43720" xr:uid="{00000000-0005-0000-0000-00007AAF0000}"/>
    <cellStyle name="Normal 428 2 2 2 3" xfId="43721" xr:uid="{00000000-0005-0000-0000-00007BAF0000}"/>
    <cellStyle name="Normal 428 2 2 2 3 2" xfId="43722" xr:uid="{00000000-0005-0000-0000-00007CAF0000}"/>
    <cellStyle name="Normal 428 2 2 2 3 3" xfId="43723" xr:uid="{00000000-0005-0000-0000-00007DAF0000}"/>
    <cellStyle name="Normal 428 2 2 2 4" xfId="43724" xr:uid="{00000000-0005-0000-0000-00007EAF0000}"/>
    <cellStyle name="Normal 428 2 2 2 5" xfId="43725" xr:uid="{00000000-0005-0000-0000-00007FAF0000}"/>
    <cellStyle name="Normal 428 2 2 2 6" xfId="43726" xr:uid="{00000000-0005-0000-0000-000080AF0000}"/>
    <cellStyle name="Normal 428 2 2 3" xfId="43727" xr:uid="{00000000-0005-0000-0000-000081AF0000}"/>
    <cellStyle name="Normal 428 2 2 3 2" xfId="43728" xr:uid="{00000000-0005-0000-0000-000082AF0000}"/>
    <cellStyle name="Normal 428 2 2 3 3" xfId="43729" xr:uid="{00000000-0005-0000-0000-000083AF0000}"/>
    <cellStyle name="Normal 428 2 2 4" xfId="43730" xr:uid="{00000000-0005-0000-0000-000084AF0000}"/>
    <cellStyle name="Normal 428 2 2 4 2" xfId="43731" xr:uid="{00000000-0005-0000-0000-000085AF0000}"/>
    <cellStyle name="Normal 428 2 2 4 3" xfId="43732" xr:uid="{00000000-0005-0000-0000-000086AF0000}"/>
    <cellStyle name="Normal 428 2 2 5" xfId="43733" xr:uid="{00000000-0005-0000-0000-000087AF0000}"/>
    <cellStyle name="Normal 428 2 2 6" xfId="43734" xr:uid="{00000000-0005-0000-0000-000088AF0000}"/>
    <cellStyle name="Normal 428 2 2 7" xfId="43735" xr:uid="{00000000-0005-0000-0000-000089AF0000}"/>
    <cellStyle name="Normal 428 2 2 8" xfId="43736" xr:uid="{00000000-0005-0000-0000-00008AAF0000}"/>
    <cellStyle name="Normal 428 2 3" xfId="43737" xr:uid="{00000000-0005-0000-0000-00008BAF0000}"/>
    <cellStyle name="Normal 428 2 3 2" xfId="43738" xr:uid="{00000000-0005-0000-0000-00008CAF0000}"/>
    <cellStyle name="Normal 428 2 3 2 2" xfId="43739" xr:uid="{00000000-0005-0000-0000-00008DAF0000}"/>
    <cellStyle name="Normal 428 2 3 2 3" xfId="43740" xr:uid="{00000000-0005-0000-0000-00008EAF0000}"/>
    <cellStyle name="Normal 428 2 3 3" xfId="43741" xr:uid="{00000000-0005-0000-0000-00008FAF0000}"/>
    <cellStyle name="Normal 428 2 3 3 2" xfId="43742" xr:uid="{00000000-0005-0000-0000-000090AF0000}"/>
    <cellStyle name="Normal 428 2 3 3 3" xfId="43743" xr:uid="{00000000-0005-0000-0000-000091AF0000}"/>
    <cellStyle name="Normal 428 2 3 4" xfId="43744" xr:uid="{00000000-0005-0000-0000-000092AF0000}"/>
    <cellStyle name="Normal 428 2 3 5" xfId="43745" xr:uid="{00000000-0005-0000-0000-000093AF0000}"/>
    <cellStyle name="Normal 428 2 3 6" xfId="43746" xr:uid="{00000000-0005-0000-0000-000094AF0000}"/>
    <cellStyle name="Normal 428 2 4" xfId="43747" xr:uid="{00000000-0005-0000-0000-000095AF0000}"/>
    <cellStyle name="Normal 428 2 4 2" xfId="43748" xr:uid="{00000000-0005-0000-0000-000096AF0000}"/>
    <cellStyle name="Normal 428 2 4 3" xfId="43749" xr:uid="{00000000-0005-0000-0000-000097AF0000}"/>
    <cellStyle name="Normal 428 2 5" xfId="43750" xr:uid="{00000000-0005-0000-0000-000098AF0000}"/>
    <cellStyle name="Normal 428 2 5 2" xfId="43751" xr:uid="{00000000-0005-0000-0000-000099AF0000}"/>
    <cellStyle name="Normal 428 2 5 3" xfId="43752" xr:uid="{00000000-0005-0000-0000-00009AAF0000}"/>
    <cellStyle name="Normal 428 2 6" xfId="43753" xr:uid="{00000000-0005-0000-0000-00009BAF0000}"/>
    <cellStyle name="Normal 428 2 7" xfId="43754" xr:uid="{00000000-0005-0000-0000-00009CAF0000}"/>
    <cellStyle name="Normal 428 2 8" xfId="43755" xr:uid="{00000000-0005-0000-0000-00009DAF0000}"/>
    <cellStyle name="Normal 428 2 9" xfId="43756" xr:uid="{00000000-0005-0000-0000-00009EAF0000}"/>
    <cellStyle name="Normal 428 3" xfId="43757" xr:uid="{00000000-0005-0000-0000-00009FAF0000}"/>
    <cellStyle name="Normal 428 3 2" xfId="43758" xr:uid="{00000000-0005-0000-0000-0000A0AF0000}"/>
    <cellStyle name="Normal 428 3 2 2" xfId="43759" xr:uid="{00000000-0005-0000-0000-0000A1AF0000}"/>
    <cellStyle name="Normal 428 3 2 2 2" xfId="43760" xr:uid="{00000000-0005-0000-0000-0000A2AF0000}"/>
    <cellStyle name="Normal 428 3 2 2 3" xfId="43761" xr:uid="{00000000-0005-0000-0000-0000A3AF0000}"/>
    <cellStyle name="Normal 428 3 2 3" xfId="43762" xr:uid="{00000000-0005-0000-0000-0000A4AF0000}"/>
    <cellStyle name="Normal 428 3 2 3 2" xfId="43763" xr:uid="{00000000-0005-0000-0000-0000A5AF0000}"/>
    <cellStyle name="Normal 428 3 2 3 3" xfId="43764" xr:uid="{00000000-0005-0000-0000-0000A6AF0000}"/>
    <cellStyle name="Normal 428 3 2 4" xfId="43765" xr:uid="{00000000-0005-0000-0000-0000A7AF0000}"/>
    <cellStyle name="Normal 428 3 2 5" xfId="43766" xr:uid="{00000000-0005-0000-0000-0000A8AF0000}"/>
    <cellStyle name="Normal 428 3 2 6" xfId="43767" xr:uid="{00000000-0005-0000-0000-0000A9AF0000}"/>
    <cellStyle name="Normal 428 3 3" xfId="43768" xr:uid="{00000000-0005-0000-0000-0000AAAF0000}"/>
    <cellStyle name="Normal 428 3 3 2" xfId="43769" xr:uid="{00000000-0005-0000-0000-0000ABAF0000}"/>
    <cellStyle name="Normal 428 3 3 3" xfId="43770" xr:uid="{00000000-0005-0000-0000-0000ACAF0000}"/>
    <cellStyle name="Normal 428 3 4" xfId="43771" xr:uid="{00000000-0005-0000-0000-0000ADAF0000}"/>
    <cellStyle name="Normal 428 3 4 2" xfId="43772" xr:uid="{00000000-0005-0000-0000-0000AEAF0000}"/>
    <cellStyle name="Normal 428 3 4 3" xfId="43773" xr:uid="{00000000-0005-0000-0000-0000AFAF0000}"/>
    <cellStyle name="Normal 428 3 5" xfId="43774" xr:uid="{00000000-0005-0000-0000-0000B0AF0000}"/>
    <cellStyle name="Normal 428 3 6" xfId="43775" xr:uid="{00000000-0005-0000-0000-0000B1AF0000}"/>
    <cellStyle name="Normal 428 3 7" xfId="43776" xr:uid="{00000000-0005-0000-0000-0000B2AF0000}"/>
    <cellStyle name="Normal 428 3 8" xfId="43777" xr:uid="{00000000-0005-0000-0000-0000B3AF0000}"/>
    <cellStyle name="Normal 428 4" xfId="43778" xr:uid="{00000000-0005-0000-0000-0000B4AF0000}"/>
    <cellStyle name="Normal 428 4 2" xfId="43779" xr:uid="{00000000-0005-0000-0000-0000B5AF0000}"/>
    <cellStyle name="Normal 428 4 2 2" xfId="43780" xr:uid="{00000000-0005-0000-0000-0000B6AF0000}"/>
    <cellStyle name="Normal 428 4 2 3" xfId="43781" xr:uid="{00000000-0005-0000-0000-0000B7AF0000}"/>
    <cellStyle name="Normal 428 4 3" xfId="43782" xr:uid="{00000000-0005-0000-0000-0000B8AF0000}"/>
    <cellStyle name="Normal 428 4 3 2" xfId="43783" xr:uid="{00000000-0005-0000-0000-0000B9AF0000}"/>
    <cellStyle name="Normal 428 4 3 3" xfId="43784" xr:uid="{00000000-0005-0000-0000-0000BAAF0000}"/>
    <cellStyle name="Normal 428 4 4" xfId="43785" xr:uid="{00000000-0005-0000-0000-0000BBAF0000}"/>
    <cellStyle name="Normal 428 4 5" xfId="43786" xr:uid="{00000000-0005-0000-0000-0000BCAF0000}"/>
    <cellStyle name="Normal 428 4 6" xfId="43787" xr:uid="{00000000-0005-0000-0000-0000BDAF0000}"/>
    <cellStyle name="Normal 428 5" xfId="43788" xr:uid="{00000000-0005-0000-0000-0000BEAF0000}"/>
    <cellStyle name="Normal 428 5 2" xfId="43789" xr:uid="{00000000-0005-0000-0000-0000BFAF0000}"/>
    <cellStyle name="Normal 428 5 3" xfId="43790" xr:uid="{00000000-0005-0000-0000-0000C0AF0000}"/>
    <cellStyle name="Normal 428 6" xfId="43791" xr:uid="{00000000-0005-0000-0000-0000C1AF0000}"/>
    <cellStyle name="Normal 428 6 2" xfId="43792" xr:uid="{00000000-0005-0000-0000-0000C2AF0000}"/>
    <cellStyle name="Normal 428 6 3" xfId="43793" xr:uid="{00000000-0005-0000-0000-0000C3AF0000}"/>
    <cellStyle name="Normal 428 7" xfId="43794" xr:uid="{00000000-0005-0000-0000-0000C4AF0000}"/>
    <cellStyle name="Normal 428 8" xfId="43795" xr:uid="{00000000-0005-0000-0000-0000C5AF0000}"/>
    <cellStyle name="Normal 428 9" xfId="43796" xr:uid="{00000000-0005-0000-0000-0000C6AF0000}"/>
    <cellStyle name="Normal 429" xfId="3484" xr:uid="{00000000-0005-0000-0000-0000C7AF0000}"/>
    <cellStyle name="Normal 429 10" xfId="43797" xr:uid="{00000000-0005-0000-0000-0000C8AF0000}"/>
    <cellStyle name="Normal 429 11" xfId="43798" xr:uid="{00000000-0005-0000-0000-0000C9AF0000}"/>
    <cellStyle name="Normal 429 2" xfId="43799" xr:uid="{00000000-0005-0000-0000-0000CAAF0000}"/>
    <cellStyle name="Normal 429 2 2" xfId="43800" xr:uid="{00000000-0005-0000-0000-0000CBAF0000}"/>
    <cellStyle name="Normal 429 2 2 2" xfId="43801" xr:uid="{00000000-0005-0000-0000-0000CCAF0000}"/>
    <cellStyle name="Normal 429 2 2 2 2" xfId="43802" xr:uid="{00000000-0005-0000-0000-0000CDAF0000}"/>
    <cellStyle name="Normal 429 2 2 2 2 2" xfId="43803" xr:uid="{00000000-0005-0000-0000-0000CEAF0000}"/>
    <cellStyle name="Normal 429 2 2 2 2 3" xfId="43804" xr:uid="{00000000-0005-0000-0000-0000CFAF0000}"/>
    <cellStyle name="Normal 429 2 2 2 3" xfId="43805" xr:uid="{00000000-0005-0000-0000-0000D0AF0000}"/>
    <cellStyle name="Normal 429 2 2 2 3 2" xfId="43806" xr:uid="{00000000-0005-0000-0000-0000D1AF0000}"/>
    <cellStyle name="Normal 429 2 2 2 3 3" xfId="43807" xr:uid="{00000000-0005-0000-0000-0000D2AF0000}"/>
    <cellStyle name="Normal 429 2 2 2 4" xfId="43808" xr:uid="{00000000-0005-0000-0000-0000D3AF0000}"/>
    <cellStyle name="Normal 429 2 2 2 5" xfId="43809" xr:uid="{00000000-0005-0000-0000-0000D4AF0000}"/>
    <cellStyle name="Normal 429 2 2 2 6" xfId="43810" xr:uid="{00000000-0005-0000-0000-0000D5AF0000}"/>
    <cellStyle name="Normal 429 2 2 3" xfId="43811" xr:uid="{00000000-0005-0000-0000-0000D6AF0000}"/>
    <cellStyle name="Normal 429 2 2 3 2" xfId="43812" xr:uid="{00000000-0005-0000-0000-0000D7AF0000}"/>
    <cellStyle name="Normal 429 2 2 3 3" xfId="43813" xr:uid="{00000000-0005-0000-0000-0000D8AF0000}"/>
    <cellStyle name="Normal 429 2 2 4" xfId="43814" xr:uid="{00000000-0005-0000-0000-0000D9AF0000}"/>
    <cellStyle name="Normal 429 2 2 4 2" xfId="43815" xr:uid="{00000000-0005-0000-0000-0000DAAF0000}"/>
    <cellStyle name="Normal 429 2 2 4 3" xfId="43816" xr:uid="{00000000-0005-0000-0000-0000DBAF0000}"/>
    <cellStyle name="Normal 429 2 2 5" xfId="43817" xr:uid="{00000000-0005-0000-0000-0000DCAF0000}"/>
    <cellStyle name="Normal 429 2 2 6" xfId="43818" xr:uid="{00000000-0005-0000-0000-0000DDAF0000}"/>
    <cellStyle name="Normal 429 2 2 7" xfId="43819" xr:uid="{00000000-0005-0000-0000-0000DEAF0000}"/>
    <cellStyle name="Normal 429 2 2 8" xfId="43820" xr:uid="{00000000-0005-0000-0000-0000DFAF0000}"/>
    <cellStyle name="Normal 429 2 3" xfId="43821" xr:uid="{00000000-0005-0000-0000-0000E0AF0000}"/>
    <cellStyle name="Normal 429 2 3 2" xfId="43822" xr:uid="{00000000-0005-0000-0000-0000E1AF0000}"/>
    <cellStyle name="Normal 429 2 3 2 2" xfId="43823" xr:uid="{00000000-0005-0000-0000-0000E2AF0000}"/>
    <cellStyle name="Normal 429 2 3 2 3" xfId="43824" xr:uid="{00000000-0005-0000-0000-0000E3AF0000}"/>
    <cellStyle name="Normal 429 2 3 3" xfId="43825" xr:uid="{00000000-0005-0000-0000-0000E4AF0000}"/>
    <cellStyle name="Normal 429 2 3 3 2" xfId="43826" xr:uid="{00000000-0005-0000-0000-0000E5AF0000}"/>
    <cellStyle name="Normal 429 2 3 3 3" xfId="43827" xr:uid="{00000000-0005-0000-0000-0000E6AF0000}"/>
    <cellStyle name="Normal 429 2 3 4" xfId="43828" xr:uid="{00000000-0005-0000-0000-0000E7AF0000}"/>
    <cellStyle name="Normal 429 2 3 5" xfId="43829" xr:uid="{00000000-0005-0000-0000-0000E8AF0000}"/>
    <cellStyle name="Normal 429 2 3 6" xfId="43830" xr:uid="{00000000-0005-0000-0000-0000E9AF0000}"/>
    <cellStyle name="Normal 429 2 4" xfId="43831" xr:uid="{00000000-0005-0000-0000-0000EAAF0000}"/>
    <cellStyle name="Normal 429 2 4 2" xfId="43832" xr:uid="{00000000-0005-0000-0000-0000EBAF0000}"/>
    <cellStyle name="Normal 429 2 4 3" xfId="43833" xr:uid="{00000000-0005-0000-0000-0000ECAF0000}"/>
    <cellStyle name="Normal 429 2 5" xfId="43834" xr:uid="{00000000-0005-0000-0000-0000EDAF0000}"/>
    <cellStyle name="Normal 429 2 5 2" xfId="43835" xr:uid="{00000000-0005-0000-0000-0000EEAF0000}"/>
    <cellStyle name="Normal 429 2 5 3" xfId="43836" xr:uid="{00000000-0005-0000-0000-0000EFAF0000}"/>
    <cellStyle name="Normal 429 2 6" xfId="43837" xr:uid="{00000000-0005-0000-0000-0000F0AF0000}"/>
    <cellStyle name="Normal 429 2 7" xfId="43838" xr:uid="{00000000-0005-0000-0000-0000F1AF0000}"/>
    <cellStyle name="Normal 429 2 8" xfId="43839" xr:uid="{00000000-0005-0000-0000-0000F2AF0000}"/>
    <cellStyle name="Normal 429 2 9" xfId="43840" xr:uid="{00000000-0005-0000-0000-0000F3AF0000}"/>
    <cellStyle name="Normal 429 3" xfId="43841" xr:uid="{00000000-0005-0000-0000-0000F4AF0000}"/>
    <cellStyle name="Normal 429 3 2" xfId="43842" xr:uid="{00000000-0005-0000-0000-0000F5AF0000}"/>
    <cellStyle name="Normal 429 3 2 2" xfId="43843" xr:uid="{00000000-0005-0000-0000-0000F6AF0000}"/>
    <cellStyle name="Normal 429 3 2 2 2" xfId="43844" xr:uid="{00000000-0005-0000-0000-0000F7AF0000}"/>
    <cellStyle name="Normal 429 3 2 2 3" xfId="43845" xr:uid="{00000000-0005-0000-0000-0000F8AF0000}"/>
    <cellStyle name="Normal 429 3 2 3" xfId="43846" xr:uid="{00000000-0005-0000-0000-0000F9AF0000}"/>
    <cellStyle name="Normal 429 3 2 3 2" xfId="43847" xr:uid="{00000000-0005-0000-0000-0000FAAF0000}"/>
    <cellStyle name="Normal 429 3 2 3 3" xfId="43848" xr:uid="{00000000-0005-0000-0000-0000FBAF0000}"/>
    <cellStyle name="Normal 429 3 2 4" xfId="43849" xr:uid="{00000000-0005-0000-0000-0000FCAF0000}"/>
    <cellStyle name="Normal 429 3 2 5" xfId="43850" xr:uid="{00000000-0005-0000-0000-0000FDAF0000}"/>
    <cellStyle name="Normal 429 3 2 6" xfId="43851" xr:uid="{00000000-0005-0000-0000-0000FEAF0000}"/>
    <cellStyle name="Normal 429 3 3" xfId="43852" xr:uid="{00000000-0005-0000-0000-0000FFAF0000}"/>
    <cellStyle name="Normal 429 3 3 2" xfId="43853" xr:uid="{00000000-0005-0000-0000-000000B00000}"/>
    <cellStyle name="Normal 429 3 3 3" xfId="43854" xr:uid="{00000000-0005-0000-0000-000001B00000}"/>
    <cellStyle name="Normal 429 3 4" xfId="43855" xr:uid="{00000000-0005-0000-0000-000002B00000}"/>
    <cellStyle name="Normal 429 3 4 2" xfId="43856" xr:uid="{00000000-0005-0000-0000-000003B00000}"/>
    <cellStyle name="Normal 429 3 4 3" xfId="43857" xr:uid="{00000000-0005-0000-0000-000004B00000}"/>
    <cellStyle name="Normal 429 3 5" xfId="43858" xr:uid="{00000000-0005-0000-0000-000005B00000}"/>
    <cellStyle name="Normal 429 3 6" xfId="43859" xr:uid="{00000000-0005-0000-0000-000006B00000}"/>
    <cellStyle name="Normal 429 3 7" xfId="43860" xr:uid="{00000000-0005-0000-0000-000007B00000}"/>
    <cellStyle name="Normal 429 3 8" xfId="43861" xr:uid="{00000000-0005-0000-0000-000008B00000}"/>
    <cellStyle name="Normal 429 4" xfId="43862" xr:uid="{00000000-0005-0000-0000-000009B00000}"/>
    <cellStyle name="Normal 429 4 2" xfId="43863" xr:uid="{00000000-0005-0000-0000-00000AB00000}"/>
    <cellStyle name="Normal 429 4 2 2" xfId="43864" xr:uid="{00000000-0005-0000-0000-00000BB00000}"/>
    <cellStyle name="Normal 429 4 2 3" xfId="43865" xr:uid="{00000000-0005-0000-0000-00000CB00000}"/>
    <cellStyle name="Normal 429 4 3" xfId="43866" xr:uid="{00000000-0005-0000-0000-00000DB00000}"/>
    <cellStyle name="Normal 429 4 3 2" xfId="43867" xr:uid="{00000000-0005-0000-0000-00000EB00000}"/>
    <cellStyle name="Normal 429 4 3 3" xfId="43868" xr:uid="{00000000-0005-0000-0000-00000FB00000}"/>
    <cellStyle name="Normal 429 4 4" xfId="43869" xr:uid="{00000000-0005-0000-0000-000010B00000}"/>
    <cellStyle name="Normal 429 4 5" xfId="43870" xr:uid="{00000000-0005-0000-0000-000011B00000}"/>
    <cellStyle name="Normal 429 4 6" xfId="43871" xr:uid="{00000000-0005-0000-0000-000012B00000}"/>
    <cellStyle name="Normal 429 5" xfId="43872" xr:uid="{00000000-0005-0000-0000-000013B00000}"/>
    <cellStyle name="Normal 429 5 2" xfId="43873" xr:uid="{00000000-0005-0000-0000-000014B00000}"/>
    <cellStyle name="Normal 429 5 3" xfId="43874" xr:uid="{00000000-0005-0000-0000-000015B00000}"/>
    <cellStyle name="Normal 429 6" xfId="43875" xr:uid="{00000000-0005-0000-0000-000016B00000}"/>
    <cellStyle name="Normal 429 6 2" xfId="43876" xr:uid="{00000000-0005-0000-0000-000017B00000}"/>
    <cellStyle name="Normal 429 6 3" xfId="43877" xr:uid="{00000000-0005-0000-0000-000018B00000}"/>
    <cellStyle name="Normal 429 7" xfId="43878" xr:uid="{00000000-0005-0000-0000-000019B00000}"/>
    <cellStyle name="Normal 429 8" xfId="43879" xr:uid="{00000000-0005-0000-0000-00001AB00000}"/>
    <cellStyle name="Normal 429 9" xfId="43880" xr:uid="{00000000-0005-0000-0000-00001BB00000}"/>
    <cellStyle name="Normal 43" xfId="3485" xr:uid="{00000000-0005-0000-0000-00001CB00000}"/>
    <cellStyle name="Normal 43 10" xfId="43881" xr:uid="{00000000-0005-0000-0000-00001DB00000}"/>
    <cellStyle name="Normal 43 11" xfId="43882" xr:uid="{00000000-0005-0000-0000-00001EB00000}"/>
    <cellStyle name="Normal 43 12" xfId="43883" xr:uid="{00000000-0005-0000-0000-00001FB00000}"/>
    <cellStyle name="Normal 43 2" xfId="43884" xr:uid="{00000000-0005-0000-0000-000020B00000}"/>
    <cellStyle name="Normal 43 2 10" xfId="43885" xr:uid="{00000000-0005-0000-0000-000021B00000}"/>
    <cellStyle name="Normal 43 2 2" xfId="43886" xr:uid="{00000000-0005-0000-0000-000022B00000}"/>
    <cellStyle name="Normal 43 2 2 2" xfId="43887" xr:uid="{00000000-0005-0000-0000-000023B00000}"/>
    <cellStyle name="Normal 43 2 2 2 2" xfId="43888" xr:uid="{00000000-0005-0000-0000-000024B00000}"/>
    <cellStyle name="Normal 43 2 2 2 2 2" xfId="43889" xr:uid="{00000000-0005-0000-0000-000025B00000}"/>
    <cellStyle name="Normal 43 2 2 2 2 3" xfId="43890" xr:uid="{00000000-0005-0000-0000-000026B00000}"/>
    <cellStyle name="Normal 43 2 2 2 3" xfId="43891" xr:uid="{00000000-0005-0000-0000-000027B00000}"/>
    <cellStyle name="Normal 43 2 2 2 3 2" xfId="43892" xr:uid="{00000000-0005-0000-0000-000028B00000}"/>
    <cellStyle name="Normal 43 2 2 2 3 3" xfId="43893" xr:uid="{00000000-0005-0000-0000-000029B00000}"/>
    <cellStyle name="Normal 43 2 2 2 4" xfId="43894" xr:uid="{00000000-0005-0000-0000-00002AB00000}"/>
    <cellStyle name="Normal 43 2 2 2 5" xfId="43895" xr:uid="{00000000-0005-0000-0000-00002BB00000}"/>
    <cellStyle name="Normal 43 2 2 2 6" xfId="43896" xr:uid="{00000000-0005-0000-0000-00002CB00000}"/>
    <cellStyle name="Normal 43 2 2 3" xfId="43897" xr:uid="{00000000-0005-0000-0000-00002DB00000}"/>
    <cellStyle name="Normal 43 2 2 3 2" xfId="43898" xr:uid="{00000000-0005-0000-0000-00002EB00000}"/>
    <cellStyle name="Normal 43 2 2 3 3" xfId="43899" xr:uid="{00000000-0005-0000-0000-00002FB00000}"/>
    <cellStyle name="Normal 43 2 2 4" xfId="43900" xr:uid="{00000000-0005-0000-0000-000030B00000}"/>
    <cellStyle name="Normal 43 2 2 4 2" xfId="43901" xr:uid="{00000000-0005-0000-0000-000031B00000}"/>
    <cellStyle name="Normal 43 2 2 4 3" xfId="43902" xr:uid="{00000000-0005-0000-0000-000032B00000}"/>
    <cellStyle name="Normal 43 2 2 5" xfId="43903" xr:uid="{00000000-0005-0000-0000-000033B00000}"/>
    <cellStyle name="Normal 43 2 2 6" xfId="43904" xr:uid="{00000000-0005-0000-0000-000034B00000}"/>
    <cellStyle name="Normal 43 2 2 7" xfId="43905" xr:uid="{00000000-0005-0000-0000-000035B00000}"/>
    <cellStyle name="Normal 43 2 2 8" xfId="43906" xr:uid="{00000000-0005-0000-0000-000036B00000}"/>
    <cellStyle name="Normal 43 2 3" xfId="43907" xr:uid="{00000000-0005-0000-0000-000037B00000}"/>
    <cellStyle name="Normal 43 2 3 2" xfId="43908" xr:uid="{00000000-0005-0000-0000-000038B00000}"/>
    <cellStyle name="Normal 43 2 3 2 2" xfId="43909" xr:uid="{00000000-0005-0000-0000-000039B00000}"/>
    <cellStyle name="Normal 43 2 3 2 3" xfId="43910" xr:uid="{00000000-0005-0000-0000-00003AB00000}"/>
    <cellStyle name="Normal 43 2 3 3" xfId="43911" xr:uid="{00000000-0005-0000-0000-00003BB00000}"/>
    <cellStyle name="Normal 43 2 3 3 2" xfId="43912" xr:uid="{00000000-0005-0000-0000-00003CB00000}"/>
    <cellStyle name="Normal 43 2 3 3 3" xfId="43913" xr:uid="{00000000-0005-0000-0000-00003DB00000}"/>
    <cellStyle name="Normal 43 2 3 4" xfId="43914" xr:uid="{00000000-0005-0000-0000-00003EB00000}"/>
    <cellStyle name="Normal 43 2 3 5" xfId="43915" xr:uid="{00000000-0005-0000-0000-00003FB00000}"/>
    <cellStyle name="Normal 43 2 3 6" xfId="43916" xr:uid="{00000000-0005-0000-0000-000040B00000}"/>
    <cellStyle name="Normal 43 2 4" xfId="43917" xr:uid="{00000000-0005-0000-0000-000041B00000}"/>
    <cellStyle name="Normal 43 2 4 2" xfId="43918" xr:uid="{00000000-0005-0000-0000-000042B00000}"/>
    <cellStyle name="Normal 43 2 4 3" xfId="43919" xr:uid="{00000000-0005-0000-0000-000043B00000}"/>
    <cellStyle name="Normal 43 2 5" xfId="43920" xr:uid="{00000000-0005-0000-0000-000044B00000}"/>
    <cellStyle name="Normal 43 2 5 2" xfId="43921" xr:uid="{00000000-0005-0000-0000-000045B00000}"/>
    <cellStyle name="Normal 43 2 5 3" xfId="43922" xr:uid="{00000000-0005-0000-0000-000046B00000}"/>
    <cellStyle name="Normal 43 2 6" xfId="43923" xr:uid="{00000000-0005-0000-0000-000047B00000}"/>
    <cellStyle name="Normal 43 2 7" xfId="43924" xr:uid="{00000000-0005-0000-0000-000048B00000}"/>
    <cellStyle name="Normal 43 2 8" xfId="43925" xr:uid="{00000000-0005-0000-0000-000049B00000}"/>
    <cellStyle name="Normal 43 2 9" xfId="43926" xr:uid="{00000000-0005-0000-0000-00004AB00000}"/>
    <cellStyle name="Normal 43 3" xfId="43927" xr:uid="{00000000-0005-0000-0000-00004BB00000}"/>
    <cellStyle name="Normal 43 3 2" xfId="43928" xr:uid="{00000000-0005-0000-0000-00004CB00000}"/>
    <cellStyle name="Normal 43 3 2 2" xfId="43929" xr:uid="{00000000-0005-0000-0000-00004DB00000}"/>
    <cellStyle name="Normal 43 3 2 2 2" xfId="43930" xr:uid="{00000000-0005-0000-0000-00004EB00000}"/>
    <cellStyle name="Normal 43 3 2 2 3" xfId="43931" xr:uid="{00000000-0005-0000-0000-00004FB00000}"/>
    <cellStyle name="Normal 43 3 2 3" xfId="43932" xr:uid="{00000000-0005-0000-0000-000050B00000}"/>
    <cellStyle name="Normal 43 3 2 3 2" xfId="43933" xr:uid="{00000000-0005-0000-0000-000051B00000}"/>
    <cellStyle name="Normal 43 3 2 3 3" xfId="43934" xr:uid="{00000000-0005-0000-0000-000052B00000}"/>
    <cellStyle name="Normal 43 3 2 4" xfId="43935" xr:uid="{00000000-0005-0000-0000-000053B00000}"/>
    <cellStyle name="Normal 43 3 2 5" xfId="43936" xr:uid="{00000000-0005-0000-0000-000054B00000}"/>
    <cellStyle name="Normal 43 3 2 6" xfId="43937" xr:uid="{00000000-0005-0000-0000-000055B00000}"/>
    <cellStyle name="Normal 43 3 3" xfId="43938" xr:uid="{00000000-0005-0000-0000-000056B00000}"/>
    <cellStyle name="Normal 43 3 3 2" xfId="43939" xr:uid="{00000000-0005-0000-0000-000057B00000}"/>
    <cellStyle name="Normal 43 3 3 3" xfId="43940" xr:uid="{00000000-0005-0000-0000-000058B00000}"/>
    <cellStyle name="Normal 43 3 4" xfId="43941" xr:uid="{00000000-0005-0000-0000-000059B00000}"/>
    <cellStyle name="Normal 43 3 4 2" xfId="43942" xr:uid="{00000000-0005-0000-0000-00005AB00000}"/>
    <cellStyle name="Normal 43 3 4 3" xfId="43943" xr:uid="{00000000-0005-0000-0000-00005BB00000}"/>
    <cellStyle name="Normal 43 3 5" xfId="43944" xr:uid="{00000000-0005-0000-0000-00005CB00000}"/>
    <cellStyle name="Normal 43 3 6" xfId="43945" xr:uid="{00000000-0005-0000-0000-00005DB00000}"/>
    <cellStyle name="Normal 43 3 7" xfId="43946" xr:uid="{00000000-0005-0000-0000-00005EB00000}"/>
    <cellStyle name="Normal 43 3 8" xfId="43947" xr:uid="{00000000-0005-0000-0000-00005FB00000}"/>
    <cellStyle name="Normal 43 4" xfId="43948" xr:uid="{00000000-0005-0000-0000-000060B00000}"/>
    <cellStyle name="Normal 43 4 2" xfId="43949" xr:uid="{00000000-0005-0000-0000-000061B00000}"/>
    <cellStyle name="Normal 43 4 2 2" xfId="43950" xr:uid="{00000000-0005-0000-0000-000062B00000}"/>
    <cellStyle name="Normal 43 4 2 3" xfId="43951" xr:uid="{00000000-0005-0000-0000-000063B00000}"/>
    <cellStyle name="Normal 43 4 3" xfId="43952" xr:uid="{00000000-0005-0000-0000-000064B00000}"/>
    <cellStyle name="Normal 43 4 3 2" xfId="43953" xr:uid="{00000000-0005-0000-0000-000065B00000}"/>
    <cellStyle name="Normal 43 4 3 3" xfId="43954" xr:uid="{00000000-0005-0000-0000-000066B00000}"/>
    <cellStyle name="Normal 43 4 4" xfId="43955" xr:uid="{00000000-0005-0000-0000-000067B00000}"/>
    <cellStyle name="Normal 43 4 5" xfId="43956" xr:uid="{00000000-0005-0000-0000-000068B00000}"/>
    <cellStyle name="Normal 43 4 6" xfId="43957" xr:uid="{00000000-0005-0000-0000-000069B00000}"/>
    <cellStyle name="Normal 43 5" xfId="43958" xr:uid="{00000000-0005-0000-0000-00006AB00000}"/>
    <cellStyle name="Normal 43 5 2" xfId="43959" xr:uid="{00000000-0005-0000-0000-00006BB00000}"/>
    <cellStyle name="Normal 43 5 3" xfId="43960" xr:uid="{00000000-0005-0000-0000-00006CB00000}"/>
    <cellStyle name="Normal 43 6" xfId="43961" xr:uid="{00000000-0005-0000-0000-00006DB00000}"/>
    <cellStyle name="Normal 43 6 2" xfId="43962" xr:uid="{00000000-0005-0000-0000-00006EB00000}"/>
    <cellStyle name="Normal 43 6 3" xfId="43963" xr:uid="{00000000-0005-0000-0000-00006FB00000}"/>
    <cellStyle name="Normal 43 7" xfId="43964" xr:uid="{00000000-0005-0000-0000-000070B00000}"/>
    <cellStyle name="Normal 43 8" xfId="43965" xr:uid="{00000000-0005-0000-0000-000071B00000}"/>
    <cellStyle name="Normal 43 9" xfId="43966" xr:uid="{00000000-0005-0000-0000-000072B00000}"/>
    <cellStyle name="Normal 430" xfId="3486" xr:uid="{00000000-0005-0000-0000-000073B00000}"/>
    <cellStyle name="Normal 430 10" xfId="43967" xr:uid="{00000000-0005-0000-0000-000074B00000}"/>
    <cellStyle name="Normal 430 11" xfId="43968" xr:uid="{00000000-0005-0000-0000-000075B00000}"/>
    <cellStyle name="Normal 430 2" xfId="43969" xr:uid="{00000000-0005-0000-0000-000076B00000}"/>
    <cellStyle name="Normal 430 2 2" xfId="43970" xr:uid="{00000000-0005-0000-0000-000077B00000}"/>
    <cellStyle name="Normal 430 2 2 2" xfId="43971" xr:uid="{00000000-0005-0000-0000-000078B00000}"/>
    <cellStyle name="Normal 430 2 2 2 2" xfId="43972" xr:uid="{00000000-0005-0000-0000-000079B00000}"/>
    <cellStyle name="Normal 430 2 2 2 2 2" xfId="43973" xr:uid="{00000000-0005-0000-0000-00007AB00000}"/>
    <cellStyle name="Normal 430 2 2 2 2 3" xfId="43974" xr:uid="{00000000-0005-0000-0000-00007BB00000}"/>
    <cellStyle name="Normal 430 2 2 2 3" xfId="43975" xr:uid="{00000000-0005-0000-0000-00007CB00000}"/>
    <cellStyle name="Normal 430 2 2 2 3 2" xfId="43976" xr:uid="{00000000-0005-0000-0000-00007DB00000}"/>
    <cellStyle name="Normal 430 2 2 2 3 3" xfId="43977" xr:uid="{00000000-0005-0000-0000-00007EB00000}"/>
    <cellStyle name="Normal 430 2 2 2 4" xfId="43978" xr:uid="{00000000-0005-0000-0000-00007FB00000}"/>
    <cellStyle name="Normal 430 2 2 2 5" xfId="43979" xr:uid="{00000000-0005-0000-0000-000080B00000}"/>
    <cellStyle name="Normal 430 2 2 2 6" xfId="43980" xr:uid="{00000000-0005-0000-0000-000081B00000}"/>
    <cellStyle name="Normal 430 2 2 3" xfId="43981" xr:uid="{00000000-0005-0000-0000-000082B00000}"/>
    <cellStyle name="Normal 430 2 2 3 2" xfId="43982" xr:uid="{00000000-0005-0000-0000-000083B00000}"/>
    <cellStyle name="Normal 430 2 2 3 3" xfId="43983" xr:uid="{00000000-0005-0000-0000-000084B00000}"/>
    <cellStyle name="Normal 430 2 2 4" xfId="43984" xr:uid="{00000000-0005-0000-0000-000085B00000}"/>
    <cellStyle name="Normal 430 2 2 4 2" xfId="43985" xr:uid="{00000000-0005-0000-0000-000086B00000}"/>
    <cellStyle name="Normal 430 2 2 4 3" xfId="43986" xr:uid="{00000000-0005-0000-0000-000087B00000}"/>
    <cellStyle name="Normal 430 2 2 5" xfId="43987" xr:uid="{00000000-0005-0000-0000-000088B00000}"/>
    <cellStyle name="Normal 430 2 2 6" xfId="43988" xr:uid="{00000000-0005-0000-0000-000089B00000}"/>
    <cellStyle name="Normal 430 2 2 7" xfId="43989" xr:uid="{00000000-0005-0000-0000-00008AB00000}"/>
    <cellStyle name="Normal 430 2 2 8" xfId="43990" xr:uid="{00000000-0005-0000-0000-00008BB00000}"/>
    <cellStyle name="Normal 430 2 3" xfId="43991" xr:uid="{00000000-0005-0000-0000-00008CB00000}"/>
    <cellStyle name="Normal 430 2 3 2" xfId="43992" xr:uid="{00000000-0005-0000-0000-00008DB00000}"/>
    <cellStyle name="Normal 430 2 3 2 2" xfId="43993" xr:uid="{00000000-0005-0000-0000-00008EB00000}"/>
    <cellStyle name="Normal 430 2 3 2 3" xfId="43994" xr:uid="{00000000-0005-0000-0000-00008FB00000}"/>
    <cellStyle name="Normal 430 2 3 3" xfId="43995" xr:uid="{00000000-0005-0000-0000-000090B00000}"/>
    <cellStyle name="Normal 430 2 3 3 2" xfId="43996" xr:uid="{00000000-0005-0000-0000-000091B00000}"/>
    <cellStyle name="Normal 430 2 3 3 3" xfId="43997" xr:uid="{00000000-0005-0000-0000-000092B00000}"/>
    <cellStyle name="Normal 430 2 3 4" xfId="43998" xr:uid="{00000000-0005-0000-0000-000093B00000}"/>
    <cellStyle name="Normal 430 2 3 5" xfId="43999" xr:uid="{00000000-0005-0000-0000-000094B00000}"/>
    <cellStyle name="Normal 430 2 3 6" xfId="44000" xr:uid="{00000000-0005-0000-0000-000095B00000}"/>
    <cellStyle name="Normal 430 2 4" xfId="44001" xr:uid="{00000000-0005-0000-0000-000096B00000}"/>
    <cellStyle name="Normal 430 2 4 2" xfId="44002" xr:uid="{00000000-0005-0000-0000-000097B00000}"/>
    <cellStyle name="Normal 430 2 4 3" xfId="44003" xr:uid="{00000000-0005-0000-0000-000098B00000}"/>
    <cellStyle name="Normal 430 2 5" xfId="44004" xr:uid="{00000000-0005-0000-0000-000099B00000}"/>
    <cellStyle name="Normal 430 2 5 2" xfId="44005" xr:uid="{00000000-0005-0000-0000-00009AB00000}"/>
    <cellStyle name="Normal 430 2 5 3" xfId="44006" xr:uid="{00000000-0005-0000-0000-00009BB00000}"/>
    <cellStyle name="Normal 430 2 6" xfId="44007" xr:uid="{00000000-0005-0000-0000-00009CB00000}"/>
    <cellStyle name="Normal 430 2 7" xfId="44008" xr:uid="{00000000-0005-0000-0000-00009DB00000}"/>
    <cellStyle name="Normal 430 2 8" xfId="44009" xr:uid="{00000000-0005-0000-0000-00009EB00000}"/>
    <cellStyle name="Normal 430 2 9" xfId="44010" xr:uid="{00000000-0005-0000-0000-00009FB00000}"/>
    <cellStyle name="Normal 430 3" xfId="44011" xr:uid="{00000000-0005-0000-0000-0000A0B00000}"/>
    <cellStyle name="Normal 430 3 2" xfId="44012" xr:uid="{00000000-0005-0000-0000-0000A1B00000}"/>
    <cellStyle name="Normal 430 3 2 2" xfId="44013" xr:uid="{00000000-0005-0000-0000-0000A2B00000}"/>
    <cellStyle name="Normal 430 3 2 2 2" xfId="44014" xr:uid="{00000000-0005-0000-0000-0000A3B00000}"/>
    <cellStyle name="Normal 430 3 2 2 3" xfId="44015" xr:uid="{00000000-0005-0000-0000-0000A4B00000}"/>
    <cellStyle name="Normal 430 3 2 3" xfId="44016" xr:uid="{00000000-0005-0000-0000-0000A5B00000}"/>
    <cellStyle name="Normal 430 3 2 3 2" xfId="44017" xr:uid="{00000000-0005-0000-0000-0000A6B00000}"/>
    <cellStyle name="Normal 430 3 2 3 3" xfId="44018" xr:uid="{00000000-0005-0000-0000-0000A7B00000}"/>
    <cellStyle name="Normal 430 3 2 4" xfId="44019" xr:uid="{00000000-0005-0000-0000-0000A8B00000}"/>
    <cellStyle name="Normal 430 3 2 5" xfId="44020" xr:uid="{00000000-0005-0000-0000-0000A9B00000}"/>
    <cellStyle name="Normal 430 3 2 6" xfId="44021" xr:uid="{00000000-0005-0000-0000-0000AAB00000}"/>
    <cellStyle name="Normal 430 3 3" xfId="44022" xr:uid="{00000000-0005-0000-0000-0000ABB00000}"/>
    <cellStyle name="Normal 430 3 3 2" xfId="44023" xr:uid="{00000000-0005-0000-0000-0000ACB00000}"/>
    <cellStyle name="Normal 430 3 3 3" xfId="44024" xr:uid="{00000000-0005-0000-0000-0000ADB00000}"/>
    <cellStyle name="Normal 430 3 4" xfId="44025" xr:uid="{00000000-0005-0000-0000-0000AEB00000}"/>
    <cellStyle name="Normal 430 3 4 2" xfId="44026" xr:uid="{00000000-0005-0000-0000-0000AFB00000}"/>
    <cellStyle name="Normal 430 3 4 3" xfId="44027" xr:uid="{00000000-0005-0000-0000-0000B0B00000}"/>
    <cellStyle name="Normal 430 3 5" xfId="44028" xr:uid="{00000000-0005-0000-0000-0000B1B00000}"/>
    <cellStyle name="Normal 430 3 6" xfId="44029" xr:uid="{00000000-0005-0000-0000-0000B2B00000}"/>
    <cellStyle name="Normal 430 3 7" xfId="44030" xr:uid="{00000000-0005-0000-0000-0000B3B00000}"/>
    <cellStyle name="Normal 430 3 8" xfId="44031" xr:uid="{00000000-0005-0000-0000-0000B4B00000}"/>
    <cellStyle name="Normal 430 4" xfId="44032" xr:uid="{00000000-0005-0000-0000-0000B5B00000}"/>
    <cellStyle name="Normal 430 4 2" xfId="44033" xr:uid="{00000000-0005-0000-0000-0000B6B00000}"/>
    <cellStyle name="Normal 430 4 2 2" xfId="44034" xr:uid="{00000000-0005-0000-0000-0000B7B00000}"/>
    <cellStyle name="Normal 430 4 2 3" xfId="44035" xr:uid="{00000000-0005-0000-0000-0000B8B00000}"/>
    <cellStyle name="Normal 430 4 3" xfId="44036" xr:uid="{00000000-0005-0000-0000-0000B9B00000}"/>
    <cellStyle name="Normal 430 4 3 2" xfId="44037" xr:uid="{00000000-0005-0000-0000-0000BAB00000}"/>
    <cellStyle name="Normal 430 4 3 3" xfId="44038" xr:uid="{00000000-0005-0000-0000-0000BBB00000}"/>
    <cellStyle name="Normal 430 4 4" xfId="44039" xr:uid="{00000000-0005-0000-0000-0000BCB00000}"/>
    <cellStyle name="Normal 430 4 5" xfId="44040" xr:uid="{00000000-0005-0000-0000-0000BDB00000}"/>
    <cellStyle name="Normal 430 4 6" xfId="44041" xr:uid="{00000000-0005-0000-0000-0000BEB00000}"/>
    <cellStyle name="Normal 430 5" xfId="44042" xr:uid="{00000000-0005-0000-0000-0000BFB00000}"/>
    <cellStyle name="Normal 430 5 2" xfId="44043" xr:uid="{00000000-0005-0000-0000-0000C0B00000}"/>
    <cellStyle name="Normal 430 5 3" xfId="44044" xr:uid="{00000000-0005-0000-0000-0000C1B00000}"/>
    <cellStyle name="Normal 430 6" xfId="44045" xr:uid="{00000000-0005-0000-0000-0000C2B00000}"/>
    <cellStyle name="Normal 430 6 2" xfId="44046" xr:uid="{00000000-0005-0000-0000-0000C3B00000}"/>
    <cellStyle name="Normal 430 6 3" xfId="44047" xr:uid="{00000000-0005-0000-0000-0000C4B00000}"/>
    <cellStyle name="Normal 430 7" xfId="44048" xr:uid="{00000000-0005-0000-0000-0000C5B00000}"/>
    <cellStyle name="Normal 430 8" xfId="44049" xr:uid="{00000000-0005-0000-0000-0000C6B00000}"/>
    <cellStyle name="Normal 430 9" xfId="44050" xr:uid="{00000000-0005-0000-0000-0000C7B00000}"/>
    <cellStyle name="Normal 431" xfId="3487" xr:uid="{00000000-0005-0000-0000-0000C8B00000}"/>
    <cellStyle name="Normal 431 10" xfId="44051" xr:uid="{00000000-0005-0000-0000-0000C9B00000}"/>
    <cellStyle name="Normal 431 11" xfId="44052" xr:uid="{00000000-0005-0000-0000-0000CAB00000}"/>
    <cellStyle name="Normal 431 2" xfId="44053" xr:uid="{00000000-0005-0000-0000-0000CBB00000}"/>
    <cellStyle name="Normal 431 2 2" xfId="44054" xr:uid="{00000000-0005-0000-0000-0000CCB00000}"/>
    <cellStyle name="Normal 431 2 2 2" xfId="44055" xr:uid="{00000000-0005-0000-0000-0000CDB00000}"/>
    <cellStyle name="Normal 431 2 2 2 2" xfId="44056" xr:uid="{00000000-0005-0000-0000-0000CEB00000}"/>
    <cellStyle name="Normal 431 2 2 2 2 2" xfId="44057" xr:uid="{00000000-0005-0000-0000-0000CFB00000}"/>
    <cellStyle name="Normal 431 2 2 2 2 3" xfId="44058" xr:uid="{00000000-0005-0000-0000-0000D0B00000}"/>
    <cellStyle name="Normal 431 2 2 2 3" xfId="44059" xr:uid="{00000000-0005-0000-0000-0000D1B00000}"/>
    <cellStyle name="Normal 431 2 2 2 3 2" xfId="44060" xr:uid="{00000000-0005-0000-0000-0000D2B00000}"/>
    <cellStyle name="Normal 431 2 2 2 3 3" xfId="44061" xr:uid="{00000000-0005-0000-0000-0000D3B00000}"/>
    <cellStyle name="Normal 431 2 2 2 4" xfId="44062" xr:uid="{00000000-0005-0000-0000-0000D4B00000}"/>
    <cellStyle name="Normal 431 2 2 2 5" xfId="44063" xr:uid="{00000000-0005-0000-0000-0000D5B00000}"/>
    <cellStyle name="Normal 431 2 2 2 6" xfId="44064" xr:uid="{00000000-0005-0000-0000-0000D6B00000}"/>
    <cellStyle name="Normal 431 2 2 3" xfId="44065" xr:uid="{00000000-0005-0000-0000-0000D7B00000}"/>
    <cellStyle name="Normal 431 2 2 3 2" xfId="44066" xr:uid="{00000000-0005-0000-0000-0000D8B00000}"/>
    <cellStyle name="Normal 431 2 2 3 3" xfId="44067" xr:uid="{00000000-0005-0000-0000-0000D9B00000}"/>
    <cellStyle name="Normal 431 2 2 4" xfId="44068" xr:uid="{00000000-0005-0000-0000-0000DAB00000}"/>
    <cellStyle name="Normal 431 2 2 4 2" xfId="44069" xr:uid="{00000000-0005-0000-0000-0000DBB00000}"/>
    <cellStyle name="Normal 431 2 2 4 3" xfId="44070" xr:uid="{00000000-0005-0000-0000-0000DCB00000}"/>
    <cellStyle name="Normal 431 2 2 5" xfId="44071" xr:uid="{00000000-0005-0000-0000-0000DDB00000}"/>
    <cellStyle name="Normal 431 2 2 6" xfId="44072" xr:uid="{00000000-0005-0000-0000-0000DEB00000}"/>
    <cellStyle name="Normal 431 2 2 7" xfId="44073" xr:uid="{00000000-0005-0000-0000-0000DFB00000}"/>
    <cellStyle name="Normal 431 2 2 8" xfId="44074" xr:uid="{00000000-0005-0000-0000-0000E0B00000}"/>
    <cellStyle name="Normal 431 2 3" xfId="44075" xr:uid="{00000000-0005-0000-0000-0000E1B00000}"/>
    <cellStyle name="Normal 431 2 3 2" xfId="44076" xr:uid="{00000000-0005-0000-0000-0000E2B00000}"/>
    <cellStyle name="Normal 431 2 3 2 2" xfId="44077" xr:uid="{00000000-0005-0000-0000-0000E3B00000}"/>
    <cellStyle name="Normal 431 2 3 2 3" xfId="44078" xr:uid="{00000000-0005-0000-0000-0000E4B00000}"/>
    <cellStyle name="Normal 431 2 3 3" xfId="44079" xr:uid="{00000000-0005-0000-0000-0000E5B00000}"/>
    <cellStyle name="Normal 431 2 3 3 2" xfId="44080" xr:uid="{00000000-0005-0000-0000-0000E6B00000}"/>
    <cellStyle name="Normal 431 2 3 3 3" xfId="44081" xr:uid="{00000000-0005-0000-0000-0000E7B00000}"/>
    <cellStyle name="Normal 431 2 3 4" xfId="44082" xr:uid="{00000000-0005-0000-0000-0000E8B00000}"/>
    <cellStyle name="Normal 431 2 3 5" xfId="44083" xr:uid="{00000000-0005-0000-0000-0000E9B00000}"/>
    <cellStyle name="Normal 431 2 3 6" xfId="44084" xr:uid="{00000000-0005-0000-0000-0000EAB00000}"/>
    <cellStyle name="Normal 431 2 4" xfId="44085" xr:uid="{00000000-0005-0000-0000-0000EBB00000}"/>
    <cellStyle name="Normal 431 2 4 2" xfId="44086" xr:uid="{00000000-0005-0000-0000-0000ECB00000}"/>
    <cellStyle name="Normal 431 2 4 3" xfId="44087" xr:uid="{00000000-0005-0000-0000-0000EDB00000}"/>
    <cellStyle name="Normal 431 2 5" xfId="44088" xr:uid="{00000000-0005-0000-0000-0000EEB00000}"/>
    <cellStyle name="Normal 431 2 5 2" xfId="44089" xr:uid="{00000000-0005-0000-0000-0000EFB00000}"/>
    <cellStyle name="Normal 431 2 5 3" xfId="44090" xr:uid="{00000000-0005-0000-0000-0000F0B00000}"/>
    <cellStyle name="Normal 431 2 6" xfId="44091" xr:uid="{00000000-0005-0000-0000-0000F1B00000}"/>
    <cellStyle name="Normal 431 2 7" xfId="44092" xr:uid="{00000000-0005-0000-0000-0000F2B00000}"/>
    <cellStyle name="Normal 431 2 8" xfId="44093" xr:uid="{00000000-0005-0000-0000-0000F3B00000}"/>
    <cellStyle name="Normal 431 2 9" xfId="44094" xr:uid="{00000000-0005-0000-0000-0000F4B00000}"/>
    <cellStyle name="Normal 431 3" xfId="44095" xr:uid="{00000000-0005-0000-0000-0000F5B00000}"/>
    <cellStyle name="Normal 431 3 2" xfId="44096" xr:uid="{00000000-0005-0000-0000-0000F6B00000}"/>
    <cellStyle name="Normal 431 3 2 2" xfId="44097" xr:uid="{00000000-0005-0000-0000-0000F7B00000}"/>
    <cellStyle name="Normal 431 3 2 2 2" xfId="44098" xr:uid="{00000000-0005-0000-0000-0000F8B00000}"/>
    <cellStyle name="Normal 431 3 2 2 3" xfId="44099" xr:uid="{00000000-0005-0000-0000-0000F9B00000}"/>
    <cellStyle name="Normal 431 3 2 3" xfId="44100" xr:uid="{00000000-0005-0000-0000-0000FAB00000}"/>
    <cellStyle name="Normal 431 3 2 3 2" xfId="44101" xr:uid="{00000000-0005-0000-0000-0000FBB00000}"/>
    <cellStyle name="Normal 431 3 2 3 3" xfId="44102" xr:uid="{00000000-0005-0000-0000-0000FCB00000}"/>
    <cellStyle name="Normal 431 3 2 4" xfId="44103" xr:uid="{00000000-0005-0000-0000-0000FDB00000}"/>
    <cellStyle name="Normal 431 3 2 5" xfId="44104" xr:uid="{00000000-0005-0000-0000-0000FEB00000}"/>
    <cellStyle name="Normal 431 3 2 6" xfId="44105" xr:uid="{00000000-0005-0000-0000-0000FFB00000}"/>
    <cellStyle name="Normal 431 3 3" xfId="44106" xr:uid="{00000000-0005-0000-0000-000000B10000}"/>
    <cellStyle name="Normal 431 3 3 2" xfId="44107" xr:uid="{00000000-0005-0000-0000-000001B10000}"/>
    <cellStyle name="Normal 431 3 3 3" xfId="44108" xr:uid="{00000000-0005-0000-0000-000002B10000}"/>
    <cellStyle name="Normal 431 3 4" xfId="44109" xr:uid="{00000000-0005-0000-0000-000003B10000}"/>
    <cellStyle name="Normal 431 3 4 2" xfId="44110" xr:uid="{00000000-0005-0000-0000-000004B10000}"/>
    <cellStyle name="Normal 431 3 4 3" xfId="44111" xr:uid="{00000000-0005-0000-0000-000005B10000}"/>
    <cellStyle name="Normal 431 3 5" xfId="44112" xr:uid="{00000000-0005-0000-0000-000006B10000}"/>
    <cellStyle name="Normal 431 3 6" xfId="44113" xr:uid="{00000000-0005-0000-0000-000007B10000}"/>
    <cellStyle name="Normal 431 3 7" xfId="44114" xr:uid="{00000000-0005-0000-0000-000008B10000}"/>
    <cellStyle name="Normal 431 3 8" xfId="44115" xr:uid="{00000000-0005-0000-0000-000009B10000}"/>
    <cellStyle name="Normal 431 4" xfId="44116" xr:uid="{00000000-0005-0000-0000-00000AB10000}"/>
    <cellStyle name="Normal 431 4 2" xfId="44117" xr:uid="{00000000-0005-0000-0000-00000BB10000}"/>
    <cellStyle name="Normal 431 4 2 2" xfId="44118" xr:uid="{00000000-0005-0000-0000-00000CB10000}"/>
    <cellStyle name="Normal 431 4 2 3" xfId="44119" xr:uid="{00000000-0005-0000-0000-00000DB10000}"/>
    <cellStyle name="Normal 431 4 3" xfId="44120" xr:uid="{00000000-0005-0000-0000-00000EB10000}"/>
    <cellStyle name="Normal 431 4 3 2" xfId="44121" xr:uid="{00000000-0005-0000-0000-00000FB10000}"/>
    <cellStyle name="Normal 431 4 3 3" xfId="44122" xr:uid="{00000000-0005-0000-0000-000010B10000}"/>
    <cellStyle name="Normal 431 4 4" xfId="44123" xr:uid="{00000000-0005-0000-0000-000011B10000}"/>
    <cellStyle name="Normal 431 4 5" xfId="44124" xr:uid="{00000000-0005-0000-0000-000012B10000}"/>
    <cellStyle name="Normal 431 4 6" xfId="44125" xr:uid="{00000000-0005-0000-0000-000013B10000}"/>
    <cellStyle name="Normal 431 5" xfId="44126" xr:uid="{00000000-0005-0000-0000-000014B10000}"/>
    <cellStyle name="Normal 431 5 2" xfId="44127" xr:uid="{00000000-0005-0000-0000-000015B10000}"/>
    <cellStyle name="Normal 431 5 3" xfId="44128" xr:uid="{00000000-0005-0000-0000-000016B10000}"/>
    <cellStyle name="Normal 431 6" xfId="44129" xr:uid="{00000000-0005-0000-0000-000017B10000}"/>
    <cellStyle name="Normal 431 6 2" xfId="44130" xr:uid="{00000000-0005-0000-0000-000018B10000}"/>
    <cellStyle name="Normal 431 6 3" xfId="44131" xr:uid="{00000000-0005-0000-0000-000019B10000}"/>
    <cellStyle name="Normal 431 7" xfId="44132" xr:uid="{00000000-0005-0000-0000-00001AB10000}"/>
    <cellStyle name="Normal 431 8" xfId="44133" xr:uid="{00000000-0005-0000-0000-00001BB10000}"/>
    <cellStyle name="Normal 431 9" xfId="44134" xr:uid="{00000000-0005-0000-0000-00001CB10000}"/>
    <cellStyle name="Normal 432" xfId="3488" xr:uid="{00000000-0005-0000-0000-00001DB10000}"/>
    <cellStyle name="Normal 432 10" xfId="44135" xr:uid="{00000000-0005-0000-0000-00001EB10000}"/>
    <cellStyle name="Normal 432 11" xfId="44136" xr:uid="{00000000-0005-0000-0000-00001FB10000}"/>
    <cellStyle name="Normal 432 2" xfId="44137" xr:uid="{00000000-0005-0000-0000-000020B10000}"/>
    <cellStyle name="Normal 432 2 2" xfId="44138" xr:uid="{00000000-0005-0000-0000-000021B10000}"/>
    <cellStyle name="Normal 432 2 2 2" xfId="44139" xr:uid="{00000000-0005-0000-0000-000022B10000}"/>
    <cellStyle name="Normal 432 2 2 2 2" xfId="44140" xr:uid="{00000000-0005-0000-0000-000023B10000}"/>
    <cellStyle name="Normal 432 2 2 2 2 2" xfId="44141" xr:uid="{00000000-0005-0000-0000-000024B10000}"/>
    <cellStyle name="Normal 432 2 2 2 2 3" xfId="44142" xr:uid="{00000000-0005-0000-0000-000025B10000}"/>
    <cellStyle name="Normal 432 2 2 2 3" xfId="44143" xr:uid="{00000000-0005-0000-0000-000026B10000}"/>
    <cellStyle name="Normal 432 2 2 2 3 2" xfId="44144" xr:uid="{00000000-0005-0000-0000-000027B10000}"/>
    <cellStyle name="Normal 432 2 2 2 3 3" xfId="44145" xr:uid="{00000000-0005-0000-0000-000028B10000}"/>
    <cellStyle name="Normal 432 2 2 2 4" xfId="44146" xr:uid="{00000000-0005-0000-0000-000029B10000}"/>
    <cellStyle name="Normal 432 2 2 2 5" xfId="44147" xr:uid="{00000000-0005-0000-0000-00002AB10000}"/>
    <cellStyle name="Normal 432 2 2 2 6" xfId="44148" xr:uid="{00000000-0005-0000-0000-00002BB10000}"/>
    <cellStyle name="Normal 432 2 2 3" xfId="44149" xr:uid="{00000000-0005-0000-0000-00002CB10000}"/>
    <cellStyle name="Normal 432 2 2 3 2" xfId="44150" xr:uid="{00000000-0005-0000-0000-00002DB10000}"/>
    <cellStyle name="Normal 432 2 2 3 3" xfId="44151" xr:uid="{00000000-0005-0000-0000-00002EB10000}"/>
    <cellStyle name="Normal 432 2 2 4" xfId="44152" xr:uid="{00000000-0005-0000-0000-00002FB10000}"/>
    <cellStyle name="Normal 432 2 2 4 2" xfId="44153" xr:uid="{00000000-0005-0000-0000-000030B10000}"/>
    <cellStyle name="Normal 432 2 2 4 3" xfId="44154" xr:uid="{00000000-0005-0000-0000-000031B10000}"/>
    <cellStyle name="Normal 432 2 2 5" xfId="44155" xr:uid="{00000000-0005-0000-0000-000032B10000}"/>
    <cellStyle name="Normal 432 2 2 6" xfId="44156" xr:uid="{00000000-0005-0000-0000-000033B10000}"/>
    <cellStyle name="Normal 432 2 2 7" xfId="44157" xr:uid="{00000000-0005-0000-0000-000034B10000}"/>
    <cellStyle name="Normal 432 2 2 8" xfId="44158" xr:uid="{00000000-0005-0000-0000-000035B10000}"/>
    <cellStyle name="Normal 432 2 3" xfId="44159" xr:uid="{00000000-0005-0000-0000-000036B10000}"/>
    <cellStyle name="Normal 432 2 3 2" xfId="44160" xr:uid="{00000000-0005-0000-0000-000037B10000}"/>
    <cellStyle name="Normal 432 2 3 2 2" xfId="44161" xr:uid="{00000000-0005-0000-0000-000038B10000}"/>
    <cellStyle name="Normal 432 2 3 2 3" xfId="44162" xr:uid="{00000000-0005-0000-0000-000039B10000}"/>
    <cellStyle name="Normal 432 2 3 3" xfId="44163" xr:uid="{00000000-0005-0000-0000-00003AB10000}"/>
    <cellStyle name="Normal 432 2 3 3 2" xfId="44164" xr:uid="{00000000-0005-0000-0000-00003BB10000}"/>
    <cellStyle name="Normal 432 2 3 3 3" xfId="44165" xr:uid="{00000000-0005-0000-0000-00003CB10000}"/>
    <cellStyle name="Normal 432 2 3 4" xfId="44166" xr:uid="{00000000-0005-0000-0000-00003DB10000}"/>
    <cellStyle name="Normal 432 2 3 5" xfId="44167" xr:uid="{00000000-0005-0000-0000-00003EB10000}"/>
    <cellStyle name="Normal 432 2 3 6" xfId="44168" xr:uid="{00000000-0005-0000-0000-00003FB10000}"/>
    <cellStyle name="Normal 432 2 4" xfId="44169" xr:uid="{00000000-0005-0000-0000-000040B10000}"/>
    <cellStyle name="Normal 432 2 4 2" xfId="44170" xr:uid="{00000000-0005-0000-0000-000041B10000}"/>
    <cellStyle name="Normal 432 2 4 3" xfId="44171" xr:uid="{00000000-0005-0000-0000-000042B10000}"/>
    <cellStyle name="Normal 432 2 5" xfId="44172" xr:uid="{00000000-0005-0000-0000-000043B10000}"/>
    <cellStyle name="Normal 432 2 5 2" xfId="44173" xr:uid="{00000000-0005-0000-0000-000044B10000}"/>
    <cellStyle name="Normal 432 2 5 3" xfId="44174" xr:uid="{00000000-0005-0000-0000-000045B10000}"/>
    <cellStyle name="Normal 432 2 6" xfId="44175" xr:uid="{00000000-0005-0000-0000-000046B10000}"/>
    <cellStyle name="Normal 432 2 7" xfId="44176" xr:uid="{00000000-0005-0000-0000-000047B10000}"/>
    <cellStyle name="Normal 432 2 8" xfId="44177" xr:uid="{00000000-0005-0000-0000-000048B10000}"/>
    <cellStyle name="Normal 432 2 9" xfId="44178" xr:uid="{00000000-0005-0000-0000-000049B10000}"/>
    <cellStyle name="Normal 432 3" xfId="44179" xr:uid="{00000000-0005-0000-0000-00004AB10000}"/>
    <cellStyle name="Normal 432 3 2" xfId="44180" xr:uid="{00000000-0005-0000-0000-00004BB10000}"/>
    <cellStyle name="Normal 432 3 2 2" xfId="44181" xr:uid="{00000000-0005-0000-0000-00004CB10000}"/>
    <cellStyle name="Normal 432 3 2 2 2" xfId="44182" xr:uid="{00000000-0005-0000-0000-00004DB10000}"/>
    <cellStyle name="Normal 432 3 2 2 3" xfId="44183" xr:uid="{00000000-0005-0000-0000-00004EB10000}"/>
    <cellStyle name="Normal 432 3 2 3" xfId="44184" xr:uid="{00000000-0005-0000-0000-00004FB10000}"/>
    <cellStyle name="Normal 432 3 2 3 2" xfId="44185" xr:uid="{00000000-0005-0000-0000-000050B10000}"/>
    <cellStyle name="Normal 432 3 2 3 3" xfId="44186" xr:uid="{00000000-0005-0000-0000-000051B10000}"/>
    <cellStyle name="Normal 432 3 2 4" xfId="44187" xr:uid="{00000000-0005-0000-0000-000052B10000}"/>
    <cellStyle name="Normal 432 3 2 5" xfId="44188" xr:uid="{00000000-0005-0000-0000-000053B10000}"/>
    <cellStyle name="Normal 432 3 2 6" xfId="44189" xr:uid="{00000000-0005-0000-0000-000054B10000}"/>
    <cellStyle name="Normal 432 3 3" xfId="44190" xr:uid="{00000000-0005-0000-0000-000055B10000}"/>
    <cellStyle name="Normal 432 3 3 2" xfId="44191" xr:uid="{00000000-0005-0000-0000-000056B10000}"/>
    <cellStyle name="Normal 432 3 3 3" xfId="44192" xr:uid="{00000000-0005-0000-0000-000057B10000}"/>
    <cellStyle name="Normal 432 3 4" xfId="44193" xr:uid="{00000000-0005-0000-0000-000058B10000}"/>
    <cellStyle name="Normal 432 3 4 2" xfId="44194" xr:uid="{00000000-0005-0000-0000-000059B10000}"/>
    <cellStyle name="Normal 432 3 4 3" xfId="44195" xr:uid="{00000000-0005-0000-0000-00005AB10000}"/>
    <cellStyle name="Normal 432 3 5" xfId="44196" xr:uid="{00000000-0005-0000-0000-00005BB10000}"/>
    <cellStyle name="Normal 432 3 6" xfId="44197" xr:uid="{00000000-0005-0000-0000-00005CB10000}"/>
    <cellStyle name="Normal 432 3 7" xfId="44198" xr:uid="{00000000-0005-0000-0000-00005DB10000}"/>
    <cellStyle name="Normal 432 3 8" xfId="44199" xr:uid="{00000000-0005-0000-0000-00005EB10000}"/>
    <cellStyle name="Normal 432 4" xfId="44200" xr:uid="{00000000-0005-0000-0000-00005FB10000}"/>
    <cellStyle name="Normal 432 4 2" xfId="44201" xr:uid="{00000000-0005-0000-0000-000060B10000}"/>
    <cellStyle name="Normal 432 4 2 2" xfId="44202" xr:uid="{00000000-0005-0000-0000-000061B10000}"/>
    <cellStyle name="Normal 432 4 2 3" xfId="44203" xr:uid="{00000000-0005-0000-0000-000062B10000}"/>
    <cellStyle name="Normal 432 4 3" xfId="44204" xr:uid="{00000000-0005-0000-0000-000063B10000}"/>
    <cellStyle name="Normal 432 4 3 2" xfId="44205" xr:uid="{00000000-0005-0000-0000-000064B10000}"/>
    <cellStyle name="Normal 432 4 3 3" xfId="44206" xr:uid="{00000000-0005-0000-0000-000065B10000}"/>
    <cellStyle name="Normal 432 4 4" xfId="44207" xr:uid="{00000000-0005-0000-0000-000066B10000}"/>
    <cellStyle name="Normal 432 4 5" xfId="44208" xr:uid="{00000000-0005-0000-0000-000067B10000}"/>
    <cellStyle name="Normal 432 4 6" xfId="44209" xr:uid="{00000000-0005-0000-0000-000068B10000}"/>
    <cellStyle name="Normal 432 5" xfId="44210" xr:uid="{00000000-0005-0000-0000-000069B10000}"/>
    <cellStyle name="Normal 432 5 2" xfId="44211" xr:uid="{00000000-0005-0000-0000-00006AB10000}"/>
    <cellStyle name="Normal 432 5 3" xfId="44212" xr:uid="{00000000-0005-0000-0000-00006BB10000}"/>
    <cellStyle name="Normal 432 6" xfId="44213" xr:uid="{00000000-0005-0000-0000-00006CB10000}"/>
    <cellStyle name="Normal 432 6 2" xfId="44214" xr:uid="{00000000-0005-0000-0000-00006DB10000}"/>
    <cellStyle name="Normal 432 6 3" xfId="44215" xr:uid="{00000000-0005-0000-0000-00006EB10000}"/>
    <cellStyle name="Normal 432 7" xfId="44216" xr:uid="{00000000-0005-0000-0000-00006FB10000}"/>
    <cellStyle name="Normal 432 8" xfId="44217" xr:uid="{00000000-0005-0000-0000-000070B10000}"/>
    <cellStyle name="Normal 432 9" xfId="44218" xr:uid="{00000000-0005-0000-0000-000071B10000}"/>
    <cellStyle name="Normal 433" xfId="3489" xr:uid="{00000000-0005-0000-0000-000072B10000}"/>
    <cellStyle name="Normal 433 10" xfId="44219" xr:uid="{00000000-0005-0000-0000-000073B10000}"/>
    <cellStyle name="Normal 433 11" xfId="44220" xr:uid="{00000000-0005-0000-0000-000074B10000}"/>
    <cellStyle name="Normal 433 2" xfId="44221" xr:uid="{00000000-0005-0000-0000-000075B10000}"/>
    <cellStyle name="Normal 433 2 2" xfId="44222" xr:uid="{00000000-0005-0000-0000-000076B10000}"/>
    <cellStyle name="Normal 433 2 2 2" xfId="44223" xr:uid="{00000000-0005-0000-0000-000077B10000}"/>
    <cellStyle name="Normal 433 2 2 2 2" xfId="44224" xr:uid="{00000000-0005-0000-0000-000078B10000}"/>
    <cellStyle name="Normal 433 2 2 2 2 2" xfId="44225" xr:uid="{00000000-0005-0000-0000-000079B10000}"/>
    <cellStyle name="Normal 433 2 2 2 2 3" xfId="44226" xr:uid="{00000000-0005-0000-0000-00007AB10000}"/>
    <cellStyle name="Normal 433 2 2 2 3" xfId="44227" xr:uid="{00000000-0005-0000-0000-00007BB10000}"/>
    <cellStyle name="Normal 433 2 2 2 3 2" xfId="44228" xr:uid="{00000000-0005-0000-0000-00007CB10000}"/>
    <cellStyle name="Normal 433 2 2 2 3 3" xfId="44229" xr:uid="{00000000-0005-0000-0000-00007DB10000}"/>
    <cellStyle name="Normal 433 2 2 2 4" xfId="44230" xr:uid="{00000000-0005-0000-0000-00007EB10000}"/>
    <cellStyle name="Normal 433 2 2 2 5" xfId="44231" xr:uid="{00000000-0005-0000-0000-00007FB10000}"/>
    <cellStyle name="Normal 433 2 2 2 6" xfId="44232" xr:uid="{00000000-0005-0000-0000-000080B10000}"/>
    <cellStyle name="Normal 433 2 2 3" xfId="44233" xr:uid="{00000000-0005-0000-0000-000081B10000}"/>
    <cellStyle name="Normal 433 2 2 3 2" xfId="44234" xr:uid="{00000000-0005-0000-0000-000082B10000}"/>
    <cellStyle name="Normal 433 2 2 3 3" xfId="44235" xr:uid="{00000000-0005-0000-0000-000083B10000}"/>
    <cellStyle name="Normal 433 2 2 4" xfId="44236" xr:uid="{00000000-0005-0000-0000-000084B10000}"/>
    <cellStyle name="Normal 433 2 2 4 2" xfId="44237" xr:uid="{00000000-0005-0000-0000-000085B10000}"/>
    <cellStyle name="Normal 433 2 2 4 3" xfId="44238" xr:uid="{00000000-0005-0000-0000-000086B10000}"/>
    <cellStyle name="Normal 433 2 2 5" xfId="44239" xr:uid="{00000000-0005-0000-0000-000087B10000}"/>
    <cellStyle name="Normal 433 2 2 6" xfId="44240" xr:uid="{00000000-0005-0000-0000-000088B10000}"/>
    <cellStyle name="Normal 433 2 2 7" xfId="44241" xr:uid="{00000000-0005-0000-0000-000089B10000}"/>
    <cellStyle name="Normal 433 2 2 8" xfId="44242" xr:uid="{00000000-0005-0000-0000-00008AB10000}"/>
    <cellStyle name="Normal 433 2 3" xfId="44243" xr:uid="{00000000-0005-0000-0000-00008BB10000}"/>
    <cellStyle name="Normal 433 2 3 2" xfId="44244" xr:uid="{00000000-0005-0000-0000-00008CB10000}"/>
    <cellStyle name="Normal 433 2 3 2 2" xfId="44245" xr:uid="{00000000-0005-0000-0000-00008DB10000}"/>
    <cellStyle name="Normal 433 2 3 2 3" xfId="44246" xr:uid="{00000000-0005-0000-0000-00008EB10000}"/>
    <cellStyle name="Normal 433 2 3 3" xfId="44247" xr:uid="{00000000-0005-0000-0000-00008FB10000}"/>
    <cellStyle name="Normal 433 2 3 3 2" xfId="44248" xr:uid="{00000000-0005-0000-0000-000090B10000}"/>
    <cellStyle name="Normal 433 2 3 3 3" xfId="44249" xr:uid="{00000000-0005-0000-0000-000091B10000}"/>
    <cellStyle name="Normal 433 2 3 4" xfId="44250" xr:uid="{00000000-0005-0000-0000-000092B10000}"/>
    <cellStyle name="Normal 433 2 3 5" xfId="44251" xr:uid="{00000000-0005-0000-0000-000093B10000}"/>
    <cellStyle name="Normal 433 2 3 6" xfId="44252" xr:uid="{00000000-0005-0000-0000-000094B10000}"/>
    <cellStyle name="Normal 433 2 4" xfId="44253" xr:uid="{00000000-0005-0000-0000-000095B10000}"/>
    <cellStyle name="Normal 433 2 4 2" xfId="44254" xr:uid="{00000000-0005-0000-0000-000096B10000}"/>
    <cellStyle name="Normal 433 2 4 3" xfId="44255" xr:uid="{00000000-0005-0000-0000-000097B10000}"/>
    <cellStyle name="Normal 433 2 5" xfId="44256" xr:uid="{00000000-0005-0000-0000-000098B10000}"/>
    <cellStyle name="Normal 433 2 5 2" xfId="44257" xr:uid="{00000000-0005-0000-0000-000099B10000}"/>
    <cellStyle name="Normal 433 2 5 3" xfId="44258" xr:uid="{00000000-0005-0000-0000-00009AB10000}"/>
    <cellStyle name="Normal 433 2 6" xfId="44259" xr:uid="{00000000-0005-0000-0000-00009BB10000}"/>
    <cellStyle name="Normal 433 2 7" xfId="44260" xr:uid="{00000000-0005-0000-0000-00009CB10000}"/>
    <cellStyle name="Normal 433 2 8" xfId="44261" xr:uid="{00000000-0005-0000-0000-00009DB10000}"/>
    <cellStyle name="Normal 433 2 9" xfId="44262" xr:uid="{00000000-0005-0000-0000-00009EB10000}"/>
    <cellStyle name="Normal 433 3" xfId="44263" xr:uid="{00000000-0005-0000-0000-00009FB10000}"/>
    <cellStyle name="Normal 433 3 2" xfId="44264" xr:uid="{00000000-0005-0000-0000-0000A0B10000}"/>
    <cellStyle name="Normal 433 3 2 2" xfId="44265" xr:uid="{00000000-0005-0000-0000-0000A1B10000}"/>
    <cellStyle name="Normal 433 3 2 2 2" xfId="44266" xr:uid="{00000000-0005-0000-0000-0000A2B10000}"/>
    <cellStyle name="Normal 433 3 2 2 3" xfId="44267" xr:uid="{00000000-0005-0000-0000-0000A3B10000}"/>
    <cellStyle name="Normal 433 3 2 3" xfId="44268" xr:uid="{00000000-0005-0000-0000-0000A4B10000}"/>
    <cellStyle name="Normal 433 3 2 3 2" xfId="44269" xr:uid="{00000000-0005-0000-0000-0000A5B10000}"/>
    <cellStyle name="Normal 433 3 2 3 3" xfId="44270" xr:uid="{00000000-0005-0000-0000-0000A6B10000}"/>
    <cellStyle name="Normal 433 3 2 4" xfId="44271" xr:uid="{00000000-0005-0000-0000-0000A7B10000}"/>
    <cellStyle name="Normal 433 3 2 5" xfId="44272" xr:uid="{00000000-0005-0000-0000-0000A8B10000}"/>
    <cellStyle name="Normal 433 3 2 6" xfId="44273" xr:uid="{00000000-0005-0000-0000-0000A9B10000}"/>
    <cellStyle name="Normal 433 3 3" xfId="44274" xr:uid="{00000000-0005-0000-0000-0000AAB10000}"/>
    <cellStyle name="Normal 433 3 3 2" xfId="44275" xr:uid="{00000000-0005-0000-0000-0000ABB10000}"/>
    <cellStyle name="Normal 433 3 3 3" xfId="44276" xr:uid="{00000000-0005-0000-0000-0000ACB10000}"/>
    <cellStyle name="Normal 433 3 4" xfId="44277" xr:uid="{00000000-0005-0000-0000-0000ADB10000}"/>
    <cellStyle name="Normal 433 3 4 2" xfId="44278" xr:uid="{00000000-0005-0000-0000-0000AEB10000}"/>
    <cellStyle name="Normal 433 3 4 3" xfId="44279" xr:uid="{00000000-0005-0000-0000-0000AFB10000}"/>
    <cellStyle name="Normal 433 3 5" xfId="44280" xr:uid="{00000000-0005-0000-0000-0000B0B10000}"/>
    <cellStyle name="Normal 433 3 6" xfId="44281" xr:uid="{00000000-0005-0000-0000-0000B1B10000}"/>
    <cellStyle name="Normal 433 3 7" xfId="44282" xr:uid="{00000000-0005-0000-0000-0000B2B10000}"/>
    <cellStyle name="Normal 433 3 8" xfId="44283" xr:uid="{00000000-0005-0000-0000-0000B3B10000}"/>
    <cellStyle name="Normal 433 4" xfId="44284" xr:uid="{00000000-0005-0000-0000-0000B4B10000}"/>
    <cellStyle name="Normal 433 4 2" xfId="44285" xr:uid="{00000000-0005-0000-0000-0000B5B10000}"/>
    <cellStyle name="Normal 433 4 2 2" xfId="44286" xr:uid="{00000000-0005-0000-0000-0000B6B10000}"/>
    <cellStyle name="Normal 433 4 2 3" xfId="44287" xr:uid="{00000000-0005-0000-0000-0000B7B10000}"/>
    <cellStyle name="Normal 433 4 3" xfId="44288" xr:uid="{00000000-0005-0000-0000-0000B8B10000}"/>
    <cellStyle name="Normal 433 4 3 2" xfId="44289" xr:uid="{00000000-0005-0000-0000-0000B9B10000}"/>
    <cellStyle name="Normal 433 4 3 3" xfId="44290" xr:uid="{00000000-0005-0000-0000-0000BAB10000}"/>
    <cellStyle name="Normal 433 4 4" xfId="44291" xr:uid="{00000000-0005-0000-0000-0000BBB10000}"/>
    <cellStyle name="Normal 433 4 5" xfId="44292" xr:uid="{00000000-0005-0000-0000-0000BCB10000}"/>
    <cellStyle name="Normal 433 4 6" xfId="44293" xr:uid="{00000000-0005-0000-0000-0000BDB10000}"/>
    <cellStyle name="Normal 433 5" xfId="44294" xr:uid="{00000000-0005-0000-0000-0000BEB10000}"/>
    <cellStyle name="Normal 433 5 2" xfId="44295" xr:uid="{00000000-0005-0000-0000-0000BFB10000}"/>
    <cellStyle name="Normal 433 5 3" xfId="44296" xr:uid="{00000000-0005-0000-0000-0000C0B10000}"/>
    <cellStyle name="Normal 433 6" xfId="44297" xr:uid="{00000000-0005-0000-0000-0000C1B10000}"/>
    <cellStyle name="Normal 433 6 2" xfId="44298" xr:uid="{00000000-0005-0000-0000-0000C2B10000}"/>
    <cellStyle name="Normal 433 6 3" xfId="44299" xr:uid="{00000000-0005-0000-0000-0000C3B10000}"/>
    <cellStyle name="Normal 433 7" xfId="44300" xr:uid="{00000000-0005-0000-0000-0000C4B10000}"/>
    <cellStyle name="Normal 433 8" xfId="44301" xr:uid="{00000000-0005-0000-0000-0000C5B10000}"/>
    <cellStyle name="Normal 433 9" xfId="44302" xr:uid="{00000000-0005-0000-0000-0000C6B10000}"/>
    <cellStyle name="Normal 434" xfId="3490" xr:uid="{00000000-0005-0000-0000-0000C7B10000}"/>
    <cellStyle name="Normal 434 10" xfId="44303" xr:uid="{00000000-0005-0000-0000-0000C8B10000}"/>
    <cellStyle name="Normal 434 11" xfId="44304" xr:uid="{00000000-0005-0000-0000-0000C9B10000}"/>
    <cellStyle name="Normal 434 2" xfId="44305" xr:uid="{00000000-0005-0000-0000-0000CAB10000}"/>
    <cellStyle name="Normal 434 2 2" xfId="44306" xr:uid="{00000000-0005-0000-0000-0000CBB10000}"/>
    <cellStyle name="Normal 434 2 2 2" xfId="44307" xr:uid="{00000000-0005-0000-0000-0000CCB10000}"/>
    <cellStyle name="Normal 434 2 2 2 2" xfId="44308" xr:uid="{00000000-0005-0000-0000-0000CDB10000}"/>
    <cellStyle name="Normal 434 2 2 2 2 2" xfId="44309" xr:uid="{00000000-0005-0000-0000-0000CEB10000}"/>
    <cellStyle name="Normal 434 2 2 2 2 3" xfId="44310" xr:uid="{00000000-0005-0000-0000-0000CFB10000}"/>
    <cellStyle name="Normal 434 2 2 2 3" xfId="44311" xr:uid="{00000000-0005-0000-0000-0000D0B10000}"/>
    <cellStyle name="Normal 434 2 2 2 3 2" xfId="44312" xr:uid="{00000000-0005-0000-0000-0000D1B10000}"/>
    <cellStyle name="Normal 434 2 2 2 3 3" xfId="44313" xr:uid="{00000000-0005-0000-0000-0000D2B10000}"/>
    <cellStyle name="Normal 434 2 2 2 4" xfId="44314" xr:uid="{00000000-0005-0000-0000-0000D3B10000}"/>
    <cellStyle name="Normal 434 2 2 2 5" xfId="44315" xr:uid="{00000000-0005-0000-0000-0000D4B10000}"/>
    <cellStyle name="Normal 434 2 2 2 6" xfId="44316" xr:uid="{00000000-0005-0000-0000-0000D5B10000}"/>
    <cellStyle name="Normal 434 2 2 3" xfId="44317" xr:uid="{00000000-0005-0000-0000-0000D6B10000}"/>
    <cellStyle name="Normal 434 2 2 3 2" xfId="44318" xr:uid="{00000000-0005-0000-0000-0000D7B10000}"/>
    <cellStyle name="Normal 434 2 2 3 3" xfId="44319" xr:uid="{00000000-0005-0000-0000-0000D8B10000}"/>
    <cellStyle name="Normal 434 2 2 4" xfId="44320" xr:uid="{00000000-0005-0000-0000-0000D9B10000}"/>
    <cellStyle name="Normal 434 2 2 4 2" xfId="44321" xr:uid="{00000000-0005-0000-0000-0000DAB10000}"/>
    <cellStyle name="Normal 434 2 2 4 3" xfId="44322" xr:uid="{00000000-0005-0000-0000-0000DBB10000}"/>
    <cellStyle name="Normal 434 2 2 5" xfId="44323" xr:uid="{00000000-0005-0000-0000-0000DCB10000}"/>
    <cellStyle name="Normal 434 2 2 6" xfId="44324" xr:uid="{00000000-0005-0000-0000-0000DDB10000}"/>
    <cellStyle name="Normal 434 2 2 7" xfId="44325" xr:uid="{00000000-0005-0000-0000-0000DEB10000}"/>
    <cellStyle name="Normal 434 2 2 8" xfId="44326" xr:uid="{00000000-0005-0000-0000-0000DFB10000}"/>
    <cellStyle name="Normal 434 2 3" xfId="44327" xr:uid="{00000000-0005-0000-0000-0000E0B10000}"/>
    <cellStyle name="Normal 434 2 3 2" xfId="44328" xr:uid="{00000000-0005-0000-0000-0000E1B10000}"/>
    <cellStyle name="Normal 434 2 3 2 2" xfId="44329" xr:uid="{00000000-0005-0000-0000-0000E2B10000}"/>
    <cellStyle name="Normal 434 2 3 2 3" xfId="44330" xr:uid="{00000000-0005-0000-0000-0000E3B10000}"/>
    <cellStyle name="Normal 434 2 3 3" xfId="44331" xr:uid="{00000000-0005-0000-0000-0000E4B10000}"/>
    <cellStyle name="Normal 434 2 3 3 2" xfId="44332" xr:uid="{00000000-0005-0000-0000-0000E5B10000}"/>
    <cellStyle name="Normal 434 2 3 3 3" xfId="44333" xr:uid="{00000000-0005-0000-0000-0000E6B10000}"/>
    <cellStyle name="Normal 434 2 3 4" xfId="44334" xr:uid="{00000000-0005-0000-0000-0000E7B10000}"/>
    <cellStyle name="Normal 434 2 3 5" xfId="44335" xr:uid="{00000000-0005-0000-0000-0000E8B10000}"/>
    <cellStyle name="Normal 434 2 3 6" xfId="44336" xr:uid="{00000000-0005-0000-0000-0000E9B10000}"/>
    <cellStyle name="Normal 434 2 4" xfId="44337" xr:uid="{00000000-0005-0000-0000-0000EAB10000}"/>
    <cellStyle name="Normal 434 2 4 2" xfId="44338" xr:uid="{00000000-0005-0000-0000-0000EBB10000}"/>
    <cellStyle name="Normal 434 2 4 3" xfId="44339" xr:uid="{00000000-0005-0000-0000-0000ECB10000}"/>
    <cellStyle name="Normal 434 2 5" xfId="44340" xr:uid="{00000000-0005-0000-0000-0000EDB10000}"/>
    <cellStyle name="Normal 434 2 5 2" xfId="44341" xr:uid="{00000000-0005-0000-0000-0000EEB10000}"/>
    <cellStyle name="Normal 434 2 5 3" xfId="44342" xr:uid="{00000000-0005-0000-0000-0000EFB10000}"/>
    <cellStyle name="Normal 434 2 6" xfId="44343" xr:uid="{00000000-0005-0000-0000-0000F0B10000}"/>
    <cellStyle name="Normal 434 2 7" xfId="44344" xr:uid="{00000000-0005-0000-0000-0000F1B10000}"/>
    <cellStyle name="Normal 434 2 8" xfId="44345" xr:uid="{00000000-0005-0000-0000-0000F2B10000}"/>
    <cellStyle name="Normal 434 2 9" xfId="44346" xr:uid="{00000000-0005-0000-0000-0000F3B10000}"/>
    <cellStyle name="Normal 434 3" xfId="44347" xr:uid="{00000000-0005-0000-0000-0000F4B10000}"/>
    <cellStyle name="Normal 434 3 2" xfId="44348" xr:uid="{00000000-0005-0000-0000-0000F5B10000}"/>
    <cellStyle name="Normal 434 3 2 2" xfId="44349" xr:uid="{00000000-0005-0000-0000-0000F6B10000}"/>
    <cellStyle name="Normal 434 3 2 2 2" xfId="44350" xr:uid="{00000000-0005-0000-0000-0000F7B10000}"/>
    <cellStyle name="Normal 434 3 2 2 3" xfId="44351" xr:uid="{00000000-0005-0000-0000-0000F8B10000}"/>
    <cellStyle name="Normal 434 3 2 3" xfId="44352" xr:uid="{00000000-0005-0000-0000-0000F9B10000}"/>
    <cellStyle name="Normal 434 3 2 3 2" xfId="44353" xr:uid="{00000000-0005-0000-0000-0000FAB10000}"/>
    <cellStyle name="Normal 434 3 2 3 3" xfId="44354" xr:uid="{00000000-0005-0000-0000-0000FBB10000}"/>
    <cellStyle name="Normal 434 3 2 4" xfId="44355" xr:uid="{00000000-0005-0000-0000-0000FCB10000}"/>
    <cellStyle name="Normal 434 3 2 5" xfId="44356" xr:uid="{00000000-0005-0000-0000-0000FDB10000}"/>
    <cellStyle name="Normal 434 3 2 6" xfId="44357" xr:uid="{00000000-0005-0000-0000-0000FEB10000}"/>
    <cellStyle name="Normal 434 3 3" xfId="44358" xr:uid="{00000000-0005-0000-0000-0000FFB10000}"/>
    <cellStyle name="Normal 434 3 3 2" xfId="44359" xr:uid="{00000000-0005-0000-0000-000000B20000}"/>
    <cellStyle name="Normal 434 3 3 3" xfId="44360" xr:uid="{00000000-0005-0000-0000-000001B20000}"/>
    <cellStyle name="Normal 434 3 4" xfId="44361" xr:uid="{00000000-0005-0000-0000-000002B20000}"/>
    <cellStyle name="Normal 434 3 4 2" xfId="44362" xr:uid="{00000000-0005-0000-0000-000003B20000}"/>
    <cellStyle name="Normal 434 3 4 3" xfId="44363" xr:uid="{00000000-0005-0000-0000-000004B20000}"/>
    <cellStyle name="Normal 434 3 5" xfId="44364" xr:uid="{00000000-0005-0000-0000-000005B20000}"/>
    <cellStyle name="Normal 434 3 6" xfId="44365" xr:uid="{00000000-0005-0000-0000-000006B20000}"/>
    <cellStyle name="Normal 434 3 7" xfId="44366" xr:uid="{00000000-0005-0000-0000-000007B20000}"/>
    <cellStyle name="Normal 434 3 8" xfId="44367" xr:uid="{00000000-0005-0000-0000-000008B20000}"/>
    <cellStyle name="Normal 434 4" xfId="44368" xr:uid="{00000000-0005-0000-0000-000009B20000}"/>
    <cellStyle name="Normal 434 4 2" xfId="44369" xr:uid="{00000000-0005-0000-0000-00000AB20000}"/>
    <cellStyle name="Normal 434 4 2 2" xfId="44370" xr:uid="{00000000-0005-0000-0000-00000BB20000}"/>
    <cellStyle name="Normal 434 4 2 3" xfId="44371" xr:uid="{00000000-0005-0000-0000-00000CB20000}"/>
    <cellStyle name="Normal 434 4 3" xfId="44372" xr:uid="{00000000-0005-0000-0000-00000DB20000}"/>
    <cellStyle name="Normal 434 4 3 2" xfId="44373" xr:uid="{00000000-0005-0000-0000-00000EB20000}"/>
    <cellStyle name="Normal 434 4 3 3" xfId="44374" xr:uid="{00000000-0005-0000-0000-00000FB20000}"/>
    <cellStyle name="Normal 434 4 4" xfId="44375" xr:uid="{00000000-0005-0000-0000-000010B20000}"/>
    <cellStyle name="Normal 434 4 5" xfId="44376" xr:uid="{00000000-0005-0000-0000-000011B20000}"/>
    <cellStyle name="Normal 434 4 6" xfId="44377" xr:uid="{00000000-0005-0000-0000-000012B20000}"/>
    <cellStyle name="Normal 434 5" xfId="44378" xr:uid="{00000000-0005-0000-0000-000013B20000}"/>
    <cellStyle name="Normal 434 5 2" xfId="44379" xr:uid="{00000000-0005-0000-0000-000014B20000}"/>
    <cellStyle name="Normal 434 5 3" xfId="44380" xr:uid="{00000000-0005-0000-0000-000015B20000}"/>
    <cellStyle name="Normal 434 6" xfId="44381" xr:uid="{00000000-0005-0000-0000-000016B20000}"/>
    <cellStyle name="Normal 434 6 2" xfId="44382" xr:uid="{00000000-0005-0000-0000-000017B20000}"/>
    <cellStyle name="Normal 434 6 3" xfId="44383" xr:uid="{00000000-0005-0000-0000-000018B20000}"/>
    <cellStyle name="Normal 434 7" xfId="44384" xr:uid="{00000000-0005-0000-0000-000019B20000}"/>
    <cellStyle name="Normal 434 8" xfId="44385" xr:uid="{00000000-0005-0000-0000-00001AB20000}"/>
    <cellStyle name="Normal 434 9" xfId="44386" xr:uid="{00000000-0005-0000-0000-00001BB20000}"/>
    <cellStyle name="Normal 435" xfId="3491" xr:uid="{00000000-0005-0000-0000-00001CB20000}"/>
    <cellStyle name="Normal 435 10" xfId="44387" xr:uid="{00000000-0005-0000-0000-00001DB20000}"/>
    <cellStyle name="Normal 435 11" xfId="44388" xr:uid="{00000000-0005-0000-0000-00001EB20000}"/>
    <cellStyle name="Normal 435 2" xfId="44389" xr:uid="{00000000-0005-0000-0000-00001FB20000}"/>
    <cellStyle name="Normal 435 2 2" xfId="44390" xr:uid="{00000000-0005-0000-0000-000020B20000}"/>
    <cellStyle name="Normal 435 2 2 2" xfId="44391" xr:uid="{00000000-0005-0000-0000-000021B20000}"/>
    <cellStyle name="Normal 435 2 2 2 2" xfId="44392" xr:uid="{00000000-0005-0000-0000-000022B20000}"/>
    <cellStyle name="Normal 435 2 2 2 2 2" xfId="44393" xr:uid="{00000000-0005-0000-0000-000023B20000}"/>
    <cellStyle name="Normal 435 2 2 2 2 3" xfId="44394" xr:uid="{00000000-0005-0000-0000-000024B20000}"/>
    <cellStyle name="Normal 435 2 2 2 3" xfId="44395" xr:uid="{00000000-0005-0000-0000-000025B20000}"/>
    <cellStyle name="Normal 435 2 2 2 3 2" xfId="44396" xr:uid="{00000000-0005-0000-0000-000026B20000}"/>
    <cellStyle name="Normal 435 2 2 2 3 3" xfId="44397" xr:uid="{00000000-0005-0000-0000-000027B20000}"/>
    <cellStyle name="Normal 435 2 2 2 4" xfId="44398" xr:uid="{00000000-0005-0000-0000-000028B20000}"/>
    <cellStyle name="Normal 435 2 2 2 5" xfId="44399" xr:uid="{00000000-0005-0000-0000-000029B20000}"/>
    <cellStyle name="Normal 435 2 2 2 6" xfId="44400" xr:uid="{00000000-0005-0000-0000-00002AB20000}"/>
    <cellStyle name="Normal 435 2 2 3" xfId="44401" xr:uid="{00000000-0005-0000-0000-00002BB20000}"/>
    <cellStyle name="Normal 435 2 2 3 2" xfId="44402" xr:uid="{00000000-0005-0000-0000-00002CB20000}"/>
    <cellStyle name="Normal 435 2 2 3 3" xfId="44403" xr:uid="{00000000-0005-0000-0000-00002DB20000}"/>
    <cellStyle name="Normal 435 2 2 4" xfId="44404" xr:uid="{00000000-0005-0000-0000-00002EB20000}"/>
    <cellStyle name="Normal 435 2 2 4 2" xfId="44405" xr:uid="{00000000-0005-0000-0000-00002FB20000}"/>
    <cellStyle name="Normal 435 2 2 4 3" xfId="44406" xr:uid="{00000000-0005-0000-0000-000030B20000}"/>
    <cellStyle name="Normal 435 2 2 5" xfId="44407" xr:uid="{00000000-0005-0000-0000-000031B20000}"/>
    <cellStyle name="Normal 435 2 2 6" xfId="44408" xr:uid="{00000000-0005-0000-0000-000032B20000}"/>
    <cellStyle name="Normal 435 2 2 7" xfId="44409" xr:uid="{00000000-0005-0000-0000-000033B20000}"/>
    <cellStyle name="Normal 435 2 2 8" xfId="44410" xr:uid="{00000000-0005-0000-0000-000034B20000}"/>
    <cellStyle name="Normal 435 2 3" xfId="44411" xr:uid="{00000000-0005-0000-0000-000035B20000}"/>
    <cellStyle name="Normal 435 2 3 2" xfId="44412" xr:uid="{00000000-0005-0000-0000-000036B20000}"/>
    <cellStyle name="Normal 435 2 3 2 2" xfId="44413" xr:uid="{00000000-0005-0000-0000-000037B20000}"/>
    <cellStyle name="Normal 435 2 3 2 3" xfId="44414" xr:uid="{00000000-0005-0000-0000-000038B20000}"/>
    <cellStyle name="Normal 435 2 3 3" xfId="44415" xr:uid="{00000000-0005-0000-0000-000039B20000}"/>
    <cellStyle name="Normal 435 2 3 3 2" xfId="44416" xr:uid="{00000000-0005-0000-0000-00003AB20000}"/>
    <cellStyle name="Normal 435 2 3 3 3" xfId="44417" xr:uid="{00000000-0005-0000-0000-00003BB20000}"/>
    <cellStyle name="Normal 435 2 3 4" xfId="44418" xr:uid="{00000000-0005-0000-0000-00003CB20000}"/>
    <cellStyle name="Normal 435 2 3 5" xfId="44419" xr:uid="{00000000-0005-0000-0000-00003DB20000}"/>
    <cellStyle name="Normal 435 2 3 6" xfId="44420" xr:uid="{00000000-0005-0000-0000-00003EB20000}"/>
    <cellStyle name="Normal 435 2 4" xfId="44421" xr:uid="{00000000-0005-0000-0000-00003FB20000}"/>
    <cellStyle name="Normal 435 2 4 2" xfId="44422" xr:uid="{00000000-0005-0000-0000-000040B20000}"/>
    <cellStyle name="Normal 435 2 4 3" xfId="44423" xr:uid="{00000000-0005-0000-0000-000041B20000}"/>
    <cellStyle name="Normal 435 2 5" xfId="44424" xr:uid="{00000000-0005-0000-0000-000042B20000}"/>
    <cellStyle name="Normal 435 2 5 2" xfId="44425" xr:uid="{00000000-0005-0000-0000-000043B20000}"/>
    <cellStyle name="Normal 435 2 5 3" xfId="44426" xr:uid="{00000000-0005-0000-0000-000044B20000}"/>
    <cellStyle name="Normal 435 2 6" xfId="44427" xr:uid="{00000000-0005-0000-0000-000045B20000}"/>
    <cellStyle name="Normal 435 2 7" xfId="44428" xr:uid="{00000000-0005-0000-0000-000046B20000}"/>
    <cellStyle name="Normal 435 2 8" xfId="44429" xr:uid="{00000000-0005-0000-0000-000047B20000}"/>
    <cellStyle name="Normal 435 2 9" xfId="44430" xr:uid="{00000000-0005-0000-0000-000048B20000}"/>
    <cellStyle name="Normal 435 3" xfId="44431" xr:uid="{00000000-0005-0000-0000-000049B20000}"/>
    <cellStyle name="Normal 435 3 2" xfId="44432" xr:uid="{00000000-0005-0000-0000-00004AB20000}"/>
    <cellStyle name="Normal 435 3 2 2" xfId="44433" xr:uid="{00000000-0005-0000-0000-00004BB20000}"/>
    <cellStyle name="Normal 435 3 2 2 2" xfId="44434" xr:uid="{00000000-0005-0000-0000-00004CB20000}"/>
    <cellStyle name="Normal 435 3 2 2 3" xfId="44435" xr:uid="{00000000-0005-0000-0000-00004DB20000}"/>
    <cellStyle name="Normal 435 3 2 3" xfId="44436" xr:uid="{00000000-0005-0000-0000-00004EB20000}"/>
    <cellStyle name="Normal 435 3 2 3 2" xfId="44437" xr:uid="{00000000-0005-0000-0000-00004FB20000}"/>
    <cellStyle name="Normal 435 3 2 3 3" xfId="44438" xr:uid="{00000000-0005-0000-0000-000050B20000}"/>
    <cellStyle name="Normal 435 3 2 4" xfId="44439" xr:uid="{00000000-0005-0000-0000-000051B20000}"/>
    <cellStyle name="Normal 435 3 2 5" xfId="44440" xr:uid="{00000000-0005-0000-0000-000052B20000}"/>
    <cellStyle name="Normal 435 3 2 6" xfId="44441" xr:uid="{00000000-0005-0000-0000-000053B20000}"/>
    <cellStyle name="Normal 435 3 3" xfId="44442" xr:uid="{00000000-0005-0000-0000-000054B20000}"/>
    <cellStyle name="Normal 435 3 3 2" xfId="44443" xr:uid="{00000000-0005-0000-0000-000055B20000}"/>
    <cellStyle name="Normal 435 3 3 3" xfId="44444" xr:uid="{00000000-0005-0000-0000-000056B20000}"/>
    <cellStyle name="Normal 435 3 4" xfId="44445" xr:uid="{00000000-0005-0000-0000-000057B20000}"/>
    <cellStyle name="Normal 435 3 4 2" xfId="44446" xr:uid="{00000000-0005-0000-0000-000058B20000}"/>
    <cellStyle name="Normal 435 3 4 3" xfId="44447" xr:uid="{00000000-0005-0000-0000-000059B20000}"/>
    <cellStyle name="Normal 435 3 5" xfId="44448" xr:uid="{00000000-0005-0000-0000-00005AB20000}"/>
    <cellStyle name="Normal 435 3 6" xfId="44449" xr:uid="{00000000-0005-0000-0000-00005BB20000}"/>
    <cellStyle name="Normal 435 3 7" xfId="44450" xr:uid="{00000000-0005-0000-0000-00005CB20000}"/>
    <cellStyle name="Normal 435 3 8" xfId="44451" xr:uid="{00000000-0005-0000-0000-00005DB20000}"/>
    <cellStyle name="Normal 435 4" xfId="44452" xr:uid="{00000000-0005-0000-0000-00005EB20000}"/>
    <cellStyle name="Normal 435 4 2" xfId="44453" xr:uid="{00000000-0005-0000-0000-00005FB20000}"/>
    <cellStyle name="Normal 435 4 2 2" xfId="44454" xr:uid="{00000000-0005-0000-0000-000060B20000}"/>
    <cellStyle name="Normal 435 4 2 3" xfId="44455" xr:uid="{00000000-0005-0000-0000-000061B20000}"/>
    <cellStyle name="Normal 435 4 3" xfId="44456" xr:uid="{00000000-0005-0000-0000-000062B20000}"/>
    <cellStyle name="Normal 435 4 3 2" xfId="44457" xr:uid="{00000000-0005-0000-0000-000063B20000}"/>
    <cellStyle name="Normal 435 4 3 3" xfId="44458" xr:uid="{00000000-0005-0000-0000-000064B20000}"/>
    <cellStyle name="Normal 435 4 4" xfId="44459" xr:uid="{00000000-0005-0000-0000-000065B20000}"/>
    <cellStyle name="Normal 435 4 5" xfId="44460" xr:uid="{00000000-0005-0000-0000-000066B20000}"/>
    <cellStyle name="Normal 435 4 6" xfId="44461" xr:uid="{00000000-0005-0000-0000-000067B20000}"/>
    <cellStyle name="Normal 435 5" xfId="44462" xr:uid="{00000000-0005-0000-0000-000068B20000}"/>
    <cellStyle name="Normal 435 5 2" xfId="44463" xr:uid="{00000000-0005-0000-0000-000069B20000}"/>
    <cellStyle name="Normal 435 5 3" xfId="44464" xr:uid="{00000000-0005-0000-0000-00006AB20000}"/>
    <cellStyle name="Normal 435 6" xfId="44465" xr:uid="{00000000-0005-0000-0000-00006BB20000}"/>
    <cellStyle name="Normal 435 6 2" xfId="44466" xr:uid="{00000000-0005-0000-0000-00006CB20000}"/>
    <cellStyle name="Normal 435 6 3" xfId="44467" xr:uid="{00000000-0005-0000-0000-00006DB20000}"/>
    <cellStyle name="Normal 435 7" xfId="44468" xr:uid="{00000000-0005-0000-0000-00006EB20000}"/>
    <cellStyle name="Normal 435 8" xfId="44469" xr:uid="{00000000-0005-0000-0000-00006FB20000}"/>
    <cellStyle name="Normal 435 9" xfId="44470" xr:uid="{00000000-0005-0000-0000-000070B20000}"/>
    <cellStyle name="Normal 436" xfId="3492" xr:uid="{00000000-0005-0000-0000-000071B20000}"/>
    <cellStyle name="Normal 436 10" xfId="44471" xr:uid="{00000000-0005-0000-0000-000072B20000}"/>
    <cellStyle name="Normal 436 11" xfId="44472" xr:uid="{00000000-0005-0000-0000-000073B20000}"/>
    <cellStyle name="Normal 436 2" xfId="44473" xr:uid="{00000000-0005-0000-0000-000074B20000}"/>
    <cellStyle name="Normal 436 2 2" xfId="44474" xr:uid="{00000000-0005-0000-0000-000075B20000}"/>
    <cellStyle name="Normal 436 2 2 2" xfId="44475" xr:uid="{00000000-0005-0000-0000-000076B20000}"/>
    <cellStyle name="Normal 436 2 2 2 2" xfId="44476" xr:uid="{00000000-0005-0000-0000-000077B20000}"/>
    <cellStyle name="Normal 436 2 2 2 2 2" xfId="44477" xr:uid="{00000000-0005-0000-0000-000078B20000}"/>
    <cellStyle name="Normal 436 2 2 2 2 3" xfId="44478" xr:uid="{00000000-0005-0000-0000-000079B20000}"/>
    <cellStyle name="Normal 436 2 2 2 3" xfId="44479" xr:uid="{00000000-0005-0000-0000-00007AB20000}"/>
    <cellStyle name="Normal 436 2 2 2 3 2" xfId="44480" xr:uid="{00000000-0005-0000-0000-00007BB20000}"/>
    <cellStyle name="Normal 436 2 2 2 3 3" xfId="44481" xr:uid="{00000000-0005-0000-0000-00007CB20000}"/>
    <cellStyle name="Normal 436 2 2 2 4" xfId="44482" xr:uid="{00000000-0005-0000-0000-00007DB20000}"/>
    <cellStyle name="Normal 436 2 2 2 5" xfId="44483" xr:uid="{00000000-0005-0000-0000-00007EB20000}"/>
    <cellStyle name="Normal 436 2 2 2 6" xfId="44484" xr:uid="{00000000-0005-0000-0000-00007FB20000}"/>
    <cellStyle name="Normal 436 2 2 3" xfId="44485" xr:uid="{00000000-0005-0000-0000-000080B20000}"/>
    <cellStyle name="Normal 436 2 2 3 2" xfId="44486" xr:uid="{00000000-0005-0000-0000-000081B20000}"/>
    <cellStyle name="Normal 436 2 2 3 3" xfId="44487" xr:uid="{00000000-0005-0000-0000-000082B20000}"/>
    <cellStyle name="Normal 436 2 2 4" xfId="44488" xr:uid="{00000000-0005-0000-0000-000083B20000}"/>
    <cellStyle name="Normal 436 2 2 4 2" xfId="44489" xr:uid="{00000000-0005-0000-0000-000084B20000}"/>
    <cellStyle name="Normal 436 2 2 4 3" xfId="44490" xr:uid="{00000000-0005-0000-0000-000085B20000}"/>
    <cellStyle name="Normal 436 2 2 5" xfId="44491" xr:uid="{00000000-0005-0000-0000-000086B20000}"/>
    <cellStyle name="Normal 436 2 2 6" xfId="44492" xr:uid="{00000000-0005-0000-0000-000087B20000}"/>
    <cellStyle name="Normal 436 2 2 7" xfId="44493" xr:uid="{00000000-0005-0000-0000-000088B20000}"/>
    <cellStyle name="Normal 436 2 2 8" xfId="44494" xr:uid="{00000000-0005-0000-0000-000089B20000}"/>
    <cellStyle name="Normal 436 2 3" xfId="44495" xr:uid="{00000000-0005-0000-0000-00008AB20000}"/>
    <cellStyle name="Normal 436 2 3 2" xfId="44496" xr:uid="{00000000-0005-0000-0000-00008BB20000}"/>
    <cellStyle name="Normal 436 2 3 2 2" xfId="44497" xr:uid="{00000000-0005-0000-0000-00008CB20000}"/>
    <cellStyle name="Normal 436 2 3 2 3" xfId="44498" xr:uid="{00000000-0005-0000-0000-00008DB20000}"/>
    <cellStyle name="Normal 436 2 3 3" xfId="44499" xr:uid="{00000000-0005-0000-0000-00008EB20000}"/>
    <cellStyle name="Normal 436 2 3 3 2" xfId="44500" xr:uid="{00000000-0005-0000-0000-00008FB20000}"/>
    <cellStyle name="Normal 436 2 3 3 3" xfId="44501" xr:uid="{00000000-0005-0000-0000-000090B20000}"/>
    <cellStyle name="Normal 436 2 3 4" xfId="44502" xr:uid="{00000000-0005-0000-0000-000091B20000}"/>
    <cellStyle name="Normal 436 2 3 5" xfId="44503" xr:uid="{00000000-0005-0000-0000-000092B20000}"/>
    <cellStyle name="Normal 436 2 3 6" xfId="44504" xr:uid="{00000000-0005-0000-0000-000093B20000}"/>
    <cellStyle name="Normal 436 2 4" xfId="44505" xr:uid="{00000000-0005-0000-0000-000094B20000}"/>
    <cellStyle name="Normal 436 2 4 2" xfId="44506" xr:uid="{00000000-0005-0000-0000-000095B20000}"/>
    <cellStyle name="Normal 436 2 4 3" xfId="44507" xr:uid="{00000000-0005-0000-0000-000096B20000}"/>
    <cellStyle name="Normal 436 2 5" xfId="44508" xr:uid="{00000000-0005-0000-0000-000097B20000}"/>
    <cellStyle name="Normal 436 2 5 2" xfId="44509" xr:uid="{00000000-0005-0000-0000-000098B20000}"/>
    <cellStyle name="Normal 436 2 5 3" xfId="44510" xr:uid="{00000000-0005-0000-0000-000099B20000}"/>
    <cellStyle name="Normal 436 2 6" xfId="44511" xr:uid="{00000000-0005-0000-0000-00009AB20000}"/>
    <cellStyle name="Normal 436 2 7" xfId="44512" xr:uid="{00000000-0005-0000-0000-00009BB20000}"/>
    <cellStyle name="Normal 436 2 8" xfId="44513" xr:uid="{00000000-0005-0000-0000-00009CB20000}"/>
    <cellStyle name="Normal 436 2 9" xfId="44514" xr:uid="{00000000-0005-0000-0000-00009DB20000}"/>
    <cellStyle name="Normal 436 3" xfId="44515" xr:uid="{00000000-0005-0000-0000-00009EB20000}"/>
    <cellStyle name="Normal 436 3 2" xfId="44516" xr:uid="{00000000-0005-0000-0000-00009FB20000}"/>
    <cellStyle name="Normal 436 3 2 2" xfId="44517" xr:uid="{00000000-0005-0000-0000-0000A0B20000}"/>
    <cellStyle name="Normal 436 3 2 2 2" xfId="44518" xr:uid="{00000000-0005-0000-0000-0000A1B20000}"/>
    <cellStyle name="Normal 436 3 2 2 3" xfId="44519" xr:uid="{00000000-0005-0000-0000-0000A2B20000}"/>
    <cellStyle name="Normal 436 3 2 3" xfId="44520" xr:uid="{00000000-0005-0000-0000-0000A3B20000}"/>
    <cellStyle name="Normal 436 3 2 3 2" xfId="44521" xr:uid="{00000000-0005-0000-0000-0000A4B20000}"/>
    <cellStyle name="Normal 436 3 2 3 3" xfId="44522" xr:uid="{00000000-0005-0000-0000-0000A5B20000}"/>
    <cellStyle name="Normal 436 3 2 4" xfId="44523" xr:uid="{00000000-0005-0000-0000-0000A6B20000}"/>
    <cellStyle name="Normal 436 3 2 5" xfId="44524" xr:uid="{00000000-0005-0000-0000-0000A7B20000}"/>
    <cellStyle name="Normal 436 3 2 6" xfId="44525" xr:uid="{00000000-0005-0000-0000-0000A8B20000}"/>
    <cellStyle name="Normal 436 3 3" xfId="44526" xr:uid="{00000000-0005-0000-0000-0000A9B20000}"/>
    <cellStyle name="Normal 436 3 3 2" xfId="44527" xr:uid="{00000000-0005-0000-0000-0000AAB20000}"/>
    <cellStyle name="Normal 436 3 3 3" xfId="44528" xr:uid="{00000000-0005-0000-0000-0000ABB20000}"/>
    <cellStyle name="Normal 436 3 4" xfId="44529" xr:uid="{00000000-0005-0000-0000-0000ACB20000}"/>
    <cellStyle name="Normal 436 3 4 2" xfId="44530" xr:uid="{00000000-0005-0000-0000-0000ADB20000}"/>
    <cellStyle name="Normal 436 3 4 3" xfId="44531" xr:uid="{00000000-0005-0000-0000-0000AEB20000}"/>
    <cellStyle name="Normal 436 3 5" xfId="44532" xr:uid="{00000000-0005-0000-0000-0000AFB20000}"/>
    <cellStyle name="Normal 436 3 6" xfId="44533" xr:uid="{00000000-0005-0000-0000-0000B0B20000}"/>
    <cellStyle name="Normal 436 3 7" xfId="44534" xr:uid="{00000000-0005-0000-0000-0000B1B20000}"/>
    <cellStyle name="Normal 436 3 8" xfId="44535" xr:uid="{00000000-0005-0000-0000-0000B2B20000}"/>
    <cellStyle name="Normal 436 4" xfId="44536" xr:uid="{00000000-0005-0000-0000-0000B3B20000}"/>
    <cellStyle name="Normal 436 4 2" xfId="44537" xr:uid="{00000000-0005-0000-0000-0000B4B20000}"/>
    <cellStyle name="Normal 436 4 2 2" xfId="44538" xr:uid="{00000000-0005-0000-0000-0000B5B20000}"/>
    <cellStyle name="Normal 436 4 2 3" xfId="44539" xr:uid="{00000000-0005-0000-0000-0000B6B20000}"/>
    <cellStyle name="Normal 436 4 3" xfId="44540" xr:uid="{00000000-0005-0000-0000-0000B7B20000}"/>
    <cellStyle name="Normal 436 4 3 2" xfId="44541" xr:uid="{00000000-0005-0000-0000-0000B8B20000}"/>
    <cellStyle name="Normal 436 4 3 3" xfId="44542" xr:uid="{00000000-0005-0000-0000-0000B9B20000}"/>
    <cellStyle name="Normal 436 4 4" xfId="44543" xr:uid="{00000000-0005-0000-0000-0000BAB20000}"/>
    <cellStyle name="Normal 436 4 5" xfId="44544" xr:uid="{00000000-0005-0000-0000-0000BBB20000}"/>
    <cellStyle name="Normal 436 4 6" xfId="44545" xr:uid="{00000000-0005-0000-0000-0000BCB20000}"/>
    <cellStyle name="Normal 436 5" xfId="44546" xr:uid="{00000000-0005-0000-0000-0000BDB20000}"/>
    <cellStyle name="Normal 436 5 2" xfId="44547" xr:uid="{00000000-0005-0000-0000-0000BEB20000}"/>
    <cellStyle name="Normal 436 5 3" xfId="44548" xr:uid="{00000000-0005-0000-0000-0000BFB20000}"/>
    <cellStyle name="Normal 436 6" xfId="44549" xr:uid="{00000000-0005-0000-0000-0000C0B20000}"/>
    <cellStyle name="Normal 436 6 2" xfId="44550" xr:uid="{00000000-0005-0000-0000-0000C1B20000}"/>
    <cellStyle name="Normal 436 6 3" xfId="44551" xr:uid="{00000000-0005-0000-0000-0000C2B20000}"/>
    <cellStyle name="Normal 436 7" xfId="44552" xr:uid="{00000000-0005-0000-0000-0000C3B20000}"/>
    <cellStyle name="Normal 436 8" xfId="44553" xr:uid="{00000000-0005-0000-0000-0000C4B20000}"/>
    <cellStyle name="Normal 436 9" xfId="44554" xr:uid="{00000000-0005-0000-0000-0000C5B20000}"/>
    <cellStyle name="Normal 437" xfId="3493" xr:uid="{00000000-0005-0000-0000-0000C6B20000}"/>
    <cellStyle name="Normal 437 10" xfId="44555" xr:uid="{00000000-0005-0000-0000-0000C7B20000}"/>
    <cellStyle name="Normal 437 11" xfId="44556" xr:uid="{00000000-0005-0000-0000-0000C8B20000}"/>
    <cellStyle name="Normal 437 2" xfId="44557" xr:uid="{00000000-0005-0000-0000-0000C9B20000}"/>
    <cellStyle name="Normal 437 2 2" xfId="44558" xr:uid="{00000000-0005-0000-0000-0000CAB20000}"/>
    <cellStyle name="Normal 437 2 2 2" xfId="44559" xr:uid="{00000000-0005-0000-0000-0000CBB20000}"/>
    <cellStyle name="Normal 437 2 2 2 2" xfId="44560" xr:uid="{00000000-0005-0000-0000-0000CCB20000}"/>
    <cellStyle name="Normal 437 2 2 2 2 2" xfId="44561" xr:uid="{00000000-0005-0000-0000-0000CDB20000}"/>
    <cellStyle name="Normal 437 2 2 2 2 3" xfId="44562" xr:uid="{00000000-0005-0000-0000-0000CEB20000}"/>
    <cellStyle name="Normal 437 2 2 2 3" xfId="44563" xr:uid="{00000000-0005-0000-0000-0000CFB20000}"/>
    <cellStyle name="Normal 437 2 2 2 3 2" xfId="44564" xr:uid="{00000000-0005-0000-0000-0000D0B20000}"/>
    <cellStyle name="Normal 437 2 2 2 3 3" xfId="44565" xr:uid="{00000000-0005-0000-0000-0000D1B20000}"/>
    <cellStyle name="Normal 437 2 2 2 4" xfId="44566" xr:uid="{00000000-0005-0000-0000-0000D2B20000}"/>
    <cellStyle name="Normal 437 2 2 2 5" xfId="44567" xr:uid="{00000000-0005-0000-0000-0000D3B20000}"/>
    <cellStyle name="Normal 437 2 2 2 6" xfId="44568" xr:uid="{00000000-0005-0000-0000-0000D4B20000}"/>
    <cellStyle name="Normal 437 2 2 3" xfId="44569" xr:uid="{00000000-0005-0000-0000-0000D5B20000}"/>
    <cellStyle name="Normal 437 2 2 3 2" xfId="44570" xr:uid="{00000000-0005-0000-0000-0000D6B20000}"/>
    <cellStyle name="Normal 437 2 2 3 3" xfId="44571" xr:uid="{00000000-0005-0000-0000-0000D7B20000}"/>
    <cellStyle name="Normal 437 2 2 4" xfId="44572" xr:uid="{00000000-0005-0000-0000-0000D8B20000}"/>
    <cellStyle name="Normal 437 2 2 4 2" xfId="44573" xr:uid="{00000000-0005-0000-0000-0000D9B20000}"/>
    <cellStyle name="Normal 437 2 2 4 3" xfId="44574" xr:uid="{00000000-0005-0000-0000-0000DAB20000}"/>
    <cellStyle name="Normal 437 2 2 5" xfId="44575" xr:uid="{00000000-0005-0000-0000-0000DBB20000}"/>
    <cellStyle name="Normal 437 2 2 6" xfId="44576" xr:uid="{00000000-0005-0000-0000-0000DCB20000}"/>
    <cellStyle name="Normal 437 2 2 7" xfId="44577" xr:uid="{00000000-0005-0000-0000-0000DDB20000}"/>
    <cellStyle name="Normal 437 2 2 8" xfId="44578" xr:uid="{00000000-0005-0000-0000-0000DEB20000}"/>
    <cellStyle name="Normal 437 2 3" xfId="44579" xr:uid="{00000000-0005-0000-0000-0000DFB20000}"/>
    <cellStyle name="Normal 437 2 3 2" xfId="44580" xr:uid="{00000000-0005-0000-0000-0000E0B20000}"/>
    <cellStyle name="Normal 437 2 3 2 2" xfId="44581" xr:uid="{00000000-0005-0000-0000-0000E1B20000}"/>
    <cellStyle name="Normal 437 2 3 2 3" xfId="44582" xr:uid="{00000000-0005-0000-0000-0000E2B20000}"/>
    <cellStyle name="Normal 437 2 3 3" xfId="44583" xr:uid="{00000000-0005-0000-0000-0000E3B20000}"/>
    <cellStyle name="Normal 437 2 3 3 2" xfId="44584" xr:uid="{00000000-0005-0000-0000-0000E4B20000}"/>
    <cellStyle name="Normal 437 2 3 3 3" xfId="44585" xr:uid="{00000000-0005-0000-0000-0000E5B20000}"/>
    <cellStyle name="Normal 437 2 3 4" xfId="44586" xr:uid="{00000000-0005-0000-0000-0000E6B20000}"/>
    <cellStyle name="Normal 437 2 3 5" xfId="44587" xr:uid="{00000000-0005-0000-0000-0000E7B20000}"/>
    <cellStyle name="Normal 437 2 3 6" xfId="44588" xr:uid="{00000000-0005-0000-0000-0000E8B20000}"/>
    <cellStyle name="Normal 437 2 4" xfId="44589" xr:uid="{00000000-0005-0000-0000-0000E9B20000}"/>
    <cellStyle name="Normal 437 2 4 2" xfId="44590" xr:uid="{00000000-0005-0000-0000-0000EAB20000}"/>
    <cellStyle name="Normal 437 2 4 3" xfId="44591" xr:uid="{00000000-0005-0000-0000-0000EBB20000}"/>
    <cellStyle name="Normal 437 2 5" xfId="44592" xr:uid="{00000000-0005-0000-0000-0000ECB20000}"/>
    <cellStyle name="Normal 437 2 5 2" xfId="44593" xr:uid="{00000000-0005-0000-0000-0000EDB20000}"/>
    <cellStyle name="Normal 437 2 5 3" xfId="44594" xr:uid="{00000000-0005-0000-0000-0000EEB20000}"/>
    <cellStyle name="Normal 437 2 6" xfId="44595" xr:uid="{00000000-0005-0000-0000-0000EFB20000}"/>
    <cellStyle name="Normal 437 2 7" xfId="44596" xr:uid="{00000000-0005-0000-0000-0000F0B20000}"/>
    <cellStyle name="Normal 437 2 8" xfId="44597" xr:uid="{00000000-0005-0000-0000-0000F1B20000}"/>
    <cellStyle name="Normal 437 2 9" xfId="44598" xr:uid="{00000000-0005-0000-0000-0000F2B20000}"/>
    <cellStyle name="Normal 437 3" xfId="44599" xr:uid="{00000000-0005-0000-0000-0000F3B20000}"/>
    <cellStyle name="Normal 437 3 2" xfId="44600" xr:uid="{00000000-0005-0000-0000-0000F4B20000}"/>
    <cellStyle name="Normal 437 3 2 2" xfId="44601" xr:uid="{00000000-0005-0000-0000-0000F5B20000}"/>
    <cellStyle name="Normal 437 3 2 2 2" xfId="44602" xr:uid="{00000000-0005-0000-0000-0000F6B20000}"/>
    <cellStyle name="Normal 437 3 2 2 3" xfId="44603" xr:uid="{00000000-0005-0000-0000-0000F7B20000}"/>
    <cellStyle name="Normal 437 3 2 3" xfId="44604" xr:uid="{00000000-0005-0000-0000-0000F8B20000}"/>
    <cellStyle name="Normal 437 3 2 3 2" xfId="44605" xr:uid="{00000000-0005-0000-0000-0000F9B20000}"/>
    <cellStyle name="Normal 437 3 2 3 3" xfId="44606" xr:uid="{00000000-0005-0000-0000-0000FAB20000}"/>
    <cellStyle name="Normal 437 3 2 4" xfId="44607" xr:uid="{00000000-0005-0000-0000-0000FBB20000}"/>
    <cellStyle name="Normal 437 3 2 5" xfId="44608" xr:uid="{00000000-0005-0000-0000-0000FCB20000}"/>
    <cellStyle name="Normal 437 3 2 6" xfId="44609" xr:uid="{00000000-0005-0000-0000-0000FDB20000}"/>
    <cellStyle name="Normal 437 3 3" xfId="44610" xr:uid="{00000000-0005-0000-0000-0000FEB20000}"/>
    <cellStyle name="Normal 437 3 3 2" xfId="44611" xr:uid="{00000000-0005-0000-0000-0000FFB20000}"/>
    <cellStyle name="Normal 437 3 3 3" xfId="44612" xr:uid="{00000000-0005-0000-0000-000000B30000}"/>
    <cellStyle name="Normal 437 3 4" xfId="44613" xr:uid="{00000000-0005-0000-0000-000001B30000}"/>
    <cellStyle name="Normal 437 3 4 2" xfId="44614" xr:uid="{00000000-0005-0000-0000-000002B30000}"/>
    <cellStyle name="Normal 437 3 4 3" xfId="44615" xr:uid="{00000000-0005-0000-0000-000003B30000}"/>
    <cellStyle name="Normal 437 3 5" xfId="44616" xr:uid="{00000000-0005-0000-0000-000004B30000}"/>
    <cellStyle name="Normal 437 3 6" xfId="44617" xr:uid="{00000000-0005-0000-0000-000005B30000}"/>
    <cellStyle name="Normal 437 3 7" xfId="44618" xr:uid="{00000000-0005-0000-0000-000006B30000}"/>
    <cellStyle name="Normal 437 3 8" xfId="44619" xr:uid="{00000000-0005-0000-0000-000007B30000}"/>
    <cellStyle name="Normal 437 4" xfId="44620" xr:uid="{00000000-0005-0000-0000-000008B30000}"/>
    <cellStyle name="Normal 437 4 2" xfId="44621" xr:uid="{00000000-0005-0000-0000-000009B30000}"/>
    <cellStyle name="Normal 437 4 2 2" xfId="44622" xr:uid="{00000000-0005-0000-0000-00000AB30000}"/>
    <cellStyle name="Normal 437 4 2 3" xfId="44623" xr:uid="{00000000-0005-0000-0000-00000BB30000}"/>
    <cellStyle name="Normal 437 4 3" xfId="44624" xr:uid="{00000000-0005-0000-0000-00000CB30000}"/>
    <cellStyle name="Normal 437 4 3 2" xfId="44625" xr:uid="{00000000-0005-0000-0000-00000DB30000}"/>
    <cellStyle name="Normal 437 4 3 3" xfId="44626" xr:uid="{00000000-0005-0000-0000-00000EB30000}"/>
    <cellStyle name="Normal 437 4 4" xfId="44627" xr:uid="{00000000-0005-0000-0000-00000FB30000}"/>
    <cellStyle name="Normal 437 4 5" xfId="44628" xr:uid="{00000000-0005-0000-0000-000010B30000}"/>
    <cellStyle name="Normal 437 4 6" xfId="44629" xr:uid="{00000000-0005-0000-0000-000011B30000}"/>
    <cellStyle name="Normal 437 5" xfId="44630" xr:uid="{00000000-0005-0000-0000-000012B30000}"/>
    <cellStyle name="Normal 437 5 2" xfId="44631" xr:uid="{00000000-0005-0000-0000-000013B30000}"/>
    <cellStyle name="Normal 437 5 3" xfId="44632" xr:uid="{00000000-0005-0000-0000-000014B30000}"/>
    <cellStyle name="Normal 437 6" xfId="44633" xr:uid="{00000000-0005-0000-0000-000015B30000}"/>
    <cellStyle name="Normal 437 6 2" xfId="44634" xr:uid="{00000000-0005-0000-0000-000016B30000}"/>
    <cellStyle name="Normal 437 6 3" xfId="44635" xr:uid="{00000000-0005-0000-0000-000017B30000}"/>
    <cellStyle name="Normal 437 7" xfId="44636" xr:uid="{00000000-0005-0000-0000-000018B30000}"/>
    <cellStyle name="Normal 437 8" xfId="44637" xr:uid="{00000000-0005-0000-0000-000019B30000}"/>
    <cellStyle name="Normal 437 9" xfId="44638" xr:uid="{00000000-0005-0000-0000-00001AB30000}"/>
    <cellStyle name="Normal 438" xfId="3494" xr:uid="{00000000-0005-0000-0000-00001BB30000}"/>
    <cellStyle name="Normal 438 10" xfId="44639" xr:uid="{00000000-0005-0000-0000-00001CB30000}"/>
    <cellStyle name="Normal 438 11" xfId="44640" xr:uid="{00000000-0005-0000-0000-00001DB30000}"/>
    <cellStyle name="Normal 438 2" xfId="44641" xr:uid="{00000000-0005-0000-0000-00001EB30000}"/>
    <cellStyle name="Normal 438 2 2" xfId="44642" xr:uid="{00000000-0005-0000-0000-00001FB30000}"/>
    <cellStyle name="Normal 438 2 2 2" xfId="44643" xr:uid="{00000000-0005-0000-0000-000020B30000}"/>
    <cellStyle name="Normal 438 2 2 2 2" xfId="44644" xr:uid="{00000000-0005-0000-0000-000021B30000}"/>
    <cellStyle name="Normal 438 2 2 2 2 2" xfId="44645" xr:uid="{00000000-0005-0000-0000-000022B30000}"/>
    <cellStyle name="Normal 438 2 2 2 2 3" xfId="44646" xr:uid="{00000000-0005-0000-0000-000023B30000}"/>
    <cellStyle name="Normal 438 2 2 2 3" xfId="44647" xr:uid="{00000000-0005-0000-0000-000024B30000}"/>
    <cellStyle name="Normal 438 2 2 2 3 2" xfId="44648" xr:uid="{00000000-0005-0000-0000-000025B30000}"/>
    <cellStyle name="Normal 438 2 2 2 3 3" xfId="44649" xr:uid="{00000000-0005-0000-0000-000026B30000}"/>
    <cellStyle name="Normal 438 2 2 2 4" xfId="44650" xr:uid="{00000000-0005-0000-0000-000027B30000}"/>
    <cellStyle name="Normal 438 2 2 2 5" xfId="44651" xr:uid="{00000000-0005-0000-0000-000028B30000}"/>
    <cellStyle name="Normal 438 2 2 2 6" xfId="44652" xr:uid="{00000000-0005-0000-0000-000029B30000}"/>
    <cellStyle name="Normal 438 2 2 3" xfId="44653" xr:uid="{00000000-0005-0000-0000-00002AB30000}"/>
    <cellStyle name="Normal 438 2 2 3 2" xfId="44654" xr:uid="{00000000-0005-0000-0000-00002BB30000}"/>
    <cellStyle name="Normal 438 2 2 3 3" xfId="44655" xr:uid="{00000000-0005-0000-0000-00002CB30000}"/>
    <cellStyle name="Normal 438 2 2 4" xfId="44656" xr:uid="{00000000-0005-0000-0000-00002DB30000}"/>
    <cellStyle name="Normal 438 2 2 4 2" xfId="44657" xr:uid="{00000000-0005-0000-0000-00002EB30000}"/>
    <cellStyle name="Normal 438 2 2 4 3" xfId="44658" xr:uid="{00000000-0005-0000-0000-00002FB30000}"/>
    <cellStyle name="Normal 438 2 2 5" xfId="44659" xr:uid="{00000000-0005-0000-0000-000030B30000}"/>
    <cellStyle name="Normal 438 2 2 6" xfId="44660" xr:uid="{00000000-0005-0000-0000-000031B30000}"/>
    <cellStyle name="Normal 438 2 2 7" xfId="44661" xr:uid="{00000000-0005-0000-0000-000032B30000}"/>
    <cellStyle name="Normal 438 2 2 8" xfId="44662" xr:uid="{00000000-0005-0000-0000-000033B30000}"/>
    <cellStyle name="Normal 438 2 3" xfId="44663" xr:uid="{00000000-0005-0000-0000-000034B30000}"/>
    <cellStyle name="Normal 438 2 3 2" xfId="44664" xr:uid="{00000000-0005-0000-0000-000035B30000}"/>
    <cellStyle name="Normal 438 2 3 2 2" xfId="44665" xr:uid="{00000000-0005-0000-0000-000036B30000}"/>
    <cellStyle name="Normal 438 2 3 2 3" xfId="44666" xr:uid="{00000000-0005-0000-0000-000037B30000}"/>
    <cellStyle name="Normal 438 2 3 3" xfId="44667" xr:uid="{00000000-0005-0000-0000-000038B30000}"/>
    <cellStyle name="Normal 438 2 3 3 2" xfId="44668" xr:uid="{00000000-0005-0000-0000-000039B30000}"/>
    <cellStyle name="Normal 438 2 3 3 3" xfId="44669" xr:uid="{00000000-0005-0000-0000-00003AB30000}"/>
    <cellStyle name="Normal 438 2 3 4" xfId="44670" xr:uid="{00000000-0005-0000-0000-00003BB30000}"/>
    <cellStyle name="Normal 438 2 3 5" xfId="44671" xr:uid="{00000000-0005-0000-0000-00003CB30000}"/>
    <cellStyle name="Normal 438 2 3 6" xfId="44672" xr:uid="{00000000-0005-0000-0000-00003DB30000}"/>
    <cellStyle name="Normal 438 2 4" xfId="44673" xr:uid="{00000000-0005-0000-0000-00003EB30000}"/>
    <cellStyle name="Normal 438 2 4 2" xfId="44674" xr:uid="{00000000-0005-0000-0000-00003FB30000}"/>
    <cellStyle name="Normal 438 2 4 3" xfId="44675" xr:uid="{00000000-0005-0000-0000-000040B30000}"/>
    <cellStyle name="Normal 438 2 5" xfId="44676" xr:uid="{00000000-0005-0000-0000-000041B30000}"/>
    <cellStyle name="Normal 438 2 5 2" xfId="44677" xr:uid="{00000000-0005-0000-0000-000042B30000}"/>
    <cellStyle name="Normal 438 2 5 3" xfId="44678" xr:uid="{00000000-0005-0000-0000-000043B30000}"/>
    <cellStyle name="Normal 438 2 6" xfId="44679" xr:uid="{00000000-0005-0000-0000-000044B30000}"/>
    <cellStyle name="Normal 438 2 7" xfId="44680" xr:uid="{00000000-0005-0000-0000-000045B30000}"/>
    <cellStyle name="Normal 438 2 8" xfId="44681" xr:uid="{00000000-0005-0000-0000-000046B30000}"/>
    <cellStyle name="Normal 438 2 9" xfId="44682" xr:uid="{00000000-0005-0000-0000-000047B30000}"/>
    <cellStyle name="Normal 438 3" xfId="44683" xr:uid="{00000000-0005-0000-0000-000048B30000}"/>
    <cellStyle name="Normal 438 3 2" xfId="44684" xr:uid="{00000000-0005-0000-0000-000049B30000}"/>
    <cellStyle name="Normal 438 3 2 2" xfId="44685" xr:uid="{00000000-0005-0000-0000-00004AB30000}"/>
    <cellStyle name="Normal 438 3 2 2 2" xfId="44686" xr:uid="{00000000-0005-0000-0000-00004BB30000}"/>
    <cellStyle name="Normal 438 3 2 2 3" xfId="44687" xr:uid="{00000000-0005-0000-0000-00004CB30000}"/>
    <cellStyle name="Normal 438 3 2 3" xfId="44688" xr:uid="{00000000-0005-0000-0000-00004DB30000}"/>
    <cellStyle name="Normal 438 3 2 3 2" xfId="44689" xr:uid="{00000000-0005-0000-0000-00004EB30000}"/>
    <cellStyle name="Normal 438 3 2 3 3" xfId="44690" xr:uid="{00000000-0005-0000-0000-00004FB30000}"/>
    <cellStyle name="Normal 438 3 2 4" xfId="44691" xr:uid="{00000000-0005-0000-0000-000050B30000}"/>
    <cellStyle name="Normal 438 3 2 5" xfId="44692" xr:uid="{00000000-0005-0000-0000-000051B30000}"/>
    <cellStyle name="Normal 438 3 2 6" xfId="44693" xr:uid="{00000000-0005-0000-0000-000052B30000}"/>
    <cellStyle name="Normal 438 3 3" xfId="44694" xr:uid="{00000000-0005-0000-0000-000053B30000}"/>
    <cellStyle name="Normal 438 3 3 2" xfId="44695" xr:uid="{00000000-0005-0000-0000-000054B30000}"/>
    <cellStyle name="Normal 438 3 3 3" xfId="44696" xr:uid="{00000000-0005-0000-0000-000055B30000}"/>
    <cellStyle name="Normal 438 3 4" xfId="44697" xr:uid="{00000000-0005-0000-0000-000056B30000}"/>
    <cellStyle name="Normal 438 3 4 2" xfId="44698" xr:uid="{00000000-0005-0000-0000-000057B30000}"/>
    <cellStyle name="Normal 438 3 4 3" xfId="44699" xr:uid="{00000000-0005-0000-0000-000058B30000}"/>
    <cellStyle name="Normal 438 3 5" xfId="44700" xr:uid="{00000000-0005-0000-0000-000059B30000}"/>
    <cellStyle name="Normal 438 3 6" xfId="44701" xr:uid="{00000000-0005-0000-0000-00005AB30000}"/>
    <cellStyle name="Normal 438 3 7" xfId="44702" xr:uid="{00000000-0005-0000-0000-00005BB30000}"/>
    <cellStyle name="Normal 438 3 8" xfId="44703" xr:uid="{00000000-0005-0000-0000-00005CB30000}"/>
    <cellStyle name="Normal 438 4" xfId="44704" xr:uid="{00000000-0005-0000-0000-00005DB30000}"/>
    <cellStyle name="Normal 438 4 2" xfId="44705" xr:uid="{00000000-0005-0000-0000-00005EB30000}"/>
    <cellStyle name="Normal 438 4 2 2" xfId="44706" xr:uid="{00000000-0005-0000-0000-00005FB30000}"/>
    <cellStyle name="Normal 438 4 2 3" xfId="44707" xr:uid="{00000000-0005-0000-0000-000060B30000}"/>
    <cellStyle name="Normal 438 4 3" xfId="44708" xr:uid="{00000000-0005-0000-0000-000061B30000}"/>
    <cellStyle name="Normal 438 4 3 2" xfId="44709" xr:uid="{00000000-0005-0000-0000-000062B30000}"/>
    <cellStyle name="Normal 438 4 3 3" xfId="44710" xr:uid="{00000000-0005-0000-0000-000063B30000}"/>
    <cellStyle name="Normal 438 4 4" xfId="44711" xr:uid="{00000000-0005-0000-0000-000064B30000}"/>
    <cellStyle name="Normal 438 4 5" xfId="44712" xr:uid="{00000000-0005-0000-0000-000065B30000}"/>
    <cellStyle name="Normal 438 4 6" xfId="44713" xr:uid="{00000000-0005-0000-0000-000066B30000}"/>
    <cellStyle name="Normal 438 5" xfId="44714" xr:uid="{00000000-0005-0000-0000-000067B30000}"/>
    <cellStyle name="Normal 438 5 2" xfId="44715" xr:uid="{00000000-0005-0000-0000-000068B30000}"/>
    <cellStyle name="Normal 438 5 3" xfId="44716" xr:uid="{00000000-0005-0000-0000-000069B30000}"/>
    <cellStyle name="Normal 438 6" xfId="44717" xr:uid="{00000000-0005-0000-0000-00006AB30000}"/>
    <cellStyle name="Normal 438 6 2" xfId="44718" xr:uid="{00000000-0005-0000-0000-00006BB30000}"/>
    <cellStyle name="Normal 438 6 3" xfId="44719" xr:uid="{00000000-0005-0000-0000-00006CB30000}"/>
    <cellStyle name="Normal 438 7" xfId="44720" xr:uid="{00000000-0005-0000-0000-00006DB30000}"/>
    <cellStyle name="Normal 438 8" xfId="44721" xr:uid="{00000000-0005-0000-0000-00006EB30000}"/>
    <cellStyle name="Normal 438 9" xfId="44722" xr:uid="{00000000-0005-0000-0000-00006FB30000}"/>
    <cellStyle name="Normal 439" xfId="3495" xr:uid="{00000000-0005-0000-0000-000070B30000}"/>
    <cellStyle name="Normal 439 10" xfId="44723" xr:uid="{00000000-0005-0000-0000-000071B30000}"/>
    <cellStyle name="Normal 439 11" xfId="44724" xr:uid="{00000000-0005-0000-0000-000072B30000}"/>
    <cellStyle name="Normal 439 2" xfId="44725" xr:uid="{00000000-0005-0000-0000-000073B30000}"/>
    <cellStyle name="Normal 439 2 2" xfId="44726" xr:uid="{00000000-0005-0000-0000-000074B30000}"/>
    <cellStyle name="Normal 439 2 2 2" xfId="44727" xr:uid="{00000000-0005-0000-0000-000075B30000}"/>
    <cellStyle name="Normal 439 2 2 2 2" xfId="44728" xr:uid="{00000000-0005-0000-0000-000076B30000}"/>
    <cellStyle name="Normal 439 2 2 2 2 2" xfId="44729" xr:uid="{00000000-0005-0000-0000-000077B30000}"/>
    <cellStyle name="Normal 439 2 2 2 2 3" xfId="44730" xr:uid="{00000000-0005-0000-0000-000078B30000}"/>
    <cellStyle name="Normal 439 2 2 2 3" xfId="44731" xr:uid="{00000000-0005-0000-0000-000079B30000}"/>
    <cellStyle name="Normal 439 2 2 2 3 2" xfId="44732" xr:uid="{00000000-0005-0000-0000-00007AB30000}"/>
    <cellStyle name="Normal 439 2 2 2 3 3" xfId="44733" xr:uid="{00000000-0005-0000-0000-00007BB30000}"/>
    <cellStyle name="Normal 439 2 2 2 4" xfId="44734" xr:uid="{00000000-0005-0000-0000-00007CB30000}"/>
    <cellStyle name="Normal 439 2 2 2 5" xfId="44735" xr:uid="{00000000-0005-0000-0000-00007DB30000}"/>
    <cellStyle name="Normal 439 2 2 2 6" xfId="44736" xr:uid="{00000000-0005-0000-0000-00007EB30000}"/>
    <cellStyle name="Normal 439 2 2 3" xfId="44737" xr:uid="{00000000-0005-0000-0000-00007FB30000}"/>
    <cellStyle name="Normal 439 2 2 3 2" xfId="44738" xr:uid="{00000000-0005-0000-0000-000080B30000}"/>
    <cellStyle name="Normal 439 2 2 3 3" xfId="44739" xr:uid="{00000000-0005-0000-0000-000081B30000}"/>
    <cellStyle name="Normal 439 2 2 4" xfId="44740" xr:uid="{00000000-0005-0000-0000-000082B30000}"/>
    <cellStyle name="Normal 439 2 2 4 2" xfId="44741" xr:uid="{00000000-0005-0000-0000-000083B30000}"/>
    <cellStyle name="Normal 439 2 2 4 3" xfId="44742" xr:uid="{00000000-0005-0000-0000-000084B30000}"/>
    <cellStyle name="Normal 439 2 2 5" xfId="44743" xr:uid="{00000000-0005-0000-0000-000085B30000}"/>
    <cellStyle name="Normal 439 2 2 6" xfId="44744" xr:uid="{00000000-0005-0000-0000-000086B30000}"/>
    <cellStyle name="Normal 439 2 2 7" xfId="44745" xr:uid="{00000000-0005-0000-0000-000087B30000}"/>
    <cellStyle name="Normal 439 2 2 8" xfId="44746" xr:uid="{00000000-0005-0000-0000-000088B30000}"/>
    <cellStyle name="Normal 439 2 3" xfId="44747" xr:uid="{00000000-0005-0000-0000-000089B30000}"/>
    <cellStyle name="Normal 439 2 3 2" xfId="44748" xr:uid="{00000000-0005-0000-0000-00008AB30000}"/>
    <cellStyle name="Normal 439 2 3 2 2" xfId="44749" xr:uid="{00000000-0005-0000-0000-00008BB30000}"/>
    <cellStyle name="Normal 439 2 3 2 3" xfId="44750" xr:uid="{00000000-0005-0000-0000-00008CB30000}"/>
    <cellStyle name="Normal 439 2 3 3" xfId="44751" xr:uid="{00000000-0005-0000-0000-00008DB30000}"/>
    <cellStyle name="Normal 439 2 3 3 2" xfId="44752" xr:uid="{00000000-0005-0000-0000-00008EB30000}"/>
    <cellStyle name="Normal 439 2 3 3 3" xfId="44753" xr:uid="{00000000-0005-0000-0000-00008FB30000}"/>
    <cellStyle name="Normal 439 2 3 4" xfId="44754" xr:uid="{00000000-0005-0000-0000-000090B30000}"/>
    <cellStyle name="Normal 439 2 3 5" xfId="44755" xr:uid="{00000000-0005-0000-0000-000091B30000}"/>
    <cellStyle name="Normal 439 2 3 6" xfId="44756" xr:uid="{00000000-0005-0000-0000-000092B30000}"/>
    <cellStyle name="Normal 439 2 4" xfId="44757" xr:uid="{00000000-0005-0000-0000-000093B30000}"/>
    <cellStyle name="Normal 439 2 4 2" xfId="44758" xr:uid="{00000000-0005-0000-0000-000094B30000}"/>
    <cellStyle name="Normal 439 2 4 3" xfId="44759" xr:uid="{00000000-0005-0000-0000-000095B30000}"/>
    <cellStyle name="Normal 439 2 5" xfId="44760" xr:uid="{00000000-0005-0000-0000-000096B30000}"/>
    <cellStyle name="Normal 439 2 5 2" xfId="44761" xr:uid="{00000000-0005-0000-0000-000097B30000}"/>
    <cellStyle name="Normal 439 2 5 3" xfId="44762" xr:uid="{00000000-0005-0000-0000-000098B30000}"/>
    <cellStyle name="Normal 439 2 6" xfId="44763" xr:uid="{00000000-0005-0000-0000-000099B30000}"/>
    <cellStyle name="Normal 439 2 7" xfId="44764" xr:uid="{00000000-0005-0000-0000-00009AB30000}"/>
    <cellStyle name="Normal 439 2 8" xfId="44765" xr:uid="{00000000-0005-0000-0000-00009BB30000}"/>
    <cellStyle name="Normal 439 2 9" xfId="44766" xr:uid="{00000000-0005-0000-0000-00009CB30000}"/>
    <cellStyle name="Normal 439 3" xfId="44767" xr:uid="{00000000-0005-0000-0000-00009DB30000}"/>
    <cellStyle name="Normal 439 3 2" xfId="44768" xr:uid="{00000000-0005-0000-0000-00009EB30000}"/>
    <cellStyle name="Normal 439 3 2 2" xfId="44769" xr:uid="{00000000-0005-0000-0000-00009FB30000}"/>
    <cellStyle name="Normal 439 3 2 2 2" xfId="44770" xr:uid="{00000000-0005-0000-0000-0000A0B30000}"/>
    <cellStyle name="Normal 439 3 2 2 3" xfId="44771" xr:uid="{00000000-0005-0000-0000-0000A1B30000}"/>
    <cellStyle name="Normal 439 3 2 3" xfId="44772" xr:uid="{00000000-0005-0000-0000-0000A2B30000}"/>
    <cellStyle name="Normal 439 3 2 3 2" xfId="44773" xr:uid="{00000000-0005-0000-0000-0000A3B30000}"/>
    <cellStyle name="Normal 439 3 2 3 3" xfId="44774" xr:uid="{00000000-0005-0000-0000-0000A4B30000}"/>
    <cellStyle name="Normal 439 3 2 4" xfId="44775" xr:uid="{00000000-0005-0000-0000-0000A5B30000}"/>
    <cellStyle name="Normal 439 3 2 5" xfId="44776" xr:uid="{00000000-0005-0000-0000-0000A6B30000}"/>
    <cellStyle name="Normal 439 3 2 6" xfId="44777" xr:uid="{00000000-0005-0000-0000-0000A7B30000}"/>
    <cellStyle name="Normal 439 3 3" xfId="44778" xr:uid="{00000000-0005-0000-0000-0000A8B30000}"/>
    <cellStyle name="Normal 439 3 3 2" xfId="44779" xr:uid="{00000000-0005-0000-0000-0000A9B30000}"/>
    <cellStyle name="Normal 439 3 3 3" xfId="44780" xr:uid="{00000000-0005-0000-0000-0000AAB30000}"/>
    <cellStyle name="Normal 439 3 4" xfId="44781" xr:uid="{00000000-0005-0000-0000-0000ABB30000}"/>
    <cellStyle name="Normal 439 3 4 2" xfId="44782" xr:uid="{00000000-0005-0000-0000-0000ACB30000}"/>
    <cellStyle name="Normal 439 3 4 3" xfId="44783" xr:uid="{00000000-0005-0000-0000-0000ADB30000}"/>
    <cellStyle name="Normal 439 3 5" xfId="44784" xr:uid="{00000000-0005-0000-0000-0000AEB30000}"/>
    <cellStyle name="Normal 439 3 6" xfId="44785" xr:uid="{00000000-0005-0000-0000-0000AFB30000}"/>
    <cellStyle name="Normal 439 3 7" xfId="44786" xr:uid="{00000000-0005-0000-0000-0000B0B30000}"/>
    <cellStyle name="Normal 439 3 8" xfId="44787" xr:uid="{00000000-0005-0000-0000-0000B1B30000}"/>
    <cellStyle name="Normal 439 4" xfId="44788" xr:uid="{00000000-0005-0000-0000-0000B2B30000}"/>
    <cellStyle name="Normal 439 4 2" xfId="44789" xr:uid="{00000000-0005-0000-0000-0000B3B30000}"/>
    <cellStyle name="Normal 439 4 2 2" xfId="44790" xr:uid="{00000000-0005-0000-0000-0000B4B30000}"/>
    <cellStyle name="Normal 439 4 2 3" xfId="44791" xr:uid="{00000000-0005-0000-0000-0000B5B30000}"/>
    <cellStyle name="Normal 439 4 3" xfId="44792" xr:uid="{00000000-0005-0000-0000-0000B6B30000}"/>
    <cellStyle name="Normal 439 4 3 2" xfId="44793" xr:uid="{00000000-0005-0000-0000-0000B7B30000}"/>
    <cellStyle name="Normal 439 4 3 3" xfId="44794" xr:uid="{00000000-0005-0000-0000-0000B8B30000}"/>
    <cellStyle name="Normal 439 4 4" xfId="44795" xr:uid="{00000000-0005-0000-0000-0000B9B30000}"/>
    <cellStyle name="Normal 439 4 5" xfId="44796" xr:uid="{00000000-0005-0000-0000-0000BAB30000}"/>
    <cellStyle name="Normal 439 4 6" xfId="44797" xr:uid="{00000000-0005-0000-0000-0000BBB30000}"/>
    <cellStyle name="Normal 439 5" xfId="44798" xr:uid="{00000000-0005-0000-0000-0000BCB30000}"/>
    <cellStyle name="Normal 439 5 2" xfId="44799" xr:uid="{00000000-0005-0000-0000-0000BDB30000}"/>
    <cellStyle name="Normal 439 5 3" xfId="44800" xr:uid="{00000000-0005-0000-0000-0000BEB30000}"/>
    <cellStyle name="Normal 439 6" xfId="44801" xr:uid="{00000000-0005-0000-0000-0000BFB30000}"/>
    <cellStyle name="Normal 439 6 2" xfId="44802" xr:uid="{00000000-0005-0000-0000-0000C0B30000}"/>
    <cellStyle name="Normal 439 6 3" xfId="44803" xr:uid="{00000000-0005-0000-0000-0000C1B30000}"/>
    <cellStyle name="Normal 439 7" xfId="44804" xr:uid="{00000000-0005-0000-0000-0000C2B30000}"/>
    <cellStyle name="Normal 439 8" xfId="44805" xr:uid="{00000000-0005-0000-0000-0000C3B30000}"/>
    <cellStyle name="Normal 439 9" xfId="44806" xr:uid="{00000000-0005-0000-0000-0000C4B30000}"/>
    <cellStyle name="Normal 44" xfId="3496" xr:uid="{00000000-0005-0000-0000-0000C5B30000}"/>
    <cellStyle name="Normal 44 10" xfId="44807" xr:uid="{00000000-0005-0000-0000-0000C6B30000}"/>
    <cellStyle name="Normal 44 11" xfId="44808" xr:uid="{00000000-0005-0000-0000-0000C7B30000}"/>
    <cellStyle name="Normal 44 12" xfId="44809" xr:uid="{00000000-0005-0000-0000-0000C8B30000}"/>
    <cellStyle name="Normal 44 2" xfId="44810" xr:uid="{00000000-0005-0000-0000-0000C9B30000}"/>
    <cellStyle name="Normal 44 2 10" xfId="44811" xr:uid="{00000000-0005-0000-0000-0000CAB30000}"/>
    <cellStyle name="Normal 44 2 2" xfId="44812" xr:uid="{00000000-0005-0000-0000-0000CBB30000}"/>
    <cellStyle name="Normal 44 2 2 2" xfId="44813" xr:uid="{00000000-0005-0000-0000-0000CCB30000}"/>
    <cellStyle name="Normal 44 2 2 2 2" xfId="44814" xr:uid="{00000000-0005-0000-0000-0000CDB30000}"/>
    <cellStyle name="Normal 44 2 2 2 2 2" xfId="44815" xr:uid="{00000000-0005-0000-0000-0000CEB30000}"/>
    <cellStyle name="Normal 44 2 2 2 2 3" xfId="44816" xr:uid="{00000000-0005-0000-0000-0000CFB30000}"/>
    <cellStyle name="Normal 44 2 2 2 3" xfId="44817" xr:uid="{00000000-0005-0000-0000-0000D0B30000}"/>
    <cellStyle name="Normal 44 2 2 2 3 2" xfId="44818" xr:uid="{00000000-0005-0000-0000-0000D1B30000}"/>
    <cellStyle name="Normal 44 2 2 2 3 3" xfId="44819" xr:uid="{00000000-0005-0000-0000-0000D2B30000}"/>
    <cellStyle name="Normal 44 2 2 2 4" xfId="44820" xr:uid="{00000000-0005-0000-0000-0000D3B30000}"/>
    <cellStyle name="Normal 44 2 2 2 5" xfId="44821" xr:uid="{00000000-0005-0000-0000-0000D4B30000}"/>
    <cellStyle name="Normal 44 2 2 2 6" xfId="44822" xr:uid="{00000000-0005-0000-0000-0000D5B30000}"/>
    <cellStyle name="Normal 44 2 2 3" xfId="44823" xr:uid="{00000000-0005-0000-0000-0000D6B30000}"/>
    <cellStyle name="Normal 44 2 2 3 2" xfId="44824" xr:uid="{00000000-0005-0000-0000-0000D7B30000}"/>
    <cellStyle name="Normal 44 2 2 3 3" xfId="44825" xr:uid="{00000000-0005-0000-0000-0000D8B30000}"/>
    <cellStyle name="Normal 44 2 2 4" xfId="44826" xr:uid="{00000000-0005-0000-0000-0000D9B30000}"/>
    <cellStyle name="Normal 44 2 2 4 2" xfId="44827" xr:uid="{00000000-0005-0000-0000-0000DAB30000}"/>
    <cellStyle name="Normal 44 2 2 4 3" xfId="44828" xr:uid="{00000000-0005-0000-0000-0000DBB30000}"/>
    <cellStyle name="Normal 44 2 2 5" xfId="44829" xr:uid="{00000000-0005-0000-0000-0000DCB30000}"/>
    <cellStyle name="Normal 44 2 2 6" xfId="44830" xr:uid="{00000000-0005-0000-0000-0000DDB30000}"/>
    <cellStyle name="Normal 44 2 2 7" xfId="44831" xr:uid="{00000000-0005-0000-0000-0000DEB30000}"/>
    <cellStyle name="Normal 44 2 2 8" xfId="44832" xr:uid="{00000000-0005-0000-0000-0000DFB30000}"/>
    <cellStyle name="Normal 44 2 3" xfId="44833" xr:uid="{00000000-0005-0000-0000-0000E0B30000}"/>
    <cellStyle name="Normal 44 2 3 2" xfId="44834" xr:uid="{00000000-0005-0000-0000-0000E1B30000}"/>
    <cellStyle name="Normal 44 2 3 2 2" xfId="44835" xr:uid="{00000000-0005-0000-0000-0000E2B30000}"/>
    <cellStyle name="Normal 44 2 3 2 3" xfId="44836" xr:uid="{00000000-0005-0000-0000-0000E3B30000}"/>
    <cellStyle name="Normal 44 2 3 3" xfId="44837" xr:uid="{00000000-0005-0000-0000-0000E4B30000}"/>
    <cellStyle name="Normal 44 2 3 3 2" xfId="44838" xr:uid="{00000000-0005-0000-0000-0000E5B30000}"/>
    <cellStyle name="Normal 44 2 3 3 3" xfId="44839" xr:uid="{00000000-0005-0000-0000-0000E6B30000}"/>
    <cellStyle name="Normal 44 2 3 4" xfId="44840" xr:uid="{00000000-0005-0000-0000-0000E7B30000}"/>
    <cellStyle name="Normal 44 2 3 5" xfId="44841" xr:uid="{00000000-0005-0000-0000-0000E8B30000}"/>
    <cellStyle name="Normal 44 2 3 6" xfId="44842" xr:uid="{00000000-0005-0000-0000-0000E9B30000}"/>
    <cellStyle name="Normal 44 2 4" xfId="44843" xr:uid="{00000000-0005-0000-0000-0000EAB30000}"/>
    <cellStyle name="Normal 44 2 4 2" xfId="44844" xr:uid="{00000000-0005-0000-0000-0000EBB30000}"/>
    <cellStyle name="Normal 44 2 4 3" xfId="44845" xr:uid="{00000000-0005-0000-0000-0000ECB30000}"/>
    <cellStyle name="Normal 44 2 5" xfId="44846" xr:uid="{00000000-0005-0000-0000-0000EDB30000}"/>
    <cellStyle name="Normal 44 2 5 2" xfId="44847" xr:uid="{00000000-0005-0000-0000-0000EEB30000}"/>
    <cellStyle name="Normal 44 2 5 3" xfId="44848" xr:uid="{00000000-0005-0000-0000-0000EFB30000}"/>
    <cellStyle name="Normal 44 2 6" xfId="44849" xr:uid="{00000000-0005-0000-0000-0000F0B30000}"/>
    <cellStyle name="Normal 44 2 7" xfId="44850" xr:uid="{00000000-0005-0000-0000-0000F1B30000}"/>
    <cellStyle name="Normal 44 2 8" xfId="44851" xr:uid="{00000000-0005-0000-0000-0000F2B30000}"/>
    <cellStyle name="Normal 44 2 9" xfId="44852" xr:uid="{00000000-0005-0000-0000-0000F3B30000}"/>
    <cellStyle name="Normal 44 3" xfId="44853" xr:uid="{00000000-0005-0000-0000-0000F4B30000}"/>
    <cellStyle name="Normal 44 3 2" xfId="44854" xr:uid="{00000000-0005-0000-0000-0000F5B30000}"/>
    <cellStyle name="Normal 44 3 2 2" xfId="44855" xr:uid="{00000000-0005-0000-0000-0000F6B30000}"/>
    <cellStyle name="Normal 44 3 2 2 2" xfId="44856" xr:uid="{00000000-0005-0000-0000-0000F7B30000}"/>
    <cellStyle name="Normal 44 3 2 2 3" xfId="44857" xr:uid="{00000000-0005-0000-0000-0000F8B30000}"/>
    <cellStyle name="Normal 44 3 2 3" xfId="44858" xr:uid="{00000000-0005-0000-0000-0000F9B30000}"/>
    <cellStyle name="Normal 44 3 2 3 2" xfId="44859" xr:uid="{00000000-0005-0000-0000-0000FAB30000}"/>
    <cellStyle name="Normal 44 3 2 3 3" xfId="44860" xr:uid="{00000000-0005-0000-0000-0000FBB30000}"/>
    <cellStyle name="Normal 44 3 2 4" xfId="44861" xr:uid="{00000000-0005-0000-0000-0000FCB30000}"/>
    <cellStyle name="Normal 44 3 2 5" xfId="44862" xr:uid="{00000000-0005-0000-0000-0000FDB30000}"/>
    <cellStyle name="Normal 44 3 2 6" xfId="44863" xr:uid="{00000000-0005-0000-0000-0000FEB30000}"/>
    <cellStyle name="Normal 44 3 3" xfId="44864" xr:uid="{00000000-0005-0000-0000-0000FFB30000}"/>
    <cellStyle name="Normal 44 3 3 2" xfId="44865" xr:uid="{00000000-0005-0000-0000-000000B40000}"/>
    <cellStyle name="Normal 44 3 3 3" xfId="44866" xr:uid="{00000000-0005-0000-0000-000001B40000}"/>
    <cellStyle name="Normal 44 3 4" xfId="44867" xr:uid="{00000000-0005-0000-0000-000002B40000}"/>
    <cellStyle name="Normal 44 3 4 2" xfId="44868" xr:uid="{00000000-0005-0000-0000-000003B40000}"/>
    <cellStyle name="Normal 44 3 4 3" xfId="44869" xr:uid="{00000000-0005-0000-0000-000004B40000}"/>
    <cellStyle name="Normal 44 3 5" xfId="44870" xr:uid="{00000000-0005-0000-0000-000005B40000}"/>
    <cellStyle name="Normal 44 3 6" xfId="44871" xr:uid="{00000000-0005-0000-0000-000006B40000}"/>
    <cellStyle name="Normal 44 3 7" xfId="44872" xr:uid="{00000000-0005-0000-0000-000007B40000}"/>
    <cellStyle name="Normal 44 3 8" xfId="44873" xr:uid="{00000000-0005-0000-0000-000008B40000}"/>
    <cellStyle name="Normal 44 4" xfId="44874" xr:uid="{00000000-0005-0000-0000-000009B40000}"/>
    <cellStyle name="Normal 44 4 2" xfId="44875" xr:uid="{00000000-0005-0000-0000-00000AB40000}"/>
    <cellStyle name="Normal 44 4 2 2" xfId="44876" xr:uid="{00000000-0005-0000-0000-00000BB40000}"/>
    <cellStyle name="Normal 44 4 2 3" xfId="44877" xr:uid="{00000000-0005-0000-0000-00000CB40000}"/>
    <cellStyle name="Normal 44 4 3" xfId="44878" xr:uid="{00000000-0005-0000-0000-00000DB40000}"/>
    <cellStyle name="Normal 44 4 3 2" xfId="44879" xr:uid="{00000000-0005-0000-0000-00000EB40000}"/>
    <cellStyle name="Normal 44 4 3 3" xfId="44880" xr:uid="{00000000-0005-0000-0000-00000FB40000}"/>
    <cellStyle name="Normal 44 4 4" xfId="44881" xr:uid="{00000000-0005-0000-0000-000010B40000}"/>
    <cellStyle name="Normal 44 4 5" xfId="44882" xr:uid="{00000000-0005-0000-0000-000011B40000}"/>
    <cellStyle name="Normal 44 4 6" xfId="44883" xr:uid="{00000000-0005-0000-0000-000012B40000}"/>
    <cellStyle name="Normal 44 5" xfId="44884" xr:uid="{00000000-0005-0000-0000-000013B40000}"/>
    <cellStyle name="Normal 44 5 2" xfId="44885" xr:uid="{00000000-0005-0000-0000-000014B40000}"/>
    <cellStyle name="Normal 44 5 3" xfId="44886" xr:uid="{00000000-0005-0000-0000-000015B40000}"/>
    <cellStyle name="Normal 44 6" xfId="44887" xr:uid="{00000000-0005-0000-0000-000016B40000}"/>
    <cellStyle name="Normal 44 6 2" xfId="44888" xr:uid="{00000000-0005-0000-0000-000017B40000}"/>
    <cellStyle name="Normal 44 6 3" xfId="44889" xr:uid="{00000000-0005-0000-0000-000018B40000}"/>
    <cellStyle name="Normal 44 7" xfId="44890" xr:uid="{00000000-0005-0000-0000-000019B40000}"/>
    <cellStyle name="Normal 44 8" xfId="44891" xr:uid="{00000000-0005-0000-0000-00001AB40000}"/>
    <cellStyle name="Normal 44 9" xfId="44892" xr:uid="{00000000-0005-0000-0000-00001BB40000}"/>
    <cellStyle name="Normal 440" xfId="3497" xr:uid="{00000000-0005-0000-0000-00001CB40000}"/>
    <cellStyle name="Normal 440 10" xfId="44893" xr:uid="{00000000-0005-0000-0000-00001DB40000}"/>
    <cellStyle name="Normal 440 11" xfId="44894" xr:uid="{00000000-0005-0000-0000-00001EB40000}"/>
    <cellStyle name="Normal 440 2" xfId="44895" xr:uid="{00000000-0005-0000-0000-00001FB40000}"/>
    <cellStyle name="Normal 440 2 2" xfId="44896" xr:uid="{00000000-0005-0000-0000-000020B40000}"/>
    <cellStyle name="Normal 440 2 2 2" xfId="44897" xr:uid="{00000000-0005-0000-0000-000021B40000}"/>
    <cellStyle name="Normal 440 2 2 2 2" xfId="44898" xr:uid="{00000000-0005-0000-0000-000022B40000}"/>
    <cellStyle name="Normal 440 2 2 2 2 2" xfId="44899" xr:uid="{00000000-0005-0000-0000-000023B40000}"/>
    <cellStyle name="Normal 440 2 2 2 2 3" xfId="44900" xr:uid="{00000000-0005-0000-0000-000024B40000}"/>
    <cellStyle name="Normal 440 2 2 2 3" xfId="44901" xr:uid="{00000000-0005-0000-0000-000025B40000}"/>
    <cellStyle name="Normal 440 2 2 2 3 2" xfId="44902" xr:uid="{00000000-0005-0000-0000-000026B40000}"/>
    <cellStyle name="Normal 440 2 2 2 3 3" xfId="44903" xr:uid="{00000000-0005-0000-0000-000027B40000}"/>
    <cellStyle name="Normal 440 2 2 2 4" xfId="44904" xr:uid="{00000000-0005-0000-0000-000028B40000}"/>
    <cellStyle name="Normal 440 2 2 2 5" xfId="44905" xr:uid="{00000000-0005-0000-0000-000029B40000}"/>
    <cellStyle name="Normal 440 2 2 2 6" xfId="44906" xr:uid="{00000000-0005-0000-0000-00002AB40000}"/>
    <cellStyle name="Normal 440 2 2 3" xfId="44907" xr:uid="{00000000-0005-0000-0000-00002BB40000}"/>
    <cellStyle name="Normal 440 2 2 3 2" xfId="44908" xr:uid="{00000000-0005-0000-0000-00002CB40000}"/>
    <cellStyle name="Normal 440 2 2 3 3" xfId="44909" xr:uid="{00000000-0005-0000-0000-00002DB40000}"/>
    <cellStyle name="Normal 440 2 2 4" xfId="44910" xr:uid="{00000000-0005-0000-0000-00002EB40000}"/>
    <cellStyle name="Normal 440 2 2 4 2" xfId="44911" xr:uid="{00000000-0005-0000-0000-00002FB40000}"/>
    <cellStyle name="Normal 440 2 2 4 3" xfId="44912" xr:uid="{00000000-0005-0000-0000-000030B40000}"/>
    <cellStyle name="Normal 440 2 2 5" xfId="44913" xr:uid="{00000000-0005-0000-0000-000031B40000}"/>
    <cellStyle name="Normal 440 2 2 6" xfId="44914" xr:uid="{00000000-0005-0000-0000-000032B40000}"/>
    <cellStyle name="Normal 440 2 2 7" xfId="44915" xr:uid="{00000000-0005-0000-0000-000033B40000}"/>
    <cellStyle name="Normal 440 2 2 8" xfId="44916" xr:uid="{00000000-0005-0000-0000-000034B40000}"/>
    <cellStyle name="Normal 440 2 3" xfId="44917" xr:uid="{00000000-0005-0000-0000-000035B40000}"/>
    <cellStyle name="Normal 440 2 3 2" xfId="44918" xr:uid="{00000000-0005-0000-0000-000036B40000}"/>
    <cellStyle name="Normal 440 2 3 2 2" xfId="44919" xr:uid="{00000000-0005-0000-0000-000037B40000}"/>
    <cellStyle name="Normal 440 2 3 2 3" xfId="44920" xr:uid="{00000000-0005-0000-0000-000038B40000}"/>
    <cellStyle name="Normal 440 2 3 3" xfId="44921" xr:uid="{00000000-0005-0000-0000-000039B40000}"/>
    <cellStyle name="Normal 440 2 3 3 2" xfId="44922" xr:uid="{00000000-0005-0000-0000-00003AB40000}"/>
    <cellStyle name="Normal 440 2 3 3 3" xfId="44923" xr:uid="{00000000-0005-0000-0000-00003BB40000}"/>
    <cellStyle name="Normal 440 2 3 4" xfId="44924" xr:uid="{00000000-0005-0000-0000-00003CB40000}"/>
    <cellStyle name="Normal 440 2 3 5" xfId="44925" xr:uid="{00000000-0005-0000-0000-00003DB40000}"/>
    <cellStyle name="Normal 440 2 3 6" xfId="44926" xr:uid="{00000000-0005-0000-0000-00003EB40000}"/>
    <cellStyle name="Normal 440 2 4" xfId="44927" xr:uid="{00000000-0005-0000-0000-00003FB40000}"/>
    <cellStyle name="Normal 440 2 4 2" xfId="44928" xr:uid="{00000000-0005-0000-0000-000040B40000}"/>
    <cellStyle name="Normal 440 2 4 3" xfId="44929" xr:uid="{00000000-0005-0000-0000-000041B40000}"/>
    <cellStyle name="Normal 440 2 5" xfId="44930" xr:uid="{00000000-0005-0000-0000-000042B40000}"/>
    <cellStyle name="Normal 440 2 5 2" xfId="44931" xr:uid="{00000000-0005-0000-0000-000043B40000}"/>
    <cellStyle name="Normal 440 2 5 3" xfId="44932" xr:uid="{00000000-0005-0000-0000-000044B40000}"/>
    <cellStyle name="Normal 440 2 6" xfId="44933" xr:uid="{00000000-0005-0000-0000-000045B40000}"/>
    <cellStyle name="Normal 440 2 7" xfId="44934" xr:uid="{00000000-0005-0000-0000-000046B40000}"/>
    <cellStyle name="Normal 440 2 8" xfId="44935" xr:uid="{00000000-0005-0000-0000-000047B40000}"/>
    <cellStyle name="Normal 440 2 9" xfId="44936" xr:uid="{00000000-0005-0000-0000-000048B40000}"/>
    <cellStyle name="Normal 440 3" xfId="44937" xr:uid="{00000000-0005-0000-0000-000049B40000}"/>
    <cellStyle name="Normal 440 3 2" xfId="44938" xr:uid="{00000000-0005-0000-0000-00004AB40000}"/>
    <cellStyle name="Normal 440 3 2 2" xfId="44939" xr:uid="{00000000-0005-0000-0000-00004BB40000}"/>
    <cellStyle name="Normal 440 3 2 2 2" xfId="44940" xr:uid="{00000000-0005-0000-0000-00004CB40000}"/>
    <cellStyle name="Normal 440 3 2 2 3" xfId="44941" xr:uid="{00000000-0005-0000-0000-00004DB40000}"/>
    <cellStyle name="Normal 440 3 2 3" xfId="44942" xr:uid="{00000000-0005-0000-0000-00004EB40000}"/>
    <cellStyle name="Normal 440 3 2 3 2" xfId="44943" xr:uid="{00000000-0005-0000-0000-00004FB40000}"/>
    <cellStyle name="Normal 440 3 2 3 3" xfId="44944" xr:uid="{00000000-0005-0000-0000-000050B40000}"/>
    <cellStyle name="Normal 440 3 2 4" xfId="44945" xr:uid="{00000000-0005-0000-0000-000051B40000}"/>
    <cellStyle name="Normal 440 3 2 5" xfId="44946" xr:uid="{00000000-0005-0000-0000-000052B40000}"/>
    <cellStyle name="Normal 440 3 2 6" xfId="44947" xr:uid="{00000000-0005-0000-0000-000053B40000}"/>
    <cellStyle name="Normal 440 3 3" xfId="44948" xr:uid="{00000000-0005-0000-0000-000054B40000}"/>
    <cellStyle name="Normal 440 3 3 2" xfId="44949" xr:uid="{00000000-0005-0000-0000-000055B40000}"/>
    <cellStyle name="Normal 440 3 3 3" xfId="44950" xr:uid="{00000000-0005-0000-0000-000056B40000}"/>
    <cellStyle name="Normal 440 3 4" xfId="44951" xr:uid="{00000000-0005-0000-0000-000057B40000}"/>
    <cellStyle name="Normal 440 3 4 2" xfId="44952" xr:uid="{00000000-0005-0000-0000-000058B40000}"/>
    <cellStyle name="Normal 440 3 4 3" xfId="44953" xr:uid="{00000000-0005-0000-0000-000059B40000}"/>
    <cellStyle name="Normal 440 3 5" xfId="44954" xr:uid="{00000000-0005-0000-0000-00005AB40000}"/>
    <cellStyle name="Normal 440 3 6" xfId="44955" xr:uid="{00000000-0005-0000-0000-00005BB40000}"/>
    <cellStyle name="Normal 440 3 7" xfId="44956" xr:uid="{00000000-0005-0000-0000-00005CB40000}"/>
    <cellStyle name="Normal 440 3 8" xfId="44957" xr:uid="{00000000-0005-0000-0000-00005DB40000}"/>
    <cellStyle name="Normal 440 4" xfId="44958" xr:uid="{00000000-0005-0000-0000-00005EB40000}"/>
    <cellStyle name="Normal 440 4 2" xfId="44959" xr:uid="{00000000-0005-0000-0000-00005FB40000}"/>
    <cellStyle name="Normal 440 4 2 2" xfId="44960" xr:uid="{00000000-0005-0000-0000-000060B40000}"/>
    <cellStyle name="Normal 440 4 2 3" xfId="44961" xr:uid="{00000000-0005-0000-0000-000061B40000}"/>
    <cellStyle name="Normal 440 4 3" xfId="44962" xr:uid="{00000000-0005-0000-0000-000062B40000}"/>
    <cellStyle name="Normal 440 4 3 2" xfId="44963" xr:uid="{00000000-0005-0000-0000-000063B40000}"/>
    <cellStyle name="Normal 440 4 3 3" xfId="44964" xr:uid="{00000000-0005-0000-0000-000064B40000}"/>
    <cellStyle name="Normal 440 4 4" xfId="44965" xr:uid="{00000000-0005-0000-0000-000065B40000}"/>
    <cellStyle name="Normal 440 4 5" xfId="44966" xr:uid="{00000000-0005-0000-0000-000066B40000}"/>
    <cellStyle name="Normal 440 4 6" xfId="44967" xr:uid="{00000000-0005-0000-0000-000067B40000}"/>
    <cellStyle name="Normal 440 5" xfId="44968" xr:uid="{00000000-0005-0000-0000-000068B40000}"/>
    <cellStyle name="Normal 440 5 2" xfId="44969" xr:uid="{00000000-0005-0000-0000-000069B40000}"/>
    <cellStyle name="Normal 440 5 3" xfId="44970" xr:uid="{00000000-0005-0000-0000-00006AB40000}"/>
    <cellStyle name="Normal 440 6" xfId="44971" xr:uid="{00000000-0005-0000-0000-00006BB40000}"/>
    <cellStyle name="Normal 440 6 2" xfId="44972" xr:uid="{00000000-0005-0000-0000-00006CB40000}"/>
    <cellStyle name="Normal 440 6 3" xfId="44973" xr:uid="{00000000-0005-0000-0000-00006DB40000}"/>
    <cellStyle name="Normal 440 7" xfId="44974" xr:uid="{00000000-0005-0000-0000-00006EB40000}"/>
    <cellStyle name="Normal 440 8" xfId="44975" xr:uid="{00000000-0005-0000-0000-00006FB40000}"/>
    <cellStyle name="Normal 440 9" xfId="44976" xr:uid="{00000000-0005-0000-0000-000070B40000}"/>
    <cellStyle name="Normal 441" xfId="3498" xr:uid="{00000000-0005-0000-0000-000071B40000}"/>
    <cellStyle name="Normal 441 10" xfId="44977" xr:uid="{00000000-0005-0000-0000-000072B40000}"/>
    <cellStyle name="Normal 441 11" xfId="44978" xr:uid="{00000000-0005-0000-0000-000073B40000}"/>
    <cellStyle name="Normal 441 2" xfId="44979" xr:uid="{00000000-0005-0000-0000-000074B40000}"/>
    <cellStyle name="Normal 441 2 2" xfId="44980" xr:uid="{00000000-0005-0000-0000-000075B40000}"/>
    <cellStyle name="Normal 441 2 2 2" xfId="44981" xr:uid="{00000000-0005-0000-0000-000076B40000}"/>
    <cellStyle name="Normal 441 2 2 2 2" xfId="44982" xr:uid="{00000000-0005-0000-0000-000077B40000}"/>
    <cellStyle name="Normal 441 2 2 2 2 2" xfId="44983" xr:uid="{00000000-0005-0000-0000-000078B40000}"/>
    <cellStyle name="Normal 441 2 2 2 2 3" xfId="44984" xr:uid="{00000000-0005-0000-0000-000079B40000}"/>
    <cellStyle name="Normal 441 2 2 2 3" xfId="44985" xr:uid="{00000000-0005-0000-0000-00007AB40000}"/>
    <cellStyle name="Normal 441 2 2 2 3 2" xfId="44986" xr:uid="{00000000-0005-0000-0000-00007BB40000}"/>
    <cellStyle name="Normal 441 2 2 2 3 3" xfId="44987" xr:uid="{00000000-0005-0000-0000-00007CB40000}"/>
    <cellStyle name="Normal 441 2 2 2 4" xfId="44988" xr:uid="{00000000-0005-0000-0000-00007DB40000}"/>
    <cellStyle name="Normal 441 2 2 2 5" xfId="44989" xr:uid="{00000000-0005-0000-0000-00007EB40000}"/>
    <cellStyle name="Normal 441 2 2 2 6" xfId="44990" xr:uid="{00000000-0005-0000-0000-00007FB40000}"/>
    <cellStyle name="Normal 441 2 2 3" xfId="44991" xr:uid="{00000000-0005-0000-0000-000080B40000}"/>
    <cellStyle name="Normal 441 2 2 3 2" xfId="44992" xr:uid="{00000000-0005-0000-0000-000081B40000}"/>
    <cellStyle name="Normal 441 2 2 3 3" xfId="44993" xr:uid="{00000000-0005-0000-0000-000082B40000}"/>
    <cellStyle name="Normal 441 2 2 4" xfId="44994" xr:uid="{00000000-0005-0000-0000-000083B40000}"/>
    <cellStyle name="Normal 441 2 2 4 2" xfId="44995" xr:uid="{00000000-0005-0000-0000-000084B40000}"/>
    <cellStyle name="Normal 441 2 2 4 3" xfId="44996" xr:uid="{00000000-0005-0000-0000-000085B40000}"/>
    <cellStyle name="Normal 441 2 2 5" xfId="44997" xr:uid="{00000000-0005-0000-0000-000086B40000}"/>
    <cellStyle name="Normal 441 2 2 6" xfId="44998" xr:uid="{00000000-0005-0000-0000-000087B40000}"/>
    <cellStyle name="Normal 441 2 2 7" xfId="44999" xr:uid="{00000000-0005-0000-0000-000088B40000}"/>
    <cellStyle name="Normal 441 2 2 8" xfId="45000" xr:uid="{00000000-0005-0000-0000-000089B40000}"/>
    <cellStyle name="Normal 441 2 3" xfId="45001" xr:uid="{00000000-0005-0000-0000-00008AB40000}"/>
    <cellStyle name="Normal 441 2 3 2" xfId="45002" xr:uid="{00000000-0005-0000-0000-00008BB40000}"/>
    <cellStyle name="Normal 441 2 3 2 2" xfId="45003" xr:uid="{00000000-0005-0000-0000-00008CB40000}"/>
    <cellStyle name="Normal 441 2 3 2 3" xfId="45004" xr:uid="{00000000-0005-0000-0000-00008DB40000}"/>
    <cellStyle name="Normal 441 2 3 3" xfId="45005" xr:uid="{00000000-0005-0000-0000-00008EB40000}"/>
    <cellStyle name="Normal 441 2 3 3 2" xfId="45006" xr:uid="{00000000-0005-0000-0000-00008FB40000}"/>
    <cellStyle name="Normal 441 2 3 3 3" xfId="45007" xr:uid="{00000000-0005-0000-0000-000090B40000}"/>
    <cellStyle name="Normal 441 2 3 4" xfId="45008" xr:uid="{00000000-0005-0000-0000-000091B40000}"/>
    <cellStyle name="Normal 441 2 3 5" xfId="45009" xr:uid="{00000000-0005-0000-0000-000092B40000}"/>
    <cellStyle name="Normal 441 2 3 6" xfId="45010" xr:uid="{00000000-0005-0000-0000-000093B40000}"/>
    <cellStyle name="Normal 441 2 4" xfId="45011" xr:uid="{00000000-0005-0000-0000-000094B40000}"/>
    <cellStyle name="Normal 441 2 4 2" xfId="45012" xr:uid="{00000000-0005-0000-0000-000095B40000}"/>
    <cellStyle name="Normal 441 2 4 3" xfId="45013" xr:uid="{00000000-0005-0000-0000-000096B40000}"/>
    <cellStyle name="Normal 441 2 5" xfId="45014" xr:uid="{00000000-0005-0000-0000-000097B40000}"/>
    <cellStyle name="Normal 441 2 5 2" xfId="45015" xr:uid="{00000000-0005-0000-0000-000098B40000}"/>
    <cellStyle name="Normal 441 2 5 3" xfId="45016" xr:uid="{00000000-0005-0000-0000-000099B40000}"/>
    <cellStyle name="Normal 441 2 6" xfId="45017" xr:uid="{00000000-0005-0000-0000-00009AB40000}"/>
    <cellStyle name="Normal 441 2 7" xfId="45018" xr:uid="{00000000-0005-0000-0000-00009BB40000}"/>
    <cellStyle name="Normal 441 2 8" xfId="45019" xr:uid="{00000000-0005-0000-0000-00009CB40000}"/>
    <cellStyle name="Normal 441 2 9" xfId="45020" xr:uid="{00000000-0005-0000-0000-00009DB40000}"/>
    <cellStyle name="Normal 441 3" xfId="45021" xr:uid="{00000000-0005-0000-0000-00009EB40000}"/>
    <cellStyle name="Normal 441 3 2" xfId="45022" xr:uid="{00000000-0005-0000-0000-00009FB40000}"/>
    <cellStyle name="Normal 441 3 2 2" xfId="45023" xr:uid="{00000000-0005-0000-0000-0000A0B40000}"/>
    <cellStyle name="Normal 441 3 2 2 2" xfId="45024" xr:uid="{00000000-0005-0000-0000-0000A1B40000}"/>
    <cellStyle name="Normal 441 3 2 2 3" xfId="45025" xr:uid="{00000000-0005-0000-0000-0000A2B40000}"/>
    <cellStyle name="Normal 441 3 2 3" xfId="45026" xr:uid="{00000000-0005-0000-0000-0000A3B40000}"/>
    <cellStyle name="Normal 441 3 2 3 2" xfId="45027" xr:uid="{00000000-0005-0000-0000-0000A4B40000}"/>
    <cellStyle name="Normal 441 3 2 3 3" xfId="45028" xr:uid="{00000000-0005-0000-0000-0000A5B40000}"/>
    <cellStyle name="Normal 441 3 2 4" xfId="45029" xr:uid="{00000000-0005-0000-0000-0000A6B40000}"/>
    <cellStyle name="Normal 441 3 2 5" xfId="45030" xr:uid="{00000000-0005-0000-0000-0000A7B40000}"/>
    <cellStyle name="Normal 441 3 2 6" xfId="45031" xr:uid="{00000000-0005-0000-0000-0000A8B40000}"/>
    <cellStyle name="Normal 441 3 3" xfId="45032" xr:uid="{00000000-0005-0000-0000-0000A9B40000}"/>
    <cellStyle name="Normal 441 3 3 2" xfId="45033" xr:uid="{00000000-0005-0000-0000-0000AAB40000}"/>
    <cellStyle name="Normal 441 3 3 3" xfId="45034" xr:uid="{00000000-0005-0000-0000-0000ABB40000}"/>
    <cellStyle name="Normal 441 3 4" xfId="45035" xr:uid="{00000000-0005-0000-0000-0000ACB40000}"/>
    <cellStyle name="Normal 441 3 4 2" xfId="45036" xr:uid="{00000000-0005-0000-0000-0000ADB40000}"/>
    <cellStyle name="Normal 441 3 4 3" xfId="45037" xr:uid="{00000000-0005-0000-0000-0000AEB40000}"/>
    <cellStyle name="Normal 441 3 5" xfId="45038" xr:uid="{00000000-0005-0000-0000-0000AFB40000}"/>
    <cellStyle name="Normal 441 3 6" xfId="45039" xr:uid="{00000000-0005-0000-0000-0000B0B40000}"/>
    <cellStyle name="Normal 441 3 7" xfId="45040" xr:uid="{00000000-0005-0000-0000-0000B1B40000}"/>
    <cellStyle name="Normal 441 3 8" xfId="45041" xr:uid="{00000000-0005-0000-0000-0000B2B40000}"/>
    <cellStyle name="Normal 441 4" xfId="45042" xr:uid="{00000000-0005-0000-0000-0000B3B40000}"/>
    <cellStyle name="Normal 441 4 2" xfId="45043" xr:uid="{00000000-0005-0000-0000-0000B4B40000}"/>
    <cellStyle name="Normal 441 4 2 2" xfId="45044" xr:uid="{00000000-0005-0000-0000-0000B5B40000}"/>
    <cellStyle name="Normal 441 4 2 3" xfId="45045" xr:uid="{00000000-0005-0000-0000-0000B6B40000}"/>
    <cellStyle name="Normal 441 4 3" xfId="45046" xr:uid="{00000000-0005-0000-0000-0000B7B40000}"/>
    <cellStyle name="Normal 441 4 3 2" xfId="45047" xr:uid="{00000000-0005-0000-0000-0000B8B40000}"/>
    <cellStyle name="Normal 441 4 3 3" xfId="45048" xr:uid="{00000000-0005-0000-0000-0000B9B40000}"/>
    <cellStyle name="Normal 441 4 4" xfId="45049" xr:uid="{00000000-0005-0000-0000-0000BAB40000}"/>
    <cellStyle name="Normal 441 4 5" xfId="45050" xr:uid="{00000000-0005-0000-0000-0000BBB40000}"/>
    <cellStyle name="Normal 441 4 6" xfId="45051" xr:uid="{00000000-0005-0000-0000-0000BCB40000}"/>
    <cellStyle name="Normal 441 5" xfId="45052" xr:uid="{00000000-0005-0000-0000-0000BDB40000}"/>
    <cellStyle name="Normal 441 5 2" xfId="45053" xr:uid="{00000000-0005-0000-0000-0000BEB40000}"/>
    <cellStyle name="Normal 441 5 3" xfId="45054" xr:uid="{00000000-0005-0000-0000-0000BFB40000}"/>
    <cellStyle name="Normal 441 6" xfId="45055" xr:uid="{00000000-0005-0000-0000-0000C0B40000}"/>
    <cellStyle name="Normal 441 6 2" xfId="45056" xr:uid="{00000000-0005-0000-0000-0000C1B40000}"/>
    <cellStyle name="Normal 441 6 3" xfId="45057" xr:uid="{00000000-0005-0000-0000-0000C2B40000}"/>
    <cellStyle name="Normal 441 7" xfId="45058" xr:uid="{00000000-0005-0000-0000-0000C3B40000}"/>
    <cellStyle name="Normal 441 8" xfId="45059" xr:uid="{00000000-0005-0000-0000-0000C4B40000}"/>
    <cellStyle name="Normal 441 9" xfId="45060" xr:uid="{00000000-0005-0000-0000-0000C5B40000}"/>
    <cellStyle name="Normal 442" xfId="3499" xr:uid="{00000000-0005-0000-0000-0000C6B40000}"/>
    <cellStyle name="Normal 442 10" xfId="45061" xr:uid="{00000000-0005-0000-0000-0000C7B40000}"/>
    <cellStyle name="Normal 442 11" xfId="45062" xr:uid="{00000000-0005-0000-0000-0000C8B40000}"/>
    <cellStyle name="Normal 442 2" xfId="45063" xr:uid="{00000000-0005-0000-0000-0000C9B40000}"/>
    <cellStyle name="Normal 442 2 2" xfId="45064" xr:uid="{00000000-0005-0000-0000-0000CAB40000}"/>
    <cellStyle name="Normal 442 2 2 2" xfId="45065" xr:uid="{00000000-0005-0000-0000-0000CBB40000}"/>
    <cellStyle name="Normal 442 2 2 2 2" xfId="45066" xr:uid="{00000000-0005-0000-0000-0000CCB40000}"/>
    <cellStyle name="Normal 442 2 2 2 2 2" xfId="45067" xr:uid="{00000000-0005-0000-0000-0000CDB40000}"/>
    <cellStyle name="Normal 442 2 2 2 2 3" xfId="45068" xr:uid="{00000000-0005-0000-0000-0000CEB40000}"/>
    <cellStyle name="Normal 442 2 2 2 3" xfId="45069" xr:uid="{00000000-0005-0000-0000-0000CFB40000}"/>
    <cellStyle name="Normal 442 2 2 2 3 2" xfId="45070" xr:uid="{00000000-0005-0000-0000-0000D0B40000}"/>
    <cellStyle name="Normal 442 2 2 2 3 3" xfId="45071" xr:uid="{00000000-0005-0000-0000-0000D1B40000}"/>
    <cellStyle name="Normal 442 2 2 2 4" xfId="45072" xr:uid="{00000000-0005-0000-0000-0000D2B40000}"/>
    <cellStyle name="Normal 442 2 2 2 5" xfId="45073" xr:uid="{00000000-0005-0000-0000-0000D3B40000}"/>
    <cellStyle name="Normal 442 2 2 2 6" xfId="45074" xr:uid="{00000000-0005-0000-0000-0000D4B40000}"/>
    <cellStyle name="Normal 442 2 2 3" xfId="45075" xr:uid="{00000000-0005-0000-0000-0000D5B40000}"/>
    <cellStyle name="Normal 442 2 2 3 2" xfId="45076" xr:uid="{00000000-0005-0000-0000-0000D6B40000}"/>
    <cellStyle name="Normal 442 2 2 3 3" xfId="45077" xr:uid="{00000000-0005-0000-0000-0000D7B40000}"/>
    <cellStyle name="Normal 442 2 2 4" xfId="45078" xr:uid="{00000000-0005-0000-0000-0000D8B40000}"/>
    <cellStyle name="Normal 442 2 2 4 2" xfId="45079" xr:uid="{00000000-0005-0000-0000-0000D9B40000}"/>
    <cellStyle name="Normal 442 2 2 4 3" xfId="45080" xr:uid="{00000000-0005-0000-0000-0000DAB40000}"/>
    <cellStyle name="Normal 442 2 2 5" xfId="45081" xr:uid="{00000000-0005-0000-0000-0000DBB40000}"/>
    <cellStyle name="Normal 442 2 2 6" xfId="45082" xr:uid="{00000000-0005-0000-0000-0000DCB40000}"/>
    <cellStyle name="Normal 442 2 2 7" xfId="45083" xr:uid="{00000000-0005-0000-0000-0000DDB40000}"/>
    <cellStyle name="Normal 442 2 2 8" xfId="45084" xr:uid="{00000000-0005-0000-0000-0000DEB40000}"/>
    <cellStyle name="Normal 442 2 3" xfId="45085" xr:uid="{00000000-0005-0000-0000-0000DFB40000}"/>
    <cellStyle name="Normal 442 2 3 2" xfId="45086" xr:uid="{00000000-0005-0000-0000-0000E0B40000}"/>
    <cellStyle name="Normal 442 2 3 2 2" xfId="45087" xr:uid="{00000000-0005-0000-0000-0000E1B40000}"/>
    <cellStyle name="Normal 442 2 3 2 3" xfId="45088" xr:uid="{00000000-0005-0000-0000-0000E2B40000}"/>
    <cellStyle name="Normal 442 2 3 3" xfId="45089" xr:uid="{00000000-0005-0000-0000-0000E3B40000}"/>
    <cellStyle name="Normal 442 2 3 3 2" xfId="45090" xr:uid="{00000000-0005-0000-0000-0000E4B40000}"/>
    <cellStyle name="Normal 442 2 3 3 3" xfId="45091" xr:uid="{00000000-0005-0000-0000-0000E5B40000}"/>
    <cellStyle name="Normal 442 2 3 4" xfId="45092" xr:uid="{00000000-0005-0000-0000-0000E6B40000}"/>
    <cellStyle name="Normal 442 2 3 5" xfId="45093" xr:uid="{00000000-0005-0000-0000-0000E7B40000}"/>
    <cellStyle name="Normal 442 2 3 6" xfId="45094" xr:uid="{00000000-0005-0000-0000-0000E8B40000}"/>
    <cellStyle name="Normal 442 2 4" xfId="45095" xr:uid="{00000000-0005-0000-0000-0000E9B40000}"/>
    <cellStyle name="Normal 442 2 4 2" xfId="45096" xr:uid="{00000000-0005-0000-0000-0000EAB40000}"/>
    <cellStyle name="Normal 442 2 4 3" xfId="45097" xr:uid="{00000000-0005-0000-0000-0000EBB40000}"/>
    <cellStyle name="Normal 442 2 5" xfId="45098" xr:uid="{00000000-0005-0000-0000-0000ECB40000}"/>
    <cellStyle name="Normal 442 2 5 2" xfId="45099" xr:uid="{00000000-0005-0000-0000-0000EDB40000}"/>
    <cellStyle name="Normal 442 2 5 3" xfId="45100" xr:uid="{00000000-0005-0000-0000-0000EEB40000}"/>
    <cellStyle name="Normal 442 2 6" xfId="45101" xr:uid="{00000000-0005-0000-0000-0000EFB40000}"/>
    <cellStyle name="Normal 442 2 7" xfId="45102" xr:uid="{00000000-0005-0000-0000-0000F0B40000}"/>
    <cellStyle name="Normal 442 2 8" xfId="45103" xr:uid="{00000000-0005-0000-0000-0000F1B40000}"/>
    <cellStyle name="Normal 442 2 9" xfId="45104" xr:uid="{00000000-0005-0000-0000-0000F2B40000}"/>
    <cellStyle name="Normal 442 3" xfId="45105" xr:uid="{00000000-0005-0000-0000-0000F3B40000}"/>
    <cellStyle name="Normal 442 3 2" xfId="45106" xr:uid="{00000000-0005-0000-0000-0000F4B40000}"/>
    <cellStyle name="Normal 442 3 2 2" xfId="45107" xr:uid="{00000000-0005-0000-0000-0000F5B40000}"/>
    <cellStyle name="Normal 442 3 2 2 2" xfId="45108" xr:uid="{00000000-0005-0000-0000-0000F6B40000}"/>
    <cellStyle name="Normal 442 3 2 2 3" xfId="45109" xr:uid="{00000000-0005-0000-0000-0000F7B40000}"/>
    <cellStyle name="Normal 442 3 2 3" xfId="45110" xr:uid="{00000000-0005-0000-0000-0000F8B40000}"/>
    <cellStyle name="Normal 442 3 2 3 2" xfId="45111" xr:uid="{00000000-0005-0000-0000-0000F9B40000}"/>
    <cellStyle name="Normal 442 3 2 3 3" xfId="45112" xr:uid="{00000000-0005-0000-0000-0000FAB40000}"/>
    <cellStyle name="Normal 442 3 2 4" xfId="45113" xr:uid="{00000000-0005-0000-0000-0000FBB40000}"/>
    <cellStyle name="Normal 442 3 2 5" xfId="45114" xr:uid="{00000000-0005-0000-0000-0000FCB40000}"/>
    <cellStyle name="Normal 442 3 2 6" xfId="45115" xr:uid="{00000000-0005-0000-0000-0000FDB40000}"/>
    <cellStyle name="Normal 442 3 3" xfId="45116" xr:uid="{00000000-0005-0000-0000-0000FEB40000}"/>
    <cellStyle name="Normal 442 3 3 2" xfId="45117" xr:uid="{00000000-0005-0000-0000-0000FFB40000}"/>
    <cellStyle name="Normal 442 3 3 3" xfId="45118" xr:uid="{00000000-0005-0000-0000-000000B50000}"/>
    <cellStyle name="Normal 442 3 4" xfId="45119" xr:uid="{00000000-0005-0000-0000-000001B50000}"/>
    <cellStyle name="Normal 442 3 4 2" xfId="45120" xr:uid="{00000000-0005-0000-0000-000002B50000}"/>
    <cellStyle name="Normal 442 3 4 3" xfId="45121" xr:uid="{00000000-0005-0000-0000-000003B50000}"/>
    <cellStyle name="Normal 442 3 5" xfId="45122" xr:uid="{00000000-0005-0000-0000-000004B50000}"/>
    <cellStyle name="Normal 442 3 6" xfId="45123" xr:uid="{00000000-0005-0000-0000-000005B50000}"/>
    <cellStyle name="Normal 442 3 7" xfId="45124" xr:uid="{00000000-0005-0000-0000-000006B50000}"/>
    <cellStyle name="Normal 442 3 8" xfId="45125" xr:uid="{00000000-0005-0000-0000-000007B50000}"/>
    <cellStyle name="Normal 442 4" xfId="45126" xr:uid="{00000000-0005-0000-0000-000008B50000}"/>
    <cellStyle name="Normal 442 4 2" xfId="45127" xr:uid="{00000000-0005-0000-0000-000009B50000}"/>
    <cellStyle name="Normal 442 4 2 2" xfId="45128" xr:uid="{00000000-0005-0000-0000-00000AB50000}"/>
    <cellStyle name="Normal 442 4 2 3" xfId="45129" xr:uid="{00000000-0005-0000-0000-00000BB50000}"/>
    <cellStyle name="Normal 442 4 3" xfId="45130" xr:uid="{00000000-0005-0000-0000-00000CB50000}"/>
    <cellStyle name="Normal 442 4 3 2" xfId="45131" xr:uid="{00000000-0005-0000-0000-00000DB50000}"/>
    <cellStyle name="Normal 442 4 3 3" xfId="45132" xr:uid="{00000000-0005-0000-0000-00000EB50000}"/>
    <cellStyle name="Normal 442 4 4" xfId="45133" xr:uid="{00000000-0005-0000-0000-00000FB50000}"/>
    <cellStyle name="Normal 442 4 5" xfId="45134" xr:uid="{00000000-0005-0000-0000-000010B50000}"/>
    <cellStyle name="Normal 442 4 6" xfId="45135" xr:uid="{00000000-0005-0000-0000-000011B50000}"/>
    <cellStyle name="Normal 442 5" xfId="45136" xr:uid="{00000000-0005-0000-0000-000012B50000}"/>
    <cellStyle name="Normal 442 5 2" xfId="45137" xr:uid="{00000000-0005-0000-0000-000013B50000}"/>
    <cellStyle name="Normal 442 5 3" xfId="45138" xr:uid="{00000000-0005-0000-0000-000014B50000}"/>
    <cellStyle name="Normal 442 6" xfId="45139" xr:uid="{00000000-0005-0000-0000-000015B50000}"/>
    <cellStyle name="Normal 442 6 2" xfId="45140" xr:uid="{00000000-0005-0000-0000-000016B50000}"/>
    <cellStyle name="Normal 442 6 3" xfId="45141" xr:uid="{00000000-0005-0000-0000-000017B50000}"/>
    <cellStyle name="Normal 442 7" xfId="45142" xr:uid="{00000000-0005-0000-0000-000018B50000}"/>
    <cellStyle name="Normal 442 8" xfId="45143" xr:uid="{00000000-0005-0000-0000-000019B50000}"/>
    <cellStyle name="Normal 442 9" xfId="45144" xr:uid="{00000000-0005-0000-0000-00001AB50000}"/>
    <cellStyle name="Normal 443" xfId="3500" xr:uid="{00000000-0005-0000-0000-00001BB50000}"/>
    <cellStyle name="Normal 443 2" xfId="45145" xr:uid="{00000000-0005-0000-0000-00001CB50000}"/>
    <cellStyle name="Normal 443 3" xfId="45146" xr:uid="{00000000-0005-0000-0000-00001DB50000}"/>
    <cellStyle name="Normal 444" xfId="3501" xr:uid="{00000000-0005-0000-0000-00001EB50000}"/>
    <cellStyle name="Normal 444 2" xfId="45147" xr:uid="{00000000-0005-0000-0000-00001FB50000}"/>
    <cellStyle name="Normal 445" xfId="3502" xr:uid="{00000000-0005-0000-0000-000020B50000}"/>
    <cellStyle name="Normal 445 2" xfId="45148" xr:uid="{00000000-0005-0000-0000-000021B50000}"/>
    <cellStyle name="Normal 446" xfId="3503" xr:uid="{00000000-0005-0000-0000-000022B50000}"/>
    <cellStyle name="Normal 446 2" xfId="45149" xr:uid="{00000000-0005-0000-0000-000023B50000}"/>
    <cellStyle name="Normal 447" xfId="3504" xr:uid="{00000000-0005-0000-0000-000024B50000}"/>
    <cellStyle name="Normal 447 2" xfId="45150" xr:uid="{00000000-0005-0000-0000-000025B50000}"/>
    <cellStyle name="Normal 448" xfId="3505" xr:uid="{00000000-0005-0000-0000-000026B50000}"/>
    <cellStyle name="Normal 448 2" xfId="54370" xr:uid="{00000000-0005-0000-0000-000027B50000}"/>
    <cellStyle name="Normal 449" xfId="3506" xr:uid="{00000000-0005-0000-0000-000028B50000}"/>
    <cellStyle name="Normal 449 2" xfId="45151" xr:uid="{00000000-0005-0000-0000-000029B50000}"/>
    <cellStyle name="Normal 449 3" xfId="54371" xr:uid="{00000000-0005-0000-0000-00002AB50000}"/>
    <cellStyle name="Normal 45" xfId="3507" xr:uid="{00000000-0005-0000-0000-00002BB50000}"/>
    <cellStyle name="Normal 45 10" xfId="45152" xr:uid="{00000000-0005-0000-0000-00002CB50000}"/>
    <cellStyle name="Normal 45 11" xfId="45153" xr:uid="{00000000-0005-0000-0000-00002DB50000}"/>
    <cellStyle name="Normal 45 12" xfId="45154" xr:uid="{00000000-0005-0000-0000-00002EB50000}"/>
    <cellStyle name="Normal 45 13" xfId="45155" xr:uid="{00000000-0005-0000-0000-00002FB50000}"/>
    <cellStyle name="Normal 45 2" xfId="45156" xr:uid="{00000000-0005-0000-0000-000030B50000}"/>
    <cellStyle name="Normal 45 2 10" xfId="45157" xr:uid="{00000000-0005-0000-0000-000031B50000}"/>
    <cellStyle name="Normal 45 2 11" xfId="45158" xr:uid="{00000000-0005-0000-0000-000032B50000}"/>
    <cellStyle name="Normal 45 2 2" xfId="45159" xr:uid="{00000000-0005-0000-0000-000033B50000}"/>
    <cellStyle name="Normal 45 2 2 2" xfId="45160" xr:uid="{00000000-0005-0000-0000-000034B50000}"/>
    <cellStyle name="Normal 45 2 2 2 2" xfId="45161" xr:uid="{00000000-0005-0000-0000-000035B50000}"/>
    <cellStyle name="Normal 45 2 2 2 2 2" xfId="45162" xr:uid="{00000000-0005-0000-0000-000036B50000}"/>
    <cellStyle name="Normal 45 2 2 2 2 3" xfId="45163" xr:uid="{00000000-0005-0000-0000-000037B50000}"/>
    <cellStyle name="Normal 45 2 2 2 2 4" xfId="45164" xr:uid="{00000000-0005-0000-0000-000038B50000}"/>
    <cellStyle name="Normal 45 2 2 2 3" xfId="45165" xr:uid="{00000000-0005-0000-0000-000039B50000}"/>
    <cellStyle name="Normal 45 2 2 2 3 2" xfId="45166" xr:uid="{00000000-0005-0000-0000-00003AB50000}"/>
    <cellStyle name="Normal 45 2 2 2 3 3" xfId="45167" xr:uid="{00000000-0005-0000-0000-00003BB50000}"/>
    <cellStyle name="Normal 45 2 2 2 3 4" xfId="45168" xr:uid="{00000000-0005-0000-0000-00003CB50000}"/>
    <cellStyle name="Normal 45 2 2 2 4" xfId="45169" xr:uid="{00000000-0005-0000-0000-00003DB50000}"/>
    <cellStyle name="Normal 45 2 2 2 5" xfId="45170" xr:uid="{00000000-0005-0000-0000-00003EB50000}"/>
    <cellStyle name="Normal 45 2 2 2 6" xfId="45171" xr:uid="{00000000-0005-0000-0000-00003FB50000}"/>
    <cellStyle name="Normal 45 2 2 2 7" xfId="45172" xr:uid="{00000000-0005-0000-0000-000040B50000}"/>
    <cellStyle name="Normal 45 2 2 3" xfId="45173" xr:uid="{00000000-0005-0000-0000-000041B50000}"/>
    <cellStyle name="Normal 45 2 2 3 2" xfId="45174" xr:uid="{00000000-0005-0000-0000-000042B50000}"/>
    <cellStyle name="Normal 45 2 2 3 3" xfId="45175" xr:uid="{00000000-0005-0000-0000-000043B50000}"/>
    <cellStyle name="Normal 45 2 2 3 4" xfId="45176" xr:uid="{00000000-0005-0000-0000-000044B50000}"/>
    <cellStyle name="Normal 45 2 2 4" xfId="45177" xr:uid="{00000000-0005-0000-0000-000045B50000}"/>
    <cellStyle name="Normal 45 2 2 4 2" xfId="45178" xr:uid="{00000000-0005-0000-0000-000046B50000}"/>
    <cellStyle name="Normal 45 2 2 4 3" xfId="45179" xr:uid="{00000000-0005-0000-0000-000047B50000}"/>
    <cellStyle name="Normal 45 2 2 4 4" xfId="45180" xr:uid="{00000000-0005-0000-0000-000048B50000}"/>
    <cellStyle name="Normal 45 2 2 5" xfId="45181" xr:uid="{00000000-0005-0000-0000-000049B50000}"/>
    <cellStyle name="Normal 45 2 2 6" xfId="45182" xr:uid="{00000000-0005-0000-0000-00004AB50000}"/>
    <cellStyle name="Normal 45 2 2 7" xfId="45183" xr:uid="{00000000-0005-0000-0000-00004BB50000}"/>
    <cellStyle name="Normal 45 2 2 8" xfId="45184" xr:uid="{00000000-0005-0000-0000-00004CB50000}"/>
    <cellStyle name="Normal 45 2 2 9" xfId="45185" xr:uid="{00000000-0005-0000-0000-00004DB50000}"/>
    <cellStyle name="Normal 45 2 3" xfId="45186" xr:uid="{00000000-0005-0000-0000-00004EB50000}"/>
    <cellStyle name="Normal 45 2 3 2" xfId="45187" xr:uid="{00000000-0005-0000-0000-00004FB50000}"/>
    <cellStyle name="Normal 45 2 3 2 2" xfId="45188" xr:uid="{00000000-0005-0000-0000-000050B50000}"/>
    <cellStyle name="Normal 45 2 3 2 3" xfId="45189" xr:uid="{00000000-0005-0000-0000-000051B50000}"/>
    <cellStyle name="Normal 45 2 3 2 4" xfId="45190" xr:uid="{00000000-0005-0000-0000-000052B50000}"/>
    <cellStyle name="Normal 45 2 3 3" xfId="45191" xr:uid="{00000000-0005-0000-0000-000053B50000}"/>
    <cellStyle name="Normal 45 2 3 3 2" xfId="45192" xr:uid="{00000000-0005-0000-0000-000054B50000}"/>
    <cellStyle name="Normal 45 2 3 3 3" xfId="45193" xr:uid="{00000000-0005-0000-0000-000055B50000}"/>
    <cellStyle name="Normal 45 2 3 3 4" xfId="45194" xr:uid="{00000000-0005-0000-0000-000056B50000}"/>
    <cellStyle name="Normal 45 2 3 4" xfId="45195" xr:uid="{00000000-0005-0000-0000-000057B50000}"/>
    <cellStyle name="Normal 45 2 3 5" xfId="45196" xr:uid="{00000000-0005-0000-0000-000058B50000}"/>
    <cellStyle name="Normal 45 2 3 6" xfId="45197" xr:uid="{00000000-0005-0000-0000-000059B50000}"/>
    <cellStyle name="Normal 45 2 3 7" xfId="45198" xr:uid="{00000000-0005-0000-0000-00005AB50000}"/>
    <cellStyle name="Normal 45 2 4" xfId="45199" xr:uid="{00000000-0005-0000-0000-00005BB50000}"/>
    <cellStyle name="Normal 45 2 4 2" xfId="45200" xr:uid="{00000000-0005-0000-0000-00005CB50000}"/>
    <cellStyle name="Normal 45 2 4 3" xfId="45201" xr:uid="{00000000-0005-0000-0000-00005DB50000}"/>
    <cellStyle name="Normal 45 2 4 4" xfId="45202" xr:uid="{00000000-0005-0000-0000-00005EB50000}"/>
    <cellStyle name="Normal 45 2 5" xfId="45203" xr:uid="{00000000-0005-0000-0000-00005FB50000}"/>
    <cellStyle name="Normal 45 2 5 2" xfId="45204" xr:uid="{00000000-0005-0000-0000-000060B50000}"/>
    <cellStyle name="Normal 45 2 5 3" xfId="45205" xr:uid="{00000000-0005-0000-0000-000061B50000}"/>
    <cellStyle name="Normal 45 2 5 4" xfId="45206" xr:uid="{00000000-0005-0000-0000-000062B50000}"/>
    <cellStyle name="Normal 45 2 6" xfId="45207" xr:uid="{00000000-0005-0000-0000-000063B50000}"/>
    <cellStyle name="Normal 45 2 7" xfId="45208" xr:uid="{00000000-0005-0000-0000-000064B50000}"/>
    <cellStyle name="Normal 45 2 8" xfId="45209" xr:uid="{00000000-0005-0000-0000-000065B50000}"/>
    <cellStyle name="Normal 45 2 9" xfId="45210" xr:uid="{00000000-0005-0000-0000-000066B50000}"/>
    <cellStyle name="Normal 45 2_Order Book" xfId="45211" xr:uid="{00000000-0005-0000-0000-000067B50000}"/>
    <cellStyle name="Normal 45 3" xfId="45212" xr:uid="{00000000-0005-0000-0000-000068B50000}"/>
    <cellStyle name="Normal 45 3 2" xfId="45213" xr:uid="{00000000-0005-0000-0000-000069B50000}"/>
    <cellStyle name="Normal 45 3 2 2" xfId="45214" xr:uid="{00000000-0005-0000-0000-00006AB50000}"/>
    <cellStyle name="Normal 45 3 2 2 2" xfId="45215" xr:uid="{00000000-0005-0000-0000-00006BB50000}"/>
    <cellStyle name="Normal 45 3 2 2 3" xfId="45216" xr:uid="{00000000-0005-0000-0000-00006CB50000}"/>
    <cellStyle name="Normal 45 3 2 2 4" xfId="45217" xr:uid="{00000000-0005-0000-0000-00006DB50000}"/>
    <cellStyle name="Normal 45 3 2 3" xfId="45218" xr:uid="{00000000-0005-0000-0000-00006EB50000}"/>
    <cellStyle name="Normal 45 3 2 3 2" xfId="45219" xr:uid="{00000000-0005-0000-0000-00006FB50000}"/>
    <cellStyle name="Normal 45 3 2 3 3" xfId="45220" xr:uid="{00000000-0005-0000-0000-000070B50000}"/>
    <cellStyle name="Normal 45 3 2 3 4" xfId="45221" xr:uid="{00000000-0005-0000-0000-000071B50000}"/>
    <cellStyle name="Normal 45 3 2 4" xfId="45222" xr:uid="{00000000-0005-0000-0000-000072B50000}"/>
    <cellStyle name="Normal 45 3 2 5" xfId="45223" xr:uid="{00000000-0005-0000-0000-000073B50000}"/>
    <cellStyle name="Normal 45 3 2 6" xfId="45224" xr:uid="{00000000-0005-0000-0000-000074B50000}"/>
    <cellStyle name="Normal 45 3 2 7" xfId="45225" xr:uid="{00000000-0005-0000-0000-000075B50000}"/>
    <cellStyle name="Normal 45 3 3" xfId="45226" xr:uid="{00000000-0005-0000-0000-000076B50000}"/>
    <cellStyle name="Normal 45 3 3 2" xfId="45227" xr:uid="{00000000-0005-0000-0000-000077B50000}"/>
    <cellStyle name="Normal 45 3 3 3" xfId="45228" xr:uid="{00000000-0005-0000-0000-000078B50000}"/>
    <cellStyle name="Normal 45 3 3 4" xfId="45229" xr:uid="{00000000-0005-0000-0000-000079B50000}"/>
    <cellStyle name="Normal 45 3 4" xfId="45230" xr:uid="{00000000-0005-0000-0000-00007AB50000}"/>
    <cellStyle name="Normal 45 3 4 2" xfId="45231" xr:uid="{00000000-0005-0000-0000-00007BB50000}"/>
    <cellStyle name="Normal 45 3 4 3" xfId="45232" xr:uid="{00000000-0005-0000-0000-00007CB50000}"/>
    <cellStyle name="Normal 45 3 4 4" xfId="45233" xr:uid="{00000000-0005-0000-0000-00007DB50000}"/>
    <cellStyle name="Normal 45 3 5" xfId="45234" xr:uid="{00000000-0005-0000-0000-00007EB50000}"/>
    <cellStyle name="Normal 45 3 6" xfId="45235" xr:uid="{00000000-0005-0000-0000-00007FB50000}"/>
    <cellStyle name="Normal 45 3 7" xfId="45236" xr:uid="{00000000-0005-0000-0000-000080B50000}"/>
    <cellStyle name="Normal 45 3 8" xfId="45237" xr:uid="{00000000-0005-0000-0000-000081B50000}"/>
    <cellStyle name="Normal 45 3 9" xfId="45238" xr:uid="{00000000-0005-0000-0000-000082B50000}"/>
    <cellStyle name="Normal 45 4" xfId="45239" xr:uid="{00000000-0005-0000-0000-000083B50000}"/>
    <cellStyle name="Normal 45 4 2" xfId="45240" xr:uid="{00000000-0005-0000-0000-000084B50000}"/>
    <cellStyle name="Normal 45 4 2 2" xfId="45241" xr:uid="{00000000-0005-0000-0000-000085B50000}"/>
    <cellStyle name="Normal 45 4 2 3" xfId="45242" xr:uid="{00000000-0005-0000-0000-000086B50000}"/>
    <cellStyle name="Normal 45 4 2 4" xfId="45243" xr:uid="{00000000-0005-0000-0000-000087B50000}"/>
    <cellStyle name="Normal 45 4 3" xfId="45244" xr:uid="{00000000-0005-0000-0000-000088B50000}"/>
    <cellStyle name="Normal 45 4 3 2" xfId="45245" xr:uid="{00000000-0005-0000-0000-000089B50000}"/>
    <cellStyle name="Normal 45 4 3 3" xfId="45246" xr:uid="{00000000-0005-0000-0000-00008AB50000}"/>
    <cellStyle name="Normal 45 4 3 4" xfId="45247" xr:uid="{00000000-0005-0000-0000-00008BB50000}"/>
    <cellStyle name="Normal 45 4 4" xfId="45248" xr:uid="{00000000-0005-0000-0000-00008CB50000}"/>
    <cellStyle name="Normal 45 4 5" xfId="45249" xr:uid="{00000000-0005-0000-0000-00008DB50000}"/>
    <cellStyle name="Normal 45 4 6" xfId="45250" xr:uid="{00000000-0005-0000-0000-00008EB50000}"/>
    <cellStyle name="Normal 45 4 7" xfId="45251" xr:uid="{00000000-0005-0000-0000-00008FB50000}"/>
    <cellStyle name="Normal 45 5" xfId="45252" xr:uid="{00000000-0005-0000-0000-000090B50000}"/>
    <cellStyle name="Normal 45 5 2" xfId="45253" xr:uid="{00000000-0005-0000-0000-000091B50000}"/>
    <cellStyle name="Normal 45 5 3" xfId="45254" xr:uid="{00000000-0005-0000-0000-000092B50000}"/>
    <cellStyle name="Normal 45 5 4" xfId="45255" xr:uid="{00000000-0005-0000-0000-000093B50000}"/>
    <cellStyle name="Normal 45 6" xfId="45256" xr:uid="{00000000-0005-0000-0000-000094B50000}"/>
    <cellStyle name="Normal 45 6 2" xfId="45257" xr:uid="{00000000-0005-0000-0000-000095B50000}"/>
    <cellStyle name="Normal 45 6 3" xfId="45258" xr:uid="{00000000-0005-0000-0000-000096B50000}"/>
    <cellStyle name="Normal 45 6 4" xfId="45259" xr:uid="{00000000-0005-0000-0000-000097B50000}"/>
    <cellStyle name="Normal 45 7" xfId="45260" xr:uid="{00000000-0005-0000-0000-000098B50000}"/>
    <cellStyle name="Normal 45 8" xfId="45261" xr:uid="{00000000-0005-0000-0000-000099B50000}"/>
    <cellStyle name="Normal 45 9" xfId="45262" xr:uid="{00000000-0005-0000-0000-00009AB50000}"/>
    <cellStyle name="Normal 45_Order Book" xfId="45263" xr:uid="{00000000-0005-0000-0000-00009BB50000}"/>
    <cellStyle name="Normal 450" xfId="3508" xr:uid="{00000000-0005-0000-0000-00009CB50000}"/>
    <cellStyle name="Normal 450 2" xfId="45264" xr:uid="{00000000-0005-0000-0000-00009DB50000}"/>
    <cellStyle name="Normal 450 3" xfId="54372" xr:uid="{00000000-0005-0000-0000-00009EB50000}"/>
    <cellStyle name="Normal 451" xfId="3509" xr:uid="{00000000-0005-0000-0000-00009FB50000}"/>
    <cellStyle name="Normal 451 2" xfId="45265" xr:uid="{00000000-0005-0000-0000-0000A0B50000}"/>
    <cellStyle name="Normal 451 3" xfId="54373" xr:uid="{00000000-0005-0000-0000-0000A1B50000}"/>
    <cellStyle name="Normal 452" xfId="3510" xr:uid="{00000000-0005-0000-0000-0000A2B50000}"/>
    <cellStyle name="Normal 452 2" xfId="45266" xr:uid="{00000000-0005-0000-0000-0000A3B50000}"/>
    <cellStyle name="Normal 452 3" xfId="54374" xr:uid="{00000000-0005-0000-0000-0000A4B50000}"/>
    <cellStyle name="Normal 453" xfId="3511" xr:uid="{00000000-0005-0000-0000-0000A5B50000}"/>
    <cellStyle name="Normal 454" xfId="3512" xr:uid="{00000000-0005-0000-0000-0000A6B50000}"/>
    <cellStyle name="Normal 454 2" xfId="54375" xr:uid="{00000000-0005-0000-0000-0000A7B50000}"/>
    <cellStyle name="Normal 455" xfId="3513" xr:uid="{00000000-0005-0000-0000-0000A8B50000}"/>
    <cellStyle name="Normal 455 2" xfId="54376" xr:uid="{00000000-0005-0000-0000-0000A9B50000}"/>
    <cellStyle name="Normal 456" xfId="3514" xr:uid="{00000000-0005-0000-0000-0000AAB50000}"/>
    <cellStyle name="Normal 456 2" xfId="54377" xr:uid="{00000000-0005-0000-0000-0000ABB50000}"/>
    <cellStyle name="Normal 457" xfId="3515" xr:uid="{00000000-0005-0000-0000-0000ACB50000}"/>
    <cellStyle name="Normal 458" xfId="3516" xr:uid="{00000000-0005-0000-0000-0000ADB50000}"/>
    <cellStyle name="Normal 459" xfId="3517" xr:uid="{00000000-0005-0000-0000-0000AEB50000}"/>
    <cellStyle name="Normal 46" xfId="3518" xr:uid="{00000000-0005-0000-0000-0000AFB50000}"/>
    <cellStyle name="Normal 46 10" xfId="45267" xr:uid="{00000000-0005-0000-0000-0000B0B50000}"/>
    <cellStyle name="Normal 46 11" xfId="45268" xr:uid="{00000000-0005-0000-0000-0000B1B50000}"/>
    <cellStyle name="Normal 46 12" xfId="45269" xr:uid="{00000000-0005-0000-0000-0000B2B50000}"/>
    <cellStyle name="Normal 46 13" xfId="45270" xr:uid="{00000000-0005-0000-0000-0000B3B50000}"/>
    <cellStyle name="Normal 46 2" xfId="45271" xr:uid="{00000000-0005-0000-0000-0000B4B50000}"/>
    <cellStyle name="Normal 46 2 10" xfId="45272" xr:uid="{00000000-0005-0000-0000-0000B5B50000}"/>
    <cellStyle name="Normal 46 2 11" xfId="45273" xr:uid="{00000000-0005-0000-0000-0000B6B50000}"/>
    <cellStyle name="Normal 46 2 2" xfId="45274" xr:uid="{00000000-0005-0000-0000-0000B7B50000}"/>
    <cellStyle name="Normal 46 2 2 2" xfId="45275" xr:uid="{00000000-0005-0000-0000-0000B8B50000}"/>
    <cellStyle name="Normal 46 2 2 2 2" xfId="45276" xr:uid="{00000000-0005-0000-0000-0000B9B50000}"/>
    <cellStyle name="Normal 46 2 2 2 2 2" xfId="45277" xr:uid="{00000000-0005-0000-0000-0000BAB50000}"/>
    <cellStyle name="Normal 46 2 2 2 2 3" xfId="45278" xr:uid="{00000000-0005-0000-0000-0000BBB50000}"/>
    <cellStyle name="Normal 46 2 2 2 2 4" xfId="45279" xr:uid="{00000000-0005-0000-0000-0000BCB50000}"/>
    <cellStyle name="Normal 46 2 2 2 3" xfId="45280" xr:uid="{00000000-0005-0000-0000-0000BDB50000}"/>
    <cellStyle name="Normal 46 2 2 2 3 2" xfId="45281" xr:uid="{00000000-0005-0000-0000-0000BEB50000}"/>
    <cellStyle name="Normal 46 2 2 2 3 3" xfId="45282" xr:uid="{00000000-0005-0000-0000-0000BFB50000}"/>
    <cellStyle name="Normal 46 2 2 2 3 4" xfId="45283" xr:uid="{00000000-0005-0000-0000-0000C0B50000}"/>
    <cellStyle name="Normal 46 2 2 2 4" xfId="45284" xr:uid="{00000000-0005-0000-0000-0000C1B50000}"/>
    <cellStyle name="Normal 46 2 2 2 5" xfId="45285" xr:uid="{00000000-0005-0000-0000-0000C2B50000}"/>
    <cellStyle name="Normal 46 2 2 2 6" xfId="45286" xr:uid="{00000000-0005-0000-0000-0000C3B50000}"/>
    <cellStyle name="Normal 46 2 2 2 7" xfId="45287" xr:uid="{00000000-0005-0000-0000-0000C4B50000}"/>
    <cellStyle name="Normal 46 2 2 3" xfId="45288" xr:uid="{00000000-0005-0000-0000-0000C5B50000}"/>
    <cellStyle name="Normal 46 2 2 3 2" xfId="45289" xr:uid="{00000000-0005-0000-0000-0000C6B50000}"/>
    <cellStyle name="Normal 46 2 2 3 3" xfId="45290" xr:uid="{00000000-0005-0000-0000-0000C7B50000}"/>
    <cellStyle name="Normal 46 2 2 3 4" xfId="45291" xr:uid="{00000000-0005-0000-0000-0000C8B50000}"/>
    <cellStyle name="Normal 46 2 2 4" xfId="45292" xr:uid="{00000000-0005-0000-0000-0000C9B50000}"/>
    <cellStyle name="Normal 46 2 2 4 2" xfId="45293" xr:uid="{00000000-0005-0000-0000-0000CAB50000}"/>
    <cellStyle name="Normal 46 2 2 4 3" xfId="45294" xr:uid="{00000000-0005-0000-0000-0000CBB50000}"/>
    <cellStyle name="Normal 46 2 2 4 4" xfId="45295" xr:uid="{00000000-0005-0000-0000-0000CCB50000}"/>
    <cellStyle name="Normal 46 2 2 5" xfId="45296" xr:uid="{00000000-0005-0000-0000-0000CDB50000}"/>
    <cellStyle name="Normal 46 2 2 6" xfId="45297" xr:uid="{00000000-0005-0000-0000-0000CEB50000}"/>
    <cellStyle name="Normal 46 2 2 7" xfId="45298" xr:uid="{00000000-0005-0000-0000-0000CFB50000}"/>
    <cellStyle name="Normal 46 2 2 8" xfId="45299" xr:uid="{00000000-0005-0000-0000-0000D0B50000}"/>
    <cellStyle name="Normal 46 2 2 9" xfId="45300" xr:uid="{00000000-0005-0000-0000-0000D1B50000}"/>
    <cellStyle name="Normal 46 2 3" xfId="45301" xr:uid="{00000000-0005-0000-0000-0000D2B50000}"/>
    <cellStyle name="Normal 46 2 3 2" xfId="45302" xr:uid="{00000000-0005-0000-0000-0000D3B50000}"/>
    <cellStyle name="Normal 46 2 3 2 2" xfId="45303" xr:uid="{00000000-0005-0000-0000-0000D4B50000}"/>
    <cellStyle name="Normal 46 2 3 2 3" xfId="45304" xr:uid="{00000000-0005-0000-0000-0000D5B50000}"/>
    <cellStyle name="Normal 46 2 3 2 4" xfId="45305" xr:uid="{00000000-0005-0000-0000-0000D6B50000}"/>
    <cellStyle name="Normal 46 2 3 3" xfId="45306" xr:uid="{00000000-0005-0000-0000-0000D7B50000}"/>
    <cellStyle name="Normal 46 2 3 3 2" xfId="45307" xr:uid="{00000000-0005-0000-0000-0000D8B50000}"/>
    <cellStyle name="Normal 46 2 3 3 3" xfId="45308" xr:uid="{00000000-0005-0000-0000-0000D9B50000}"/>
    <cellStyle name="Normal 46 2 3 3 4" xfId="45309" xr:uid="{00000000-0005-0000-0000-0000DAB50000}"/>
    <cellStyle name="Normal 46 2 3 4" xfId="45310" xr:uid="{00000000-0005-0000-0000-0000DBB50000}"/>
    <cellStyle name="Normal 46 2 3 5" xfId="45311" xr:uid="{00000000-0005-0000-0000-0000DCB50000}"/>
    <cellStyle name="Normal 46 2 3 6" xfId="45312" xr:uid="{00000000-0005-0000-0000-0000DDB50000}"/>
    <cellStyle name="Normal 46 2 3 7" xfId="45313" xr:uid="{00000000-0005-0000-0000-0000DEB50000}"/>
    <cellStyle name="Normal 46 2 4" xfId="45314" xr:uid="{00000000-0005-0000-0000-0000DFB50000}"/>
    <cellStyle name="Normal 46 2 4 2" xfId="45315" xr:uid="{00000000-0005-0000-0000-0000E0B50000}"/>
    <cellStyle name="Normal 46 2 4 3" xfId="45316" xr:uid="{00000000-0005-0000-0000-0000E1B50000}"/>
    <cellStyle name="Normal 46 2 4 4" xfId="45317" xr:uid="{00000000-0005-0000-0000-0000E2B50000}"/>
    <cellStyle name="Normal 46 2 5" xfId="45318" xr:uid="{00000000-0005-0000-0000-0000E3B50000}"/>
    <cellStyle name="Normal 46 2 5 2" xfId="45319" xr:uid="{00000000-0005-0000-0000-0000E4B50000}"/>
    <cellStyle name="Normal 46 2 5 3" xfId="45320" xr:uid="{00000000-0005-0000-0000-0000E5B50000}"/>
    <cellStyle name="Normal 46 2 5 4" xfId="45321" xr:uid="{00000000-0005-0000-0000-0000E6B50000}"/>
    <cellStyle name="Normal 46 2 6" xfId="45322" xr:uid="{00000000-0005-0000-0000-0000E7B50000}"/>
    <cellStyle name="Normal 46 2 7" xfId="45323" xr:uid="{00000000-0005-0000-0000-0000E8B50000}"/>
    <cellStyle name="Normal 46 2 8" xfId="45324" xr:uid="{00000000-0005-0000-0000-0000E9B50000}"/>
    <cellStyle name="Normal 46 2 9" xfId="45325" xr:uid="{00000000-0005-0000-0000-0000EAB50000}"/>
    <cellStyle name="Normal 46 2_Order Book" xfId="45326" xr:uid="{00000000-0005-0000-0000-0000EBB50000}"/>
    <cellStyle name="Normal 46 3" xfId="45327" xr:uid="{00000000-0005-0000-0000-0000ECB50000}"/>
    <cellStyle name="Normal 46 3 2" xfId="45328" xr:uid="{00000000-0005-0000-0000-0000EDB50000}"/>
    <cellStyle name="Normal 46 3 2 2" xfId="45329" xr:uid="{00000000-0005-0000-0000-0000EEB50000}"/>
    <cellStyle name="Normal 46 3 2 2 2" xfId="45330" xr:uid="{00000000-0005-0000-0000-0000EFB50000}"/>
    <cellStyle name="Normal 46 3 2 2 3" xfId="45331" xr:uid="{00000000-0005-0000-0000-0000F0B50000}"/>
    <cellStyle name="Normal 46 3 2 2 4" xfId="45332" xr:uid="{00000000-0005-0000-0000-0000F1B50000}"/>
    <cellStyle name="Normal 46 3 2 3" xfId="45333" xr:uid="{00000000-0005-0000-0000-0000F2B50000}"/>
    <cellStyle name="Normal 46 3 2 3 2" xfId="45334" xr:uid="{00000000-0005-0000-0000-0000F3B50000}"/>
    <cellStyle name="Normal 46 3 2 3 3" xfId="45335" xr:uid="{00000000-0005-0000-0000-0000F4B50000}"/>
    <cellStyle name="Normal 46 3 2 3 4" xfId="45336" xr:uid="{00000000-0005-0000-0000-0000F5B50000}"/>
    <cellStyle name="Normal 46 3 2 4" xfId="45337" xr:uid="{00000000-0005-0000-0000-0000F6B50000}"/>
    <cellStyle name="Normal 46 3 2 5" xfId="45338" xr:uid="{00000000-0005-0000-0000-0000F7B50000}"/>
    <cellStyle name="Normal 46 3 2 6" xfId="45339" xr:uid="{00000000-0005-0000-0000-0000F8B50000}"/>
    <cellStyle name="Normal 46 3 2 7" xfId="45340" xr:uid="{00000000-0005-0000-0000-0000F9B50000}"/>
    <cellStyle name="Normal 46 3 3" xfId="45341" xr:uid="{00000000-0005-0000-0000-0000FAB50000}"/>
    <cellStyle name="Normal 46 3 3 2" xfId="45342" xr:uid="{00000000-0005-0000-0000-0000FBB50000}"/>
    <cellStyle name="Normal 46 3 3 3" xfId="45343" xr:uid="{00000000-0005-0000-0000-0000FCB50000}"/>
    <cellStyle name="Normal 46 3 3 4" xfId="45344" xr:uid="{00000000-0005-0000-0000-0000FDB50000}"/>
    <cellStyle name="Normal 46 3 4" xfId="45345" xr:uid="{00000000-0005-0000-0000-0000FEB50000}"/>
    <cellStyle name="Normal 46 3 4 2" xfId="45346" xr:uid="{00000000-0005-0000-0000-0000FFB50000}"/>
    <cellStyle name="Normal 46 3 4 3" xfId="45347" xr:uid="{00000000-0005-0000-0000-000000B60000}"/>
    <cellStyle name="Normal 46 3 4 4" xfId="45348" xr:uid="{00000000-0005-0000-0000-000001B60000}"/>
    <cellStyle name="Normal 46 3 5" xfId="45349" xr:uid="{00000000-0005-0000-0000-000002B60000}"/>
    <cellStyle name="Normal 46 3 6" xfId="45350" xr:uid="{00000000-0005-0000-0000-000003B60000}"/>
    <cellStyle name="Normal 46 3 7" xfId="45351" xr:uid="{00000000-0005-0000-0000-000004B60000}"/>
    <cellStyle name="Normal 46 3 8" xfId="45352" xr:uid="{00000000-0005-0000-0000-000005B60000}"/>
    <cellStyle name="Normal 46 3 9" xfId="45353" xr:uid="{00000000-0005-0000-0000-000006B60000}"/>
    <cellStyle name="Normal 46 4" xfId="45354" xr:uid="{00000000-0005-0000-0000-000007B60000}"/>
    <cellStyle name="Normal 46 4 2" xfId="45355" xr:uid="{00000000-0005-0000-0000-000008B60000}"/>
    <cellStyle name="Normal 46 4 2 2" xfId="45356" xr:uid="{00000000-0005-0000-0000-000009B60000}"/>
    <cellStyle name="Normal 46 4 2 3" xfId="45357" xr:uid="{00000000-0005-0000-0000-00000AB60000}"/>
    <cellStyle name="Normal 46 4 2 4" xfId="45358" xr:uid="{00000000-0005-0000-0000-00000BB60000}"/>
    <cellStyle name="Normal 46 4 3" xfId="45359" xr:uid="{00000000-0005-0000-0000-00000CB60000}"/>
    <cellStyle name="Normal 46 4 3 2" xfId="45360" xr:uid="{00000000-0005-0000-0000-00000DB60000}"/>
    <cellStyle name="Normal 46 4 3 3" xfId="45361" xr:uid="{00000000-0005-0000-0000-00000EB60000}"/>
    <cellStyle name="Normal 46 4 3 4" xfId="45362" xr:uid="{00000000-0005-0000-0000-00000FB60000}"/>
    <cellStyle name="Normal 46 4 4" xfId="45363" xr:uid="{00000000-0005-0000-0000-000010B60000}"/>
    <cellStyle name="Normal 46 4 5" xfId="45364" xr:uid="{00000000-0005-0000-0000-000011B60000}"/>
    <cellStyle name="Normal 46 4 6" xfId="45365" xr:uid="{00000000-0005-0000-0000-000012B60000}"/>
    <cellStyle name="Normal 46 4 7" xfId="45366" xr:uid="{00000000-0005-0000-0000-000013B60000}"/>
    <cellStyle name="Normal 46 5" xfId="45367" xr:uid="{00000000-0005-0000-0000-000014B60000}"/>
    <cellStyle name="Normal 46 5 2" xfId="45368" xr:uid="{00000000-0005-0000-0000-000015B60000}"/>
    <cellStyle name="Normal 46 5 3" xfId="45369" xr:uid="{00000000-0005-0000-0000-000016B60000}"/>
    <cellStyle name="Normal 46 5 4" xfId="45370" xr:uid="{00000000-0005-0000-0000-000017B60000}"/>
    <cellStyle name="Normal 46 6" xfId="45371" xr:uid="{00000000-0005-0000-0000-000018B60000}"/>
    <cellStyle name="Normal 46 6 2" xfId="45372" xr:uid="{00000000-0005-0000-0000-000019B60000}"/>
    <cellStyle name="Normal 46 6 3" xfId="45373" xr:uid="{00000000-0005-0000-0000-00001AB60000}"/>
    <cellStyle name="Normal 46 6 4" xfId="45374" xr:uid="{00000000-0005-0000-0000-00001BB60000}"/>
    <cellStyle name="Normal 46 7" xfId="45375" xr:uid="{00000000-0005-0000-0000-00001CB60000}"/>
    <cellStyle name="Normal 46 8" xfId="45376" xr:uid="{00000000-0005-0000-0000-00001DB60000}"/>
    <cellStyle name="Normal 46 9" xfId="45377" xr:uid="{00000000-0005-0000-0000-00001EB60000}"/>
    <cellStyle name="Normal 46_Order Book" xfId="45378" xr:uid="{00000000-0005-0000-0000-00001FB60000}"/>
    <cellStyle name="Normal 460" xfId="3519" xr:uid="{00000000-0005-0000-0000-000020B60000}"/>
    <cellStyle name="Normal 461" xfId="3812" xr:uid="{00000000-0005-0000-0000-000021B60000}"/>
    <cellStyle name="Normal 461 2" xfId="3814" xr:uid="{00000000-0005-0000-0000-000022B60000}"/>
    <cellStyle name="Normal 461 2 2" xfId="3820" xr:uid="{00000000-0005-0000-0000-000023B60000}"/>
    <cellStyle name="Normal 461 3" xfId="3815" xr:uid="{00000000-0005-0000-0000-000024B60000}"/>
    <cellStyle name="Normal 461 4" xfId="3816" xr:uid="{00000000-0005-0000-0000-000025B60000}"/>
    <cellStyle name="Normal 462" xfId="3817" xr:uid="{00000000-0005-0000-0000-000026B60000}"/>
    <cellStyle name="Normal 463" xfId="3818" xr:uid="{00000000-0005-0000-0000-000027B60000}"/>
    <cellStyle name="Normal 463 2" xfId="3819" xr:uid="{00000000-0005-0000-0000-000028B60000}"/>
    <cellStyle name="Normal 464" xfId="45379" xr:uid="{00000000-0005-0000-0000-000029B60000}"/>
    <cellStyle name="Normal 465" xfId="45380" xr:uid="{00000000-0005-0000-0000-00002AB60000}"/>
    <cellStyle name="Normal 466" xfId="45381" xr:uid="{00000000-0005-0000-0000-00002BB60000}"/>
    <cellStyle name="Normal 467" xfId="45382" xr:uid="{00000000-0005-0000-0000-00002CB60000}"/>
    <cellStyle name="Normal 468" xfId="45383" xr:uid="{00000000-0005-0000-0000-00002DB60000}"/>
    <cellStyle name="Normal 469" xfId="45384" xr:uid="{00000000-0005-0000-0000-00002EB60000}"/>
    <cellStyle name="Normal 47" xfId="3520" xr:uid="{00000000-0005-0000-0000-00002FB60000}"/>
    <cellStyle name="Normal 47 10" xfId="45385" xr:uid="{00000000-0005-0000-0000-000030B60000}"/>
    <cellStyle name="Normal 47 11" xfId="45386" xr:uid="{00000000-0005-0000-0000-000031B60000}"/>
    <cellStyle name="Normal 47 12" xfId="45387" xr:uid="{00000000-0005-0000-0000-000032B60000}"/>
    <cellStyle name="Normal 47 13" xfId="45388" xr:uid="{00000000-0005-0000-0000-000033B60000}"/>
    <cellStyle name="Normal 47 2" xfId="45389" xr:uid="{00000000-0005-0000-0000-000034B60000}"/>
    <cellStyle name="Normal 47 2 10" xfId="45390" xr:uid="{00000000-0005-0000-0000-000035B60000}"/>
    <cellStyle name="Normal 47 2 11" xfId="45391" xr:uid="{00000000-0005-0000-0000-000036B60000}"/>
    <cellStyle name="Normal 47 2 2" xfId="45392" xr:uid="{00000000-0005-0000-0000-000037B60000}"/>
    <cellStyle name="Normal 47 2 2 2" xfId="45393" xr:uid="{00000000-0005-0000-0000-000038B60000}"/>
    <cellStyle name="Normal 47 2 2 2 2" xfId="45394" xr:uid="{00000000-0005-0000-0000-000039B60000}"/>
    <cellStyle name="Normal 47 2 2 2 2 2" xfId="45395" xr:uid="{00000000-0005-0000-0000-00003AB60000}"/>
    <cellStyle name="Normal 47 2 2 2 2 3" xfId="45396" xr:uid="{00000000-0005-0000-0000-00003BB60000}"/>
    <cellStyle name="Normal 47 2 2 2 2 4" xfId="45397" xr:uid="{00000000-0005-0000-0000-00003CB60000}"/>
    <cellStyle name="Normal 47 2 2 2 3" xfId="45398" xr:uid="{00000000-0005-0000-0000-00003DB60000}"/>
    <cellStyle name="Normal 47 2 2 2 3 2" xfId="45399" xr:uid="{00000000-0005-0000-0000-00003EB60000}"/>
    <cellStyle name="Normal 47 2 2 2 3 3" xfId="45400" xr:uid="{00000000-0005-0000-0000-00003FB60000}"/>
    <cellStyle name="Normal 47 2 2 2 3 4" xfId="45401" xr:uid="{00000000-0005-0000-0000-000040B60000}"/>
    <cellStyle name="Normal 47 2 2 2 4" xfId="45402" xr:uid="{00000000-0005-0000-0000-000041B60000}"/>
    <cellStyle name="Normal 47 2 2 2 5" xfId="45403" xr:uid="{00000000-0005-0000-0000-000042B60000}"/>
    <cellStyle name="Normal 47 2 2 2 6" xfId="45404" xr:uid="{00000000-0005-0000-0000-000043B60000}"/>
    <cellStyle name="Normal 47 2 2 2 7" xfId="45405" xr:uid="{00000000-0005-0000-0000-000044B60000}"/>
    <cellStyle name="Normal 47 2 2 3" xfId="45406" xr:uid="{00000000-0005-0000-0000-000045B60000}"/>
    <cellStyle name="Normal 47 2 2 3 2" xfId="45407" xr:uid="{00000000-0005-0000-0000-000046B60000}"/>
    <cellStyle name="Normal 47 2 2 3 3" xfId="45408" xr:uid="{00000000-0005-0000-0000-000047B60000}"/>
    <cellStyle name="Normal 47 2 2 3 4" xfId="45409" xr:uid="{00000000-0005-0000-0000-000048B60000}"/>
    <cellStyle name="Normal 47 2 2 4" xfId="45410" xr:uid="{00000000-0005-0000-0000-000049B60000}"/>
    <cellStyle name="Normal 47 2 2 4 2" xfId="45411" xr:uid="{00000000-0005-0000-0000-00004AB60000}"/>
    <cellStyle name="Normal 47 2 2 4 3" xfId="45412" xr:uid="{00000000-0005-0000-0000-00004BB60000}"/>
    <cellStyle name="Normal 47 2 2 4 4" xfId="45413" xr:uid="{00000000-0005-0000-0000-00004CB60000}"/>
    <cellStyle name="Normal 47 2 2 5" xfId="45414" xr:uid="{00000000-0005-0000-0000-00004DB60000}"/>
    <cellStyle name="Normal 47 2 2 6" xfId="45415" xr:uid="{00000000-0005-0000-0000-00004EB60000}"/>
    <cellStyle name="Normal 47 2 2 7" xfId="45416" xr:uid="{00000000-0005-0000-0000-00004FB60000}"/>
    <cellStyle name="Normal 47 2 2 8" xfId="45417" xr:uid="{00000000-0005-0000-0000-000050B60000}"/>
    <cellStyle name="Normal 47 2 2 9" xfId="45418" xr:uid="{00000000-0005-0000-0000-000051B60000}"/>
    <cellStyle name="Normal 47 2 3" xfId="45419" xr:uid="{00000000-0005-0000-0000-000052B60000}"/>
    <cellStyle name="Normal 47 2 3 2" xfId="45420" xr:uid="{00000000-0005-0000-0000-000053B60000}"/>
    <cellStyle name="Normal 47 2 3 2 2" xfId="45421" xr:uid="{00000000-0005-0000-0000-000054B60000}"/>
    <cellStyle name="Normal 47 2 3 2 3" xfId="45422" xr:uid="{00000000-0005-0000-0000-000055B60000}"/>
    <cellStyle name="Normal 47 2 3 2 4" xfId="45423" xr:uid="{00000000-0005-0000-0000-000056B60000}"/>
    <cellStyle name="Normal 47 2 3 3" xfId="45424" xr:uid="{00000000-0005-0000-0000-000057B60000}"/>
    <cellStyle name="Normal 47 2 3 3 2" xfId="45425" xr:uid="{00000000-0005-0000-0000-000058B60000}"/>
    <cellStyle name="Normal 47 2 3 3 3" xfId="45426" xr:uid="{00000000-0005-0000-0000-000059B60000}"/>
    <cellStyle name="Normal 47 2 3 3 4" xfId="45427" xr:uid="{00000000-0005-0000-0000-00005AB60000}"/>
    <cellStyle name="Normal 47 2 3 4" xfId="45428" xr:uid="{00000000-0005-0000-0000-00005BB60000}"/>
    <cellStyle name="Normal 47 2 3 5" xfId="45429" xr:uid="{00000000-0005-0000-0000-00005CB60000}"/>
    <cellStyle name="Normal 47 2 3 6" xfId="45430" xr:uid="{00000000-0005-0000-0000-00005DB60000}"/>
    <cellStyle name="Normal 47 2 3 7" xfId="45431" xr:uid="{00000000-0005-0000-0000-00005EB60000}"/>
    <cellStyle name="Normal 47 2 4" xfId="45432" xr:uid="{00000000-0005-0000-0000-00005FB60000}"/>
    <cellStyle name="Normal 47 2 4 2" xfId="45433" xr:uid="{00000000-0005-0000-0000-000060B60000}"/>
    <cellStyle name="Normal 47 2 4 3" xfId="45434" xr:uid="{00000000-0005-0000-0000-000061B60000}"/>
    <cellStyle name="Normal 47 2 4 4" xfId="45435" xr:uid="{00000000-0005-0000-0000-000062B60000}"/>
    <cellStyle name="Normal 47 2 5" xfId="45436" xr:uid="{00000000-0005-0000-0000-000063B60000}"/>
    <cellStyle name="Normal 47 2 5 2" xfId="45437" xr:uid="{00000000-0005-0000-0000-000064B60000}"/>
    <cellStyle name="Normal 47 2 5 3" xfId="45438" xr:uid="{00000000-0005-0000-0000-000065B60000}"/>
    <cellStyle name="Normal 47 2 5 4" xfId="45439" xr:uid="{00000000-0005-0000-0000-000066B60000}"/>
    <cellStyle name="Normal 47 2 6" xfId="45440" xr:uid="{00000000-0005-0000-0000-000067B60000}"/>
    <cellStyle name="Normal 47 2 7" xfId="45441" xr:uid="{00000000-0005-0000-0000-000068B60000}"/>
    <cellStyle name="Normal 47 2 8" xfId="45442" xr:uid="{00000000-0005-0000-0000-000069B60000}"/>
    <cellStyle name="Normal 47 2 9" xfId="45443" xr:uid="{00000000-0005-0000-0000-00006AB60000}"/>
    <cellStyle name="Normal 47 2_Order Book" xfId="45444" xr:uid="{00000000-0005-0000-0000-00006BB60000}"/>
    <cellStyle name="Normal 47 3" xfId="45445" xr:uid="{00000000-0005-0000-0000-00006CB60000}"/>
    <cellStyle name="Normal 47 3 2" xfId="45446" xr:uid="{00000000-0005-0000-0000-00006DB60000}"/>
    <cellStyle name="Normal 47 3 2 2" xfId="45447" xr:uid="{00000000-0005-0000-0000-00006EB60000}"/>
    <cellStyle name="Normal 47 3 2 2 2" xfId="45448" xr:uid="{00000000-0005-0000-0000-00006FB60000}"/>
    <cellStyle name="Normal 47 3 2 2 3" xfId="45449" xr:uid="{00000000-0005-0000-0000-000070B60000}"/>
    <cellStyle name="Normal 47 3 2 2 4" xfId="45450" xr:uid="{00000000-0005-0000-0000-000071B60000}"/>
    <cellStyle name="Normal 47 3 2 3" xfId="45451" xr:uid="{00000000-0005-0000-0000-000072B60000}"/>
    <cellStyle name="Normal 47 3 2 3 2" xfId="45452" xr:uid="{00000000-0005-0000-0000-000073B60000}"/>
    <cellStyle name="Normal 47 3 2 3 3" xfId="45453" xr:uid="{00000000-0005-0000-0000-000074B60000}"/>
    <cellStyle name="Normal 47 3 2 3 4" xfId="45454" xr:uid="{00000000-0005-0000-0000-000075B60000}"/>
    <cellStyle name="Normal 47 3 2 4" xfId="45455" xr:uid="{00000000-0005-0000-0000-000076B60000}"/>
    <cellStyle name="Normal 47 3 2 5" xfId="45456" xr:uid="{00000000-0005-0000-0000-000077B60000}"/>
    <cellStyle name="Normal 47 3 2 6" xfId="45457" xr:uid="{00000000-0005-0000-0000-000078B60000}"/>
    <cellStyle name="Normal 47 3 2 7" xfId="45458" xr:uid="{00000000-0005-0000-0000-000079B60000}"/>
    <cellStyle name="Normal 47 3 3" xfId="45459" xr:uid="{00000000-0005-0000-0000-00007AB60000}"/>
    <cellStyle name="Normal 47 3 3 2" xfId="45460" xr:uid="{00000000-0005-0000-0000-00007BB60000}"/>
    <cellStyle name="Normal 47 3 3 3" xfId="45461" xr:uid="{00000000-0005-0000-0000-00007CB60000}"/>
    <cellStyle name="Normal 47 3 3 4" xfId="45462" xr:uid="{00000000-0005-0000-0000-00007DB60000}"/>
    <cellStyle name="Normal 47 3 4" xfId="45463" xr:uid="{00000000-0005-0000-0000-00007EB60000}"/>
    <cellStyle name="Normal 47 3 4 2" xfId="45464" xr:uid="{00000000-0005-0000-0000-00007FB60000}"/>
    <cellStyle name="Normal 47 3 4 3" xfId="45465" xr:uid="{00000000-0005-0000-0000-000080B60000}"/>
    <cellStyle name="Normal 47 3 4 4" xfId="45466" xr:uid="{00000000-0005-0000-0000-000081B60000}"/>
    <cellStyle name="Normal 47 3 5" xfId="45467" xr:uid="{00000000-0005-0000-0000-000082B60000}"/>
    <cellStyle name="Normal 47 3 6" xfId="45468" xr:uid="{00000000-0005-0000-0000-000083B60000}"/>
    <cellStyle name="Normal 47 3 7" xfId="45469" xr:uid="{00000000-0005-0000-0000-000084B60000}"/>
    <cellStyle name="Normal 47 3 8" xfId="45470" xr:uid="{00000000-0005-0000-0000-000085B60000}"/>
    <cellStyle name="Normal 47 3 9" xfId="45471" xr:uid="{00000000-0005-0000-0000-000086B60000}"/>
    <cellStyle name="Normal 47 4" xfId="45472" xr:uid="{00000000-0005-0000-0000-000087B60000}"/>
    <cellStyle name="Normal 47 4 2" xfId="45473" xr:uid="{00000000-0005-0000-0000-000088B60000}"/>
    <cellStyle name="Normal 47 4 2 2" xfId="45474" xr:uid="{00000000-0005-0000-0000-000089B60000}"/>
    <cellStyle name="Normal 47 4 2 3" xfId="45475" xr:uid="{00000000-0005-0000-0000-00008AB60000}"/>
    <cellStyle name="Normal 47 4 2 4" xfId="45476" xr:uid="{00000000-0005-0000-0000-00008BB60000}"/>
    <cellStyle name="Normal 47 4 3" xfId="45477" xr:uid="{00000000-0005-0000-0000-00008CB60000}"/>
    <cellStyle name="Normal 47 4 3 2" xfId="45478" xr:uid="{00000000-0005-0000-0000-00008DB60000}"/>
    <cellStyle name="Normal 47 4 3 3" xfId="45479" xr:uid="{00000000-0005-0000-0000-00008EB60000}"/>
    <cellStyle name="Normal 47 4 3 4" xfId="45480" xr:uid="{00000000-0005-0000-0000-00008FB60000}"/>
    <cellStyle name="Normal 47 4 4" xfId="45481" xr:uid="{00000000-0005-0000-0000-000090B60000}"/>
    <cellStyle name="Normal 47 4 5" xfId="45482" xr:uid="{00000000-0005-0000-0000-000091B60000}"/>
    <cellStyle name="Normal 47 4 6" xfId="45483" xr:uid="{00000000-0005-0000-0000-000092B60000}"/>
    <cellStyle name="Normal 47 4 7" xfId="45484" xr:uid="{00000000-0005-0000-0000-000093B60000}"/>
    <cellStyle name="Normal 47 5" xfId="45485" xr:uid="{00000000-0005-0000-0000-000094B60000}"/>
    <cellStyle name="Normal 47 5 2" xfId="45486" xr:uid="{00000000-0005-0000-0000-000095B60000}"/>
    <cellStyle name="Normal 47 5 3" xfId="45487" xr:uid="{00000000-0005-0000-0000-000096B60000}"/>
    <cellStyle name="Normal 47 5 4" xfId="45488" xr:uid="{00000000-0005-0000-0000-000097B60000}"/>
    <cellStyle name="Normal 47 6" xfId="45489" xr:uid="{00000000-0005-0000-0000-000098B60000}"/>
    <cellStyle name="Normal 47 6 2" xfId="45490" xr:uid="{00000000-0005-0000-0000-000099B60000}"/>
    <cellStyle name="Normal 47 6 3" xfId="45491" xr:uid="{00000000-0005-0000-0000-00009AB60000}"/>
    <cellStyle name="Normal 47 6 4" xfId="45492" xr:uid="{00000000-0005-0000-0000-00009BB60000}"/>
    <cellStyle name="Normal 47 7" xfId="45493" xr:uid="{00000000-0005-0000-0000-00009CB60000}"/>
    <cellStyle name="Normal 47 8" xfId="45494" xr:uid="{00000000-0005-0000-0000-00009DB60000}"/>
    <cellStyle name="Normal 47 9" xfId="45495" xr:uid="{00000000-0005-0000-0000-00009EB60000}"/>
    <cellStyle name="Normal 47_Order Book" xfId="45496" xr:uid="{00000000-0005-0000-0000-00009FB60000}"/>
    <cellStyle name="Normal 470" xfId="45497" xr:uid="{00000000-0005-0000-0000-0000A0B60000}"/>
    <cellStyle name="Normal 471" xfId="45498" xr:uid="{00000000-0005-0000-0000-0000A1B60000}"/>
    <cellStyle name="Normal 472" xfId="45499" xr:uid="{00000000-0005-0000-0000-0000A2B60000}"/>
    <cellStyle name="Normal 473" xfId="45500" xr:uid="{00000000-0005-0000-0000-0000A3B60000}"/>
    <cellStyle name="Normal 474" xfId="45501" xr:uid="{00000000-0005-0000-0000-0000A4B60000}"/>
    <cellStyle name="Normal 475" xfId="45502" xr:uid="{00000000-0005-0000-0000-0000A5B60000}"/>
    <cellStyle name="Normal 476" xfId="45503" xr:uid="{00000000-0005-0000-0000-0000A6B60000}"/>
    <cellStyle name="Normal 477" xfId="45504" xr:uid="{00000000-0005-0000-0000-0000A7B60000}"/>
    <cellStyle name="Normal 478" xfId="45505" xr:uid="{00000000-0005-0000-0000-0000A8B60000}"/>
    <cellStyle name="Normal 479" xfId="45506" xr:uid="{00000000-0005-0000-0000-0000A9B60000}"/>
    <cellStyle name="Normal 48" xfId="3521" xr:uid="{00000000-0005-0000-0000-0000AAB60000}"/>
    <cellStyle name="Normal 48 10" xfId="45507" xr:uid="{00000000-0005-0000-0000-0000ABB60000}"/>
    <cellStyle name="Normal 48 11" xfId="45508" xr:uid="{00000000-0005-0000-0000-0000ACB60000}"/>
    <cellStyle name="Normal 48 12" xfId="45509" xr:uid="{00000000-0005-0000-0000-0000ADB60000}"/>
    <cellStyle name="Normal 48 13" xfId="45510" xr:uid="{00000000-0005-0000-0000-0000AEB60000}"/>
    <cellStyle name="Normal 48 2" xfId="45511" xr:uid="{00000000-0005-0000-0000-0000AFB60000}"/>
    <cellStyle name="Normal 48 2 10" xfId="45512" xr:uid="{00000000-0005-0000-0000-0000B0B60000}"/>
    <cellStyle name="Normal 48 2 11" xfId="45513" xr:uid="{00000000-0005-0000-0000-0000B1B60000}"/>
    <cellStyle name="Normal 48 2 2" xfId="45514" xr:uid="{00000000-0005-0000-0000-0000B2B60000}"/>
    <cellStyle name="Normal 48 2 2 2" xfId="45515" xr:uid="{00000000-0005-0000-0000-0000B3B60000}"/>
    <cellStyle name="Normal 48 2 2 2 2" xfId="45516" xr:uid="{00000000-0005-0000-0000-0000B4B60000}"/>
    <cellStyle name="Normal 48 2 2 2 2 2" xfId="45517" xr:uid="{00000000-0005-0000-0000-0000B5B60000}"/>
    <cellStyle name="Normal 48 2 2 2 2 3" xfId="45518" xr:uid="{00000000-0005-0000-0000-0000B6B60000}"/>
    <cellStyle name="Normal 48 2 2 2 2 4" xfId="45519" xr:uid="{00000000-0005-0000-0000-0000B7B60000}"/>
    <cellStyle name="Normal 48 2 2 2 3" xfId="45520" xr:uid="{00000000-0005-0000-0000-0000B8B60000}"/>
    <cellStyle name="Normal 48 2 2 2 3 2" xfId="45521" xr:uid="{00000000-0005-0000-0000-0000B9B60000}"/>
    <cellStyle name="Normal 48 2 2 2 3 3" xfId="45522" xr:uid="{00000000-0005-0000-0000-0000BAB60000}"/>
    <cellStyle name="Normal 48 2 2 2 3 4" xfId="45523" xr:uid="{00000000-0005-0000-0000-0000BBB60000}"/>
    <cellStyle name="Normal 48 2 2 2 4" xfId="45524" xr:uid="{00000000-0005-0000-0000-0000BCB60000}"/>
    <cellStyle name="Normal 48 2 2 2 5" xfId="45525" xr:uid="{00000000-0005-0000-0000-0000BDB60000}"/>
    <cellStyle name="Normal 48 2 2 2 6" xfId="45526" xr:uid="{00000000-0005-0000-0000-0000BEB60000}"/>
    <cellStyle name="Normal 48 2 2 2 7" xfId="45527" xr:uid="{00000000-0005-0000-0000-0000BFB60000}"/>
    <cellStyle name="Normal 48 2 2 3" xfId="45528" xr:uid="{00000000-0005-0000-0000-0000C0B60000}"/>
    <cellStyle name="Normal 48 2 2 3 2" xfId="45529" xr:uid="{00000000-0005-0000-0000-0000C1B60000}"/>
    <cellStyle name="Normal 48 2 2 3 3" xfId="45530" xr:uid="{00000000-0005-0000-0000-0000C2B60000}"/>
    <cellStyle name="Normal 48 2 2 3 4" xfId="45531" xr:uid="{00000000-0005-0000-0000-0000C3B60000}"/>
    <cellStyle name="Normal 48 2 2 4" xfId="45532" xr:uid="{00000000-0005-0000-0000-0000C4B60000}"/>
    <cellStyle name="Normal 48 2 2 4 2" xfId="45533" xr:uid="{00000000-0005-0000-0000-0000C5B60000}"/>
    <cellStyle name="Normal 48 2 2 4 3" xfId="45534" xr:uid="{00000000-0005-0000-0000-0000C6B60000}"/>
    <cellStyle name="Normal 48 2 2 4 4" xfId="45535" xr:uid="{00000000-0005-0000-0000-0000C7B60000}"/>
    <cellStyle name="Normal 48 2 2 5" xfId="45536" xr:uid="{00000000-0005-0000-0000-0000C8B60000}"/>
    <cellStyle name="Normal 48 2 2 6" xfId="45537" xr:uid="{00000000-0005-0000-0000-0000C9B60000}"/>
    <cellStyle name="Normal 48 2 2 7" xfId="45538" xr:uid="{00000000-0005-0000-0000-0000CAB60000}"/>
    <cellStyle name="Normal 48 2 2 8" xfId="45539" xr:uid="{00000000-0005-0000-0000-0000CBB60000}"/>
    <cellStyle name="Normal 48 2 2 9" xfId="45540" xr:uid="{00000000-0005-0000-0000-0000CCB60000}"/>
    <cellStyle name="Normal 48 2 3" xfId="45541" xr:uid="{00000000-0005-0000-0000-0000CDB60000}"/>
    <cellStyle name="Normal 48 2 3 2" xfId="45542" xr:uid="{00000000-0005-0000-0000-0000CEB60000}"/>
    <cellStyle name="Normal 48 2 3 2 2" xfId="45543" xr:uid="{00000000-0005-0000-0000-0000CFB60000}"/>
    <cellStyle name="Normal 48 2 3 2 3" xfId="45544" xr:uid="{00000000-0005-0000-0000-0000D0B60000}"/>
    <cellStyle name="Normal 48 2 3 2 4" xfId="45545" xr:uid="{00000000-0005-0000-0000-0000D1B60000}"/>
    <cellStyle name="Normal 48 2 3 3" xfId="45546" xr:uid="{00000000-0005-0000-0000-0000D2B60000}"/>
    <cellStyle name="Normal 48 2 3 3 2" xfId="45547" xr:uid="{00000000-0005-0000-0000-0000D3B60000}"/>
    <cellStyle name="Normal 48 2 3 3 3" xfId="45548" xr:uid="{00000000-0005-0000-0000-0000D4B60000}"/>
    <cellStyle name="Normal 48 2 3 3 4" xfId="45549" xr:uid="{00000000-0005-0000-0000-0000D5B60000}"/>
    <cellStyle name="Normal 48 2 3 4" xfId="45550" xr:uid="{00000000-0005-0000-0000-0000D6B60000}"/>
    <cellStyle name="Normal 48 2 3 5" xfId="45551" xr:uid="{00000000-0005-0000-0000-0000D7B60000}"/>
    <cellStyle name="Normal 48 2 3 6" xfId="45552" xr:uid="{00000000-0005-0000-0000-0000D8B60000}"/>
    <cellStyle name="Normal 48 2 3 7" xfId="45553" xr:uid="{00000000-0005-0000-0000-0000D9B60000}"/>
    <cellStyle name="Normal 48 2 4" xfId="45554" xr:uid="{00000000-0005-0000-0000-0000DAB60000}"/>
    <cellStyle name="Normal 48 2 4 2" xfId="45555" xr:uid="{00000000-0005-0000-0000-0000DBB60000}"/>
    <cellStyle name="Normal 48 2 4 3" xfId="45556" xr:uid="{00000000-0005-0000-0000-0000DCB60000}"/>
    <cellStyle name="Normal 48 2 4 4" xfId="45557" xr:uid="{00000000-0005-0000-0000-0000DDB60000}"/>
    <cellStyle name="Normal 48 2 5" xfId="45558" xr:uid="{00000000-0005-0000-0000-0000DEB60000}"/>
    <cellStyle name="Normal 48 2 5 2" xfId="45559" xr:uid="{00000000-0005-0000-0000-0000DFB60000}"/>
    <cellStyle name="Normal 48 2 5 3" xfId="45560" xr:uid="{00000000-0005-0000-0000-0000E0B60000}"/>
    <cellStyle name="Normal 48 2 5 4" xfId="45561" xr:uid="{00000000-0005-0000-0000-0000E1B60000}"/>
    <cellStyle name="Normal 48 2 6" xfId="45562" xr:uid="{00000000-0005-0000-0000-0000E2B60000}"/>
    <cellStyle name="Normal 48 2 7" xfId="45563" xr:uid="{00000000-0005-0000-0000-0000E3B60000}"/>
    <cellStyle name="Normal 48 2 8" xfId="45564" xr:uid="{00000000-0005-0000-0000-0000E4B60000}"/>
    <cellStyle name="Normal 48 2 9" xfId="45565" xr:uid="{00000000-0005-0000-0000-0000E5B60000}"/>
    <cellStyle name="Normal 48 2_Order Book" xfId="45566" xr:uid="{00000000-0005-0000-0000-0000E6B60000}"/>
    <cellStyle name="Normal 48 3" xfId="45567" xr:uid="{00000000-0005-0000-0000-0000E7B60000}"/>
    <cellStyle name="Normal 48 3 2" xfId="45568" xr:uid="{00000000-0005-0000-0000-0000E8B60000}"/>
    <cellStyle name="Normal 48 3 2 2" xfId="45569" xr:uid="{00000000-0005-0000-0000-0000E9B60000}"/>
    <cellStyle name="Normal 48 3 2 2 2" xfId="45570" xr:uid="{00000000-0005-0000-0000-0000EAB60000}"/>
    <cellStyle name="Normal 48 3 2 2 3" xfId="45571" xr:uid="{00000000-0005-0000-0000-0000EBB60000}"/>
    <cellStyle name="Normal 48 3 2 2 4" xfId="45572" xr:uid="{00000000-0005-0000-0000-0000ECB60000}"/>
    <cellStyle name="Normal 48 3 2 3" xfId="45573" xr:uid="{00000000-0005-0000-0000-0000EDB60000}"/>
    <cellStyle name="Normal 48 3 2 3 2" xfId="45574" xr:uid="{00000000-0005-0000-0000-0000EEB60000}"/>
    <cellStyle name="Normal 48 3 2 3 3" xfId="45575" xr:uid="{00000000-0005-0000-0000-0000EFB60000}"/>
    <cellStyle name="Normal 48 3 2 3 4" xfId="45576" xr:uid="{00000000-0005-0000-0000-0000F0B60000}"/>
    <cellStyle name="Normal 48 3 2 4" xfId="45577" xr:uid="{00000000-0005-0000-0000-0000F1B60000}"/>
    <cellStyle name="Normal 48 3 2 5" xfId="45578" xr:uid="{00000000-0005-0000-0000-0000F2B60000}"/>
    <cellStyle name="Normal 48 3 2 6" xfId="45579" xr:uid="{00000000-0005-0000-0000-0000F3B60000}"/>
    <cellStyle name="Normal 48 3 2 7" xfId="45580" xr:uid="{00000000-0005-0000-0000-0000F4B60000}"/>
    <cellStyle name="Normal 48 3 3" xfId="45581" xr:uid="{00000000-0005-0000-0000-0000F5B60000}"/>
    <cellStyle name="Normal 48 3 3 2" xfId="45582" xr:uid="{00000000-0005-0000-0000-0000F6B60000}"/>
    <cellStyle name="Normal 48 3 3 3" xfId="45583" xr:uid="{00000000-0005-0000-0000-0000F7B60000}"/>
    <cellStyle name="Normal 48 3 3 4" xfId="45584" xr:uid="{00000000-0005-0000-0000-0000F8B60000}"/>
    <cellStyle name="Normal 48 3 4" xfId="45585" xr:uid="{00000000-0005-0000-0000-0000F9B60000}"/>
    <cellStyle name="Normal 48 3 4 2" xfId="45586" xr:uid="{00000000-0005-0000-0000-0000FAB60000}"/>
    <cellStyle name="Normal 48 3 4 3" xfId="45587" xr:uid="{00000000-0005-0000-0000-0000FBB60000}"/>
    <cellStyle name="Normal 48 3 4 4" xfId="45588" xr:uid="{00000000-0005-0000-0000-0000FCB60000}"/>
    <cellStyle name="Normal 48 3 5" xfId="45589" xr:uid="{00000000-0005-0000-0000-0000FDB60000}"/>
    <cellStyle name="Normal 48 3 6" xfId="45590" xr:uid="{00000000-0005-0000-0000-0000FEB60000}"/>
    <cellStyle name="Normal 48 3 7" xfId="45591" xr:uid="{00000000-0005-0000-0000-0000FFB60000}"/>
    <cellStyle name="Normal 48 3 8" xfId="45592" xr:uid="{00000000-0005-0000-0000-000000B70000}"/>
    <cellStyle name="Normal 48 3 9" xfId="45593" xr:uid="{00000000-0005-0000-0000-000001B70000}"/>
    <cellStyle name="Normal 48 4" xfId="45594" xr:uid="{00000000-0005-0000-0000-000002B70000}"/>
    <cellStyle name="Normal 48 4 2" xfId="45595" xr:uid="{00000000-0005-0000-0000-000003B70000}"/>
    <cellStyle name="Normal 48 4 2 2" xfId="45596" xr:uid="{00000000-0005-0000-0000-000004B70000}"/>
    <cellStyle name="Normal 48 4 2 3" xfId="45597" xr:uid="{00000000-0005-0000-0000-000005B70000}"/>
    <cellStyle name="Normal 48 4 2 4" xfId="45598" xr:uid="{00000000-0005-0000-0000-000006B70000}"/>
    <cellStyle name="Normal 48 4 3" xfId="45599" xr:uid="{00000000-0005-0000-0000-000007B70000}"/>
    <cellStyle name="Normal 48 4 3 2" xfId="45600" xr:uid="{00000000-0005-0000-0000-000008B70000}"/>
    <cellStyle name="Normal 48 4 3 3" xfId="45601" xr:uid="{00000000-0005-0000-0000-000009B70000}"/>
    <cellStyle name="Normal 48 4 3 4" xfId="45602" xr:uid="{00000000-0005-0000-0000-00000AB70000}"/>
    <cellStyle name="Normal 48 4 4" xfId="45603" xr:uid="{00000000-0005-0000-0000-00000BB70000}"/>
    <cellStyle name="Normal 48 4 5" xfId="45604" xr:uid="{00000000-0005-0000-0000-00000CB70000}"/>
    <cellStyle name="Normal 48 4 6" xfId="45605" xr:uid="{00000000-0005-0000-0000-00000DB70000}"/>
    <cellStyle name="Normal 48 4 7" xfId="45606" xr:uid="{00000000-0005-0000-0000-00000EB70000}"/>
    <cellStyle name="Normal 48 5" xfId="45607" xr:uid="{00000000-0005-0000-0000-00000FB70000}"/>
    <cellStyle name="Normal 48 5 2" xfId="45608" xr:uid="{00000000-0005-0000-0000-000010B70000}"/>
    <cellStyle name="Normal 48 5 3" xfId="45609" xr:uid="{00000000-0005-0000-0000-000011B70000}"/>
    <cellStyle name="Normal 48 5 4" xfId="45610" xr:uid="{00000000-0005-0000-0000-000012B70000}"/>
    <cellStyle name="Normal 48 6" xfId="45611" xr:uid="{00000000-0005-0000-0000-000013B70000}"/>
    <cellStyle name="Normal 48 6 2" xfId="45612" xr:uid="{00000000-0005-0000-0000-000014B70000}"/>
    <cellStyle name="Normal 48 6 3" xfId="45613" xr:uid="{00000000-0005-0000-0000-000015B70000}"/>
    <cellStyle name="Normal 48 6 4" xfId="45614" xr:uid="{00000000-0005-0000-0000-000016B70000}"/>
    <cellStyle name="Normal 48 7" xfId="45615" xr:uid="{00000000-0005-0000-0000-000017B70000}"/>
    <cellStyle name="Normal 48 8" xfId="45616" xr:uid="{00000000-0005-0000-0000-000018B70000}"/>
    <cellStyle name="Normal 48 9" xfId="45617" xr:uid="{00000000-0005-0000-0000-000019B70000}"/>
    <cellStyle name="Normal 48_Order Book" xfId="45618" xr:uid="{00000000-0005-0000-0000-00001AB70000}"/>
    <cellStyle name="Normal 480" xfId="45619" xr:uid="{00000000-0005-0000-0000-00001BB70000}"/>
    <cellStyle name="Normal 481" xfId="45620" xr:uid="{00000000-0005-0000-0000-00001CB70000}"/>
    <cellStyle name="Normal 482" xfId="45621" xr:uid="{00000000-0005-0000-0000-00001DB70000}"/>
    <cellStyle name="Normal 483" xfId="45622" xr:uid="{00000000-0005-0000-0000-00001EB70000}"/>
    <cellStyle name="Normal 484" xfId="45623" xr:uid="{00000000-0005-0000-0000-00001FB70000}"/>
    <cellStyle name="Normal 485" xfId="45624" xr:uid="{00000000-0005-0000-0000-000020B70000}"/>
    <cellStyle name="Normal 486" xfId="45625" xr:uid="{00000000-0005-0000-0000-000021B70000}"/>
    <cellStyle name="Normal 487" xfId="45626" xr:uid="{00000000-0005-0000-0000-000022B70000}"/>
    <cellStyle name="Normal 488" xfId="45627" xr:uid="{00000000-0005-0000-0000-000023B70000}"/>
    <cellStyle name="Normal 489" xfId="45628" xr:uid="{00000000-0005-0000-0000-000024B70000}"/>
    <cellStyle name="Normal 49" xfId="3522" xr:uid="{00000000-0005-0000-0000-000025B70000}"/>
    <cellStyle name="Normal 49 10" xfId="45629" xr:uid="{00000000-0005-0000-0000-000026B70000}"/>
    <cellStyle name="Normal 49 11" xfId="45630" xr:uid="{00000000-0005-0000-0000-000027B70000}"/>
    <cellStyle name="Normal 49 12" xfId="45631" xr:uid="{00000000-0005-0000-0000-000028B70000}"/>
    <cellStyle name="Normal 49 13" xfId="45632" xr:uid="{00000000-0005-0000-0000-000029B70000}"/>
    <cellStyle name="Normal 49 2" xfId="45633" xr:uid="{00000000-0005-0000-0000-00002AB70000}"/>
    <cellStyle name="Normal 49 2 10" xfId="45634" xr:uid="{00000000-0005-0000-0000-00002BB70000}"/>
    <cellStyle name="Normal 49 2 11" xfId="45635" xr:uid="{00000000-0005-0000-0000-00002CB70000}"/>
    <cellStyle name="Normal 49 2 2" xfId="45636" xr:uid="{00000000-0005-0000-0000-00002DB70000}"/>
    <cellStyle name="Normal 49 2 2 2" xfId="45637" xr:uid="{00000000-0005-0000-0000-00002EB70000}"/>
    <cellStyle name="Normal 49 2 2 2 2" xfId="45638" xr:uid="{00000000-0005-0000-0000-00002FB70000}"/>
    <cellStyle name="Normal 49 2 2 2 2 2" xfId="45639" xr:uid="{00000000-0005-0000-0000-000030B70000}"/>
    <cellStyle name="Normal 49 2 2 2 2 3" xfId="45640" xr:uid="{00000000-0005-0000-0000-000031B70000}"/>
    <cellStyle name="Normal 49 2 2 2 2 4" xfId="45641" xr:uid="{00000000-0005-0000-0000-000032B70000}"/>
    <cellStyle name="Normal 49 2 2 2 3" xfId="45642" xr:uid="{00000000-0005-0000-0000-000033B70000}"/>
    <cellStyle name="Normal 49 2 2 2 3 2" xfId="45643" xr:uid="{00000000-0005-0000-0000-000034B70000}"/>
    <cellStyle name="Normal 49 2 2 2 3 3" xfId="45644" xr:uid="{00000000-0005-0000-0000-000035B70000}"/>
    <cellStyle name="Normal 49 2 2 2 3 4" xfId="45645" xr:uid="{00000000-0005-0000-0000-000036B70000}"/>
    <cellStyle name="Normal 49 2 2 2 4" xfId="45646" xr:uid="{00000000-0005-0000-0000-000037B70000}"/>
    <cellStyle name="Normal 49 2 2 2 5" xfId="45647" xr:uid="{00000000-0005-0000-0000-000038B70000}"/>
    <cellStyle name="Normal 49 2 2 2 6" xfId="45648" xr:uid="{00000000-0005-0000-0000-000039B70000}"/>
    <cellStyle name="Normal 49 2 2 2 7" xfId="45649" xr:uid="{00000000-0005-0000-0000-00003AB70000}"/>
    <cellStyle name="Normal 49 2 2 3" xfId="45650" xr:uid="{00000000-0005-0000-0000-00003BB70000}"/>
    <cellStyle name="Normal 49 2 2 3 2" xfId="45651" xr:uid="{00000000-0005-0000-0000-00003CB70000}"/>
    <cellStyle name="Normal 49 2 2 3 3" xfId="45652" xr:uid="{00000000-0005-0000-0000-00003DB70000}"/>
    <cellStyle name="Normal 49 2 2 3 4" xfId="45653" xr:uid="{00000000-0005-0000-0000-00003EB70000}"/>
    <cellStyle name="Normal 49 2 2 4" xfId="45654" xr:uid="{00000000-0005-0000-0000-00003FB70000}"/>
    <cellStyle name="Normal 49 2 2 4 2" xfId="45655" xr:uid="{00000000-0005-0000-0000-000040B70000}"/>
    <cellStyle name="Normal 49 2 2 4 3" xfId="45656" xr:uid="{00000000-0005-0000-0000-000041B70000}"/>
    <cellStyle name="Normal 49 2 2 4 4" xfId="45657" xr:uid="{00000000-0005-0000-0000-000042B70000}"/>
    <cellStyle name="Normal 49 2 2 5" xfId="45658" xr:uid="{00000000-0005-0000-0000-000043B70000}"/>
    <cellStyle name="Normal 49 2 2 6" xfId="45659" xr:uid="{00000000-0005-0000-0000-000044B70000}"/>
    <cellStyle name="Normal 49 2 2 7" xfId="45660" xr:uid="{00000000-0005-0000-0000-000045B70000}"/>
    <cellStyle name="Normal 49 2 2 8" xfId="45661" xr:uid="{00000000-0005-0000-0000-000046B70000}"/>
    <cellStyle name="Normal 49 2 2 9" xfId="45662" xr:uid="{00000000-0005-0000-0000-000047B70000}"/>
    <cellStyle name="Normal 49 2 3" xfId="45663" xr:uid="{00000000-0005-0000-0000-000048B70000}"/>
    <cellStyle name="Normal 49 2 3 2" xfId="45664" xr:uid="{00000000-0005-0000-0000-000049B70000}"/>
    <cellStyle name="Normal 49 2 3 2 2" xfId="45665" xr:uid="{00000000-0005-0000-0000-00004AB70000}"/>
    <cellStyle name="Normal 49 2 3 2 3" xfId="45666" xr:uid="{00000000-0005-0000-0000-00004BB70000}"/>
    <cellStyle name="Normal 49 2 3 2 4" xfId="45667" xr:uid="{00000000-0005-0000-0000-00004CB70000}"/>
    <cellStyle name="Normal 49 2 3 3" xfId="45668" xr:uid="{00000000-0005-0000-0000-00004DB70000}"/>
    <cellStyle name="Normal 49 2 3 3 2" xfId="45669" xr:uid="{00000000-0005-0000-0000-00004EB70000}"/>
    <cellStyle name="Normal 49 2 3 3 3" xfId="45670" xr:uid="{00000000-0005-0000-0000-00004FB70000}"/>
    <cellStyle name="Normal 49 2 3 3 4" xfId="45671" xr:uid="{00000000-0005-0000-0000-000050B70000}"/>
    <cellStyle name="Normal 49 2 3 4" xfId="45672" xr:uid="{00000000-0005-0000-0000-000051B70000}"/>
    <cellStyle name="Normal 49 2 3 5" xfId="45673" xr:uid="{00000000-0005-0000-0000-000052B70000}"/>
    <cellStyle name="Normal 49 2 3 6" xfId="45674" xr:uid="{00000000-0005-0000-0000-000053B70000}"/>
    <cellStyle name="Normal 49 2 3 7" xfId="45675" xr:uid="{00000000-0005-0000-0000-000054B70000}"/>
    <cellStyle name="Normal 49 2 4" xfId="45676" xr:uid="{00000000-0005-0000-0000-000055B70000}"/>
    <cellStyle name="Normal 49 2 4 2" xfId="45677" xr:uid="{00000000-0005-0000-0000-000056B70000}"/>
    <cellStyle name="Normal 49 2 4 3" xfId="45678" xr:uid="{00000000-0005-0000-0000-000057B70000}"/>
    <cellStyle name="Normal 49 2 4 4" xfId="45679" xr:uid="{00000000-0005-0000-0000-000058B70000}"/>
    <cellStyle name="Normal 49 2 5" xfId="45680" xr:uid="{00000000-0005-0000-0000-000059B70000}"/>
    <cellStyle name="Normal 49 2 5 2" xfId="45681" xr:uid="{00000000-0005-0000-0000-00005AB70000}"/>
    <cellStyle name="Normal 49 2 5 3" xfId="45682" xr:uid="{00000000-0005-0000-0000-00005BB70000}"/>
    <cellStyle name="Normal 49 2 5 4" xfId="45683" xr:uid="{00000000-0005-0000-0000-00005CB70000}"/>
    <cellStyle name="Normal 49 2 6" xfId="45684" xr:uid="{00000000-0005-0000-0000-00005DB70000}"/>
    <cellStyle name="Normal 49 2 7" xfId="45685" xr:uid="{00000000-0005-0000-0000-00005EB70000}"/>
    <cellStyle name="Normal 49 2 8" xfId="45686" xr:uid="{00000000-0005-0000-0000-00005FB70000}"/>
    <cellStyle name="Normal 49 2 9" xfId="45687" xr:uid="{00000000-0005-0000-0000-000060B70000}"/>
    <cellStyle name="Normal 49 2_Order Book" xfId="45688" xr:uid="{00000000-0005-0000-0000-000061B70000}"/>
    <cellStyle name="Normal 49 3" xfId="45689" xr:uid="{00000000-0005-0000-0000-000062B70000}"/>
    <cellStyle name="Normal 49 3 2" xfId="45690" xr:uid="{00000000-0005-0000-0000-000063B70000}"/>
    <cellStyle name="Normal 49 3 2 2" xfId="45691" xr:uid="{00000000-0005-0000-0000-000064B70000}"/>
    <cellStyle name="Normal 49 3 2 2 2" xfId="45692" xr:uid="{00000000-0005-0000-0000-000065B70000}"/>
    <cellStyle name="Normal 49 3 2 2 3" xfId="45693" xr:uid="{00000000-0005-0000-0000-000066B70000}"/>
    <cellStyle name="Normal 49 3 2 2 4" xfId="45694" xr:uid="{00000000-0005-0000-0000-000067B70000}"/>
    <cellStyle name="Normal 49 3 2 3" xfId="45695" xr:uid="{00000000-0005-0000-0000-000068B70000}"/>
    <cellStyle name="Normal 49 3 2 3 2" xfId="45696" xr:uid="{00000000-0005-0000-0000-000069B70000}"/>
    <cellStyle name="Normal 49 3 2 3 3" xfId="45697" xr:uid="{00000000-0005-0000-0000-00006AB70000}"/>
    <cellStyle name="Normal 49 3 2 3 4" xfId="45698" xr:uid="{00000000-0005-0000-0000-00006BB70000}"/>
    <cellStyle name="Normal 49 3 2 4" xfId="45699" xr:uid="{00000000-0005-0000-0000-00006CB70000}"/>
    <cellStyle name="Normal 49 3 2 5" xfId="45700" xr:uid="{00000000-0005-0000-0000-00006DB70000}"/>
    <cellStyle name="Normal 49 3 2 6" xfId="45701" xr:uid="{00000000-0005-0000-0000-00006EB70000}"/>
    <cellStyle name="Normal 49 3 2 7" xfId="45702" xr:uid="{00000000-0005-0000-0000-00006FB70000}"/>
    <cellStyle name="Normal 49 3 3" xfId="45703" xr:uid="{00000000-0005-0000-0000-000070B70000}"/>
    <cellStyle name="Normal 49 3 3 2" xfId="45704" xr:uid="{00000000-0005-0000-0000-000071B70000}"/>
    <cellStyle name="Normal 49 3 3 3" xfId="45705" xr:uid="{00000000-0005-0000-0000-000072B70000}"/>
    <cellStyle name="Normal 49 3 3 4" xfId="45706" xr:uid="{00000000-0005-0000-0000-000073B70000}"/>
    <cellStyle name="Normal 49 3 4" xfId="45707" xr:uid="{00000000-0005-0000-0000-000074B70000}"/>
    <cellStyle name="Normal 49 3 4 2" xfId="45708" xr:uid="{00000000-0005-0000-0000-000075B70000}"/>
    <cellStyle name="Normal 49 3 4 3" xfId="45709" xr:uid="{00000000-0005-0000-0000-000076B70000}"/>
    <cellStyle name="Normal 49 3 4 4" xfId="45710" xr:uid="{00000000-0005-0000-0000-000077B70000}"/>
    <cellStyle name="Normal 49 3 5" xfId="45711" xr:uid="{00000000-0005-0000-0000-000078B70000}"/>
    <cellStyle name="Normal 49 3 6" xfId="45712" xr:uid="{00000000-0005-0000-0000-000079B70000}"/>
    <cellStyle name="Normal 49 3 7" xfId="45713" xr:uid="{00000000-0005-0000-0000-00007AB70000}"/>
    <cellStyle name="Normal 49 3 8" xfId="45714" xr:uid="{00000000-0005-0000-0000-00007BB70000}"/>
    <cellStyle name="Normal 49 3 9" xfId="45715" xr:uid="{00000000-0005-0000-0000-00007CB70000}"/>
    <cellStyle name="Normal 49 4" xfId="45716" xr:uid="{00000000-0005-0000-0000-00007DB70000}"/>
    <cellStyle name="Normal 49 4 2" xfId="45717" xr:uid="{00000000-0005-0000-0000-00007EB70000}"/>
    <cellStyle name="Normal 49 4 2 2" xfId="45718" xr:uid="{00000000-0005-0000-0000-00007FB70000}"/>
    <cellStyle name="Normal 49 4 2 3" xfId="45719" xr:uid="{00000000-0005-0000-0000-000080B70000}"/>
    <cellStyle name="Normal 49 4 2 4" xfId="45720" xr:uid="{00000000-0005-0000-0000-000081B70000}"/>
    <cellStyle name="Normal 49 4 3" xfId="45721" xr:uid="{00000000-0005-0000-0000-000082B70000}"/>
    <cellStyle name="Normal 49 4 3 2" xfId="45722" xr:uid="{00000000-0005-0000-0000-000083B70000}"/>
    <cellStyle name="Normal 49 4 3 3" xfId="45723" xr:uid="{00000000-0005-0000-0000-000084B70000}"/>
    <cellStyle name="Normal 49 4 3 4" xfId="45724" xr:uid="{00000000-0005-0000-0000-000085B70000}"/>
    <cellStyle name="Normal 49 4 4" xfId="45725" xr:uid="{00000000-0005-0000-0000-000086B70000}"/>
    <cellStyle name="Normal 49 4 5" xfId="45726" xr:uid="{00000000-0005-0000-0000-000087B70000}"/>
    <cellStyle name="Normal 49 4 6" xfId="45727" xr:uid="{00000000-0005-0000-0000-000088B70000}"/>
    <cellStyle name="Normal 49 4 7" xfId="45728" xr:uid="{00000000-0005-0000-0000-000089B70000}"/>
    <cellStyle name="Normal 49 5" xfId="45729" xr:uid="{00000000-0005-0000-0000-00008AB70000}"/>
    <cellStyle name="Normal 49 5 2" xfId="45730" xr:uid="{00000000-0005-0000-0000-00008BB70000}"/>
    <cellStyle name="Normal 49 5 3" xfId="45731" xr:uid="{00000000-0005-0000-0000-00008CB70000}"/>
    <cellStyle name="Normal 49 5 4" xfId="45732" xr:uid="{00000000-0005-0000-0000-00008DB70000}"/>
    <cellStyle name="Normal 49 6" xfId="45733" xr:uid="{00000000-0005-0000-0000-00008EB70000}"/>
    <cellStyle name="Normal 49 6 2" xfId="45734" xr:uid="{00000000-0005-0000-0000-00008FB70000}"/>
    <cellStyle name="Normal 49 6 3" xfId="45735" xr:uid="{00000000-0005-0000-0000-000090B70000}"/>
    <cellStyle name="Normal 49 6 4" xfId="45736" xr:uid="{00000000-0005-0000-0000-000091B70000}"/>
    <cellStyle name="Normal 49 7" xfId="45737" xr:uid="{00000000-0005-0000-0000-000092B70000}"/>
    <cellStyle name="Normal 49 8" xfId="45738" xr:uid="{00000000-0005-0000-0000-000093B70000}"/>
    <cellStyle name="Normal 49 9" xfId="45739" xr:uid="{00000000-0005-0000-0000-000094B70000}"/>
    <cellStyle name="Normal 49_Order Book" xfId="45740" xr:uid="{00000000-0005-0000-0000-000095B70000}"/>
    <cellStyle name="Normal 490" xfId="45741" xr:uid="{00000000-0005-0000-0000-000096B70000}"/>
    <cellStyle name="Normal 491" xfId="45742" xr:uid="{00000000-0005-0000-0000-000097B70000}"/>
    <cellStyle name="Normal 492" xfId="45743" xr:uid="{00000000-0005-0000-0000-000098B70000}"/>
    <cellStyle name="Normal 493" xfId="45744" xr:uid="{00000000-0005-0000-0000-000099B70000}"/>
    <cellStyle name="Normal 494" xfId="45745" xr:uid="{00000000-0005-0000-0000-00009AB70000}"/>
    <cellStyle name="Normal 495" xfId="45746" xr:uid="{00000000-0005-0000-0000-00009BB70000}"/>
    <cellStyle name="Normal 496" xfId="45747" xr:uid="{00000000-0005-0000-0000-00009CB70000}"/>
    <cellStyle name="Normal 497" xfId="45748" xr:uid="{00000000-0005-0000-0000-00009DB70000}"/>
    <cellStyle name="Normal 498" xfId="45749" xr:uid="{00000000-0005-0000-0000-00009EB70000}"/>
    <cellStyle name="Normal 499" xfId="45750" xr:uid="{00000000-0005-0000-0000-00009FB70000}"/>
    <cellStyle name="Normal 5" xfId="3523" xr:uid="{00000000-0005-0000-0000-0000A0B70000}"/>
    <cellStyle name="Normal 5 10" xfId="45751" xr:uid="{00000000-0005-0000-0000-0000A1B70000}"/>
    <cellStyle name="Normal 5 2" xfId="3524" xr:uid="{00000000-0005-0000-0000-0000A2B70000}"/>
    <cellStyle name="Normal 5 2 2" xfId="45752" xr:uid="{00000000-0005-0000-0000-0000A3B70000}"/>
    <cellStyle name="Normal 5 2 2 2" xfId="45753" xr:uid="{00000000-0005-0000-0000-0000A4B70000}"/>
    <cellStyle name="Normal 5 2 3" xfId="45754" xr:uid="{00000000-0005-0000-0000-0000A5B70000}"/>
    <cellStyle name="Normal 5 2 4" xfId="45755" xr:uid="{00000000-0005-0000-0000-0000A6B70000}"/>
    <cellStyle name="Normal 5 3" xfId="3525" xr:uid="{00000000-0005-0000-0000-0000A7B70000}"/>
    <cellStyle name="Normal 5 3 2" xfId="3526" xr:uid="{00000000-0005-0000-0000-0000A8B70000}"/>
    <cellStyle name="Normal 5 3 2 2" xfId="3527" xr:uid="{00000000-0005-0000-0000-0000A9B70000}"/>
    <cellStyle name="Normal 5 3 2 2 2" xfId="45756" xr:uid="{00000000-0005-0000-0000-0000AAB70000}"/>
    <cellStyle name="Normal 5 3 2 3" xfId="45757" xr:uid="{00000000-0005-0000-0000-0000ABB70000}"/>
    <cellStyle name="Normal 5 3 3" xfId="3528" xr:uid="{00000000-0005-0000-0000-0000ACB70000}"/>
    <cellStyle name="Normal 5 3 3 2" xfId="45758" xr:uid="{00000000-0005-0000-0000-0000ADB70000}"/>
    <cellStyle name="Normal 5 3 4" xfId="45759" xr:uid="{00000000-0005-0000-0000-0000AEB70000}"/>
    <cellStyle name="Normal 5 4" xfId="3529" xr:uid="{00000000-0005-0000-0000-0000AFB70000}"/>
    <cellStyle name="Normal 5 4 2" xfId="3530" xr:uid="{00000000-0005-0000-0000-0000B0B70000}"/>
    <cellStyle name="Normal 5 4 2 2" xfId="3531" xr:uid="{00000000-0005-0000-0000-0000B1B70000}"/>
    <cellStyle name="Normal 5 4 2 2 2" xfId="45760" xr:uid="{00000000-0005-0000-0000-0000B2B70000}"/>
    <cellStyle name="Normal 5 4 2 3" xfId="45761" xr:uid="{00000000-0005-0000-0000-0000B3B70000}"/>
    <cellStyle name="Normal 5 4 3" xfId="3532" xr:uid="{00000000-0005-0000-0000-0000B4B70000}"/>
    <cellStyle name="Normal 5 4 3 2" xfId="45762" xr:uid="{00000000-0005-0000-0000-0000B5B70000}"/>
    <cellStyle name="Normal 5 4 4" xfId="45763" xr:uid="{00000000-0005-0000-0000-0000B6B70000}"/>
    <cellStyle name="Normal 5 4 5" xfId="45764" xr:uid="{00000000-0005-0000-0000-0000B7B70000}"/>
    <cellStyle name="Normal 5 5" xfId="3533" xr:uid="{00000000-0005-0000-0000-0000B8B70000}"/>
    <cellStyle name="Normal 5 5 2" xfId="3534" xr:uid="{00000000-0005-0000-0000-0000B9B70000}"/>
    <cellStyle name="Normal 5 5 2 2" xfId="45765" xr:uid="{00000000-0005-0000-0000-0000BAB70000}"/>
    <cellStyle name="Normal 5 5 3" xfId="45766" xr:uid="{00000000-0005-0000-0000-0000BBB70000}"/>
    <cellStyle name="Normal 5 5 4" xfId="45767" xr:uid="{00000000-0005-0000-0000-0000BCB70000}"/>
    <cellStyle name="Normal 5 6" xfId="3535" xr:uid="{00000000-0005-0000-0000-0000BDB70000}"/>
    <cellStyle name="Normal 5 6 2" xfId="45768" xr:uid="{00000000-0005-0000-0000-0000BEB70000}"/>
    <cellStyle name="Normal 5 6 3" xfId="45769" xr:uid="{00000000-0005-0000-0000-0000BFB70000}"/>
    <cellStyle name="Normal 5 7" xfId="45770" xr:uid="{00000000-0005-0000-0000-0000C0B70000}"/>
    <cellStyle name="Normal 5 8" xfId="45771" xr:uid="{00000000-0005-0000-0000-0000C1B70000}"/>
    <cellStyle name="Normal 5 9" xfId="45772" xr:uid="{00000000-0005-0000-0000-0000C2B70000}"/>
    <cellStyle name="Normal 50" xfId="3536" xr:uid="{00000000-0005-0000-0000-0000C3B70000}"/>
    <cellStyle name="Normal 50 10" xfId="45773" xr:uid="{00000000-0005-0000-0000-0000C4B70000}"/>
    <cellStyle name="Normal 50 11" xfId="45774" xr:uid="{00000000-0005-0000-0000-0000C5B70000}"/>
    <cellStyle name="Normal 50 12" xfId="45775" xr:uid="{00000000-0005-0000-0000-0000C6B70000}"/>
    <cellStyle name="Normal 50 13" xfId="45776" xr:uid="{00000000-0005-0000-0000-0000C7B70000}"/>
    <cellStyle name="Normal 50 2" xfId="45777" xr:uid="{00000000-0005-0000-0000-0000C8B70000}"/>
    <cellStyle name="Normal 50 2 10" xfId="45778" xr:uid="{00000000-0005-0000-0000-0000C9B70000}"/>
    <cellStyle name="Normal 50 2 2" xfId="45779" xr:uid="{00000000-0005-0000-0000-0000CAB70000}"/>
    <cellStyle name="Normal 50 2 2 2" xfId="45780" xr:uid="{00000000-0005-0000-0000-0000CBB70000}"/>
    <cellStyle name="Normal 50 2 2 2 2" xfId="45781" xr:uid="{00000000-0005-0000-0000-0000CCB70000}"/>
    <cellStyle name="Normal 50 2 2 2 2 2" xfId="45782" xr:uid="{00000000-0005-0000-0000-0000CDB70000}"/>
    <cellStyle name="Normal 50 2 2 2 2 3" xfId="45783" xr:uid="{00000000-0005-0000-0000-0000CEB70000}"/>
    <cellStyle name="Normal 50 2 2 2 2 4" xfId="45784" xr:uid="{00000000-0005-0000-0000-0000CFB70000}"/>
    <cellStyle name="Normal 50 2 2 2 3" xfId="45785" xr:uid="{00000000-0005-0000-0000-0000D0B70000}"/>
    <cellStyle name="Normal 50 2 2 2 3 2" xfId="45786" xr:uid="{00000000-0005-0000-0000-0000D1B70000}"/>
    <cellStyle name="Normal 50 2 2 2 3 3" xfId="45787" xr:uid="{00000000-0005-0000-0000-0000D2B70000}"/>
    <cellStyle name="Normal 50 2 2 2 3 4" xfId="45788" xr:uid="{00000000-0005-0000-0000-0000D3B70000}"/>
    <cellStyle name="Normal 50 2 2 2 4" xfId="45789" xr:uid="{00000000-0005-0000-0000-0000D4B70000}"/>
    <cellStyle name="Normal 50 2 2 2 5" xfId="45790" xr:uid="{00000000-0005-0000-0000-0000D5B70000}"/>
    <cellStyle name="Normal 50 2 2 2 6" xfId="45791" xr:uid="{00000000-0005-0000-0000-0000D6B70000}"/>
    <cellStyle name="Normal 50 2 2 2 7" xfId="45792" xr:uid="{00000000-0005-0000-0000-0000D7B70000}"/>
    <cellStyle name="Normal 50 2 2 3" xfId="45793" xr:uid="{00000000-0005-0000-0000-0000D8B70000}"/>
    <cellStyle name="Normal 50 2 2 3 2" xfId="45794" xr:uid="{00000000-0005-0000-0000-0000D9B70000}"/>
    <cellStyle name="Normal 50 2 2 3 3" xfId="45795" xr:uid="{00000000-0005-0000-0000-0000DAB70000}"/>
    <cellStyle name="Normal 50 2 2 3 4" xfId="45796" xr:uid="{00000000-0005-0000-0000-0000DBB70000}"/>
    <cellStyle name="Normal 50 2 2 4" xfId="45797" xr:uid="{00000000-0005-0000-0000-0000DCB70000}"/>
    <cellStyle name="Normal 50 2 2 4 2" xfId="45798" xr:uid="{00000000-0005-0000-0000-0000DDB70000}"/>
    <cellStyle name="Normal 50 2 2 4 3" xfId="45799" xr:uid="{00000000-0005-0000-0000-0000DEB70000}"/>
    <cellStyle name="Normal 50 2 2 4 4" xfId="45800" xr:uid="{00000000-0005-0000-0000-0000DFB70000}"/>
    <cellStyle name="Normal 50 2 2 5" xfId="45801" xr:uid="{00000000-0005-0000-0000-0000E0B70000}"/>
    <cellStyle name="Normal 50 2 2 6" xfId="45802" xr:uid="{00000000-0005-0000-0000-0000E1B70000}"/>
    <cellStyle name="Normal 50 2 2 7" xfId="45803" xr:uid="{00000000-0005-0000-0000-0000E2B70000}"/>
    <cellStyle name="Normal 50 2 2 8" xfId="45804" xr:uid="{00000000-0005-0000-0000-0000E3B70000}"/>
    <cellStyle name="Normal 50 2 2 9" xfId="45805" xr:uid="{00000000-0005-0000-0000-0000E4B70000}"/>
    <cellStyle name="Normal 50 2 3" xfId="45806" xr:uid="{00000000-0005-0000-0000-0000E5B70000}"/>
    <cellStyle name="Normal 50 2 3 2" xfId="45807" xr:uid="{00000000-0005-0000-0000-0000E6B70000}"/>
    <cellStyle name="Normal 50 2 3 2 2" xfId="45808" xr:uid="{00000000-0005-0000-0000-0000E7B70000}"/>
    <cellStyle name="Normal 50 2 3 2 3" xfId="45809" xr:uid="{00000000-0005-0000-0000-0000E8B70000}"/>
    <cellStyle name="Normal 50 2 3 2 4" xfId="45810" xr:uid="{00000000-0005-0000-0000-0000E9B70000}"/>
    <cellStyle name="Normal 50 2 3 3" xfId="45811" xr:uid="{00000000-0005-0000-0000-0000EAB70000}"/>
    <cellStyle name="Normal 50 2 3 3 2" xfId="45812" xr:uid="{00000000-0005-0000-0000-0000EBB70000}"/>
    <cellStyle name="Normal 50 2 3 3 3" xfId="45813" xr:uid="{00000000-0005-0000-0000-0000ECB70000}"/>
    <cellStyle name="Normal 50 2 3 3 4" xfId="45814" xr:uid="{00000000-0005-0000-0000-0000EDB70000}"/>
    <cellStyle name="Normal 50 2 3 4" xfId="45815" xr:uid="{00000000-0005-0000-0000-0000EEB70000}"/>
    <cellStyle name="Normal 50 2 3 5" xfId="45816" xr:uid="{00000000-0005-0000-0000-0000EFB70000}"/>
    <cellStyle name="Normal 50 2 3 6" xfId="45817" xr:uid="{00000000-0005-0000-0000-0000F0B70000}"/>
    <cellStyle name="Normal 50 2 3 7" xfId="45818" xr:uid="{00000000-0005-0000-0000-0000F1B70000}"/>
    <cellStyle name="Normal 50 2 4" xfId="45819" xr:uid="{00000000-0005-0000-0000-0000F2B70000}"/>
    <cellStyle name="Normal 50 2 4 2" xfId="45820" xr:uid="{00000000-0005-0000-0000-0000F3B70000}"/>
    <cellStyle name="Normal 50 2 4 3" xfId="45821" xr:uid="{00000000-0005-0000-0000-0000F4B70000}"/>
    <cellStyle name="Normal 50 2 4 4" xfId="45822" xr:uid="{00000000-0005-0000-0000-0000F5B70000}"/>
    <cellStyle name="Normal 50 2 5" xfId="45823" xr:uid="{00000000-0005-0000-0000-0000F6B70000}"/>
    <cellStyle name="Normal 50 2 5 2" xfId="45824" xr:uid="{00000000-0005-0000-0000-0000F7B70000}"/>
    <cellStyle name="Normal 50 2 5 3" xfId="45825" xr:uid="{00000000-0005-0000-0000-0000F8B70000}"/>
    <cellStyle name="Normal 50 2 5 4" xfId="45826" xr:uid="{00000000-0005-0000-0000-0000F9B70000}"/>
    <cellStyle name="Normal 50 2 6" xfId="45827" xr:uid="{00000000-0005-0000-0000-0000FAB70000}"/>
    <cellStyle name="Normal 50 2 7" xfId="45828" xr:uid="{00000000-0005-0000-0000-0000FBB70000}"/>
    <cellStyle name="Normal 50 2 8" xfId="45829" xr:uid="{00000000-0005-0000-0000-0000FCB70000}"/>
    <cellStyle name="Normal 50 2 9" xfId="45830" xr:uid="{00000000-0005-0000-0000-0000FDB70000}"/>
    <cellStyle name="Normal 50 2_Order Book" xfId="45831" xr:uid="{00000000-0005-0000-0000-0000FEB70000}"/>
    <cellStyle name="Normal 50 3" xfId="45832" xr:uid="{00000000-0005-0000-0000-0000FFB70000}"/>
    <cellStyle name="Normal 50 3 2" xfId="45833" xr:uid="{00000000-0005-0000-0000-000000B80000}"/>
    <cellStyle name="Normal 50 3 2 2" xfId="45834" xr:uid="{00000000-0005-0000-0000-000001B80000}"/>
    <cellStyle name="Normal 50 3 2 2 2" xfId="45835" xr:uid="{00000000-0005-0000-0000-000002B80000}"/>
    <cellStyle name="Normal 50 3 2 2 3" xfId="45836" xr:uid="{00000000-0005-0000-0000-000003B80000}"/>
    <cellStyle name="Normal 50 3 2 2 4" xfId="45837" xr:uid="{00000000-0005-0000-0000-000004B80000}"/>
    <cellStyle name="Normal 50 3 2 3" xfId="45838" xr:uid="{00000000-0005-0000-0000-000005B80000}"/>
    <cellStyle name="Normal 50 3 2 3 2" xfId="45839" xr:uid="{00000000-0005-0000-0000-000006B80000}"/>
    <cellStyle name="Normal 50 3 2 3 3" xfId="45840" xr:uid="{00000000-0005-0000-0000-000007B80000}"/>
    <cellStyle name="Normal 50 3 2 3 4" xfId="45841" xr:uid="{00000000-0005-0000-0000-000008B80000}"/>
    <cellStyle name="Normal 50 3 2 4" xfId="45842" xr:uid="{00000000-0005-0000-0000-000009B80000}"/>
    <cellStyle name="Normal 50 3 2 5" xfId="45843" xr:uid="{00000000-0005-0000-0000-00000AB80000}"/>
    <cellStyle name="Normal 50 3 2 6" xfId="45844" xr:uid="{00000000-0005-0000-0000-00000BB80000}"/>
    <cellStyle name="Normal 50 3 2 7" xfId="45845" xr:uid="{00000000-0005-0000-0000-00000CB80000}"/>
    <cellStyle name="Normal 50 3 3" xfId="45846" xr:uid="{00000000-0005-0000-0000-00000DB80000}"/>
    <cellStyle name="Normal 50 3 3 2" xfId="45847" xr:uid="{00000000-0005-0000-0000-00000EB80000}"/>
    <cellStyle name="Normal 50 3 3 3" xfId="45848" xr:uid="{00000000-0005-0000-0000-00000FB80000}"/>
    <cellStyle name="Normal 50 3 3 4" xfId="45849" xr:uid="{00000000-0005-0000-0000-000010B80000}"/>
    <cellStyle name="Normal 50 3 4" xfId="45850" xr:uid="{00000000-0005-0000-0000-000011B80000}"/>
    <cellStyle name="Normal 50 3 4 2" xfId="45851" xr:uid="{00000000-0005-0000-0000-000012B80000}"/>
    <cellStyle name="Normal 50 3 4 3" xfId="45852" xr:uid="{00000000-0005-0000-0000-000013B80000}"/>
    <cellStyle name="Normal 50 3 4 4" xfId="45853" xr:uid="{00000000-0005-0000-0000-000014B80000}"/>
    <cellStyle name="Normal 50 3 5" xfId="45854" xr:uid="{00000000-0005-0000-0000-000015B80000}"/>
    <cellStyle name="Normal 50 3 6" xfId="45855" xr:uid="{00000000-0005-0000-0000-000016B80000}"/>
    <cellStyle name="Normal 50 3 7" xfId="45856" xr:uid="{00000000-0005-0000-0000-000017B80000}"/>
    <cellStyle name="Normal 50 3 8" xfId="45857" xr:uid="{00000000-0005-0000-0000-000018B80000}"/>
    <cellStyle name="Normal 50 3 9" xfId="45858" xr:uid="{00000000-0005-0000-0000-000019B80000}"/>
    <cellStyle name="Normal 50 4" xfId="45859" xr:uid="{00000000-0005-0000-0000-00001AB80000}"/>
    <cellStyle name="Normal 50 4 2" xfId="45860" xr:uid="{00000000-0005-0000-0000-00001BB80000}"/>
    <cellStyle name="Normal 50 4 2 2" xfId="45861" xr:uid="{00000000-0005-0000-0000-00001CB80000}"/>
    <cellStyle name="Normal 50 4 2 3" xfId="45862" xr:uid="{00000000-0005-0000-0000-00001DB80000}"/>
    <cellStyle name="Normal 50 4 2 4" xfId="45863" xr:uid="{00000000-0005-0000-0000-00001EB80000}"/>
    <cellStyle name="Normal 50 4 3" xfId="45864" xr:uid="{00000000-0005-0000-0000-00001FB80000}"/>
    <cellStyle name="Normal 50 4 3 2" xfId="45865" xr:uid="{00000000-0005-0000-0000-000020B80000}"/>
    <cellStyle name="Normal 50 4 3 3" xfId="45866" xr:uid="{00000000-0005-0000-0000-000021B80000}"/>
    <cellStyle name="Normal 50 4 3 4" xfId="45867" xr:uid="{00000000-0005-0000-0000-000022B80000}"/>
    <cellStyle name="Normal 50 4 4" xfId="45868" xr:uid="{00000000-0005-0000-0000-000023B80000}"/>
    <cellStyle name="Normal 50 4 5" xfId="45869" xr:uid="{00000000-0005-0000-0000-000024B80000}"/>
    <cellStyle name="Normal 50 4 6" xfId="45870" xr:uid="{00000000-0005-0000-0000-000025B80000}"/>
    <cellStyle name="Normal 50 4 7" xfId="45871" xr:uid="{00000000-0005-0000-0000-000026B80000}"/>
    <cellStyle name="Normal 50 5" xfId="45872" xr:uid="{00000000-0005-0000-0000-000027B80000}"/>
    <cellStyle name="Normal 50 5 2" xfId="45873" xr:uid="{00000000-0005-0000-0000-000028B80000}"/>
    <cellStyle name="Normal 50 5 3" xfId="45874" xr:uid="{00000000-0005-0000-0000-000029B80000}"/>
    <cellStyle name="Normal 50 5 4" xfId="45875" xr:uid="{00000000-0005-0000-0000-00002AB80000}"/>
    <cellStyle name="Normal 50 6" xfId="45876" xr:uid="{00000000-0005-0000-0000-00002BB80000}"/>
    <cellStyle name="Normal 50 6 2" xfId="45877" xr:uid="{00000000-0005-0000-0000-00002CB80000}"/>
    <cellStyle name="Normal 50 6 3" xfId="45878" xr:uid="{00000000-0005-0000-0000-00002DB80000}"/>
    <cellStyle name="Normal 50 6 4" xfId="45879" xr:uid="{00000000-0005-0000-0000-00002EB80000}"/>
    <cellStyle name="Normal 50 7" xfId="45880" xr:uid="{00000000-0005-0000-0000-00002FB80000}"/>
    <cellStyle name="Normal 50 8" xfId="45881" xr:uid="{00000000-0005-0000-0000-000030B80000}"/>
    <cellStyle name="Normal 50 9" xfId="45882" xr:uid="{00000000-0005-0000-0000-000031B80000}"/>
    <cellStyle name="Normal 50_Order Book" xfId="45883" xr:uid="{00000000-0005-0000-0000-000032B80000}"/>
    <cellStyle name="Normal 500" xfId="45884" xr:uid="{00000000-0005-0000-0000-000033B80000}"/>
    <cellStyle name="Normal 501" xfId="45885" xr:uid="{00000000-0005-0000-0000-000034B80000}"/>
    <cellStyle name="Normal 502" xfId="45886" xr:uid="{00000000-0005-0000-0000-000035B80000}"/>
    <cellStyle name="Normal 503" xfId="45887" xr:uid="{00000000-0005-0000-0000-000036B80000}"/>
    <cellStyle name="Normal 504" xfId="45888" xr:uid="{00000000-0005-0000-0000-000037B80000}"/>
    <cellStyle name="Normal 505" xfId="45889" xr:uid="{00000000-0005-0000-0000-000038B80000}"/>
    <cellStyle name="Normal 506" xfId="45890" xr:uid="{00000000-0005-0000-0000-000039B80000}"/>
    <cellStyle name="Normal 507" xfId="45891" xr:uid="{00000000-0005-0000-0000-00003AB80000}"/>
    <cellStyle name="Normal 508" xfId="45892" xr:uid="{00000000-0005-0000-0000-00003BB80000}"/>
    <cellStyle name="Normal 509" xfId="45893" xr:uid="{00000000-0005-0000-0000-00003CB80000}"/>
    <cellStyle name="Normal 51" xfId="3537" xr:uid="{00000000-0005-0000-0000-00003DB80000}"/>
    <cellStyle name="Normal 51 10" xfId="45894" xr:uid="{00000000-0005-0000-0000-00003EB80000}"/>
    <cellStyle name="Normal 51 11" xfId="45895" xr:uid="{00000000-0005-0000-0000-00003FB80000}"/>
    <cellStyle name="Normal 51 12" xfId="45896" xr:uid="{00000000-0005-0000-0000-000040B80000}"/>
    <cellStyle name="Normal 51 13" xfId="45897" xr:uid="{00000000-0005-0000-0000-000041B80000}"/>
    <cellStyle name="Normal 51 2" xfId="45898" xr:uid="{00000000-0005-0000-0000-000042B80000}"/>
    <cellStyle name="Normal 51 2 10" xfId="45899" xr:uid="{00000000-0005-0000-0000-000043B80000}"/>
    <cellStyle name="Normal 51 2 11" xfId="45900" xr:uid="{00000000-0005-0000-0000-000044B80000}"/>
    <cellStyle name="Normal 51 2 2" xfId="45901" xr:uid="{00000000-0005-0000-0000-000045B80000}"/>
    <cellStyle name="Normal 51 2 2 2" xfId="45902" xr:uid="{00000000-0005-0000-0000-000046B80000}"/>
    <cellStyle name="Normal 51 2 2 2 2" xfId="45903" xr:uid="{00000000-0005-0000-0000-000047B80000}"/>
    <cellStyle name="Normal 51 2 2 2 2 2" xfId="45904" xr:uid="{00000000-0005-0000-0000-000048B80000}"/>
    <cellStyle name="Normal 51 2 2 2 2 3" xfId="45905" xr:uid="{00000000-0005-0000-0000-000049B80000}"/>
    <cellStyle name="Normal 51 2 2 2 2 4" xfId="45906" xr:uid="{00000000-0005-0000-0000-00004AB80000}"/>
    <cellStyle name="Normal 51 2 2 2 3" xfId="45907" xr:uid="{00000000-0005-0000-0000-00004BB80000}"/>
    <cellStyle name="Normal 51 2 2 2 3 2" xfId="45908" xr:uid="{00000000-0005-0000-0000-00004CB80000}"/>
    <cellStyle name="Normal 51 2 2 2 3 3" xfId="45909" xr:uid="{00000000-0005-0000-0000-00004DB80000}"/>
    <cellStyle name="Normal 51 2 2 2 3 4" xfId="45910" xr:uid="{00000000-0005-0000-0000-00004EB80000}"/>
    <cellStyle name="Normal 51 2 2 2 4" xfId="45911" xr:uid="{00000000-0005-0000-0000-00004FB80000}"/>
    <cellStyle name="Normal 51 2 2 2 5" xfId="45912" xr:uid="{00000000-0005-0000-0000-000050B80000}"/>
    <cellStyle name="Normal 51 2 2 2 6" xfId="45913" xr:uid="{00000000-0005-0000-0000-000051B80000}"/>
    <cellStyle name="Normal 51 2 2 2 7" xfId="45914" xr:uid="{00000000-0005-0000-0000-000052B80000}"/>
    <cellStyle name="Normal 51 2 2 3" xfId="45915" xr:uid="{00000000-0005-0000-0000-000053B80000}"/>
    <cellStyle name="Normal 51 2 2 3 2" xfId="45916" xr:uid="{00000000-0005-0000-0000-000054B80000}"/>
    <cellStyle name="Normal 51 2 2 3 3" xfId="45917" xr:uid="{00000000-0005-0000-0000-000055B80000}"/>
    <cellStyle name="Normal 51 2 2 3 4" xfId="45918" xr:uid="{00000000-0005-0000-0000-000056B80000}"/>
    <cellStyle name="Normal 51 2 2 4" xfId="45919" xr:uid="{00000000-0005-0000-0000-000057B80000}"/>
    <cellStyle name="Normal 51 2 2 4 2" xfId="45920" xr:uid="{00000000-0005-0000-0000-000058B80000}"/>
    <cellStyle name="Normal 51 2 2 4 3" xfId="45921" xr:uid="{00000000-0005-0000-0000-000059B80000}"/>
    <cellStyle name="Normal 51 2 2 4 4" xfId="45922" xr:uid="{00000000-0005-0000-0000-00005AB80000}"/>
    <cellStyle name="Normal 51 2 2 5" xfId="45923" xr:uid="{00000000-0005-0000-0000-00005BB80000}"/>
    <cellStyle name="Normal 51 2 2 6" xfId="45924" xr:uid="{00000000-0005-0000-0000-00005CB80000}"/>
    <cellStyle name="Normal 51 2 2 7" xfId="45925" xr:uid="{00000000-0005-0000-0000-00005DB80000}"/>
    <cellStyle name="Normal 51 2 2 8" xfId="45926" xr:uid="{00000000-0005-0000-0000-00005EB80000}"/>
    <cellStyle name="Normal 51 2 2 9" xfId="45927" xr:uid="{00000000-0005-0000-0000-00005FB80000}"/>
    <cellStyle name="Normal 51 2 3" xfId="45928" xr:uid="{00000000-0005-0000-0000-000060B80000}"/>
    <cellStyle name="Normal 51 2 3 2" xfId="45929" xr:uid="{00000000-0005-0000-0000-000061B80000}"/>
    <cellStyle name="Normal 51 2 3 2 2" xfId="45930" xr:uid="{00000000-0005-0000-0000-000062B80000}"/>
    <cellStyle name="Normal 51 2 3 2 3" xfId="45931" xr:uid="{00000000-0005-0000-0000-000063B80000}"/>
    <cellStyle name="Normal 51 2 3 2 4" xfId="45932" xr:uid="{00000000-0005-0000-0000-000064B80000}"/>
    <cellStyle name="Normal 51 2 3 3" xfId="45933" xr:uid="{00000000-0005-0000-0000-000065B80000}"/>
    <cellStyle name="Normal 51 2 3 3 2" xfId="45934" xr:uid="{00000000-0005-0000-0000-000066B80000}"/>
    <cellStyle name="Normal 51 2 3 3 3" xfId="45935" xr:uid="{00000000-0005-0000-0000-000067B80000}"/>
    <cellStyle name="Normal 51 2 3 3 4" xfId="45936" xr:uid="{00000000-0005-0000-0000-000068B80000}"/>
    <cellStyle name="Normal 51 2 3 4" xfId="45937" xr:uid="{00000000-0005-0000-0000-000069B80000}"/>
    <cellStyle name="Normal 51 2 3 5" xfId="45938" xr:uid="{00000000-0005-0000-0000-00006AB80000}"/>
    <cellStyle name="Normal 51 2 3 6" xfId="45939" xr:uid="{00000000-0005-0000-0000-00006BB80000}"/>
    <cellStyle name="Normal 51 2 3 7" xfId="45940" xr:uid="{00000000-0005-0000-0000-00006CB80000}"/>
    <cellStyle name="Normal 51 2 4" xfId="45941" xr:uid="{00000000-0005-0000-0000-00006DB80000}"/>
    <cellStyle name="Normal 51 2 4 2" xfId="45942" xr:uid="{00000000-0005-0000-0000-00006EB80000}"/>
    <cellStyle name="Normal 51 2 4 3" xfId="45943" xr:uid="{00000000-0005-0000-0000-00006FB80000}"/>
    <cellStyle name="Normal 51 2 4 4" xfId="45944" xr:uid="{00000000-0005-0000-0000-000070B80000}"/>
    <cellStyle name="Normal 51 2 5" xfId="45945" xr:uid="{00000000-0005-0000-0000-000071B80000}"/>
    <cellStyle name="Normal 51 2 5 2" xfId="45946" xr:uid="{00000000-0005-0000-0000-000072B80000}"/>
    <cellStyle name="Normal 51 2 5 3" xfId="45947" xr:uid="{00000000-0005-0000-0000-000073B80000}"/>
    <cellStyle name="Normal 51 2 5 4" xfId="45948" xr:uid="{00000000-0005-0000-0000-000074B80000}"/>
    <cellStyle name="Normal 51 2 6" xfId="45949" xr:uid="{00000000-0005-0000-0000-000075B80000}"/>
    <cellStyle name="Normal 51 2 7" xfId="45950" xr:uid="{00000000-0005-0000-0000-000076B80000}"/>
    <cellStyle name="Normal 51 2 8" xfId="45951" xr:uid="{00000000-0005-0000-0000-000077B80000}"/>
    <cellStyle name="Normal 51 2 9" xfId="45952" xr:uid="{00000000-0005-0000-0000-000078B80000}"/>
    <cellStyle name="Normal 51 2_Order Book" xfId="45953" xr:uid="{00000000-0005-0000-0000-000079B80000}"/>
    <cellStyle name="Normal 51 3" xfId="45954" xr:uid="{00000000-0005-0000-0000-00007AB80000}"/>
    <cellStyle name="Normal 51 3 2" xfId="45955" xr:uid="{00000000-0005-0000-0000-00007BB80000}"/>
    <cellStyle name="Normal 51 3 2 2" xfId="45956" xr:uid="{00000000-0005-0000-0000-00007CB80000}"/>
    <cellStyle name="Normal 51 3 2 2 2" xfId="45957" xr:uid="{00000000-0005-0000-0000-00007DB80000}"/>
    <cellStyle name="Normal 51 3 2 2 3" xfId="45958" xr:uid="{00000000-0005-0000-0000-00007EB80000}"/>
    <cellStyle name="Normal 51 3 2 2 4" xfId="45959" xr:uid="{00000000-0005-0000-0000-00007FB80000}"/>
    <cellStyle name="Normal 51 3 2 3" xfId="45960" xr:uid="{00000000-0005-0000-0000-000080B80000}"/>
    <cellStyle name="Normal 51 3 2 3 2" xfId="45961" xr:uid="{00000000-0005-0000-0000-000081B80000}"/>
    <cellStyle name="Normal 51 3 2 3 3" xfId="45962" xr:uid="{00000000-0005-0000-0000-000082B80000}"/>
    <cellStyle name="Normal 51 3 2 3 4" xfId="45963" xr:uid="{00000000-0005-0000-0000-000083B80000}"/>
    <cellStyle name="Normal 51 3 2 4" xfId="45964" xr:uid="{00000000-0005-0000-0000-000084B80000}"/>
    <cellStyle name="Normal 51 3 2 5" xfId="45965" xr:uid="{00000000-0005-0000-0000-000085B80000}"/>
    <cellStyle name="Normal 51 3 2 6" xfId="45966" xr:uid="{00000000-0005-0000-0000-000086B80000}"/>
    <cellStyle name="Normal 51 3 2 7" xfId="45967" xr:uid="{00000000-0005-0000-0000-000087B80000}"/>
    <cellStyle name="Normal 51 3 3" xfId="45968" xr:uid="{00000000-0005-0000-0000-000088B80000}"/>
    <cellStyle name="Normal 51 3 3 2" xfId="45969" xr:uid="{00000000-0005-0000-0000-000089B80000}"/>
    <cellStyle name="Normal 51 3 3 3" xfId="45970" xr:uid="{00000000-0005-0000-0000-00008AB80000}"/>
    <cellStyle name="Normal 51 3 3 4" xfId="45971" xr:uid="{00000000-0005-0000-0000-00008BB80000}"/>
    <cellStyle name="Normal 51 3 4" xfId="45972" xr:uid="{00000000-0005-0000-0000-00008CB80000}"/>
    <cellStyle name="Normal 51 3 4 2" xfId="45973" xr:uid="{00000000-0005-0000-0000-00008DB80000}"/>
    <cellStyle name="Normal 51 3 4 3" xfId="45974" xr:uid="{00000000-0005-0000-0000-00008EB80000}"/>
    <cellStyle name="Normal 51 3 4 4" xfId="45975" xr:uid="{00000000-0005-0000-0000-00008FB80000}"/>
    <cellStyle name="Normal 51 3 5" xfId="45976" xr:uid="{00000000-0005-0000-0000-000090B80000}"/>
    <cellStyle name="Normal 51 3 6" xfId="45977" xr:uid="{00000000-0005-0000-0000-000091B80000}"/>
    <cellStyle name="Normal 51 3 7" xfId="45978" xr:uid="{00000000-0005-0000-0000-000092B80000}"/>
    <cellStyle name="Normal 51 3 8" xfId="45979" xr:uid="{00000000-0005-0000-0000-000093B80000}"/>
    <cellStyle name="Normal 51 3 9" xfId="45980" xr:uid="{00000000-0005-0000-0000-000094B80000}"/>
    <cellStyle name="Normal 51 4" xfId="45981" xr:uid="{00000000-0005-0000-0000-000095B80000}"/>
    <cellStyle name="Normal 51 4 2" xfId="45982" xr:uid="{00000000-0005-0000-0000-000096B80000}"/>
    <cellStyle name="Normal 51 4 2 2" xfId="45983" xr:uid="{00000000-0005-0000-0000-000097B80000}"/>
    <cellStyle name="Normal 51 4 2 3" xfId="45984" xr:uid="{00000000-0005-0000-0000-000098B80000}"/>
    <cellStyle name="Normal 51 4 2 4" xfId="45985" xr:uid="{00000000-0005-0000-0000-000099B80000}"/>
    <cellStyle name="Normal 51 4 3" xfId="45986" xr:uid="{00000000-0005-0000-0000-00009AB80000}"/>
    <cellStyle name="Normal 51 4 3 2" xfId="45987" xr:uid="{00000000-0005-0000-0000-00009BB80000}"/>
    <cellStyle name="Normal 51 4 3 3" xfId="45988" xr:uid="{00000000-0005-0000-0000-00009CB80000}"/>
    <cellStyle name="Normal 51 4 3 4" xfId="45989" xr:uid="{00000000-0005-0000-0000-00009DB80000}"/>
    <cellStyle name="Normal 51 4 4" xfId="45990" xr:uid="{00000000-0005-0000-0000-00009EB80000}"/>
    <cellStyle name="Normal 51 4 5" xfId="45991" xr:uid="{00000000-0005-0000-0000-00009FB80000}"/>
    <cellStyle name="Normal 51 4 6" xfId="45992" xr:uid="{00000000-0005-0000-0000-0000A0B80000}"/>
    <cellStyle name="Normal 51 4 7" xfId="45993" xr:uid="{00000000-0005-0000-0000-0000A1B80000}"/>
    <cellStyle name="Normal 51 5" xfId="45994" xr:uid="{00000000-0005-0000-0000-0000A2B80000}"/>
    <cellStyle name="Normal 51 5 2" xfId="45995" xr:uid="{00000000-0005-0000-0000-0000A3B80000}"/>
    <cellStyle name="Normal 51 5 3" xfId="45996" xr:uid="{00000000-0005-0000-0000-0000A4B80000}"/>
    <cellStyle name="Normal 51 5 4" xfId="45997" xr:uid="{00000000-0005-0000-0000-0000A5B80000}"/>
    <cellStyle name="Normal 51 6" xfId="45998" xr:uid="{00000000-0005-0000-0000-0000A6B80000}"/>
    <cellStyle name="Normal 51 6 2" xfId="45999" xr:uid="{00000000-0005-0000-0000-0000A7B80000}"/>
    <cellStyle name="Normal 51 6 3" xfId="46000" xr:uid="{00000000-0005-0000-0000-0000A8B80000}"/>
    <cellStyle name="Normal 51 6 4" xfId="46001" xr:uid="{00000000-0005-0000-0000-0000A9B80000}"/>
    <cellStyle name="Normal 51 7" xfId="46002" xr:uid="{00000000-0005-0000-0000-0000AAB80000}"/>
    <cellStyle name="Normal 51 8" xfId="46003" xr:uid="{00000000-0005-0000-0000-0000ABB80000}"/>
    <cellStyle name="Normal 51 9" xfId="46004" xr:uid="{00000000-0005-0000-0000-0000ACB80000}"/>
    <cellStyle name="Normal 51_Order Book" xfId="46005" xr:uid="{00000000-0005-0000-0000-0000ADB80000}"/>
    <cellStyle name="Normal 510" xfId="46006" xr:uid="{00000000-0005-0000-0000-0000AEB80000}"/>
    <cellStyle name="Normal 510 2" xfId="46007" xr:uid="{00000000-0005-0000-0000-0000AFB80000}"/>
    <cellStyle name="Normal 511" xfId="46008" xr:uid="{00000000-0005-0000-0000-0000B0B80000}"/>
    <cellStyle name="Normal 511 2" xfId="46009" xr:uid="{00000000-0005-0000-0000-0000B1B80000}"/>
    <cellStyle name="Normal 512" xfId="46010" xr:uid="{00000000-0005-0000-0000-0000B2B80000}"/>
    <cellStyle name="Normal 512 2" xfId="46011" xr:uid="{00000000-0005-0000-0000-0000B3B80000}"/>
    <cellStyle name="Normal 513" xfId="46012" xr:uid="{00000000-0005-0000-0000-0000B4B80000}"/>
    <cellStyle name="Normal 513 2" xfId="46013" xr:uid="{00000000-0005-0000-0000-0000B5B80000}"/>
    <cellStyle name="Normal 514" xfId="46014" xr:uid="{00000000-0005-0000-0000-0000B6B80000}"/>
    <cellStyle name="Normal 514 2" xfId="46015" xr:uid="{00000000-0005-0000-0000-0000B7B80000}"/>
    <cellStyle name="Normal 515" xfId="46016" xr:uid="{00000000-0005-0000-0000-0000B8B80000}"/>
    <cellStyle name="Normal 515 2" xfId="46017" xr:uid="{00000000-0005-0000-0000-0000B9B80000}"/>
    <cellStyle name="Normal 516" xfId="46018" xr:uid="{00000000-0005-0000-0000-0000BAB80000}"/>
    <cellStyle name="Normal 516 2" xfId="46019" xr:uid="{00000000-0005-0000-0000-0000BBB80000}"/>
    <cellStyle name="Normal 517" xfId="46020" xr:uid="{00000000-0005-0000-0000-0000BCB80000}"/>
    <cellStyle name="Normal 517 2" xfId="46021" xr:uid="{00000000-0005-0000-0000-0000BDB80000}"/>
    <cellStyle name="Normal 518" xfId="46022" xr:uid="{00000000-0005-0000-0000-0000BEB80000}"/>
    <cellStyle name="Normal 518 2" xfId="46023" xr:uid="{00000000-0005-0000-0000-0000BFB80000}"/>
    <cellStyle name="Normal 519" xfId="46024" xr:uid="{00000000-0005-0000-0000-0000C0B80000}"/>
    <cellStyle name="Normal 519 2" xfId="46025" xr:uid="{00000000-0005-0000-0000-0000C1B80000}"/>
    <cellStyle name="Normal 52" xfId="3538" xr:uid="{00000000-0005-0000-0000-0000C2B80000}"/>
    <cellStyle name="Normal 52 10" xfId="46026" xr:uid="{00000000-0005-0000-0000-0000C3B80000}"/>
    <cellStyle name="Normal 52 11" xfId="46027" xr:uid="{00000000-0005-0000-0000-0000C4B80000}"/>
    <cellStyle name="Normal 52 12" xfId="46028" xr:uid="{00000000-0005-0000-0000-0000C5B80000}"/>
    <cellStyle name="Normal 52 13" xfId="46029" xr:uid="{00000000-0005-0000-0000-0000C6B80000}"/>
    <cellStyle name="Normal 52 2" xfId="46030" xr:uid="{00000000-0005-0000-0000-0000C7B80000}"/>
    <cellStyle name="Normal 52 2 10" xfId="46031" xr:uid="{00000000-0005-0000-0000-0000C8B80000}"/>
    <cellStyle name="Normal 52 2 11" xfId="46032" xr:uid="{00000000-0005-0000-0000-0000C9B80000}"/>
    <cellStyle name="Normal 52 2 2" xfId="46033" xr:uid="{00000000-0005-0000-0000-0000CAB80000}"/>
    <cellStyle name="Normal 52 2 2 2" xfId="46034" xr:uid="{00000000-0005-0000-0000-0000CBB80000}"/>
    <cellStyle name="Normal 52 2 2 2 2" xfId="46035" xr:uid="{00000000-0005-0000-0000-0000CCB80000}"/>
    <cellStyle name="Normal 52 2 2 2 2 2" xfId="46036" xr:uid="{00000000-0005-0000-0000-0000CDB80000}"/>
    <cellStyle name="Normal 52 2 2 2 2 3" xfId="46037" xr:uid="{00000000-0005-0000-0000-0000CEB80000}"/>
    <cellStyle name="Normal 52 2 2 2 2 4" xfId="46038" xr:uid="{00000000-0005-0000-0000-0000CFB80000}"/>
    <cellStyle name="Normal 52 2 2 2 3" xfId="46039" xr:uid="{00000000-0005-0000-0000-0000D0B80000}"/>
    <cellStyle name="Normal 52 2 2 2 3 2" xfId="46040" xr:uid="{00000000-0005-0000-0000-0000D1B80000}"/>
    <cellStyle name="Normal 52 2 2 2 3 3" xfId="46041" xr:uid="{00000000-0005-0000-0000-0000D2B80000}"/>
    <cellStyle name="Normal 52 2 2 2 3 4" xfId="46042" xr:uid="{00000000-0005-0000-0000-0000D3B80000}"/>
    <cellStyle name="Normal 52 2 2 2 4" xfId="46043" xr:uid="{00000000-0005-0000-0000-0000D4B80000}"/>
    <cellStyle name="Normal 52 2 2 2 5" xfId="46044" xr:uid="{00000000-0005-0000-0000-0000D5B80000}"/>
    <cellStyle name="Normal 52 2 2 2 6" xfId="46045" xr:uid="{00000000-0005-0000-0000-0000D6B80000}"/>
    <cellStyle name="Normal 52 2 2 2 7" xfId="46046" xr:uid="{00000000-0005-0000-0000-0000D7B80000}"/>
    <cellStyle name="Normal 52 2 2 3" xfId="46047" xr:uid="{00000000-0005-0000-0000-0000D8B80000}"/>
    <cellStyle name="Normal 52 2 2 3 2" xfId="46048" xr:uid="{00000000-0005-0000-0000-0000D9B80000}"/>
    <cellStyle name="Normal 52 2 2 3 3" xfId="46049" xr:uid="{00000000-0005-0000-0000-0000DAB80000}"/>
    <cellStyle name="Normal 52 2 2 3 4" xfId="46050" xr:uid="{00000000-0005-0000-0000-0000DBB80000}"/>
    <cellStyle name="Normal 52 2 2 4" xfId="46051" xr:uid="{00000000-0005-0000-0000-0000DCB80000}"/>
    <cellStyle name="Normal 52 2 2 4 2" xfId="46052" xr:uid="{00000000-0005-0000-0000-0000DDB80000}"/>
    <cellStyle name="Normal 52 2 2 4 3" xfId="46053" xr:uid="{00000000-0005-0000-0000-0000DEB80000}"/>
    <cellStyle name="Normal 52 2 2 4 4" xfId="46054" xr:uid="{00000000-0005-0000-0000-0000DFB80000}"/>
    <cellStyle name="Normal 52 2 2 5" xfId="46055" xr:uid="{00000000-0005-0000-0000-0000E0B80000}"/>
    <cellStyle name="Normal 52 2 2 6" xfId="46056" xr:uid="{00000000-0005-0000-0000-0000E1B80000}"/>
    <cellStyle name="Normal 52 2 2 7" xfId="46057" xr:uid="{00000000-0005-0000-0000-0000E2B80000}"/>
    <cellStyle name="Normal 52 2 2 8" xfId="46058" xr:uid="{00000000-0005-0000-0000-0000E3B80000}"/>
    <cellStyle name="Normal 52 2 2 9" xfId="46059" xr:uid="{00000000-0005-0000-0000-0000E4B80000}"/>
    <cellStyle name="Normal 52 2 3" xfId="46060" xr:uid="{00000000-0005-0000-0000-0000E5B80000}"/>
    <cellStyle name="Normal 52 2 3 2" xfId="46061" xr:uid="{00000000-0005-0000-0000-0000E6B80000}"/>
    <cellStyle name="Normal 52 2 3 2 2" xfId="46062" xr:uid="{00000000-0005-0000-0000-0000E7B80000}"/>
    <cellStyle name="Normal 52 2 3 2 3" xfId="46063" xr:uid="{00000000-0005-0000-0000-0000E8B80000}"/>
    <cellStyle name="Normal 52 2 3 2 4" xfId="46064" xr:uid="{00000000-0005-0000-0000-0000E9B80000}"/>
    <cellStyle name="Normal 52 2 3 3" xfId="46065" xr:uid="{00000000-0005-0000-0000-0000EAB80000}"/>
    <cellStyle name="Normal 52 2 3 3 2" xfId="46066" xr:uid="{00000000-0005-0000-0000-0000EBB80000}"/>
    <cellStyle name="Normal 52 2 3 3 3" xfId="46067" xr:uid="{00000000-0005-0000-0000-0000ECB80000}"/>
    <cellStyle name="Normal 52 2 3 3 4" xfId="46068" xr:uid="{00000000-0005-0000-0000-0000EDB80000}"/>
    <cellStyle name="Normal 52 2 3 4" xfId="46069" xr:uid="{00000000-0005-0000-0000-0000EEB80000}"/>
    <cellStyle name="Normal 52 2 3 5" xfId="46070" xr:uid="{00000000-0005-0000-0000-0000EFB80000}"/>
    <cellStyle name="Normal 52 2 3 6" xfId="46071" xr:uid="{00000000-0005-0000-0000-0000F0B80000}"/>
    <cellStyle name="Normal 52 2 3 7" xfId="46072" xr:uid="{00000000-0005-0000-0000-0000F1B80000}"/>
    <cellStyle name="Normal 52 2 4" xfId="46073" xr:uid="{00000000-0005-0000-0000-0000F2B80000}"/>
    <cellStyle name="Normal 52 2 4 2" xfId="46074" xr:uid="{00000000-0005-0000-0000-0000F3B80000}"/>
    <cellStyle name="Normal 52 2 4 3" xfId="46075" xr:uid="{00000000-0005-0000-0000-0000F4B80000}"/>
    <cellStyle name="Normal 52 2 4 4" xfId="46076" xr:uid="{00000000-0005-0000-0000-0000F5B80000}"/>
    <cellStyle name="Normal 52 2 5" xfId="46077" xr:uid="{00000000-0005-0000-0000-0000F6B80000}"/>
    <cellStyle name="Normal 52 2 5 2" xfId="46078" xr:uid="{00000000-0005-0000-0000-0000F7B80000}"/>
    <cellStyle name="Normal 52 2 5 3" xfId="46079" xr:uid="{00000000-0005-0000-0000-0000F8B80000}"/>
    <cellStyle name="Normal 52 2 5 4" xfId="46080" xr:uid="{00000000-0005-0000-0000-0000F9B80000}"/>
    <cellStyle name="Normal 52 2 6" xfId="46081" xr:uid="{00000000-0005-0000-0000-0000FAB80000}"/>
    <cellStyle name="Normal 52 2 7" xfId="46082" xr:uid="{00000000-0005-0000-0000-0000FBB80000}"/>
    <cellStyle name="Normal 52 2 8" xfId="46083" xr:uid="{00000000-0005-0000-0000-0000FCB80000}"/>
    <cellStyle name="Normal 52 2 9" xfId="46084" xr:uid="{00000000-0005-0000-0000-0000FDB80000}"/>
    <cellStyle name="Normal 52 2_Order Book" xfId="46085" xr:uid="{00000000-0005-0000-0000-0000FEB80000}"/>
    <cellStyle name="Normal 52 3" xfId="46086" xr:uid="{00000000-0005-0000-0000-0000FFB80000}"/>
    <cellStyle name="Normal 52 3 2" xfId="46087" xr:uid="{00000000-0005-0000-0000-000000B90000}"/>
    <cellStyle name="Normal 52 3 2 2" xfId="46088" xr:uid="{00000000-0005-0000-0000-000001B90000}"/>
    <cellStyle name="Normal 52 3 2 2 2" xfId="46089" xr:uid="{00000000-0005-0000-0000-000002B90000}"/>
    <cellStyle name="Normal 52 3 2 2 3" xfId="46090" xr:uid="{00000000-0005-0000-0000-000003B90000}"/>
    <cellStyle name="Normal 52 3 2 2 4" xfId="46091" xr:uid="{00000000-0005-0000-0000-000004B90000}"/>
    <cellStyle name="Normal 52 3 2 3" xfId="46092" xr:uid="{00000000-0005-0000-0000-000005B90000}"/>
    <cellStyle name="Normal 52 3 2 3 2" xfId="46093" xr:uid="{00000000-0005-0000-0000-000006B90000}"/>
    <cellStyle name="Normal 52 3 2 3 3" xfId="46094" xr:uid="{00000000-0005-0000-0000-000007B90000}"/>
    <cellStyle name="Normal 52 3 2 3 4" xfId="46095" xr:uid="{00000000-0005-0000-0000-000008B90000}"/>
    <cellStyle name="Normal 52 3 2 4" xfId="46096" xr:uid="{00000000-0005-0000-0000-000009B90000}"/>
    <cellStyle name="Normal 52 3 2 5" xfId="46097" xr:uid="{00000000-0005-0000-0000-00000AB90000}"/>
    <cellStyle name="Normal 52 3 2 6" xfId="46098" xr:uid="{00000000-0005-0000-0000-00000BB90000}"/>
    <cellStyle name="Normal 52 3 2 7" xfId="46099" xr:uid="{00000000-0005-0000-0000-00000CB90000}"/>
    <cellStyle name="Normal 52 3 3" xfId="46100" xr:uid="{00000000-0005-0000-0000-00000DB90000}"/>
    <cellStyle name="Normal 52 3 3 2" xfId="46101" xr:uid="{00000000-0005-0000-0000-00000EB90000}"/>
    <cellStyle name="Normal 52 3 3 3" xfId="46102" xr:uid="{00000000-0005-0000-0000-00000FB90000}"/>
    <cellStyle name="Normal 52 3 3 4" xfId="46103" xr:uid="{00000000-0005-0000-0000-000010B90000}"/>
    <cellStyle name="Normal 52 3 4" xfId="46104" xr:uid="{00000000-0005-0000-0000-000011B90000}"/>
    <cellStyle name="Normal 52 3 4 2" xfId="46105" xr:uid="{00000000-0005-0000-0000-000012B90000}"/>
    <cellStyle name="Normal 52 3 4 3" xfId="46106" xr:uid="{00000000-0005-0000-0000-000013B90000}"/>
    <cellStyle name="Normal 52 3 4 4" xfId="46107" xr:uid="{00000000-0005-0000-0000-000014B90000}"/>
    <cellStyle name="Normal 52 3 5" xfId="46108" xr:uid="{00000000-0005-0000-0000-000015B90000}"/>
    <cellStyle name="Normal 52 3 6" xfId="46109" xr:uid="{00000000-0005-0000-0000-000016B90000}"/>
    <cellStyle name="Normal 52 3 7" xfId="46110" xr:uid="{00000000-0005-0000-0000-000017B90000}"/>
    <cellStyle name="Normal 52 3 8" xfId="46111" xr:uid="{00000000-0005-0000-0000-000018B90000}"/>
    <cellStyle name="Normal 52 3 9" xfId="46112" xr:uid="{00000000-0005-0000-0000-000019B90000}"/>
    <cellStyle name="Normal 52 4" xfId="46113" xr:uid="{00000000-0005-0000-0000-00001AB90000}"/>
    <cellStyle name="Normal 52 4 2" xfId="46114" xr:uid="{00000000-0005-0000-0000-00001BB90000}"/>
    <cellStyle name="Normal 52 4 2 2" xfId="46115" xr:uid="{00000000-0005-0000-0000-00001CB90000}"/>
    <cellStyle name="Normal 52 4 2 3" xfId="46116" xr:uid="{00000000-0005-0000-0000-00001DB90000}"/>
    <cellStyle name="Normal 52 4 2 4" xfId="46117" xr:uid="{00000000-0005-0000-0000-00001EB90000}"/>
    <cellStyle name="Normal 52 4 3" xfId="46118" xr:uid="{00000000-0005-0000-0000-00001FB90000}"/>
    <cellStyle name="Normal 52 4 3 2" xfId="46119" xr:uid="{00000000-0005-0000-0000-000020B90000}"/>
    <cellStyle name="Normal 52 4 3 3" xfId="46120" xr:uid="{00000000-0005-0000-0000-000021B90000}"/>
    <cellStyle name="Normal 52 4 3 4" xfId="46121" xr:uid="{00000000-0005-0000-0000-000022B90000}"/>
    <cellStyle name="Normal 52 4 4" xfId="46122" xr:uid="{00000000-0005-0000-0000-000023B90000}"/>
    <cellStyle name="Normal 52 4 5" xfId="46123" xr:uid="{00000000-0005-0000-0000-000024B90000}"/>
    <cellStyle name="Normal 52 4 6" xfId="46124" xr:uid="{00000000-0005-0000-0000-000025B90000}"/>
    <cellStyle name="Normal 52 4 7" xfId="46125" xr:uid="{00000000-0005-0000-0000-000026B90000}"/>
    <cellStyle name="Normal 52 5" xfId="46126" xr:uid="{00000000-0005-0000-0000-000027B90000}"/>
    <cellStyle name="Normal 52 5 2" xfId="46127" xr:uid="{00000000-0005-0000-0000-000028B90000}"/>
    <cellStyle name="Normal 52 5 3" xfId="46128" xr:uid="{00000000-0005-0000-0000-000029B90000}"/>
    <cellStyle name="Normal 52 5 4" xfId="46129" xr:uid="{00000000-0005-0000-0000-00002AB90000}"/>
    <cellStyle name="Normal 52 6" xfId="46130" xr:uid="{00000000-0005-0000-0000-00002BB90000}"/>
    <cellStyle name="Normal 52 6 2" xfId="46131" xr:uid="{00000000-0005-0000-0000-00002CB90000}"/>
    <cellStyle name="Normal 52 6 3" xfId="46132" xr:uid="{00000000-0005-0000-0000-00002DB90000}"/>
    <cellStyle name="Normal 52 6 4" xfId="46133" xr:uid="{00000000-0005-0000-0000-00002EB90000}"/>
    <cellStyle name="Normal 52 7" xfId="46134" xr:uid="{00000000-0005-0000-0000-00002FB90000}"/>
    <cellStyle name="Normal 52 8" xfId="46135" xr:uid="{00000000-0005-0000-0000-000030B90000}"/>
    <cellStyle name="Normal 52 9" xfId="46136" xr:uid="{00000000-0005-0000-0000-000031B90000}"/>
    <cellStyle name="Normal 52_Order Book" xfId="46137" xr:uid="{00000000-0005-0000-0000-000032B90000}"/>
    <cellStyle name="Normal 520" xfId="46138" xr:uid="{00000000-0005-0000-0000-000033B90000}"/>
    <cellStyle name="Normal 520 2" xfId="46139" xr:uid="{00000000-0005-0000-0000-000034B90000}"/>
    <cellStyle name="Normal 521" xfId="46140" xr:uid="{00000000-0005-0000-0000-000035B90000}"/>
    <cellStyle name="Normal 521 2" xfId="46141" xr:uid="{00000000-0005-0000-0000-000036B90000}"/>
    <cellStyle name="Normal 522" xfId="46142" xr:uid="{00000000-0005-0000-0000-000037B90000}"/>
    <cellStyle name="Normal 522 2" xfId="46143" xr:uid="{00000000-0005-0000-0000-000038B90000}"/>
    <cellStyle name="Normal 523" xfId="46144" xr:uid="{00000000-0005-0000-0000-000039B90000}"/>
    <cellStyle name="Normal 523 2" xfId="46145" xr:uid="{00000000-0005-0000-0000-00003AB90000}"/>
    <cellStyle name="Normal 524" xfId="46146" xr:uid="{00000000-0005-0000-0000-00003BB90000}"/>
    <cellStyle name="Normal 524 2" xfId="46147" xr:uid="{00000000-0005-0000-0000-00003CB90000}"/>
    <cellStyle name="Normal 525" xfId="46148" xr:uid="{00000000-0005-0000-0000-00003DB90000}"/>
    <cellStyle name="Normal 525 2" xfId="46149" xr:uid="{00000000-0005-0000-0000-00003EB90000}"/>
    <cellStyle name="Normal 526" xfId="46150" xr:uid="{00000000-0005-0000-0000-00003FB90000}"/>
    <cellStyle name="Normal 526 2" xfId="46151" xr:uid="{00000000-0005-0000-0000-000040B90000}"/>
    <cellStyle name="Normal 527" xfId="46152" xr:uid="{00000000-0005-0000-0000-000041B90000}"/>
    <cellStyle name="Normal 528" xfId="46153" xr:uid="{00000000-0005-0000-0000-000042B90000}"/>
    <cellStyle name="Normal 529" xfId="46154" xr:uid="{00000000-0005-0000-0000-000043B90000}"/>
    <cellStyle name="Normal 53" xfId="3539" xr:uid="{00000000-0005-0000-0000-000044B90000}"/>
    <cellStyle name="Normal 53 10" xfId="46155" xr:uid="{00000000-0005-0000-0000-000045B90000}"/>
    <cellStyle name="Normal 53 11" xfId="46156" xr:uid="{00000000-0005-0000-0000-000046B90000}"/>
    <cellStyle name="Normal 53 12" xfId="46157" xr:uid="{00000000-0005-0000-0000-000047B90000}"/>
    <cellStyle name="Normal 53 2" xfId="46158" xr:uid="{00000000-0005-0000-0000-000048B90000}"/>
    <cellStyle name="Normal 53 2 10" xfId="46159" xr:uid="{00000000-0005-0000-0000-000049B90000}"/>
    <cellStyle name="Normal 53 2 2" xfId="46160" xr:uid="{00000000-0005-0000-0000-00004AB90000}"/>
    <cellStyle name="Normal 53 2 2 2" xfId="46161" xr:uid="{00000000-0005-0000-0000-00004BB90000}"/>
    <cellStyle name="Normal 53 2 2 2 2" xfId="46162" xr:uid="{00000000-0005-0000-0000-00004CB90000}"/>
    <cellStyle name="Normal 53 2 2 2 2 2" xfId="46163" xr:uid="{00000000-0005-0000-0000-00004DB90000}"/>
    <cellStyle name="Normal 53 2 2 2 2 3" xfId="46164" xr:uid="{00000000-0005-0000-0000-00004EB90000}"/>
    <cellStyle name="Normal 53 2 2 2 3" xfId="46165" xr:uid="{00000000-0005-0000-0000-00004FB90000}"/>
    <cellStyle name="Normal 53 2 2 2 3 2" xfId="46166" xr:uid="{00000000-0005-0000-0000-000050B90000}"/>
    <cellStyle name="Normal 53 2 2 2 3 3" xfId="46167" xr:uid="{00000000-0005-0000-0000-000051B90000}"/>
    <cellStyle name="Normal 53 2 2 2 4" xfId="46168" xr:uid="{00000000-0005-0000-0000-000052B90000}"/>
    <cellStyle name="Normal 53 2 2 2 5" xfId="46169" xr:uid="{00000000-0005-0000-0000-000053B90000}"/>
    <cellStyle name="Normal 53 2 2 2 6" xfId="46170" xr:uid="{00000000-0005-0000-0000-000054B90000}"/>
    <cellStyle name="Normal 53 2 2 3" xfId="46171" xr:uid="{00000000-0005-0000-0000-000055B90000}"/>
    <cellStyle name="Normal 53 2 2 3 2" xfId="46172" xr:uid="{00000000-0005-0000-0000-000056B90000}"/>
    <cellStyle name="Normal 53 2 2 3 3" xfId="46173" xr:uid="{00000000-0005-0000-0000-000057B90000}"/>
    <cellStyle name="Normal 53 2 2 4" xfId="46174" xr:uid="{00000000-0005-0000-0000-000058B90000}"/>
    <cellStyle name="Normal 53 2 2 4 2" xfId="46175" xr:uid="{00000000-0005-0000-0000-000059B90000}"/>
    <cellStyle name="Normal 53 2 2 4 3" xfId="46176" xr:uid="{00000000-0005-0000-0000-00005AB90000}"/>
    <cellStyle name="Normal 53 2 2 5" xfId="46177" xr:uid="{00000000-0005-0000-0000-00005BB90000}"/>
    <cellStyle name="Normal 53 2 2 6" xfId="46178" xr:uid="{00000000-0005-0000-0000-00005CB90000}"/>
    <cellStyle name="Normal 53 2 2 7" xfId="46179" xr:uid="{00000000-0005-0000-0000-00005DB90000}"/>
    <cellStyle name="Normal 53 2 2 8" xfId="46180" xr:uid="{00000000-0005-0000-0000-00005EB90000}"/>
    <cellStyle name="Normal 53 2 3" xfId="46181" xr:uid="{00000000-0005-0000-0000-00005FB90000}"/>
    <cellStyle name="Normal 53 2 3 2" xfId="46182" xr:uid="{00000000-0005-0000-0000-000060B90000}"/>
    <cellStyle name="Normal 53 2 3 2 2" xfId="46183" xr:uid="{00000000-0005-0000-0000-000061B90000}"/>
    <cellStyle name="Normal 53 2 3 2 3" xfId="46184" xr:uid="{00000000-0005-0000-0000-000062B90000}"/>
    <cellStyle name="Normal 53 2 3 3" xfId="46185" xr:uid="{00000000-0005-0000-0000-000063B90000}"/>
    <cellStyle name="Normal 53 2 3 3 2" xfId="46186" xr:uid="{00000000-0005-0000-0000-000064B90000}"/>
    <cellStyle name="Normal 53 2 3 3 3" xfId="46187" xr:uid="{00000000-0005-0000-0000-000065B90000}"/>
    <cellStyle name="Normal 53 2 3 4" xfId="46188" xr:uid="{00000000-0005-0000-0000-000066B90000}"/>
    <cellStyle name="Normal 53 2 3 5" xfId="46189" xr:uid="{00000000-0005-0000-0000-000067B90000}"/>
    <cellStyle name="Normal 53 2 3 6" xfId="46190" xr:uid="{00000000-0005-0000-0000-000068B90000}"/>
    <cellStyle name="Normal 53 2 4" xfId="46191" xr:uid="{00000000-0005-0000-0000-000069B90000}"/>
    <cellStyle name="Normal 53 2 4 2" xfId="46192" xr:uid="{00000000-0005-0000-0000-00006AB90000}"/>
    <cellStyle name="Normal 53 2 4 3" xfId="46193" xr:uid="{00000000-0005-0000-0000-00006BB90000}"/>
    <cellStyle name="Normal 53 2 5" xfId="46194" xr:uid="{00000000-0005-0000-0000-00006CB90000}"/>
    <cellStyle name="Normal 53 2 5 2" xfId="46195" xr:uid="{00000000-0005-0000-0000-00006DB90000}"/>
    <cellStyle name="Normal 53 2 5 3" xfId="46196" xr:uid="{00000000-0005-0000-0000-00006EB90000}"/>
    <cellStyle name="Normal 53 2 6" xfId="46197" xr:uid="{00000000-0005-0000-0000-00006FB90000}"/>
    <cellStyle name="Normal 53 2 7" xfId="46198" xr:uid="{00000000-0005-0000-0000-000070B90000}"/>
    <cellStyle name="Normal 53 2 8" xfId="46199" xr:uid="{00000000-0005-0000-0000-000071B90000}"/>
    <cellStyle name="Normal 53 2 9" xfId="46200" xr:uid="{00000000-0005-0000-0000-000072B90000}"/>
    <cellStyle name="Normal 53 3" xfId="46201" xr:uid="{00000000-0005-0000-0000-000073B90000}"/>
    <cellStyle name="Normal 53 3 2" xfId="46202" xr:uid="{00000000-0005-0000-0000-000074B90000}"/>
    <cellStyle name="Normal 53 3 2 2" xfId="46203" xr:uid="{00000000-0005-0000-0000-000075B90000}"/>
    <cellStyle name="Normal 53 3 2 2 2" xfId="46204" xr:uid="{00000000-0005-0000-0000-000076B90000}"/>
    <cellStyle name="Normal 53 3 2 2 3" xfId="46205" xr:uid="{00000000-0005-0000-0000-000077B90000}"/>
    <cellStyle name="Normal 53 3 2 3" xfId="46206" xr:uid="{00000000-0005-0000-0000-000078B90000}"/>
    <cellStyle name="Normal 53 3 2 3 2" xfId="46207" xr:uid="{00000000-0005-0000-0000-000079B90000}"/>
    <cellStyle name="Normal 53 3 2 3 3" xfId="46208" xr:uid="{00000000-0005-0000-0000-00007AB90000}"/>
    <cellStyle name="Normal 53 3 2 4" xfId="46209" xr:uid="{00000000-0005-0000-0000-00007BB90000}"/>
    <cellStyle name="Normal 53 3 2 5" xfId="46210" xr:uid="{00000000-0005-0000-0000-00007CB90000}"/>
    <cellStyle name="Normal 53 3 2 6" xfId="46211" xr:uid="{00000000-0005-0000-0000-00007DB90000}"/>
    <cellStyle name="Normal 53 3 3" xfId="46212" xr:uid="{00000000-0005-0000-0000-00007EB90000}"/>
    <cellStyle name="Normal 53 3 3 2" xfId="46213" xr:uid="{00000000-0005-0000-0000-00007FB90000}"/>
    <cellStyle name="Normal 53 3 3 3" xfId="46214" xr:uid="{00000000-0005-0000-0000-000080B90000}"/>
    <cellStyle name="Normal 53 3 4" xfId="46215" xr:uid="{00000000-0005-0000-0000-000081B90000}"/>
    <cellStyle name="Normal 53 3 4 2" xfId="46216" xr:uid="{00000000-0005-0000-0000-000082B90000}"/>
    <cellStyle name="Normal 53 3 4 3" xfId="46217" xr:uid="{00000000-0005-0000-0000-000083B90000}"/>
    <cellStyle name="Normal 53 3 5" xfId="46218" xr:uid="{00000000-0005-0000-0000-000084B90000}"/>
    <cellStyle name="Normal 53 3 6" xfId="46219" xr:uid="{00000000-0005-0000-0000-000085B90000}"/>
    <cellStyle name="Normal 53 3 7" xfId="46220" xr:uid="{00000000-0005-0000-0000-000086B90000}"/>
    <cellStyle name="Normal 53 3 8" xfId="46221" xr:uid="{00000000-0005-0000-0000-000087B90000}"/>
    <cellStyle name="Normal 53 4" xfId="46222" xr:uid="{00000000-0005-0000-0000-000088B90000}"/>
    <cellStyle name="Normal 53 4 2" xfId="46223" xr:uid="{00000000-0005-0000-0000-000089B90000}"/>
    <cellStyle name="Normal 53 4 2 2" xfId="46224" xr:uid="{00000000-0005-0000-0000-00008AB90000}"/>
    <cellStyle name="Normal 53 4 2 3" xfId="46225" xr:uid="{00000000-0005-0000-0000-00008BB90000}"/>
    <cellStyle name="Normal 53 4 3" xfId="46226" xr:uid="{00000000-0005-0000-0000-00008CB90000}"/>
    <cellStyle name="Normal 53 4 3 2" xfId="46227" xr:uid="{00000000-0005-0000-0000-00008DB90000}"/>
    <cellStyle name="Normal 53 4 3 3" xfId="46228" xr:uid="{00000000-0005-0000-0000-00008EB90000}"/>
    <cellStyle name="Normal 53 4 4" xfId="46229" xr:uid="{00000000-0005-0000-0000-00008FB90000}"/>
    <cellStyle name="Normal 53 4 5" xfId="46230" xr:uid="{00000000-0005-0000-0000-000090B90000}"/>
    <cellStyle name="Normal 53 4 6" xfId="46231" xr:uid="{00000000-0005-0000-0000-000091B90000}"/>
    <cellStyle name="Normal 53 5" xfId="46232" xr:uid="{00000000-0005-0000-0000-000092B90000}"/>
    <cellStyle name="Normal 53 5 2" xfId="46233" xr:uid="{00000000-0005-0000-0000-000093B90000}"/>
    <cellStyle name="Normal 53 5 3" xfId="46234" xr:uid="{00000000-0005-0000-0000-000094B90000}"/>
    <cellStyle name="Normal 53 6" xfId="46235" xr:uid="{00000000-0005-0000-0000-000095B90000}"/>
    <cellStyle name="Normal 53 6 2" xfId="46236" xr:uid="{00000000-0005-0000-0000-000096B90000}"/>
    <cellStyle name="Normal 53 6 3" xfId="46237" xr:uid="{00000000-0005-0000-0000-000097B90000}"/>
    <cellStyle name="Normal 53 7" xfId="46238" xr:uid="{00000000-0005-0000-0000-000098B90000}"/>
    <cellStyle name="Normal 53 8" xfId="46239" xr:uid="{00000000-0005-0000-0000-000099B90000}"/>
    <cellStyle name="Normal 53 9" xfId="46240" xr:uid="{00000000-0005-0000-0000-00009AB90000}"/>
    <cellStyle name="Normal 530" xfId="46241" xr:uid="{00000000-0005-0000-0000-00009BB90000}"/>
    <cellStyle name="Normal 531" xfId="46242" xr:uid="{00000000-0005-0000-0000-00009CB90000}"/>
    <cellStyle name="Normal 532" xfId="46243" xr:uid="{00000000-0005-0000-0000-00009DB90000}"/>
    <cellStyle name="Normal 533" xfId="46244" xr:uid="{00000000-0005-0000-0000-00009EB90000}"/>
    <cellStyle name="Normal 533 2" xfId="46245" xr:uid="{00000000-0005-0000-0000-00009FB90000}"/>
    <cellStyle name="Normal 534" xfId="46246" xr:uid="{00000000-0005-0000-0000-0000A0B90000}"/>
    <cellStyle name="Normal 535" xfId="46247" xr:uid="{00000000-0005-0000-0000-0000A1B90000}"/>
    <cellStyle name="Normal 536" xfId="46248" xr:uid="{00000000-0005-0000-0000-0000A2B90000}"/>
    <cellStyle name="Normal 536 2" xfId="46249" xr:uid="{00000000-0005-0000-0000-0000A3B90000}"/>
    <cellStyle name="Normal 536 2 2" xfId="46250" xr:uid="{00000000-0005-0000-0000-0000A4B90000}"/>
    <cellStyle name="Normal 536 2 2 2" xfId="46251" xr:uid="{00000000-0005-0000-0000-0000A5B90000}"/>
    <cellStyle name="Normal 536 2 2 2 2" xfId="46252" xr:uid="{00000000-0005-0000-0000-0000A6B90000}"/>
    <cellStyle name="Normal 536 2 2 2 3" xfId="46253" xr:uid="{00000000-0005-0000-0000-0000A7B90000}"/>
    <cellStyle name="Normal 536 2 2 3" xfId="46254" xr:uid="{00000000-0005-0000-0000-0000A8B90000}"/>
    <cellStyle name="Normal 536 2 2 3 2" xfId="46255" xr:uid="{00000000-0005-0000-0000-0000A9B90000}"/>
    <cellStyle name="Normal 536 2 2 3 3" xfId="46256" xr:uid="{00000000-0005-0000-0000-0000AAB90000}"/>
    <cellStyle name="Normal 536 2 2 4" xfId="46257" xr:uid="{00000000-0005-0000-0000-0000ABB90000}"/>
    <cellStyle name="Normal 536 2 2 5" xfId="46258" xr:uid="{00000000-0005-0000-0000-0000ACB90000}"/>
    <cellStyle name="Normal 536 2 2 6" xfId="46259" xr:uid="{00000000-0005-0000-0000-0000ADB90000}"/>
    <cellStyle name="Normal 536 2 3" xfId="46260" xr:uid="{00000000-0005-0000-0000-0000AEB90000}"/>
    <cellStyle name="Normal 536 2 3 2" xfId="46261" xr:uid="{00000000-0005-0000-0000-0000AFB90000}"/>
    <cellStyle name="Normal 536 2 3 3" xfId="46262" xr:uid="{00000000-0005-0000-0000-0000B0B90000}"/>
    <cellStyle name="Normal 536 2 4" xfId="46263" xr:uid="{00000000-0005-0000-0000-0000B1B90000}"/>
    <cellStyle name="Normal 536 2 4 2" xfId="46264" xr:uid="{00000000-0005-0000-0000-0000B2B90000}"/>
    <cellStyle name="Normal 536 2 4 3" xfId="46265" xr:uid="{00000000-0005-0000-0000-0000B3B90000}"/>
    <cellStyle name="Normal 536 2 5" xfId="46266" xr:uid="{00000000-0005-0000-0000-0000B4B90000}"/>
    <cellStyle name="Normal 536 2 6" xfId="46267" xr:uid="{00000000-0005-0000-0000-0000B5B90000}"/>
    <cellStyle name="Normal 536 2 7" xfId="46268" xr:uid="{00000000-0005-0000-0000-0000B6B90000}"/>
    <cellStyle name="Normal 536 2 8" xfId="46269" xr:uid="{00000000-0005-0000-0000-0000B7B90000}"/>
    <cellStyle name="Normal 536 3" xfId="46270" xr:uid="{00000000-0005-0000-0000-0000B8B90000}"/>
    <cellStyle name="Normal 536 3 2" xfId="46271" xr:uid="{00000000-0005-0000-0000-0000B9B90000}"/>
    <cellStyle name="Normal 536 3 2 2" xfId="46272" xr:uid="{00000000-0005-0000-0000-0000BAB90000}"/>
    <cellStyle name="Normal 536 3 2 2 2" xfId="46273" xr:uid="{00000000-0005-0000-0000-0000BBB90000}"/>
    <cellStyle name="Normal 536 3 2 3" xfId="46274" xr:uid="{00000000-0005-0000-0000-0000BCB90000}"/>
    <cellStyle name="Normal 536 3 3" xfId="46275" xr:uid="{00000000-0005-0000-0000-0000BDB90000}"/>
    <cellStyle name="Normal 536 3 3 2" xfId="46276" xr:uid="{00000000-0005-0000-0000-0000BEB90000}"/>
    <cellStyle name="Normal 536 3 3 3" xfId="46277" xr:uid="{00000000-0005-0000-0000-0000BFB90000}"/>
    <cellStyle name="Normal 536 3 4" xfId="46278" xr:uid="{00000000-0005-0000-0000-0000C0B90000}"/>
    <cellStyle name="Normal 536 3 5" xfId="46279" xr:uid="{00000000-0005-0000-0000-0000C1B90000}"/>
    <cellStyle name="Normal 536 3 6" xfId="46280" xr:uid="{00000000-0005-0000-0000-0000C2B90000}"/>
    <cellStyle name="Normal 536 4" xfId="46281" xr:uid="{00000000-0005-0000-0000-0000C3B90000}"/>
    <cellStyle name="Normal 536 4 2" xfId="46282" xr:uid="{00000000-0005-0000-0000-0000C4B90000}"/>
    <cellStyle name="Normal 536 4 3" xfId="46283" xr:uid="{00000000-0005-0000-0000-0000C5B90000}"/>
    <cellStyle name="Normal 536 5" xfId="46284" xr:uid="{00000000-0005-0000-0000-0000C6B90000}"/>
    <cellStyle name="Normal 536 5 2" xfId="46285" xr:uid="{00000000-0005-0000-0000-0000C7B90000}"/>
    <cellStyle name="Normal 536 5 3" xfId="46286" xr:uid="{00000000-0005-0000-0000-0000C8B90000}"/>
    <cellStyle name="Normal 536 6" xfId="46287" xr:uid="{00000000-0005-0000-0000-0000C9B90000}"/>
    <cellStyle name="Normal 536 7" xfId="46288" xr:uid="{00000000-0005-0000-0000-0000CAB90000}"/>
    <cellStyle name="Normal 536 8" xfId="46289" xr:uid="{00000000-0005-0000-0000-0000CBB90000}"/>
    <cellStyle name="Normal 536 9" xfId="46290" xr:uid="{00000000-0005-0000-0000-0000CCB90000}"/>
    <cellStyle name="Normal 537" xfId="46291" xr:uid="{00000000-0005-0000-0000-0000CDB90000}"/>
    <cellStyle name="Normal 537 2" xfId="46292" xr:uid="{00000000-0005-0000-0000-0000CEB90000}"/>
    <cellStyle name="Normal 538" xfId="46293" xr:uid="{00000000-0005-0000-0000-0000CFB90000}"/>
    <cellStyle name="Normal 538 2" xfId="46294" xr:uid="{00000000-0005-0000-0000-0000D0B90000}"/>
    <cellStyle name="Normal 539" xfId="46295" xr:uid="{00000000-0005-0000-0000-0000D1B90000}"/>
    <cellStyle name="Normal 539 2" xfId="46296" xr:uid="{00000000-0005-0000-0000-0000D2B90000}"/>
    <cellStyle name="Normal 54" xfId="3540" xr:uid="{00000000-0005-0000-0000-0000D3B90000}"/>
    <cellStyle name="Normal 54 10" xfId="46297" xr:uid="{00000000-0005-0000-0000-0000D4B90000}"/>
    <cellStyle name="Normal 54 11" xfId="46298" xr:uid="{00000000-0005-0000-0000-0000D5B90000}"/>
    <cellStyle name="Normal 54 12" xfId="46299" xr:uid="{00000000-0005-0000-0000-0000D6B90000}"/>
    <cellStyle name="Normal 54 13" xfId="46300" xr:uid="{00000000-0005-0000-0000-0000D7B90000}"/>
    <cellStyle name="Normal 54 2" xfId="46301" xr:uid="{00000000-0005-0000-0000-0000D8B90000}"/>
    <cellStyle name="Normal 54 2 10" xfId="46302" xr:uid="{00000000-0005-0000-0000-0000D9B90000}"/>
    <cellStyle name="Normal 54 2 11" xfId="46303" xr:uid="{00000000-0005-0000-0000-0000DAB90000}"/>
    <cellStyle name="Normal 54 2 2" xfId="46304" xr:uid="{00000000-0005-0000-0000-0000DBB90000}"/>
    <cellStyle name="Normal 54 2 2 2" xfId="46305" xr:uid="{00000000-0005-0000-0000-0000DCB90000}"/>
    <cellStyle name="Normal 54 2 2 2 2" xfId="46306" xr:uid="{00000000-0005-0000-0000-0000DDB90000}"/>
    <cellStyle name="Normal 54 2 2 2 2 2" xfId="46307" xr:uid="{00000000-0005-0000-0000-0000DEB90000}"/>
    <cellStyle name="Normal 54 2 2 2 2 3" xfId="46308" xr:uid="{00000000-0005-0000-0000-0000DFB90000}"/>
    <cellStyle name="Normal 54 2 2 2 3" xfId="46309" xr:uid="{00000000-0005-0000-0000-0000E0B90000}"/>
    <cellStyle name="Normal 54 2 2 2 3 2" xfId="46310" xr:uid="{00000000-0005-0000-0000-0000E1B90000}"/>
    <cellStyle name="Normal 54 2 2 2 3 3" xfId="46311" xr:uid="{00000000-0005-0000-0000-0000E2B90000}"/>
    <cellStyle name="Normal 54 2 2 2 4" xfId="46312" xr:uid="{00000000-0005-0000-0000-0000E3B90000}"/>
    <cellStyle name="Normal 54 2 2 2 5" xfId="46313" xr:uid="{00000000-0005-0000-0000-0000E4B90000}"/>
    <cellStyle name="Normal 54 2 2 2 6" xfId="46314" xr:uid="{00000000-0005-0000-0000-0000E5B90000}"/>
    <cellStyle name="Normal 54 2 2 2 7" xfId="46315" xr:uid="{00000000-0005-0000-0000-0000E6B90000}"/>
    <cellStyle name="Normal 54 2 2 3" xfId="46316" xr:uid="{00000000-0005-0000-0000-0000E7B90000}"/>
    <cellStyle name="Normal 54 2 2 3 2" xfId="46317" xr:uid="{00000000-0005-0000-0000-0000E8B90000}"/>
    <cellStyle name="Normal 54 2 2 3 3" xfId="46318" xr:uid="{00000000-0005-0000-0000-0000E9B90000}"/>
    <cellStyle name="Normal 54 2 2 3 4" xfId="46319" xr:uid="{00000000-0005-0000-0000-0000EAB90000}"/>
    <cellStyle name="Normal 54 2 2 4" xfId="46320" xr:uid="{00000000-0005-0000-0000-0000EBB90000}"/>
    <cellStyle name="Normal 54 2 2 4 2" xfId="46321" xr:uid="{00000000-0005-0000-0000-0000ECB90000}"/>
    <cellStyle name="Normal 54 2 2 4 3" xfId="46322" xr:uid="{00000000-0005-0000-0000-0000EDB90000}"/>
    <cellStyle name="Normal 54 2 2 5" xfId="46323" xr:uid="{00000000-0005-0000-0000-0000EEB90000}"/>
    <cellStyle name="Normal 54 2 2 6" xfId="46324" xr:uid="{00000000-0005-0000-0000-0000EFB90000}"/>
    <cellStyle name="Normal 54 2 2 7" xfId="46325" xr:uid="{00000000-0005-0000-0000-0000F0B90000}"/>
    <cellStyle name="Normal 54 2 2 8" xfId="46326" xr:uid="{00000000-0005-0000-0000-0000F1B90000}"/>
    <cellStyle name="Normal 54 2 2 9" xfId="46327" xr:uid="{00000000-0005-0000-0000-0000F2B90000}"/>
    <cellStyle name="Normal 54 2 3" xfId="46328" xr:uid="{00000000-0005-0000-0000-0000F3B90000}"/>
    <cellStyle name="Normal 54 2 3 2" xfId="46329" xr:uid="{00000000-0005-0000-0000-0000F4B90000}"/>
    <cellStyle name="Normal 54 2 3 2 2" xfId="46330" xr:uid="{00000000-0005-0000-0000-0000F5B90000}"/>
    <cellStyle name="Normal 54 2 3 2 3" xfId="46331" xr:uid="{00000000-0005-0000-0000-0000F6B90000}"/>
    <cellStyle name="Normal 54 2 3 3" xfId="46332" xr:uid="{00000000-0005-0000-0000-0000F7B90000}"/>
    <cellStyle name="Normal 54 2 3 3 2" xfId="46333" xr:uid="{00000000-0005-0000-0000-0000F8B90000}"/>
    <cellStyle name="Normal 54 2 3 3 3" xfId="46334" xr:uid="{00000000-0005-0000-0000-0000F9B90000}"/>
    <cellStyle name="Normal 54 2 3 4" xfId="46335" xr:uid="{00000000-0005-0000-0000-0000FAB90000}"/>
    <cellStyle name="Normal 54 2 3 5" xfId="46336" xr:uid="{00000000-0005-0000-0000-0000FBB90000}"/>
    <cellStyle name="Normal 54 2 3 6" xfId="46337" xr:uid="{00000000-0005-0000-0000-0000FCB90000}"/>
    <cellStyle name="Normal 54 2 3 7" xfId="46338" xr:uid="{00000000-0005-0000-0000-0000FDB90000}"/>
    <cellStyle name="Normal 54 2 4" xfId="46339" xr:uid="{00000000-0005-0000-0000-0000FEB90000}"/>
    <cellStyle name="Normal 54 2 4 2" xfId="46340" xr:uid="{00000000-0005-0000-0000-0000FFB90000}"/>
    <cellStyle name="Normal 54 2 4 3" xfId="46341" xr:uid="{00000000-0005-0000-0000-000000BA0000}"/>
    <cellStyle name="Normal 54 2 4 4" xfId="46342" xr:uid="{00000000-0005-0000-0000-000001BA0000}"/>
    <cellStyle name="Normal 54 2 5" xfId="46343" xr:uid="{00000000-0005-0000-0000-000002BA0000}"/>
    <cellStyle name="Normal 54 2 5 2" xfId="46344" xr:uid="{00000000-0005-0000-0000-000003BA0000}"/>
    <cellStyle name="Normal 54 2 5 3" xfId="46345" xr:uid="{00000000-0005-0000-0000-000004BA0000}"/>
    <cellStyle name="Normal 54 2 6" xfId="46346" xr:uid="{00000000-0005-0000-0000-000005BA0000}"/>
    <cellStyle name="Normal 54 2 7" xfId="46347" xr:uid="{00000000-0005-0000-0000-000006BA0000}"/>
    <cellStyle name="Normal 54 2 8" xfId="46348" xr:uid="{00000000-0005-0000-0000-000007BA0000}"/>
    <cellStyle name="Normal 54 2 9" xfId="46349" xr:uid="{00000000-0005-0000-0000-000008BA0000}"/>
    <cellStyle name="Normal 54 3" xfId="46350" xr:uid="{00000000-0005-0000-0000-000009BA0000}"/>
    <cellStyle name="Normal 54 3 2" xfId="46351" xr:uid="{00000000-0005-0000-0000-00000ABA0000}"/>
    <cellStyle name="Normal 54 3 2 2" xfId="46352" xr:uid="{00000000-0005-0000-0000-00000BBA0000}"/>
    <cellStyle name="Normal 54 3 2 2 2" xfId="46353" xr:uid="{00000000-0005-0000-0000-00000CBA0000}"/>
    <cellStyle name="Normal 54 3 2 2 3" xfId="46354" xr:uid="{00000000-0005-0000-0000-00000DBA0000}"/>
    <cellStyle name="Normal 54 3 2 3" xfId="46355" xr:uid="{00000000-0005-0000-0000-00000EBA0000}"/>
    <cellStyle name="Normal 54 3 2 3 2" xfId="46356" xr:uid="{00000000-0005-0000-0000-00000FBA0000}"/>
    <cellStyle name="Normal 54 3 2 3 3" xfId="46357" xr:uid="{00000000-0005-0000-0000-000010BA0000}"/>
    <cellStyle name="Normal 54 3 2 4" xfId="46358" xr:uid="{00000000-0005-0000-0000-000011BA0000}"/>
    <cellStyle name="Normal 54 3 2 5" xfId="46359" xr:uid="{00000000-0005-0000-0000-000012BA0000}"/>
    <cellStyle name="Normal 54 3 2 6" xfId="46360" xr:uid="{00000000-0005-0000-0000-000013BA0000}"/>
    <cellStyle name="Normal 54 3 2 7" xfId="46361" xr:uid="{00000000-0005-0000-0000-000014BA0000}"/>
    <cellStyle name="Normal 54 3 3" xfId="46362" xr:uid="{00000000-0005-0000-0000-000015BA0000}"/>
    <cellStyle name="Normal 54 3 3 2" xfId="46363" xr:uid="{00000000-0005-0000-0000-000016BA0000}"/>
    <cellStyle name="Normal 54 3 3 3" xfId="46364" xr:uid="{00000000-0005-0000-0000-000017BA0000}"/>
    <cellStyle name="Normal 54 3 3 4" xfId="46365" xr:uid="{00000000-0005-0000-0000-000018BA0000}"/>
    <cellStyle name="Normal 54 3 4" xfId="46366" xr:uid="{00000000-0005-0000-0000-000019BA0000}"/>
    <cellStyle name="Normal 54 3 4 2" xfId="46367" xr:uid="{00000000-0005-0000-0000-00001ABA0000}"/>
    <cellStyle name="Normal 54 3 4 3" xfId="46368" xr:uid="{00000000-0005-0000-0000-00001BBA0000}"/>
    <cellStyle name="Normal 54 3 5" xfId="46369" xr:uid="{00000000-0005-0000-0000-00001CBA0000}"/>
    <cellStyle name="Normal 54 3 6" xfId="46370" xr:uid="{00000000-0005-0000-0000-00001DBA0000}"/>
    <cellStyle name="Normal 54 3 7" xfId="46371" xr:uid="{00000000-0005-0000-0000-00001EBA0000}"/>
    <cellStyle name="Normal 54 3 8" xfId="46372" xr:uid="{00000000-0005-0000-0000-00001FBA0000}"/>
    <cellStyle name="Normal 54 3 9" xfId="46373" xr:uid="{00000000-0005-0000-0000-000020BA0000}"/>
    <cellStyle name="Normal 54 4" xfId="46374" xr:uid="{00000000-0005-0000-0000-000021BA0000}"/>
    <cellStyle name="Normal 54 4 2" xfId="46375" xr:uid="{00000000-0005-0000-0000-000022BA0000}"/>
    <cellStyle name="Normal 54 4 2 2" xfId="46376" xr:uid="{00000000-0005-0000-0000-000023BA0000}"/>
    <cellStyle name="Normal 54 4 2 3" xfId="46377" xr:uid="{00000000-0005-0000-0000-000024BA0000}"/>
    <cellStyle name="Normal 54 4 3" xfId="46378" xr:uid="{00000000-0005-0000-0000-000025BA0000}"/>
    <cellStyle name="Normal 54 4 3 2" xfId="46379" xr:uid="{00000000-0005-0000-0000-000026BA0000}"/>
    <cellStyle name="Normal 54 4 3 3" xfId="46380" xr:uid="{00000000-0005-0000-0000-000027BA0000}"/>
    <cellStyle name="Normal 54 4 4" xfId="46381" xr:uid="{00000000-0005-0000-0000-000028BA0000}"/>
    <cellStyle name="Normal 54 4 5" xfId="46382" xr:uid="{00000000-0005-0000-0000-000029BA0000}"/>
    <cellStyle name="Normal 54 4 6" xfId="46383" xr:uid="{00000000-0005-0000-0000-00002ABA0000}"/>
    <cellStyle name="Normal 54 4 7" xfId="46384" xr:uid="{00000000-0005-0000-0000-00002BBA0000}"/>
    <cellStyle name="Normal 54 5" xfId="46385" xr:uid="{00000000-0005-0000-0000-00002CBA0000}"/>
    <cellStyle name="Normal 54 5 2" xfId="46386" xr:uid="{00000000-0005-0000-0000-00002DBA0000}"/>
    <cellStyle name="Normal 54 5 3" xfId="46387" xr:uid="{00000000-0005-0000-0000-00002EBA0000}"/>
    <cellStyle name="Normal 54 5 4" xfId="46388" xr:uid="{00000000-0005-0000-0000-00002FBA0000}"/>
    <cellStyle name="Normal 54 6" xfId="46389" xr:uid="{00000000-0005-0000-0000-000030BA0000}"/>
    <cellStyle name="Normal 54 6 2" xfId="46390" xr:uid="{00000000-0005-0000-0000-000031BA0000}"/>
    <cellStyle name="Normal 54 6 3" xfId="46391" xr:uid="{00000000-0005-0000-0000-000032BA0000}"/>
    <cellStyle name="Normal 54 7" xfId="46392" xr:uid="{00000000-0005-0000-0000-000033BA0000}"/>
    <cellStyle name="Normal 54 8" xfId="46393" xr:uid="{00000000-0005-0000-0000-000034BA0000}"/>
    <cellStyle name="Normal 54 9" xfId="46394" xr:uid="{00000000-0005-0000-0000-000035BA0000}"/>
    <cellStyle name="Normal 54_Order Book" xfId="46395" xr:uid="{00000000-0005-0000-0000-000036BA0000}"/>
    <cellStyle name="Normal 540" xfId="46396" xr:uid="{00000000-0005-0000-0000-000037BA0000}"/>
    <cellStyle name="Normal 540 2" xfId="46397" xr:uid="{00000000-0005-0000-0000-000038BA0000}"/>
    <cellStyle name="Normal 541" xfId="46398" xr:uid="{00000000-0005-0000-0000-000039BA0000}"/>
    <cellStyle name="Normal 541 2" xfId="46399" xr:uid="{00000000-0005-0000-0000-00003ABA0000}"/>
    <cellStyle name="Normal 542" xfId="46400" xr:uid="{00000000-0005-0000-0000-00003BBA0000}"/>
    <cellStyle name="Normal 542 2" xfId="46401" xr:uid="{00000000-0005-0000-0000-00003CBA0000}"/>
    <cellStyle name="Normal 543" xfId="46402" xr:uid="{00000000-0005-0000-0000-00003DBA0000}"/>
    <cellStyle name="Normal 544" xfId="46403" xr:uid="{00000000-0005-0000-0000-00003EBA0000}"/>
    <cellStyle name="Normal 545" xfId="46404" xr:uid="{00000000-0005-0000-0000-00003FBA0000}"/>
    <cellStyle name="Normal 546" xfId="46405" xr:uid="{00000000-0005-0000-0000-000040BA0000}"/>
    <cellStyle name="Normal 547" xfId="46406" xr:uid="{00000000-0005-0000-0000-000041BA0000}"/>
    <cellStyle name="Normal 548" xfId="46407" xr:uid="{00000000-0005-0000-0000-000042BA0000}"/>
    <cellStyle name="Normal 549" xfId="46408" xr:uid="{00000000-0005-0000-0000-000043BA0000}"/>
    <cellStyle name="Normal 55" xfId="3541" xr:uid="{00000000-0005-0000-0000-000044BA0000}"/>
    <cellStyle name="Normal 55 10" xfId="46409" xr:uid="{00000000-0005-0000-0000-000045BA0000}"/>
    <cellStyle name="Normal 55 11" xfId="46410" xr:uid="{00000000-0005-0000-0000-000046BA0000}"/>
    <cellStyle name="Normal 55 12" xfId="46411" xr:uid="{00000000-0005-0000-0000-000047BA0000}"/>
    <cellStyle name="Normal 55 13" xfId="46412" xr:uid="{00000000-0005-0000-0000-000048BA0000}"/>
    <cellStyle name="Normal 55 2" xfId="46413" xr:uid="{00000000-0005-0000-0000-000049BA0000}"/>
    <cellStyle name="Normal 55 2 10" xfId="46414" xr:uid="{00000000-0005-0000-0000-00004ABA0000}"/>
    <cellStyle name="Normal 55 2 11" xfId="46415" xr:uid="{00000000-0005-0000-0000-00004BBA0000}"/>
    <cellStyle name="Normal 55 2 2" xfId="46416" xr:uid="{00000000-0005-0000-0000-00004CBA0000}"/>
    <cellStyle name="Normal 55 2 2 2" xfId="46417" xr:uid="{00000000-0005-0000-0000-00004DBA0000}"/>
    <cellStyle name="Normal 55 2 2 2 2" xfId="46418" xr:uid="{00000000-0005-0000-0000-00004EBA0000}"/>
    <cellStyle name="Normal 55 2 2 2 2 2" xfId="46419" xr:uid="{00000000-0005-0000-0000-00004FBA0000}"/>
    <cellStyle name="Normal 55 2 2 2 2 3" xfId="46420" xr:uid="{00000000-0005-0000-0000-000050BA0000}"/>
    <cellStyle name="Normal 55 2 2 2 3" xfId="46421" xr:uid="{00000000-0005-0000-0000-000051BA0000}"/>
    <cellStyle name="Normal 55 2 2 2 3 2" xfId="46422" xr:uid="{00000000-0005-0000-0000-000052BA0000}"/>
    <cellStyle name="Normal 55 2 2 2 3 3" xfId="46423" xr:uid="{00000000-0005-0000-0000-000053BA0000}"/>
    <cellStyle name="Normal 55 2 2 2 4" xfId="46424" xr:uid="{00000000-0005-0000-0000-000054BA0000}"/>
    <cellStyle name="Normal 55 2 2 2 5" xfId="46425" xr:uid="{00000000-0005-0000-0000-000055BA0000}"/>
    <cellStyle name="Normal 55 2 2 2 6" xfId="46426" xr:uid="{00000000-0005-0000-0000-000056BA0000}"/>
    <cellStyle name="Normal 55 2 2 2 7" xfId="46427" xr:uid="{00000000-0005-0000-0000-000057BA0000}"/>
    <cellStyle name="Normal 55 2 2 3" xfId="46428" xr:uid="{00000000-0005-0000-0000-000058BA0000}"/>
    <cellStyle name="Normal 55 2 2 3 2" xfId="46429" xr:uid="{00000000-0005-0000-0000-000059BA0000}"/>
    <cellStyle name="Normal 55 2 2 3 3" xfId="46430" xr:uid="{00000000-0005-0000-0000-00005ABA0000}"/>
    <cellStyle name="Normal 55 2 2 3 4" xfId="46431" xr:uid="{00000000-0005-0000-0000-00005BBA0000}"/>
    <cellStyle name="Normal 55 2 2 4" xfId="46432" xr:uid="{00000000-0005-0000-0000-00005CBA0000}"/>
    <cellStyle name="Normal 55 2 2 4 2" xfId="46433" xr:uid="{00000000-0005-0000-0000-00005DBA0000}"/>
    <cellStyle name="Normal 55 2 2 4 3" xfId="46434" xr:uid="{00000000-0005-0000-0000-00005EBA0000}"/>
    <cellStyle name="Normal 55 2 2 5" xfId="46435" xr:uid="{00000000-0005-0000-0000-00005FBA0000}"/>
    <cellStyle name="Normal 55 2 2 6" xfId="46436" xr:uid="{00000000-0005-0000-0000-000060BA0000}"/>
    <cellStyle name="Normal 55 2 2 7" xfId="46437" xr:uid="{00000000-0005-0000-0000-000061BA0000}"/>
    <cellStyle name="Normal 55 2 2 8" xfId="46438" xr:uid="{00000000-0005-0000-0000-000062BA0000}"/>
    <cellStyle name="Normal 55 2 2 9" xfId="46439" xr:uid="{00000000-0005-0000-0000-000063BA0000}"/>
    <cellStyle name="Normal 55 2 3" xfId="46440" xr:uid="{00000000-0005-0000-0000-000064BA0000}"/>
    <cellStyle name="Normal 55 2 3 2" xfId="46441" xr:uid="{00000000-0005-0000-0000-000065BA0000}"/>
    <cellStyle name="Normal 55 2 3 2 2" xfId="46442" xr:uid="{00000000-0005-0000-0000-000066BA0000}"/>
    <cellStyle name="Normal 55 2 3 2 3" xfId="46443" xr:uid="{00000000-0005-0000-0000-000067BA0000}"/>
    <cellStyle name="Normal 55 2 3 3" xfId="46444" xr:uid="{00000000-0005-0000-0000-000068BA0000}"/>
    <cellStyle name="Normal 55 2 3 3 2" xfId="46445" xr:uid="{00000000-0005-0000-0000-000069BA0000}"/>
    <cellStyle name="Normal 55 2 3 3 3" xfId="46446" xr:uid="{00000000-0005-0000-0000-00006ABA0000}"/>
    <cellStyle name="Normal 55 2 3 4" xfId="46447" xr:uid="{00000000-0005-0000-0000-00006BBA0000}"/>
    <cellStyle name="Normal 55 2 3 5" xfId="46448" xr:uid="{00000000-0005-0000-0000-00006CBA0000}"/>
    <cellStyle name="Normal 55 2 3 6" xfId="46449" xr:uid="{00000000-0005-0000-0000-00006DBA0000}"/>
    <cellStyle name="Normal 55 2 3 7" xfId="46450" xr:uid="{00000000-0005-0000-0000-00006EBA0000}"/>
    <cellStyle name="Normal 55 2 4" xfId="46451" xr:uid="{00000000-0005-0000-0000-00006FBA0000}"/>
    <cellStyle name="Normal 55 2 4 2" xfId="46452" xr:uid="{00000000-0005-0000-0000-000070BA0000}"/>
    <cellStyle name="Normal 55 2 4 3" xfId="46453" xr:uid="{00000000-0005-0000-0000-000071BA0000}"/>
    <cellStyle name="Normal 55 2 4 4" xfId="46454" xr:uid="{00000000-0005-0000-0000-000072BA0000}"/>
    <cellStyle name="Normal 55 2 5" xfId="46455" xr:uid="{00000000-0005-0000-0000-000073BA0000}"/>
    <cellStyle name="Normal 55 2 5 2" xfId="46456" xr:uid="{00000000-0005-0000-0000-000074BA0000}"/>
    <cellStyle name="Normal 55 2 5 3" xfId="46457" xr:uid="{00000000-0005-0000-0000-000075BA0000}"/>
    <cellStyle name="Normal 55 2 6" xfId="46458" xr:uid="{00000000-0005-0000-0000-000076BA0000}"/>
    <cellStyle name="Normal 55 2 7" xfId="46459" xr:uid="{00000000-0005-0000-0000-000077BA0000}"/>
    <cellStyle name="Normal 55 2 8" xfId="46460" xr:uid="{00000000-0005-0000-0000-000078BA0000}"/>
    <cellStyle name="Normal 55 2 9" xfId="46461" xr:uid="{00000000-0005-0000-0000-000079BA0000}"/>
    <cellStyle name="Normal 55 3" xfId="46462" xr:uid="{00000000-0005-0000-0000-00007ABA0000}"/>
    <cellStyle name="Normal 55 3 2" xfId="46463" xr:uid="{00000000-0005-0000-0000-00007BBA0000}"/>
    <cellStyle name="Normal 55 3 2 2" xfId="46464" xr:uid="{00000000-0005-0000-0000-00007CBA0000}"/>
    <cellStyle name="Normal 55 3 2 2 2" xfId="46465" xr:uid="{00000000-0005-0000-0000-00007DBA0000}"/>
    <cellStyle name="Normal 55 3 2 2 3" xfId="46466" xr:uid="{00000000-0005-0000-0000-00007EBA0000}"/>
    <cellStyle name="Normal 55 3 2 3" xfId="46467" xr:uid="{00000000-0005-0000-0000-00007FBA0000}"/>
    <cellStyle name="Normal 55 3 2 3 2" xfId="46468" xr:uid="{00000000-0005-0000-0000-000080BA0000}"/>
    <cellStyle name="Normal 55 3 2 3 3" xfId="46469" xr:uid="{00000000-0005-0000-0000-000081BA0000}"/>
    <cellStyle name="Normal 55 3 2 4" xfId="46470" xr:uid="{00000000-0005-0000-0000-000082BA0000}"/>
    <cellStyle name="Normal 55 3 2 5" xfId="46471" xr:uid="{00000000-0005-0000-0000-000083BA0000}"/>
    <cellStyle name="Normal 55 3 2 6" xfId="46472" xr:uid="{00000000-0005-0000-0000-000084BA0000}"/>
    <cellStyle name="Normal 55 3 2 7" xfId="46473" xr:uid="{00000000-0005-0000-0000-000085BA0000}"/>
    <cellStyle name="Normal 55 3 3" xfId="46474" xr:uid="{00000000-0005-0000-0000-000086BA0000}"/>
    <cellStyle name="Normal 55 3 3 2" xfId="46475" xr:uid="{00000000-0005-0000-0000-000087BA0000}"/>
    <cellStyle name="Normal 55 3 3 3" xfId="46476" xr:uid="{00000000-0005-0000-0000-000088BA0000}"/>
    <cellStyle name="Normal 55 3 3 4" xfId="46477" xr:uid="{00000000-0005-0000-0000-000089BA0000}"/>
    <cellStyle name="Normal 55 3 4" xfId="46478" xr:uid="{00000000-0005-0000-0000-00008ABA0000}"/>
    <cellStyle name="Normal 55 3 4 2" xfId="46479" xr:uid="{00000000-0005-0000-0000-00008BBA0000}"/>
    <cellStyle name="Normal 55 3 4 3" xfId="46480" xr:uid="{00000000-0005-0000-0000-00008CBA0000}"/>
    <cellStyle name="Normal 55 3 5" xfId="46481" xr:uid="{00000000-0005-0000-0000-00008DBA0000}"/>
    <cellStyle name="Normal 55 3 6" xfId="46482" xr:uid="{00000000-0005-0000-0000-00008EBA0000}"/>
    <cellStyle name="Normal 55 3 7" xfId="46483" xr:uid="{00000000-0005-0000-0000-00008FBA0000}"/>
    <cellStyle name="Normal 55 3 8" xfId="46484" xr:uid="{00000000-0005-0000-0000-000090BA0000}"/>
    <cellStyle name="Normal 55 3 9" xfId="46485" xr:uid="{00000000-0005-0000-0000-000091BA0000}"/>
    <cellStyle name="Normal 55 4" xfId="46486" xr:uid="{00000000-0005-0000-0000-000092BA0000}"/>
    <cellStyle name="Normal 55 4 2" xfId="46487" xr:uid="{00000000-0005-0000-0000-000093BA0000}"/>
    <cellStyle name="Normal 55 4 2 2" xfId="46488" xr:uid="{00000000-0005-0000-0000-000094BA0000}"/>
    <cellStyle name="Normal 55 4 2 3" xfId="46489" xr:uid="{00000000-0005-0000-0000-000095BA0000}"/>
    <cellStyle name="Normal 55 4 3" xfId="46490" xr:uid="{00000000-0005-0000-0000-000096BA0000}"/>
    <cellStyle name="Normal 55 4 3 2" xfId="46491" xr:uid="{00000000-0005-0000-0000-000097BA0000}"/>
    <cellStyle name="Normal 55 4 3 3" xfId="46492" xr:uid="{00000000-0005-0000-0000-000098BA0000}"/>
    <cellStyle name="Normal 55 4 4" xfId="46493" xr:uid="{00000000-0005-0000-0000-000099BA0000}"/>
    <cellStyle name="Normal 55 4 5" xfId="46494" xr:uid="{00000000-0005-0000-0000-00009ABA0000}"/>
    <cellStyle name="Normal 55 4 6" xfId="46495" xr:uid="{00000000-0005-0000-0000-00009BBA0000}"/>
    <cellStyle name="Normal 55 4 7" xfId="46496" xr:uid="{00000000-0005-0000-0000-00009CBA0000}"/>
    <cellStyle name="Normal 55 5" xfId="46497" xr:uid="{00000000-0005-0000-0000-00009DBA0000}"/>
    <cellStyle name="Normal 55 5 2" xfId="46498" xr:uid="{00000000-0005-0000-0000-00009EBA0000}"/>
    <cellStyle name="Normal 55 5 3" xfId="46499" xr:uid="{00000000-0005-0000-0000-00009FBA0000}"/>
    <cellStyle name="Normal 55 5 4" xfId="46500" xr:uid="{00000000-0005-0000-0000-0000A0BA0000}"/>
    <cellStyle name="Normal 55 6" xfId="46501" xr:uid="{00000000-0005-0000-0000-0000A1BA0000}"/>
    <cellStyle name="Normal 55 6 2" xfId="46502" xr:uid="{00000000-0005-0000-0000-0000A2BA0000}"/>
    <cellStyle name="Normal 55 6 3" xfId="46503" xr:uid="{00000000-0005-0000-0000-0000A3BA0000}"/>
    <cellStyle name="Normal 55 7" xfId="46504" xr:uid="{00000000-0005-0000-0000-0000A4BA0000}"/>
    <cellStyle name="Normal 55 8" xfId="46505" xr:uid="{00000000-0005-0000-0000-0000A5BA0000}"/>
    <cellStyle name="Normal 55 9" xfId="46506" xr:uid="{00000000-0005-0000-0000-0000A6BA0000}"/>
    <cellStyle name="Normal 55_Order Book" xfId="46507" xr:uid="{00000000-0005-0000-0000-0000A7BA0000}"/>
    <cellStyle name="Normal 550" xfId="46508" xr:uid="{00000000-0005-0000-0000-0000A8BA0000}"/>
    <cellStyle name="Normal 551" xfId="46509" xr:uid="{00000000-0005-0000-0000-0000A9BA0000}"/>
    <cellStyle name="Normal 552" xfId="46510" xr:uid="{00000000-0005-0000-0000-0000AABA0000}"/>
    <cellStyle name="Normal 553" xfId="46511" xr:uid="{00000000-0005-0000-0000-0000ABBA0000}"/>
    <cellStyle name="Normal 554" xfId="46512" xr:uid="{00000000-0005-0000-0000-0000ACBA0000}"/>
    <cellStyle name="Normal 555" xfId="46513" xr:uid="{00000000-0005-0000-0000-0000ADBA0000}"/>
    <cellStyle name="Normal 556" xfId="46514" xr:uid="{00000000-0005-0000-0000-0000AEBA0000}"/>
    <cellStyle name="Normal 557" xfId="46515" xr:uid="{00000000-0005-0000-0000-0000AFBA0000}"/>
    <cellStyle name="Normal 558" xfId="46516" xr:uid="{00000000-0005-0000-0000-0000B0BA0000}"/>
    <cellStyle name="Normal 559" xfId="46517" xr:uid="{00000000-0005-0000-0000-0000B1BA0000}"/>
    <cellStyle name="Normal 56" xfId="3542" xr:uid="{00000000-0005-0000-0000-0000B2BA0000}"/>
    <cellStyle name="Normal 56 10" xfId="46518" xr:uid="{00000000-0005-0000-0000-0000B3BA0000}"/>
    <cellStyle name="Normal 56 11" xfId="46519" xr:uid="{00000000-0005-0000-0000-0000B4BA0000}"/>
    <cellStyle name="Normal 56 12" xfId="46520" xr:uid="{00000000-0005-0000-0000-0000B5BA0000}"/>
    <cellStyle name="Normal 56 13" xfId="46521" xr:uid="{00000000-0005-0000-0000-0000B6BA0000}"/>
    <cellStyle name="Normal 56 2" xfId="46522" xr:uid="{00000000-0005-0000-0000-0000B7BA0000}"/>
    <cellStyle name="Normal 56 2 10" xfId="46523" xr:uid="{00000000-0005-0000-0000-0000B8BA0000}"/>
    <cellStyle name="Normal 56 2 11" xfId="46524" xr:uid="{00000000-0005-0000-0000-0000B9BA0000}"/>
    <cellStyle name="Normal 56 2 2" xfId="46525" xr:uid="{00000000-0005-0000-0000-0000BABA0000}"/>
    <cellStyle name="Normal 56 2 2 2" xfId="46526" xr:uid="{00000000-0005-0000-0000-0000BBBA0000}"/>
    <cellStyle name="Normal 56 2 2 2 2" xfId="46527" xr:uid="{00000000-0005-0000-0000-0000BCBA0000}"/>
    <cellStyle name="Normal 56 2 2 2 2 2" xfId="46528" xr:uid="{00000000-0005-0000-0000-0000BDBA0000}"/>
    <cellStyle name="Normal 56 2 2 2 2 3" xfId="46529" xr:uid="{00000000-0005-0000-0000-0000BEBA0000}"/>
    <cellStyle name="Normal 56 2 2 2 3" xfId="46530" xr:uid="{00000000-0005-0000-0000-0000BFBA0000}"/>
    <cellStyle name="Normal 56 2 2 2 3 2" xfId="46531" xr:uid="{00000000-0005-0000-0000-0000C0BA0000}"/>
    <cellStyle name="Normal 56 2 2 2 3 3" xfId="46532" xr:uid="{00000000-0005-0000-0000-0000C1BA0000}"/>
    <cellStyle name="Normal 56 2 2 2 4" xfId="46533" xr:uid="{00000000-0005-0000-0000-0000C2BA0000}"/>
    <cellStyle name="Normal 56 2 2 2 5" xfId="46534" xr:uid="{00000000-0005-0000-0000-0000C3BA0000}"/>
    <cellStyle name="Normal 56 2 2 2 6" xfId="46535" xr:uid="{00000000-0005-0000-0000-0000C4BA0000}"/>
    <cellStyle name="Normal 56 2 2 2 7" xfId="46536" xr:uid="{00000000-0005-0000-0000-0000C5BA0000}"/>
    <cellStyle name="Normal 56 2 2 3" xfId="46537" xr:uid="{00000000-0005-0000-0000-0000C6BA0000}"/>
    <cellStyle name="Normal 56 2 2 3 2" xfId="46538" xr:uid="{00000000-0005-0000-0000-0000C7BA0000}"/>
    <cellStyle name="Normal 56 2 2 3 3" xfId="46539" xr:uid="{00000000-0005-0000-0000-0000C8BA0000}"/>
    <cellStyle name="Normal 56 2 2 3 4" xfId="46540" xr:uid="{00000000-0005-0000-0000-0000C9BA0000}"/>
    <cellStyle name="Normal 56 2 2 4" xfId="46541" xr:uid="{00000000-0005-0000-0000-0000CABA0000}"/>
    <cellStyle name="Normal 56 2 2 4 2" xfId="46542" xr:uid="{00000000-0005-0000-0000-0000CBBA0000}"/>
    <cellStyle name="Normal 56 2 2 4 3" xfId="46543" xr:uid="{00000000-0005-0000-0000-0000CCBA0000}"/>
    <cellStyle name="Normal 56 2 2 5" xfId="46544" xr:uid="{00000000-0005-0000-0000-0000CDBA0000}"/>
    <cellStyle name="Normal 56 2 2 6" xfId="46545" xr:uid="{00000000-0005-0000-0000-0000CEBA0000}"/>
    <cellStyle name="Normal 56 2 2 7" xfId="46546" xr:uid="{00000000-0005-0000-0000-0000CFBA0000}"/>
    <cellStyle name="Normal 56 2 2 8" xfId="46547" xr:uid="{00000000-0005-0000-0000-0000D0BA0000}"/>
    <cellStyle name="Normal 56 2 2 9" xfId="46548" xr:uid="{00000000-0005-0000-0000-0000D1BA0000}"/>
    <cellStyle name="Normal 56 2 3" xfId="46549" xr:uid="{00000000-0005-0000-0000-0000D2BA0000}"/>
    <cellStyle name="Normal 56 2 3 2" xfId="46550" xr:uid="{00000000-0005-0000-0000-0000D3BA0000}"/>
    <cellStyle name="Normal 56 2 3 2 2" xfId="46551" xr:uid="{00000000-0005-0000-0000-0000D4BA0000}"/>
    <cellStyle name="Normal 56 2 3 2 3" xfId="46552" xr:uid="{00000000-0005-0000-0000-0000D5BA0000}"/>
    <cellStyle name="Normal 56 2 3 3" xfId="46553" xr:uid="{00000000-0005-0000-0000-0000D6BA0000}"/>
    <cellStyle name="Normal 56 2 3 3 2" xfId="46554" xr:uid="{00000000-0005-0000-0000-0000D7BA0000}"/>
    <cellStyle name="Normal 56 2 3 3 3" xfId="46555" xr:uid="{00000000-0005-0000-0000-0000D8BA0000}"/>
    <cellStyle name="Normal 56 2 3 4" xfId="46556" xr:uid="{00000000-0005-0000-0000-0000D9BA0000}"/>
    <cellStyle name="Normal 56 2 3 5" xfId="46557" xr:uid="{00000000-0005-0000-0000-0000DABA0000}"/>
    <cellStyle name="Normal 56 2 3 6" xfId="46558" xr:uid="{00000000-0005-0000-0000-0000DBBA0000}"/>
    <cellStyle name="Normal 56 2 3 7" xfId="46559" xr:uid="{00000000-0005-0000-0000-0000DCBA0000}"/>
    <cellStyle name="Normal 56 2 4" xfId="46560" xr:uid="{00000000-0005-0000-0000-0000DDBA0000}"/>
    <cellStyle name="Normal 56 2 4 2" xfId="46561" xr:uid="{00000000-0005-0000-0000-0000DEBA0000}"/>
    <cellStyle name="Normal 56 2 4 3" xfId="46562" xr:uid="{00000000-0005-0000-0000-0000DFBA0000}"/>
    <cellStyle name="Normal 56 2 4 4" xfId="46563" xr:uid="{00000000-0005-0000-0000-0000E0BA0000}"/>
    <cellStyle name="Normal 56 2 5" xfId="46564" xr:uid="{00000000-0005-0000-0000-0000E1BA0000}"/>
    <cellStyle name="Normal 56 2 5 2" xfId="46565" xr:uid="{00000000-0005-0000-0000-0000E2BA0000}"/>
    <cellStyle name="Normal 56 2 5 3" xfId="46566" xr:uid="{00000000-0005-0000-0000-0000E3BA0000}"/>
    <cellStyle name="Normal 56 2 6" xfId="46567" xr:uid="{00000000-0005-0000-0000-0000E4BA0000}"/>
    <cellStyle name="Normal 56 2 7" xfId="46568" xr:uid="{00000000-0005-0000-0000-0000E5BA0000}"/>
    <cellStyle name="Normal 56 2 8" xfId="46569" xr:uid="{00000000-0005-0000-0000-0000E6BA0000}"/>
    <cellStyle name="Normal 56 2 9" xfId="46570" xr:uid="{00000000-0005-0000-0000-0000E7BA0000}"/>
    <cellStyle name="Normal 56 3" xfId="46571" xr:uid="{00000000-0005-0000-0000-0000E8BA0000}"/>
    <cellStyle name="Normal 56 3 2" xfId="46572" xr:uid="{00000000-0005-0000-0000-0000E9BA0000}"/>
    <cellStyle name="Normal 56 3 2 2" xfId="46573" xr:uid="{00000000-0005-0000-0000-0000EABA0000}"/>
    <cellStyle name="Normal 56 3 2 2 2" xfId="46574" xr:uid="{00000000-0005-0000-0000-0000EBBA0000}"/>
    <cellStyle name="Normal 56 3 2 2 3" xfId="46575" xr:uid="{00000000-0005-0000-0000-0000ECBA0000}"/>
    <cellStyle name="Normal 56 3 2 3" xfId="46576" xr:uid="{00000000-0005-0000-0000-0000EDBA0000}"/>
    <cellStyle name="Normal 56 3 2 3 2" xfId="46577" xr:uid="{00000000-0005-0000-0000-0000EEBA0000}"/>
    <cellStyle name="Normal 56 3 2 3 3" xfId="46578" xr:uid="{00000000-0005-0000-0000-0000EFBA0000}"/>
    <cellStyle name="Normal 56 3 2 4" xfId="46579" xr:uid="{00000000-0005-0000-0000-0000F0BA0000}"/>
    <cellStyle name="Normal 56 3 2 5" xfId="46580" xr:uid="{00000000-0005-0000-0000-0000F1BA0000}"/>
    <cellStyle name="Normal 56 3 2 6" xfId="46581" xr:uid="{00000000-0005-0000-0000-0000F2BA0000}"/>
    <cellStyle name="Normal 56 3 2 7" xfId="46582" xr:uid="{00000000-0005-0000-0000-0000F3BA0000}"/>
    <cellStyle name="Normal 56 3 3" xfId="46583" xr:uid="{00000000-0005-0000-0000-0000F4BA0000}"/>
    <cellStyle name="Normal 56 3 3 2" xfId="46584" xr:uid="{00000000-0005-0000-0000-0000F5BA0000}"/>
    <cellStyle name="Normal 56 3 3 3" xfId="46585" xr:uid="{00000000-0005-0000-0000-0000F6BA0000}"/>
    <cellStyle name="Normal 56 3 3 4" xfId="46586" xr:uid="{00000000-0005-0000-0000-0000F7BA0000}"/>
    <cellStyle name="Normal 56 3 4" xfId="46587" xr:uid="{00000000-0005-0000-0000-0000F8BA0000}"/>
    <cellStyle name="Normal 56 3 4 2" xfId="46588" xr:uid="{00000000-0005-0000-0000-0000F9BA0000}"/>
    <cellStyle name="Normal 56 3 4 3" xfId="46589" xr:uid="{00000000-0005-0000-0000-0000FABA0000}"/>
    <cellStyle name="Normal 56 3 5" xfId="46590" xr:uid="{00000000-0005-0000-0000-0000FBBA0000}"/>
    <cellStyle name="Normal 56 3 6" xfId="46591" xr:uid="{00000000-0005-0000-0000-0000FCBA0000}"/>
    <cellStyle name="Normal 56 3 7" xfId="46592" xr:uid="{00000000-0005-0000-0000-0000FDBA0000}"/>
    <cellStyle name="Normal 56 3 8" xfId="46593" xr:uid="{00000000-0005-0000-0000-0000FEBA0000}"/>
    <cellStyle name="Normal 56 3 9" xfId="46594" xr:uid="{00000000-0005-0000-0000-0000FFBA0000}"/>
    <cellStyle name="Normal 56 4" xfId="46595" xr:uid="{00000000-0005-0000-0000-000000BB0000}"/>
    <cellStyle name="Normal 56 4 2" xfId="46596" xr:uid="{00000000-0005-0000-0000-000001BB0000}"/>
    <cellStyle name="Normal 56 4 2 2" xfId="46597" xr:uid="{00000000-0005-0000-0000-000002BB0000}"/>
    <cellStyle name="Normal 56 4 2 3" xfId="46598" xr:uid="{00000000-0005-0000-0000-000003BB0000}"/>
    <cellStyle name="Normal 56 4 3" xfId="46599" xr:uid="{00000000-0005-0000-0000-000004BB0000}"/>
    <cellStyle name="Normal 56 4 3 2" xfId="46600" xr:uid="{00000000-0005-0000-0000-000005BB0000}"/>
    <cellStyle name="Normal 56 4 3 3" xfId="46601" xr:uid="{00000000-0005-0000-0000-000006BB0000}"/>
    <cellStyle name="Normal 56 4 4" xfId="46602" xr:uid="{00000000-0005-0000-0000-000007BB0000}"/>
    <cellStyle name="Normal 56 4 5" xfId="46603" xr:uid="{00000000-0005-0000-0000-000008BB0000}"/>
    <cellStyle name="Normal 56 4 6" xfId="46604" xr:uid="{00000000-0005-0000-0000-000009BB0000}"/>
    <cellStyle name="Normal 56 4 7" xfId="46605" xr:uid="{00000000-0005-0000-0000-00000ABB0000}"/>
    <cellStyle name="Normal 56 5" xfId="46606" xr:uid="{00000000-0005-0000-0000-00000BBB0000}"/>
    <cellStyle name="Normal 56 5 2" xfId="46607" xr:uid="{00000000-0005-0000-0000-00000CBB0000}"/>
    <cellStyle name="Normal 56 5 3" xfId="46608" xr:uid="{00000000-0005-0000-0000-00000DBB0000}"/>
    <cellStyle name="Normal 56 5 4" xfId="46609" xr:uid="{00000000-0005-0000-0000-00000EBB0000}"/>
    <cellStyle name="Normal 56 6" xfId="46610" xr:uid="{00000000-0005-0000-0000-00000FBB0000}"/>
    <cellStyle name="Normal 56 6 2" xfId="46611" xr:uid="{00000000-0005-0000-0000-000010BB0000}"/>
    <cellStyle name="Normal 56 6 3" xfId="46612" xr:uid="{00000000-0005-0000-0000-000011BB0000}"/>
    <cellStyle name="Normal 56 7" xfId="46613" xr:uid="{00000000-0005-0000-0000-000012BB0000}"/>
    <cellStyle name="Normal 56 8" xfId="46614" xr:uid="{00000000-0005-0000-0000-000013BB0000}"/>
    <cellStyle name="Normal 56 9" xfId="46615" xr:uid="{00000000-0005-0000-0000-000014BB0000}"/>
    <cellStyle name="Normal 56_Order Book" xfId="46616" xr:uid="{00000000-0005-0000-0000-000015BB0000}"/>
    <cellStyle name="Normal 560" xfId="46617" xr:uid="{00000000-0005-0000-0000-000016BB0000}"/>
    <cellStyle name="Normal 561" xfId="46618" xr:uid="{00000000-0005-0000-0000-000017BB0000}"/>
    <cellStyle name="Normal 562" xfId="46619" xr:uid="{00000000-0005-0000-0000-000018BB0000}"/>
    <cellStyle name="Normal 563" xfId="46620" xr:uid="{00000000-0005-0000-0000-000019BB0000}"/>
    <cellStyle name="Normal 564" xfId="46621" xr:uid="{00000000-0005-0000-0000-00001ABB0000}"/>
    <cellStyle name="Normal 565" xfId="46622" xr:uid="{00000000-0005-0000-0000-00001BBB0000}"/>
    <cellStyle name="Normal 566" xfId="46623" xr:uid="{00000000-0005-0000-0000-00001CBB0000}"/>
    <cellStyle name="Normal 567" xfId="46624" xr:uid="{00000000-0005-0000-0000-00001DBB0000}"/>
    <cellStyle name="Normal 568" xfId="46625" xr:uid="{00000000-0005-0000-0000-00001EBB0000}"/>
    <cellStyle name="Normal 569" xfId="46626" xr:uid="{00000000-0005-0000-0000-00001FBB0000}"/>
    <cellStyle name="Normal 57" xfId="3543" xr:uid="{00000000-0005-0000-0000-000020BB0000}"/>
    <cellStyle name="Normal 57 10" xfId="46627" xr:uid="{00000000-0005-0000-0000-000021BB0000}"/>
    <cellStyle name="Normal 57 11" xfId="46628" xr:uid="{00000000-0005-0000-0000-000022BB0000}"/>
    <cellStyle name="Normal 57 12" xfId="46629" xr:uid="{00000000-0005-0000-0000-000023BB0000}"/>
    <cellStyle name="Normal 57 13" xfId="46630" xr:uid="{00000000-0005-0000-0000-000024BB0000}"/>
    <cellStyle name="Normal 57 2" xfId="46631" xr:uid="{00000000-0005-0000-0000-000025BB0000}"/>
    <cellStyle name="Normal 57 2 10" xfId="46632" xr:uid="{00000000-0005-0000-0000-000026BB0000}"/>
    <cellStyle name="Normal 57 2 11" xfId="46633" xr:uid="{00000000-0005-0000-0000-000027BB0000}"/>
    <cellStyle name="Normal 57 2 2" xfId="46634" xr:uid="{00000000-0005-0000-0000-000028BB0000}"/>
    <cellStyle name="Normal 57 2 2 2" xfId="46635" xr:uid="{00000000-0005-0000-0000-000029BB0000}"/>
    <cellStyle name="Normal 57 2 2 2 2" xfId="46636" xr:uid="{00000000-0005-0000-0000-00002ABB0000}"/>
    <cellStyle name="Normal 57 2 2 2 2 2" xfId="46637" xr:uid="{00000000-0005-0000-0000-00002BBB0000}"/>
    <cellStyle name="Normal 57 2 2 2 2 3" xfId="46638" xr:uid="{00000000-0005-0000-0000-00002CBB0000}"/>
    <cellStyle name="Normal 57 2 2 2 3" xfId="46639" xr:uid="{00000000-0005-0000-0000-00002DBB0000}"/>
    <cellStyle name="Normal 57 2 2 2 3 2" xfId="46640" xr:uid="{00000000-0005-0000-0000-00002EBB0000}"/>
    <cellStyle name="Normal 57 2 2 2 3 3" xfId="46641" xr:uid="{00000000-0005-0000-0000-00002FBB0000}"/>
    <cellStyle name="Normal 57 2 2 2 4" xfId="46642" xr:uid="{00000000-0005-0000-0000-000030BB0000}"/>
    <cellStyle name="Normal 57 2 2 2 5" xfId="46643" xr:uid="{00000000-0005-0000-0000-000031BB0000}"/>
    <cellStyle name="Normal 57 2 2 2 6" xfId="46644" xr:uid="{00000000-0005-0000-0000-000032BB0000}"/>
    <cellStyle name="Normal 57 2 2 2 7" xfId="46645" xr:uid="{00000000-0005-0000-0000-000033BB0000}"/>
    <cellStyle name="Normal 57 2 2 3" xfId="46646" xr:uid="{00000000-0005-0000-0000-000034BB0000}"/>
    <cellStyle name="Normal 57 2 2 3 2" xfId="46647" xr:uid="{00000000-0005-0000-0000-000035BB0000}"/>
    <cellStyle name="Normal 57 2 2 3 3" xfId="46648" xr:uid="{00000000-0005-0000-0000-000036BB0000}"/>
    <cellStyle name="Normal 57 2 2 3 4" xfId="46649" xr:uid="{00000000-0005-0000-0000-000037BB0000}"/>
    <cellStyle name="Normal 57 2 2 4" xfId="46650" xr:uid="{00000000-0005-0000-0000-000038BB0000}"/>
    <cellStyle name="Normal 57 2 2 4 2" xfId="46651" xr:uid="{00000000-0005-0000-0000-000039BB0000}"/>
    <cellStyle name="Normal 57 2 2 4 3" xfId="46652" xr:uid="{00000000-0005-0000-0000-00003ABB0000}"/>
    <cellStyle name="Normal 57 2 2 5" xfId="46653" xr:uid="{00000000-0005-0000-0000-00003BBB0000}"/>
    <cellStyle name="Normal 57 2 2 6" xfId="46654" xr:uid="{00000000-0005-0000-0000-00003CBB0000}"/>
    <cellStyle name="Normal 57 2 2 7" xfId="46655" xr:uid="{00000000-0005-0000-0000-00003DBB0000}"/>
    <cellStyle name="Normal 57 2 2 8" xfId="46656" xr:uid="{00000000-0005-0000-0000-00003EBB0000}"/>
    <cellStyle name="Normal 57 2 2 9" xfId="46657" xr:uid="{00000000-0005-0000-0000-00003FBB0000}"/>
    <cellStyle name="Normal 57 2 3" xfId="46658" xr:uid="{00000000-0005-0000-0000-000040BB0000}"/>
    <cellStyle name="Normal 57 2 3 2" xfId="46659" xr:uid="{00000000-0005-0000-0000-000041BB0000}"/>
    <cellStyle name="Normal 57 2 3 2 2" xfId="46660" xr:uid="{00000000-0005-0000-0000-000042BB0000}"/>
    <cellStyle name="Normal 57 2 3 2 3" xfId="46661" xr:uid="{00000000-0005-0000-0000-000043BB0000}"/>
    <cellStyle name="Normal 57 2 3 3" xfId="46662" xr:uid="{00000000-0005-0000-0000-000044BB0000}"/>
    <cellStyle name="Normal 57 2 3 3 2" xfId="46663" xr:uid="{00000000-0005-0000-0000-000045BB0000}"/>
    <cellStyle name="Normal 57 2 3 3 3" xfId="46664" xr:uid="{00000000-0005-0000-0000-000046BB0000}"/>
    <cellStyle name="Normal 57 2 3 4" xfId="46665" xr:uid="{00000000-0005-0000-0000-000047BB0000}"/>
    <cellStyle name="Normal 57 2 3 5" xfId="46666" xr:uid="{00000000-0005-0000-0000-000048BB0000}"/>
    <cellStyle name="Normal 57 2 3 6" xfId="46667" xr:uid="{00000000-0005-0000-0000-000049BB0000}"/>
    <cellStyle name="Normal 57 2 3 7" xfId="46668" xr:uid="{00000000-0005-0000-0000-00004ABB0000}"/>
    <cellStyle name="Normal 57 2 4" xfId="46669" xr:uid="{00000000-0005-0000-0000-00004BBB0000}"/>
    <cellStyle name="Normal 57 2 4 2" xfId="46670" xr:uid="{00000000-0005-0000-0000-00004CBB0000}"/>
    <cellStyle name="Normal 57 2 4 3" xfId="46671" xr:uid="{00000000-0005-0000-0000-00004DBB0000}"/>
    <cellStyle name="Normal 57 2 4 4" xfId="46672" xr:uid="{00000000-0005-0000-0000-00004EBB0000}"/>
    <cellStyle name="Normal 57 2 5" xfId="46673" xr:uid="{00000000-0005-0000-0000-00004FBB0000}"/>
    <cellStyle name="Normal 57 2 5 2" xfId="46674" xr:uid="{00000000-0005-0000-0000-000050BB0000}"/>
    <cellStyle name="Normal 57 2 5 3" xfId="46675" xr:uid="{00000000-0005-0000-0000-000051BB0000}"/>
    <cellStyle name="Normal 57 2 6" xfId="46676" xr:uid="{00000000-0005-0000-0000-000052BB0000}"/>
    <cellStyle name="Normal 57 2 7" xfId="46677" xr:uid="{00000000-0005-0000-0000-000053BB0000}"/>
    <cellStyle name="Normal 57 2 8" xfId="46678" xr:uid="{00000000-0005-0000-0000-000054BB0000}"/>
    <cellStyle name="Normal 57 2 9" xfId="46679" xr:uid="{00000000-0005-0000-0000-000055BB0000}"/>
    <cellStyle name="Normal 57 3" xfId="46680" xr:uid="{00000000-0005-0000-0000-000056BB0000}"/>
    <cellStyle name="Normal 57 3 2" xfId="46681" xr:uid="{00000000-0005-0000-0000-000057BB0000}"/>
    <cellStyle name="Normal 57 3 2 2" xfId="46682" xr:uid="{00000000-0005-0000-0000-000058BB0000}"/>
    <cellStyle name="Normal 57 3 2 2 2" xfId="46683" xr:uid="{00000000-0005-0000-0000-000059BB0000}"/>
    <cellStyle name="Normal 57 3 2 2 3" xfId="46684" xr:uid="{00000000-0005-0000-0000-00005ABB0000}"/>
    <cellStyle name="Normal 57 3 2 3" xfId="46685" xr:uid="{00000000-0005-0000-0000-00005BBB0000}"/>
    <cellStyle name="Normal 57 3 2 3 2" xfId="46686" xr:uid="{00000000-0005-0000-0000-00005CBB0000}"/>
    <cellStyle name="Normal 57 3 2 3 3" xfId="46687" xr:uid="{00000000-0005-0000-0000-00005DBB0000}"/>
    <cellStyle name="Normal 57 3 2 4" xfId="46688" xr:uid="{00000000-0005-0000-0000-00005EBB0000}"/>
    <cellStyle name="Normal 57 3 2 5" xfId="46689" xr:uid="{00000000-0005-0000-0000-00005FBB0000}"/>
    <cellStyle name="Normal 57 3 2 6" xfId="46690" xr:uid="{00000000-0005-0000-0000-000060BB0000}"/>
    <cellStyle name="Normal 57 3 2 7" xfId="46691" xr:uid="{00000000-0005-0000-0000-000061BB0000}"/>
    <cellStyle name="Normal 57 3 3" xfId="46692" xr:uid="{00000000-0005-0000-0000-000062BB0000}"/>
    <cellStyle name="Normal 57 3 3 2" xfId="46693" xr:uid="{00000000-0005-0000-0000-000063BB0000}"/>
    <cellStyle name="Normal 57 3 3 3" xfId="46694" xr:uid="{00000000-0005-0000-0000-000064BB0000}"/>
    <cellStyle name="Normal 57 3 3 4" xfId="46695" xr:uid="{00000000-0005-0000-0000-000065BB0000}"/>
    <cellStyle name="Normal 57 3 4" xfId="46696" xr:uid="{00000000-0005-0000-0000-000066BB0000}"/>
    <cellStyle name="Normal 57 3 4 2" xfId="46697" xr:uid="{00000000-0005-0000-0000-000067BB0000}"/>
    <cellStyle name="Normal 57 3 4 3" xfId="46698" xr:uid="{00000000-0005-0000-0000-000068BB0000}"/>
    <cellStyle name="Normal 57 3 5" xfId="46699" xr:uid="{00000000-0005-0000-0000-000069BB0000}"/>
    <cellStyle name="Normal 57 3 6" xfId="46700" xr:uid="{00000000-0005-0000-0000-00006ABB0000}"/>
    <cellStyle name="Normal 57 3 7" xfId="46701" xr:uid="{00000000-0005-0000-0000-00006BBB0000}"/>
    <cellStyle name="Normal 57 3 8" xfId="46702" xr:uid="{00000000-0005-0000-0000-00006CBB0000}"/>
    <cellStyle name="Normal 57 3 9" xfId="46703" xr:uid="{00000000-0005-0000-0000-00006DBB0000}"/>
    <cellStyle name="Normal 57 4" xfId="46704" xr:uid="{00000000-0005-0000-0000-00006EBB0000}"/>
    <cellStyle name="Normal 57 4 2" xfId="46705" xr:uid="{00000000-0005-0000-0000-00006FBB0000}"/>
    <cellStyle name="Normal 57 4 2 2" xfId="46706" xr:uid="{00000000-0005-0000-0000-000070BB0000}"/>
    <cellStyle name="Normal 57 4 2 3" xfId="46707" xr:uid="{00000000-0005-0000-0000-000071BB0000}"/>
    <cellStyle name="Normal 57 4 3" xfId="46708" xr:uid="{00000000-0005-0000-0000-000072BB0000}"/>
    <cellStyle name="Normal 57 4 3 2" xfId="46709" xr:uid="{00000000-0005-0000-0000-000073BB0000}"/>
    <cellStyle name="Normal 57 4 3 3" xfId="46710" xr:uid="{00000000-0005-0000-0000-000074BB0000}"/>
    <cellStyle name="Normal 57 4 4" xfId="46711" xr:uid="{00000000-0005-0000-0000-000075BB0000}"/>
    <cellStyle name="Normal 57 4 5" xfId="46712" xr:uid="{00000000-0005-0000-0000-000076BB0000}"/>
    <cellStyle name="Normal 57 4 6" xfId="46713" xr:uid="{00000000-0005-0000-0000-000077BB0000}"/>
    <cellStyle name="Normal 57 4 7" xfId="46714" xr:uid="{00000000-0005-0000-0000-000078BB0000}"/>
    <cellStyle name="Normal 57 5" xfId="46715" xr:uid="{00000000-0005-0000-0000-000079BB0000}"/>
    <cellStyle name="Normal 57 5 2" xfId="46716" xr:uid="{00000000-0005-0000-0000-00007ABB0000}"/>
    <cellStyle name="Normal 57 5 3" xfId="46717" xr:uid="{00000000-0005-0000-0000-00007BBB0000}"/>
    <cellStyle name="Normal 57 5 4" xfId="46718" xr:uid="{00000000-0005-0000-0000-00007CBB0000}"/>
    <cellStyle name="Normal 57 6" xfId="46719" xr:uid="{00000000-0005-0000-0000-00007DBB0000}"/>
    <cellStyle name="Normal 57 6 2" xfId="46720" xr:uid="{00000000-0005-0000-0000-00007EBB0000}"/>
    <cellStyle name="Normal 57 6 3" xfId="46721" xr:uid="{00000000-0005-0000-0000-00007FBB0000}"/>
    <cellStyle name="Normal 57 7" xfId="46722" xr:uid="{00000000-0005-0000-0000-000080BB0000}"/>
    <cellStyle name="Normal 57 8" xfId="46723" xr:uid="{00000000-0005-0000-0000-000081BB0000}"/>
    <cellStyle name="Normal 57 9" xfId="46724" xr:uid="{00000000-0005-0000-0000-000082BB0000}"/>
    <cellStyle name="Normal 57_Order Book" xfId="46725" xr:uid="{00000000-0005-0000-0000-000083BB0000}"/>
    <cellStyle name="Normal 570" xfId="46726" xr:uid="{00000000-0005-0000-0000-000084BB0000}"/>
    <cellStyle name="Normal 571" xfId="46727" xr:uid="{00000000-0005-0000-0000-000085BB0000}"/>
    <cellStyle name="Normal 572" xfId="46728" xr:uid="{00000000-0005-0000-0000-000086BB0000}"/>
    <cellStyle name="Normal 573" xfId="46729" xr:uid="{00000000-0005-0000-0000-000087BB0000}"/>
    <cellStyle name="Normal 574" xfId="46730" xr:uid="{00000000-0005-0000-0000-000088BB0000}"/>
    <cellStyle name="Normal 575" xfId="46731" xr:uid="{00000000-0005-0000-0000-000089BB0000}"/>
    <cellStyle name="Normal 576" xfId="46732" xr:uid="{00000000-0005-0000-0000-00008ABB0000}"/>
    <cellStyle name="Normal 577" xfId="46733" xr:uid="{00000000-0005-0000-0000-00008BBB0000}"/>
    <cellStyle name="Normal 578" xfId="46734" xr:uid="{00000000-0005-0000-0000-00008CBB0000}"/>
    <cellStyle name="Normal 579" xfId="46735" xr:uid="{00000000-0005-0000-0000-00008DBB0000}"/>
    <cellStyle name="Normal 58" xfId="3544" xr:uid="{00000000-0005-0000-0000-00008EBB0000}"/>
    <cellStyle name="Normal 58 10" xfId="46736" xr:uid="{00000000-0005-0000-0000-00008FBB0000}"/>
    <cellStyle name="Normal 58 11" xfId="46737" xr:uid="{00000000-0005-0000-0000-000090BB0000}"/>
    <cellStyle name="Normal 58 12" xfId="46738" xr:uid="{00000000-0005-0000-0000-000091BB0000}"/>
    <cellStyle name="Normal 58 13" xfId="46739" xr:uid="{00000000-0005-0000-0000-000092BB0000}"/>
    <cellStyle name="Normal 58 2" xfId="46740" xr:uid="{00000000-0005-0000-0000-000093BB0000}"/>
    <cellStyle name="Normal 58 2 10" xfId="46741" xr:uid="{00000000-0005-0000-0000-000094BB0000}"/>
    <cellStyle name="Normal 58 2 11" xfId="46742" xr:uid="{00000000-0005-0000-0000-000095BB0000}"/>
    <cellStyle name="Normal 58 2 2" xfId="46743" xr:uid="{00000000-0005-0000-0000-000096BB0000}"/>
    <cellStyle name="Normal 58 2 2 2" xfId="46744" xr:uid="{00000000-0005-0000-0000-000097BB0000}"/>
    <cellStyle name="Normal 58 2 2 2 2" xfId="46745" xr:uid="{00000000-0005-0000-0000-000098BB0000}"/>
    <cellStyle name="Normal 58 2 2 2 2 2" xfId="46746" xr:uid="{00000000-0005-0000-0000-000099BB0000}"/>
    <cellStyle name="Normal 58 2 2 2 2 3" xfId="46747" xr:uid="{00000000-0005-0000-0000-00009ABB0000}"/>
    <cellStyle name="Normal 58 2 2 2 3" xfId="46748" xr:uid="{00000000-0005-0000-0000-00009BBB0000}"/>
    <cellStyle name="Normal 58 2 2 2 3 2" xfId="46749" xr:uid="{00000000-0005-0000-0000-00009CBB0000}"/>
    <cellStyle name="Normal 58 2 2 2 3 3" xfId="46750" xr:uid="{00000000-0005-0000-0000-00009DBB0000}"/>
    <cellStyle name="Normal 58 2 2 2 4" xfId="46751" xr:uid="{00000000-0005-0000-0000-00009EBB0000}"/>
    <cellStyle name="Normal 58 2 2 2 5" xfId="46752" xr:uid="{00000000-0005-0000-0000-00009FBB0000}"/>
    <cellStyle name="Normal 58 2 2 2 6" xfId="46753" xr:uid="{00000000-0005-0000-0000-0000A0BB0000}"/>
    <cellStyle name="Normal 58 2 2 2 7" xfId="46754" xr:uid="{00000000-0005-0000-0000-0000A1BB0000}"/>
    <cellStyle name="Normal 58 2 2 3" xfId="46755" xr:uid="{00000000-0005-0000-0000-0000A2BB0000}"/>
    <cellStyle name="Normal 58 2 2 3 2" xfId="46756" xr:uid="{00000000-0005-0000-0000-0000A3BB0000}"/>
    <cellStyle name="Normal 58 2 2 3 3" xfId="46757" xr:uid="{00000000-0005-0000-0000-0000A4BB0000}"/>
    <cellStyle name="Normal 58 2 2 3 4" xfId="46758" xr:uid="{00000000-0005-0000-0000-0000A5BB0000}"/>
    <cellStyle name="Normal 58 2 2 4" xfId="46759" xr:uid="{00000000-0005-0000-0000-0000A6BB0000}"/>
    <cellStyle name="Normal 58 2 2 4 2" xfId="46760" xr:uid="{00000000-0005-0000-0000-0000A7BB0000}"/>
    <cellStyle name="Normal 58 2 2 4 3" xfId="46761" xr:uid="{00000000-0005-0000-0000-0000A8BB0000}"/>
    <cellStyle name="Normal 58 2 2 5" xfId="46762" xr:uid="{00000000-0005-0000-0000-0000A9BB0000}"/>
    <cellStyle name="Normal 58 2 2 6" xfId="46763" xr:uid="{00000000-0005-0000-0000-0000AABB0000}"/>
    <cellStyle name="Normal 58 2 2 7" xfId="46764" xr:uid="{00000000-0005-0000-0000-0000ABBB0000}"/>
    <cellStyle name="Normal 58 2 2 8" xfId="46765" xr:uid="{00000000-0005-0000-0000-0000ACBB0000}"/>
    <cellStyle name="Normal 58 2 2 9" xfId="46766" xr:uid="{00000000-0005-0000-0000-0000ADBB0000}"/>
    <cellStyle name="Normal 58 2 3" xfId="46767" xr:uid="{00000000-0005-0000-0000-0000AEBB0000}"/>
    <cellStyle name="Normal 58 2 3 2" xfId="46768" xr:uid="{00000000-0005-0000-0000-0000AFBB0000}"/>
    <cellStyle name="Normal 58 2 3 2 2" xfId="46769" xr:uid="{00000000-0005-0000-0000-0000B0BB0000}"/>
    <cellStyle name="Normal 58 2 3 2 3" xfId="46770" xr:uid="{00000000-0005-0000-0000-0000B1BB0000}"/>
    <cellStyle name="Normal 58 2 3 3" xfId="46771" xr:uid="{00000000-0005-0000-0000-0000B2BB0000}"/>
    <cellStyle name="Normal 58 2 3 3 2" xfId="46772" xr:uid="{00000000-0005-0000-0000-0000B3BB0000}"/>
    <cellStyle name="Normal 58 2 3 3 3" xfId="46773" xr:uid="{00000000-0005-0000-0000-0000B4BB0000}"/>
    <cellStyle name="Normal 58 2 3 4" xfId="46774" xr:uid="{00000000-0005-0000-0000-0000B5BB0000}"/>
    <cellStyle name="Normal 58 2 3 5" xfId="46775" xr:uid="{00000000-0005-0000-0000-0000B6BB0000}"/>
    <cellStyle name="Normal 58 2 3 6" xfId="46776" xr:uid="{00000000-0005-0000-0000-0000B7BB0000}"/>
    <cellStyle name="Normal 58 2 3 7" xfId="46777" xr:uid="{00000000-0005-0000-0000-0000B8BB0000}"/>
    <cellStyle name="Normal 58 2 4" xfId="46778" xr:uid="{00000000-0005-0000-0000-0000B9BB0000}"/>
    <cellStyle name="Normal 58 2 4 2" xfId="46779" xr:uid="{00000000-0005-0000-0000-0000BABB0000}"/>
    <cellStyle name="Normal 58 2 4 3" xfId="46780" xr:uid="{00000000-0005-0000-0000-0000BBBB0000}"/>
    <cellStyle name="Normal 58 2 4 4" xfId="46781" xr:uid="{00000000-0005-0000-0000-0000BCBB0000}"/>
    <cellStyle name="Normal 58 2 5" xfId="46782" xr:uid="{00000000-0005-0000-0000-0000BDBB0000}"/>
    <cellStyle name="Normal 58 2 5 2" xfId="46783" xr:uid="{00000000-0005-0000-0000-0000BEBB0000}"/>
    <cellStyle name="Normal 58 2 5 3" xfId="46784" xr:uid="{00000000-0005-0000-0000-0000BFBB0000}"/>
    <cellStyle name="Normal 58 2 6" xfId="46785" xr:uid="{00000000-0005-0000-0000-0000C0BB0000}"/>
    <cellStyle name="Normal 58 2 7" xfId="46786" xr:uid="{00000000-0005-0000-0000-0000C1BB0000}"/>
    <cellStyle name="Normal 58 2 8" xfId="46787" xr:uid="{00000000-0005-0000-0000-0000C2BB0000}"/>
    <cellStyle name="Normal 58 2 9" xfId="46788" xr:uid="{00000000-0005-0000-0000-0000C3BB0000}"/>
    <cellStyle name="Normal 58 3" xfId="46789" xr:uid="{00000000-0005-0000-0000-0000C4BB0000}"/>
    <cellStyle name="Normal 58 3 2" xfId="46790" xr:uid="{00000000-0005-0000-0000-0000C5BB0000}"/>
    <cellStyle name="Normal 58 3 2 2" xfId="46791" xr:uid="{00000000-0005-0000-0000-0000C6BB0000}"/>
    <cellStyle name="Normal 58 3 2 2 2" xfId="46792" xr:uid="{00000000-0005-0000-0000-0000C7BB0000}"/>
    <cellStyle name="Normal 58 3 2 2 3" xfId="46793" xr:uid="{00000000-0005-0000-0000-0000C8BB0000}"/>
    <cellStyle name="Normal 58 3 2 3" xfId="46794" xr:uid="{00000000-0005-0000-0000-0000C9BB0000}"/>
    <cellStyle name="Normal 58 3 2 3 2" xfId="46795" xr:uid="{00000000-0005-0000-0000-0000CABB0000}"/>
    <cellStyle name="Normal 58 3 2 3 3" xfId="46796" xr:uid="{00000000-0005-0000-0000-0000CBBB0000}"/>
    <cellStyle name="Normal 58 3 2 4" xfId="46797" xr:uid="{00000000-0005-0000-0000-0000CCBB0000}"/>
    <cellStyle name="Normal 58 3 2 5" xfId="46798" xr:uid="{00000000-0005-0000-0000-0000CDBB0000}"/>
    <cellStyle name="Normal 58 3 2 6" xfId="46799" xr:uid="{00000000-0005-0000-0000-0000CEBB0000}"/>
    <cellStyle name="Normal 58 3 2 7" xfId="46800" xr:uid="{00000000-0005-0000-0000-0000CFBB0000}"/>
    <cellStyle name="Normal 58 3 3" xfId="46801" xr:uid="{00000000-0005-0000-0000-0000D0BB0000}"/>
    <cellStyle name="Normal 58 3 3 2" xfId="46802" xr:uid="{00000000-0005-0000-0000-0000D1BB0000}"/>
    <cellStyle name="Normal 58 3 3 3" xfId="46803" xr:uid="{00000000-0005-0000-0000-0000D2BB0000}"/>
    <cellStyle name="Normal 58 3 3 4" xfId="46804" xr:uid="{00000000-0005-0000-0000-0000D3BB0000}"/>
    <cellStyle name="Normal 58 3 4" xfId="46805" xr:uid="{00000000-0005-0000-0000-0000D4BB0000}"/>
    <cellStyle name="Normal 58 3 4 2" xfId="46806" xr:uid="{00000000-0005-0000-0000-0000D5BB0000}"/>
    <cellStyle name="Normal 58 3 4 3" xfId="46807" xr:uid="{00000000-0005-0000-0000-0000D6BB0000}"/>
    <cellStyle name="Normal 58 3 5" xfId="46808" xr:uid="{00000000-0005-0000-0000-0000D7BB0000}"/>
    <cellStyle name="Normal 58 3 6" xfId="46809" xr:uid="{00000000-0005-0000-0000-0000D8BB0000}"/>
    <cellStyle name="Normal 58 3 7" xfId="46810" xr:uid="{00000000-0005-0000-0000-0000D9BB0000}"/>
    <cellStyle name="Normal 58 3 8" xfId="46811" xr:uid="{00000000-0005-0000-0000-0000DABB0000}"/>
    <cellStyle name="Normal 58 3 9" xfId="46812" xr:uid="{00000000-0005-0000-0000-0000DBBB0000}"/>
    <cellStyle name="Normal 58 4" xfId="46813" xr:uid="{00000000-0005-0000-0000-0000DCBB0000}"/>
    <cellStyle name="Normal 58 4 2" xfId="46814" xr:uid="{00000000-0005-0000-0000-0000DDBB0000}"/>
    <cellStyle name="Normal 58 4 2 2" xfId="46815" xr:uid="{00000000-0005-0000-0000-0000DEBB0000}"/>
    <cellStyle name="Normal 58 4 2 3" xfId="46816" xr:uid="{00000000-0005-0000-0000-0000DFBB0000}"/>
    <cellStyle name="Normal 58 4 3" xfId="46817" xr:uid="{00000000-0005-0000-0000-0000E0BB0000}"/>
    <cellStyle name="Normal 58 4 3 2" xfId="46818" xr:uid="{00000000-0005-0000-0000-0000E1BB0000}"/>
    <cellStyle name="Normal 58 4 3 3" xfId="46819" xr:uid="{00000000-0005-0000-0000-0000E2BB0000}"/>
    <cellStyle name="Normal 58 4 4" xfId="46820" xr:uid="{00000000-0005-0000-0000-0000E3BB0000}"/>
    <cellStyle name="Normal 58 4 5" xfId="46821" xr:uid="{00000000-0005-0000-0000-0000E4BB0000}"/>
    <cellStyle name="Normal 58 4 6" xfId="46822" xr:uid="{00000000-0005-0000-0000-0000E5BB0000}"/>
    <cellStyle name="Normal 58 4 7" xfId="46823" xr:uid="{00000000-0005-0000-0000-0000E6BB0000}"/>
    <cellStyle name="Normal 58 5" xfId="46824" xr:uid="{00000000-0005-0000-0000-0000E7BB0000}"/>
    <cellStyle name="Normal 58 5 2" xfId="46825" xr:uid="{00000000-0005-0000-0000-0000E8BB0000}"/>
    <cellStyle name="Normal 58 5 3" xfId="46826" xr:uid="{00000000-0005-0000-0000-0000E9BB0000}"/>
    <cellStyle name="Normal 58 5 4" xfId="46827" xr:uid="{00000000-0005-0000-0000-0000EABB0000}"/>
    <cellStyle name="Normal 58 6" xfId="46828" xr:uid="{00000000-0005-0000-0000-0000EBBB0000}"/>
    <cellStyle name="Normal 58 6 2" xfId="46829" xr:uid="{00000000-0005-0000-0000-0000ECBB0000}"/>
    <cellStyle name="Normal 58 6 3" xfId="46830" xr:uid="{00000000-0005-0000-0000-0000EDBB0000}"/>
    <cellStyle name="Normal 58 7" xfId="46831" xr:uid="{00000000-0005-0000-0000-0000EEBB0000}"/>
    <cellStyle name="Normal 58 8" xfId="46832" xr:uid="{00000000-0005-0000-0000-0000EFBB0000}"/>
    <cellStyle name="Normal 58 9" xfId="46833" xr:uid="{00000000-0005-0000-0000-0000F0BB0000}"/>
    <cellStyle name="Normal 58_Order Book" xfId="46834" xr:uid="{00000000-0005-0000-0000-0000F1BB0000}"/>
    <cellStyle name="Normal 580" xfId="46835" xr:uid="{00000000-0005-0000-0000-0000F2BB0000}"/>
    <cellStyle name="Normal 581" xfId="46836" xr:uid="{00000000-0005-0000-0000-0000F3BB0000}"/>
    <cellStyle name="Normal 582" xfId="46837" xr:uid="{00000000-0005-0000-0000-0000F4BB0000}"/>
    <cellStyle name="Normal 583" xfId="46838" xr:uid="{00000000-0005-0000-0000-0000F5BB0000}"/>
    <cellStyle name="Normal 584" xfId="46839" xr:uid="{00000000-0005-0000-0000-0000F6BB0000}"/>
    <cellStyle name="Normal 585" xfId="46840" xr:uid="{00000000-0005-0000-0000-0000F7BB0000}"/>
    <cellStyle name="Normal 586" xfId="46841" xr:uid="{00000000-0005-0000-0000-0000F8BB0000}"/>
    <cellStyle name="Normal 587" xfId="46842" xr:uid="{00000000-0005-0000-0000-0000F9BB0000}"/>
    <cellStyle name="Normal 588" xfId="46843" xr:uid="{00000000-0005-0000-0000-0000FABB0000}"/>
    <cellStyle name="Normal 588 2" xfId="46844" xr:uid="{00000000-0005-0000-0000-0000FBBB0000}"/>
    <cellStyle name="Normal 589" xfId="46845" xr:uid="{00000000-0005-0000-0000-0000FCBB0000}"/>
    <cellStyle name="Normal 59" xfId="3545" xr:uid="{00000000-0005-0000-0000-0000FDBB0000}"/>
    <cellStyle name="Normal 59 10" xfId="46846" xr:uid="{00000000-0005-0000-0000-0000FEBB0000}"/>
    <cellStyle name="Normal 59 11" xfId="46847" xr:uid="{00000000-0005-0000-0000-0000FFBB0000}"/>
    <cellStyle name="Normal 59 12" xfId="46848" xr:uid="{00000000-0005-0000-0000-000000BC0000}"/>
    <cellStyle name="Normal 59 13" xfId="46849" xr:uid="{00000000-0005-0000-0000-000001BC0000}"/>
    <cellStyle name="Normal 59 2" xfId="46850" xr:uid="{00000000-0005-0000-0000-000002BC0000}"/>
    <cellStyle name="Normal 59 2 10" xfId="46851" xr:uid="{00000000-0005-0000-0000-000003BC0000}"/>
    <cellStyle name="Normal 59 2 11" xfId="46852" xr:uid="{00000000-0005-0000-0000-000004BC0000}"/>
    <cellStyle name="Normal 59 2 2" xfId="46853" xr:uid="{00000000-0005-0000-0000-000005BC0000}"/>
    <cellStyle name="Normal 59 2 2 2" xfId="46854" xr:uid="{00000000-0005-0000-0000-000006BC0000}"/>
    <cellStyle name="Normal 59 2 2 2 2" xfId="46855" xr:uid="{00000000-0005-0000-0000-000007BC0000}"/>
    <cellStyle name="Normal 59 2 2 2 2 2" xfId="46856" xr:uid="{00000000-0005-0000-0000-000008BC0000}"/>
    <cellStyle name="Normal 59 2 2 2 2 3" xfId="46857" xr:uid="{00000000-0005-0000-0000-000009BC0000}"/>
    <cellStyle name="Normal 59 2 2 2 3" xfId="46858" xr:uid="{00000000-0005-0000-0000-00000ABC0000}"/>
    <cellStyle name="Normal 59 2 2 2 3 2" xfId="46859" xr:uid="{00000000-0005-0000-0000-00000BBC0000}"/>
    <cellStyle name="Normal 59 2 2 2 3 3" xfId="46860" xr:uid="{00000000-0005-0000-0000-00000CBC0000}"/>
    <cellStyle name="Normal 59 2 2 2 4" xfId="46861" xr:uid="{00000000-0005-0000-0000-00000DBC0000}"/>
    <cellStyle name="Normal 59 2 2 2 5" xfId="46862" xr:uid="{00000000-0005-0000-0000-00000EBC0000}"/>
    <cellStyle name="Normal 59 2 2 2 6" xfId="46863" xr:uid="{00000000-0005-0000-0000-00000FBC0000}"/>
    <cellStyle name="Normal 59 2 2 2 7" xfId="46864" xr:uid="{00000000-0005-0000-0000-000010BC0000}"/>
    <cellStyle name="Normal 59 2 2 3" xfId="46865" xr:uid="{00000000-0005-0000-0000-000011BC0000}"/>
    <cellStyle name="Normal 59 2 2 3 2" xfId="46866" xr:uid="{00000000-0005-0000-0000-000012BC0000}"/>
    <cellStyle name="Normal 59 2 2 3 3" xfId="46867" xr:uid="{00000000-0005-0000-0000-000013BC0000}"/>
    <cellStyle name="Normal 59 2 2 3 4" xfId="46868" xr:uid="{00000000-0005-0000-0000-000014BC0000}"/>
    <cellStyle name="Normal 59 2 2 4" xfId="46869" xr:uid="{00000000-0005-0000-0000-000015BC0000}"/>
    <cellStyle name="Normal 59 2 2 4 2" xfId="46870" xr:uid="{00000000-0005-0000-0000-000016BC0000}"/>
    <cellStyle name="Normal 59 2 2 4 3" xfId="46871" xr:uid="{00000000-0005-0000-0000-000017BC0000}"/>
    <cellStyle name="Normal 59 2 2 5" xfId="46872" xr:uid="{00000000-0005-0000-0000-000018BC0000}"/>
    <cellStyle name="Normal 59 2 2 6" xfId="46873" xr:uid="{00000000-0005-0000-0000-000019BC0000}"/>
    <cellStyle name="Normal 59 2 2 7" xfId="46874" xr:uid="{00000000-0005-0000-0000-00001ABC0000}"/>
    <cellStyle name="Normal 59 2 2 8" xfId="46875" xr:uid="{00000000-0005-0000-0000-00001BBC0000}"/>
    <cellStyle name="Normal 59 2 2 9" xfId="46876" xr:uid="{00000000-0005-0000-0000-00001CBC0000}"/>
    <cellStyle name="Normal 59 2 3" xfId="46877" xr:uid="{00000000-0005-0000-0000-00001DBC0000}"/>
    <cellStyle name="Normal 59 2 3 2" xfId="46878" xr:uid="{00000000-0005-0000-0000-00001EBC0000}"/>
    <cellStyle name="Normal 59 2 3 2 2" xfId="46879" xr:uid="{00000000-0005-0000-0000-00001FBC0000}"/>
    <cellStyle name="Normal 59 2 3 2 3" xfId="46880" xr:uid="{00000000-0005-0000-0000-000020BC0000}"/>
    <cellStyle name="Normal 59 2 3 3" xfId="46881" xr:uid="{00000000-0005-0000-0000-000021BC0000}"/>
    <cellStyle name="Normal 59 2 3 3 2" xfId="46882" xr:uid="{00000000-0005-0000-0000-000022BC0000}"/>
    <cellStyle name="Normal 59 2 3 3 3" xfId="46883" xr:uid="{00000000-0005-0000-0000-000023BC0000}"/>
    <cellStyle name="Normal 59 2 3 4" xfId="46884" xr:uid="{00000000-0005-0000-0000-000024BC0000}"/>
    <cellStyle name="Normal 59 2 3 5" xfId="46885" xr:uid="{00000000-0005-0000-0000-000025BC0000}"/>
    <cellStyle name="Normal 59 2 3 6" xfId="46886" xr:uid="{00000000-0005-0000-0000-000026BC0000}"/>
    <cellStyle name="Normal 59 2 3 7" xfId="46887" xr:uid="{00000000-0005-0000-0000-000027BC0000}"/>
    <cellStyle name="Normal 59 2 4" xfId="46888" xr:uid="{00000000-0005-0000-0000-000028BC0000}"/>
    <cellStyle name="Normal 59 2 4 2" xfId="46889" xr:uid="{00000000-0005-0000-0000-000029BC0000}"/>
    <cellStyle name="Normal 59 2 4 3" xfId="46890" xr:uid="{00000000-0005-0000-0000-00002ABC0000}"/>
    <cellStyle name="Normal 59 2 4 4" xfId="46891" xr:uid="{00000000-0005-0000-0000-00002BBC0000}"/>
    <cellStyle name="Normal 59 2 5" xfId="46892" xr:uid="{00000000-0005-0000-0000-00002CBC0000}"/>
    <cellStyle name="Normal 59 2 5 2" xfId="46893" xr:uid="{00000000-0005-0000-0000-00002DBC0000}"/>
    <cellStyle name="Normal 59 2 5 3" xfId="46894" xr:uid="{00000000-0005-0000-0000-00002EBC0000}"/>
    <cellStyle name="Normal 59 2 6" xfId="46895" xr:uid="{00000000-0005-0000-0000-00002FBC0000}"/>
    <cellStyle name="Normal 59 2 7" xfId="46896" xr:uid="{00000000-0005-0000-0000-000030BC0000}"/>
    <cellStyle name="Normal 59 2 8" xfId="46897" xr:uid="{00000000-0005-0000-0000-000031BC0000}"/>
    <cellStyle name="Normal 59 2 9" xfId="46898" xr:uid="{00000000-0005-0000-0000-000032BC0000}"/>
    <cellStyle name="Normal 59 3" xfId="46899" xr:uid="{00000000-0005-0000-0000-000033BC0000}"/>
    <cellStyle name="Normal 59 3 2" xfId="46900" xr:uid="{00000000-0005-0000-0000-000034BC0000}"/>
    <cellStyle name="Normal 59 3 2 2" xfId="46901" xr:uid="{00000000-0005-0000-0000-000035BC0000}"/>
    <cellStyle name="Normal 59 3 2 2 2" xfId="46902" xr:uid="{00000000-0005-0000-0000-000036BC0000}"/>
    <cellStyle name="Normal 59 3 2 2 3" xfId="46903" xr:uid="{00000000-0005-0000-0000-000037BC0000}"/>
    <cellStyle name="Normal 59 3 2 3" xfId="46904" xr:uid="{00000000-0005-0000-0000-000038BC0000}"/>
    <cellStyle name="Normal 59 3 2 3 2" xfId="46905" xr:uid="{00000000-0005-0000-0000-000039BC0000}"/>
    <cellStyle name="Normal 59 3 2 3 3" xfId="46906" xr:uid="{00000000-0005-0000-0000-00003ABC0000}"/>
    <cellStyle name="Normal 59 3 2 4" xfId="46907" xr:uid="{00000000-0005-0000-0000-00003BBC0000}"/>
    <cellStyle name="Normal 59 3 2 5" xfId="46908" xr:uid="{00000000-0005-0000-0000-00003CBC0000}"/>
    <cellStyle name="Normal 59 3 2 6" xfId="46909" xr:uid="{00000000-0005-0000-0000-00003DBC0000}"/>
    <cellStyle name="Normal 59 3 2 7" xfId="46910" xr:uid="{00000000-0005-0000-0000-00003EBC0000}"/>
    <cellStyle name="Normal 59 3 3" xfId="46911" xr:uid="{00000000-0005-0000-0000-00003FBC0000}"/>
    <cellStyle name="Normal 59 3 3 2" xfId="46912" xr:uid="{00000000-0005-0000-0000-000040BC0000}"/>
    <cellStyle name="Normal 59 3 3 3" xfId="46913" xr:uid="{00000000-0005-0000-0000-000041BC0000}"/>
    <cellStyle name="Normal 59 3 3 4" xfId="46914" xr:uid="{00000000-0005-0000-0000-000042BC0000}"/>
    <cellStyle name="Normal 59 3 4" xfId="46915" xr:uid="{00000000-0005-0000-0000-000043BC0000}"/>
    <cellStyle name="Normal 59 3 4 2" xfId="46916" xr:uid="{00000000-0005-0000-0000-000044BC0000}"/>
    <cellStyle name="Normal 59 3 4 3" xfId="46917" xr:uid="{00000000-0005-0000-0000-000045BC0000}"/>
    <cellStyle name="Normal 59 3 5" xfId="46918" xr:uid="{00000000-0005-0000-0000-000046BC0000}"/>
    <cellStyle name="Normal 59 3 6" xfId="46919" xr:uid="{00000000-0005-0000-0000-000047BC0000}"/>
    <cellStyle name="Normal 59 3 7" xfId="46920" xr:uid="{00000000-0005-0000-0000-000048BC0000}"/>
    <cellStyle name="Normal 59 3 8" xfId="46921" xr:uid="{00000000-0005-0000-0000-000049BC0000}"/>
    <cellStyle name="Normal 59 3 9" xfId="46922" xr:uid="{00000000-0005-0000-0000-00004ABC0000}"/>
    <cellStyle name="Normal 59 4" xfId="46923" xr:uid="{00000000-0005-0000-0000-00004BBC0000}"/>
    <cellStyle name="Normal 59 4 2" xfId="46924" xr:uid="{00000000-0005-0000-0000-00004CBC0000}"/>
    <cellStyle name="Normal 59 4 2 2" xfId="46925" xr:uid="{00000000-0005-0000-0000-00004DBC0000}"/>
    <cellStyle name="Normal 59 4 2 3" xfId="46926" xr:uid="{00000000-0005-0000-0000-00004EBC0000}"/>
    <cellStyle name="Normal 59 4 3" xfId="46927" xr:uid="{00000000-0005-0000-0000-00004FBC0000}"/>
    <cellStyle name="Normal 59 4 3 2" xfId="46928" xr:uid="{00000000-0005-0000-0000-000050BC0000}"/>
    <cellStyle name="Normal 59 4 3 3" xfId="46929" xr:uid="{00000000-0005-0000-0000-000051BC0000}"/>
    <cellStyle name="Normal 59 4 4" xfId="46930" xr:uid="{00000000-0005-0000-0000-000052BC0000}"/>
    <cellStyle name="Normal 59 4 5" xfId="46931" xr:uid="{00000000-0005-0000-0000-000053BC0000}"/>
    <cellStyle name="Normal 59 4 6" xfId="46932" xr:uid="{00000000-0005-0000-0000-000054BC0000}"/>
    <cellStyle name="Normal 59 4 7" xfId="46933" xr:uid="{00000000-0005-0000-0000-000055BC0000}"/>
    <cellStyle name="Normal 59 5" xfId="46934" xr:uid="{00000000-0005-0000-0000-000056BC0000}"/>
    <cellStyle name="Normal 59 5 2" xfId="46935" xr:uid="{00000000-0005-0000-0000-000057BC0000}"/>
    <cellStyle name="Normal 59 5 3" xfId="46936" xr:uid="{00000000-0005-0000-0000-000058BC0000}"/>
    <cellStyle name="Normal 59 5 4" xfId="46937" xr:uid="{00000000-0005-0000-0000-000059BC0000}"/>
    <cellStyle name="Normal 59 6" xfId="46938" xr:uid="{00000000-0005-0000-0000-00005ABC0000}"/>
    <cellStyle name="Normal 59 6 2" xfId="46939" xr:uid="{00000000-0005-0000-0000-00005BBC0000}"/>
    <cellStyle name="Normal 59 6 3" xfId="46940" xr:uid="{00000000-0005-0000-0000-00005CBC0000}"/>
    <cellStyle name="Normal 59 7" xfId="46941" xr:uid="{00000000-0005-0000-0000-00005DBC0000}"/>
    <cellStyle name="Normal 59 8" xfId="46942" xr:uid="{00000000-0005-0000-0000-00005EBC0000}"/>
    <cellStyle name="Normal 59 9" xfId="46943" xr:uid="{00000000-0005-0000-0000-00005FBC0000}"/>
    <cellStyle name="Normal 59_Order Book" xfId="46944" xr:uid="{00000000-0005-0000-0000-000060BC0000}"/>
    <cellStyle name="Normal 590" xfId="46945" xr:uid="{00000000-0005-0000-0000-000061BC0000}"/>
    <cellStyle name="Normal 591" xfId="46946" xr:uid="{00000000-0005-0000-0000-000062BC0000}"/>
    <cellStyle name="Normal 592" xfId="46947" xr:uid="{00000000-0005-0000-0000-000063BC0000}"/>
    <cellStyle name="Normal 593" xfId="46948" xr:uid="{00000000-0005-0000-0000-000064BC0000}"/>
    <cellStyle name="Normal 594" xfId="46949" xr:uid="{00000000-0005-0000-0000-000065BC0000}"/>
    <cellStyle name="Normal 595" xfId="46950" xr:uid="{00000000-0005-0000-0000-000066BC0000}"/>
    <cellStyle name="Normal 596" xfId="46951" xr:uid="{00000000-0005-0000-0000-000067BC0000}"/>
    <cellStyle name="Normal 597" xfId="46952" xr:uid="{00000000-0005-0000-0000-000068BC0000}"/>
    <cellStyle name="Normal 598" xfId="46953" xr:uid="{00000000-0005-0000-0000-000069BC0000}"/>
    <cellStyle name="Normal 599" xfId="46954" xr:uid="{00000000-0005-0000-0000-00006ABC0000}"/>
    <cellStyle name="Normal 6" xfId="3546" xr:uid="{00000000-0005-0000-0000-00006BBC0000}"/>
    <cellStyle name="Normal 6 10" xfId="46955" xr:uid="{00000000-0005-0000-0000-00006CBC0000}"/>
    <cellStyle name="Normal 6 2" xfId="3547" xr:uid="{00000000-0005-0000-0000-00006DBC0000}"/>
    <cellStyle name="Normal 6 2 2" xfId="3548" xr:uid="{00000000-0005-0000-0000-00006EBC0000}"/>
    <cellStyle name="Normal 6 2 2 2" xfId="46956" xr:uid="{00000000-0005-0000-0000-00006FBC0000}"/>
    <cellStyle name="Normal 6 2 3" xfId="3549" xr:uid="{00000000-0005-0000-0000-000070BC0000}"/>
    <cellStyle name="Normal 6 2 4" xfId="46957" xr:uid="{00000000-0005-0000-0000-000071BC0000}"/>
    <cellStyle name="Normal 6 3" xfId="3550" xr:uid="{00000000-0005-0000-0000-000072BC0000}"/>
    <cellStyle name="Normal 6 3 2" xfId="3551" xr:uid="{00000000-0005-0000-0000-000073BC0000}"/>
    <cellStyle name="Normal 6 3 3" xfId="54378" xr:uid="{00000000-0005-0000-0000-000074BC0000}"/>
    <cellStyle name="Normal 6 4" xfId="3552" xr:uid="{00000000-0005-0000-0000-000075BC0000}"/>
    <cellStyle name="Normal 6 4 2" xfId="3553" xr:uid="{00000000-0005-0000-0000-000076BC0000}"/>
    <cellStyle name="Normal 6 4 3" xfId="46958" xr:uid="{00000000-0005-0000-0000-000077BC0000}"/>
    <cellStyle name="Normal 6 4 4" xfId="46959" xr:uid="{00000000-0005-0000-0000-000078BC0000}"/>
    <cellStyle name="Normal 6 4 5" xfId="46960" xr:uid="{00000000-0005-0000-0000-000079BC0000}"/>
    <cellStyle name="Normal 6 5" xfId="3554" xr:uid="{00000000-0005-0000-0000-00007ABC0000}"/>
    <cellStyle name="Normal 6 5 2" xfId="46961" xr:uid="{00000000-0005-0000-0000-00007BBC0000}"/>
    <cellStyle name="Normal 6 5 3" xfId="46962" xr:uid="{00000000-0005-0000-0000-00007CBC0000}"/>
    <cellStyle name="Normal 6 6" xfId="3821" xr:uid="{00000000-0005-0000-0000-00007DBC0000}"/>
    <cellStyle name="Normal 6 6 2" xfId="46963" xr:uid="{00000000-0005-0000-0000-00007EBC0000}"/>
    <cellStyle name="Normal 6 7" xfId="46964" xr:uid="{00000000-0005-0000-0000-00007FBC0000}"/>
    <cellStyle name="Normal 6 8" xfId="46965" xr:uid="{00000000-0005-0000-0000-000080BC0000}"/>
    <cellStyle name="Normal 6 9" xfId="46966" xr:uid="{00000000-0005-0000-0000-000081BC0000}"/>
    <cellStyle name="Normal 60" xfId="3555" xr:uid="{00000000-0005-0000-0000-000082BC0000}"/>
    <cellStyle name="Normal 60 10" xfId="46967" xr:uid="{00000000-0005-0000-0000-000083BC0000}"/>
    <cellStyle name="Normal 60 11" xfId="46968" xr:uid="{00000000-0005-0000-0000-000084BC0000}"/>
    <cellStyle name="Normal 60 12" xfId="46969" xr:uid="{00000000-0005-0000-0000-000085BC0000}"/>
    <cellStyle name="Normal 60 13" xfId="46970" xr:uid="{00000000-0005-0000-0000-000086BC0000}"/>
    <cellStyle name="Normal 60 2" xfId="46971" xr:uid="{00000000-0005-0000-0000-000087BC0000}"/>
    <cellStyle name="Normal 60 2 10" xfId="46972" xr:uid="{00000000-0005-0000-0000-000088BC0000}"/>
    <cellStyle name="Normal 60 2 11" xfId="46973" xr:uid="{00000000-0005-0000-0000-000089BC0000}"/>
    <cellStyle name="Normal 60 2 2" xfId="46974" xr:uid="{00000000-0005-0000-0000-00008ABC0000}"/>
    <cellStyle name="Normal 60 2 2 2" xfId="46975" xr:uid="{00000000-0005-0000-0000-00008BBC0000}"/>
    <cellStyle name="Normal 60 2 2 2 2" xfId="46976" xr:uid="{00000000-0005-0000-0000-00008CBC0000}"/>
    <cellStyle name="Normal 60 2 2 2 2 2" xfId="46977" xr:uid="{00000000-0005-0000-0000-00008DBC0000}"/>
    <cellStyle name="Normal 60 2 2 2 2 3" xfId="46978" xr:uid="{00000000-0005-0000-0000-00008EBC0000}"/>
    <cellStyle name="Normal 60 2 2 2 3" xfId="46979" xr:uid="{00000000-0005-0000-0000-00008FBC0000}"/>
    <cellStyle name="Normal 60 2 2 2 3 2" xfId="46980" xr:uid="{00000000-0005-0000-0000-000090BC0000}"/>
    <cellStyle name="Normal 60 2 2 2 3 3" xfId="46981" xr:uid="{00000000-0005-0000-0000-000091BC0000}"/>
    <cellStyle name="Normal 60 2 2 2 4" xfId="46982" xr:uid="{00000000-0005-0000-0000-000092BC0000}"/>
    <cellStyle name="Normal 60 2 2 2 5" xfId="46983" xr:uid="{00000000-0005-0000-0000-000093BC0000}"/>
    <cellStyle name="Normal 60 2 2 2 6" xfId="46984" xr:uid="{00000000-0005-0000-0000-000094BC0000}"/>
    <cellStyle name="Normal 60 2 2 2 7" xfId="46985" xr:uid="{00000000-0005-0000-0000-000095BC0000}"/>
    <cellStyle name="Normal 60 2 2 3" xfId="46986" xr:uid="{00000000-0005-0000-0000-000096BC0000}"/>
    <cellStyle name="Normal 60 2 2 3 2" xfId="46987" xr:uid="{00000000-0005-0000-0000-000097BC0000}"/>
    <cellStyle name="Normal 60 2 2 3 3" xfId="46988" xr:uid="{00000000-0005-0000-0000-000098BC0000}"/>
    <cellStyle name="Normal 60 2 2 3 4" xfId="46989" xr:uid="{00000000-0005-0000-0000-000099BC0000}"/>
    <cellStyle name="Normal 60 2 2 4" xfId="46990" xr:uid="{00000000-0005-0000-0000-00009ABC0000}"/>
    <cellStyle name="Normal 60 2 2 4 2" xfId="46991" xr:uid="{00000000-0005-0000-0000-00009BBC0000}"/>
    <cellStyle name="Normal 60 2 2 4 3" xfId="46992" xr:uid="{00000000-0005-0000-0000-00009CBC0000}"/>
    <cellStyle name="Normal 60 2 2 5" xfId="46993" xr:uid="{00000000-0005-0000-0000-00009DBC0000}"/>
    <cellStyle name="Normal 60 2 2 6" xfId="46994" xr:uid="{00000000-0005-0000-0000-00009EBC0000}"/>
    <cellStyle name="Normal 60 2 2 7" xfId="46995" xr:uid="{00000000-0005-0000-0000-00009FBC0000}"/>
    <cellStyle name="Normal 60 2 2 8" xfId="46996" xr:uid="{00000000-0005-0000-0000-0000A0BC0000}"/>
    <cellStyle name="Normal 60 2 2 9" xfId="46997" xr:uid="{00000000-0005-0000-0000-0000A1BC0000}"/>
    <cellStyle name="Normal 60 2 3" xfId="46998" xr:uid="{00000000-0005-0000-0000-0000A2BC0000}"/>
    <cellStyle name="Normal 60 2 3 2" xfId="46999" xr:uid="{00000000-0005-0000-0000-0000A3BC0000}"/>
    <cellStyle name="Normal 60 2 3 2 2" xfId="47000" xr:uid="{00000000-0005-0000-0000-0000A4BC0000}"/>
    <cellStyle name="Normal 60 2 3 2 3" xfId="47001" xr:uid="{00000000-0005-0000-0000-0000A5BC0000}"/>
    <cellStyle name="Normal 60 2 3 3" xfId="47002" xr:uid="{00000000-0005-0000-0000-0000A6BC0000}"/>
    <cellStyle name="Normal 60 2 3 3 2" xfId="47003" xr:uid="{00000000-0005-0000-0000-0000A7BC0000}"/>
    <cellStyle name="Normal 60 2 3 3 3" xfId="47004" xr:uid="{00000000-0005-0000-0000-0000A8BC0000}"/>
    <cellStyle name="Normal 60 2 3 4" xfId="47005" xr:uid="{00000000-0005-0000-0000-0000A9BC0000}"/>
    <cellStyle name="Normal 60 2 3 5" xfId="47006" xr:uid="{00000000-0005-0000-0000-0000AABC0000}"/>
    <cellStyle name="Normal 60 2 3 6" xfId="47007" xr:uid="{00000000-0005-0000-0000-0000ABBC0000}"/>
    <cellStyle name="Normal 60 2 3 7" xfId="47008" xr:uid="{00000000-0005-0000-0000-0000ACBC0000}"/>
    <cellStyle name="Normal 60 2 4" xfId="47009" xr:uid="{00000000-0005-0000-0000-0000ADBC0000}"/>
    <cellStyle name="Normal 60 2 4 2" xfId="47010" xr:uid="{00000000-0005-0000-0000-0000AEBC0000}"/>
    <cellStyle name="Normal 60 2 4 3" xfId="47011" xr:uid="{00000000-0005-0000-0000-0000AFBC0000}"/>
    <cellStyle name="Normal 60 2 4 4" xfId="47012" xr:uid="{00000000-0005-0000-0000-0000B0BC0000}"/>
    <cellStyle name="Normal 60 2 5" xfId="47013" xr:uid="{00000000-0005-0000-0000-0000B1BC0000}"/>
    <cellStyle name="Normal 60 2 5 2" xfId="47014" xr:uid="{00000000-0005-0000-0000-0000B2BC0000}"/>
    <cellStyle name="Normal 60 2 5 3" xfId="47015" xr:uid="{00000000-0005-0000-0000-0000B3BC0000}"/>
    <cellStyle name="Normal 60 2 6" xfId="47016" xr:uid="{00000000-0005-0000-0000-0000B4BC0000}"/>
    <cellStyle name="Normal 60 2 7" xfId="47017" xr:uid="{00000000-0005-0000-0000-0000B5BC0000}"/>
    <cellStyle name="Normal 60 2 8" xfId="47018" xr:uid="{00000000-0005-0000-0000-0000B6BC0000}"/>
    <cellStyle name="Normal 60 2 9" xfId="47019" xr:uid="{00000000-0005-0000-0000-0000B7BC0000}"/>
    <cellStyle name="Normal 60 3" xfId="47020" xr:uid="{00000000-0005-0000-0000-0000B8BC0000}"/>
    <cellStyle name="Normal 60 3 2" xfId="47021" xr:uid="{00000000-0005-0000-0000-0000B9BC0000}"/>
    <cellStyle name="Normal 60 3 2 2" xfId="47022" xr:uid="{00000000-0005-0000-0000-0000BABC0000}"/>
    <cellStyle name="Normal 60 3 2 2 2" xfId="47023" xr:uid="{00000000-0005-0000-0000-0000BBBC0000}"/>
    <cellStyle name="Normal 60 3 2 2 3" xfId="47024" xr:uid="{00000000-0005-0000-0000-0000BCBC0000}"/>
    <cellStyle name="Normal 60 3 2 3" xfId="47025" xr:uid="{00000000-0005-0000-0000-0000BDBC0000}"/>
    <cellStyle name="Normal 60 3 2 3 2" xfId="47026" xr:uid="{00000000-0005-0000-0000-0000BEBC0000}"/>
    <cellStyle name="Normal 60 3 2 3 3" xfId="47027" xr:uid="{00000000-0005-0000-0000-0000BFBC0000}"/>
    <cellStyle name="Normal 60 3 2 4" xfId="47028" xr:uid="{00000000-0005-0000-0000-0000C0BC0000}"/>
    <cellStyle name="Normal 60 3 2 5" xfId="47029" xr:uid="{00000000-0005-0000-0000-0000C1BC0000}"/>
    <cellStyle name="Normal 60 3 2 6" xfId="47030" xr:uid="{00000000-0005-0000-0000-0000C2BC0000}"/>
    <cellStyle name="Normal 60 3 2 7" xfId="47031" xr:uid="{00000000-0005-0000-0000-0000C3BC0000}"/>
    <cellStyle name="Normal 60 3 3" xfId="47032" xr:uid="{00000000-0005-0000-0000-0000C4BC0000}"/>
    <cellStyle name="Normal 60 3 3 2" xfId="47033" xr:uid="{00000000-0005-0000-0000-0000C5BC0000}"/>
    <cellStyle name="Normal 60 3 3 3" xfId="47034" xr:uid="{00000000-0005-0000-0000-0000C6BC0000}"/>
    <cellStyle name="Normal 60 3 3 4" xfId="47035" xr:uid="{00000000-0005-0000-0000-0000C7BC0000}"/>
    <cellStyle name="Normal 60 3 4" xfId="47036" xr:uid="{00000000-0005-0000-0000-0000C8BC0000}"/>
    <cellStyle name="Normal 60 3 4 2" xfId="47037" xr:uid="{00000000-0005-0000-0000-0000C9BC0000}"/>
    <cellStyle name="Normal 60 3 4 3" xfId="47038" xr:uid="{00000000-0005-0000-0000-0000CABC0000}"/>
    <cellStyle name="Normal 60 3 5" xfId="47039" xr:uid="{00000000-0005-0000-0000-0000CBBC0000}"/>
    <cellStyle name="Normal 60 3 6" xfId="47040" xr:uid="{00000000-0005-0000-0000-0000CCBC0000}"/>
    <cellStyle name="Normal 60 3 7" xfId="47041" xr:uid="{00000000-0005-0000-0000-0000CDBC0000}"/>
    <cellStyle name="Normal 60 3 8" xfId="47042" xr:uid="{00000000-0005-0000-0000-0000CEBC0000}"/>
    <cellStyle name="Normal 60 3 9" xfId="47043" xr:uid="{00000000-0005-0000-0000-0000CFBC0000}"/>
    <cellStyle name="Normal 60 4" xfId="47044" xr:uid="{00000000-0005-0000-0000-0000D0BC0000}"/>
    <cellStyle name="Normal 60 4 2" xfId="47045" xr:uid="{00000000-0005-0000-0000-0000D1BC0000}"/>
    <cellStyle name="Normal 60 4 2 2" xfId="47046" xr:uid="{00000000-0005-0000-0000-0000D2BC0000}"/>
    <cellStyle name="Normal 60 4 2 3" xfId="47047" xr:uid="{00000000-0005-0000-0000-0000D3BC0000}"/>
    <cellStyle name="Normal 60 4 3" xfId="47048" xr:uid="{00000000-0005-0000-0000-0000D4BC0000}"/>
    <cellStyle name="Normal 60 4 3 2" xfId="47049" xr:uid="{00000000-0005-0000-0000-0000D5BC0000}"/>
    <cellStyle name="Normal 60 4 3 3" xfId="47050" xr:uid="{00000000-0005-0000-0000-0000D6BC0000}"/>
    <cellStyle name="Normal 60 4 4" xfId="47051" xr:uid="{00000000-0005-0000-0000-0000D7BC0000}"/>
    <cellStyle name="Normal 60 4 5" xfId="47052" xr:uid="{00000000-0005-0000-0000-0000D8BC0000}"/>
    <cellStyle name="Normal 60 4 6" xfId="47053" xr:uid="{00000000-0005-0000-0000-0000D9BC0000}"/>
    <cellStyle name="Normal 60 4 7" xfId="47054" xr:uid="{00000000-0005-0000-0000-0000DABC0000}"/>
    <cellStyle name="Normal 60 5" xfId="47055" xr:uid="{00000000-0005-0000-0000-0000DBBC0000}"/>
    <cellStyle name="Normal 60 5 2" xfId="47056" xr:uid="{00000000-0005-0000-0000-0000DCBC0000}"/>
    <cellStyle name="Normal 60 5 3" xfId="47057" xr:uid="{00000000-0005-0000-0000-0000DDBC0000}"/>
    <cellStyle name="Normal 60 5 4" xfId="47058" xr:uid="{00000000-0005-0000-0000-0000DEBC0000}"/>
    <cellStyle name="Normal 60 6" xfId="47059" xr:uid="{00000000-0005-0000-0000-0000DFBC0000}"/>
    <cellStyle name="Normal 60 6 2" xfId="47060" xr:uid="{00000000-0005-0000-0000-0000E0BC0000}"/>
    <cellStyle name="Normal 60 6 3" xfId="47061" xr:uid="{00000000-0005-0000-0000-0000E1BC0000}"/>
    <cellStyle name="Normal 60 7" xfId="47062" xr:uid="{00000000-0005-0000-0000-0000E2BC0000}"/>
    <cellStyle name="Normal 60 8" xfId="47063" xr:uid="{00000000-0005-0000-0000-0000E3BC0000}"/>
    <cellStyle name="Normal 60 9" xfId="47064" xr:uid="{00000000-0005-0000-0000-0000E4BC0000}"/>
    <cellStyle name="Normal 60_Order Book" xfId="47065" xr:uid="{00000000-0005-0000-0000-0000E5BC0000}"/>
    <cellStyle name="Normal 600" xfId="47066" xr:uid="{00000000-0005-0000-0000-0000E6BC0000}"/>
    <cellStyle name="Normal 601" xfId="47067" xr:uid="{00000000-0005-0000-0000-0000E7BC0000}"/>
    <cellStyle name="Normal 602" xfId="47068" xr:uid="{00000000-0005-0000-0000-0000E8BC0000}"/>
    <cellStyle name="Normal 603" xfId="47069" xr:uid="{00000000-0005-0000-0000-0000E9BC0000}"/>
    <cellStyle name="Normal 604" xfId="47070" xr:uid="{00000000-0005-0000-0000-0000EABC0000}"/>
    <cellStyle name="Normal 605" xfId="47071" xr:uid="{00000000-0005-0000-0000-0000EBBC0000}"/>
    <cellStyle name="Normal 606" xfId="47072" xr:uid="{00000000-0005-0000-0000-0000ECBC0000}"/>
    <cellStyle name="Normal 607" xfId="47073" xr:uid="{00000000-0005-0000-0000-0000EDBC0000}"/>
    <cellStyle name="Normal 608" xfId="47074" xr:uid="{00000000-0005-0000-0000-0000EEBC0000}"/>
    <cellStyle name="Normal 609" xfId="47075" xr:uid="{00000000-0005-0000-0000-0000EFBC0000}"/>
    <cellStyle name="Normal 61" xfId="3556" xr:uid="{00000000-0005-0000-0000-0000F0BC0000}"/>
    <cellStyle name="Normal 61 10" xfId="47076" xr:uid="{00000000-0005-0000-0000-0000F1BC0000}"/>
    <cellStyle name="Normal 61 11" xfId="47077" xr:uid="{00000000-0005-0000-0000-0000F2BC0000}"/>
    <cellStyle name="Normal 61 12" xfId="47078" xr:uid="{00000000-0005-0000-0000-0000F3BC0000}"/>
    <cellStyle name="Normal 61 13" xfId="47079" xr:uid="{00000000-0005-0000-0000-0000F4BC0000}"/>
    <cellStyle name="Normal 61 2" xfId="47080" xr:uid="{00000000-0005-0000-0000-0000F5BC0000}"/>
    <cellStyle name="Normal 61 2 10" xfId="47081" xr:uid="{00000000-0005-0000-0000-0000F6BC0000}"/>
    <cellStyle name="Normal 61 2 11" xfId="47082" xr:uid="{00000000-0005-0000-0000-0000F7BC0000}"/>
    <cellStyle name="Normal 61 2 2" xfId="47083" xr:uid="{00000000-0005-0000-0000-0000F8BC0000}"/>
    <cellStyle name="Normal 61 2 2 2" xfId="47084" xr:uid="{00000000-0005-0000-0000-0000F9BC0000}"/>
    <cellStyle name="Normal 61 2 2 2 2" xfId="47085" xr:uid="{00000000-0005-0000-0000-0000FABC0000}"/>
    <cellStyle name="Normal 61 2 2 2 2 2" xfId="47086" xr:uid="{00000000-0005-0000-0000-0000FBBC0000}"/>
    <cellStyle name="Normal 61 2 2 2 2 3" xfId="47087" xr:uid="{00000000-0005-0000-0000-0000FCBC0000}"/>
    <cellStyle name="Normal 61 2 2 2 3" xfId="47088" xr:uid="{00000000-0005-0000-0000-0000FDBC0000}"/>
    <cellStyle name="Normal 61 2 2 2 3 2" xfId="47089" xr:uid="{00000000-0005-0000-0000-0000FEBC0000}"/>
    <cellStyle name="Normal 61 2 2 2 3 3" xfId="47090" xr:uid="{00000000-0005-0000-0000-0000FFBC0000}"/>
    <cellStyle name="Normal 61 2 2 2 4" xfId="47091" xr:uid="{00000000-0005-0000-0000-000000BD0000}"/>
    <cellStyle name="Normal 61 2 2 2 5" xfId="47092" xr:uid="{00000000-0005-0000-0000-000001BD0000}"/>
    <cellStyle name="Normal 61 2 2 2 6" xfId="47093" xr:uid="{00000000-0005-0000-0000-000002BD0000}"/>
    <cellStyle name="Normal 61 2 2 2 7" xfId="47094" xr:uid="{00000000-0005-0000-0000-000003BD0000}"/>
    <cellStyle name="Normal 61 2 2 3" xfId="47095" xr:uid="{00000000-0005-0000-0000-000004BD0000}"/>
    <cellStyle name="Normal 61 2 2 3 2" xfId="47096" xr:uid="{00000000-0005-0000-0000-000005BD0000}"/>
    <cellStyle name="Normal 61 2 2 3 3" xfId="47097" xr:uid="{00000000-0005-0000-0000-000006BD0000}"/>
    <cellStyle name="Normal 61 2 2 3 4" xfId="47098" xr:uid="{00000000-0005-0000-0000-000007BD0000}"/>
    <cellStyle name="Normal 61 2 2 4" xfId="47099" xr:uid="{00000000-0005-0000-0000-000008BD0000}"/>
    <cellStyle name="Normal 61 2 2 4 2" xfId="47100" xr:uid="{00000000-0005-0000-0000-000009BD0000}"/>
    <cellStyle name="Normal 61 2 2 4 3" xfId="47101" xr:uid="{00000000-0005-0000-0000-00000ABD0000}"/>
    <cellStyle name="Normal 61 2 2 5" xfId="47102" xr:uid="{00000000-0005-0000-0000-00000BBD0000}"/>
    <cellStyle name="Normal 61 2 2 6" xfId="47103" xr:uid="{00000000-0005-0000-0000-00000CBD0000}"/>
    <cellStyle name="Normal 61 2 2 7" xfId="47104" xr:uid="{00000000-0005-0000-0000-00000DBD0000}"/>
    <cellStyle name="Normal 61 2 2 8" xfId="47105" xr:uid="{00000000-0005-0000-0000-00000EBD0000}"/>
    <cellStyle name="Normal 61 2 2 9" xfId="47106" xr:uid="{00000000-0005-0000-0000-00000FBD0000}"/>
    <cellStyle name="Normal 61 2 3" xfId="47107" xr:uid="{00000000-0005-0000-0000-000010BD0000}"/>
    <cellStyle name="Normal 61 2 3 2" xfId="47108" xr:uid="{00000000-0005-0000-0000-000011BD0000}"/>
    <cellStyle name="Normal 61 2 3 2 2" xfId="47109" xr:uid="{00000000-0005-0000-0000-000012BD0000}"/>
    <cellStyle name="Normal 61 2 3 2 3" xfId="47110" xr:uid="{00000000-0005-0000-0000-000013BD0000}"/>
    <cellStyle name="Normal 61 2 3 3" xfId="47111" xr:uid="{00000000-0005-0000-0000-000014BD0000}"/>
    <cellStyle name="Normal 61 2 3 3 2" xfId="47112" xr:uid="{00000000-0005-0000-0000-000015BD0000}"/>
    <cellStyle name="Normal 61 2 3 3 3" xfId="47113" xr:uid="{00000000-0005-0000-0000-000016BD0000}"/>
    <cellStyle name="Normal 61 2 3 4" xfId="47114" xr:uid="{00000000-0005-0000-0000-000017BD0000}"/>
    <cellStyle name="Normal 61 2 3 5" xfId="47115" xr:uid="{00000000-0005-0000-0000-000018BD0000}"/>
    <cellStyle name="Normal 61 2 3 6" xfId="47116" xr:uid="{00000000-0005-0000-0000-000019BD0000}"/>
    <cellStyle name="Normal 61 2 3 7" xfId="47117" xr:uid="{00000000-0005-0000-0000-00001ABD0000}"/>
    <cellStyle name="Normal 61 2 4" xfId="47118" xr:uid="{00000000-0005-0000-0000-00001BBD0000}"/>
    <cellStyle name="Normal 61 2 4 2" xfId="47119" xr:uid="{00000000-0005-0000-0000-00001CBD0000}"/>
    <cellStyle name="Normal 61 2 4 3" xfId="47120" xr:uid="{00000000-0005-0000-0000-00001DBD0000}"/>
    <cellStyle name="Normal 61 2 4 4" xfId="47121" xr:uid="{00000000-0005-0000-0000-00001EBD0000}"/>
    <cellStyle name="Normal 61 2 5" xfId="47122" xr:uid="{00000000-0005-0000-0000-00001FBD0000}"/>
    <cellStyle name="Normal 61 2 5 2" xfId="47123" xr:uid="{00000000-0005-0000-0000-000020BD0000}"/>
    <cellStyle name="Normal 61 2 5 3" xfId="47124" xr:uid="{00000000-0005-0000-0000-000021BD0000}"/>
    <cellStyle name="Normal 61 2 6" xfId="47125" xr:uid="{00000000-0005-0000-0000-000022BD0000}"/>
    <cellStyle name="Normal 61 2 7" xfId="47126" xr:uid="{00000000-0005-0000-0000-000023BD0000}"/>
    <cellStyle name="Normal 61 2 8" xfId="47127" xr:uid="{00000000-0005-0000-0000-000024BD0000}"/>
    <cellStyle name="Normal 61 2 9" xfId="47128" xr:uid="{00000000-0005-0000-0000-000025BD0000}"/>
    <cellStyle name="Normal 61 3" xfId="47129" xr:uid="{00000000-0005-0000-0000-000026BD0000}"/>
    <cellStyle name="Normal 61 3 2" xfId="47130" xr:uid="{00000000-0005-0000-0000-000027BD0000}"/>
    <cellStyle name="Normal 61 3 2 2" xfId="47131" xr:uid="{00000000-0005-0000-0000-000028BD0000}"/>
    <cellStyle name="Normal 61 3 2 2 2" xfId="47132" xr:uid="{00000000-0005-0000-0000-000029BD0000}"/>
    <cellStyle name="Normal 61 3 2 2 3" xfId="47133" xr:uid="{00000000-0005-0000-0000-00002ABD0000}"/>
    <cellStyle name="Normal 61 3 2 3" xfId="47134" xr:uid="{00000000-0005-0000-0000-00002BBD0000}"/>
    <cellStyle name="Normal 61 3 2 3 2" xfId="47135" xr:uid="{00000000-0005-0000-0000-00002CBD0000}"/>
    <cellStyle name="Normal 61 3 2 3 3" xfId="47136" xr:uid="{00000000-0005-0000-0000-00002DBD0000}"/>
    <cellStyle name="Normal 61 3 2 4" xfId="47137" xr:uid="{00000000-0005-0000-0000-00002EBD0000}"/>
    <cellStyle name="Normal 61 3 2 5" xfId="47138" xr:uid="{00000000-0005-0000-0000-00002FBD0000}"/>
    <cellStyle name="Normal 61 3 2 6" xfId="47139" xr:uid="{00000000-0005-0000-0000-000030BD0000}"/>
    <cellStyle name="Normal 61 3 2 7" xfId="47140" xr:uid="{00000000-0005-0000-0000-000031BD0000}"/>
    <cellStyle name="Normal 61 3 3" xfId="47141" xr:uid="{00000000-0005-0000-0000-000032BD0000}"/>
    <cellStyle name="Normal 61 3 3 2" xfId="47142" xr:uid="{00000000-0005-0000-0000-000033BD0000}"/>
    <cellStyle name="Normal 61 3 3 3" xfId="47143" xr:uid="{00000000-0005-0000-0000-000034BD0000}"/>
    <cellStyle name="Normal 61 3 3 4" xfId="47144" xr:uid="{00000000-0005-0000-0000-000035BD0000}"/>
    <cellStyle name="Normal 61 3 4" xfId="47145" xr:uid="{00000000-0005-0000-0000-000036BD0000}"/>
    <cellStyle name="Normal 61 3 4 2" xfId="47146" xr:uid="{00000000-0005-0000-0000-000037BD0000}"/>
    <cellStyle name="Normal 61 3 4 3" xfId="47147" xr:uid="{00000000-0005-0000-0000-000038BD0000}"/>
    <cellStyle name="Normal 61 3 5" xfId="47148" xr:uid="{00000000-0005-0000-0000-000039BD0000}"/>
    <cellStyle name="Normal 61 3 6" xfId="47149" xr:uid="{00000000-0005-0000-0000-00003ABD0000}"/>
    <cellStyle name="Normal 61 3 7" xfId="47150" xr:uid="{00000000-0005-0000-0000-00003BBD0000}"/>
    <cellStyle name="Normal 61 3 8" xfId="47151" xr:uid="{00000000-0005-0000-0000-00003CBD0000}"/>
    <cellStyle name="Normal 61 3 9" xfId="47152" xr:uid="{00000000-0005-0000-0000-00003DBD0000}"/>
    <cellStyle name="Normal 61 4" xfId="47153" xr:uid="{00000000-0005-0000-0000-00003EBD0000}"/>
    <cellStyle name="Normal 61 4 2" xfId="47154" xr:uid="{00000000-0005-0000-0000-00003FBD0000}"/>
    <cellStyle name="Normal 61 4 2 2" xfId="47155" xr:uid="{00000000-0005-0000-0000-000040BD0000}"/>
    <cellStyle name="Normal 61 4 2 3" xfId="47156" xr:uid="{00000000-0005-0000-0000-000041BD0000}"/>
    <cellStyle name="Normal 61 4 3" xfId="47157" xr:uid="{00000000-0005-0000-0000-000042BD0000}"/>
    <cellStyle name="Normal 61 4 3 2" xfId="47158" xr:uid="{00000000-0005-0000-0000-000043BD0000}"/>
    <cellStyle name="Normal 61 4 3 3" xfId="47159" xr:uid="{00000000-0005-0000-0000-000044BD0000}"/>
    <cellStyle name="Normal 61 4 4" xfId="47160" xr:uid="{00000000-0005-0000-0000-000045BD0000}"/>
    <cellStyle name="Normal 61 4 5" xfId="47161" xr:uid="{00000000-0005-0000-0000-000046BD0000}"/>
    <cellStyle name="Normal 61 4 6" xfId="47162" xr:uid="{00000000-0005-0000-0000-000047BD0000}"/>
    <cellStyle name="Normal 61 4 7" xfId="47163" xr:uid="{00000000-0005-0000-0000-000048BD0000}"/>
    <cellStyle name="Normal 61 5" xfId="47164" xr:uid="{00000000-0005-0000-0000-000049BD0000}"/>
    <cellStyle name="Normal 61 5 2" xfId="47165" xr:uid="{00000000-0005-0000-0000-00004ABD0000}"/>
    <cellStyle name="Normal 61 5 3" xfId="47166" xr:uid="{00000000-0005-0000-0000-00004BBD0000}"/>
    <cellStyle name="Normal 61 5 4" xfId="47167" xr:uid="{00000000-0005-0000-0000-00004CBD0000}"/>
    <cellStyle name="Normal 61 6" xfId="47168" xr:uid="{00000000-0005-0000-0000-00004DBD0000}"/>
    <cellStyle name="Normal 61 6 2" xfId="47169" xr:uid="{00000000-0005-0000-0000-00004EBD0000}"/>
    <cellStyle name="Normal 61 6 3" xfId="47170" xr:uid="{00000000-0005-0000-0000-00004FBD0000}"/>
    <cellStyle name="Normal 61 7" xfId="47171" xr:uid="{00000000-0005-0000-0000-000050BD0000}"/>
    <cellStyle name="Normal 61 8" xfId="47172" xr:uid="{00000000-0005-0000-0000-000051BD0000}"/>
    <cellStyle name="Normal 61 9" xfId="47173" xr:uid="{00000000-0005-0000-0000-000052BD0000}"/>
    <cellStyle name="Normal 61_Order Book" xfId="47174" xr:uid="{00000000-0005-0000-0000-000053BD0000}"/>
    <cellStyle name="Normal 610" xfId="47175" xr:uid="{00000000-0005-0000-0000-000054BD0000}"/>
    <cellStyle name="Normal 611" xfId="47176" xr:uid="{00000000-0005-0000-0000-000055BD0000}"/>
    <cellStyle name="Normal 612" xfId="47177" xr:uid="{00000000-0005-0000-0000-000056BD0000}"/>
    <cellStyle name="Normal 613" xfId="47178" xr:uid="{00000000-0005-0000-0000-000057BD0000}"/>
    <cellStyle name="Normal 614" xfId="47179" xr:uid="{00000000-0005-0000-0000-000058BD0000}"/>
    <cellStyle name="Normal 615" xfId="47180" xr:uid="{00000000-0005-0000-0000-000059BD0000}"/>
    <cellStyle name="Normal 616" xfId="47181" xr:uid="{00000000-0005-0000-0000-00005ABD0000}"/>
    <cellStyle name="Normal 617" xfId="47182" xr:uid="{00000000-0005-0000-0000-00005BBD0000}"/>
    <cellStyle name="Normal 618" xfId="47183" xr:uid="{00000000-0005-0000-0000-00005CBD0000}"/>
    <cellStyle name="Normal 619" xfId="47184" xr:uid="{00000000-0005-0000-0000-00005DBD0000}"/>
    <cellStyle name="Normal 62" xfId="3557" xr:uid="{00000000-0005-0000-0000-00005EBD0000}"/>
    <cellStyle name="Normal 62 10" xfId="47185" xr:uid="{00000000-0005-0000-0000-00005FBD0000}"/>
    <cellStyle name="Normal 62 11" xfId="47186" xr:uid="{00000000-0005-0000-0000-000060BD0000}"/>
    <cellStyle name="Normal 62 12" xfId="47187" xr:uid="{00000000-0005-0000-0000-000061BD0000}"/>
    <cellStyle name="Normal 62 13" xfId="47188" xr:uid="{00000000-0005-0000-0000-000062BD0000}"/>
    <cellStyle name="Normal 62 2" xfId="3558" xr:uid="{00000000-0005-0000-0000-000063BD0000}"/>
    <cellStyle name="Normal 62 2 10" xfId="47189" xr:uid="{00000000-0005-0000-0000-000064BD0000}"/>
    <cellStyle name="Normal 62 2 11" xfId="47190" xr:uid="{00000000-0005-0000-0000-000065BD0000}"/>
    <cellStyle name="Normal 62 2 12" xfId="47191" xr:uid="{00000000-0005-0000-0000-000066BD0000}"/>
    <cellStyle name="Normal 62 2 2" xfId="47192" xr:uid="{00000000-0005-0000-0000-000067BD0000}"/>
    <cellStyle name="Normal 62 2 2 2" xfId="47193" xr:uid="{00000000-0005-0000-0000-000068BD0000}"/>
    <cellStyle name="Normal 62 2 2 2 2" xfId="47194" xr:uid="{00000000-0005-0000-0000-000069BD0000}"/>
    <cellStyle name="Normal 62 2 2 2 2 2" xfId="47195" xr:uid="{00000000-0005-0000-0000-00006ABD0000}"/>
    <cellStyle name="Normal 62 2 2 2 2 3" xfId="47196" xr:uid="{00000000-0005-0000-0000-00006BBD0000}"/>
    <cellStyle name="Normal 62 2 2 2 3" xfId="47197" xr:uid="{00000000-0005-0000-0000-00006CBD0000}"/>
    <cellStyle name="Normal 62 2 2 2 3 2" xfId="47198" xr:uid="{00000000-0005-0000-0000-00006DBD0000}"/>
    <cellStyle name="Normal 62 2 2 2 3 3" xfId="47199" xr:uid="{00000000-0005-0000-0000-00006EBD0000}"/>
    <cellStyle name="Normal 62 2 2 2 4" xfId="47200" xr:uid="{00000000-0005-0000-0000-00006FBD0000}"/>
    <cellStyle name="Normal 62 2 2 2 5" xfId="47201" xr:uid="{00000000-0005-0000-0000-000070BD0000}"/>
    <cellStyle name="Normal 62 2 2 2 6" xfId="47202" xr:uid="{00000000-0005-0000-0000-000071BD0000}"/>
    <cellStyle name="Normal 62 2 2 3" xfId="47203" xr:uid="{00000000-0005-0000-0000-000072BD0000}"/>
    <cellStyle name="Normal 62 2 2 3 2" xfId="47204" xr:uid="{00000000-0005-0000-0000-000073BD0000}"/>
    <cellStyle name="Normal 62 2 2 3 3" xfId="47205" xr:uid="{00000000-0005-0000-0000-000074BD0000}"/>
    <cellStyle name="Normal 62 2 2 4" xfId="47206" xr:uid="{00000000-0005-0000-0000-000075BD0000}"/>
    <cellStyle name="Normal 62 2 2 4 2" xfId="47207" xr:uid="{00000000-0005-0000-0000-000076BD0000}"/>
    <cellStyle name="Normal 62 2 2 4 3" xfId="47208" xr:uid="{00000000-0005-0000-0000-000077BD0000}"/>
    <cellStyle name="Normal 62 2 2 5" xfId="47209" xr:uid="{00000000-0005-0000-0000-000078BD0000}"/>
    <cellStyle name="Normal 62 2 2 6" xfId="47210" xr:uid="{00000000-0005-0000-0000-000079BD0000}"/>
    <cellStyle name="Normal 62 2 2 7" xfId="47211" xr:uid="{00000000-0005-0000-0000-00007ABD0000}"/>
    <cellStyle name="Normal 62 2 2 8" xfId="47212" xr:uid="{00000000-0005-0000-0000-00007BBD0000}"/>
    <cellStyle name="Normal 62 2 3" xfId="47213" xr:uid="{00000000-0005-0000-0000-00007CBD0000}"/>
    <cellStyle name="Normal 62 2 3 2" xfId="47214" xr:uid="{00000000-0005-0000-0000-00007DBD0000}"/>
    <cellStyle name="Normal 62 2 3 2 2" xfId="47215" xr:uid="{00000000-0005-0000-0000-00007EBD0000}"/>
    <cellStyle name="Normal 62 2 3 2 3" xfId="47216" xr:uid="{00000000-0005-0000-0000-00007FBD0000}"/>
    <cellStyle name="Normal 62 2 3 3" xfId="47217" xr:uid="{00000000-0005-0000-0000-000080BD0000}"/>
    <cellStyle name="Normal 62 2 3 3 2" xfId="47218" xr:uid="{00000000-0005-0000-0000-000081BD0000}"/>
    <cellStyle name="Normal 62 2 3 3 3" xfId="47219" xr:uid="{00000000-0005-0000-0000-000082BD0000}"/>
    <cellStyle name="Normal 62 2 3 4" xfId="47220" xr:uid="{00000000-0005-0000-0000-000083BD0000}"/>
    <cellStyle name="Normal 62 2 3 5" xfId="47221" xr:uid="{00000000-0005-0000-0000-000084BD0000}"/>
    <cellStyle name="Normal 62 2 3 6" xfId="47222" xr:uid="{00000000-0005-0000-0000-000085BD0000}"/>
    <cellStyle name="Normal 62 2 4" xfId="47223" xr:uid="{00000000-0005-0000-0000-000086BD0000}"/>
    <cellStyle name="Normal 62 2 4 2" xfId="47224" xr:uid="{00000000-0005-0000-0000-000087BD0000}"/>
    <cellStyle name="Normal 62 2 4 3" xfId="47225" xr:uid="{00000000-0005-0000-0000-000088BD0000}"/>
    <cellStyle name="Normal 62 2 5" xfId="47226" xr:uid="{00000000-0005-0000-0000-000089BD0000}"/>
    <cellStyle name="Normal 62 2 5 2" xfId="47227" xr:uid="{00000000-0005-0000-0000-00008ABD0000}"/>
    <cellStyle name="Normal 62 2 5 3" xfId="47228" xr:uid="{00000000-0005-0000-0000-00008BBD0000}"/>
    <cellStyle name="Normal 62 2 6" xfId="47229" xr:uid="{00000000-0005-0000-0000-00008CBD0000}"/>
    <cellStyle name="Normal 62 2 7" xfId="47230" xr:uid="{00000000-0005-0000-0000-00008DBD0000}"/>
    <cellStyle name="Normal 62 2 8" xfId="47231" xr:uid="{00000000-0005-0000-0000-00008EBD0000}"/>
    <cellStyle name="Normal 62 2 9" xfId="47232" xr:uid="{00000000-0005-0000-0000-00008FBD0000}"/>
    <cellStyle name="Normal 62 3" xfId="47233" xr:uid="{00000000-0005-0000-0000-000090BD0000}"/>
    <cellStyle name="Normal 62 3 2" xfId="47234" xr:uid="{00000000-0005-0000-0000-000091BD0000}"/>
    <cellStyle name="Normal 62 3 2 2" xfId="47235" xr:uid="{00000000-0005-0000-0000-000092BD0000}"/>
    <cellStyle name="Normal 62 3 2 2 2" xfId="47236" xr:uid="{00000000-0005-0000-0000-000093BD0000}"/>
    <cellStyle name="Normal 62 3 2 2 3" xfId="47237" xr:uid="{00000000-0005-0000-0000-000094BD0000}"/>
    <cellStyle name="Normal 62 3 2 3" xfId="47238" xr:uid="{00000000-0005-0000-0000-000095BD0000}"/>
    <cellStyle name="Normal 62 3 2 3 2" xfId="47239" xr:uid="{00000000-0005-0000-0000-000096BD0000}"/>
    <cellStyle name="Normal 62 3 2 3 3" xfId="47240" xr:uid="{00000000-0005-0000-0000-000097BD0000}"/>
    <cellStyle name="Normal 62 3 2 4" xfId="47241" xr:uid="{00000000-0005-0000-0000-000098BD0000}"/>
    <cellStyle name="Normal 62 3 2 5" xfId="47242" xr:uid="{00000000-0005-0000-0000-000099BD0000}"/>
    <cellStyle name="Normal 62 3 2 6" xfId="47243" xr:uid="{00000000-0005-0000-0000-00009ABD0000}"/>
    <cellStyle name="Normal 62 3 3" xfId="47244" xr:uid="{00000000-0005-0000-0000-00009BBD0000}"/>
    <cellStyle name="Normal 62 3 3 2" xfId="47245" xr:uid="{00000000-0005-0000-0000-00009CBD0000}"/>
    <cellStyle name="Normal 62 3 3 3" xfId="47246" xr:uid="{00000000-0005-0000-0000-00009DBD0000}"/>
    <cellStyle name="Normal 62 3 4" xfId="47247" xr:uid="{00000000-0005-0000-0000-00009EBD0000}"/>
    <cellStyle name="Normal 62 3 4 2" xfId="47248" xr:uid="{00000000-0005-0000-0000-00009FBD0000}"/>
    <cellStyle name="Normal 62 3 4 3" xfId="47249" xr:uid="{00000000-0005-0000-0000-0000A0BD0000}"/>
    <cellStyle name="Normal 62 3 5" xfId="47250" xr:uid="{00000000-0005-0000-0000-0000A1BD0000}"/>
    <cellStyle name="Normal 62 3 6" xfId="47251" xr:uid="{00000000-0005-0000-0000-0000A2BD0000}"/>
    <cellStyle name="Normal 62 3 7" xfId="47252" xr:uid="{00000000-0005-0000-0000-0000A3BD0000}"/>
    <cellStyle name="Normal 62 3 8" xfId="47253" xr:uid="{00000000-0005-0000-0000-0000A4BD0000}"/>
    <cellStyle name="Normal 62 4" xfId="47254" xr:uid="{00000000-0005-0000-0000-0000A5BD0000}"/>
    <cellStyle name="Normal 62 4 2" xfId="47255" xr:uid="{00000000-0005-0000-0000-0000A6BD0000}"/>
    <cellStyle name="Normal 62 4 2 2" xfId="47256" xr:uid="{00000000-0005-0000-0000-0000A7BD0000}"/>
    <cellStyle name="Normal 62 4 2 3" xfId="47257" xr:uid="{00000000-0005-0000-0000-0000A8BD0000}"/>
    <cellStyle name="Normal 62 4 3" xfId="47258" xr:uid="{00000000-0005-0000-0000-0000A9BD0000}"/>
    <cellStyle name="Normal 62 4 3 2" xfId="47259" xr:uid="{00000000-0005-0000-0000-0000AABD0000}"/>
    <cellStyle name="Normal 62 4 3 3" xfId="47260" xr:uid="{00000000-0005-0000-0000-0000ABBD0000}"/>
    <cellStyle name="Normal 62 4 4" xfId="47261" xr:uid="{00000000-0005-0000-0000-0000ACBD0000}"/>
    <cellStyle name="Normal 62 4 5" xfId="47262" xr:uid="{00000000-0005-0000-0000-0000ADBD0000}"/>
    <cellStyle name="Normal 62 4 6" xfId="47263" xr:uid="{00000000-0005-0000-0000-0000AEBD0000}"/>
    <cellStyle name="Normal 62 5" xfId="47264" xr:uid="{00000000-0005-0000-0000-0000AFBD0000}"/>
    <cellStyle name="Normal 62 5 2" xfId="47265" xr:uid="{00000000-0005-0000-0000-0000B0BD0000}"/>
    <cellStyle name="Normal 62 5 3" xfId="47266" xr:uid="{00000000-0005-0000-0000-0000B1BD0000}"/>
    <cellStyle name="Normal 62 6" xfId="47267" xr:uid="{00000000-0005-0000-0000-0000B2BD0000}"/>
    <cellStyle name="Normal 62 6 2" xfId="47268" xr:uid="{00000000-0005-0000-0000-0000B3BD0000}"/>
    <cellStyle name="Normal 62 6 3" xfId="47269" xr:uid="{00000000-0005-0000-0000-0000B4BD0000}"/>
    <cellStyle name="Normal 62 7" xfId="47270" xr:uid="{00000000-0005-0000-0000-0000B5BD0000}"/>
    <cellStyle name="Normal 62 8" xfId="47271" xr:uid="{00000000-0005-0000-0000-0000B6BD0000}"/>
    <cellStyle name="Normal 62 9" xfId="47272" xr:uid="{00000000-0005-0000-0000-0000B7BD0000}"/>
    <cellStyle name="Normal 620" xfId="47273" xr:uid="{00000000-0005-0000-0000-0000B8BD0000}"/>
    <cellStyle name="Normal 621" xfId="47274" xr:uid="{00000000-0005-0000-0000-0000B9BD0000}"/>
    <cellStyle name="Normal 622" xfId="47275" xr:uid="{00000000-0005-0000-0000-0000BABD0000}"/>
    <cellStyle name="Normal 623" xfId="47276" xr:uid="{00000000-0005-0000-0000-0000BBBD0000}"/>
    <cellStyle name="Normal 624" xfId="47277" xr:uid="{00000000-0005-0000-0000-0000BCBD0000}"/>
    <cellStyle name="Normal 625" xfId="47278" xr:uid="{00000000-0005-0000-0000-0000BDBD0000}"/>
    <cellStyle name="Normal 626" xfId="47279" xr:uid="{00000000-0005-0000-0000-0000BEBD0000}"/>
    <cellStyle name="Normal 627" xfId="47280" xr:uid="{00000000-0005-0000-0000-0000BFBD0000}"/>
    <cellStyle name="Normal 628" xfId="47281" xr:uid="{00000000-0005-0000-0000-0000C0BD0000}"/>
    <cellStyle name="Normal 629" xfId="47282" xr:uid="{00000000-0005-0000-0000-0000C1BD0000}"/>
    <cellStyle name="Normal 63" xfId="3559" xr:uid="{00000000-0005-0000-0000-0000C2BD0000}"/>
    <cellStyle name="Normal 63 10" xfId="47283" xr:uid="{00000000-0005-0000-0000-0000C3BD0000}"/>
    <cellStyle name="Normal 63 11" xfId="47284" xr:uid="{00000000-0005-0000-0000-0000C4BD0000}"/>
    <cellStyle name="Normal 63 12" xfId="47285" xr:uid="{00000000-0005-0000-0000-0000C5BD0000}"/>
    <cellStyle name="Normal 63 2" xfId="47286" xr:uid="{00000000-0005-0000-0000-0000C6BD0000}"/>
    <cellStyle name="Normal 63 2 10" xfId="47287" xr:uid="{00000000-0005-0000-0000-0000C7BD0000}"/>
    <cellStyle name="Normal 63 2 11" xfId="47288" xr:uid="{00000000-0005-0000-0000-0000C8BD0000}"/>
    <cellStyle name="Normal 63 2 2" xfId="47289" xr:uid="{00000000-0005-0000-0000-0000C9BD0000}"/>
    <cellStyle name="Normal 63 2 2 2" xfId="47290" xr:uid="{00000000-0005-0000-0000-0000CABD0000}"/>
    <cellStyle name="Normal 63 2 2 2 2" xfId="47291" xr:uid="{00000000-0005-0000-0000-0000CBBD0000}"/>
    <cellStyle name="Normal 63 2 2 2 2 2" xfId="47292" xr:uid="{00000000-0005-0000-0000-0000CCBD0000}"/>
    <cellStyle name="Normal 63 2 2 2 2 3" xfId="47293" xr:uid="{00000000-0005-0000-0000-0000CDBD0000}"/>
    <cellStyle name="Normal 63 2 2 2 3" xfId="47294" xr:uid="{00000000-0005-0000-0000-0000CEBD0000}"/>
    <cellStyle name="Normal 63 2 2 2 3 2" xfId="47295" xr:uid="{00000000-0005-0000-0000-0000CFBD0000}"/>
    <cellStyle name="Normal 63 2 2 2 3 3" xfId="47296" xr:uid="{00000000-0005-0000-0000-0000D0BD0000}"/>
    <cellStyle name="Normal 63 2 2 2 4" xfId="47297" xr:uid="{00000000-0005-0000-0000-0000D1BD0000}"/>
    <cellStyle name="Normal 63 2 2 2 5" xfId="47298" xr:uid="{00000000-0005-0000-0000-0000D2BD0000}"/>
    <cellStyle name="Normal 63 2 2 2 6" xfId="47299" xr:uid="{00000000-0005-0000-0000-0000D3BD0000}"/>
    <cellStyle name="Normal 63 2 2 3" xfId="47300" xr:uid="{00000000-0005-0000-0000-0000D4BD0000}"/>
    <cellStyle name="Normal 63 2 2 3 2" xfId="47301" xr:uid="{00000000-0005-0000-0000-0000D5BD0000}"/>
    <cellStyle name="Normal 63 2 2 3 3" xfId="47302" xr:uid="{00000000-0005-0000-0000-0000D6BD0000}"/>
    <cellStyle name="Normal 63 2 2 4" xfId="47303" xr:uid="{00000000-0005-0000-0000-0000D7BD0000}"/>
    <cellStyle name="Normal 63 2 2 4 2" xfId="47304" xr:uid="{00000000-0005-0000-0000-0000D8BD0000}"/>
    <cellStyle name="Normal 63 2 2 4 3" xfId="47305" xr:uid="{00000000-0005-0000-0000-0000D9BD0000}"/>
    <cellStyle name="Normal 63 2 2 5" xfId="47306" xr:uid="{00000000-0005-0000-0000-0000DABD0000}"/>
    <cellStyle name="Normal 63 2 2 6" xfId="47307" xr:uid="{00000000-0005-0000-0000-0000DBBD0000}"/>
    <cellStyle name="Normal 63 2 2 7" xfId="47308" xr:uid="{00000000-0005-0000-0000-0000DCBD0000}"/>
    <cellStyle name="Normal 63 2 2 8" xfId="47309" xr:uid="{00000000-0005-0000-0000-0000DDBD0000}"/>
    <cellStyle name="Normal 63 2 2 9" xfId="47310" xr:uid="{00000000-0005-0000-0000-0000DEBD0000}"/>
    <cellStyle name="Normal 63 2 3" xfId="47311" xr:uid="{00000000-0005-0000-0000-0000DFBD0000}"/>
    <cellStyle name="Normal 63 2 3 2" xfId="47312" xr:uid="{00000000-0005-0000-0000-0000E0BD0000}"/>
    <cellStyle name="Normal 63 2 3 2 2" xfId="47313" xr:uid="{00000000-0005-0000-0000-0000E1BD0000}"/>
    <cellStyle name="Normal 63 2 3 2 3" xfId="47314" xr:uid="{00000000-0005-0000-0000-0000E2BD0000}"/>
    <cellStyle name="Normal 63 2 3 3" xfId="47315" xr:uid="{00000000-0005-0000-0000-0000E3BD0000}"/>
    <cellStyle name="Normal 63 2 3 3 2" xfId="47316" xr:uid="{00000000-0005-0000-0000-0000E4BD0000}"/>
    <cellStyle name="Normal 63 2 3 3 3" xfId="47317" xr:uid="{00000000-0005-0000-0000-0000E5BD0000}"/>
    <cellStyle name="Normal 63 2 3 4" xfId="47318" xr:uid="{00000000-0005-0000-0000-0000E6BD0000}"/>
    <cellStyle name="Normal 63 2 3 5" xfId="47319" xr:uid="{00000000-0005-0000-0000-0000E7BD0000}"/>
    <cellStyle name="Normal 63 2 3 6" xfId="47320" xr:uid="{00000000-0005-0000-0000-0000E8BD0000}"/>
    <cellStyle name="Normal 63 2 4" xfId="47321" xr:uid="{00000000-0005-0000-0000-0000E9BD0000}"/>
    <cellStyle name="Normal 63 2 4 2" xfId="47322" xr:uid="{00000000-0005-0000-0000-0000EABD0000}"/>
    <cellStyle name="Normal 63 2 4 3" xfId="47323" xr:uid="{00000000-0005-0000-0000-0000EBBD0000}"/>
    <cellStyle name="Normal 63 2 5" xfId="47324" xr:uid="{00000000-0005-0000-0000-0000ECBD0000}"/>
    <cellStyle name="Normal 63 2 5 2" xfId="47325" xr:uid="{00000000-0005-0000-0000-0000EDBD0000}"/>
    <cellStyle name="Normal 63 2 5 3" xfId="47326" xr:uid="{00000000-0005-0000-0000-0000EEBD0000}"/>
    <cellStyle name="Normal 63 2 6" xfId="47327" xr:uid="{00000000-0005-0000-0000-0000EFBD0000}"/>
    <cellStyle name="Normal 63 2 7" xfId="47328" xr:uid="{00000000-0005-0000-0000-0000F0BD0000}"/>
    <cellStyle name="Normal 63 2 8" xfId="47329" xr:uid="{00000000-0005-0000-0000-0000F1BD0000}"/>
    <cellStyle name="Normal 63 2 9" xfId="47330" xr:uid="{00000000-0005-0000-0000-0000F2BD0000}"/>
    <cellStyle name="Normal 63 3" xfId="47331" xr:uid="{00000000-0005-0000-0000-0000F3BD0000}"/>
    <cellStyle name="Normal 63 3 2" xfId="47332" xr:uid="{00000000-0005-0000-0000-0000F4BD0000}"/>
    <cellStyle name="Normal 63 3 2 2" xfId="47333" xr:uid="{00000000-0005-0000-0000-0000F5BD0000}"/>
    <cellStyle name="Normal 63 3 2 2 2" xfId="47334" xr:uid="{00000000-0005-0000-0000-0000F6BD0000}"/>
    <cellStyle name="Normal 63 3 2 2 3" xfId="47335" xr:uid="{00000000-0005-0000-0000-0000F7BD0000}"/>
    <cellStyle name="Normal 63 3 2 3" xfId="47336" xr:uid="{00000000-0005-0000-0000-0000F8BD0000}"/>
    <cellStyle name="Normal 63 3 2 3 2" xfId="47337" xr:uid="{00000000-0005-0000-0000-0000F9BD0000}"/>
    <cellStyle name="Normal 63 3 2 3 3" xfId="47338" xr:uid="{00000000-0005-0000-0000-0000FABD0000}"/>
    <cellStyle name="Normal 63 3 2 4" xfId="47339" xr:uid="{00000000-0005-0000-0000-0000FBBD0000}"/>
    <cellStyle name="Normal 63 3 2 5" xfId="47340" xr:uid="{00000000-0005-0000-0000-0000FCBD0000}"/>
    <cellStyle name="Normal 63 3 2 6" xfId="47341" xr:uid="{00000000-0005-0000-0000-0000FDBD0000}"/>
    <cellStyle name="Normal 63 3 3" xfId="47342" xr:uid="{00000000-0005-0000-0000-0000FEBD0000}"/>
    <cellStyle name="Normal 63 3 3 2" xfId="47343" xr:uid="{00000000-0005-0000-0000-0000FFBD0000}"/>
    <cellStyle name="Normal 63 3 3 3" xfId="47344" xr:uid="{00000000-0005-0000-0000-000000BE0000}"/>
    <cellStyle name="Normal 63 3 4" xfId="47345" xr:uid="{00000000-0005-0000-0000-000001BE0000}"/>
    <cellStyle name="Normal 63 3 4 2" xfId="47346" xr:uid="{00000000-0005-0000-0000-000002BE0000}"/>
    <cellStyle name="Normal 63 3 4 3" xfId="47347" xr:uid="{00000000-0005-0000-0000-000003BE0000}"/>
    <cellStyle name="Normal 63 3 5" xfId="47348" xr:uid="{00000000-0005-0000-0000-000004BE0000}"/>
    <cellStyle name="Normal 63 3 6" xfId="47349" xr:uid="{00000000-0005-0000-0000-000005BE0000}"/>
    <cellStyle name="Normal 63 3 7" xfId="47350" xr:uid="{00000000-0005-0000-0000-000006BE0000}"/>
    <cellStyle name="Normal 63 3 8" xfId="47351" xr:uid="{00000000-0005-0000-0000-000007BE0000}"/>
    <cellStyle name="Normal 63 4" xfId="47352" xr:uid="{00000000-0005-0000-0000-000008BE0000}"/>
    <cellStyle name="Normal 63 4 2" xfId="47353" xr:uid="{00000000-0005-0000-0000-000009BE0000}"/>
    <cellStyle name="Normal 63 4 2 2" xfId="47354" xr:uid="{00000000-0005-0000-0000-00000ABE0000}"/>
    <cellStyle name="Normal 63 4 2 3" xfId="47355" xr:uid="{00000000-0005-0000-0000-00000BBE0000}"/>
    <cellStyle name="Normal 63 4 3" xfId="47356" xr:uid="{00000000-0005-0000-0000-00000CBE0000}"/>
    <cellStyle name="Normal 63 4 3 2" xfId="47357" xr:uid="{00000000-0005-0000-0000-00000DBE0000}"/>
    <cellStyle name="Normal 63 4 3 3" xfId="47358" xr:uid="{00000000-0005-0000-0000-00000EBE0000}"/>
    <cellStyle name="Normal 63 4 4" xfId="47359" xr:uid="{00000000-0005-0000-0000-00000FBE0000}"/>
    <cellStyle name="Normal 63 4 5" xfId="47360" xr:uid="{00000000-0005-0000-0000-000010BE0000}"/>
    <cellStyle name="Normal 63 4 6" xfId="47361" xr:uid="{00000000-0005-0000-0000-000011BE0000}"/>
    <cellStyle name="Normal 63 5" xfId="47362" xr:uid="{00000000-0005-0000-0000-000012BE0000}"/>
    <cellStyle name="Normal 63 5 2" xfId="47363" xr:uid="{00000000-0005-0000-0000-000013BE0000}"/>
    <cellStyle name="Normal 63 5 3" xfId="47364" xr:uid="{00000000-0005-0000-0000-000014BE0000}"/>
    <cellStyle name="Normal 63 6" xfId="47365" xr:uid="{00000000-0005-0000-0000-000015BE0000}"/>
    <cellStyle name="Normal 63 6 2" xfId="47366" xr:uid="{00000000-0005-0000-0000-000016BE0000}"/>
    <cellStyle name="Normal 63 6 3" xfId="47367" xr:uid="{00000000-0005-0000-0000-000017BE0000}"/>
    <cellStyle name="Normal 63 7" xfId="47368" xr:uid="{00000000-0005-0000-0000-000018BE0000}"/>
    <cellStyle name="Normal 63 8" xfId="47369" xr:uid="{00000000-0005-0000-0000-000019BE0000}"/>
    <cellStyle name="Normal 63 9" xfId="47370" xr:uid="{00000000-0005-0000-0000-00001ABE0000}"/>
    <cellStyle name="Normal 630" xfId="47371" xr:uid="{00000000-0005-0000-0000-00001BBE0000}"/>
    <cellStyle name="Normal 631" xfId="47372" xr:uid="{00000000-0005-0000-0000-00001CBE0000}"/>
    <cellStyle name="Normal 632" xfId="47373" xr:uid="{00000000-0005-0000-0000-00001DBE0000}"/>
    <cellStyle name="Normal 633" xfId="47374" xr:uid="{00000000-0005-0000-0000-00001EBE0000}"/>
    <cellStyle name="Normal 634" xfId="47375" xr:uid="{00000000-0005-0000-0000-00001FBE0000}"/>
    <cellStyle name="Normal 635" xfId="47376" xr:uid="{00000000-0005-0000-0000-000020BE0000}"/>
    <cellStyle name="Normal 636" xfId="47377" xr:uid="{00000000-0005-0000-0000-000021BE0000}"/>
    <cellStyle name="Normal 637" xfId="47378" xr:uid="{00000000-0005-0000-0000-000022BE0000}"/>
    <cellStyle name="Normal 638" xfId="47379" xr:uid="{00000000-0005-0000-0000-000023BE0000}"/>
    <cellStyle name="Normal 639" xfId="47380" xr:uid="{00000000-0005-0000-0000-000024BE0000}"/>
    <cellStyle name="Normal 64" xfId="3560" xr:uid="{00000000-0005-0000-0000-000025BE0000}"/>
    <cellStyle name="Normal 64 10" xfId="47381" xr:uid="{00000000-0005-0000-0000-000026BE0000}"/>
    <cellStyle name="Normal 64 11" xfId="47382" xr:uid="{00000000-0005-0000-0000-000027BE0000}"/>
    <cellStyle name="Normal 64 12" xfId="47383" xr:uid="{00000000-0005-0000-0000-000028BE0000}"/>
    <cellStyle name="Normal 64 13" xfId="47384" xr:uid="{00000000-0005-0000-0000-000029BE0000}"/>
    <cellStyle name="Normal 64 2" xfId="47385" xr:uid="{00000000-0005-0000-0000-00002ABE0000}"/>
    <cellStyle name="Normal 64 2 10" xfId="47386" xr:uid="{00000000-0005-0000-0000-00002BBE0000}"/>
    <cellStyle name="Normal 64 2 11" xfId="47387" xr:uid="{00000000-0005-0000-0000-00002CBE0000}"/>
    <cellStyle name="Normal 64 2 2" xfId="47388" xr:uid="{00000000-0005-0000-0000-00002DBE0000}"/>
    <cellStyle name="Normal 64 2 2 2" xfId="47389" xr:uid="{00000000-0005-0000-0000-00002EBE0000}"/>
    <cellStyle name="Normal 64 2 2 2 2" xfId="47390" xr:uid="{00000000-0005-0000-0000-00002FBE0000}"/>
    <cellStyle name="Normal 64 2 2 2 2 2" xfId="47391" xr:uid="{00000000-0005-0000-0000-000030BE0000}"/>
    <cellStyle name="Normal 64 2 2 2 2 3" xfId="47392" xr:uid="{00000000-0005-0000-0000-000031BE0000}"/>
    <cellStyle name="Normal 64 2 2 2 3" xfId="47393" xr:uid="{00000000-0005-0000-0000-000032BE0000}"/>
    <cellStyle name="Normal 64 2 2 2 3 2" xfId="47394" xr:uid="{00000000-0005-0000-0000-000033BE0000}"/>
    <cellStyle name="Normal 64 2 2 2 3 3" xfId="47395" xr:uid="{00000000-0005-0000-0000-000034BE0000}"/>
    <cellStyle name="Normal 64 2 2 2 4" xfId="47396" xr:uid="{00000000-0005-0000-0000-000035BE0000}"/>
    <cellStyle name="Normal 64 2 2 2 5" xfId="47397" xr:uid="{00000000-0005-0000-0000-000036BE0000}"/>
    <cellStyle name="Normal 64 2 2 2 6" xfId="47398" xr:uid="{00000000-0005-0000-0000-000037BE0000}"/>
    <cellStyle name="Normal 64 2 2 2 7" xfId="47399" xr:uid="{00000000-0005-0000-0000-000038BE0000}"/>
    <cellStyle name="Normal 64 2 2 3" xfId="47400" xr:uid="{00000000-0005-0000-0000-000039BE0000}"/>
    <cellStyle name="Normal 64 2 2 3 2" xfId="47401" xr:uid="{00000000-0005-0000-0000-00003ABE0000}"/>
    <cellStyle name="Normal 64 2 2 3 3" xfId="47402" xr:uid="{00000000-0005-0000-0000-00003BBE0000}"/>
    <cellStyle name="Normal 64 2 2 3 4" xfId="47403" xr:uid="{00000000-0005-0000-0000-00003CBE0000}"/>
    <cellStyle name="Normal 64 2 2 4" xfId="47404" xr:uid="{00000000-0005-0000-0000-00003DBE0000}"/>
    <cellStyle name="Normal 64 2 2 4 2" xfId="47405" xr:uid="{00000000-0005-0000-0000-00003EBE0000}"/>
    <cellStyle name="Normal 64 2 2 4 3" xfId="47406" xr:uid="{00000000-0005-0000-0000-00003FBE0000}"/>
    <cellStyle name="Normal 64 2 2 5" xfId="47407" xr:uid="{00000000-0005-0000-0000-000040BE0000}"/>
    <cellStyle name="Normal 64 2 2 6" xfId="47408" xr:uid="{00000000-0005-0000-0000-000041BE0000}"/>
    <cellStyle name="Normal 64 2 2 7" xfId="47409" xr:uid="{00000000-0005-0000-0000-000042BE0000}"/>
    <cellStyle name="Normal 64 2 2 8" xfId="47410" xr:uid="{00000000-0005-0000-0000-000043BE0000}"/>
    <cellStyle name="Normal 64 2 2 9" xfId="47411" xr:uid="{00000000-0005-0000-0000-000044BE0000}"/>
    <cellStyle name="Normal 64 2 3" xfId="47412" xr:uid="{00000000-0005-0000-0000-000045BE0000}"/>
    <cellStyle name="Normal 64 2 3 2" xfId="47413" xr:uid="{00000000-0005-0000-0000-000046BE0000}"/>
    <cellStyle name="Normal 64 2 3 2 2" xfId="47414" xr:uid="{00000000-0005-0000-0000-000047BE0000}"/>
    <cellStyle name="Normal 64 2 3 2 3" xfId="47415" xr:uid="{00000000-0005-0000-0000-000048BE0000}"/>
    <cellStyle name="Normal 64 2 3 3" xfId="47416" xr:uid="{00000000-0005-0000-0000-000049BE0000}"/>
    <cellStyle name="Normal 64 2 3 3 2" xfId="47417" xr:uid="{00000000-0005-0000-0000-00004ABE0000}"/>
    <cellStyle name="Normal 64 2 3 3 3" xfId="47418" xr:uid="{00000000-0005-0000-0000-00004BBE0000}"/>
    <cellStyle name="Normal 64 2 3 4" xfId="47419" xr:uid="{00000000-0005-0000-0000-00004CBE0000}"/>
    <cellStyle name="Normal 64 2 3 5" xfId="47420" xr:uid="{00000000-0005-0000-0000-00004DBE0000}"/>
    <cellStyle name="Normal 64 2 3 6" xfId="47421" xr:uid="{00000000-0005-0000-0000-00004EBE0000}"/>
    <cellStyle name="Normal 64 2 3 7" xfId="47422" xr:uid="{00000000-0005-0000-0000-00004FBE0000}"/>
    <cellStyle name="Normal 64 2 4" xfId="47423" xr:uid="{00000000-0005-0000-0000-000050BE0000}"/>
    <cellStyle name="Normal 64 2 4 2" xfId="47424" xr:uid="{00000000-0005-0000-0000-000051BE0000}"/>
    <cellStyle name="Normal 64 2 4 3" xfId="47425" xr:uid="{00000000-0005-0000-0000-000052BE0000}"/>
    <cellStyle name="Normal 64 2 4 4" xfId="47426" xr:uid="{00000000-0005-0000-0000-000053BE0000}"/>
    <cellStyle name="Normal 64 2 5" xfId="47427" xr:uid="{00000000-0005-0000-0000-000054BE0000}"/>
    <cellStyle name="Normal 64 2 5 2" xfId="47428" xr:uid="{00000000-0005-0000-0000-000055BE0000}"/>
    <cellStyle name="Normal 64 2 5 3" xfId="47429" xr:uid="{00000000-0005-0000-0000-000056BE0000}"/>
    <cellStyle name="Normal 64 2 6" xfId="47430" xr:uid="{00000000-0005-0000-0000-000057BE0000}"/>
    <cellStyle name="Normal 64 2 7" xfId="47431" xr:uid="{00000000-0005-0000-0000-000058BE0000}"/>
    <cellStyle name="Normal 64 2 8" xfId="47432" xr:uid="{00000000-0005-0000-0000-000059BE0000}"/>
    <cellStyle name="Normal 64 2 9" xfId="47433" xr:uid="{00000000-0005-0000-0000-00005ABE0000}"/>
    <cellStyle name="Normal 64 3" xfId="47434" xr:uid="{00000000-0005-0000-0000-00005BBE0000}"/>
    <cellStyle name="Normal 64 3 2" xfId="47435" xr:uid="{00000000-0005-0000-0000-00005CBE0000}"/>
    <cellStyle name="Normal 64 3 2 2" xfId="47436" xr:uid="{00000000-0005-0000-0000-00005DBE0000}"/>
    <cellStyle name="Normal 64 3 2 2 2" xfId="47437" xr:uid="{00000000-0005-0000-0000-00005EBE0000}"/>
    <cellStyle name="Normal 64 3 2 2 3" xfId="47438" xr:uid="{00000000-0005-0000-0000-00005FBE0000}"/>
    <cellStyle name="Normal 64 3 2 3" xfId="47439" xr:uid="{00000000-0005-0000-0000-000060BE0000}"/>
    <cellStyle name="Normal 64 3 2 3 2" xfId="47440" xr:uid="{00000000-0005-0000-0000-000061BE0000}"/>
    <cellStyle name="Normal 64 3 2 3 3" xfId="47441" xr:uid="{00000000-0005-0000-0000-000062BE0000}"/>
    <cellStyle name="Normal 64 3 2 4" xfId="47442" xr:uid="{00000000-0005-0000-0000-000063BE0000}"/>
    <cellStyle name="Normal 64 3 2 5" xfId="47443" xr:uid="{00000000-0005-0000-0000-000064BE0000}"/>
    <cellStyle name="Normal 64 3 2 6" xfId="47444" xr:uid="{00000000-0005-0000-0000-000065BE0000}"/>
    <cellStyle name="Normal 64 3 2 7" xfId="47445" xr:uid="{00000000-0005-0000-0000-000066BE0000}"/>
    <cellStyle name="Normal 64 3 3" xfId="47446" xr:uid="{00000000-0005-0000-0000-000067BE0000}"/>
    <cellStyle name="Normal 64 3 3 2" xfId="47447" xr:uid="{00000000-0005-0000-0000-000068BE0000}"/>
    <cellStyle name="Normal 64 3 3 3" xfId="47448" xr:uid="{00000000-0005-0000-0000-000069BE0000}"/>
    <cellStyle name="Normal 64 3 3 4" xfId="47449" xr:uid="{00000000-0005-0000-0000-00006ABE0000}"/>
    <cellStyle name="Normal 64 3 4" xfId="47450" xr:uid="{00000000-0005-0000-0000-00006BBE0000}"/>
    <cellStyle name="Normal 64 3 4 2" xfId="47451" xr:uid="{00000000-0005-0000-0000-00006CBE0000}"/>
    <cellStyle name="Normal 64 3 4 3" xfId="47452" xr:uid="{00000000-0005-0000-0000-00006DBE0000}"/>
    <cellStyle name="Normal 64 3 5" xfId="47453" xr:uid="{00000000-0005-0000-0000-00006EBE0000}"/>
    <cellStyle name="Normal 64 3 6" xfId="47454" xr:uid="{00000000-0005-0000-0000-00006FBE0000}"/>
    <cellStyle name="Normal 64 3 7" xfId="47455" xr:uid="{00000000-0005-0000-0000-000070BE0000}"/>
    <cellStyle name="Normal 64 3 8" xfId="47456" xr:uid="{00000000-0005-0000-0000-000071BE0000}"/>
    <cellStyle name="Normal 64 3 9" xfId="47457" xr:uid="{00000000-0005-0000-0000-000072BE0000}"/>
    <cellStyle name="Normal 64 4" xfId="47458" xr:uid="{00000000-0005-0000-0000-000073BE0000}"/>
    <cellStyle name="Normal 64 4 2" xfId="47459" xr:uid="{00000000-0005-0000-0000-000074BE0000}"/>
    <cellStyle name="Normal 64 4 2 2" xfId="47460" xr:uid="{00000000-0005-0000-0000-000075BE0000}"/>
    <cellStyle name="Normal 64 4 2 3" xfId="47461" xr:uid="{00000000-0005-0000-0000-000076BE0000}"/>
    <cellStyle name="Normal 64 4 3" xfId="47462" xr:uid="{00000000-0005-0000-0000-000077BE0000}"/>
    <cellStyle name="Normal 64 4 3 2" xfId="47463" xr:uid="{00000000-0005-0000-0000-000078BE0000}"/>
    <cellStyle name="Normal 64 4 3 3" xfId="47464" xr:uid="{00000000-0005-0000-0000-000079BE0000}"/>
    <cellStyle name="Normal 64 4 4" xfId="47465" xr:uid="{00000000-0005-0000-0000-00007ABE0000}"/>
    <cellStyle name="Normal 64 4 5" xfId="47466" xr:uid="{00000000-0005-0000-0000-00007BBE0000}"/>
    <cellStyle name="Normal 64 4 6" xfId="47467" xr:uid="{00000000-0005-0000-0000-00007CBE0000}"/>
    <cellStyle name="Normal 64 4 7" xfId="47468" xr:uid="{00000000-0005-0000-0000-00007DBE0000}"/>
    <cellStyle name="Normal 64 5" xfId="47469" xr:uid="{00000000-0005-0000-0000-00007EBE0000}"/>
    <cellStyle name="Normal 64 5 2" xfId="47470" xr:uid="{00000000-0005-0000-0000-00007FBE0000}"/>
    <cellStyle name="Normal 64 5 3" xfId="47471" xr:uid="{00000000-0005-0000-0000-000080BE0000}"/>
    <cellStyle name="Normal 64 5 4" xfId="47472" xr:uid="{00000000-0005-0000-0000-000081BE0000}"/>
    <cellStyle name="Normal 64 6" xfId="47473" xr:uid="{00000000-0005-0000-0000-000082BE0000}"/>
    <cellStyle name="Normal 64 6 2" xfId="47474" xr:uid="{00000000-0005-0000-0000-000083BE0000}"/>
    <cellStyle name="Normal 64 6 3" xfId="47475" xr:uid="{00000000-0005-0000-0000-000084BE0000}"/>
    <cellStyle name="Normal 64 7" xfId="47476" xr:uid="{00000000-0005-0000-0000-000085BE0000}"/>
    <cellStyle name="Normal 64 8" xfId="47477" xr:uid="{00000000-0005-0000-0000-000086BE0000}"/>
    <cellStyle name="Normal 64 9" xfId="47478" xr:uid="{00000000-0005-0000-0000-000087BE0000}"/>
    <cellStyle name="Normal 64_Order Book" xfId="47479" xr:uid="{00000000-0005-0000-0000-000088BE0000}"/>
    <cellStyle name="Normal 640" xfId="47480" xr:uid="{00000000-0005-0000-0000-000089BE0000}"/>
    <cellStyle name="Normal 641" xfId="47481" xr:uid="{00000000-0005-0000-0000-00008ABE0000}"/>
    <cellStyle name="Normal 642" xfId="47482" xr:uid="{00000000-0005-0000-0000-00008BBE0000}"/>
    <cellStyle name="Normal 643" xfId="47483" xr:uid="{00000000-0005-0000-0000-00008CBE0000}"/>
    <cellStyle name="Normal 644" xfId="47484" xr:uid="{00000000-0005-0000-0000-00008DBE0000}"/>
    <cellStyle name="Normal 645" xfId="47485" xr:uid="{00000000-0005-0000-0000-00008EBE0000}"/>
    <cellStyle name="Normal 646" xfId="47486" xr:uid="{00000000-0005-0000-0000-00008FBE0000}"/>
    <cellStyle name="Normal 647" xfId="47487" xr:uid="{00000000-0005-0000-0000-000090BE0000}"/>
    <cellStyle name="Normal 648" xfId="47488" xr:uid="{00000000-0005-0000-0000-000091BE0000}"/>
    <cellStyle name="Normal 649" xfId="47489" xr:uid="{00000000-0005-0000-0000-000092BE0000}"/>
    <cellStyle name="Normal 65" xfId="3561" xr:uid="{00000000-0005-0000-0000-000093BE0000}"/>
    <cellStyle name="Normal 65 10" xfId="47490" xr:uid="{00000000-0005-0000-0000-000094BE0000}"/>
    <cellStyle name="Normal 65 11" xfId="47491" xr:uid="{00000000-0005-0000-0000-000095BE0000}"/>
    <cellStyle name="Normal 65 12" xfId="47492" xr:uid="{00000000-0005-0000-0000-000096BE0000}"/>
    <cellStyle name="Normal 65 13" xfId="47493" xr:uid="{00000000-0005-0000-0000-000097BE0000}"/>
    <cellStyle name="Normal 65 2" xfId="47494" xr:uid="{00000000-0005-0000-0000-000098BE0000}"/>
    <cellStyle name="Normal 65 2 10" xfId="47495" xr:uid="{00000000-0005-0000-0000-000099BE0000}"/>
    <cellStyle name="Normal 65 2 11" xfId="47496" xr:uid="{00000000-0005-0000-0000-00009ABE0000}"/>
    <cellStyle name="Normal 65 2 2" xfId="47497" xr:uid="{00000000-0005-0000-0000-00009BBE0000}"/>
    <cellStyle name="Normal 65 2 2 2" xfId="47498" xr:uid="{00000000-0005-0000-0000-00009CBE0000}"/>
    <cellStyle name="Normal 65 2 2 2 2" xfId="47499" xr:uid="{00000000-0005-0000-0000-00009DBE0000}"/>
    <cellStyle name="Normal 65 2 2 2 2 2" xfId="47500" xr:uid="{00000000-0005-0000-0000-00009EBE0000}"/>
    <cellStyle name="Normal 65 2 2 2 2 3" xfId="47501" xr:uid="{00000000-0005-0000-0000-00009FBE0000}"/>
    <cellStyle name="Normal 65 2 2 2 3" xfId="47502" xr:uid="{00000000-0005-0000-0000-0000A0BE0000}"/>
    <cellStyle name="Normal 65 2 2 2 3 2" xfId="47503" xr:uid="{00000000-0005-0000-0000-0000A1BE0000}"/>
    <cellStyle name="Normal 65 2 2 2 3 3" xfId="47504" xr:uid="{00000000-0005-0000-0000-0000A2BE0000}"/>
    <cellStyle name="Normal 65 2 2 2 4" xfId="47505" xr:uid="{00000000-0005-0000-0000-0000A3BE0000}"/>
    <cellStyle name="Normal 65 2 2 2 5" xfId="47506" xr:uid="{00000000-0005-0000-0000-0000A4BE0000}"/>
    <cellStyle name="Normal 65 2 2 2 6" xfId="47507" xr:uid="{00000000-0005-0000-0000-0000A5BE0000}"/>
    <cellStyle name="Normal 65 2 2 2 7" xfId="47508" xr:uid="{00000000-0005-0000-0000-0000A6BE0000}"/>
    <cellStyle name="Normal 65 2 2 3" xfId="47509" xr:uid="{00000000-0005-0000-0000-0000A7BE0000}"/>
    <cellStyle name="Normal 65 2 2 3 2" xfId="47510" xr:uid="{00000000-0005-0000-0000-0000A8BE0000}"/>
    <cellStyle name="Normal 65 2 2 3 3" xfId="47511" xr:uid="{00000000-0005-0000-0000-0000A9BE0000}"/>
    <cellStyle name="Normal 65 2 2 3 4" xfId="47512" xr:uid="{00000000-0005-0000-0000-0000AABE0000}"/>
    <cellStyle name="Normal 65 2 2 4" xfId="47513" xr:uid="{00000000-0005-0000-0000-0000ABBE0000}"/>
    <cellStyle name="Normal 65 2 2 4 2" xfId="47514" xr:uid="{00000000-0005-0000-0000-0000ACBE0000}"/>
    <cellStyle name="Normal 65 2 2 4 3" xfId="47515" xr:uid="{00000000-0005-0000-0000-0000ADBE0000}"/>
    <cellStyle name="Normal 65 2 2 5" xfId="47516" xr:uid="{00000000-0005-0000-0000-0000AEBE0000}"/>
    <cellStyle name="Normal 65 2 2 6" xfId="47517" xr:uid="{00000000-0005-0000-0000-0000AFBE0000}"/>
    <cellStyle name="Normal 65 2 2 7" xfId="47518" xr:uid="{00000000-0005-0000-0000-0000B0BE0000}"/>
    <cellStyle name="Normal 65 2 2 8" xfId="47519" xr:uid="{00000000-0005-0000-0000-0000B1BE0000}"/>
    <cellStyle name="Normal 65 2 2 9" xfId="47520" xr:uid="{00000000-0005-0000-0000-0000B2BE0000}"/>
    <cellStyle name="Normal 65 2 3" xfId="47521" xr:uid="{00000000-0005-0000-0000-0000B3BE0000}"/>
    <cellStyle name="Normal 65 2 3 2" xfId="47522" xr:uid="{00000000-0005-0000-0000-0000B4BE0000}"/>
    <cellStyle name="Normal 65 2 3 2 2" xfId="47523" xr:uid="{00000000-0005-0000-0000-0000B5BE0000}"/>
    <cellStyle name="Normal 65 2 3 2 3" xfId="47524" xr:uid="{00000000-0005-0000-0000-0000B6BE0000}"/>
    <cellStyle name="Normal 65 2 3 3" xfId="47525" xr:uid="{00000000-0005-0000-0000-0000B7BE0000}"/>
    <cellStyle name="Normal 65 2 3 3 2" xfId="47526" xr:uid="{00000000-0005-0000-0000-0000B8BE0000}"/>
    <cellStyle name="Normal 65 2 3 3 3" xfId="47527" xr:uid="{00000000-0005-0000-0000-0000B9BE0000}"/>
    <cellStyle name="Normal 65 2 3 4" xfId="47528" xr:uid="{00000000-0005-0000-0000-0000BABE0000}"/>
    <cellStyle name="Normal 65 2 3 5" xfId="47529" xr:uid="{00000000-0005-0000-0000-0000BBBE0000}"/>
    <cellStyle name="Normal 65 2 3 6" xfId="47530" xr:uid="{00000000-0005-0000-0000-0000BCBE0000}"/>
    <cellStyle name="Normal 65 2 3 7" xfId="47531" xr:uid="{00000000-0005-0000-0000-0000BDBE0000}"/>
    <cellStyle name="Normal 65 2 4" xfId="47532" xr:uid="{00000000-0005-0000-0000-0000BEBE0000}"/>
    <cellStyle name="Normal 65 2 4 2" xfId="47533" xr:uid="{00000000-0005-0000-0000-0000BFBE0000}"/>
    <cellStyle name="Normal 65 2 4 3" xfId="47534" xr:uid="{00000000-0005-0000-0000-0000C0BE0000}"/>
    <cellStyle name="Normal 65 2 4 4" xfId="47535" xr:uid="{00000000-0005-0000-0000-0000C1BE0000}"/>
    <cellStyle name="Normal 65 2 5" xfId="47536" xr:uid="{00000000-0005-0000-0000-0000C2BE0000}"/>
    <cellStyle name="Normal 65 2 5 2" xfId="47537" xr:uid="{00000000-0005-0000-0000-0000C3BE0000}"/>
    <cellStyle name="Normal 65 2 5 3" xfId="47538" xr:uid="{00000000-0005-0000-0000-0000C4BE0000}"/>
    <cellStyle name="Normal 65 2 6" xfId="47539" xr:uid="{00000000-0005-0000-0000-0000C5BE0000}"/>
    <cellStyle name="Normal 65 2 7" xfId="47540" xr:uid="{00000000-0005-0000-0000-0000C6BE0000}"/>
    <cellStyle name="Normal 65 2 8" xfId="47541" xr:uid="{00000000-0005-0000-0000-0000C7BE0000}"/>
    <cellStyle name="Normal 65 2 9" xfId="47542" xr:uid="{00000000-0005-0000-0000-0000C8BE0000}"/>
    <cellStyle name="Normal 65 3" xfId="47543" xr:uid="{00000000-0005-0000-0000-0000C9BE0000}"/>
    <cellStyle name="Normal 65 3 2" xfId="47544" xr:uid="{00000000-0005-0000-0000-0000CABE0000}"/>
    <cellStyle name="Normal 65 3 2 2" xfId="47545" xr:uid="{00000000-0005-0000-0000-0000CBBE0000}"/>
    <cellStyle name="Normal 65 3 2 2 2" xfId="47546" xr:uid="{00000000-0005-0000-0000-0000CCBE0000}"/>
    <cellStyle name="Normal 65 3 2 2 3" xfId="47547" xr:uid="{00000000-0005-0000-0000-0000CDBE0000}"/>
    <cellStyle name="Normal 65 3 2 3" xfId="47548" xr:uid="{00000000-0005-0000-0000-0000CEBE0000}"/>
    <cellStyle name="Normal 65 3 2 3 2" xfId="47549" xr:uid="{00000000-0005-0000-0000-0000CFBE0000}"/>
    <cellStyle name="Normal 65 3 2 3 3" xfId="47550" xr:uid="{00000000-0005-0000-0000-0000D0BE0000}"/>
    <cellStyle name="Normal 65 3 2 4" xfId="47551" xr:uid="{00000000-0005-0000-0000-0000D1BE0000}"/>
    <cellStyle name="Normal 65 3 2 5" xfId="47552" xr:uid="{00000000-0005-0000-0000-0000D2BE0000}"/>
    <cellStyle name="Normal 65 3 2 6" xfId="47553" xr:uid="{00000000-0005-0000-0000-0000D3BE0000}"/>
    <cellStyle name="Normal 65 3 2 7" xfId="47554" xr:uid="{00000000-0005-0000-0000-0000D4BE0000}"/>
    <cellStyle name="Normal 65 3 3" xfId="47555" xr:uid="{00000000-0005-0000-0000-0000D5BE0000}"/>
    <cellStyle name="Normal 65 3 3 2" xfId="47556" xr:uid="{00000000-0005-0000-0000-0000D6BE0000}"/>
    <cellStyle name="Normal 65 3 3 3" xfId="47557" xr:uid="{00000000-0005-0000-0000-0000D7BE0000}"/>
    <cellStyle name="Normal 65 3 3 4" xfId="47558" xr:uid="{00000000-0005-0000-0000-0000D8BE0000}"/>
    <cellStyle name="Normal 65 3 4" xfId="47559" xr:uid="{00000000-0005-0000-0000-0000D9BE0000}"/>
    <cellStyle name="Normal 65 3 4 2" xfId="47560" xr:uid="{00000000-0005-0000-0000-0000DABE0000}"/>
    <cellStyle name="Normal 65 3 4 3" xfId="47561" xr:uid="{00000000-0005-0000-0000-0000DBBE0000}"/>
    <cellStyle name="Normal 65 3 5" xfId="47562" xr:uid="{00000000-0005-0000-0000-0000DCBE0000}"/>
    <cellStyle name="Normal 65 3 6" xfId="47563" xr:uid="{00000000-0005-0000-0000-0000DDBE0000}"/>
    <cellStyle name="Normal 65 3 7" xfId="47564" xr:uid="{00000000-0005-0000-0000-0000DEBE0000}"/>
    <cellStyle name="Normal 65 3 8" xfId="47565" xr:uid="{00000000-0005-0000-0000-0000DFBE0000}"/>
    <cellStyle name="Normal 65 3 9" xfId="47566" xr:uid="{00000000-0005-0000-0000-0000E0BE0000}"/>
    <cellStyle name="Normal 65 4" xfId="47567" xr:uid="{00000000-0005-0000-0000-0000E1BE0000}"/>
    <cellStyle name="Normal 65 4 2" xfId="47568" xr:uid="{00000000-0005-0000-0000-0000E2BE0000}"/>
    <cellStyle name="Normal 65 4 2 2" xfId="47569" xr:uid="{00000000-0005-0000-0000-0000E3BE0000}"/>
    <cellStyle name="Normal 65 4 2 3" xfId="47570" xr:uid="{00000000-0005-0000-0000-0000E4BE0000}"/>
    <cellStyle name="Normal 65 4 3" xfId="47571" xr:uid="{00000000-0005-0000-0000-0000E5BE0000}"/>
    <cellStyle name="Normal 65 4 3 2" xfId="47572" xr:uid="{00000000-0005-0000-0000-0000E6BE0000}"/>
    <cellStyle name="Normal 65 4 3 3" xfId="47573" xr:uid="{00000000-0005-0000-0000-0000E7BE0000}"/>
    <cellStyle name="Normal 65 4 4" xfId="47574" xr:uid="{00000000-0005-0000-0000-0000E8BE0000}"/>
    <cellStyle name="Normal 65 4 5" xfId="47575" xr:uid="{00000000-0005-0000-0000-0000E9BE0000}"/>
    <cellStyle name="Normal 65 4 6" xfId="47576" xr:uid="{00000000-0005-0000-0000-0000EABE0000}"/>
    <cellStyle name="Normal 65 4 7" xfId="47577" xr:uid="{00000000-0005-0000-0000-0000EBBE0000}"/>
    <cellStyle name="Normal 65 5" xfId="47578" xr:uid="{00000000-0005-0000-0000-0000ECBE0000}"/>
    <cellStyle name="Normal 65 5 2" xfId="47579" xr:uid="{00000000-0005-0000-0000-0000EDBE0000}"/>
    <cellStyle name="Normal 65 5 3" xfId="47580" xr:uid="{00000000-0005-0000-0000-0000EEBE0000}"/>
    <cellStyle name="Normal 65 5 4" xfId="47581" xr:uid="{00000000-0005-0000-0000-0000EFBE0000}"/>
    <cellStyle name="Normal 65 6" xfId="47582" xr:uid="{00000000-0005-0000-0000-0000F0BE0000}"/>
    <cellStyle name="Normal 65 6 2" xfId="47583" xr:uid="{00000000-0005-0000-0000-0000F1BE0000}"/>
    <cellStyle name="Normal 65 6 3" xfId="47584" xr:uid="{00000000-0005-0000-0000-0000F2BE0000}"/>
    <cellStyle name="Normal 65 7" xfId="47585" xr:uid="{00000000-0005-0000-0000-0000F3BE0000}"/>
    <cellStyle name="Normal 65 8" xfId="47586" xr:uid="{00000000-0005-0000-0000-0000F4BE0000}"/>
    <cellStyle name="Normal 65 9" xfId="47587" xr:uid="{00000000-0005-0000-0000-0000F5BE0000}"/>
    <cellStyle name="Normal 65_Order Book" xfId="47588" xr:uid="{00000000-0005-0000-0000-0000F6BE0000}"/>
    <cellStyle name="Normal 650" xfId="47589" xr:uid="{00000000-0005-0000-0000-0000F7BE0000}"/>
    <cellStyle name="Normal 651" xfId="47590" xr:uid="{00000000-0005-0000-0000-0000F8BE0000}"/>
    <cellStyle name="Normal 652" xfId="47591" xr:uid="{00000000-0005-0000-0000-0000F9BE0000}"/>
    <cellStyle name="Normal 653" xfId="47592" xr:uid="{00000000-0005-0000-0000-0000FABE0000}"/>
    <cellStyle name="Normal 654" xfId="47593" xr:uid="{00000000-0005-0000-0000-0000FBBE0000}"/>
    <cellStyle name="Normal 655" xfId="47594" xr:uid="{00000000-0005-0000-0000-0000FCBE0000}"/>
    <cellStyle name="Normal 656" xfId="47595" xr:uid="{00000000-0005-0000-0000-0000FDBE0000}"/>
    <cellStyle name="Normal 657" xfId="47596" xr:uid="{00000000-0005-0000-0000-0000FEBE0000}"/>
    <cellStyle name="Normal 658" xfId="47597" xr:uid="{00000000-0005-0000-0000-0000FFBE0000}"/>
    <cellStyle name="Normal 659" xfId="47598" xr:uid="{00000000-0005-0000-0000-000000BF0000}"/>
    <cellStyle name="Normal 66" xfId="3562" xr:uid="{00000000-0005-0000-0000-000001BF0000}"/>
    <cellStyle name="Normal 66 10" xfId="47599" xr:uid="{00000000-0005-0000-0000-000002BF0000}"/>
    <cellStyle name="Normal 66 11" xfId="47600" xr:uid="{00000000-0005-0000-0000-000003BF0000}"/>
    <cellStyle name="Normal 66 12" xfId="47601" xr:uid="{00000000-0005-0000-0000-000004BF0000}"/>
    <cellStyle name="Normal 66 13" xfId="47602" xr:uid="{00000000-0005-0000-0000-000005BF0000}"/>
    <cellStyle name="Normal 66 2" xfId="47603" xr:uid="{00000000-0005-0000-0000-000006BF0000}"/>
    <cellStyle name="Normal 66 2 10" xfId="47604" xr:uid="{00000000-0005-0000-0000-000007BF0000}"/>
    <cellStyle name="Normal 66 2 2" xfId="47605" xr:uid="{00000000-0005-0000-0000-000008BF0000}"/>
    <cellStyle name="Normal 66 2 2 2" xfId="47606" xr:uid="{00000000-0005-0000-0000-000009BF0000}"/>
    <cellStyle name="Normal 66 2 2 2 2" xfId="47607" xr:uid="{00000000-0005-0000-0000-00000ABF0000}"/>
    <cellStyle name="Normal 66 2 2 2 2 2" xfId="47608" xr:uid="{00000000-0005-0000-0000-00000BBF0000}"/>
    <cellStyle name="Normal 66 2 2 2 2 3" xfId="47609" xr:uid="{00000000-0005-0000-0000-00000CBF0000}"/>
    <cellStyle name="Normal 66 2 2 2 3" xfId="47610" xr:uid="{00000000-0005-0000-0000-00000DBF0000}"/>
    <cellStyle name="Normal 66 2 2 2 3 2" xfId="47611" xr:uid="{00000000-0005-0000-0000-00000EBF0000}"/>
    <cellStyle name="Normal 66 2 2 2 3 3" xfId="47612" xr:uid="{00000000-0005-0000-0000-00000FBF0000}"/>
    <cellStyle name="Normal 66 2 2 2 4" xfId="47613" xr:uid="{00000000-0005-0000-0000-000010BF0000}"/>
    <cellStyle name="Normal 66 2 2 2 5" xfId="47614" xr:uid="{00000000-0005-0000-0000-000011BF0000}"/>
    <cellStyle name="Normal 66 2 2 2 6" xfId="47615" xr:uid="{00000000-0005-0000-0000-000012BF0000}"/>
    <cellStyle name="Normal 66 2 2 2 7" xfId="47616" xr:uid="{00000000-0005-0000-0000-000013BF0000}"/>
    <cellStyle name="Normal 66 2 2 3" xfId="47617" xr:uid="{00000000-0005-0000-0000-000014BF0000}"/>
    <cellStyle name="Normal 66 2 2 3 2" xfId="47618" xr:uid="{00000000-0005-0000-0000-000015BF0000}"/>
    <cellStyle name="Normal 66 2 2 3 3" xfId="47619" xr:uid="{00000000-0005-0000-0000-000016BF0000}"/>
    <cellStyle name="Normal 66 2 2 3 4" xfId="47620" xr:uid="{00000000-0005-0000-0000-000017BF0000}"/>
    <cellStyle name="Normal 66 2 2 4" xfId="47621" xr:uid="{00000000-0005-0000-0000-000018BF0000}"/>
    <cellStyle name="Normal 66 2 2 4 2" xfId="47622" xr:uid="{00000000-0005-0000-0000-000019BF0000}"/>
    <cellStyle name="Normal 66 2 2 4 3" xfId="47623" xr:uid="{00000000-0005-0000-0000-00001ABF0000}"/>
    <cellStyle name="Normal 66 2 2 5" xfId="47624" xr:uid="{00000000-0005-0000-0000-00001BBF0000}"/>
    <cellStyle name="Normal 66 2 2 6" xfId="47625" xr:uid="{00000000-0005-0000-0000-00001CBF0000}"/>
    <cellStyle name="Normal 66 2 2 7" xfId="47626" xr:uid="{00000000-0005-0000-0000-00001DBF0000}"/>
    <cellStyle name="Normal 66 2 2 8" xfId="47627" xr:uid="{00000000-0005-0000-0000-00001EBF0000}"/>
    <cellStyle name="Normal 66 2 2 9" xfId="47628" xr:uid="{00000000-0005-0000-0000-00001FBF0000}"/>
    <cellStyle name="Normal 66 2 3" xfId="47629" xr:uid="{00000000-0005-0000-0000-000020BF0000}"/>
    <cellStyle name="Normal 66 2 3 2" xfId="47630" xr:uid="{00000000-0005-0000-0000-000021BF0000}"/>
    <cellStyle name="Normal 66 2 3 2 2" xfId="47631" xr:uid="{00000000-0005-0000-0000-000022BF0000}"/>
    <cellStyle name="Normal 66 2 3 2 3" xfId="47632" xr:uid="{00000000-0005-0000-0000-000023BF0000}"/>
    <cellStyle name="Normal 66 2 3 3" xfId="47633" xr:uid="{00000000-0005-0000-0000-000024BF0000}"/>
    <cellStyle name="Normal 66 2 3 3 2" xfId="47634" xr:uid="{00000000-0005-0000-0000-000025BF0000}"/>
    <cellStyle name="Normal 66 2 3 3 3" xfId="47635" xr:uid="{00000000-0005-0000-0000-000026BF0000}"/>
    <cellStyle name="Normal 66 2 3 4" xfId="47636" xr:uid="{00000000-0005-0000-0000-000027BF0000}"/>
    <cellStyle name="Normal 66 2 3 5" xfId="47637" xr:uid="{00000000-0005-0000-0000-000028BF0000}"/>
    <cellStyle name="Normal 66 2 3 6" xfId="47638" xr:uid="{00000000-0005-0000-0000-000029BF0000}"/>
    <cellStyle name="Normal 66 2 3 7" xfId="47639" xr:uid="{00000000-0005-0000-0000-00002ABF0000}"/>
    <cellStyle name="Normal 66 2 4" xfId="47640" xr:uid="{00000000-0005-0000-0000-00002BBF0000}"/>
    <cellStyle name="Normal 66 2 4 2" xfId="47641" xr:uid="{00000000-0005-0000-0000-00002CBF0000}"/>
    <cellStyle name="Normal 66 2 4 3" xfId="47642" xr:uid="{00000000-0005-0000-0000-00002DBF0000}"/>
    <cellStyle name="Normal 66 2 4 4" xfId="47643" xr:uid="{00000000-0005-0000-0000-00002EBF0000}"/>
    <cellStyle name="Normal 66 2 5" xfId="47644" xr:uid="{00000000-0005-0000-0000-00002FBF0000}"/>
    <cellStyle name="Normal 66 2 5 2" xfId="47645" xr:uid="{00000000-0005-0000-0000-000030BF0000}"/>
    <cellStyle name="Normal 66 2 5 3" xfId="47646" xr:uid="{00000000-0005-0000-0000-000031BF0000}"/>
    <cellStyle name="Normal 66 2 6" xfId="47647" xr:uid="{00000000-0005-0000-0000-000032BF0000}"/>
    <cellStyle name="Normal 66 2 7" xfId="47648" xr:uid="{00000000-0005-0000-0000-000033BF0000}"/>
    <cellStyle name="Normal 66 2 8" xfId="47649" xr:uid="{00000000-0005-0000-0000-000034BF0000}"/>
    <cellStyle name="Normal 66 2 9" xfId="47650" xr:uid="{00000000-0005-0000-0000-000035BF0000}"/>
    <cellStyle name="Normal 66 3" xfId="47651" xr:uid="{00000000-0005-0000-0000-000036BF0000}"/>
    <cellStyle name="Normal 66 3 2" xfId="47652" xr:uid="{00000000-0005-0000-0000-000037BF0000}"/>
    <cellStyle name="Normal 66 3 2 2" xfId="47653" xr:uid="{00000000-0005-0000-0000-000038BF0000}"/>
    <cellStyle name="Normal 66 3 2 2 2" xfId="47654" xr:uid="{00000000-0005-0000-0000-000039BF0000}"/>
    <cellStyle name="Normal 66 3 2 2 3" xfId="47655" xr:uid="{00000000-0005-0000-0000-00003ABF0000}"/>
    <cellStyle name="Normal 66 3 2 3" xfId="47656" xr:uid="{00000000-0005-0000-0000-00003BBF0000}"/>
    <cellStyle name="Normal 66 3 2 3 2" xfId="47657" xr:uid="{00000000-0005-0000-0000-00003CBF0000}"/>
    <cellStyle name="Normal 66 3 2 3 3" xfId="47658" xr:uid="{00000000-0005-0000-0000-00003DBF0000}"/>
    <cellStyle name="Normal 66 3 2 4" xfId="47659" xr:uid="{00000000-0005-0000-0000-00003EBF0000}"/>
    <cellStyle name="Normal 66 3 2 5" xfId="47660" xr:uid="{00000000-0005-0000-0000-00003FBF0000}"/>
    <cellStyle name="Normal 66 3 2 6" xfId="47661" xr:uid="{00000000-0005-0000-0000-000040BF0000}"/>
    <cellStyle name="Normal 66 3 2 7" xfId="47662" xr:uid="{00000000-0005-0000-0000-000041BF0000}"/>
    <cellStyle name="Normal 66 3 3" xfId="47663" xr:uid="{00000000-0005-0000-0000-000042BF0000}"/>
    <cellStyle name="Normal 66 3 3 2" xfId="47664" xr:uid="{00000000-0005-0000-0000-000043BF0000}"/>
    <cellStyle name="Normal 66 3 3 3" xfId="47665" xr:uid="{00000000-0005-0000-0000-000044BF0000}"/>
    <cellStyle name="Normal 66 3 3 4" xfId="47666" xr:uid="{00000000-0005-0000-0000-000045BF0000}"/>
    <cellStyle name="Normal 66 3 4" xfId="47667" xr:uid="{00000000-0005-0000-0000-000046BF0000}"/>
    <cellStyle name="Normal 66 3 4 2" xfId="47668" xr:uid="{00000000-0005-0000-0000-000047BF0000}"/>
    <cellStyle name="Normal 66 3 4 3" xfId="47669" xr:uid="{00000000-0005-0000-0000-000048BF0000}"/>
    <cellStyle name="Normal 66 3 5" xfId="47670" xr:uid="{00000000-0005-0000-0000-000049BF0000}"/>
    <cellStyle name="Normal 66 3 6" xfId="47671" xr:uid="{00000000-0005-0000-0000-00004ABF0000}"/>
    <cellStyle name="Normal 66 3 7" xfId="47672" xr:uid="{00000000-0005-0000-0000-00004BBF0000}"/>
    <cellStyle name="Normal 66 3 8" xfId="47673" xr:uid="{00000000-0005-0000-0000-00004CBF0000}"/>
    <cellStyle name="Normal 66 3 9" xfId="47674" xr:uid="{00000000-0005-0000-0000-00004DBF0000}"/>
    <cellStyle name="Normal 66 4" xfId="47675" xr:uid="{00000000-0005-0000-0000-00004EBF0000}"/>
    <cellStyle name="Normal 66 4 2" xfId="47676" xr:uid="{00000000-0005-0000-0000-00004FBF0000}"/>
    <cellStyle name="Normal 66 4 2 2" xfId="47677" xr:uid="{00000000-0005-0000-0000-000050BF0000}"/>
    <cellStyle name="Normal 66 4 2 3" xfId="47678" xr:uid="{00000000-0005-0000-0000-000051BF0000}"/>
    <cellStyle name="Normal 66 4 3" xfId="47679" xr:uid="{00000000-0005-0000-0000-000052BF0000}"/>
    <cellStyle name="Normal 66 4 3 2" xfId="47680" xr:uid="{00000000-0005-0000-0000-000053BF0000}"/>
    <cellStyle name="Normal 66 4 3 3" xfId="47681" xr:uid="{00000000-0005-0000-0000-000054BF0000}"/>
    <cellStyle name="Normal 66 4 4" xfId="47682" xr:uid="{00000000-0005-0000-0000-000055BF0000}"/>
    <cellStyle name="Normal 66 4 5" xfId="47683" xr:uid="{00000000-0005-0000-0000-000056BF0000}"/>
    <cellStyle name="Normal 66 4 6" xfId="47684" xr:uid="{00000000-0005-0000-0000-000057BF0000}"/>
    <cellStyle name="Normal 66 4 7" xfId="47685" xr:uid="{00000000-0005-0000-0000-000058BF0000}"/>
    <cellStyle name="Normal 66 5" xfId="47686" xr:uid="{00000000-0005-0000-0000-000059BF0000}"/>
    <cellStyle name="Normal 66 5 2" xfId="47687" xr:uid="{00000000-0005-0000-0000-00005ABF0000}"/>
    <cellStyle name="Normal 66 5 3" xfId="47688" xr:uid="{00000000-0005-0000-0000-00005BBF0000}"/>
    <cellStyle name="Normal 66 5 4" xfId="47689" xr:uid="{00000000-0005-0000-0000-00005CBF0000}"/>
    <cellStyle name="Normal 66 6" xfId="47690" xr:uid="{00000000-0005-0000-0000-00005DBF0000}"/>
    <cellStyle name="Normal 66 6 2" xfId="47691" xr:uid="{00000000-0005-0000-0000-00005EBF0000}"/>
    <cellStyle name="Normal 66 6 3" xfId="47692" xr:uid="{00000000-0005-0000-0000-00005FBF0000}"/>
    <cellStyle name="Normal 66 7" xfId="47693" xr:uid="{00000000-0005-0000-0000-000060BF0000}"/>
    <cellStyle name="Normal 66 8" xfId="47694" xr:uid="{00000000-0005-0000-0000-000061BF0000}"/>
    <cellStyle name="Normal 66 9" xfId="47695" xr:uid="{00000000-0005-0000-0000-000062BF0000}"/>
    <cellStyle name="Normal 66_Order Book" xfId="47696" xr:uid="{00000000-0005-0000-0000-000063BF0000}"/>
    <cellStyle name="Normal 660" xfId="47697" xr:uid="{00000000-0005-0000-0000-000064BF0000}"/>
    <cellStyle name="Normal 661" xfId="47698" xr:uid="{00000000-0005-0000-0000-000065BF0000}"/>
    <cellStyle name="Normal 662" xfId="47699" xr:uid="{00000000-0005-0000-0000-000066BF0000}"/>
    <cellStyle name="Normal 663" xfId="47700" xr:uid="{00000000-0005-0000-0000-000067BF0000}"/>
    <cellStyle name="Normal 664" xfId="47701" xr:uid="{00000000-0005-0000-0000-000068BF0000}"/>
    <cellStyle name="Normal 665" xfId="47702" xr:uid="{00000000-0005-0000-0000-000069BF0000}"/>
    <cellStyle name="Normal 666" xfId="47703" xr:uid="{00000000-0005-0000-0000-00006ABF0000}"/>
    <cellStyle name="Normal 667" xfId="47704" xr:uid="{00000000-0005-0000-0000-00006BBF0000}"/>
    <cellStyle name="Normal 668" xfId="47705" xr:uid="{00000000-0005-0000-0000-00006CBF0000}"/>
    <cellStyle name="Normal 669" xfId="47706" xr:uid="{00000000-0005-0000-0000-00006DBF0000}"/>
    <cellStyle name="Normal 67" xfId="3563" xr:uid="{00000000-0005-0000-0000-00006EBF0000}"/>
    <cellStyle name="Normal 67 10" xfId="47707" xr:uid="{00000000-0005-0000-0000-00006FBF0000}"/>
    <cellStyle name="Normal 67 11" xfId="47708" xr:uid="{00000000-0005-0000-0000-000070BF0000}"/>
    <cellStyle name="Normal 67 12" xfId="47709" xr:uid="{00000000-0005-0000-0000-000071BF0000}"/>
    <cellStyle name="Normal 67 13" xfId="47710" xr:uid="{00000000-0005-0000-0000-000072BF0000}"/>
    <cellStyle name="Normal 67 14" xfId="47711" xr:uid="{00000000-0005-0000-0000-000073BF0000}"/>
    <cellStyle name="Normal 67 2" xfId="47712" xr:uid="{00000000-0005-0000-0000-000074BF0000}"/>
    <cellStyle name="Normal 67 2 10" xfId="47713" xr:uid="{00000000-0005-0000-0000-000075BF0000}"/>
    <cellStyle name="Normal 67 2 2" xfId="47714" xr:uid="{00000000-0005-0000-0000-000076BF0000}"/>
    <cellStyle name="Normal 67 2 2 2" xfId="47715" xr:uid="{00000000-0005-0000-0000-000077BF0000}"/>
    <cellStyle name="Normal 67 2 2 2 2" xfId="47716" xr:uid="{00000000-0005-0000-0000-000078BF0000}"/>
    <cellStyle name="Normal 67 2 2 2 2 2" xfId="47717" xr:uid="{00000000-0005-0000-0000-000079BF0000}"/>
    <cellStyle name="Normal 67 2 2 2 2 3" xfId="47718" xr:uid="{00000000-0005-0000-0000-00007ABF0000}"/>
    <cellStyle name="Normal 67 2 2 2 3" xfId="47719" xr:uid="{00000000-0005-0000-0000-00007BBF0000}"/>
    <cellStyle name="Normal 67 2 2 2 3 2" xfId="47720" xr:uid="{00000000-0005-0000-0000-00007CBF0000}"/>
    <cellStyle name="Normal 67 2 2 2 3 3" xfId="47721" xr:uid="{00000000-0005-0000-0000-00007DBF0000}"/>
    <cellStyle name="Normal 67 2 2 2 4" xfId="47722" xr:uid="{00000000-0005-0000-0000-00007EBF0000}"/>
    <cellStyle name="Normal 67 2 2 2 5" xfId="47723" xr:uid="{00000000-0005-0000-0000-00007FBF0000}"/>
    <cellStyle name="Normal 67 2 2 2 6" xfId="47724" xr:uid="{00000000-0005-0000-0000-000080BF0000}"/>
    <cellStyle name="Normal 67 2 2 2 7" xfId="47725" xr:uid="{00000000-0005-0000-0000-000081BF0000}"/>
    <cellStyle name="Normal 67 2 2 3" xfId="47726" xr:uid="{00000000-0005-0000-0000-000082BF0000}"/>
    <cellStyle name="Normal 67 2 2 3 2" xfId="47727" xr:uid="{00000000-0005-0000-0000-000083BF0000}"/>
    <cellStyle name="Normal 67 2 2 3 3" xfId="47728" xr:uid="{00000000-0005-0000-0000-000084BF0000}"/>
    <cellStyle name="Normal 67 2 2 3 4" xfId="47729" xr:uid="{00000000-0005-0000-0000-000085BF0000}"/>
    <cellStyle name="Normal 67 2 2 4" xfId="47730" xr:uid="{00000000-0005-0000-0000-000086BF0000}"/>
    <cellStyle name="Normal 67 2 2 4 2" xfId="47731" xr:uid="{00000000-0005-0000-0000-000087BF0000}"/>
    <cellStyle name="Normal 67 2 2 4 3" xfId="47732" xr:uid="{00000000-0005-0000-0000-000088BF0000}"/>
    <cellStyle name="Normal 67 2 2 5" xfId="47733" xr:uid="{00000000-0005-0000-0000-000089BF0000}"/>
    <cellStyle name="Normal 67 2 2 6" xfId="47734" xr:uid="{00000000-0005-0000-0000-00008ABF0000}"/>
    <cellStyle name="Normal 67 2 2 7" xfId="47735" xr:uid="{00000000-0005-0000-0000-00008BBF0000}"/>
    <cellStyle name="Normal 67 2 2 8" xfId="47736" xr:uid="{00000000-0005-0000-0000-00008CBF0000}"/>
    <cellStyle name="Normal 67 2 2 9" xfId="47737" xr:uid="{00000000-0005-0000-0000-00008DBF0000}"/>
    <cellStyle name="Normal 67 2 3" xfId="47738" xr:uid="{00000000-0005-0000-0000-00008EBF0000}"/>
    <cellStyle name="Normal 67 2 3 2" xfId="47739" xr:uid="{00000000-0005-0000-0000-00008FBF0000}"/>
    <cellStyle name="Normal 67 2 3 2 2" xfId="47740" xr:uid="{00000000-0005-0000-0000-000090BF0000}"/>
    <cellStyle name="Normal 67 2 3 2 3" xfId="47741" xr:uid="{00000000-0005-0000-0000-000091BF0000}"/>
    <cellStyle name="Normal 67 2 3 3" xfId="47742" xr:uid="{00000000-0005-0000-0000-000092BF0000}"/>
    <cellStyle name="Normal 67 2 3 3 2" xfId="47743" xr:uid="{00000000-0005-0000-0000-000093BF0000}"/>
    <cellStyle name="Normal 67 2 3 3 3" xfId="47744" xr:uid="{00000000-0005-0000-0000-000094BF0000}"/>
    <cellStyle name="Normal 67 2 3 4" xfId="47745" xr:uid="{00000000-0005-0000-0000-000095BF0000}"/>
    <cellStyle name="Normal 67 2 3 5" xfId="47746" xr:uid="{00000000-0005-0000-0000-000096BF0000}"/>
    <cellStyle name="Normal 67 2 3 6" xfId="47747" xr:uid="{00000000-0005-0000-0000-000097BF0000}"/>
    <cellStyle name="Normal 67 2 3 7" xfId="47748" xr:uid="{00000000-0005-0000-0000-000098BF0000}"/>
    <cellStyle name="Normal 67 2 4" xfId="47749" xr:uid="{00000000-0005-0000-0000-000099BF0000}"/>
    <cellStyle name="Normal 67 2 4 2" xfId="47750" xr:uid="{00000000-0005-0000-0000-00009ABF0000}"/>
    <cellStyle name="Normal 67 2 4 3" xfId="47751" xr:uid="{00000000-0005-0000-0000-00009BBF0000}"/>
    <cellStyle name="Normal 67 2 4 4" xfId="47752" xr:uid="{00000000-0005-0000-0000-00009CBF0000}"/>
    <cellStyle name="Normal 67 2 5" xfId="47753" xr:uid="{00000000-0005-0000-0000-00009DBF0000}"/>
    <cellStyle name="Normal 67 2 5 2" xfId="47754" xr:uid="{00000000-0005-0000-0000-00009EBF0000}"/>
    <cellStyle name="Normal 67 2 5 3" xfId="47755" xr:uid="{00000000-0005-0000-0000-00009FBF0000}"/>
    <cellStyle name="Normal 67 2 6" xfId="47756" xr:uid="{00000000-0005-0000-0000-0000A0BF0000}"/>
    <cellStyle name="Normal 67 2 7" xfId="47757" xr:uid="{00000000-0005-0000-0000-0000A1BF0000}"/>
    <cellStyle name="Normal 67 2 8" xfId="47758" xr:uid="{00000000-0005-0000-0000-0000A2BF0000}"/>
    <cellStyle name="Normal 67 2 9" xfId="47759" xr:uid="{00000000-0005-0000-0000-0000A3BF0000}"/>
    <cellStyle name="Normal 67 3" xfId="47760" xr:uid="{00000000-0005-0000-0000-0000A4BF0000}"/>
    <cellStyle name="Normal 67 3 2" xfId="47761" xr:uid="{00000000-0005-0000-0000-0000A5BF0000}"/>
    <cellStyle name="Normal 67 3 2 2" xfId="47762" xr:uid="{00000000-0005-0000-0000-0000A6BF0000}"/>
    <cellStyle name="Normal 67 3 2 2 2" xfId="47763" xr:uid="{00000000-0005-0000-0000-0000A7BF0000}"/>
    <cellStyle name="Normal 67 3 2 2 3" xfId="47764" xr:uid="{00000000-0005-0000-0000-0000A8BF0000}"/>
    <cellStyle name="Normal 67 3 2 3" xfId="47765" xr:uid="{00000000-0005-0000-0000-0000A9BF0000}"/>
    <cellStyle name="Normal 67 3 2 3 2" xfId="47766" xr:uid="{00000000-0005-0000-0000-0000AABF0000}"/>
    <cellStyle name="Normal 67 3 2 3 3" xfId="47767" xr:uid="{00000000-0005-0000-0000-0000ABBF0000}"/>
    <cellStyle name="Normal 67 3 2 4" xfId="47768" xr:uid="{00000000-0005-0000-0000-0000ACBF0000}"/>
    <cellStyle name="Normal 67 3 2 5" xfId="47769" xr:uid="{00000000-0005-0000-0000-0000ADBF0000}"/>
    <cellStyle name="Normal 67 3 2 6" xfId="47770" xr:uid="{00000000-0005-0000-0000-0000AEBF0000}"/>
    <cellStyle name="Normal 67 3 2 7" xfId="47771" xr:uid="{00000000-0005-0000-0000-0000AFBF0000}"/>
    <cellStyle name="Normal 67 3 3" xfId="47772" xr:uid="{00000000-0005-0000-0000-0000B0BF0000}"/>
    <cellStyle name="Normal 67 3 3 2" xfId="47773" xr:uid="{00000000-0005-0000-0000-0000B1BF0000}"/>
    <cellStyle name="Normal 67 3 3 3" xfId="47774" xr:uid="{00000000-0005-0000-0000-0000B2BF0000}"/>
    <cellStyle name="Normal 67 3 3 4" xfId="47775" xr:uid="{00000000-0005-0000-0000-0000B3BF0000}"/>
    <cellStyle name="Normal 67 3 4" xfId="47776" xr:uid="{00000000-0005-0000-0000-0000B4BF0000}"/>
    <cellStyle name="Normal 67 3 4 2" xfId="47777" xr:uid="{00000000-0005-0000-0000-0000B5BF0000}"/>
    <cellStyle name="Normal 67 3 4 3" xfId="47778" xr:uid="{00000000-0005-0000-0000-0000B6BF0000}"/>
    <cellStyle name="Normal 67 3 5" xfId="47779" xr:uid="{00000000-0005-0000-0000-0000B7BF0000}"/>
    <cellStyle name="Normal 67 3 6" xfId="47780" xr:uid="{00000000-0005-0000-0000-0000B8BF0000}"/>
    <cellStyle name="Normal 67 3 7" xfId="47781" xr:uid="{00000000-0005-0000-0000-0000B9BF0000}"/>
    <cellStyle name="Normal 67 3 8" xfId="47782" xr:uid="{00000000-0005-0000-0000-0000BABF0000}"/>
    <cellStyle name="Normal 67 3 9" xfId="47783" xr:uid="{00000000-0005-0000-0000-0000BBBF0000}"/>
    <cellStyle name="Normal 67 4" xfId="47784" xr:uid="{00000000-0005-0000-0000-0000BCBF0000}"/>
    <cellStyle name="Normal 67 4 2" xfId="47785" xr:uid="{00000000-0005-0000-0000-0000BDBF0000}"/>
    <cellStyle name="Normal 67 4 2 2" xfId="47786" xr:uid="{00000000-0005-0000-0000-0000BEBF0000}"/>
    <cellStyle name="Normal 67 4 2 3" xfId="47787" xr:uid="{00000000-0005-0000-0000-0000BFBF0000}"/>
    <cellStyle name="Normal 67 4 3" xfId="47788" xr:uid="{00000000-0005-0000-0000-0000C0BF0000}"/>
    <cellStyle name="Normal 67 4 3 2" xfId="47789" xr:uid="{00000000-0005-0000-0000-0000C1BF0000}"/>
    <cellStyle name="Normal 67 4 3 3" xfId="47790" xr:uid="{00000000-0005-0000-0000-0000C2BF0000}"/>
    <cellStyle name="Normal 67 4 4" xfId="47791" xr:uid="{00000000-0005-0000-0000-0000C3BF0000}"/>
    <cellStyle name="Normal 67 4 5" xfId="47792" xr:uid="{00000000-0005-0000-0000-0000C4BF0000}"/>
    <cellStyle name="Normal 67 4 6" xfId="47793" xr:uid="{00000000-0005-0000-0000-0000C5BF0000}"/>
    <cellStyle name="Normal 67 4 7" xfId="47794" xr:uid="{00000000-0005-0000-0000-0000C6BF0000}"/>
    <cellStyle name="Normal 67 5" xfId="47795" xr:uid="{00000000-0005-0000-0000-0000C7BF0000}"/>
    <cellStyle name="Normal 67 5 2" xfId="47796" xr:uid="{00000000-0005-0000-0000-0000C8BF0000}"/>
    <cellStyle name="Normal 67 5 3" xfId="47797" xr:uid="{00000000-0005-0000-0000-0000C9BF0000}"/>
    <cellStyle name="Normal 67 5 4" xfId="47798" xr:uid="{00000000-0005-0000-0000-0000CABF0000}"/>
    <cellStyle name="Normal 67 6" xfId="47799" xr:uid="{00000000-0005-0000-0000-0000CBBF0000}"/>
    <cellStyle name="Normal 67 6 2" xfId="47800" xr:uid="{00000000-0005-0000-0000-0000CCBF0000}"/>
    <cellStyle name="Normal 67 6 3" xfId="47801" xr:uid="{00000000-0005-0000-0000-0000CDBF0000}"/>
    <cellStyle name="Normal 67 7" xfId="47802" xr:uid="{00000000-0005-0000-0000-0000CEBF0000}"/>
    <cellStyle name="Normal 67 8" xfId="47803" xr:uid="{00000000-0005-0000-0000-0000CFBF0000}"/>
    <cellStyle name="Normal 67 9" xfId="47804" xr:uid="{00000000-0005-0000-0000-0000D0BF0000}"/>
    <cellStyle name="Normal 67_Order Book" xfId="47805" xr:uid="{00000000-0005-0000-0000-0000D1BF0000}"/>
    <cellStyle name="Normal 670" xfId="47806" xr:uid="{00000000-0005-0000-0000-0000D2BF0000}"/>
    <cellStyle name="Normal 671" xfId="47807" xr:uid="{00000000-0005-0000-0000-0000D3BF0000}"/>
    <cellStyle name="Normal 672" xfId="47808" xr:uid="{00000000-0005-0000-0000-0000D4BF0000}"/>
    <cellStyle name="Normal 673" xfId="47809" xr:uid="{00000000-0005-0000-0000-0000D5BF0000}"/>
    <cellStyle name="Normal 674" xfId="47810" xr:uid="{00000000-0005-0000-0000-0000D6BF0000}"/>
    <cellStyle name="Normal 675" xfId="47811" xr:uid="{00000000-0005-0000-0000-0000D7BF0000}"/>
    <cellStyle name="Normal 676" xfId="47812" xr:uid="{00000000-0005-0000-0000-0000D8BF0000}"/>
    <cellStyle name="Normal 677" xfId="47813" xr:uid="{00000000-0005-0000-0000-0000D9BF0000}"/>
    <cellStyle name="Normal 678" xfId="47814" xr:uid="{00000000-0005-0000-0000-0000DABF0000}"/>
    <cellStyle name="Normal 679" xfId="47815" xr:uid="{00000000-0005-0000-0000-0000DBBF0000}"/>
    <cellStyle name="Normal 68" xfId="3564" xr:uid="{00000000-0005-0000-0000-0000DCBF0000}"/>
    <cellStyle name="Normal 68 10" xfId="47816" xr:uid="{00000000-0005-0000-0000-0000DDBF0000}"/>
    <cellStyle name="Normal 68 11" xfId="47817" xr:uid="{00000000-0005-0000-0000-0000DEBF0000}"/>
    <cellStyle name="Normal 68 12" xfId="47818" xr:uid="{00000000-0005-0000-0000-0000DFBF0000}"/>
    <cellStyle name="Normal 68 13" xfId="47819" xr:uid="{00000000-0005-0000-0000-0000E0BF0000}"/>
    <cellStyle name="Normal 68 14" xfId="47820" xr:uid="{00000000-0005-0000-0000-0000E1BF0000}"/>
    <cellStyle name="Normal 68 2" xfId="47821" xr:uid="{00000000-0005-0000-0000-0000E2BF0000}"/>
    <cellStyle name="Normal 68 2 10" xfId="47822" xr:uid="{00000000-0005-0000-0000-0000E3BF0000}"/>
    <cellStyle name="Normal 68 2 2" xfId="47823" xr:uid="{00000000-0005-0000-0000-0000E4BF0000}"/>
    <cellStyle name="Normal 68 2 2 2" xfId="47824" xr:uid="{00000000-0005-0000-0000-0000E5BF0000}"/>
    <cellStyle name="Normal 68 2 2 2 2" xfId="47825" xr:uid="{00000000-0005-0000-0000-0000E6BF0000}"/>
    <cellStyle name="Normal 68 2 2 2 2 2" xfId="47826" xr:uid="{00000000-0005-0000-0000-0000E7BF0000}"/>
    <cellStyle name="Normal 68 2 2 2 2 3" xfId="47827" xr:uid="{00000000-0005-0000-0000-0000E8BF0000}"/>
    <cellStyle name="Normal 68 2 2 2 3" xfId="47828" xr:uid="{00000000-0005-0000-0000-0000E9BF0000}"/>
    <cellStyle name="Normal 68 2 2 2 3 2" xfId="47829" xr:uid="{00000000-0005-0000-0000-0000EABF0000}"/>
    <cellStyle name="Normal 68 2 2 2 3 3" xfId="47830" xr:uid="{00000000-0005-0000-0000-0000EBBF0000}"/>
    <cellStyle name="Normal 68 2 2 2 4" xfId="47831" xr:uid="{00000000-0005-0000-0000-0000ECBF0000}"/>
    <cellStyle name="Normal 68 2 2 2 5" xfId="47832" xr:uid="{00000000-0005-0000-0000-0000EDBF0000}"/>
    <cellStyle name="Normal 68 2 2 2 6" xfId="47833" xr:uid="{00000000-0005-0000-0000-0000EEBF0000}"/>
    <cellStyle name="Normal 68 2 2 2 7" xfId="47834" xr:uid="{00000000-0005-0000-0000-0000EFBF0000}"/>
    <cellStyle name="Normal 68 2 2 3" xfId="47835" xr:uid="{00000000-0005-0000-0000-0000F0BF0000}"/>
    <cellStyle name="Normal 68 2 2 3 2" xfId="47836" xr:uid="{00000000-0005-0000-0000-0000F1BF0000}"/>
    <cellStyle name="Normal 68 2 2 3 3" xfId="47837" xr:uid="{00000000-0005-0000-0000-0000F2BF0000}"/>
    <cellStyle name="Normal 68 2 2 3 4" xfId="47838" xr:uid="{00000000-0005-0000-0000-0000F3BF0000}"/>
    <cellStyle name="Normal 68 2 2 4" xfId="47839" xr:uid="{00000000-0005-0000-0000-0000F4BF0000}"/>
    <cellStyle name="Normal 68 2 2 4 2" xfId="47840" xr:uid="{00000000-0005-0000-0000-0000F5BF0000}"/>
    <cellStyle name="Normal 68 2 2 4 3" xfId="47841" xr:uid="{00000000-0005-0000-0000-0000F6BF0000}"/>
    <cellStyle name="Normal 68 2 2 5" xfId="47842" xr:uid="{00000000-0005-0000-0000-0000F7BF0000}"/>
    <cellStyle name="Normal 68 2 2 6" xfId="47843" xr:uid="{00000000-0005-0000-0000-0000F8BF0000}"/>
    <cellStyle name="Normal 68 2 2 7" xfId="47844" xr:uid="{00000000-0005-0000-0000-0000F9BF0000}"/>
    <cellStyle name="Normal 68 2 2 8" xfId="47845" xr:uid="{00000000-0005-0000-0000-0000FABF0000}"/>
    <cellStyle name="Normal 68 2 2 9" xfId="47846" xr:uid="{00000000-0005-0000-0000-0000FBBF0000}"/>
    <cellStyle name="Normal 68 2 3" xfId="47847" xr:uid="{00000000-0005-0000-0000-0000FCBF0000}"/>
    <cellStyle name="Normal 68 2 3 2" xfId="47848" xr:uid="{00000000-0005-0000-0000-0000FDBF0000}"/>
    <cellStyle name="Normal 68 2 3 2 2" xfId="47849" xr:uid="{00000000-0005-0000-0000-0000FEBF0000}"/>
    <cellStyle name="Normal 68 2 3 2 3" xfId="47850" xr:uid="{00000000-0005-0000-0000-0000FFBF0000}"/>
    <cellStyle name="Normal 68 2 3 3" xfId="47851" xr:uid="{00000000-0005-0000-0000-000000C00000}"/>
    <cellStyle name="Normal 68 2 3 3 2" xfId="47852" xr:uid="{00000000-0005-0000-0000-000001C00000}"/>
    <cellStyle name="Normal 68 2 3 3 3" xfId="47853" xr:uid="{00000000-0005-0000-0000-000002C00000}"/>
    <cellStyle name="Normal 68 2 3 4" xfId="47854" xr:uid="{00000000-0005-0000-0000-000003C00000}"/>
    <cellStyle name="Normal 68 2 3 5" xfId="47855" xr:uid="{00000000-0005-0000-0000-000004C00000}"/>
    <cellStyle name="Normal 68 2 3 6" xfId="47856" xr:uid="{00000000-0005-0000-0000-000005C00000}"/>
    <cellStyle name="Normal 68 2 3 7" xfId="47857" xr:uid="{00000000-0005-0000-0000-000006C00000}"/>
    <cellStyle name="Normal 68 2 4" xfId="47858" xr:uid="{00000000-0005-0000-0000-000007C00000}"/>
    <cellStyle name="Normal 68 2 4 2" xfId="47859" xr:uid="{00000000-0005-0000-0000-000008C00000}"/>
    <cellStyle name="Normal 68 2 4 3" xfId="47860" xr:uid="{00000000-0005-0000-0000-000009C00000}"/>
    <cellStyle name="Normal 68 2 4 4" xfId="47861" xr:uid="{00000000-0005-0000-0000-00000AC00000}"/>
    <cellStyle name="Normal 68 2 5" xfId="47862" xr:uid="{00000000-0005-0000-0000-00000BC00000}"/>
    <cellStyle name="Normal 68 2 5 2" xfId="47863" xr:uid="{00000000-0005-0000-0000-00000CC00000}"/>
    <cellStyle name="Normal 68 2 5 3" xfId="47864" xr:uid="{00000000-0005-0000-0000-00000DC00000}"/>
    <cellStyle name="Normal 68 2 6" xfId="47865" xr:uid="{00000000-0005-0000-0000-00000EC00000}"/>
    <cellStyle name="Normal 68 2 7" xfId="47866" xr:uid="{00000000-0005-0000-0000-00000FC00000}"/>
    <cellStyle name="Normal 68 2 8" xfId="47867" xr:uid="{00000000-0005-0000-0000-000010C00000}"/>
    <cellStyle name="Normal 68 2 9" xfId="47868" xr:uid="{00000000-0005-0000-0000-000011C00000}"/>
    <cellStyle name="Normal 68 3" xfId="47869" xr:uid="{00000000-0005-0000-0000-000012C00000}"/>
    <cellStyle name="Normal 68 3 2" xfId="47870" xr:uid="{00000000-0005-0000-0000-000013C00000}"/>
    <cellStyle name="Normal 68 3 2 2" xfId="47871" xr:uid="{00000000-0005-0000-0000-000014C00000}"/>
    <cellStyle name="Normal 68 3 2 2 2" xfId="47872" xr:uid="{00000000-0005-0000-0000-000015C00000}"/>
    <cellStyle name="Normal 68 3 2 2 3" xfId="47873" xr:uid="{00000000-0005-0000-0000-000016C00000}"/>
    <cellStyle name="Normal 68 3 2 3" xfId="47874" xr:uid="{00000000-0005-0000-0000-000017C00000}"/>
    <cellStyle name="Normal 68 3 2 3 2" xfId="47875" xr:uid="{00000000-0005-0000-0000-000018C00000}"/>
    <cellStyle name="Normal 68 3 2 3 3" xfId="47876" xr:uid="{00000000-0005-0000-0000-000019C00000}"/>
    <cellStyle name="Normal 68 3 2 4" xfId="47877" xr:uid="{00000000-0005-0000-0000-00001AC00000}"/>
    <cellStyle name="Normal 68 3 2 5" xfId="47878" xr:uid="{00000000-0005-0000-0000-00001BC00000}"/>
    <cellStyle name="Normal 68 3 2 6" xfId="47879" xr:uid="{00000000-0005-0000-0000-00001CC00000}"/>
    <cellStyle name="Normal 68 3 2 7" xfId="47880" xr:uid="{00000000-0005-0000-0000-00001DC00000}"/>
    <cellStyle name="Normal 68 3 3" xfId="47881" xr:uid="{00000000-0005-0000-0000-00001EC00000}"/>
    <cellStyle name="Normal 68 3 3 2" xfId="47882" xr:uid="{00000000-0005-0000-0000-00001FC00000}"/>
    <cellStyle name="Normal 68 3 3 3" xfId="47883" xr:uid="{00000000-0005-0000-0000-000020C00000}"/>
    <cellStyle name="Normal 68 3 3 4" xfId="47884" xr:uid="{00000000-0005-0000-0000-000021C00000}"/>
    <cellStyle name="Normal 68 3 4" xfId="47885" xr:uid="{00000000-0005-0000-0000-000022C00000}"/>
    <cellStyle name="Normal 68 3 4 2" xfId="47886" xr:uid="{00000000-0005-0000-0000-000023C00000}"/>
    <cellStyle name="Normal 68 3 4 3" xfId="47887" xr:uid="{00000000-0005-0000-0000-000024C00000}"/>
    <cellStyle name="Normal 68 3 5" xfId="47888" xr:uid="{00000000-0005-0000-0000-000025C00000}"/>
    <cellStyle name="Normal 68 3 6" xfId="47889" xr:uid="{00000000-0005-0000-0000-000026C00000}"/>
    <cellStyle name="Normal 68 3 7" xfId="47890" xr:uid="{00000000-0005-0000-0000-000027C00000}"/>
    <cellStyle name="Normal 68 3 8" xfId="47891" xr:uid="{00000000-0005-0000-0000-000028C00000}"/>
    <cellStyle name="Normal 68 3 9" xfId="47892" xr:uid="{00000000-0005-0000-0000-000029C00000}"/>
    <cellStyle name="Normal 68 4" xfId="47893" xr:uid="{00000000-0005-0000-0000-00002AC00000}"/>
    <cellStyle name="Normal 68 4 2" xfId="47894" xr:uid="{00000000-0005-0000-0000-00002BC00000}"/>
    <cellStyle name="Normal 68 4 2 2" xfId="47895" xr:uid="{00000000-0005-0000-0000-00002CC00000}"/>
    <cellStyle name="Normal 68 4 2 3" xfId="47896" xr:uid="{00000000-0005-0000-0000-00002DC00000}"/>
    <cellStyle name="Normal 68 4 3" xfId="47897" xr:uid="{00000000-0005-0000-0000-00002EC00000}"/>
    <cellStyle name="Normal 68 4 3 2" xfId="47898" xr:uid="{00000000-0005-0000-0000-00002FC00000}"/>
    <cellStyle name="Normal 68 4 3 3" xfId="47899" xr:uid="{00000000-0005-0000-0000-000030C00000}"/>
    <cellStyle name="Normal 68 4 4" xfId="47900" xr:uid="{00000000-0005-0000-0000-000031C00000}"/>
    <cellStyle name="Normal 68 4 5" xfId="47901" xr:uid="{00000000-0005-0000-0000-000032C00000}"/>
    <cellStyle name="Normal 68 4 6" xfId="47902" xr:uid="{00000000-0005-0000-0000-000033C00000}"/>
    <cellStyle name="Normal 68 4 7" xfId="47903" xr:uid="{00000000-0005-0000-0000-000034C00000}"/>
    <cellStyle name="Normal 68 5" xfId="47904" xr:uid="{00000000-0005-0000-0000-000035C00000}"/>
    <cellStyle name="Normal 68 5 2" xfId="47905" xr:uid="{00000000-0005-0000-0000-000036C00000}"/>
    <cellStyle name="Normal 68 5 3" xfId="47906" xr:uid="{00000000-0005-0000-0000-000037C00000}"/>
    <cellStyle name="Normal 68 5 4" xfId="47907" xr:uid="{00000000-0005-0000-0000-000038C00000}"/>
    <cellStyle name="Normal 68 6" xfId="47908" xr:uid="{00000000-0005-0000-0000-000039C00000}"/>
    <cellStyle name="Normal 68 6 2" xfId="47909" xr:uid="{00000000-0005-0000-0000-00003AC00000}"/>
    <cellStyle name="Normal 68 6 3" xfId="47910" xr:uid="{00000000-0005-0000-0000-00003BC00000}"/>
    <cellStyle name="Normal 68 7" xfId="47911" xr:uid="{00000000-0005-0000-0000-00003CC00000}"/>
    <cellStyle name="Normal 68 8" xfId="47912" xr:uid="{00000000-0005-0000-0000-00003DC00000}"/>
    <cellStyle name="Normal 68 9" xfId="47913" xr:uid="{00000000-0005-0000-0000-00003EC00000}"/>
    <cellStyle name="Normal 68_Order Book" xfId="47914" xr:uid="{00000000-0005-0000-0000-00003FC00000}"/>
    <cellStyle name="Normal 680" xfId="47915" xr:uid="{00000000-0005-0000-0000-000040C00000}"/>
    <cellStyle name="Normal 681" xfId="47916" xr:uid="{00000000-0005-0000-0000-000041C00000}"/>
    <cellStyle name="Normal 682" xfId="47917" xr:uid="{00000000-0005-0000-0000-000042C00000}"/>
    <cellStyle name="Normal 683" xfId="47918" xr:uid="{00000000-0005-0000-0000-000043C00000}"/>
    <cellStyle name="Normal 684" xfId="47919" xr:uid="{00000000-0005-0000-0000-000044C00000}"/>
    <cellStyle name="Normal 685" xfId="47920" xr:uid="{00000000-0005-0000-0000-000045C00000}"/>
    <cellStyle name="Normal 686" xfId="47921" xr:uid="{00000000-0005-0000-0000-000046C00000}"/>
    <cellStyle name="Normal 687" xfId="47922" xr:uid="{00000000-0005-0000-0000-000047C00000}"/>
    <cellStyle name="Normal 688" xfId="47923" xr:uid="{00000000-0005-0000-0000-000048C00000}"/>
    <cellStyle name="Normal 689" xfId="47924" xr:uid="{00000000-0005-0000-0000-000049C00000}"/>
    <cellStyle name="Normal 69" xfId="3565" xr:uid="{00000000-0005-0000-0000-00004AC00000}"/>
    <cellStyle name="Normal 69 10" xfId="47925" xr:uid="{00000000-0005-0000-0000-00004BC00000}"/>
    <cellStyle name="Normal 69 11" xfId="47926" xr:uid="{00000000-0005-0000-0000-00004CC00000}"/>
    <cellStyle name="Normal 69 12" xfId="47927" xr:uid="{00000000-0005-0000-0000-00004DC00000}"/>
    <cellStyle name="Normal 69 13" xfId="47928" xr:uid="{00000000-0005-0000-0000-00004EC00000}"/>
    <cellStyle name="Normal 69 14" xfId="47929" xr:uid="{00000000-0005-0000-0000-00004FC00000}"/>
    <cellStyle name="Normal 69 2" xfId="47930" xr:uid="{00000000-0005-0000-0000-000050C00000}"/>
    <cellStyle name="Normal 69 2 10" xfId="47931" xr:uid="{00000000-0005-0000-0000-000051C00000}"/>
    <cellStyle name="Normal 69 2 2" xfId="47932" xr:uid="{00000000-0005-0000-0000-000052C00000}"/>
    <cellStyle name="Normal 69 2 2 2" xfId="47933" xr:uid="{00000000-0005-0000-0000-000053C00000}"/>
    <cellStyle name="Normal 69 2 2 2 2" xfId="47934" xr:uid="{00000000-0005-0000-0000-000054C00000}"/>
    <cellStyle name="Normal 69 2 2 2 2 2" xfId="47935" xr:uid="{00000000-0005-0000-0000-000055C00000}"/>
    <cellStyle name="Normal 69 2 2 2 2 3" xfId="47936" xr:uid="{00000000-0005-0000-0000-000056C00000}"/>
    <cellStyle name="Normal 69 2 2 2 3" xfId="47937" xr:uid="{00000000-0005-0000-0000-000057C00000}"/>
    <cellStyle name="Normal 69 2 2 2 3 2" xfId="47938" xr:uid="{00000000-0005-0000-0000-000058C00000}"/>
    <cellStyle name="Normal 69 2 2 2 3 3" xfId="47939" xr:uid="{00000000-0005-0000-0000-000059C00000}"/>
    <cellStyle name="Normal 69 2 2 2 4" xfId="47940" xr:uid="{00000000-0005-0000-0000-00005AC00000}"/>
    <cellStyle name="Normal 69 2 2 2 5" xfId="47941" xr:uid="{00000000-0005-0000-0000-00005BC00000}"/>
    <cellStyle name="Normal 69 2 2 2 6" xfId="47942" xr:uid="{00000000-0005-0000-0000-00005CC00000}"/>
    <cellStyle name="Normal 69 2 2 2 7" xfId="47943" xr:uid="{00000000-0005-0000-0000-00005DC00000}"/>
    <cellStyle name="Normal 69 2 2 3" xfId="47944" xr:uid="{00000000-0005-0000-0000-00005EC00000}"/>
    <cellStyle name="Normal 69 2 2 3 2" xfId="47945" xr:uid="{00000000-0005-0000-0000-00005FC00000}"/>
    <cellStyle name="Normal 69 2 2 3 3" xfId="47946" xr:uid="{00000000-0005-0000-0000-000060C00000}"/>
    <cellStyle name="Normal 69 2 2 3 4" xfId="47947" xr:uid="{00000000-0005-0000-0000-000061C00000}"/>
    <cellStyle name="Normal 69 2 2 4" xfId="47948" xr:uid="{00000000-0005-0000-0000-000062C00000}"/>
    <cellStyle name="Normal 69 2 2 4 2" xfId="47949" xr:uid="{00000000-0005-0000-0000-000063C00000}"/>
    <cellStyle name="Normal 69 2 2 4 3" xfId="47950" xr:uid="{00000000-0005-0000-0000-000064C00000}"/>
    <cellStyle name="Normal 69 2 2 5" xfId="47951" xr:uid="{00000000-0005-0000-0000-000065C00000}"/>
    <cellStyle name="Normal 69 2 2 6" xfId="47952" xr:uid="{00000000-0005-0000-0000-000066C00000}"/>
    <cellStyle name="Normal 69 2 2 7" xfId="47953" xr:uid="{00000000-0005-0000-0000-000067C00000}"/>
    <cellStyle name="Normal 69 2 2 8" xfId="47954" xr:uid="{00000000-0005-0000-0000-000068C00000}"/>
    <cellStyle name="Normal 69 2 2 9" xfId="47955" xr:uid="{00000000-0005-0000-0000-000069C00000}"/>
    <cellStyle name="Normal 69 2 3" xfId="47956" xr:uid="{00000000-0005-0000-0000-00006AC00000}"/>
    <cellStyle name="Normal 69 2 3 2" xfId="47957" xr:uid="{00000000-0005-0000-0000-00006BC00000}"/>
    <cellStyle name="Normal 69 2 3 2 2" xfId="47958" xr:uid="{00000000-0005-0000-0000-00006CC00000}"/>
    <cellStyle name="Normal 69 2 3 2 3" xfId="47959" xr:uid="{00000000-0005-0000-0000-00006DC00000}"/>
    <cellStyle name="Normal 69 2 3 3" xfId="47960" xr:uid="{00000000-0005-0000-0000-00006EC00000}"/>
    <cellStyle name="Normal 69 2 3 3 2" xfId="47961" xr:uid="{00000000-0005-0000-0000-00006FC00000}"/>
    <cellStyle name="Normal 69 2 3 3 3" xfId="47962" xr:uid="{00000000-0005-0000-0000-000070C00000}"/>
    <cellStyle name="Normal 69 2 3 4" xfId="47963" xr:uid="{00000000-0005-0000-0000-000071C00000}"/>
    <cellStyle name="Normal 69 2 3 5" xfId="47964" xr:uid="{00000000-0005-0000-0000-000072C00000}"/>
    <cellStyle name="Normal 69 2 3 6" xfId="47965" xr:uid="{00000000-0005-0000-0000-000073C00000}"/>
    <cellStyle name="Normal 69 2 3 7" xfId="47966" xr:uid="{00000000-0005-0000-0000-000074C00000}"/>
    <cellStyle name="Normal 69 2 4" xfId="47967" xr:uid="{00000000-0005-0000-0000-000075C00000}"/>
    <cellStyle name="Normal 69 2 4 2" xfId="47968" xr:uid="{00000000-0005-0000-0000-000076C00000}"/>
    <cellStyle name="Normal 69 2 4 3" xfId="47969" xr:uid="{00000000-0005-0000-0000-000077C00000}"/>
    <cellStyle name="Normal 69 2 4 4" xfId="47970" xr:uid="{00000000-0005-0000-0000-000078C00000}"/>
    <cellStyle name="Normal 69 2 5" xfId="47971" xr:uid="{00000000-0005-0000-0000-000079C00000}"/>
    <cellStyle name="Normal 69 2 5 2" xfId="47972" xr:uid="{00000000-0005-0000-0000-00007AC00000}"/>
    <cellStyle name="Normal 69 2 5 3" xfId="47973" xr:uid="{00000000-0005-0000-0000-00007BC00000}"/>
    <cellStyle name="Normal 69 2 6" xfId="47974" xr:uid="{00000000-0005-0000-0000-00007CC00000}"/>
    <cellStyle name="Normal 69 2 7" xfId="47975" xr:uid="{00000000-0005-0000-0000-00007DC00000}"/>
    <cellStyle name="Normal 69 2 8" xfId="47976" xr:uid="{00000000-0005-0000-0000-00007EC00000}"/>
    <cellStyle name="Normal 69 2 9" xfId="47977" xr:uid="{00000000-0005-0000-0000-00007FC00000}"/>
    <cellStyle name="Normal 69 3" xfId="47978" xr:uid="{00000000-0005-0000-0000-000080C00000}"/>
    <cellStyle name="Normal 69 3 2" xfId="47979" xr:uid="{00000000-0005-0000-0000-000081C00000}"/>
    <cellStyle name="Normal 69 3 2 2" xfId="47980" xr:uid="{00000000-0005-0000-0000-000082C00000}"/>
    <cellStyle name="Normal 69 3 2 2 2" xfId="47981" xr:uid="{00000000-0005-0000-0000-000083C00000}"/>
    <cellStyle name="Normal 69 3 2 2 3" xfId="47982" xr:uid="{00000000-0005-0000-0000-000084C00000}"/>
    <cellStyle name="Normal 69 3 2 3" xfId="47983" xr:uid="{00000000-0005-0000-0000-000085C00000}"/>
    <cellStyle name="Normal 69 3 2 3 2" xfId="47984" xr:uid="{00000000-0005-0000-0000-000086C00000}"/>
    <cellStyle name="Normal 69 3 2 3 3" xfId="47985" xr:uid="{00000000-0005-0000-0000-000087C00000}"/>
    <cellStyle name="Normal 69 3 2 4" xfId="47986" xr:uid="{00000000-0005-0000-0000-000088C00000}"/>
    <cellStyle name="Normal 69 3 2 5" xfId="47987" xr:uid="{00000000-0005-0000-0000-000089C00000}"/>
    <cellStyle name="Normal 69 3 2 6" xfId="47988" xr:uid="{00000000-0005-0000-0000-00008AC00000}"/>
    <cellStyle name="Normal 69 3 2 7" xfId="47989" xr:uid="{00000000-0005-0000-0000-00008BC00000}"/>
    <cellStyle name="Normal 69 3 3" xfId="47990" xr:uid="{00000000-0005-0000-0000-00008CC00000}"/>
    <cellStyle name="Normal 69 3 3 2" xfId="47991" xr:uid="{00000000-0005-0000-0000-00008DC00000}"/>
    <cellStyle name="Normal 69 3 3 3" xfId="47992" xr:uid="{00000000-0005-0000-0000-00008EC00000}"/>
    <cellStyle name="Normal 69 3 3 4" xfId="47993" xr:uid="{00000000-0005-0000-0000-00008FC00000}"/>
    <cellStyle name="Normal 69 3 4" xfId="47994" xr:uid="{00000000-0005-0000-0000-000090C00000}"/>
    <cellStyle name="Normal 69 3 4 2" xfId="47995" xr:uid="{00000000-0005-0000-0000-000091C00000}"/>
    <cellStyle name="Normal 69 3 4 3" xfId="47996" xr:uid="{00000000-0005-0000-0000-000092C00000}"/>
    <cellStyle name="Normal 69 3 5" xfId="47997" xr:uid="{00000000-0005-0000-0000-000093C00000}"/>
    <cellStyle name="Normal 69 3 6" xfId="47998" xr:uid="{00000000-0005-0000-0000-000094C00000}"/>
    <cellStyle name="Normal 69 3 7" xfId="47999" xr:uid="{00000000-0005-0000-0000-000095C00000}"/>
    <cellStyle name="Normal 69 3 8" xfId="48000" xr:uid="{00000000-0005-0000-0000-000096C00000}"/>
    <cellStyle name="Normal 69 3 9" xfId="48001" xr:uid="{00000000-0005-0000-0000-000097C00000}"/>
    <cellStyle name="Normal 69 4" xfId="48002" xr:uid="{00000000-0005-0000-0000-000098C00000}"/>
    <cellStyle name="Normal 69 4 2" xfId="48003" xr:uid="{00000000-0005-0000-0000-000099C00000}"/>
    <cellStyle name="Normal 69 4 2 2" xfId="48004" xr:uid="{00000000-0005-0000-0000-00009AC00000}"/>
    <cellStyle name="Normal 69 4 2 3" xfId="48005" xr:uid="{00000000-0005-0000-0000-00009BC00000}"/>
    <cellStyle name="Normal 69 4 3" xfId="48006" xr:uid="{00000000-0005-0000-0000-00009CC00000}"/>
    <cellStyle name="Normal 69 4 3 2" xfId="48007" xr:uid="{00000000-0005-0000-0000-00009DC00000}"/>
    <cellStyle name="Normal 69 4 3 3" xfId="48008" xr:uid="{00000000-0005-0000-0000-00009EC00000}"/>
    <cellStyle name="Normal 69 4 4" xfId="48009" xr:uid="{00000000-0005-0000-0000-00009FC00000}"/>
    <cellStyle name="Normal 69 4 5" xfId="48010" xr:uid="{00000000-0005-0000-0000-0000A0C00000}"/>
    <cellStyle name="Normal 69 4 6" xfId="48011" xr:uid="{00000000-0005-0000-0000-0000A1C00000}"/>
    <cellStyle name="Normal 69 4 7" xfId="48012" xr:uid="{00000000-0005-0000-0000-0000A2C00000}"/>
    <cellStyle name="Normal 69 5" xfId="48013" xr:uid="{00000000-0005-0000-0000-0000A3C00000}"/>
    <cellStyle name="Normal 69 5 2" xfId="48014" xr:uid="{00000000-0005-0000-0000-0000A4C00000}"/>
    <cellStyle name="Normal 69 5 3" xfId="48015" xr:uid="{00000000-0005-0000-0000-0000A5C00000}"/>
    <cellStyle name="Normal 69 5 4" xfId="48016" xr:uid="{00000000-0005-0000-0000-0000A6C00000}"/>
    <cellStyle name="Normal 69 6" xfId="48017" xr:uid="{00000000-0005-0000-0000-0000A7C00000}"/>
    <cellStyle name="Normal 69 6 2" xfId="48018" xr:uid="{00000000-0005-0000-0000-0000A8C00000}"/>
    <cellStyle name="Normal 69 6 3" xfId="48019" xr:uid="{00000000-0005-0000-0000-0000A9C00000}"/>
    <cellStyle name="Normal 69 7" xfId="48020" xr:uid="{00000000-0005-0000-0000-0000AAC00000}"/>
    <cellStyle name="Normal 69 8" xfId="48021" xr:uid="{00000000-0005-0000-0000-0000ABC00000}"/>
    <cellStyle name="Normal 69 9" xfId="48022" xr:uid="{00000000-0005-0000-0000-0000ACC00000}"/>
    <cellStyle name="Normal 69_Order Book" xfId="48023" xr:uid="{00000000-0005-0000-0000-0000ADC00000}"/>
    <cellStyle name="Normal 690" xfId="48024" xr:uid="{00000000-0005-0000-0000-0000AEC00000}"/>
    <cellStyle name="Normal 691" xfId="48025" xr:uid="{00000000-0005-0000-0000-0000AFC00000}"/>
    <cellStyle name="Normal 692" xfId="48026" xr:uid="{00000000-0005-0000-0000-0000B0C00000}"/>
    <cellStyle name="Normal 693" xfId="48027" xr:uid="{00000000-0005-0000-0000-0000B1C00000}"/>
    <cellStyle name="Normal 694" xfId="48028" xr:uid="{00000000-0005-0000-0000-0000B2C00000}"/>
    <cellStyle name="Normal 695" xfId="48029" xr:uid="{00000000-0005-0000-0000-0000B3C00000}"/>
    <cellStyle name="Normal 696" xfId="48030" xr:uid="{00000000-0005-0000-0000-0000B4C00000}"/>
    <cellStyle name="Normal 697" xfId="48031" xr:uid="{00000000-0005-0000-0000-0000B5C00000}"/>
    <cellStyle name="Normal 698" xfId="48032" xr:uid="{00000000-0005-0000-0000-0000B6C00000}"/>
    <cellStyle name="Normal 699" xfId="48033" xr:uid="{00000000-0005-0000-0000-0000B7C00000}"/>
    <cellStyle name="Normal 7" xfId="3566" xr:uid="{00000000-0005-0000-0000-0000B8C00000}"/>
    <cellStyle name="Normal 7 10" xfId="48034" xr:uid="{00000000-0005-0000-0000-0000B9C00000}"/>
    <cellStyle name="Normal 7 2" xfId="3567" xr:uid="{00000000-0005-0000-0000-0000BAC00000}"/>
    <cellStyle name="Normal 7 2 2" xfId="3568" xr:uid="{00000000-0005-0000-0000-0000BBC00000}"/>
    <cellStyle name="Normal 7 2 2 2" xfId="48035" xr:uid="{00000000-0005-0000-0000-0000BCC00000}"/>
    <cellStyle name="Normal 7 2 3" xfId="48036" xr:uid="{00000000-0005-0000-0000-0000BDC00000}"/>
    <cellStyle name="Normal 7 2 4" xfId="48037" xr:uid="{00000000-0005-0000-0000-0000BEC00000}"/>
    <cellStyle name="Normal 7 3" xfId="3569" xr:uid="{00000000-0005-0000-0000-0000BFC00000}"/>
    <cellStyle name="Normal 7 3 2" xfId="48038" xr:uid="{00000000-0005-0000-0000-0000C0C00000}"/>
    <cellStyle name="Normal 7 3 3" xfId="48039" xr:uid="{00000000-0005-0000-0000-0000C1C00000}"/>
    <cellStyle name="Normal 7 4" xfId="48040" xr:uid="{00000000-0005-0000-0000-0000C2C00000}"/>
    <cellStyle name="Normal 7 4 2" xfId="48041" xr:uid="{00000000-0005-0000-0000-0000C3C00000}"/>
    <cellStyle name="Normal 7 4 3" xfId="48042" xr:uid="{00000000-0005-0000-0000-0000C4C00000}"/>
    <cellStyle name="Normal 7 5" xfId="48043" xr:uid="{00000000-0005-0000-0000-0000C5C00000}"/>
    <cellStyle name="Normal 7 5 2" xfId="48044" xr:uid="{00000000-0005-0000-0000-0000C6C00000}"/>
    <cellStyle name="Normal 7 6" xfId="48045" xr:uid="{00000000-0005-0000-0000-0000C7C00000}"/>
    <cellStyle name="Normal 7 6 2" xfId="48046" xr:uid="{00000000-0005-0000-0000-0000C8C00000}"/>
    <cellStyle name="Normal 7 7" xfId="48047" xr:uid="{00000000-0005-0000-0000-0000C9C00000}"/>
    <cellStyle name="Normal 7 8" xfId="48048" xr:uid="{00000000-0005-0000-0000-0000CAC00000}"/>
    <cellStyle name="Normal 7 9" xfId="48049" xr:uid="{00000000-0005-0000-0000-0000CBC00000}"/>
    <cellStyle name="Normal 70" xfId="3570" xr:uid="{00000000-0005-0000-0000-0000CCC00000}"/>
    <cellStyle name="Normal 70 10" xfId="48050" xr:uid="{00000000-0005-0000-0000-0000CDC00000}"/>
    <cellStyle name="Normal 70 11" xfId="48051" xr:uid="{00000000-0005-0000-0000-0000CEC00000}"/>
    <cellStyle name="Normal 70 12" xfId="48052" xr:uid="{00000000-0005-0000-0000-0000CFC00000}"/>
    <cellStyle name="Normal 70 13" xfId="48053" xr:uid="{00000000-0005-0000-0000-0000D0C00000}"/>
    <cellStyle name="Normal 70 14" xfId="48054" xr:uid="{00000000-0005-0000-0000-0000D1C00000}"/>
    <cellStyle name="Normal 70 2" xfId="48055" xr:uid="{00000000-0005-0000-0000-0000D2C00000}"/>
    <cellStyle name="Normal 70 2 10" xfId="48056" xr:uid="{00000000-0005-0000-0000-0000D3C00000}"/>
    <cellStyle name="Normal 70 2 2" xfId="48057" xr:uid="{00000000-0005-0000-0000-0000D4C00000}"/>
    <cellStyle name="Normal 70 2 2 2" xfId="48058" xr:uid="{00000000-0005-0000-0000-0000D5C00000}"/>
    <cellStyle name="Normal 70 2 2 2 2" xfId="48059" xr:uid="{00000000-0005-0000-0000-0000D6C00000}"/>
    <cellStyle name="Normal 70 2 2 2 2 2" xfId="48060" xr:uid="{00000000-0005-0000-0000-0000D7C00000}"/>
    <cellStyle name="Normal 70 2 2 2 2 3" xfId="48061" xr:uid="{00000000-0005-0000-0000-0000D8C00000}"/>
    <cellStyle name="Normal 70 2 2 2 3" xfId="48062" xr:uid="{00000000-0005-0000-0000-0000D9C00000}"/>
    <cellStyle name="Normal 70 2 2 2 3 2" xfId="48063" xr:uid="{00000000-0005-0000-0000-0000DAC00000}"/>
    <cellStyle name="Normal 70 2 2 2 3 3" xfId="48064" xr:uid="{00000000-0005-0000-0000-0000DBC00000}"/>
    <cellStyle name="Normal 70 2 2 2 4" xfId="48065" xr:uid="{00000000-0005-0000-0000-0000DCC00000}"/>
    <cellStyle name="Normal 70 2 2 2 5" xfId="48066" xr:uid="{00000000-0005-0000-0000-0000DDC00000}"/>
    <cellStyle name="Normal 70 2 2 2 6" xfId="48067" xr:uid="{00000000-0005-0000-0000-0000DEC00000}"/>
    <cellStyle name="Normal 70 2 2 2 7" xfId="48068" xr:uid="{00000000-0005-0000-0000-0000DFC00000}"/>
    <cellStyle name="Normal 70 2 2 3" xfId="48069" xr:uid="{00000000-0005-0000-0000-0000E0C00000}"/>
    <cellStyle name="Normal 70 2 2 3 2" xfId="48070" xr:uid="{00000000-0005-0000-0000-0000E1C00000}"/>
    <cellStyle name="Normal 70 2 2 3 3" xfId="48071" xr:uid="{00000000-0005-0000-0000-0000E2C00000}"/>
    <cellStyle name="Normal 70 2 2 3 4" xfId="48072" xr:uid="{00000000-0005-0000-0000-0000E3C00000}"/>
    <cellStyle name="Normal 70 2 2 4" xfId="48073" xr:uid="{00000000-0005-0000-0000-0000E4C00000}"/>
    <cellStyle name="Normal 70 2 2 4 2" xfId="48074" xr:uid="{00000000-0005-0000-0000-0000E5C00000}"/>
    <cellStyle name="Normal 70 2 2 4 3" xfId="48075" xr:uid="{00000000-0005-0000-0000-0000E6C00000}"/>
    <cellStyle name="Normal 70 2 2 5" xfId="48076" xr:uid="{00000000-0005-0000-0000-0000E7C00000}"/>
    <cellStyle name="Normal 70 2 2 6" xfId="48077" xr:uid="{00000000-0005-0000-0000-0000E8C00000}"/>
    <cellStyle name="Normal 70 2 2 7" xfId="48078" xr:uid="{00000000-0005-0000-0000-0000E9C00000}"/>
    <cellStyle name="Normal 70 2 2 8" xfId="48079" xr:uid="{00000000-0005-0000-0000-0000EAC00000}"/>
    <cellStyle name="Normal 70 2 2 9" xfId="48080" xr:uid="{00000000-0005-0000-0000-0000EBC00000}"/>
    <cellStyle name="Normal 70 2 3" xfId="48081" xr:uid="{00000000-0005-0000-0000-0000ECC00000}"/>
    <cellStyle name="Normal 70 2 3 2" xfId="48082" xr:uid="{00000000-0005-0000-0000-0000EDC00000}"/>
    <cellStyle name="Normal 70 2 3 2 2" xfId="48083" xr:uid="{00000000-0005-0000-0000-0000EEC00000}"/>
    <cellStyle name="Normal 70 2 3 2 3" xfId="48084" xr:uid="{00000000-0005-0000-0000-0000EFC00000}"/>
    <cellStyle name="Normal 70 2 3 3" xfId="48085" xr:uid="{00000000-0005-0000-0000-0000F0C00000}"/>
    <cellStyle name="Normal 70 2 3 3 2" xfId="48086" xr:uid="{00000000-0005-0000-0000-0000F1C00000}"/>
    <cellStyle name="Normal 70 2 3 3 3" xfId="48087" xr:uid="{00000000-0005-0000-0000-0000F2C00000}"/>
    <cellStyle name="Normal 70 2 3 4" xfId="48088" xr:uid="{00000000-0005-0000-0000-0000F3C00000}"/>
    <cellStyle name="Normal 70 2 3 5" xfId="48089" xr:uid="{00000000-0005-0000-0000-0000F4C00000}"/>
    <cellStyle name="Normal 70 2 3 6" xfId="48090" xr:uid="{00000000-0005-0000-0000-0000F5C00000}"/>
    <cellStyle name="Normal 70 2 3 7" xfId="48091" xr:uid="{00000000-0005-0000-0000-0000F6C00000}"/>
    <cellStyle name="Normal 70 2 4" xfId="48092" xr:uid="{00000000-0005-0000-0000-0000F7C00000}"/>
    <cellStyle name="Normal 70 2 4 2" xfId="48093" xr:uid="{00000000-0005-0000-0000-0000F8C00000}"/>
    <cellStyle name="Normal 70 2 4 3" xfId="48094" xr:uid="{00000000-0005-0000-0000-0000F9C00000}"/>
    <cellStyle name="Normal 70 2 4 4" xfId="48095" xr:uid="{00000000-0005-0000-0000-0000FAC00000}"/>
    <cellStyle name="Normal 70 2 5" xfId="48096" xr:uid="{00000000-0005-0000-0000-0000FBC00000}"/>
    <cellStyle name="Normal 70 2 5 2" xfId="48097" xr:uid="{00000000-0005-0000-0000-0000FCC00000}"/>
    <cellStyle name="Normal 70 2 5 3" xfId="48098" xr:uid="{00000000-0005-0000-0000-0000FDC00000}"/>
    <cellStyle name="Normal 70 2 6" xfId="48099" xr:uid="{00000000-0005-0000-0000-0000FEC00000}"/>
    <cellStyle name="Normal 70 2 7" xfId="48100" xr:uid="{00000000-0005-0000-0000-0000FFC00000}"/>
    <cellStyle name="Normal 70 2 8" xfId="48101" xr:uid="{00000000-0005-0000-0000-000000C10000}"/>
    <cellStyle name="Normal 70 2 9" xfId="48102" xr:uid="{00000000-0005-0000-0000-000001C10000}"/>
    <cellStyle name="Normal 70 3" xfId="48103" xr:uid="{00000000-0005-0000-0000-000002C10000}"/>
    <cellStyle name="Normal 70 3 2" xfId="48104" xr:uid="{00000000-0005-0000-0000-000003C10000}"/>
    <cellStyle name="Normal 70 3 2 2" xfId="48105" xr:uid="{00000000-0005-0000-0000-000004C10000}"/>
    <cellStyle name="Normal 70 3 2 2 2" xfId="48106" xr:uid="{00000000-0005-0000-0000-000005C10000}"/>
    <cellStyle name="Normal 70 3 2 2 3" xfId="48107" xr:uid="{00000000-0005-0000-0000-000006C10000}"/>
    <cellStyle name="Normal 70 3 2 3" xfId="48108" xr:uid="{00000000-0005-0000-0000-000007C10000}"/>
    <cellStyle name="Normal 70 3 2 3 2" xfId="48109" xr:uid="{00000000-0005-0000-0000-000008C10000}"/>
    <cellStyle name="Normal 70 3 2 3 3" xfId="48110" xr:uid="{00000000-0005-0000-0000-000009C10000}"/>
    <cellStyle name="Normal 70 3 2 4" xfId="48111" xr:uid="{00000000-0005-0000-0000-00000AC10000}"/>
    <cellStyle name="Normal 70 3 2 5" xfId="48112" xr:uid="{00000000-0005-0000-0000-00000BC10000}"/>
    <cellStyle name="Normal 70 3 2 6" xfId="48113" xr:uid="{00000000-0005-0000-0000-00000CC10000}"/>
    <cellStyle name="Normal 70 3 2 7" xfId="48114" xr:uid="{00000000-0005-0000-0000-00000DC10000}"/>
    <cellStyle name="Normal 70 3 3" xfId="48115" xr:uid="{00000000-0005-0000-0000-00000EC10000}"/>
    <cellStyle name="Normal 70 3 3 2" xfId="48116" xr:uid="{00000000-0005-0000-0000-00000FC10000}"/>
    <cellStyle name="Normal 70 3 3 3" xfId="48117" xr:uid="{00000000-0005-0000-0000-000010C10000}"/>
    <cellStyle name="Normal 70 3 3 4" xfId="48118" xr:uid="{00000000-0005-0000-0000-000011C10000}"/>
    <cellStyle name="Normal 70 3 4" xfId="48119" xr:uid="{00000000-0005-0000-0000-000012C10000}"/>
    <cellStyle name="Normal 70 3 4 2" xfId="48120" xr:uid="{00000000-0005-0000-0000-000013C10000}"/>
    <cellStyle name="Normal 70 3 4 3" xfId="48121" xr:uid="{00000000-0005-0000-0000-000014C10000}"/>
    <cellStyle name="Normal 70 3 5" xfId="48122" xr:uid="{00000000-0005-0000-0000-000015C10000}"/>
    <cellStyle name="Normal 70 3 6" xfId="48123" xr:uid="{00000000-0005-0000-0000-000016C10000}"/>
    <cellStyle name="Normal 70 3 7" xfId="48124" xr:uid="{00000000-0005-0000-0000-000017C10000}"/>
    <cellStyle name="Normal 70 3 8" xfId="48125" xr:uid="{00000000-0005-0000-0000-000018C10000}"/>
    <cellStyle name="Normal 70 3 9" xfId="48126" xr:uid="{00000000-0005-0000-0000-000019C10000}"/>
    <cellStyle name="Normal 70 4" xfId="48127" xr:uid="{00000000-0005-0000-0000-00001AC10000}"/>
    <cellStyle name="Normal 70 4 2" xfId="48128" xr:uid="{00000000-0005-0000-0000-00001BC10000}"/>
    <cellStyle name="Normal 70 4 2 2" xfId="48129" xr:uid="{00000000-0005-0000-0000-00001CC10000}"/>
    <cellStyle name="Normal 70 4 2 3" xfId="48130" xr:uid="{00000000-0005-0000-0000-00001DC10000}"/>
    <cellStyle name="Normal 70 4 3" xfId="48131" xr:uid="{00000000-0005-0000-0000-00001EC10000}"/>
    <cellStyle name="Normal 70 4 3 2" xfId="48132" xr:uid="{00000000-0005-0000-0000-00001FC10000}"/>
    <cellStyle name="Normal 70 4 3 3" xfId="48133" xr:uid="{00000000-0005-0000-0000-000020C10000}"/>
    <cellStyle name="Normal 70 4 4" xfId="48134" xr:uid="{00000000-0005-0000-0000-000021C10000}"/>
    <cellStyle name="Normal 70 4 5" xfId="48135" xr:uid="{00000000-0005-0000-0000-000022C10000}"/>
    <cellStyle name="Normal 70 4 6" xfId="48136" xr:uid="{00000000-0005-0000-0000-000023C10000}"/>
    <cellStyle name="Normal 70 4 7" xfId="48137" xr:uid="{00000000-0005-0000-0000-000024C10000}"/>
    <cellStyle name="Normal 70 5" xfId="48138" xr:uid="{00000000-0005-0000-0000-000025C10000}"/>
    <cellStyle name="Normal 70 5 2" xfId="48139" xr:uid="{00000000-0005-0000-0000-000026C10000}"/>
    <cellStyle name="Normal 70 5 3" xfId="48140" xr:uid="{00000000-0005-0000-0000-000027C10000}"/>
    <cellStyle name="Normal 70 5 4" xfId="48141" xr:uid="{00000000-0005-0000-0000-000028C10000}"/>
    <cellStyle name="Normal 70 6" xfId="48142" xr:uid="{00000000-0005-0000-0000-000029C10000}"/>
    <cellStyle name="Normal 70 6 2" xfId="48143" xr:uid="{00000000-0005-0000-0000-00002AC10000}"/>
    <cellStyle name="Normal 70 6 3" xfId="48144" xr:uid="{00000000-0005-0000-0000-00002BC10000}"/>
    <cellStyle name="Normal 70 7" xfId="48145" xr:uid="{00000000-0005-0000-0000-00002CC10000}"/>
    <cellStyle name="Normal 70 8" xfId="48146" xr:uid="{00000000-0005-0000-0000-00002DC10000}"/>
    <cellStyle name="Normal 70 9" xfId="48147" xr:uid="{00000000-0005-0000-0000-00002EC10000}"/>
    <cellStyle name="Normal 70_Order Book" xfId="48148" xr:uid="{00000000-0005-0000-0000-00002FC10000}"/>
    <cellStyle name="Normal 700" xfId="48149" xr:uid="{00000000-0005-0000-0000-000030C10000}"/>
    <cellStyle name="Normal 701" xfId="48150" xr:uid="{00000000-0005-0000-0000-000031C10000}"/>
    <cellStyle name="Normal 702" xfId="48151" xr:uid="{00000000-0005-0000-0000-000032C10000}"/>
    <cellStyle name="Normal 703" xfId="48152" xr:uid="{00000000-0005-0000-0000-000033C10000}"/>
    <cellStyle name="Normal 704" xfId="48153" xr:uid="{00000000-0005-0000-0000-000034C10000}"/>
    <cellStyle name="Normal 705" xfId="48154" xr:uid="{00000000-0005-0000-0000-000035C10000}"/>
    <cellStyle name="Normal 706" xfId="48155" xr:uid="{00000000-0005-0000-0000-000036C10000}"/>
    <cellStyle name="Normal 707" xfId="48156" xr:uid="{00000000-0005-0000-0000-000037C10000}"/>
    <cellStyle name="Normal 707 2" xfId="48157" xr:uid="{00000000-0005-0000-0000-000038C10000}"/>
    <cellStyle name="Normal 708" xfId="48158" xr:uid="{00000000-0005-0000-0000-000039C10000}"/>
    <cellStyle name="Normal 708 2" xfId="48159" xr:uid="{00000000-0005-0000-0000-00003AC10000}"/>
    <cellStyle name="Normal 709" xfId="48160" xr:uid="{00000000-0005-0000-0000-00003BC10000}"/>
    <cellStyle name="Normal 709 2" xfId="48161" xr:uid="{00000000-0005-0000-0000-00003CC10000}"/>
    <cellStyle name="Normal 71" xfId="3571" xr:uid="{00000000-0005-0000-0000-00003DC10000}"/>
    <cellStyle name="Normal 71 10" xfId="48162" xr:uid="{00000000-0005-0000-0000-00003EC10000}"/>
    <cellStyle name="Normal 71 11" xfId="48163" xr:uid="{00000000-0005-0000-0000-00003FC10000}"/>
    <cellStyle name="Normal 71 12" xfId="48164" xr:uid="{00000000-0005-0000-0000-000040C10000}"/>
    <cellStyle name="Normal 71 13" xfId="48165" xr:uid="{00000000-0005-0000-0000-000041C10000}"/>
    <cellStyle name="Normal 71 2" xfId="3572" xr:uid="{00000000-0005-0000-0000-000042C10000}"/>
    <cellStyle name="Normal 71 2 10" xfId="48166" xr:uid="{00000000-0005-0000-0000-000043C10000}"/>
    <cellStyle name="Normal 71 2 11" xfId="48167" xr:uid="{00000000-0005-0000-0000-000044C10000}"/>
    <cellStyle name="Normal 71 2 2" xfId="48168" xr:uid="{00000000-0005-0000-0000-000045C10000}"/>
    <cellStyle name="Normal 71 2 2 2" xfId="48169" xr:uid="{00000000-0005-0000-0000-000046C10000}"/>
    <cellStyle name="Normal 71 2 2 2 2" xfId="48170" xr:uid="{00000000-0005-0000-0000-000047C10000}"/>
    <cellStyle name="Normal 71 2 2 2 2 2" xfId="48171" xr:uid="{00000000-0005-0000-0000-000048C10000}"/>
    <cellStyle name="Normal 71 2 2 2 2 3" xfId="48172" xr:uid="{00000000-0005-0000-0000-000049C10000}"/>
    <cellStyle name="Normal 71 2 2 2 3" xfId="48173" xr:uid="{00000000-0005-0000-0000-00004AC10000}"/>
    <cellStyle name="Normal 71 2 2 2 3 2" xfId="48174" xr:uid="{00000000-0005-0000-0000-00004BC10000}"/>
    <cellStyle name="Normal 71 2 2 2 3 3" xfId="48175" xr:uid="{00000000-0005-0000-0000-00004CC10000}"/>
    <cellStyle name="Normal 71 2 2 2 4" xfId="48176" xr:uid="{00000000-0005-0000-0000-00004DC10000}"/>
    <cellStyle name="Normal 71 2 2 2 5" xfId="48177" xr:uid="{00000000-0005-0000-0000-00004EC10000}"/>
    <cellStyle name="Normal 71 2 2 2 6" xfId="48178" xr:uid="{00000000-0005-0000-0000-00004FC10000}"/>
    <cellStyle name="Normal 71 2 2 2 7" xfId="48179" xr:uid="{00000000-0005-0000-0000-000050C10000}"/>
    <cellStyle name="Normal 71 2 2 3" xfId="48180" xr:uid="{00000000-0005-0000-0000-000051C10000}"/>
    <cellStyle name="Normal 71 2 2 3 2" xfId="48181" xr:uid="{00000000-0005-0000-0000-000052C10000}"/>
    <cellStyle name="Normal 71 2 2 3 3" xfId="48182" xr:uid="{00000000-0005-0000-0000-000053C10000}"/>
    <cellStyle name="Normal 71 2 2 3 4" xfId="48183" xr:uid="{00000000-0005-0000-0000-000054C10000}"/>
    <cellStyle name="Normal 71 2 2 4" xfId="48184" xr:uid="{00000000-0005-0000-0000-000055C10000}"/>
    <cellStyle name="Normal 71 2 2 4 2" xfId="48185" xr:uid="{00000000-0005-0000-0000-000056C10000}"/>
    <cellStyle name="Normal 71 2 2 4 3" xfId="48186" xr:uid="{00000000-0005-0000-0000-000057C10000}"/>
    <cellStyle name="Normal 71 2 2 5" xfId="48187" xr:uid="{00000000-0005-0000-0000-000058C10000}"/>
    <cellStyle name="Normal 71 2 2 6" xfId="48188" xr:uid="{00000000-0005-0000-0000-000059C10000}"/>
    <cellStyle name="Normal 71 2 2 7" xfId="48189" xr:uid="{00000000-0005-0000-0000-00005AC10000}"/>
    <cellStyle name="Normal 71 2 2 8" xfId="48190" xr:uid="{00000000-0005-0000-0000-00005BC10000}"/>
    <cellStyle name="Normal 71 2 2 9" xfId="48191" xr:uid="{00000000-0005-0000-0000-00005CC10000}"/>
    <cellStyle name="Normal 71 2 3" xfId="48192" xr:uid="{00000000-0005-0000-0000-00005DC10000}"/>
    <cellStyle name="Normal 71 2 3 2" xfId="48193" xr:uid="{00000000-0005-0000-0000-00005EC10000}"/>
    <cellStyle name="Normal 71 2 3 2 2" xfId="48194" xr:uid="{00000000-0005-0000-0000-00005FC10000}"/>
    <cellStyle name="Normal 71 2 3 2 3" xfId="48195" xr:uid="{00000000-0005-0000-0000-000060C10000}"/>
    <cellStyle name="Normal 71 2 3 3" xfId="48196" xr:uid="{00000000-0005-0000-0000-000061C10000}"/>
    <cellStyle name="Normal 71 2 3 3 2" xfId="48197" xr:uid="{00000000-0005-0000-0000-000062C10000}"/>
    <cellStyle name="Normal 71 2 3 3 3" xfId="48198" xr:uid="{00000000-0005-0000-0000-000063C10000}"/>
    <cellStyle name="Normal 71 2 3 4" xfId="48199" xr:uid="{00000000-0005-0000-0000-000064C10000}"/>
    <cellStyle name="Normal 71 2 3 5" xfId="48200" xr:uid="{00000000-0005-0000-0000-000065C10000}"/>
    <cellStyle name="Normal 71 2 3 6" xfId="48201" xr:uid="{00000000-0005-0000-0000-000066C10000}"/>
    <cellStyle name="Normal 71 2 3 7" xfId="48202" xr:uid="{00000000-0005-0000-0000-000067C10000}"/>
    <cellStyle name="Normal 71 2 4" xfId="48203" xr:uid="{00000000-0005-0000-0000-000068C10000}"/>
    <cellStyle name="Normal 71 2 4 2" xfId="48204" xr:uid="{00000000-0005-0000-0000-000069C10000}"/>
    <cellStyle name="Normal 71 2 4 3" xfId="48205" xr:uid="{00000000-0005-0000-0000-00006AC10000}"/>
    <cellStyle name="Normal 71 2 4 4" xfId="48206" xr:uid="{00000000-0005-0000-0000-00006BC10000}"/>
    <cellStyle name="Normal 71 2 5" xfId="48207" xr:uid="{00000000-0005-0000-0000-00006CC10000}"/>
    <cellStyle name="Normal 71 2 5 2" xfId="48208" xr:uid="{00000000-0005-0000-0000-00006DC10000}"/>
    <cellStyle name="Normal 71 2 5 3" xfId="48209" xr:uid="{00000000-0005-0000-0000-00006EC10000}"/>
    <cellStyle name="Normal 71 2 6" xfId="48210" xr:uid="{00000000-0005-0000-0000-00006FC10000}"/>
    <cellStyle name="Normal 71 2 7" xfId="48211" xr:uid="{00000000-0005-0000-0000-000070C10000}"/>
    <cellStyle name="Normal 71 2 8" xfId="48212" xr:uid="{00000000-0005-0000-0000-000071C10000}"/>
    <cellStyle name="Normal 71 2 9" xfId="48213" xr:uid="{00000000-0005-0000-0000-000072C10000}"/>
    <cellStyle name="Normal 71 3" xfId="48214" xr:uid="{00000000-0005-0000-0000-000073C10000}"/>
    <cellStyle name="Normal 71 3 2" xfId="48215" xr:uid="{00000000-0005-0000-0000-000074C10000}"/>
    <cellStyle name="Normal 71 3 2 2" xfId="48216" xr:uid="{00000000-0005-0000-0000-000075C10000}"/>
    <cellStyle name="Normal 71 3 2 2 2" xfId="48217" xr:uid="{00000000-0005-0000-0000-000076C10000}"/>
    <cellStyle name="Normal 71 3 2 2 3" xfId="48218" xr:uid="{00000000-0005-0000-0000-000077C10000}"/>
    <cellStyle name="Normal 71 3 2 3" xfId="48219" xr:uid="{00000000-0005-0000-0000-000078C10000}"/>
    <cellStyle name="Normal 71 3 2 3 2" xfId="48220" xr:uid="{00000000-0005-0000-0000-000079C10000}"/>
    <cellStyle name="Normal 71 3 2 3 3" xfId="48221" xr:uid="{00000000-0005-0000-0000-00007AC10000}"/>
    <cellStyle name="Normal 71 3 2 4" xfId="48222" xr:uid="{00000000-0005-0000-0000-00007BC10000}"/>
    <cellStyle name="Normal 71 3 2 5" xfId="48223" xr:uid="{00000000-0005-0000-0000-00007CC10000}"/>
    <cellStyle name="Normal 71 3 2 6" xfId="48224" xr:uid="{00000000-0005-0000-0000-00007DC10000}"/>
    <cellStyle name="Normal 71 3 2 7" xfId="48225" xr:uid="{00000000-0005-0000-0000-00007EC10000}"/>
    <cellStyle name="Normal 71 3 3" xfId="48226" xr:uid="{00000000-0005-0000-0000-00007FC10000}"/>
    <cellStyle name="Normal 71 3 3 2" xfId="48227" xr:uid="{00000000-0005-0000-0000-000080C10000}"/>
    <cellStyle name="Normal 71 3 3 3" xfId="48228" xr:uid="{00000000-0005-0000-0000-000081C10000}"/>
    <cellStyle name="Normal 71 3 3 4" xfId="48229" xr:uid="{00000000-0005-0000-0000-000082C10000}"/>
    <cellStyle name="Normal 71 3 4" xfId="48230" xr:uid="{00000000-0005-0000-0000-000083C10000}"/>
    <cellStyle name="Normal 71 3 4 2" xfId="48231" xr:uid="{00000000-0005-0000-0000-000084C10000}"/>
    <cellStyle name="Normal 71 3 4 3" xfId="48232" xr:uid="{00000000-0005-0000-0000-000085C10000}"/>
    <cellStyle name="Normal 71 3 5" xfId="48233" xr:uid="{00000000-0005-0000-0000-000086C10000}"/>
    <cellStyle name="Normal 71 3 6" xfId="48234" xr:uid="{00000000-0005-0000-0000-000087C10000}"/>
    <cellStyle name="Normal 71 3 7" xfId="48235" xr:uid="{00000000-0005-0000-0000-000088C10000}"/>
    <cellStyle name="Normal 71 3 8" xfId="48236" xr:uid="{00000000-0005-0000-0000-000089C10000}"/>
    <cellStyle name="Normal 71 3 9" xfId="48237" xr:uid="{00000000-0005-0000-0000-00008AC10000}"/>
    <cellStyle name="Normal 71 4" xfId="48238" xr:uid="{00000000-0005-0000-0000-00008BC10000}"/>
    <cellStyle name="Normal 71 4 2" xfId="48239" xr:uid="{00000000-0005-0000-0000-00008CC10000}"/>
    <cellStyle name="Normal 71 4 2 2" xfId="48240" xr:uid="{00000000-0005-0000-0000-00008DC10000}"/>
    <cellStyle name="Normal 71 4 2 3" xfId="48241" xr:uid="{00000000-0005-0000-0000-00008EC10000}"/>
    <cellStyle name="Normal 71 4 3" xfId="48242" xr:uid="{00000000-0005-0000-0000-00008FC10000}"/>
    <cellStyle name="Normal 71 4 3 2" xfId="48243" xr:uid="{00000000-0005-0000-0000-000090C10000}"/>
    <cellStyle name="Normal 71 4 3 3" xfId="48244" xr:uid="{00000000-0005-0000-0000-000091C10000}"/>
    <cellStyle name="Normal 71 4 4" xfId="48245" xr:uid="{00000000-0005-0000-0000-000092C10000}"/>
    <cellStyle name="Normal 71 4 5" xfId="48246" xr:uid="{00000000-0005-0000-0000-000093C10000}"/>
    <cellStyle name="Normal 71 4 6" xfId="48247" xr:uid="{00000000-0005-0000-0000-000094C10000}"/>
    <cellStyle name="Normal 71 4 7" xfId="48248" xr:uid="{00000000-0005-0000-0000-000095C10000}"/>
    <cellStyle name="Normal 71 5" xfId="48249" xr:uid="{00000000-0005-0000-0000-000096C10000}"/>
    <cellStyle name="Normal 71 5 2" xfId="48250" xr:uid="{00000000-0005-0000-0000-000097C10000}"/>
    <cellStyle name="Normal 71 5 3" xfId="48251" xr:uid="{00000000-0005-0000-0000-000098C10000}"/>
    <cellStyle name="Normal 71 5 4" xfId="48252" xr:uid="{00000000-0005-0000-0000-000099C10000}"/>
    <cellStyle name="Normal 71 6" xfId="48253" xr:uid="{00000000-0005-0000-0000-00009AC10000}"/>
    <cellStyle name="Normal 71 6 2" xfId="48254" xr:uid="{00000000-0005-0000-0000-00009BC10000}"/>
    <cellStyle name="Normal 71 6 3" xfId="48255" xr:uid="{00000000-0005-0000-0000-00009CC10000}"/>
    <cellStyle name="Normal 71 7" xfId="48256" xr:uid="{00000000-0005-0000-0000-00009DC10000}"/>
    <cellStyle name="Normal 71 8" xfId="48257" xr:uid="{00000000-0005-0000-0000-00009EC10000}"/>
    <cellStyle name="Normal 71 9" xfId="48258" xr:uid="{00000000-0005-0000-0000-00009FC10000}"/>
    <cellStyle name="Normal 71_Order Book" xfId="48259" xr:uid="{00000000-0005-0000-0000-0000A0C10000}"/>
    <cellStyle name="Normal 710" xfId="48260" xr:uid="{00000000-0005-0000-0000-0000A1C10000}"/>
    <cellStyle name="Normal 711" xfId="48261" xr:uid="{00000000-0005-0000-0000-0000A2C10000}"/>
    <cellStyle name="Normal 712" xfId="48262" xr:uid="{00000000-0005-0000-0000-0000A3C10000}"/>
    <cellStyle name="Normal 713" xfId="48263" xr:uid="{00000000-0005-0000-0000-0000A4C10000}"/>
    <cellStyle name="Normal 714" xfId="48264" xr:uid="{00000000-0005-0000-0000-0000A5C10000}"/>
    <cellStyle name="Normal 715" xfId="48265" xr:uid="{00000000-0005-0000-0000-0000A6C10000}"/>
    <cellStyle name="Normal 716" xfId="48266" xr:uid="{00000000-0005-0000-0000-0000A7C10000}"/>
    <cellStyle name="Normal 717" xfId="48267" xr:uid="{00000000-0005-0000-0000-0000A8C10000}"/>
    <cellStyle name="Normal 718" xfId="48268" xr:uid="{00000000-0005-0000-0000-0000A9C10000}"/>
    <cellStyle name="Normal 719" xfId="48269" xr:uid="{00000000-0005-0000-0000-0000AAC10000}"/>
    <cellStyle name="Normal 72" xfId="3573" xr:uid="{00000000-0005-0000-0000-0000ABC10000}"/>
    <cellStyle name="Normal 72 10" xfId="48270" xr:uid="{00000000-0005-0000-0000-0000ACC10000}"/>
    <cellStyle name="Normal 72 11" xfId="48271" xr:uid="{00000000-0005-0000-0000-0000ADC10000}"/>
    <cellStyle name="Normal 72 12" xfId="48272" xr:uid="{00000000-0005-0000-0000-0000AEC10000}"/>
    <cellStyle name="Normal 72 13" xfId="48273" xr:uid="{00000000-0005-0000-0000-0000AFC10000}"/>
    <cellStyle name="Normal 72 2" xfId="48274" xr:uid="{00000000-0005-0000-0000-0000B0C10000}"/>
    <cellStyle name="Normal 72 2 10" xfId="48275" xr:uid="{00000000-0005-0000-0000-0000B1C10000}"/>
    <cellStyle name="Normal 72 2 2" xfId="48276" xr:uid="{00000000-0005-0000-0000-0000B2C10000}"/>
    <cellStyle name="Normal 72 2 2 2" xfId="48277" xr:uid="{00000000-0005-0000-0000-0000B3C10000}"/>
    <cellStyle name="Normal 72 2 2 2 2" xfId="48278" xr:uid="{00000000-0005-0000-0000-0000B4C10000}"/>
    <cellStyle name="Normal 72 2 2 2 2 2" xfId="48279" xr:uid="{00000000-0005-0000-0000-0000B5C10000}"/>
    <cellStyle name="Normal 72 2 2 2 2 3" xfId="48280" xr:uid="{00000000-0005-0000-0000-0000B6C10000}"/>
    <cellStyle name="Normal 72 2 2 2 3" xfId="48281" xr:uid="{00000000-0005-0000-0000-0000B7C10000}"/>
    <cellStyle name="Normal 72 2 2 2 3 2" xfId="48282" xr:uid="{00000000-0005-0000-0000-0000B8C10000}"/>
    <cellStyle name="Normal 72 2 2 2 3 3" xfId="48283" xr:uid="{00000000-0005-0000-0000-0000B9C10000}"/>
    <cellStyle name="Normal 72 2 2 2 4" xfId="48284" xr:uid="{00000000-0005-0000-0000-0000BAC10000}"/>
    <cellStyle name="Normal 72 2 2 2 5" xfId="48285" xr:uid="{00000000-0005-0000-0000-0000BBC10000}"/>
    <cellStyle name="Normal 72 2 2 2 6" xfId="48286" xr:uid="{00000000-0005-0000-0000-0000BCC10000}"/>
    <cellStyle name="Normal 72 2 2 2 7" xfId="48287" xr:uid="{00000000-0005-0000-0000-0000BDC10000}"/>
    <cellStyle name="Normal 72 2 2 3" xfId="48288" xr:uid="{00000000-0005-0000-0000-0000BEC10000}"/>
    <cellStyle name="Normal 72 2 2 3 2" xfId="48289" xr:uid="{00000000-0005-0000-0000-0000BFC10000}"/>
    <cellStyle name="Normal 72 2 2 3 3" xfId="48290" xr:uid="{00000000-0005-0000-0000-0000C0C10000}"/>
    <cellStyle name="Normal 72 2 2 3 4" xfId="48291" xr:uid="{00000000-0005-0000-0000-0000C1C10000}"/>
    <cellStyle name="Normal 72 2 2 4" xfId="48292" xr:uid="{00000000-0005-0000-0000-0000C2C10000}"/>
    <cellStyle name="Normal 72 2 2 4 2" xfId="48293" xr:uid="{00000000-0005-0000-0000-0000C3C10000}"/>
    <cellStyle name="Normal 72 2 2 4 3" xfId="48294" xr:uid="{00000000-0005-0000-0000-0000C4C10000}"/>
    <cellStyle name="Normal 72 2 2 5" xfId="48295" xr:uid="{00000000-0005-0000-0000-0000C5C10000}"/>
    <cellStyle name="Normal 72 2 2 6" xfId="48296" xr:uid="{00000000-0005-0000-0000-0000C6C10000}"/>
    <cellStyle name="Normal 72 2 2 7" xfId="48297" xr:uid="{00000000-0005-0000-0000-0000C7C10000}"/>
    <cellStyle name="Normal 72 2 2 8" xfId="48298" xr:uid="{00000000-0005-0000-0000-0000C8C10000}"/>
    <cellStyle name="Normal 72 2 2 9" xfId="48299" xr:uid="{00000000-0005-0000-0000-0000C9C10000}"/>
    <cellStyle name="Normal 72 2 3" xfId="48300" xr:uid="{00000000-0005-0000-0000-0000CAC10000}"/>
    <cellStyle name="Normal 72 2 3 2" xfId="48301" xr:uid="{00000000-0005-0000-0000-0000CBC10000}"/>
    <cellStyle name="Normal 72 2 3 2 2" xfId="48302" xr:uid="{00000000-0005-0000-0000-0000CCC10000}"/>
    <cellStyle name="Normal 72 2 3 2 3" xfId="48303" xr:uid="{00000000-0005-0000-0000-0000CDC10000}"/>
    <cellStyle name="Normal 72 2 3 3" xfId="48304" xr:uid="{00000000-0005-0000-0000-0000CEC10000}"/>
    <cellStyle name="Normal 72 2 3 3 2" xfId="48305" xr:uid="{00000000-0005-0000-0000-0000CFC10000}"/>
    <cellStyle name="Normal 72 2 3 3 3" xfId="48306" xr:uid="{00000000-0005-0000-0000-0000D0C10000}"/>
    <cellStyle name="Normal 72 2 3 4" xfId="48307" xr:uid="{00000000-0005-0000-0000-0000D1C10000}"/>
    <cellStyle name="Normal 72 2 3 5" xfId="48308" xr:uid="{00000000-0005-0000-0000-0000D2C10000}"/>
    <cellStyle name="Normal 72 2 3 6" xfId="48309" xr:uid="{00000000-0005-0000-0000-0000D3C10000}"/>
    <cellStyle name="Normal 72 2 3 7" xfId="48310" xr:uid="{00000000-0005-0000-0000-0000D4C10000}"/>
    <cellStyle name="Normal 72 2 4" xfId="48311" xr:uid="{00000000-0005-0000-0000-0000D5C10000}"/>
    <cellStyle name="Normal 72 2 4 2" xfId="48312" xr:uid="{00000000-0005-0000-0000-0000D6C10000}"/>
    <cellStyle name="Normal 72 2 4 3" xfId="48313" xr:uid="{00000000-0005-0000-0000-0000D7C10000}"/>
    <cellStyle name="Normal 72 2 4 4" xfId="48314" xr:uid="{00000000-0005-0000-0000-0000D8C10000}"/>
    <cellStyle name="Normal 72 2 5" xfId="48315" xr:uid="{00000000-0005-0000-0000-0000D9C10000}"/>
    <cellStyle name="Normal 72 2 5 2" xfId="48316" xr:uid="{00000000-0005-0000-0000-0000DAC10000}"/>
    <cellStyle name="Normal 72 2 5 3" xfId="48317" xr:uid="{00000000-0005-0000-0000-0000DBC10000}"/>
    <cellStyle name="Normal 72 2 6" xfId="48318" xr:uid="{00000000-0005-0000-0000-0000DCC10000}"/>
    <cellStyle name="Normal 72 2 7" xfId="48319" xr:uid="{00000000-0005-0000-0000-0000DDC10000}"/>
    <cellStyle name="Normal 72 2 8" xfId="48320" xr:uid="{00000000-0005-0000-0000-0000DEC10000}"/>
    <cellStyle name="Normal 72 2 9" xfId="48321" xr:uid="{00000000-0005-0000-0000-0000DFC10000}"/>
    <cellStyle name="Normal 72 3" xfId="48322" xr:uid="{00000000-0005-0000-0000-0000E0C10000}"/>
    <cellStyle name="Normal 72 3 2" xfId="48323" xr:uid="{00000000-0005-0000-0000-0000E1C10000}"/>
    <cellStyle name="Normal 72 3 2 2" xfId="48324" xr:uid="{00000000-0005-0000-0000-0000E2C10000}"/>
    <cellStyle name="Normal 72 3 2 2 2" xfId="48325" xr:uid="{00000000-0005-0000-0000-0000E3C10000}"/>
    <cellStyle name="Normal 72 3 2 2 3" xfId="48326" xr:uid="{00000000-0005-0000-0000-0000E4C10000}"/>
    <cellStyle name="Normal 72 3 2 3" xfId="48327" xr:uid="{00000000-0005-0000-0000-0000E5C10000}"/>
    <cellStyle name="Normal 72 3 2 3 2" xfId="48328" xr:uid="{00000000-0005-0000-0000-0000E6C10000}"/>
    <cellStyle name="Normal 72 3 2 3 3" xfId="48329" xr:uid="{00000000-0005-0000-0000-0000E7C10000}"/>
    <cellStyle name="Normal 72 3 2 4" xfId="48330" xr:uid="{00000000-0005-0000-0000-0000E8C10000}"/>
    <cellStyle name="Normal 72 3 2 5" xfId="48331" xr:uid="{00000000-0005-0000-0000-0000E9C10000}"/>
    <cellStyle name="Normal 72 3 2 6" xfId="48332" xr:uid="{00000000-0005-0000-0000-0000EAC10000}"/>
    <cellStyle name="Normal 72 3 2 7" xfId="48333" xr:uid="{00000000-0005-0000-0000-0000EBC10000}"/>
    <cellStyle name="Normal 72 3 3" xfId="48334" xr:uid="{00000000-0005-0000-0000-0000ECC10000}"/>
    <cellStyle name="Normal 72 3 3 2" xfId="48335" xr:uid="{00000000-0005-0000-0000-0000EDC10000}"/>
    <cellStyle name="Normal 72 3 3 3" xfId="48336" xr:uid="{00000000-0005-0000-0000-0000EEC10000}"/>
    <cellStyle name="Normal 72 3 3 4" xfId="48337" xr:uid="{00000000-0005-0000-0000-0000EFC10000}"/>
    <cellStyle name="Normal 72 3 4" xfId="48338" xr:uid="{00000000-0005-0000-0000-0000F0C10000}"/>
    <cellStyle name="Normal 72 3 4 2" xfId="48339" xr:uid="{00000000-0005-0000-0000-0000F1C10000}"/>
    <cellStyle name="Normal 72 3 4 3" xfId="48340" xr:uid="{00000000-0005-0000-0000-0000F2C10000}"/>
    <cellStyle name="Normal 72 3 5" xfId="48341" xr:uid="{00000000-0005-0000-0000-0000F3C10000}"/>
    <cellStyle name="Normal 72 3 6" xfId="48342" xr:uid="{00000000-0005-0000-0000-0000F4C10000}"/>
    <cellStyle name="Normal 72 3 7" xfId="48343" xr:uid="{00000000-0005-0000-0000-0000F5C10000}"/>
    <cellStyle name="Normal 72 3 8" xfId="48344" xr:uid="{00000000-0005-0000-0000-0000F6C10000}"/>
    <cellStyle name="Normal 72 3 9" xfId="48345" xr:uid="{00000000-0005-0000-0000-0000F7C10000}"/>
    <cellStyle name="Normal 72 4" xfId="48346" xr:uid="{00000000-0005-0000-0000-0000F8C10000}"/>
    <cellStyle name="Normal 72 4 2" xfId="48347" xr:uid="{00000000-0005-0000-0000-0000F9C10000}"/>
    <cellStyle name="Normal 72 4 2 2" xfId="48348" xr:uid="{00000000-0005-0000-0000-0000FAC10000}"/>
    <cellStyle name="Normal 72 4 2 3" xfId="48349" xr:uid="{00000000-0005-0000-0000-0000FBC10000}"/>
    <cellStyle name="Normal 72 4 3" xfId="48350" xr:uid="{00000000-0005-0000-0000-0000FCC10000}"/>
    <cellStyle name="Normal 72 4 3 2" xfId="48351" xr:uid="{00000000-0005-0000-0000-0000FDC10000}"/>
    <cellStyle name="Normal 72 4 3 3" xfId="48352" xr:uid="{00000000-0005-0000-0000-0000FEC10000}"/>
    <cellStyle name="Normal 72 4 4" xfId="48353" xr:uid="{00000000-0005-0000-0000-0000FFC10000}"/>
    <cellStyle name="Normal 72 4 5" xfId="48354" xr:uid="{00000000-0005-0000-0000-000000C20000}"/>
    <cellStyle name="Normal 72 4 6" xfId="48355" xr:uid="{00000000-0005-0000-0000-000001C20000}"/>
    <cellStyle name="Normal 72 4 7" xfId="48356" xr:uid="{00000000-0005-0000-0000-000002C20000}"/>
    <cellStyle name="Normal 72 5" xfId="48357" xr:uid="{00000000-0005-0000-0000-000003C20000}"/>
    <cellStyle name="Normal 72 5 2" xfId="48358" xr:uid="{00000000-0005-0000-0000-000004C20000}"/>
    <cellStyle name="Normal 72 5 3" xfId="48359" xr:uid="{00000000-0005-0000-0000-000005C20000}"/>
    <cellStyle name="Normal 72 5 4" xfId="48360" xr:uid="{00000000-0005-0000-0000-000006C20000}"/>
    <cellStyle name="Normal 72 6" xfId="48361" xr:uid="{00000000-0005-0000-0000-000007C20000}"/>
    <cellStyle name="Normal 72 6 2" xfId="48362" xr:uid="{00000000-0005-0000-0000-000008C20000}"/>
    <cellStyle name="Normal 72 6 3" xfId="48363" xr:uid="{00000000-0005-0000-0000-000009C20000}"/>
    <cellStyle name="Normal 72 7" xfId="48364" xr:uid="{00000000-0005-0000-0000-00000AC20000}"/>
    <cellStyle name="Normal 72 8" xfId="48365" xr:uid="{00000000-0005-0000-0000-00000BC20000}"/>
    <cellStyle name="Normal 72 9" xfId="48366" xr:uid="{00000000-0005-0000-0000-00000CC20000}"/>
    <cellStyle name="Normal 72_Order Book" xfId="48367" xr:uid="{00000000-0005-0000-0000-00000DC20000}"/>
    <cellStyle name="Normal 720" xfId="48368" xr:uid="{00000000-0005-0000-0000-00000EC20000}"/>
    <cellStyle name="Normal 721" xfId="48369" xr:uid="{00000000-0005-0000-0000-00000FC20000}"/>
    <cellStyle name="Normal 722" xfId="48370" xr:uid="{00000000-0005-0000-0000-000010C20000}"/>
    <cellStyle name="Normal 723" xfId="48371" xr:uid="{00000000-0005-0000-0000-000011C20000}"/>
    <cellStyle name="Normal 724" xfId="48372" xr:uid="{00000000-0005-0000-0000-000012C20000}"/>
    <cellStyle name="Normal 725" xfId="48373" xr:uid="{00000000-0005-0000-0000-000013C20000}"/>
    <cellStyle name="Normal 726" xfId="48374" xr:uid="{00000000-0005-0000-0000-000014C20000}"/>
    <cellStyle name="Normal 727" xfId="48375" xr:uid="{00000000-0005-0000-0000-000015C20000}"/>
    <cellStyle name="Normal 728" xfId="48376" xr:uid="{00000000-0005-0000-0000-000016C20000}"/>
    <cellStyle name="Normal 728 2" xfId="48377" xr:uid="{00000000-0005-0000-0000-000017C20000}"/>
    <cellStyle name="Normal 729" xfId="48378" xr:uid="{00000000-0005-0000-0000-000018C20000}"/>
    <cellStyle name="Normal 73" xfId="3574" xr:uid="{00000000-0005-0000-0000-000019C20000}"/>
    <cellStyle name="Normal 73 10" xfId="48379" xr:uid="{00000000-0005-0000-0000-00001AC20000}"/>
    <cellStyle name="Normal 73 11" xfId="48380" xr:uid="{00000000-0005-0000-0000-00001BC20000}"/>
    <cellStyle name="Normal 73 12" xfId="48381" xr:uid="{00000000-0005-0000-0000-00001CC20000}"/>
    <cellStyle name="Normal 73 13" xfId="48382" xr:uid="{00000000-0005-0000-0000-00001DC20000}"/>
    <cellStyle name="Normal 73 2" xfId="48383" xr:uid="{00000000-0005-0000-0000-00001EC20000}"/>
    <cellStyle name="Normal 73 2 10" xfId="48384" xr:uid="{00000000-0005-0000-0000-00001FC20000}"/>
    <cellStyle name="Normal 73 2 2" xfId="48385" xr:uid="{00000000-0005-0000-0000-000020C20000}"/>
    <cellStyle name="Normal 73 2 2 2" xfId="48386" xr:uid="{00000000-0005-0000-0000-000021C20000}"/>
    <cellStyle name="Normal 73 2 2 2 2" xfId="48387" xr:uid="{00000000-0005-0000-0000-000022C20000}"/>
    <cellStyle name="Normal 73 2 2 2 2 2" xfId="48388" xr:uid="{00000000-0005-0000-0000-000023C20000}"/>
    <cellStyle name="Normal 73 2 2 2 2 3" xfId="48389" xr:uid="{00000000-0005-0000-0000-000024C20000}"/>
    <cellStyle name="Normal 73 2 2 2 3" xfId="48390" xr:uid="{00000000-0005-0000-0000-000025C20000}"/>
    <cellStyle name="Normal 73 2 2 2 3 2" xfId="48391" xr:uid="{00000000-0005-0000-0000-000026C20000}"/>
    <cellStyle name="Normal 73 2 2 2 3 3" xfId="48392" xr:uid="{00000000-0005-0000-0000-000027C20000}"/>
    <cellStyle name="Normal 73 2 2 2 4" xfId="48393" xr:uid="{00000000-0005-0000-0000-000028C20000}"/>
    <cellStyle name="Normal 73 2 2 2 5" xfId="48394" xr:uid="{00000000-0005-0000-0000-000029C20000}"/>
    <cellStyle name="Normal 73 2 2 2 6" xfId="48395" xr:uid="{00000000-0005-0000-0000-00002AC20000}"/>
    <cellStyle name="Normal 73 2 2 2 7" xfId="48396" xr:uid="{00000000-0005-0000-0000-00002BC20000}"/>
    <cellStyle name="Normal 73 2 2 3" xfId="48397" xr:uid="{00000000-0005-0000-0000-00002CC20000}"/>
    <cellStyle name="Normal 73 2 2 3 2" xfId="48398" xr:uid="{00000000-0005-0000-0000-00002DC20000}"/>
    <cellStyle name="Normal 73 2 2 3 3" xfId="48399" xr:uid="{00000000-0005-0000-0000-00002EC20000}"/>
    <cellStyle name="Normal 73 2 2 3 4" xfId="48400" xr:uid="{00000000-0005-0000-0000-00002FC20000}"/>
    <cellStyle name="Normal 73 2 2 4" xfId="48401" xr:uid="{00000000-0005-0000-0000-000030C20000}"/>
    <cellStyle name="Normal 73 2 2 4 2" xfId="48402" xr:uid="{00000000-0005-0000-0000-000031C20000}"/>
    <cellStyle name="Normal 73 2 2 4 3" xfId="48403" xr:uid="{00000000-0005-0000-0000-000032C20000}"/>
    <cellStyle name="Normal 73 2 2 5" xfId="48404" xr:uid="{00000000-0005-0000-0000-000033C20000}"/>
    <cellStyle name="Normal 73 2 2 6" xfId="48405" xr:uid="{00000000-0005-0000-0000-000034C20000}"/>
    <cellStyle name="Normal 73 2 2 7" xfId="48406" xr:uid="{00000000-0005-0000-0000-000035C20000}"/>
    <cellStyle name="Normal 73 2 2 8" xfId="48407" xr:uid="{00000000-0005-0000-0000-000036C20000}"/>
    <cellStyle name="Normal 73 2 2 9" xfId="48408" xr:uid="{00000000-0005-0000-0000-000037C20000}"/>
    <cellStyle name="Normal 73 2 3" xfId="48409" xr:uid="{00000000-0005-0000-0000-000038C20000}"/>
    <cellStyle name="Normal 73 2 3 2" xfId="48410" xr:uid="{00000000-0005-0000-0000-000039C20000}"/>
    <cellStyle name="Normal 73 2 3 2 2" xfId="48411" xr:uid="{00000000-0005-0000-0000-00003AC20000}"/>
    <cellStyle name="Normal 73 2 3 2 3" xfId="48412" xr:uid="{00000000-0005-0000-0000-00003BC20000}"/>
    <cellStyle name="Normal 73 2 3 3" xfId="48413" xr:uid="{00000000-0005-0000-0000-00003CC20000}"/>
    <cellStyle name="Normal 73 2 3 3 2" xfId="48414" xr:uid="{00000000-0005-0000-0000-00003DC20000}"/>
    <cellStyle name="Normal 73 2 3 3 3" xfId="48415" xr:uid="{00000000-0005-0000-0000-00003EC20000}"/>
    <cellStyle name="Normal 73 2 3 4" xfId="48416" xr:uid="{00000000-0005-0000-0000-00003FC20000}"/>
    <cellStyle name="Normal 73 2 3 5" xfId="48417" xr:uid="{00000000-0005-0000-0000-000040C20000}"/>
    <cellStyle name="Normal 73 2 3 6" xfId="48418" xr:uid="{00000000-0005-0000-0000-000041C20000}"/>
    <cellStyle name="Normal 73 2 3 7" xfId="48419" xr:uid="{00000000-0005-0000-0000-000042C20000}"/>
    <cellStyle name="Normal 73 2 4" xfId="48420" xr:uid="{00000000-0005-0000-0000-000043C20000}"/>
    <cellStyle name="Normal 73 2 4 2" xfId="48421" xr:uid="{00000000-0005-0000-0000-000044C20000}"/>
    <cellStyle name="Normal 73 2 4 3" xfId="48422" xr:uid="{00000000-0005-0000-0000-000045C20000}"/>
    <cellStyle name="Normal 73 2 4 4" xfId="48423" xr:uid="{00000000-0005-0000-0000-000046C20000}"/>
    <cellStyle name="Normal 73 2 5" xfId="48424" xr:uid="{00000000-0005-0000-0000-000047C20000}"/>
    <cellStyle name="Normal 73 2 5 2" xfId="48425" xr:uid="{00000000-0005-0000-0000-000048C20000}"/>
    <cellStyle name="Normal 73 2 5 3" xfId="48426" xr:uid="{00000000-0005-0000-0000-000049C20000}"/>
    <cellStyle name="Normal 73 2 6" xfId="48427" xr:uid="{00000000-0005-0000-0000-00004AC20000}"/>
    <cellStyle name="Normal 73 2 7" xfId="48428" xr:uid="{00000000-0005-0000-0000-00004BC20000}"/>
    <cellStyle name="Normal 73 2 8" xfId="48429" xr:uid="{00000000-0005-0000-0000-00004CC20000}"/>
    <cellStyle name="Normal 73 2 9" xfId="48430" xr:uid="{00000000-0005-0000-0000-00004DC20000}"/>
    <cellStyle name="Normal 73 3" xfId="48431" xr:uid="{00000000-0005-0000-0000-00004EC20000}"/>
    <cellStyle name="Normal 73 3 2" xfId="48432" xr:uid="{00000000-0005-0000-0000-00004FC20000}"/>
    <cellStyle name="Normal 73 3 2 2" xfId="48433" xr:uid="{00000000-0005-0000-0000-000050C20000}"/>
    <cellStyle name="Normal 73 3 2 2 2" xfId="48434" xr:uid="{00000000-0005-0000-0000-000051C20000}"/>
    <cellStyle name="Normal 73 3 2 2 3" xfId="48435" xr:uid="{00000000-0005-0000-0000-000052C20000}"/>
    <cellStyle name="Normal 73 3 2 3" xfId="48436" xr:uid="{00000000-0005-0000-0000-000053C20000}"/>
    <cellStyle name="Normal 73 3 2 3 2" xfId="48437" xr:uid="{00000000-0005-0000-0000-000054C20000}"/>
    <cellStyle name="Normal 73 3 2 3 3" xfId="48438" xr:uid="{00000000-0005-0000-0000-000055C20000}"/>
    <cellStyle name="Normal 73 3 2 4" xfId="48439" xr:uid="{00000000-0005-0000-0000-000056C20000}"/>
    <cellStyle name="Normal 73 3 2 5" xfId="48440" xr:uid="{00000000-0005-0000-0000-000057C20000}"/>
    <cellStyle name="Normal 73 3 2 6" xfId="48441" xr:uid="{00000000-0005-0000-0000-000058C20000}"/>
    <cellStyle name="Normal 73 3 2 7" xfId="48442" xr:uid="{00000000-0005-0000-0000-000059C20000}"/>
    <cellStyle name="Normal 73 3 3" xfId="48443" xr:uid="{00000000-0005-0000-0000-00005AC20000}"/>
    <cellStyle name="Normal 73 3 3 2" xfId="48444" xr:uid="{00000000-0005-0000-0000-00005BC20000}"/>
    <cellStyle name="Normal 73 3 3 3" xfId="48445" xr:uid="{00000000-0005-0000-0000-00005CC20000}"/>
    <cellStyle name="Normal 73 3 3 4" xfId="48446" xr:uid="{00000000-0005-0000-0000-00005DC20000}"/>
    <cellStyle name="Normal 73 3 4" xfId="48447" xr:uid="{00000000-0005-0000-0000-00005EC20000}"/>
    <cellStyle name="Normal 73 3 4 2" xfId="48448" xr:uid="{00000000-0005-0000-0000-00005FC20000}"/>
    <cellStyle name="Normal 73 3 4 3" xfId="48449" xr:uid="{00000000-0005-0000-0000-000060C20000}"/>
    <cellStyle name="Normal 73 3 5" xfId="48450" xr:uid="{00000000-0005-0000-0000-000061C20000}"/>
    <cellStyle name="Normal 73 3 6" xfId="48451" xr:uid="{00000000-0005-0000-0000-000062C20000}"/>
    <cellStyle name="Normal 73 3 7" xfId="48452" xr:uid="{00000000-0005-0000-0000-000063C20000}"/>
    <cellStyle name="Normal 73 3 8" xfId="48453" xr:uid="{00000000-0005-0000-0000-000064C20000}"/>
    <cellStyle name="Normal 73 3 9" xfId="48454" xr:uid="{00000000-0005-0000-0000-000065C20000}"/>
    <cellStyle name="Normal 73 4" xfId="48455" xr:uid="{00000000-0005-0000-0000-000066C20000}"/>
    <cellStyle name="Normal 73 4 2" xfId="48456" xr:uid="{00000000-0005-0000-0000-000067C20000}"/>
    <cellStyle name="Normal 73 4 2 2" xfId="48457" xr:uid="{00000000-0005-0000-0000-000068C20000}"/>
    <cellStyle name="Normal 73 4 2 3" xfId="48458" xr:uid="{00000000-0005-0000-0000-000069C20000}"/>
    <cellStyle name="Normal 73 4 3" xfId="48459" xr:uid="{00000000-0005-0000-0000-00006AC20000}"/>
    <cellStyle name="Normal 73 4 3 2" xfId="48460" xr:uid="{00000000-0005-0000-0000-00006BC20000}"/>
    <cellStyle name="Normal 73 4 3 3" xfId="48461" xr:uid="{00000000-0005-0000-0000-00006CC20000}"/>
    <cellStyle name="Normal 73 4 4" xfId="48462" xr:uid="{00000000-0005-0000-0000-00006DC20000}"/>
    <cellStyle name="Normal 73 4 5" xfId="48463" xr:uid="{00000000-0005-0000-0000-00006EC20000}"/>
    <cellStyle name="Normal 73 4 6" xfId="48464" xr:uid="{00000000-0005-0000-0000-00006FC20000}"/>
    <cellStyle name="Normal 73 4 7" xfId="48465" xr:uid="{00000000-0005-0000-0000-000070C20000}"/>
    <cellStyle name="Normal 73 5" xfId="48466" xr:uid="{00000000-0005-0000-0000-000071C20000}"/>
    <cellStyle name="Normal 73 5 2" xfId="48467" xr:uid="{00000000-0005-0000-0000-000072C20000}"/>
    <cellStyle name="Normal 73 5 3" xfId="48468" xr:uid="{00000000-0005-0000-0000-000073C20000}"/>
    <cellStyle name="Normal 73 5 4" xfId="48469" xr:uid="{00000000-0005-0000-0000-000074C20000}"/>
    <cellStyle name="Normal 73 6" xfId="48470" xr:uid="{00000000-0005-0000-0000-000075C20000}"/>
    <cellStyle name="Normal 73 6 2" xfId="48471" xr:uid="{00000000-0005-0000-0000-000076C20000}"/>
    <cellStyle name="Normal 73 6 3" xfId="48472" xr:uid="{00000000-0005-0000-0000-000077C20000}"/>
    <cellStyle name="Normal 73 7" xfId="48473" xr:uid="{00000000-0005-0000-0000-000078C20000}"/>
    <cellStyle name="Normal 73 8" xfId="48474" xr:uid="{00000000-0005-0000-0000-000079C20000}"/>
    <cellStyle name="Normal 73 9" xfId="48475" xr:uid="{00000000-0005-0000-0000-00007AC20000}"/>
    <cellStyle name="Normal 73_Order Book" xfId="48476" xr:uid="{00000000-0005-0000-0000-00007BC20000}"/>
    <cellStyle name="Normal 730" xfId="48477" xr:uid="{00000000-0005-0000-0000-00007CC20000}"/>
    <cellStyle name="Normal 731" xfId="48478" xr:uid="{00000000-0005-0000-0000-00007DC20000}"/>
    <cellStyle name="Normal 732" xfId="48479" xr:uid="{00000000-0005-0000-0000-00007EC20000}"/>
    <cellStyle name="Normal 732 2" xfId="48480" xr:uid="{00000000-0005-0000-0000-00007FC20000}"/>
    <cellStyle name="Normal 733" xfId="48481" xr:uid="{00000000-0005-0000-0000-000080C20000}"/>
    <cellStyle name="Normal 733 2" xfId="48482" xr:uid="{00000000-0005-0000-0000-000081C20000}"/>
    <cellStyle name="Normal 734" xfId="48483" xr:uid="{00000000-0005-0000-0000-000082C20000}"/>
    <cellStyle name="Normal 734 2" xfId="48484" xr:uid="{00000000-0005-0000-0000-000083C20000}"/>
    <cellStyle name="Normal 735" xfId="48485" xr:uid="{00000000-0005-0000-0000-000084C20000}"/>
    <cellStyle name="Normal 736" xfId="48486" xr:uid="{00000000-0005-0000-0000-000085C20000}"/>
    <cellStyle name="Normal 737" xfId="48487" xr:uid="{00000000-0005-0000-0000-000086C20000}"/>
    <cellStyle name="Normal 738" xfId="48488" xr:uid="{00000000-0005-0000-0000-000087C20000}"/>
    <cellStyle name="Normal 739" xfId="48489" xr:uid="{00000000-0005-0000-0000-000088C20000}"/>
    <cellStyle name="Normal 74" xfId="3575" xr:uid="{00000000-0005-0000-0000-000089C20000}"/>
    <cellStyle name="Normal 74 10" xfId="48490" xr:uid="{00000000-0005-0000-0000-00008AC20000}"/>
    <cellStyle name="Normal 74 11" xfId="48491" xr:uid="{00000000-0005-0000-0000-00008BC20000}"/>
    <cellStyle name="Normal 74 12" xfId="48492" xr:uid="{00000000-0005-0000-0000-00008CC20000}"/>
    <cellStyle name="Normal 74 13" xfId="48493" xr:uid="{00000000-0005-0000-0000-00008DC20000}"/>
    <cellStyle name="Normal 74 2" xfId="48494" xr:uid="{00000000-0005-0000-0000-00008EC20000}"/>
    <cellStyle name="Normal 74 2 10" xfId="48495" xr:uid="{00000000-0005-0000-0000-00008FC20000}"/>
    <cellStyle name="Normal 74 2 2" xfId="48496" xr:uid="{00000000-0005-0000-0000-000090C20000}"/>
    <cellStyle name="Normal 74 2 2 2" xfId="48497" xr:uid="{00000000-0005-0000-0000-000091C20000}"/>
    <cellStyle name="Normal 74 2 2 2 2" xfId="48498" xr:uid="{00000000-0005-0000-0000-000092C20000}"/>
    <cellStyle name="Normal 74 2 2 2 2 2" xfId="48499" xr:uid="{00000000-0005-0000-0000-000093C20000}"/>
    <cellStyle name="Normal 74 2 2 2 2 3" xfId="48500" xr:uid="{00000000-0005-0000-0000-000094C20000}"/>
    <cellStyle name="Normal 74 2 2 2 3" xfId="48501" xr:uid="{00000000-0005-0000-0000-000095C20000}"/>
    <cellStyle name="Normal 74 2 2 2 3 2" xfId="48502" xr:uid="{00000000-0005-0000-0000-000096C20000}"/>
    <cellStyle name="Normal 74 2 2 2 3 3" xfId="48503" xr:uid="{00000000-0005-0000-0000-000097C20000}"/>
    <cellStyle name="Normal 74 2 2 2 4" xfId="48504" xr:uid="{00000000-0005-0000-0000-000098C20000}"/>
    <cellStyle name="Normal 74 2 2 2 5" xfId="48505" xr:uid="{00000000-0005-0000-0000-000099C20000}"/>
    <cellStyle name="Normal 74 2 2 2 6" xfId="48506" xr:uid="{00000000-0005-0000-0000-00009AC20000}"/>
    <cellStyle name="Normal 74 2 2 2 7" xfId="48507" xr:uid="{00000000-0005-0000-0000-00009BC20000}"/>
    <cellStyle name="Normal 74 2 2 3" xfId="48508" xr:uid="{00000000-0005-0000-0000-00009CC20000}"/>
    <cellStyle name="Normal 74 2 2 3 2" xfId="48509" xr:uid="{00000000-0005-0000-0000-00009DC20000}"/>
    <cellStyle name="Normal 74 2 2 3 3" xfId="48510" xr:uid="{00000000-0005-0000-0000-00009EC20000}"/>
    <cellStyle name="Normal 74 2 2 3 4" xfId="48511" xr:uid="{00000000-0005-0000-0000-00009FC20000}"/>
    <cellStyle name="Normal 74 2 2 4" xfId="48512" xr:uid="{00000000-0005-0000-0000-0000A0C20000}"/>
    <cellStyle name="Normal 74 2 2 4 2" xfId="48513" xr:uid="{00000000-0005-0000-0000-0000A1C20000}"/>
    <cellStyle name="Normal 74 2 2 4 3" xfId="48514" xr:uid="{00000000-0005-0000-0000-0000A2C20000}"/>
    <cellStyle name="Normal 74 2 2 5" xfId="48515" xr:uid="{00000000-0005-0000-0000-0000A3C20000}"/>
    <cellStyle name="Normal 74 2 2 6" xfId="48516" xr:uid="{00000000-0005-0000-0000-0000A4C20000}"/>
    <cellStyle name="Normal 74 2 2 7" xfId="48517" xr:uid="{00000000-0005-0000-0000-0000A5C20000}"/>
    <cellStyle name="Normal 74 2 2 8" xfId="48518" xr:uid="{00000000-0005-0000-0000-0000A6C20000}"/>
    <cellStyle name="Normal 74 2 2 9" xfId="48519" xr:uid="{00000000-0005-0000-0000-0000A7C20000}"/>
    <cellStyle name="Normal 74 2 3" xfId="48520" xr:uid="{00000000-0005-0000-0000-0000A8C20000}"/>
    <cellStyle name="Normal 74 2 3 2" xfId="48521" xr:uid="{00000000-0005-0000-0000-0000A9C20000}"/>
    <cellStyle name="Normal 74 2 3 2 2" xfId="48522" xr:uid="{00000000-0005-0000-0000-0000AAC20000}"/>
    <cellStyle name="Normal 74 2 3 2 3" xfId="48523" xr:uid="{00000000-0005-0000-0000-0000ABC20000}"/>
    <cellStyle name="Normal 74 2 3 3" xfId="48524" xr:uid="{00000000-0005-0000-0000-0000ACC20000}"/>
    <cellStyle name="Normal 74 2 3 3 2" xfId="48525" xr:uid="{00000000-0005-0000-0000-0000ADC20000}"/>
    <cellStyle name="Normal 74 2 3 3 3" xfId="48526" xr:uid="{00000000-0005-0000-0000-0000AEC20000}"/>
    <cellStyle name="Normal 74 2 3 4" xfId="48527" xr:uid="{00000000-0005-0000-0000-0000AFC20000}"/>
    <cellStyle name="Normal 74 2 3 5" xfId="48528" xr:uid="{00000000-0005-0000-0000-0000B0C20000}"/>
    <cellStyle name="Normal 74 2 3 6" xfId="48529" xr:uid="{00000000-0005-0000-0000-0000B1C20000}"/>
    <cellStyle name="Normal 74 2 3 7" xfId="48530" xr:uid="{00000000-0005-0000-0000-0000B2C20000}"/>
    <cellStyle name="Normal 74 2 4" xfId="48531" xr:uid="{00000000-0005-0000-0000-0000B3C20000}"/>
    <cellStyle name="Normal 74 2 4 2" xfId="48532" xr:uid="{00000000-0005-0000-0000-0000B4C20000}"/>
    <cellStyle name="Normal 74 2 4 3" xfId="48533" xr:uid="{00000000-0005-0000-0000-0000B5C20000}"/>
    <cellStyle name="Normal 74 2 4 4" xfId="48534" xr:uid="{00000000-0005-0000-0000-0000B6C20000}"/>
    <cellStyle name="Normal 74 2 5" xfId="48535" xr:uid="{00000000-0005-0000-0000-0000B7C20000}"/>
    <cellStyle name="Normal 74 2 5 2" xfId="48536" xr:uid="{00000000-0005-0000-0000-0000B8C20000}"/>
    <cellStyle name="Normal 74 2 5 3" xfId="48537" xr:uid="{00000000-0005-0000-0000-0000B9C20000}"/>
    <cellStyle name="Normal 74 2 6" xfId="48538" xr:uid="{00000000-0005-0000-0000-0000BAC20000}"/>
    <cellStyle name="Normal 74 2 7" xfId="48539" xr:uid="{00000000-0005-0000-0000-0000BBC20000}"/>
    <cellStyle name="Normal 74 2 8" xfId="48540" xr:uid="{00000000-0005-0000-0000-0000BCC20000}"/>
    <cellStyle name="Normal 74 2 9" xfId="48541" xr:uid="{00000000-0005-0000-0000-0000BDC20000}"/>
    <cellStyle name="Normal 74 3" xfId="48542" xr:uid="{00000000-0005-0000-0000-0000BEC20000}"/>
    <cellStyle name="Normal 74 3 2" xfId="48543" xr:uid="{00000000-0005-0000-0000-0000BFC20000}"/>
    <cellStyle name="Normal 74 3 2 2" xfId="48544" xr:uid="{00000000-0005-0000-0000-0000C0C20000}"/>
    <cellStyle name="Normal 74 3 2 2 2" xfId="48545" xr:uid="{00000000-0005-0000-0000-0000C1C20000}"/>
    <cellStyle name="Normal 74 3 2 2 3" xfId="48546" xr:uid="{00000000-0005-0000-0000-0000C2C20000}"/>
    <cellStyle name="Normal 74 3 2 3" xfId="48547" xr:uid="{00000000-0005-0000-0000-0000C3C20000}"/>
    <cellStyle name="Normal 74 3 2 3 2" xfId="48548" xr:uid="{00000000-0005-0000-0000-0000C4C20000}"/>
    <cellStyle name="Normal 74 3 2 3 3" xfId="48549" xr:uid="{00000000-0005-0000-0000-0000C5C20000}"/>
    <cellStyle name="Normal 74 3 2 4" xfId="48550" xr:uid="{00000000-0005-0000-0000-0000C6C20000}"/>
    <cellStyle name="Normal 74 3 2 5" xfId="48551" xr:uid="{00000000-0005-0000-0000-0000C7C20000}"/>
    <cellStyle name="Normal 74 3 2 6" xfId="48552" xr:uid="{00000000-0005-0000-0000-0000C8C20000}"/>
    <cellStyle name="Normal 74 3 2 7" xfId="48553" xr:uid="{00000000-0005-0000-0000-0000C9C20000}"/>
    <cellStyle name="Normal 74 3 3" xfId="48554" xr:uid="{00000000-0005-0000-0000-0000CAC20000}"/>
    <cellStyle name="Normal 74 3 3 2" xfId="48555" xr:uid="{00000000-0005-0000-0000-0000CBC20000}"/>
    <cellStyle name="Normal 74 3 3 3" xfId="48556" xr:uid="{00000000-0005-0000-0000-0000CCC20000}"/>
    <cellStyle name="Normal 74 3 3 4" xfId="48557" xr:uid="{00000000-0005-0000-0000-0000CDC20000}"/>
    <cellStyle name="Normal 74 3 4" xfId="48558" xr:uid="{00000000-0005-0000-0000-0000CEC20000}"/>
    <cellStyle name="Normal 74 3 4 2" xfId="48559" xr:uid="{00000000-0005-0000-0000-0000CFC20000}"/>
    <cellStyle name="Normal 74 3 4 3" xfId="48560" xr:uid="{00000000-0005-0000-0000-0000D0C20000}"/>
    <cellStyle name="Normal 74 3 5" xfId="48561" xr:uid="{00000000-0005-0000-0000-0000D1C20000}"/>
    <cellStyle name="Normal 74 3 6" xfId="48562" xr:uid="{00000000-0005-0000-0000-0000D2C20000}"/>
    <cellStyle name="Normal 74 3 7" xfId="48563" xr:uid="{00000000-0005-0000-0000-0000D3C20000}"/>
    <cellStyle name="Normal 74 3 8" xfId="48564" xr:uid="{00000000-0005-0000-0000-0000D4C20000}"/>
    <cellStyle name="Normal 74 3 9" xfId="48565" xr:uid="{00000000-0005-0000-0000-0000D5C20000}"/>
    <cellStyle name="Normal 74 4" xfId="48566" xr:uid="{00000000-0005-0000-0000-0000D6C20000}"/>
    <cellStyle name="Normal 74 4 2" xfId="48567" xr:uid="{00000000-0005-0000-0000-0000D7C20000}"/>
    <cellStyle name="Normal 74 4 2 2" xfId="48568" xr:uid="{00000000-0005-0000-0000-0000D8C20000}"/>
    <cellStyle name="Normal 74 4 2 3" xfId="48569" xr:uid="{00000000-0005-0000-0000-0000D9C20000}"/>
    <cellStyle name="Normal 74 4 3" xfId="48570" xr:uid="{00000000-0005-0000-0000-0000DAC20000}"/>
    <cellStyle name="Normal 74 4 3 2" xfId="48571" xr:uid="{00000000-0005-0000-0000-0000DBC20000}"/>
    <cellStyle name="Normal 74 4 3 3" xfId="48572" xr:uid="{00000000-0005-0000-0000-0000DCC20000}"/>
    <cellStyle name="Normal 74 4 4" xfId="48573" xr:uid="{00000000-0005-0000-0000-0000DDC20000}"/>
    <cellStyle name="Normal 74 4 5" xfId="48574" xr:uid="{00000000-0005-0000-0000-0000DEC20000}"/>
    <cellStyle name="Normal 74 4 6" xfId="48575" xr:uid="{00000000-0005-0000-0000-0000DFC20000}"/>
    <cellStyle name="Normal 74 4 7" xfId="48576" xr:uid="{00000000-0005-0000-0000-0000E0C20000}"/>
    <cellStyle name="Normal 74 5" xfId="48577" xr:uid="{00000000-0005-0000-0000-0000E1C20000}"/>
    <cellStyle name="Normal 74 5 2" xfId="48578" xr:uid="{00000000-0005-0000-0000-0000E2C20000}"/>
    <cellStyle name="Normal 74 5 3" xfId="48579" xr:uid="{00000000-0005-0000-0000-0000E3C20000}"/>
    <cellStyle name="Normal 74 5 4" xfId="48580" xr:uid="{00000000-0005-0000-0000-0000E4C20000}"/>
    <cellStyle name="Normal 74 6" xfId="48581" xr:uid="{00000000-0005-0000-0000-0000E5C20000}"/>
    <cellStyle name="Normal 74 6 2" xfId="48582" xr:uid="{00000000-0005-0000-0000-0000E6C20000}"/>
    <cellStyle name="Normal 74 6 3" xfId="48583" xr:uid="{00000000-0005-0000-0000-0000E7C20000}"/>
    <cellStyle name="Normal 74 7" xfId="48584" xr:uid="{00000000-0005-0000-0000-0000E8C20000}"/>
    <cellStyle name="Normal 74 8" xfId="48585" xr:uid="{00000000-0005-0000-0000-0000E9C20000}"/>
    <cellStyle name="Normal 74 9" xfId="48586" xr:uid="{00000000-0005-0000-0000-0000EAC20000}"/>
    <cellStyle name="Normal 74_Order Book" xfId="48587" xr:uid="{00000000-0005-0000-0000-0000EBC20000}"/>
    <cellStyle name="Normal 740" xfId="48588" xr:uid="{00000000-0005-0000-0000-0000ECC20000}"/>
    <cellStyle name="Normal 741" xfId="48589" xr:uid="{00000000-0005-0000-0000-0000EDC20000}"/>
    <cellStyle name="Normal 742" xfId="48590" xr:uid="{00000000-0005-0000-0000-0000EEC20000}"/>
    <cellStyle name="Normal 743" xfId="48591" xr:uid="{00000000-0005-0000-0000-0000EFC20000}"/>
    <cellStyle name="Normal 744" xfId="48592" xr:uid="{00000000-0005-0000-0000-0000F0C20000}"/>
    <cellStyle name="Normal 745" xfId="48593" xr:uid="{00000000-0005-0000-0000-0000F1C20000}"/>
    <cellStyle name="Normal 746" xfId="48594" xr:uid="{00000000-0005-0000-0000-0000F2C20000}"/>
    <cellStyle name="Normal 747" xfId="48595" xr:uid="{00000000-0005-0000-0000-0000F3C20000}"/>
    <cellStyle name="Normal 748" xfId="48596" xr:uid="{00000000-0005-0000-0000-0000F4C20000}"/>
    <cellStyle name="Normal 749" xfId="48597" xr:uid="{00000000-0005-0000-0000-0000F5C20000}"/>
    <cellStyle name="Normal 75" xfId="3576" xr:uid="{00000000-0005-0000-0000-0000F6C20000}"/>
    <cellStyle name="Normal 75 10" xfId="48598" xr:uid="{00000000-0005-0000-0000-0000F7C20000}"/>
    <cellStyle name="Normal 75 11" xfId="48599" xr:uid="{00000000-0005-0000-0000-0000F8C20000}"/>
    <cellStyle name="Normal 75 12" xfId="48600" xr:uid="{00000000-0005-0000-0000-0000F9C20000}"/>
    <cellStyle name="Normal 75 13" xfId="48601" xr:uid="{00000000-0005-0000-0000-0000FAC20000}"/>
    <cellStyle name="Normal 75 2" xfId="48602" xr:uid="{00000000-0005-0000-0000-0000FBC20000}"/>
    <cellStyle name="Normal 75 2 10" xfId="48603" xr:uid="{00000000-0005-0000-0000-0000FCC20000}"/>
    <cellStyle name="Normal 75 2 2" xfId="48604" xr:uid="{00000000-0005-0000-0000-0000FDC20000}"/>
    <cellStyle name="Normal 75 2 2 2" xfId="48605" xr:uid="{00000000-0005-0000-0000-0000FEC20000}"/>
    <cellStyle name="Normal 75 2 2 2 2" xfId="48606" xr:uid="{00000000-0005-0000-0000-0000FFC20000}"/>
    <cellStyle name="Normal 75 2 2 2 2 2" xfId="48607" xr:uid="{00000000-0005-0000-0000-000000C30000}"/>
    <cellStyle name="Normal 75 2 2 2 2 3" xfId="48608" xr:uid="{00000000-0005-0000-0000-000001C30000}"/>
    <cellStyle name="Normal 75 2 2 2 3" xfId="48609" xr:uid="{00000000-0005-0000-0000-000002C30000}"/>
    <cellStyle name="Normal 75 2 2 2 3 2" xfId="48610" xr:uid="{00000000-0005-0000-0000-000003C30000}"/>
    <cellStyle name="Normal 75 2 2 2 3 3" xfId="48611" xr:uid="{00000000-0005-0000-0000-000004C30000}"/>
    <cellStyle name="Normal 75 2 2 2 4" xfId="48612" xr:uid="{00000000-0005-0000-0000-000005C30000}"/>
    <cellStyle name="Normal 75 2 2 2 5" xfId="48613" xr:uid="{00000000-0005-0000-0000-000006C30000}"/>
    <cellStyle name="Normal 75 2 2 2 6" xfId="48614" xr:uid="{00000000-0005-0000-0000-000007C30000}"/>
    <cellStyle name="Normal 75 2 2 2 7" xfId="48615" xr:uid="{00000000-0005-0000-0000-000008C30000}"/>
    <cellStyle name="Normal 75 2 2 3" xfId="48616" xr:uid="{00000000-0005-0000-0000-000009C30000}"/>
    <cellStyle name="Normal 75 2 2 3 2" xfId="48617" xr:uid="{00000000-0005-0000-0000-00000AC30000}"/>
    <cellStyle name="Normal 75 2 2 3 3" xfId="48618" xr:uid="{00000000-0005-0000-0000-00000BC30000}"/>
    <cellStyle name="Normal 75 2 2 3 4" xfId="48619" xr:uid="{00000000-0005-0000-0000-00000CC30000}"/>
    <cellStyle name="Normal 75 2 2 4" xfId="48620" xr:uid="{00000000-0005-0000-0000-00000DC30000}"/>
    <cellStyle name="Normal 75 2 2 4 2" xfId="48621" xr:uid="{00000000-0005-0000-0000-00000EC30000}"/>
    <cellStyle name="Normal 75 2 2 4 3" xfId="48622" xr:uid="{00000000-0005-0000-0000-00000FC30000}"/>
    <cellStyle name="Normal 75 2 2 5" xfId="48623" xr:uid="{00000000-0005-0000-0000-000010C30000}"/>
    <cellStyle name="Normal 75 2 2 6" xfId="48624" xr:uid="{00000000-0005-0000-0000-000011C30000}"/>
    <cellStyle name="Normal 75 2 2 7" xfId="48625" xr:uid="{00000000-0005-0000-0000-000012C30000}"/>
    <cellStyle name="Normal 75 2 2 8" xfId="48626" xr:uid="{00000000-0005-0000-0000-000013C30000}"/>
    <cellStyle name="Normal 75 2 2 9" xfId="48627" xr:uid="{00000000-0005-0000-0000-000014C30000}"/>
    <cellStyle name="Normal 75 2 3" xfId="48628" xr:uid="{00000000-0005-0000-0000-000015C30000}"/>
    <cellStyle name="Normal 75 2 3 2" xfId="48629" xr:uid="{00000000-0005-0000-0000-000016C30000}"/>
    <cellStyle name="Normal 75 2 3 2 2" xfId="48630" xr:uid="{00000000-0005-0000-0000-000017C30000}"/>
    <cellStyle name="Normal 75 2 3 2 3" xfId="48631" xr:uid="{00000000-0005-0000-0000-000018C30000}"/>
    <cellStyle name="Normal 75 2 3 3" xfId="48632" xr:uid="{00000000-0005-0000-0000-000019C30000}"/>
    <cellStyle name="Normal 75 2 3 3 2" xfId="48633" xr:uid="{00000000-0005-0000-0000-00001AC30000}"/>
    <cellStyle name="Normal 75 2 3 3 3" xfId="48634" xr:uid="{00000000-0005-0000-0000-00001BC30000}"/>
    <cellStyle name="Normal 75 2 3 4" xfId="48635" xr:uid="{00000000-0005-0000-0000-00001CC30000}"/>
    <cellStyle name="Normal 75 2 3 5" xfId="48636" xr:uid="{00000000-0005-0000-0000-00001DC30000}"/>
    <cellStyle name="Normal 75 2 3 6" xfId="48637" xr:uid="{00000000-0005-0000-0000-00001EC30000}"/>
    <cellStyle name="Normal 75 2 3 7" xfId="48638" xr:uid="{00000000-0005-0000-0000-00001FC30000}"/>
    <cellStyle name="Normal 75 2 4" xfId="48639" xr:uid="{00000000-0005-0000-0000-000020C30000}"/>
    <cellStyle name="Normal 75 2 4 2" xfId="48640" xr:uid="{00000000-0005-0000-0000-000021C30000}"/>
    <cellStyle name="Normal 75 2 4 3" xfId="48641" xr:uid="{00000000-0005-0000-0000-000022C30000}"/>
    <cellStyle name="Normal 75 2 4 4" xfId="48642" xr:uid="{00000000-0005-0000-0000-000023C30000}"/>
    <cellStyle name="Normal 75 2 5" xfId="48643" xr:uid="{00000000-0005-0000-0000-000024C30000}"/>
    <cellStyle name="Normal 75 2 5 2" xfId="48644" xr:uid="{00000000-0005-0000-0000-000025C30000}"/>
    <cellStyle name="Normal 75 2 5 3" xfId="48645" xr:uid="{00000000-0005-0000-0000-000026C30000}"/>
    <cellStyle name="Normal 75 2 6" xfId="48646" xr:uid="{00000000-0005-0000-0000-000027C30000}"/>
    <cellStyle name="Normal 75 2 7" xfId="48647" xr:uid="{00000000-0005-0000-0000-000028C30000}"/>
    <cellStyle name="Normal 75 2 8" xfId="48648" xr:uid="{00000000-0005-0000-0000-000029C30000}"/>
    <cellStyle name="Normal 75 2 9" xfId="48649" xr:uid="{00000000-0005-0000-0000-00002AC30000}"/>
    <cellStyle name="Normal 75 3" xfId="48650" xr:uid="{00000000-0005-0000-0000-00002BC30000}"/>
    <cellStyle name="Normal 75 3 2" xfId="48651" xr:uid="{00000000-0005-0000-0000-00002CC30000}"/>
    <cellStyle name="Normal 75 3 2 2" xfId="48652" xr:uid="{00000000-0005-0000-0000-00002DC30000}"/>
    <cellStyle name="Normal 75 3 2 2 2" xfId="48653" xr:uid="{00000000-0005-0000-0000-00002EC30000}"/>
    <cellStyle name="Normal 75 3 2 2 3" xfId="48654" xr:uid="{00000000-0005-0000-0000-00002FC30000}"/>
    <cellStyle name="Normal 75 3 2 3" xfId="48655" xr:uid="{00000000-0005-0000-0000-000030C30000}"/>
    <cellStyle name="Normal 75 3 2 3 2" xfId="48656" xr:uid="{00000000-0005-0000-0000-000031C30000}"/>
    <cellStyle name="Normal 75 3 2 3 3" xfId="48657" xr:uid="{00000000-0005-0000-0000-000032C30000}"/>
    <cellStyle name="Normal 75 3 2 4" xfId="48658" xr:uid="{00000000-0005-0000-0000-000033C30000}"/>
    <cellStyle name="Normal 75 3 2 5" xfId="48659" xr:uid="{00000000-0005-0000-0000-000034C30000}"/>
    <cellStyle name="Normal 75 3 2 6" xfId="48660" xr:uid="{00000000-0005-0000-0000-000035C30000}"/>
    <cellStyle name="Normal 75 3 2 7" xfId="48661" xr:uid="{00000000-0005-0000-0000-000036C30000}"/>
    <cellStyle name="Normal 75 3 3" xfId="48662" xr:uid="{00000000-0005-0000-0000-000037C30000}"/>
    <cellStyle name="Normal 75 3 3 2" xfId="48663" xr:uid="{00000000-0005-0000-0000-000038C30000}"/>
    <cellStyle name="Normal 75 3 3 3" xfId="48664" xr:uid="{00000000-0005-0000-0000-000039C30000}"/>
    <cellStyle name="Normal 75 3 3 4" xfId="48665" xr:uid="{00000000-0005-0000-0000-00003AC30000}"/>
    <cellStyle name="Normal 75 3 4" xfId="48666" xr:uid="{00000000-0005-0000-0000-00003BC30000}"/>
    <cellStyle name="Normal 75 3 4 2" xfId="48667" xr:uid="{00000000-0005-0000-0000-00003CC30000}"/>
    <cellStyle name="Normal 75 3 4 3" xfId="48668" xr:uid="{00000000-0005-0000-0000-00003DC30000}"/>
    <cellStyle name="Normal 75 3 5" xfId="48669" xr:uid="{00000000-0005-0000-0000-00003EC30000}"/>
    <cellStyle name="Normal 75 3 6" xfId="48670" xr:uid="{00000000-0005-0000-0000-00003FC30000}"/>
    <cellStyle name="Normal 75 3 7" xfId="48671" xr:uid="{00000000-0005-0000-0000-000040C30000}"/>
    <cellStyle name="Normal 75 3 8" xfId="48672" xr:uid="{00000000-0005-0000-0000-000041C30000}"/>
    <cellStyle name="Normal 75 3 9" xfId="48673" xr:uid="{00000000-0005-0000-0000-000042C30000}"/>
    <cellStyle name="Normal 75 4" xfId="48674" xr:uid="{00000000-0005-0000-0000-000043C30000}"/>
    <cellStyle name="Normal 75 4 2" xfId="48675" xr:uid="{00000000-0005-0000-0000-000044C30000}"/>
    <cellStyle name="Normal 75 4 2 2" xfId="48676" xr:uid="{00000000-0005-0000-0000-000045C30000}"/>
    <cellStyle name="Normal 75 4 2 3" xfId="48677" xr:uid="{00000000-0005-0000-0000-000046C30000}"/>
    <cellStyle name="Normal 75 4 3" xfId="48678" xr:uid="{00000000-0005-0000-0000-000047C30000}"/>
    <cellStyle name="Normal 75 4 3 2" xfId="48679" xr:uid="{00000000-0005-0000-0000-000048C30000}"/>
    <cellStyle name="Normal 75 4 3 3" xfId="48680" xr:uid="{00000000-0005-0000-0000-000049C30000}"/>
    <cellStyle name="Normal 75 4 4" xfId="48681" xr:uid="{00000000-0005-0000-0000-00004AC30000}"/>
    <cellStyle name="Normal 75 4 5" xfId="48682" xr:uid="{00000000-0005-0000-0000-00004BC30000}"/>
    <cellStyle name="Normal 75 4 6" xfId="48683" xr:uid="{00000000-0005-0000-0000-00004CC30000}"/>
    <cellStyle name="Normal 75 4 7" xfId="48684" xr:uid="{00000000-0005-0000-0000-00004DC30000}"/>
    <cellStyle name="Normal 75 5" xfId="48685" xr:uid="{00000000-0005-0000-0000-00004EC30000}"/>
    <cellStyle name="Normal 75 5 2" xfId="48686" xr:uid="{00000000-0005-0000-0000-00004FC30000}"/>
    <cellStyle name="Normal 75 5 3" xfId="48687" xr:uid="{00000000-0005-0000-0000-000050C30000}"/>
    <cellStyle name="Normal 75 5 4" xfId="48688" xr:uid="{00000000-0005-0000-0000-000051C30000}"/>
    <cellStyle name="Normal 75 6" xfId="48689" xr:uid="{00000000-0005-0000-0000-000052C30000}"/>
    <cellStyle name="Normal 75 6 2" xfId="48690" xr:uid="{00000000-0005-0000-0000-000053C30000}"/>
    <cellStyle name="Normal 75 6 3" xfId="48691" xr:uid="{00000000-0005-0000-0000-000054C30000}"/>
    <cellStyle name="Normal 75 7" xfId="48692" xr:uid="{00000000-0005-0000-0000-000055C30000}"/>
    <cellStyle name="Normal 75 8" xfId="48693" xr:uid="{00000000-0005-0000-0000-000056C30000}"/>
    <cellStyle name="Normal 75 9" xfId="48694" xr:uid="{00000000-0005-0000-0000-000057C30000}"/>
    <cellStyle name="Normal 75_Order Book" xfId="48695" xr:uid="{00000000-0005-0000-0000-000058C30000}"/>
    <cellStyle name="Normal 750" xfId="48696" xr:uid="{00000000-0005-0000-0000-000059C30000}"/>
    <cellStyle name="Normal 751" xfId="48697" xr:uid="{00000000-0005-0000-0000-00005AC30000}"/>
    <cellStyle name="Normal 752" xfId="48698" xr:uid="{00000000-0005-0000-0000-00005BC30000}"/>
    <cellStyle name="Normal 753" xfId="48699" xr:uid="{00000000-0005-0000-0000-00005CC30000}"/>
    <cellStyle name="Normal 754" xfId="48700" xr:uid="{00000000-0005-0000-0000-00005DC30000}"/>
    <cellStyle name="Normal 755" xfId="48701" xr:uid="{00000000-0005-0000-0000-00005EC30000}"/>
    <cellStyle name="Normal 756" xfId="48702" xr:uid="{00000000-0005-0000-0000-00005FC30000}"/>
    <cellStyle name="Normal 757" xfId="48703" xr:uid="{00000000-0005-0000-0000-000060C30000}"/>
    <cellStyle name="Normal 758" xfId="48704" xr:uid="{00000000-0005-0000-0000-000061C30000}"/>
    <cellStyle name="Normal 759" xfId="48705" xr:uid="{00000000-0005-0000-0000-000062C30000}"/>
    <cellStyle name="Normal 76" xfId="3577" xr:uid="{00000000-0005-0000-0000-000063C30000}"/>
    <cellStyle name="Normal 76 10" xfId="48706" xr:uid="{00000000-0005-0000-0000-000064C30000}"/>
    <cellStyle name="Normal 76 11" xfId="48707" xr:uid="{00000000-0005-0000-0000-000065C30000}"/>
    <cellStyle name="Normal 76 12" xfId="48708" xr:uid="{00000000-0005-0000-0000-000066C30000}"/>
    <cellStyle name="Normal 76 13" xfId="48709" xr:uid="{00000000-0005-0000-0000-000067C30000}"/>
    <cellStyle name="Normal 76 2" xfId="48710" xr:uid="{00000000-0005-0000-0000-000068C30000}"/>
    <cellStyle name="Normal 76 2 10" xfId="48711" xr:uid="{00000000-0005-0000-0000-000069C30000}"/>
    <cellStyle name="Normal 76 2 2" xfId="48712" xr:uid="{00000000-0005-0000-0000-00006AC30000}"/>
    <cellStyle name="Normal 76 2 2 2" xfId="48713" xr:uid="{00000000-0005-0000-0000-00006BC30000}"/>
    <cellStyle name="Normal 76 2 2 2 2" xfId="48714" xr:uid="{00000000-0005-0000-0000-00006CC30000}"/>
    <cellStyle name="Normal 76 2 2 2 2 2" xfId="48715" xr:uid="{00000000-0005-0000-0000-00006DC30000}"/>
    <cellStyle name="Normal 76 2 2 2 2 3" xfId="48716" xr:uid="{00000000-0005-0000-0000-00006EC30000}"/>
    <cellStyle name="Normal 76 2 2 2 3" xfId="48717" xr:uid="{00000000-0005-0000-0000-00006FC30000}"/>
    <cellStyle name="Normal 76 2 2 2 3 2" xfId="48718" xr:uid="{00000000-0005-0000-0000-000070C30000}"/>
    <cellStyle name="Normal 76 2 2 2 3 3" xfId="48719" xr:uid="{00000000-0005-0000-0000-000071C30000}"/>
    <cellStyle name="Normal 76 2 2 2 4" xfId="48720" xr:uid="{00000000-0005-0000-0000-000072C30000}"/>
    <cellStyle name="Normal 76 2 2 2 5" xfId="48721" xr:uid="{00000000-0005-0000-0000-000073C30000}"/>
    <cellStyle name="Normal 76 2 2 2 6" xfId="48722" xr:uid="{00000000-0005-0000-0000-000074C30000}"/>
    <cellStyle name="Normal 76 2 2 2 7" xfId="48723" xr:uid="{00000000-0005-0000-0000-000075C30000}"/>
    <cellStyle name="Normal 76 2 2 3" xfId="48724" xr:uid="{00000000-0005-0000-0000-000076C30000}"/>
    <cellStyle name="Normal 76 2 2 3 2" xfId="48725" xr:uid="{00000000-0005-0000-0000-000077C30000}"/>
    <cellStyle name="Normal 76 2 2 3 3" xfId="48726" xr:uid="{00000000-0005-0000-0000-000078C30000}"/>
    <cellStyle name="Normal 76 2 2 3 4" xfId="48727" xr:uid="{00000000-0005-0000-0000-000079C30000}"/>
    <cellStyle name="Normal 76 2 2 4" xfId="48728" xr:uid="{00000000-0005-0000-0000-00007AC30000}"/>
    <cellStyle name="Normal 76 2 2 4 2" xfId="48729" xr:uid="{00000000-0005-0000-0000-00007BC30000}"/>
    <cellStyle name="Normal 76 2 2 4 3" xfId="48730" xr:uid="{00000000-0005-0000-0000-00007CC30000}"/>
    <cellStyle name="Normal 76 2 2 5" xfId="48731" xr:uid="{00000000-0005-0000-0000-00007DC30000}"/>
    <cellStyle name="Normal 76 2 2 6" xfId="48732" xr:uid="{00000000-0005-0000-0000-00007EC30000}"/>
    <cellStyle name="Normal 76 2 2 7" xfId="48733" xr:uid="{00000000-0005-0000-0000-00007FC30000}"/>
    <cellStyle name="Normal 76 2 2 8" xfId="48734" xr:uid="{00000000-0005-0000-0000-000080C30000}"/>
    <cellStyle name="Normal 76 2 2 9" xfId="48735" xr:uid="{00000000-0005-0000-0000-000081C30000}"/>
    <cellStyle name="Normal 76 2 3" xfId="48736" xr:uid="{00000000-0005-0000-0000-000082C30000}"/>
    <cellStyle name="Normal 76 2 3 2" xfId="48737" xr:uid="{00000000-0005-0000-0000-000083C30000}"/>
    <cellStyle name="Normal 76 2 3 2 2" xfId="48738" xr:uid="{00000000-0005-0000-0000-000084C30000}"/>
    <cellStyle name="Normal 76 2 3 2 3" xfId="48739" xr:uid="{00000000-0005-0000-0000-000085C30000}"/>
    <cellStyle name="Normal 76 2 3 3" xfId="48740" xr:uid="{00000000-0005-0000-0000-000086C30000}"/>
    <cellStyle name="Normal 76 2 3 3 2" xfId="48741" xr:uid="{00000000-0005-0000-0000-000087C30000}"/>
    <cellStyle name="Normal 76 2 3 3 3" xfId="48742" xr:uid="{00000000-0005-0000-0000-000088C30000}"/>
    <cellStyle name="Normal 76 2 3 4" xfId="48743" xr:uid="{00000000-0005-0000-0000-000089C30000}"/>
    <cellStyle name="Normal 76 2 3 5" xfId="48744" xr:uid="{00000000-0005-0000-0000-00008AC30000}"/>
    <cellStyle name="Normal 76 2 3 6" xfId="48745" xr:uid="{00000000-0005-0000-0000-00008BC30000}"/>
    <cellStyle name="Normal 76 2 3 7" xfId="48746" xr:uid="{00000000-0005-0000-0000-00008CC30000}"/>
    <cellStyle name="Normal 76 2 4" xfId="48747" xr:uid="{00000000-0005-0000-0000-00008DC30000}"/>
    <cellStyle name="Normal 76 2 4 2" xfId="48748" xr:uid="{00000000-0005-0000-0000-00008EC30000}"/>
    <cellStyle name="Normal 76 2 4 3" xfId="48749" xr:uid="{00000000-0005-0000-0000-00008FC30000}"/>
    <cellStyle name="Normal 76 2 4 4" xfId="48750" xr:uid="{00000000-0005-0000-0000-000090C30000}"/>
    <cellStyle name="Normal 76 2 5" xfId="48751" xr:uid="{00000000-0005-0000-0000-000091C30000}"/>
    <cellStyle name="Normal 76 2 5 2" xfId="48752" xr:uid="{00000000-0005-0000-0000-000092C30000}"/>
    <cellStyle name="Normal 76 2 5 3" xfId="48753" xr:uid="{00000000-0005-0000-0000-000093C30000}"/>
    <cellStyle name="Normal 76 2 6" xfId="48754" xr:uid="{00000000-0005-0000-0000-000094C30000}"/>
    <cellStyle name="Normal 76 2 7" xfId="48755" xr:uid="{00000000-0005-0000-0000-000095C30000}"/>
    <cellStyle name="Normal 76 2 8" xfId="48756" xr:uid="{00000000-0005-0000-0000-000096C30000}"/>
    <cellStyle name="Normal 76 2 9" xfId="48757" xr:uid="{00000000-0005-0000-0000-000097C30000}"/>
    <cellStyle name="Normal 76 3" xfId="48758" xr:uid="{00000000-0005-0000-0000-000098C30000}"/>
    <cellStyle name="Normal 76 3 2" xfId="48759" xr:uid="{00000000-0005-0000-0000-000099C30000}"/>
    <cellStyle name="Normal 76 3 2 2" xfId="48760" xr:uid="{00000000-0005-0000-0000-00009AC30000}"/>
    <cellStyle name="Normal 76 3 2 2 2" xfId="48761" xr:uid="{00000000-0005-0000-0000-00009BC30000}"/>
    <cellStyle name="Normal 76 3 2 2 3" xfId="48762" xr:uid="{00000000-0005-0000-0000-00009CC30000}"/>
    <cellStyle name="Normal 76 3 2 3" xfId="48763" xr:uid="{00000000-0005-0000-0000-00009DC30000}"/>
    <cellStyle name="Normal 76 3 2 3 2" xfId="48764" xr:uid="{00000000-0005-0000-0000-00009EC30000}"/>
    <cellStyle name="Normal 76 3 2 3 3" xfId="48765" xr:uid="{00000000-0005-0000-0000-00009FC30000}"/>
    <cellStyle name="Normal 76 3 2 4" xfId="48766" xr:uid="{00000000-0005-0000-0000-0000A0C30000}"/>
    <cellStyle name="Normal 76 3 2 5" xfId="48767" xr:uid="{00000000-0005-0000-0000-0000A1C30000}"/>
    <cellStyle name="Normal 76 3 2 6" xfId="48768" xr:uid="{00000000-0005-0000-0000-0000A2C30000}"/>
    <cellStyle name="Normal 76 3 2 7" xfId="48769" xr:uid="{00000000-0005-0000-0000-0000A3C30000}"/>
    <cellStyle name="Normal 76 3 3" xfId="48770" xr:uid="{00000000-0005-0000-0000-0000A4C30000}"/>
    <cellStyle name="Normal 76 3 3 2" xfId="48771" xr:uid="{00000000-0005-0000-0000-0000A5C30000}"/>
    <cellStyle name="Normal 76 3 3 3" xfId="48772" xr:uid="{00000000-0005-0000-0000-0000A6C30000}"/>
    <cellStyle name="Normal 76 3 3 4" xfId="48773" xr:uid="{00000000-0005-0000-0000-0000A7C30000}"/>
    <cellStyle name="Normal 76 3 4" xfId="48774" xr:uid="{00000000-0005-0000-0000-0000A8C30000}"/>
    <cellStyle name="Normal 76 3 4 2" xfId="48775" xr:uid="{00000000-0005-0000-0000-0000A9C30000}"/>
    <cellStyle name="Normal 76 3 4 3" xfId="48776" xr:uid="{00000000-0005-0000-0000-0000AAC30000}"/>
    <cellStyle name="Normal 76 3 5" xfId="48777" xr:uid="{00000000-0005-0000-0000-0000ABC30000}"/>
    <cellStyle name="Normal 76 3 6" xfId="48778" xr:uid="{00000000-0005-0000-0000-0000ACC30000}"/>
    <cellStyle name="Normal 76 3 7" xfId="48779" xr:uid="{00000000-0005-0000-0000-0000ADC30000}"/>
    <cellStyle name="Normal 76 3 8" xfId="48780" xr:uid="{00000000-0005-0000-0000-0000AEC30000}"/>
    <cellStyle name="Normal 76 3 9" xfId="48781" xr:uid="{00000000-0005-0000-0000-0000AFC30000}"/>
    <cellStyle name="Normal 76 4" xfId="48782" xr:uid="{00000000-0005-0000-0000-0000B0C30000}"/>
    <cellStyle name="Normal 76 4 2" xfId="48783" xr:uid="{00000000-0005-0000-0000-0000B1C30000}"/>
    <cellStyle name="Normal 76 4 2 2" xfId="48784" xr:uid="{00000000-0005-0000-0000-0000B2C30000}"/>
    <cellStyle name="Normal 76 4 2 3" xfId="48785" xr:uid="{00000000-0005-0000-0000-0000B3C30000}"/>
    <cellStyle name="Normal 76 4 3" xfId="48786" xr:uid="{00000000-0005-0000-0000-0000B4C30000}"/>
    <cellStyle name="Normal 76 4 3 2" xfId="48787" xr:uid="{00000000-0005-0000-0000-0000B5C30000}"/>
    <cellStyle name="Normal 76 4 3 3" xfId="48788" xr:uid="{00000000-0005-0000-0000-0000B6C30000}"/>
    <cellStyle name="Normal 76 4 4" xfId="48789" xr:uid="{00000000-0005-0000-0000-0000B7C30000}"/>
    <cellStyle name="Normal 76 4 5" xfId="48790" xr:uid="{00000000-0005-0000-0000-0000B8C30000}"/>
    <cellStyle name="Normal 76 4 6" xfId="48791" xr:uid="{00000000-0005-0000-0000-0000B9C30000}"/>
    <cellStyle name="Normal 76 4 7" xfId="48792" xr:uid="{00000000-0005-0000-0000-0000BAC30000}"/>
    <cellStyle name="Normal 76 5" xfId="48793" xr:uid="{00000000-0005-0000-0000-0000BBC30000}"/>
    <cellStyle name="Normal 76 5 2" xfId="48794" xr:uid="{00000000-0005-0000-0000-0000BCC30000}"/>
    <cellStyle name="Normal 76 5 3" xfId="48795" xr:uid="{00000000-0005-0000-0000-0000BDC30000}"/>
    <cellStyle name="Normal 76 5 4" xfId="48796" xr:uid="{00000000-0005-0000-0000-0000BEC30000}"/>
    <cellStyle name="Normal 76 6" xfId="48797" xr:uid="{00000000-0005-0000-0000-0000BFC30000}"/>
    <cellStyle name="Normal 76 6 2" xfId="48798" xr:uid="{00000000-0005-0000-0000-0000C0C30000}"/>
    <cellStyle name="Normal 76 6 3" xfId="48799" xr:uid="{00000000-0005-0000-0000-0000C1C30000}"/>
    <cellStyle name="Normal 76 7" xfId="48800" xr:uid="{00000000-0005-0000-0000-0000C2C30000}"/>
    <cellStyle name="Normal 76 8" xfId="48801" xr:uid="{00000000-0005-0000-0000-0000C3C30000}"/>
    <cellStyle name="Normal 76 9" xfId="48802" xr:uid="{00000000-0005-0000-0000-0000C4C30000}"/>
    <cellStyle name="Normal 76_Order Book" xfId="48803" xr:uid="{00000000-0005-0000-0000-0000C5C30000}"/>
    <cellStyle name="Normal 760" xfId="48804" xr:uid="{00000000-0005-0000-0000-0000C6C30000}"/>
    <cellStyle name="Normal 761" xfId="48805" xr:uid="{00000000-0005-0000-0000-0000C7C30000}"/>
    <cellStyle name="Normal 762" xfId="48806" xr:uid="{00000000-0005-0000-0000-0000C8C30000}"/>
    <cellStyle name="Normal 763" xfId="48807" xr:uid="{00000000-0005-0000-0000-0000C9C30000}"/>
    <cellStyle name="Normal 764" xfId="48808" xr:uid="{00000000-0005-0000-0000-0000CAC30000}"/>
    <cellStyle name="Normal 765" xfId="48809" xr:uid="{00000000-0005-0000-0000-0000CBC30000}"/>
    <cellStyle name="Normal 766" xfId="48810" xr:uid="{00000000-0005-0000-0000-0000CCC30000}"/>
    <cellStyle name="Normal 767" xfId="48811" xr:uid="{00000000-0005-0000-0000-0000CDC30000}"/>
    <cellStyle name="Normal 768" xfId="48812" xr:uid="{00000000-0005-0000-0000-0000CEC30000}"/>
    <cellStyle name="Normal 769" xfId="48813" xr:uid="{00000000-0005-0000-0000-0000CFC30000}"/>
    <cellStyle name="Normal 77" xfId="3578" xr:uid="{00000000-0005-0000-0000-0000D0C30000}"/>
    <cellStyle name="Normal 77 10" xfId="48814" xr:uid="{00000000-0005-0000-0000-0000D1C30000}"/>
    <cellStyle name="Normal 77 11" xfId="48815" xr:uid="{00000000-0005-0000-0000-0000D2C30000}"/>
    <cellStyle name="Normal 77 12" xfId="48816" xr:uid="{00000000-0005-0000-0000-0000D3C30000}"/>
    <cellStyle name="Normal 77 13" xfId="48817" xr:uid="{00000000-0005-0000-0000-0000D4C30000}"/>
    <cellStyle name="Normal 77 2" xfId="3579" xr:uid="{00000000-0005-0000-0000-0000D5C30000}"/>
    <cellStyle name="Normal 77 2 10" xfId="48818" xr:uid="{00000000-0005-0000-0000-0000D6C30000}"/>
    <cellStyle name="Normal 77 2 11" xfId="48819" xr:uid="{00000000-0005-0000-0000-0000D7C30000}"/>
    <cellStyle name="Normal 77 2 2" xfId="48820" xr:uid="{00000000-0005-0000-0000-0000D8C30000}"/>
    <cellStyle name="Normal 77 2 2 2" xfId="48821" xr:uid="{00000000-0005-0000-0000-0000D9C30000}"/>
    <cellStyle name="Normal 77 2 2 2 2" xfId="48822" xr:uid="{00000000-0005-0000-0000-0000DAC30000}"/>
    <cellStyle name="Normal 77 2 2 2 2 2" xfId="48823" xr:uid="{00000000-0005-0000-0000-0000DBC30000}"/>
    <cellStyle name="Normal 77 2 2 2 2 3" xfId="48824" xr:uid="{00000000-0005-0000-0000-0000DCC30000}"/>
    <cellStyle name="Normal 77 2 2 2 3" xfId="48825" xr:uid="{00000000-0005-0000-0000-0000DDC30000}"/>
    <cellStyle name="Normal 77 2 2 2 3 2" xfId="48826" xr:uid="{00000000-0005-0000-0000-0000DEC30000}"/>
    <cellStyle name="Normal 77 2 2 2 3 3" xfId="48827" xr:uid="{00000000-0005-0000-0000-0000DFC30000}"/>
    <cellStyle name="Normal 77 2 2 2 4" xfId="48828" xr:uid="{00000000-0005-0000-0000-0000E0C30000}"/>
    <cellStyle name="Normal 77 2 2 2 5" xfId="48829" xr:uid="{00000000-0005-0000-0000-0000E1C30000}"/>
    <cellStyle name="Normal 77 2 2 2 6" xfId="48830" xr:uid="{00000000-0005-0000-0000-0000E2C30000}"/>
    <cellStyle name="Normal 77 2 2 2 7" xfId="48831" xr:uid="{00000000-0005-0000-0000-0000E3C30000}"/>
    <cellStyle name="Normal 77 2 2 3" xfId="48832" xr:uid="{00000000-0005-0000-0000-0000E4C30000}"/>
    <cellStyle name="Normal 77 2 2 3 2" xfId="48833" xr:uid="{00000000-0005-0000-0000-0000E5C30000}"/>
    <cellStyle name="Normal 77 2 2 3 3" xfId="48834" xr:uid="{00000000-0005-0000-0000-0000E6C30000}"/>
    <cellStyle name="Normal 77 2 2 3 4" xfId="48835" xr:uid="{00000000-0005-0000-0000-0000E7C30000}"/>
    <cellStyle name="Normal 77 2 2 4" xfId="48836" xr:uid="{00000000-0005-0000-0000-0000E8C30000}"/>
    <cellStyle name="Normal 77 2 2 4 2" xfId="48837" xr:uid="{00000000-0005-0000-0000-0000E9C30000}"/>
    <cellStyle name="Normal 77 2 2 4 3" xfId="48838" xr:uid="{00000000-0005-0000-0000-0000EAC30000}"/>
    <cellStyle name="Normal 77 2 2 5" xfId="48839" xr:uid="{00000000-0005-0000-0000-0000EBC30000}"/>
    <cellStyle name="Normal 77 2 2 6" xfId="48840" xr:uid="{00000000-0005-0000-0000-0000ECC30000}"/>
    <cellStyle name="Normal 77 2 2 7" xfId="48841" xr:uid="{00000000-0005-0000-0000-0000EDC30000}"/>
    <cellStyle name="Normal 77 2 2 8" xfId="48842" xr:uid="{00000000-0005-0000-0000-0000EEC30000}"/>
    <cellStyle name="Normal 77 2 2 9" xfId="48843" xr:uid="{00000000-0005-0000-0000-0000EFC30000}"/>
    <cellStyle name="Normal 77 2 3" xfId="48844" xr:uid="{00000000-0005-0000-0000-0000F0C30000}"/>
    <cellStyle name="Normal 77 2 3 2" xfId="48845" xr:uid="{00000000-0005-0000-0000-0000F1C30000}"/>
    <cellStyle name="Normal 77 2 3 2 2" xfId="48846" xr:uid="{00000000-0005-0000-0000-0000F2C30000}"/>
    <cellStyle name="Normal 77 2 3 2 3" xfId="48847" xr:uid="{00000000-0005-0000-0000-0000F3C30000}"/>
    <cellStyle name="Normal 77 2 3 3" xfId="48848" xr:uid="{00000000-0005-0000-0000-0000F4C30000}"/>
    <cellStyle name="Normal 77 2 3 3 2" xfId="48849" xr:uid="{00000000-0005-0000-0000-0000F5C30000}"/>
    <cellStyle name="Normal 77 2 3 3 3" xfId="48850" xr:uid="{00000000-0005-0000-0000-0000F6C30000}"/>
    <cellStyle name="Normal 77 2 3 4" xfId="48851" xr:uid="{00000000-0005-0000-0000-0000F7C30000}"/>
    <cellStyle name="Normal 77 2 3 5" xfId="48852" xr:uid="{00000000-0005-0000-0000-0000F8C30000}"/>
    <cellStyle name="Normal 77 2 3 6" xfId="48853" xr:uid="{00000000-0005-0000-0000-0000F9C30000}"/>
    <cellStyle name="Normal 77 2 3 7" xfId="48854" xr:uid="{00000000-0005-0000-0000-0000FAC30000}"/>
    <cellStyle name="Normal 77 2 4" xfId="48855" xr:uid="{00000000-0005-0000-0000-0000FBC30000}"/>
    <cellStyle name="Normal 77 2 4 2" xfId="48856" xr:uid="{00000000-0005-0000-0000-0000FCC30000}"/>
    <cellStyle name="Normal 77 2 4 3" xfId="48857" xr:uid="{00000000-0005-0000-0000-0000FDC30000}"/>
    <cellStyle name="Normal 77 2 4 4" xfId="48858" xr:uid="{00000000-0005-0000-0000-0000FEC30000}"/>
    <cellStyle name="Normal 77 2 5" xfId="48859" xr:uid="{00000000-0005-0000-0000-0000FFC30000}"/>
    <cellStyle name="Normal 77 2 5 2" xfId="48860" xr:uid="{00000000-0005-0000-0000-000000C40000}"/>
    <cellStyle name="Normal 77 2 5 3" xfId="48861" xr:uid="{00000000-0005-0000-0000-000001C40000}"/>
    <cellStyle name="Normal 77 2 6" xfId="48862" xr:uid="{00000000-0005-0000-0000-000002C40000}"/>
    <cellStyle name="Normal 77 2 7" xfId="48863" xr:uid="{00000000-0005-0000-0000-000003C40000}"/>
    <cellStyle name="Normal 77 2 8" xfId="48864" xr:uid="{00000000-0005-0000-0000-000004C40000}"/>
    <cellStyle name="Normal 77 2 9" xfId="48865" xr:uid="{00000000-0005-0000-0000-000005C40000}"/>
    <cellStyle name="Normal 77 3" xfId="48866" xr:uid="{00000000-0005-0000-0000-000006C40000}"/>
    <cellStyle name="Normal 77 3 2" xfId="48867" xr:uid="{00000000-0005-0000-0000-000007C40000}"/>
    <cellStyle name="Normal 77 3 2 2" xfId="48868" xr:uid="{00000000-0005-0000-0000-000008C40000}"/>
    <cellStyle name="Normal 77 3 2 2 2" xfId="48869" xr:uid="{00000000-0005-0000-0000-000009C40000}"/>
    <cellStyle name="Normal 77 3 2 2 3" xfId="48870" xr:uid="{00000000-0005-0000-0000-00000AC40000}"/>
    <cellStyle name="Normal 77 3 2 3" xfId="48871" xr:uid="{00000000-0005-0000-0000-00000BC40000}"/>
    <cellStyle name="Normal 77 3 2 3 2" xfId="48872" xr:uid="{00000000-0005-0000-0000-00000CC40000}"/>
    <cellStyle name="Normal 77 3 2 3 3" xfId="48873" xr:uid="{00000000-0005-0000-0000-00000DC40000}"/>
    <cellStyle name="Normal 77 3 2 4" xfId="48874" xr:uid="{00000000-0005-0000-0000-00000EC40000}"/>
    <cellStyle name="Normal 77 3 2 5" xfId="48875" xr:uid="{00000000-0005-0000-0000-00000FC40000}"/>
    <cellStyle name="Normal 77 3 2 6" xfId="48876" xr:uid="{00000000-0005-0000-0000-000010C40000}"/>
    <cellStyle name="Normal 77 3 2 7" xfId="48877" xr:uid="{00000000-0005-0000-0000-000011C40000}"/>
    <cellStyle name="Normal 77 3 3" xfId="48878" xr:uid="{00000000-0005-0000-0000-000012C40000}"/>
    <cellStyle name="Normal 77 3 3 2" xfId="48879" xr:uid="{00000000-0005-0000-0000-000013C40000}"/>
    <cellStyle name="Normal 77 3 3 3" xfId="48880" xr:uid="{00000000-0005-0000-0000-000014C40000}"/>
    <cellStyle name="Normal 77 3 3 4" xfId="48881" xr:uid="{00000000-0005-0000-0000-000015C40000}"/>
    <cellStyle name="Normal 77 3 4" xfId="48882" xr:uid="{00000000-0005-0000-0000-000016C40000}"/>
    <cellStyle name="Normal 77 3 4 2" xfId="48883" xr:uid="{00000000-0005-0000-0000-000017C40000}"/>
    <cellStyle name="Normal 77 3 4 3" xfId="48884" xr:uid="{00000000-0005-0000-0000-000018C40000}"/>
    <cellStyle name="Normal 77 3 5" xfId="48885" xr:uid="{00000000-0005-0000-0000-000019C40000}"/>
    <cellStyle name="Normal 77 3 6" xfId="48886" xr:uid="{00000000-0005-0000-0000-00001AC40000}"/>
    <cellStyle name="Normal 77 3 7" xfId="48887" xr:uid="{00000000-0005-0000-0000-00001BC40000}"/>
    <cellStyle name="Normal 77 3 8" xfId="48888" xr:uid="{00000000-0005-0000-0000-00001CC40000}"/>
    <cellStyle name="Normal 77 3 9" xfId="48889" xr:uid="{00000000-0005-0000-0000-00001DC40000}"/>
    <cellStyle name="Normal 77 4" xfId="48890" xr:uid="{00000000-0005-0000-0000-00001EC40000}"/>
    <cellStyle name="Normal 77 4 2" xfId="48891" xr:uid="{00000000-0005-0000-0000-00001FC40000}"/>
    <cellStyle name="Normal 77 4 2 2" xfId="48892" xr:uid="{00000000-0005-0000-0000-000020C40000}"/>
    <cellStyle name="Normal 77 4 2 3" xfId="48893" xr:uid="{00000000-0005-0000-0000-000021C40000}"/>
    <cellStyle name="Normal 77 4 3" xfId="48894" xr:uid="{00000000-0005-0000-0000-000022C40000}"/>
    <cellStyle name="Normal 77 4 3 2" xfId="48895" xr:uid="{00000000-0005-0000-0000-000023C40000}"/>
    <cellStyle name="Normal 77 4 3 3" xfId="48896" xr:uid="{00000000-0005-0000-0000-000024C40000}"/>
    <cellStyle name="Normal 77 4 4" xfId="48897" xr:uid="{00000000-0005-0000-0000-000025C40000}"/>
    <cellStyle name="Normal 77 4 5" xfId="48898" xr:uid="{00000000-0005-0000-0000-000026C40000}"/>
    <cellStyle name="Normal 77 4 6" xfId="48899" xr:uid="{00000000-0005-0000-0000-000027C40000}"/>
    <cellStyle name="Normal 77 4 7" xfId="48900" xr:uid="{00000000-0005-0000-0000-000028C40000}"/>
    <cellStyle name="Normal 77 5" xfId="48901" xr:uid="{00000000-0005-0000-0000-000029C40000}"/>
    <cellStyle name="Normal 77 5 2" xfId="48902" xr:uid="{00000000-0005-0000-0000-00002AC40000}"/>
    <cellStyle name="Normal 77 5 3" xfId="48903" xr:uid="{00000000-0005-0000-0000-00002BC40000}"/>
    <cellStyle name="Normal 77 5 4" xfId="48904" xr:uid="{00000000-0005-0000-0000-00002CC40000}"/>
    <cellStyle name="Normal 77 6" xfId="48905" xr:uid="{00000000-0005-0000-0000-00002DC40000}"/>
    <cellStyle name="Normal 77 6 2" xfId="48906" xr:uid="{00000000-0005-0000-0000-00002EC40000}"/>
    <cellStyle name="Normal 77 6 3" xfId="48907" xr:uid="{00000000-0005-0000-0000-00002FC40000}"/>
    <cellStyle name="Normal 77 7" xfId="48908" xr:uid="{00000000-0005-0000-0000-000030C40000}"/>
    <cellStyle name="Normal 77 8" xfId="48909" xr:uid="{00000000-0005-0000-0000-000031C40000}"/>
    <cellStyle name="Normal 77 9" xfId="48910" xr:uid="{00000000-0005-0000-0000-000032C40000}"/>
    <cellStyle name="Normal 77_Order Book" xfId="48911" xr:uid="{00000000-0005-0000-0000-000033C40000}"/>
    <cellStyle name="Normal 770" xfId="48912" xr:uid="{00000000-0005-0000-0000-000034C40000}"/>
    <cellStyle name="Normal 771" xfId="48913" xr:uid="{00000000-0005-0000-0000-000035C40000}"/>
    <cellStyle name="Normal 772" xfId="48914" xr:uid="{00000000-0005-0000-0000-000036C40000}"/>
    <cellStyle name="Normal 773" xfId="48915" xr:uid="{00000000-0005-0000-0000-000037C40000}"/>
    <cellStyle name="Normal 774" xfId="48916" xr:uid="{00000000-0005-0000-0000-000038C40000}"/>
    <cellStyle name="Normal 775" xfId="48917" xr:uid="{00000000-0005-0000-0000-000039C40000}"/>
    <cellStyle name="Normal 776" xfId="48918" xr:uid="{00000000-0005-0000-0000-00003AC40000}"/>
    <cellStyle name="Normal 777" xfId="48919" xr:uid="{00000000-0005-0000-0000-00003BC40000}"/>
    <cellStyle name="Normal 778" xfId="48920" xr:uid="{00000000-0005-0000-0000-00003CC40000}"/>
    <cellStyle name="Normal 779" xfId="48921" xr:uid="{00000000-0005-0000-0000-00003DC40000}"/>
    <cellStyle name="Normal 78" xfId="3580" xr:uid="{00000000-0005-0000-0000-00003EC40000}"/>
    <cellStyle name="Normal 78 10" xfId="48922" xr:uid="{00000000-0005-0000-0000-00003FC40000}"/>
    <cellStyle name="Normal 78 11" xfId="48923" xr:uid="{00000000-0005-0000-0000-000040C40000}"/>
    <cellStyle name="Normal 78 12" xfId="48924" xr:uid="{00000000-0005-0000-0000-000041C40000}"/>
    <cellStyle name="Normal 78 13" xfId="48925" xr:uid="{00000000-0005-0000-0000-000042C40000}"/>
    <cellStyle name="Normal 78 2" xfId="48926" xr:uid="{00000000-0005-0000-0000-000043C40000}"/>
    <cellStyle name="Normal 78 2 10" xfId="48927" xr:uid="{00000000-0005-0000-0000-000044C40000}"/>
    <cellStyle name="Normal 78 2 2" xfId="48928" xr:uid="{00000000-0005-0000-0000-000045C40000}"/>
    <cellStyle name="Normal 78 2 2 2" xfId="48929" xr:uid="{00000000-0005-0000-0000-000046C40000}"/>
    <cellStyle name="Normal 78 2 2 2 2" xfId="48930" xr:uid="{00000000-0005-0000-0000-000047C40000}"/>
    <cellStyle name="Normal 78 2 2 2 2 2" xfId="48931" xr:uid="{00000000-0005-0000-0000-000048C40000}"/>
    <cellStyle name="Normal 78 2 2 2 2 3" xfId="48932" xr:uid="{00000000-0005-0000-0000-000049C40000}"/>
    <cellStyle name="Normal 78 2 2 2 3" xfId="48933" xr:uid="{00000000-0005-0000-0000-00004AC40000}"/>
    <cellStyle name="Normal 78 2 2 2 3 2" xfId="48934" xr:uid="{00000000-0005-0000-0000-00004BC40000}"/>
    <cellStyle name="Normal 78 2 2 2 3 3" xfId="48935" xr:uid="{00000000-0005-0000-0000-00004CC40000}"/>
    <cellStyle name="Normal 78 2 2 2 4" xfId="48936" xr:uid="{00000000-0005-0000-0000-00004DC40000}"/>
    <cellStyle name="Normal 78 2 2 2 5" xfId="48937" xr:uid="{00000000-0005-0000-0000-00004EC40000}"/>
    <cellStyle name="Normal 78 2 2 2 6" xfId="48938" xr:uid="{00000000-0005-0000-0000-00004FC40000}"/>
    <cellStyle name="Normal 78 2 2 2 7" xfId="48939" xr:uid="{00000000-0005-0000-0000-000050C40000}"/>
    <cellStyle name="Normal 78 2 2 3" xfId="48940" xr:uid="{00000000-0005-0000-0000-000051C40000}"/>
    <cellStyle name="Normal 78 2 2 3 2" xfId="48941" xr:uid="{00000000-0005-0000-0000-000052C40000}"/>
    <cellStyle name="Normal 78 2 2 3 3" xfId="48942" xr:uid="{00000000-0005-0000-0000-000053C40000}"/>
    <cellStyle name="Normal 78 2 2 3 4" xfId="48943" xr:uid="{00000000-0005-0000-0000-000054C40000}"/>
    <cellStyle name="Normal 78 2 2 4" xfId="48944" xr:uid="{00000000-0005-0000-0000-000055C40000}"/>
    <cellStyle name="Normal 78 2 2 4 2" xfId="48945" xr:uid="{00000000-0005-0000-0000-000056C40000}"/>
    <cellStyle name="Normal 78 2 2 4 3" xfId="48946" xr:uid="{00000000-0005-0000-0000-000057C40000}"/>
    <cellStyle name="Normal 78 2 2 5" xfId="48947" xr:uid="{00000000-0005-0000-0000-000058C40000}"/>
    <cellStyle name="Normal 78 2 2 6" xfId="48948" xr:uid="{00000000-0005-0000-0000-000059C40000}"/>
    <cellStyle name="Normal 78 2 2 7" xfId="48949" xr:uid="{00000000-0005-0000-0000-00005AC40000}"/>
    <cellStyle name="Normal 78 2 2 8" xfId="48950" xr:uid="{00000000-0005-0000-0000-00005BC40000}"/>
    <cellStyle name="Normal 78 2 2 9" xfId="48951" xr:uid="{00000000-0005-0000-0000-00005CC40000}"/>
    <cellStyle name="Normal 78 2 3" xfId="48952" xr:uid="{00000000-0005-0000-0000-00005DC40000}"/>
    <cellStyle name="Normal 78 2 3 2" xfId="48953" xr:uid="{00000000-0005-0000-0000-00005EC40000}"/>
    <cellStyle name="Normal 78 2 3 2 2" xfId="48954" xr:uid="{00000000-0005-0000-0000-00005FC40000}"/>
    <cellStyle name="Normal 78 2 3 2 3" xfId="48955" xr:uid="{00000000-0005-0000-0000-000060C40000}"/>
    <cellStyle name="Normal 78 2 3 3" xfId="48956" xr:uid="{00000000-0005-0000-0000-000061C40000}"/>
    <cellStyle name="Normal 78 2 3 3 2" xfId="48957" xr:uid="{00000000-0005-0000-0000-000062C40000}"/>
    <cellStyle name="Normal 78 2 3 3 3" xfId="48958" xr:uid="{00000000-0005-0000-0000-000063C40000}"/>
    <cellStyle name="Normal 78 2 3 4" xfId="48959" xr:uid="{00000000-0005-0000-0000-000064C40000}"/>
    <cellStyle name="Normal 78 2 3 5" xfId="48960" xr:uid="{00000000-0005-0000-0000-000065C40000}"/>
    <cellStyle name="Normal 78 2 3 6" xfId="48961" xr:uid="{00000000-0005-0000-0000-000066C40000}"/>
    <cellStyle name="Normal 78 2 3 7" xfId="48962" xr:uid="{00000000-0005-0000-0000-000067C40000}"/>
    <cellStyle name="Normal 78 2 4" xfId="48963" xr:uid="{00000000-0005-0000-0000-000068C40000}"/>
    <cellStyle name="Normal 78 2 4 2" xfId="48964" xr:uid="{00000000-0005-0000-0000-000069C40000}"/>
    <cellStyle name="Normal 78 2 4 3" xfId="48965" xr:uid="{00000000-0005-0000-0000-00006AC40000}"/>
    <cellStyle name="Normal 78 2 4 4" xfId="48966" xr:uid="{00000000-0005-0000-0000-00006BC40000}"/>
    <cellStyle name="Normal 78 2 5" xfId="48967" xr:uid="{00000000-0005-0000-0000-00006CC40000}"/>
    <cellStyle name="Normal 78 2 5 2" xfId="48968" xr:uid="{00000000-0005-0000-0000-00006DC40000}"/>
    <cellStyle name="Normal 78 2 5 3" xfId="48969" xr:uid="{00000000-0005-0000-0000-00006EC40000}"/>
    <cellStyle name="Normal 78 2 6" xfId="48970" xr:uid="{00000000-0005-0000-0000-00006FC40000}"/>
    <cellStyle name="Normal 78 2 7" xfId="48971" xr:uid="{00000000-0005-0000-0000-000070C40000}"/>
    <cellStyle name="Normal 78 2 8" xfId="48972" xr:uid="{00000000-0005-0000-0000-000071C40000}"/>
    <cellStyle name="Normal 78 2 9" xfId="48973" xr:uid="{00000000-0005-0000-0000-000072C40000}"/>
    <cellStyle name="Normal 78 3" xfId="48974" xr:uid="{00000000-0005-0000-0000-000073C40000}"/>
    <cellStyle name="Normal 78 3 2" xfId="48975" xr:uid="{00000000-0005-0000-0000-000074C40000}"/>
    <cellStyle name="Normal 78 3 2 2" xfId="48976" xr:uid="{00000000-0005-0000-0000-000075C40000}"/>
    <cellStyle name="Normal 78 3 2 2 2" xfId="48977" xr:uid="{00000000-0005-0000-0000-000076C40000}"/>
    <cellStyle name="Normal 78 3 2 2 3" xfId="48978" xr:uid="{00000000-0005-0000-0000-000077C40000}"/>
    <cellStyle name="Normal 78 3 2 3" xfId="48979" xr:uid="{00000000-0005-0000-0000-000078C40000}"/>
    <cellStyle name="Normal 78 3 2 3 2" xfId="48980" xr:uid="{00000000-0005-0000-0000-000079C40000}"/>
    <cellStyle name="Normal 78 3 2 3 3" xfId="48981" xr:uid="{00000000-0005-0000-0000-00007AC40000}"/>
    <cellStyle name="Normal 78 3 2 4" xfId="48982" xr:uid="{00000000-0005-0000-0000-00007BC40000}"/>
    <cellStyle name="Normal 78 3 2 5" xfId="48983" xr:uid="{00000000-0005-0000-0000-00007CC40000}"/>
    <cellStyle name="Normal 78 3 2 6" xfId="48984" xr:uid="{00000000-0005-0000-0000-00007DC40000}"/>
    <cellStyle name="Normal 78 3 2 7" xfId="48985" xr:uid="{00000000-0005-0000-0000-00007EC40000}"/>
    <cellStyle name="Normal 78 3 3" xfId="48986" xr:uid="{00000000-0005-0000-0000-00007FC40000}"/>
    <cellStyle name="Normal 78 3 3 2" xfId="48987" xr:uid="{00000000-0005-0000-0000-000080C40000}"/>
    <cellStyle name="Normal 78 3 3 3" xfId="48988" xr:uid="{00000000-0005-0000-0000-000081C40000}"/>
    <cellStyle name="Normal 78 3 3 4" xfId="48989" xr:uid="{00000000-0005-0000-0000-000082C40000}"/>
    <cellStyle name="Normal 78 3 4" xfId="48990" xr:uid="{00000000-0005-0000-0000-000083C40000}"/>
    <cellStyle name="Normal 78 3 4 2" xfId="48991" xr:uid="{00000000-0005-0000-0000-000084C40000}"/>
    <cellStyle name="Normal 78 3 4 3" xfId="48992" xr:uid="{00000000-0005-0000-0000-000085C40000}"/>
    <cellStyle name="Normal 78 3 5" xfId="48993" xr:uid="{00000000-0005-0000-0000-000086C40000}"/>
    <cellStyle name="Normal 78 3 6" xfId="48994" xr:uid="{00000000-0005-0000-0000-000087C40000}"/>
    <cellStyle name="Normal 78 3 7" xfId="48995" xr:uid="{00000000-0005-0000-0000-000088C40000}"/>
    <cellStyle name="Normal 78 3 8" xfId="48996" xr:uid="{00000000-0005-0000-0000-000089C40000}"/>
    <cellStyle name="Normal 78 3 9" xfId="48997" xr:uid="{00000000-0005-0000-0000-00008AC40000}"/>
    <cellStyle name="Normal 78 4" xfId="48998" xr:uid="{00000000-0005-0000-0000-00008BC40000}"/>
    <cellStyle name="Normal 78 4 2" xfId="48999" xr:uid="{00000000-0005-0000-0000-00008CC40000}"/>
    <cellStyle name="Normal 78 4 2 2" xfId="49000" xr:uid="{00000000-0005-0000-0000-00008DC40000}"/>
    <cellStyle name="Normal 78 4 2 3" xfId="49001" xr:uid="{00000000-0005-0000-0000-00008EC40000}"/>
    <cellStyle name="Normal 78 4 3" xfId="49002" xr:uid="{00000000-0005-0000-0000-00008FC40000}"/>
    <cellStyle name="Normal 78 4 3 2" xfId="49003" xr:uid="{00000000-0005-0000-0000-000090C40000}"/>
    <cellStyle name="Normal 78 4 3 3" xfId="49004" xr:uid="{00000000-0005-0000-0000-000091C40000}"/>
    <cellStyle name="Normal 78 4 4" xfId="49005" xr:uid="{00000000-0005-0000-0000-000092C40000}"/>
    <cellStyle name="Normal 78 4 5" xfId="49006" xr:uid="{00000000-0005-0000-0000-000093C40000}"/>
    <cellStyle name="Normal 78 4 6" xfId="49007" xr:uid="{00000000-0005-0000-0000-000094C40000}"/>
    <cellStyle name="Normal 78 4 7" xfId="49008" xr:uid="{00000000-0005-0000-0000-000095C40000}"/>
    <cellStyle name="Normal 78 5" xfId="49009" xr:uid="{00000000-0005-0000-0000-000096C40000}"/>
    <cellStyle name="Normal 78 5 2" xfId="49010" xr:uid="{00000000-0005-0000-0000-000097C40000}"/>
    <cellStyle name="Normal 78 5 3" xfId="49011" xr:uid="{00000000-0005-0000-0000-000098C40000}"/>
    <cellStyle name="Normal 78 5 4" xfId="49012" xr:uid="{00000000-0005-0000-0000-000099C40000}"/>
    <cellStyle name="Normal 78 6" xfId="49013" xr:uid="{00000000-0005-0000-0000-00009AC40000}"/>
    <cellStyle name="Normal 78 6 2" xfId="49014" xr:uid="{00000000-0005-0000-0000-00009BC40000}"/>
    <cellStyle name="Normal 78 6 3" xfId="49015" xr:uid="{00000000-0005-0000-0000-00009CC40000}"/>
    <cellStyle name="Normal 78 7" xfId="49016" xr:uid="{00000000-0005-0000-0000-00009DC40000}"/>
    <cellStyle name="Normal 78 8" xfId="49017" xr:uid="{00000000-0005-0000-0000-00009EC40000}"/>
    <cellStyle name="Normal 78 9" xfId="49018" xr:uid="{00000000-0005-0000-0000-00009FC40000}"/>
    <cellStyle name="Normal 78_Order Book" xfId="49019" xr:uid="{00000000-0005-0000-0000-0000A0C40000}"/>
    <cellStyle name="Normal 780" xfId="49020" xr:uid="{00000000-0005-0000-0000-0000A1C40000}"/>
    <cellStyle name="Normal 781" xfId="49021" xr:uid="{00000000-0005-0000-0000-0000A2C40000}"/>
    <cellStyle name="Normal 782" xfId="49022" xr:uid="{00000000-0005-0000-0000-0000A3C40000}"/>
    <cellStyle name="Normal 783" xfId="49023" xr:uid="{00000000-0005-0000-0000-0000A4C40000}"/>
    <cellStyle name="Normal 784" xfId="49024" xr:uid="{00000000-0005-0000-0000-0000A5C40000}"/>
    <cellStyle name="Normal 785" xfId="49025" xr:uid="{00000000-0005-0000-0000-0000A6C40000}"/>
    <cellStyle name="Normal 786" xfId="49026" xr:uid="{00000000-0005-0000-0000-0000A7C40000}"/>
    <cellStyle name="Normal 787" xfId="49027" xr:uid="{00000000-0005-0000-0000-0000A8C40000}"/>
    <cellStyle name="Normal 788" xfId="49028" xr:uid="{00000000-0005-0000-0000-0000A9C40000}"/>
    <cellStyle name="Normal 789" xfId="49029" xr:uid="{00000000-0005-0000-0000-0000AAC40000}"/>
    <cellStyle name="Normal 79" xfId="3581" xr:uid="{00000000-0005-0000-0000-0000ABC40000}"/>
    <cellStyle name="Normal 79 10" xfId="49030" xr:uid="{00000000-0005-0000-0000-0000ACC40000}"/>
    <cellStyle name="Normal 79 11" xfId="49031" xr:uid="{00000000-0005-0000-0000-0000ADC40000}"/>
    <cellStyle name="Normal 79 12" xfId="49032" xr:uid="{00000000-0005-0000-0000-0000AEC40000}"/>
    <cellStyle name="Normal 79 13" xfId="49033" xr:uid="{00000000-0005-0000-0000-0000AFC40000}"/>
    <cellStyle name="Normal 79 2" xfId="3582" xr:uid="{00000000-0005-0000-0000-0000B0C40000}"/>
    <cellStyle name="Normal 79 2 10" xfId="49034" xr:uid="{00000000-0005-0000-0000-0000B1C40000}"/>
    <cellStyle name="Normal 79 2 11" xfId="49035" xr:uid="{00000000-0005-0000-0000-0000B2C40000}"/>
    <cellStyle name="Normal 79 2 2" xfId="49036" xr:uid="{00000000-0005-0000-0000-0000B3C40000}"/>
    <cellStyle name="Normal 79 2 2 2" xfId="49037" xr:uid="{00000000-0005-0000-0000-0000B4C40000}"/>
    <cellStyle name="Normal 79 2 2 2 2" xfId="49038" xr:uid="{00000000-0005-0000-0000-0000B5C40000}"/>
    <cellStyle name="Normal 79 2 2 2 2 2" xfId="49039" xr:uid="{00000000-0005-0000-0000-0000B6C40000}"/>
    <cellStyle name="Normal 79 2 2 2 2 3" xfId="49040" xr:uid="{00000000-0005-0000-0000-0000B7C40000}"/>
    <cellStyle name="Normal 79 2 2 2 3" xfId="49041" xr:uid="{00000000-0005-0000-0000-0000B8C40000}"/>
    <cellStyle name="Normal 79 2 2 2 3 2" xfId="49042" xr:uid="{00000000-0005-0000-0000-0000B9C40000}"/>
    <cellStyle name="Normal 79 2 2 2 3 3" xfId="49043" xr:uid="{00000000-0005-0000-0000-0000BAC40000}"/>
    <cellStyle name="Normal 79 2 2 2 4" xfId="49044" xr:uid="{00000000-0005-0000-0000-0000BBC40000}"/>
    <cellStyle name="Normal 79 2 2 2 5" xfId="49045" xr:uid="{00000000-0005-0000-0000-0000BCC40000}"/>
    <cellStyle name="Normal 79 2 2 2 6" xfId="49046" xr:uid="{00000000-0005-0000-0000-0000BDC40000}"/>
    <cellStyle name="Normal 79 2 2 2 7" xfId="49047" xr:uid="{00000000-0005-0000-0000-0000BEC40000}"/>
    <cellStyle name="Normal 79 2 2 3" xfId="49048" xr:uid="{00000000-0005-0000-0000-0000BFC40000}"/>
    <cellStyle name="Normal 79 2 2 3 2" xfId="49049" xr:uid="{00000000-0005-0000-0000-0000C0C40000}"/>
    <cellStyle name="Normal 79 2 2 3 3" xfId="49050" xr:uid="{00000000-0005-0000-0000-0000C1C40000}"/>
    <cellStyle name="Normal 79 2 2 3 4" xfId="49051" xr:uid="{00000000-0005-0000-0000-0000C2C40000}"/>
    <cellStyle name="Normal 79 2 2 4" xfId="49052" xr:uid="{00000000-0005-0000-0000-0000C3C40000}"/>
    <cellStyle name="Normal 79 2 2 4 2" xfId="49053" xr:uid="{00000000-0005-0000-0000-0000C4C40000}"/>
    <cellStyle name="Normal 79 2 2 4 3" xfId="49054" xr:uid="{00000000-0005-0000-0000-0000C5C40000}"/>
    <cellStyle name="Normal 79 2 2 5" xfId="49055" xr:uid="{00000000-0005-0000-0000-0000C6C40000}"/>
    <cellStyle name="Normal 79 2 2 6" xfId="49056" xr:uid="{00000000-0005-0000-0000-0000C7C40000}"/>
    <cellStyle name="Normal 79 2 2 7" xfId="49057" xr:uid="{00000000-0005-0000-0000-0000C8C40000}"/>
    <cellStyle name="Normal 79 2 2 8" xfId="49058" xr:uid="{00000000-0005-0000-0000-0000C9C40000}"/>
    <cellStyle name="Normal 79 2 2 9" xfId="49059" xr:uid="{00000000-0005-0000-0000-0000CAC40000}"/>
    <cellStyle name="Normal 79 2 3" xfId="49060" xr:uid="{00000000-0005-0000-0000-0000CBC40000}"/>
    <cellStyle name="Normal 79 2 3 2" xfId="49061" xr:uid="{00000000-0005-0000-0000-0000CCC40000}"/>
    <cellStyle name="Normal 79 2 3 2 2" xfId="49062" xr:uid="{00000000-0005-0000-0000-0000CDC40000}"/>
    <cellStyle name="Normal 79 2 3 2 3" xfId="49063" xr:uid="{00000000-0005-0000-0000-0000CEC40000}"/>
    <cellStyle name="Normal 79 2 3 3" xfId="49064" xr:uid="{00000000-0005-0000-0000-0000CFC40000}"/>
    <cellStyle name="Normal 79 2 3 3 2" xfId="49065" xr:uid="{00000000-0005-0000-0000-0000D0C40000}"/>
    <cellStyle name="Normal 79 2 3 3 3" xfId="49066" xr:uid="{00000000-0005-0000-0000-0000D1C40000}"/>
    <cellStyle name="Normal 79 2 3 4" xfId="49067" xr:uid="{00000000-0005-0000-0000-0000D2C40000}"/>
    <cellStyle name="Normal 79 2 3 5" xfId="49068" xr:uid="{00000000-0005-0000-0000-0000D3C40000}"/>
    <cellStyle name="Normal 79 2 3 6" xfId="49069" xr:uid="{00000000-0005-0000-0000-0000D4C40000}"/>
    <cellStyle name="Normal 79 2 3 7" xfId="49070" xr:uid="{00000000-0005-0000-0000-0000D5C40000}"/>
    <cellStyle name="Normal 79 2 4" xfId="49071" xr:uid="{00000000-0005-0000-0000-0000D6C40000}"/>
    <cellStyle name="Normal 79 2 4 2" xfId="49072" xr:uid="{00000000-0005-0000-0000-0000D7C40000}"/>
    <cellStyle name="Normal 79 2 4 3" xfId="49073" xr:uid="{00000000-0005-0000-0000-0000D8C40000}"/>
    <cellStyle name="Normal 79 2 4 4" xfId="49074" xr:uid="{00000000-0005-0000-0000-0000D9C40000}"/>
    <cellStyle name="Normal 79 2 5" xfId="49075" xr:uid="{00000000-0005-0000-0000-0000DAC40000}"/>
    <cellStyle name="Normal 79 2 5 2" xfId="49076" xr:uid="{00000000-0005-0000-0000-0000DBC40000}"/>
    <cellStyle name="Normal 79 2 5 3" xfId="49077" xr:uid="{00000000-0005-0000-0000-0000DCC40000}"/>
    <cellStyle name="Normal 79 2 6" xfId="49078" xr:uid="{00000000-0005-0000-0000-0000DDC40000}"/>
    <cellStyle name="Normal 79 2 7" xfId="49079" xr:uid="{00000000-0005-0000-0000-0000DEC40000}"/>
    <cellStyle name="Normal 79 2 8" xfId="49080" xr:uid="{00000000-0005-0000-0000-0000DFC40000}"/>
    <cellStyle name="Normal 79 2 9" xfId="49081" xr:uid="{00000000-0005-0000-0000-0000E0C40000}"/>
    <cellStyle name="Normal 79 3" xfId="49082" xr:uid="{00000000-0005-0000-0000-0000E1C40000}"/>
    <cellStyle name="Normal 79 3 2" xfId="49083" xr:uid="{00000000-0005-0000-0000-0000E2C40000}"/>
    <cellStyle name="Normal 79 3 2 2" xfId="49084" xr:uid="{00000000-0005-0000-0000-0000E3C40000}"/>
    <cellStyle name="Normal 79 3 2 2 2" xfId="49085" xr:uid="{00000000-0005-0000-0000-0000E4C40000}"/>
    <cellStyle name="Normal 79 3 2 2 3" xfId="49086" xr:uid="{00000000-0005-0000-0000-0000E5C40000}"/>
    <cellStyle name="Normal 79 3 2 3" xfId="49087" xr:uid="{00000000-0005-0000-0000-0000E6C40000}"/>
    <cellStyle name="Normal 79 3 2 3 2" xfId="49088" xr:uid="{00000000-0005-0000-0000-0000E7C40000}"/>
    <cellStyle name="Normal 79 3 2 3 3" xfId="49089" xr:uid="{00000000-0005-0000-0000-0000E8C40000}"/>
    <cellStyle name="Normal 79 3 2 4" xfId="49090" xr:uid="{00000000-0005-0000-0000-0000E9C40000}"/>
    <cellStyle name="Normal 79 3 2 5" xfId="49091" xr:uid="{00000000-0005-0000-0000-0000EAC40000}"/>
    <cellStyle name="Normal 79 3 2 6" xfId="49092" xr:uid="{00000000-0005-0000-0000-0000EBC40000}"/>
    <cellStyle name="Normal 79 3 2 7" xfId="49093" xr:uid="{00000000-0005-0000-0000-0000ECC40000}"/>
    <cellStyle name="Normal 79 3 3" xfId="49094" xr:uid="{00000000-0005-0000-0000-0000EDC40000}"/>
    <cellStyle name="Normal 79 3 3 2" xfId="49095" xr:uid="{00000000-0005-0000-0000-0000EEC40000}"/>
    <cellStyle name="Normal 79 3 3 3" xfId="49096" xr:uid="{00000000-0005-0000-0000-0000EFC40000}"/>
    <cellStyle name="Normal 79 3 3 4" xfId="49097" xr:uid="{00000000-0005-0000-0000-0000F0C40000}"/>
    <cellStyle name="Normal 79 3 4" xfId="49098" xr:uid="{00000000-0005-0000-0000-0000F1C40000}"/>
    <cellStyle name="Normal 79 3 4 2" xfId="49099" xr:uid="{00000000-0005-0000-0000-0000F2C40000}"/>
    <cellStyle name="Normal 79 3 4 3" xfId="49100" xr:uid="{00000000-0005-0000-0000-0000F3C40000}"/>
    <cellStyle name="Normal 79 3 5" xfId="49101" xr:uid="{00000000-0005-0000-0000-0000F4C40000}"/>
    <cellStyle name="Normal 79 3 6" xfId="49102" xr:uid="{00000000-0005-0000-0000-0000F5C40000}"/>
    <cellStyle name="Normal 79 3 7" xfId="49103" xr:uid="{00000000-0005-0000-0000-0000F6C40000}"/>
    <cellStyle name="Normal 79 3 8" xfId="49104" xr:uid="{00000000-0005-0000-0000-0000F7C40000}"/>
    <cellStyle name="Normal 79 3 9" xfId="49105" xr:uid="{00000000-0005-0000-0000-0000F8C40000}"/>
    <cellStyle name="Normal 79 4" xfId="49106" xr:uid="{00000000-0005-0000-0000-0000F9C40000}"/>
    <cellStyle name="Normal 79 4 2" xfId="49107" xr:uid="{00000000-0005-0000-0000-0000FAC40000}"/>
    <cellStyle name="Normal 79 4 2 2" xfId="49108" xr:uid="{00000000-0005-0000-0000-0000FBC40000}"/>
    <cellStyle name="Normal 79 4 2 3" xfId="49109" xr:uid="{00000000-0005-0000-0000-0000FCC40000}"/>
    <cellStyle name="Normal 79 4 3" xfId="49110" xr:uid="{00000000-0005-0000-0000-0000FDC40000}"/>
    <cellStyle name="Normal 79 4 3 2" xfId="49111" xr:uid="{00000000-0005-0000-0000-0000FEC40000}"/>
    <cellStyle name="Normal 79 4 3 3" xfId="49112" xr:uid="{00000000-0005-0000-0000-0000FFC40000}"/>
    <cellStyle name="Normal 79 4 4" xfId="49113" xr:uid="{00000000-0005-0000-0000-000000C50000}"/>
    <cellStyle name="Normal 79 4 5" xfId="49114" xr:uid="{00000000-0005-0000-0000-000001C50000}"/>
    <cellStyle name="Normal 79 4 6" xfId="49115" xr:uid="{00000000-0005-0000-0000-000002C50000}"/>
    <cellStyle name="Normal 79 4 7" xfId="49116" xr:uid="{00000000-0005-0000-0000-000003C50000}"/>
    <cellStyle name="Normal 79 5" xfId="49117" xr:uid="{00000000-0005-0000-0000-000004C50000}"/>
    <cellStyle name="Normal 79 5 2" xfId="49118" xr:uid="{00000000-0005-0000-0000-000005C50000}"/>
    <cellStyle name="Normal 79 5 3" xfId="49119" xr:uid="{00000000-0005-0000-0000-000006C50000}"/>
    <cellStyle name="Normal 79 5 4" xfId="49120" xr:uid="{00000000-0005-0000-0000-000007C50000}"/>
    <cellStyle name="Normal 79 6" xfId="49121" xr:uid="{00000000-0005-0000-0000-000008C50000}"/>
    <cellStyle name="Normal 79 6 2" xfId="49122" xr:uid="{00000000-0005-0000-0000-000009C50000}"/>
    <cellStyle name="Normal 79 6 3" xfId="49123" xr:uid="{00000000-0005-0000-0000-00000AC50000}"/>
    <cellStyle name="Normal 79 7" xfId="49124" xr:uid="{00000000-0005-0000-0000-00000BC50000}"/>
    <cellStyle name="Normal 79 8" xfId="49125" xr:uid="{00000000-0005-0000-0000-00000CC50000}"/>
    <cellStyle name="Normal 79 9" xfId="49126" xr:uid="{00000000-0005-0000-0000-00000DC50000}"/>
    <cellStyle name="Normal 79_Order Book" xfId="49127" xr:uid="{00000000-0005-0000-0000-00000EC50000}"/>
    <cellStyle name="Normal 790" xfId="49128" xr:uid="{00000000-0005-0000-0000-00000FC50000}"/>
    <cellStyle name="Normal 791" xfId="49129" xr:uid="{00000000-0005-0000-0000-000010C50000}"/>
    <cellStyle name="Normal 792" xfId="49130" xr:uid="{00000000-0005-0000-0000-000011C50000}"/>
    <cellStyle name="Normal 793" xfId="49131" xr:uid="{00000000-0005-0000-0000-000012C50000}"/>
    <cellStyle name="Normal 794" xfId="49132" xr:uid="{00000000-0005-0000-0000-000013C50000}"/>
    <cellStyle name="Normal 795" xfId="49133" xr:uid="{00000000-0005-0000-0000-000014C50000}"/>
    <cellStyle name="Normal 796" xfId="49134" xr:uid="{00000000-0005-0000-0000-000015C50000}"/>
    <cellStyle name="Normal 797" xfId="49135" xr:uid="{00000000-0005-0000-0000-000016C50000}"/>
    <cellStyle name="Normal 798" xfId="49136" xr:uid="{00000000-0005-0000-0000-000017C50000}"/>
    <cellStyle name="Normal 799" xfId="49137" xr:uid="{00000000-0005-0000-0000-000018C50000}"/>
    <cellStyle name="Normal 8" xfId="3583" xr:uid="{00000000-0005-0000-0000-000019C50000}"/>
    <cellStyle name="Normal 8 10" xfId="49138" xr:uid="{00000000-0005-0000-0000-00001AC50000}"/>
    <cellStyle name="Normal 8 2" xfId="3584" xr:uid="{00000000-0005-0000-0000-00001BC50000}"/>
    <cellStyle name="Normal 8 2 2" xfId="3585" xr:uid="{00000000-0005-0000-0000-00001CC50000}"/>
    <cellStyle name="Normal 8 2 2 2" xfId="49139" xr:uid="{00000000-0005-0000-0000-00001DC50000}"/>
    <cellStyle name="Normal 8 2 3" xfId="49140" xr:uid="{00000000-0005-0000-0000-00001EC50000}"/>
    <cellStyle name="Normal 8 2 4" xfId="49141" xr:uid="{00000000-0005-0000-0000-00001FC50000}"/>
    <cellStyle name="Normal 8 2 5" xfId="49142" xr:uid="{00000000-0005-0000-0000-000020C50000}"/>
    <cellStyle name="Normal 8 3" xfId="3586" xr:uid="{00000000-0005-0000-0000-000021C50000}"/>
    <cellStyle name="Normal 8 4" xfId="49143" xr:uid="{00000000-0005-0000-0000-000022C50000}"/>
    <cellStyle name="Normal 8 4 2" xfId="49144" xr:uid="{00000000-0005-0000-0000-000023C50000}"/>
    <cellStyle name="Normal 8 5" xfId="49145" xr:uid="{00000000-0005-0000-0000-000024C50000}"/>
    <cellStyle name="Normal 8 5 2" xfId="49146" xr:uid="{00000000-0005-0000-0000-000025C50000}"/>
    <cellStyle name="Normal 8 6" xfId="49147" xr:uid="{00000000-0005-0000-0000-000026C50000}"/>
    <cellStyle name="Normal 8 6 2" xfId="49148" xr:uid="{00000000-0005-0000-0000-000027C50000}"/>
    <cellStyle name="Normal 8 7" xfId="49149" xr:uid="{00000000-0005-0000-0000-000028C50000}"/>
    <cellStyle name="Normal 8 8" xfId="49150" xr:uid="{00000000-0005-0000-0000-000029C50000}"/>
    <cellStyle name="Normal 8 9" xfId="49151" xr:uid="{00000000-0005-0000-0000-00002AC50000}"/>
    <cellStyle name="Normal 80" xfId="3587" xr:uid="{00000000-0005-0000-0000-00002BC50000}"/>
    <cellStyle name="Normal 80 10" xfId="49152" xr:uid="{00000000-0005-0000-0000-00002CC50000}"/>
    <cellStyle name="Normal 80 11" xfId="49153" xr:uid="{00000000-0005-0000-0000-00002DC50000}"/>
    <cellStyle name="Normal 80 12" xfId="49154" xr:uid="{00000000-0005-0000-0000-00002EC50000}"/>
    <cellStyle name="Normal 80 13" xfId="49155" xr:uid="{00000000-0005-0000-0000-00002FC50000}"/>
    <cellStyle name="Normal 80 2" xfId="49156" xr:uid="{00000000-0005-0000-0000-000030C50000}"/>
    <cellStyle name="Normal 80 2 10" xfId="49157" xr:uid="{00000000-0005-0000-0000-000031C50000}"/>
    <cellStyle name="Normal 80 2 2" xfId="49158" xr:uid="{00000000-0005-0000-0000-000032C50000}"/>
    <cellStyle name="Normal 80 2 2 2" xfId="49159" xr:uid="{00000000-0005-0000-0000-000033C50000}"/>
    <cellStyle name="Normal 80 2 2 2 2" xfId="49160" xr:uid="{00000000-0005-0000-0000-000034C50000}"/>
    <cellStyle name="Normal 80 2 2 2 2 2" xfId="49161" xr:uid="{00000000-0005-0000-0000-000035C50000}"/>
    <cellStyle name="Normal 80 2 2 2 2 3" xfId="49162" xr:uid="{00000000-0005-0000-0000-000036C50000}"/>
    <cellStyle name="Normal 80 2 2 2 3" xfId="49163" xr:uid="{00000000-0005-0000-0000-000037C50000}"/>
    <cellStyle name="Normal 80 2 2 2 3 2" xfId="49164" xr:uid="{00000000-0005-0000-0000-000038C50000}"/>
    <cellStyle name="Normal 80 2 2 2 3 3" xfId="49165" xr:uid="{00000000-0005-0000-0000-000039C50000}"/>
    <cellStyle name="Normal 80 2 2 2 4" xfId="49166" xr:uid="{00000000-0005-0000-0000-00003AC50000}"/>
    <cellStyle name="Normal 80 2 2 2 5" xfId="49167" xr:uid="{00000000-0005-0000-0000-00003BC50000}"/>
    <cellStyle name="Normal 80 2 2 2 6" xfId="49168" xr:uid="{00000000-0005-0000-0000-00003CC50000}"/>
    <cellStyle name="Normal 80 2 2 2 7" xfId="49169" xr:uid="{00000000-0005-0000-0000-00003DC50000}"/>
    <cellStyle name="Normal 80 2 2 3" xfId="49170" xr:uid="{00000000-0005-0000-0000-00003EC50000}"/>
    <cellStyle name="Normal 80 2 2 3 2" xfId="49171" xr:uid="{00000000-0005-0000-0000-00003FC50000}"/>
    <cellStyle name="Normal 80 2 2 3 3" xfId="49172" xr:uid="{00000000-0005-0000-0000-000040C50000}"/>
    <cellStyle name="Normal 80 2 2 3 4" xfId="49173" xr:uid="{00000000-0005-0000-0000-000041C50000}"/>
    <cellStyle name="Normal 80 2 2 4" xfId="49174" xr:uid="{00000000-0005-0000-0000-000042C50000}"/>
    <cellStyle name="Normal 80 2 2 4 2" xfId="49175" xr:uid="{00000000-0005-0000-0000-000043C50000}"/>
    <cellStyle name="Normal 80 2 2 4 3" xfId="49176" xr:uid="{00000000-0005-0000-0000-000044C50000}"/>
    <cellStyle name="Normal 80 2 2 5" xfId="49177" xr:uid="{00000000-0005-0000-0000-000045C50000}"/>
    <cellStyle name="Normal 80 2 2 6" xfId="49178" xr:uid="{00000000-0005-0000-0000-000046C50000}"/>
    <cellStyle name="Normal 80 2 2 7" xfId="49179" xr:uid="{00000000-0005-0000-0000-000047C50000}"/>
    <cellStyle name="Normal 80 2 2 8" xfId="49180" xr:uid="{00000000-0005-0000-0000-000048C50000}"/>
    <cellStyle name="Normal 80 2 2 9" xfId="49181" xr:uid="{00000000-0005-0000-0000-000049C50000}"/>
    <cellStyle name="Normal 80 2 3" xfId="49182" xr:uid="{00000000-0005-0000-0000-00004AC50000}"/>
    <cellStyle name="Normal 80 2 3 2" xfId="49183" xr:uid="{00000000-0005-0000-0000-00004BC50000}"/>
    <cellStyle name="Normal 80 2 3 2 2" xfId="49184" xr:uid="{00000000-0005-0000-0000-00004CC50000}"/>
    <cellStyle name="Normal 80 2 3 2 3" xfId="49185" xr:uid="{00000000-0005-0000-0000-00004DC50000}"/>
    <cellStyle name="Normal 80 2 3 3" xfId="49186" xr:uid="{00000000-0005-0000-0000-00004EC50000}"/>
    <cellStyle name="Normal 80 2 3 3 2" xfId="49187" xr:uid="{00000000-0005-0000-0000-00004FC50000}"/>
    <cellStyle name="Normal 80 2 3 3 3" xfId="49188" xr:uid="{00000000-0005-0000-0000-000050C50000}"/>
    <cellStyle name="Normal 80 2 3 4" xfId="49189" xr:uid="{00000000-0005-0000-0000-000051C50000}"/>
    <cellStyle name="Normal 80 2 3 5" xfId="49190" xr:uid="{00000000-0005-0000-0000-000052C50000}"/>
    <cellStyle name="Normal 80 2 3 6" xfId="49191" xr:uid="{00000000-0005-0000-0000-000053C50000}"/>
    <cellStyle name="Normal 80 2 3 7" xfId="49192" xr:uid="{00000000-0005-0000-0000-000054C50000}"/>
    <cellStyle name="Normal 80 2 4" xfId="49193" xr:uid="{00000000-0005-0000-0000-000055C50000}"/>
    <cellStyle name="Normal 80 2 4 2" xfId="49194" xr:uid="{00000000-0005-0000-0000-000056C50000}"/>
    <cellStyle name="Normal 80 2 4 3" xfId="49195" xr:uid="{00000000-0005-0000-0000-000057C50000}"/>
    <cellStyle name="Normal 80 2 4 4" xfId="49196" xr:uid="{00000000-0005-0000-0000-000058C50000}"/>
    <cellStyle name="Normal 80 2 5" xfId="49197" xr:uid="{00000000-0005-0000-0000-000059C50000}"/>
    <cellStyle name="Normal 80 2 5 2" xfId="49198" xr:uid="{00000000-0005-0000-0000-00005AC50000}"/>
    <cellStyle name="Normal 80 2 5 3" xfId="49199" xr:uid="{00000000-0005-0000-0000-00005BC50000}"/>
    <cellStyle name="Normal 80 2 6" xfId="49200" xr:uid="{00000000-0005-0000-0000-00005CC50000}"/>
    <cellStyle name="Normal 80 2 7" xfId="49201" xr:uid="{00000000-0005-0000-0000-00005DC50000}"/>
    <cellStyle name="Normal 80 2 8" xfId="49202" xr:uid="{00000000-0005-0000-0000-00005EC50000}"/>
    <cellStyle name="Normal 80 2 9" xfId="49203" xr:uid="{00000000-0005-0000-0000-00005FC50000}"/>
    <cellStyle name="Normal 80 3" xfId="49204" xr:uid="{00000000-0005-0000-0000-000060C50000}"/>
    <cellStyle name="Normal 80 3 2" xfId="49205" xr:uid="{00000000-0005-0000-0000-000061C50000}"/>
    <cellStyle name="Normal 80 3 2 2" xfId="49206" xr:uid="{00000000-0005-0000-0000-000062C50000}"/>
    <cellStyle name="Normal 80 3 2 2 2" xfId="49207" xr:uid="{00000000-0005-0000-0000-000063C50000}"/>
    <cellStyle name="Normal 80 3 2 2 3" xfId="49208" xr:uid="{00000000-0005-0000-0000-000064C50000}"/>
    <cellStyle name="Normal 80 3 2 3" xfId="49209" xr:uid="{00000000-0005-0000-0000-000065C50000}"/>
    <cellStyle name="Normal 80 3 2 3 2" xfId="49210" xr:uid="{00000000-0005-0000-0000-000066C50000}"/>
    <cellStyle name="Normal 80 3 2 3 3" xfId="49211" xr:uid="{00000000-0005-0000-0000-000067C50000}"/>
    <cellStyle name="Normal 80 3 2 4" xfId="49212" xr:uid="{00000000-0005-0000-0000-000068C50000}"/>
    <cellStyle name="Normal 80 3 2 5" xfId="49213" xr:uid="{00000000-0005-0000-0000-000069C50000}"/>
    <cellStyle name="Normal 80 3 2 6" xfId="49214" xr:uid="{00000000-0005-0000-0000-00006AC50000}"/>
    <cellStyle name="Normal 80 3 2 7" xfId="49215" xr:uid="{00000000-0005-0000-0000-00006BC50000}"/>
    <cellStyle name="Normal 80 3 3" xfId="49216" xr:uid="{00000000-0005-0000-0000-00006CC50000}"/>
    <cellStyle name="Normal 80 3 3 2" xfId="49217" xr:uid="{00000000-0005-0000-0000-00006DC50000}"/>
    <cellStyle name="Normal 80 3 3 3" xfId="49218" xr:uid="{00000000-0005-0000-0000-00006EC50000}"/>
    <cellStyle name="Normal 80 3 3 4" xfId="49219" xr:uid="{00000000-0005-0000-0000-00006FC50000}"/>
    <cellStyle name="Normal 80 3 4" xfId="49220" xr:uid="{00000000-0005-0000-0000-000070C50000}"/>
    <cellStyle name="Normal 80 3 4 2" xfId="49221" xr:uid="{00000000-0005-0000-0000-000071C50000}"/>
    <cellStyle name="Normal 80 3 4 3" xfId="49222" xr:uid="{00000000-0005-0000-0000-000072C50000}"/>
    <cellStyle name="Normal 80 3 5" xfId="49223" xr:uid="{00000000-0005-0000-0000-000073C50000}"/>
    <cellStyle name="Normal 80 3 6" xfId="49224" xr:uid="{00000000-0005-0000-0000-000074C50000}"/>
    <cellStyle name="Normal 80 3 7" xfId="49225" xr:uid="{00000000-0005-0000-0000-000075C50000}"/>
    <cellStyle name="Normal 80 3 8" xfId="49226" xr:uid="{00000000-0005-0000-0000-000076C50000}"/>
    <cellStyle name="Normal 80 3 9" xfId="49227" xr:uid="{00000000-0005-0000-0000-000077C50000}"/>
    <cellStyle name="Normal 80 4" xfId="49228" xr:uid="{00000000-0005-0000-0000-000078C50000}"/>
    <cellStyle name="Normal 80 4 2" xfId="49229" xr:uid="{00000000-0005-0000-0000-000079C50000}"/>
    <cellStyle name="Normal 80 4 2 2" xfId="49230" xr:uid="{00000000-0005-0000-0000-00007AC50000}"/>
    <cellStyle name="Normal 80 4 2 3" xfId="49231" xr:uid="{00000000-0005-0000-0000-00007BC50000}"/>
    <cellStyle name="Normal 80 4 3" xfId="49232" xr:uid="{00000000-0005-0000-0000-00007CC50000}"/>
    <cellStyle name="Normal 80 4 3 2" xfId="49233" xr:uid="{00000000-0005-0000-0000-00007DC50000}"/>
    <cellStyle name="Normal 80 4 3 3" xfId="49234" xr:uid="{00000000-0005-0000-0000-00007EC50000}"/>
    <cellStyle name="Normal 80 4 4" xfId="49235" xr:uid="{00000000-0005-0000-0000-00007FC50000}"/>
    <cellStyle name="Normal 80 4 5" xfId="49236" xr:uid="{00000000-0005-0000-0000-000080C50000}"/>
    <cellStyle name="Normal 80 4 6" xfId="49237" xr:uid="{00000000-0005-0000-0000-000081C50000}"/>
    <cellStyle name="Normal 80 4 7" xfId="49238" xr:uid="{00000000-0005-0000-0000-000082C50000}"/>
    <cellStyle name="Normal 80 5" xfId="49239" xr:uid="{00000000-0005-0000-0000-000083C50000}"/>
    <cellStyle name="Normal 80 5 2" xfId="49240" xr:uid="{00000000-0005-0000-0000-000084C50000}"/>
    <cellStyle name="Normal 80 5 3" xfId="49241" xr:uid="{00000000-0005-0000-0000-000085C50000}"/>
    <cellStyle name="Normal 80 5 4" xfId="49242" xr:uid="{00000000-0005-0000-0000-000086C50000}"/>
    <cellStyle name="Normal 80 6" xfId="49243" xr:uid="{00000000-0005-0000-0000-000087C50000}"/>
    <cellStyle name="Normal 80 6 2" xfId="49244" xr:uid="{00000000-0005-0000-0000-000088C50000}"/>
    <cellStyle name="Normal 80 6 3" xfId="49245" xr:uid="{00000000-0005-0000-0000-000089C50000}"/>
    <cellStyle name="Normal 80 7" xfId="49246" xr:uid="{00000000-0005-0000-0000-00008AC50000}"/>
    <cellStyle name="Normal 80 8" xfId="49247" xr:uid="{00000000-0005-0000-0000-00008BC50000}"/>
    <cellStyle name="Normal 80 9" xfId="49248" xr:uid="{00000000-0005-0000-0000-00008CC50000}"/>
    <cellStyle name="Normal 80_Order Book" xfId="49249" xr:uid="{00000000-0005-0000-0000-00008DC50000}"/>
    <cellStyle name="Normal 800" xfId="49250" xr:uid="{00000000-0005-0000-0000-00008EC50000}"/>
    <cellStyle name="Normal 801" xfId="49251" xr:uid="{00000000-0005-0000-0000-00008FC50000}"/>
    <cellStyle name="Normal 802" xfId="49252" xr:uid="{00000000-0005-0000-0000-000090C50000}"/>
    <cellStyle name="Normal 803" xfId="49253" xr:uid="{00000000-0005-0000-0000-000091C50000}"/>
    <cellStyle name="Normal 804" xfId="49254" xr:uid="{00000000-0005-0000-0000-000092C50000}"/>
    <cellStyle name="Normal 805" xfId="49255" xr:uid="{00000000-0005-0000-0000-000093C50000}"/>
    <cellStyle name="Normal 806" xfId="49256" xr:uid="{00000000-0005-0000-0000-000094C50000}"/>
    <cellStyle name="Normal 807" xfId="49257" xr:uid="{00000000-0005-0000-0000-000095C50000}"/>
    <cellStyle name="Normal 808" xfId="49258" xr:uid="{00000000-0005-0000-0000-000096C50000}"/>
    <cellStyle name="Normal 809" xfId="49259" xr:uid="{00000000-0005-0000-0000-000097C50000}"/>
    <cellStyle name="Normal 81" xfId="3588" xr:uid="{00000000-0005-0000-0000-000098C50000}"/>
    <cellStyle name="Normal 81 10" xfId="49260" xr:uid="{00000000-0005-0000-0000-000099C50000}"/>
    <cellStyle name="Normal 81 11" xfId="49261" xr:uid="{00000000-0005-0000-0000-00009AC50000}"/>
    <cellStyle name="Normal 81 12" xfId="49262" xr:uid="{00000000-0005-0000-0000-00009BC50000}"/>
    <cellStyle name="Normal 81 13" xfId="49263" xr:uid="{00000000-0005-0000-0000-00009CC50000}"/>
    <cellStyle name="Normal 81 2" xfId="49264" xr:uid="{00000000-0005-0000-0000-00009DC50000}"/>
    <cellStyle name="Normal 81 2 10" xfId="49265" xr:uid="{00000000-0005-0000-0000-00009EC50000}"/>
    <cellStyle name="Normal 81 2 2" xfId="49266" xr:uid="{00000000-0005-0000-0000-00009FC50000}"/>
    <cellStyle name="Normal 81 2 2 2" xfId="49267" xr:uid="{00000000-0005-0000-0000-0000A0C50000}"/>
    <cellStyle name="Normal 81 2 2 2 2" xfId="49268" xr:uid="{00000000-0005-0000-0000-0000A1C50000}"/>
    <cellStyle name="Normal 81 2 2 2 2 2" xfId="49269" xr:uid="{00000000-0005-0000-0000-0000A2C50000}"/>
    <cellStyle name="Normal 81 2 2 2 2 3" xfId="49270" xr:uid="{00000000-0005-0000-0000-0000A3C50000}"/>
    <cellStyle name="Normal 81 2 2 2 3" xfId="49271" xr:uid="{00000000-0005-0000-0000-0000A4C50000}"/>
    <cellStyle name="Normal 81 2 2 2 3 2" xfId="49272" xr:uid="{00000000-0005-0000-0000-0000A5C50000}"/>
    <cellStyle name="Normal 81 2 2 2 3 3" xfId="49273" xr:uid="{00000000-0005-0000-0000-0000A6C50000}"/>
    <cellStyle name="Normal 81 2 2 2 4" xfId="49274" xr:uid="{00000000-0005-0000-0000-0000A7C50000}"/>
    <cellStyle name="Normal 81 2 2 2 5" xfId="49275" xr:uid="{00000000-0005-0000-0000-0000A8C50000}"/>
    <cellStyle name="Normal 81 2 2 2 6" xfId="49276" xr:uid="{00000000-0005-0000-0000-0000A9C50000}"/>
    <cellStyle name="Normal 81 2 2 2 7" xfId="49277" xr:uid="{00000000-0005-0000-0000-0000AAC50000}"/>
    <cellStyle name="Normal 81 2 2 3" xfId="49278" xr:uid="{00000000-0005-0000-0000-0000ABC50000}"/>
    <cellStyle name="Normal 81 2 2 3 2" xfId="49279" xr:uid="{00000000-0005-0000-0000-0000ACC50000}"/>
    <cellStyle name="Normal 81 2 2 3 3" xfId="49280" xr:uid="{00000000-0005-0000-0000-0000ADC50000}"/>
    <cellStyle name="Normal 81 2 2 3 4" xfId="49281" xr:uid="{00000000-0005-0000-0000-0000AEC50000}"/>
    <cellStyle name="Normal 81 2 2 4" xfId="49282" xr:uid="{00000000-0005-0000-0000-0000AFC50000}"/>
    <cellStyle name="Normal 81 2 2 4 2" xfId="49283" xr:uid="{00000000-0005-0000-0000-0000B0C50000}"/>
    <cellStyle name="Normal 81 2 2 4 3" xfId="49284" xr:uid="{00000000-0005-0000-0000-0000B1C50000}"/>
    <cellStyle name="Normal 81 2 2 5" xfId="49285" xr:uid="{00000000-0005-0000-0000-0000B2C50000}"/>
    <cellStyle name="Normal 81 2 2 6" xfId="49286" xr:uid="{00000000-0005-0000-0000-0000B3C50000}"/>
    <cellStyle name="Normal 81 2 2 7" xfId="49287" xr:uid="{00000000-0005-0000-0000-0000B4C50000}"/>
    <cellStyle name="Normal 81 2 2 8" xfId="49288" xr:uid="{00000000-0005-0000-0000-0000B5C50000}"/>
    <cellStyle name="Normal 81 2 2 9" xfId="49289" xr:uid="{00000000-0005-0000-0000-0000B6C50000}"/>
    <cellStyle name="Normal 81 2 3" xfId="49290" xr:uid="{00000000-0005-0000-0000-0000B7C50000}"/>
    <cellStyle name="Normal 81 2 3 2" xfId="49291" xr:uid="{00000000-0005-0000-0000-0000B8C50000}"/>
    <cellStyle name="Normal 81 2 3 2 2" xfId="49292" xr:uid="{00000000-0005-0000-0000-0000B9C50000}"/>
    <cellStyle name="Normal 81 2 3 2 3" xfId="49293" xr:uid="{00000000-0005-0000-0000-0000BAC50000}"/>
    <cellStyle name="Normal 81 2 3 3" xfId="49294" xr:uid="{00000000-0005-0000-0000-0000BBC50000}"/>
    <cellStyle name="Normal 81 2 3 3 2" xfId="49295" xr:uid="{00000000-0005-0000-0000-0000BCC50000}"/>
    <cellStyle name="Normal 81 2 3 3 3" xfId="49296" xr:uid="{00000000-0005-0000-0000-0000BDC50000}"/>
    <cellStyle name="Normal 81 2 3 4" xfId="49297" xr:uid="{00000000-0005-0000-0000-0000BEC50000}"/>
    <cellStyle name="Normal 81 2 3 5" xfId="49298" xr:uid="{00000000-0005-0000-0000-0000BFC50000}"/>
    <cellStyle name="Normal 81 2 3 6" xfId="49299" xr:uid="{00000000-0005-0000-0000-0000C0C50000}"/>
    <cellStyle name="Normal 81 2 3 7" xfId="49300" xr:uid="{00000000-0005-0000-0000-0000C1C50000}"/>
    <cellStyle name="Normal 81 2 4" xfId="49301" xr:uid="{00000000-0005-0000-0000-0000C2C50000}"/>
    <cellStyle name="Normal 81 2 4 2" xfId="49302" xr:uid="{00000000-0005-0000-0000-0000C3C50000}"/>
    <cellStyle name="Normal 81 2 4 3" xfId="49303" xr:uid="{00000000-0005-0000-0000-0000C4C50000}"/>
    <cellStyle name="Normal 81 2 4 4" xfId="49304" xr:uid="{00000000-0005-0000-0000-0000C5C50000}"/>
    <cellStyle name="Normal 81 2 5" xfId="49305" xr:uid="{00000000-0005-0000-0000-0000C6C50000}"/>
    <cellStyle name="Normal 81 2 5 2" xfId="49306" xr:uid="{00000000-0005-0000-0000-0000C7C50000}"/>
    <cellStyle name="Normal 81 2 5 3" xfId="49307" xr:uid="{00000000-0005-0000-0000-0000C8C50000}"/>
    <cellStyle name="Normal 81 2 6" xfId="49308" xr:uid="{00000000-0005-0000-0000-0000C9C50000}"/>
    <cellStyle name="Normal 81 2 7" xfId="49309" xr:uid="{00000000-0005-0000-0000-0000CAC50000}"/>
    <cellStyle name="Normal 81 2 8" xfId="49310" xr:uid="{00000000-0005-0000-0000-0000CBC50000}"/>
    <cellStyle name="Normal 81 2 9" xfId="49311" xr:uid="{00000000-0005-0000-0000-0000CCC50000}"/>
    <cellStyle name="Normal 81 3" xfId="49312" xr:uid="{00000000-0005-0000-0000-0000CDC50000}"/>
    <cellStyle name="Normal 81 3 2" xfId="49313" xr:uid="{00000000-0005-0000-0000-0000CEC50000}"/>
    <cellStyle name="Normal 81 3 2 2" xfId="49314" xr:uid="{00000000-0005-0000-0000-0000CFC50000}"/>
    <cellStyle name="Normal 81 3 2 2 2" xfId="49315" xr:uid="{00000000-0005-0000-0000-0000D0C50000}"/>
    <cellStyle name="Normal 81 3 2 2 3" xfId="49316" xr:uid="{00000000-0005-0000-0000-0000D1C50000}"/>
    <cellStyle name="Normal 81 3 2 3" xfId="49317" xr:uid="{00000000-0005-0000-0000-0000D2C50000}"/>
    <cellStyle name="Normal 81 3 2 3 2" xfId="49318" xr:uid="{00000000-0005-0000-0000-0000D3C50000}"/>
    <cellStyle name="Normal 81 3 2 3 3" xfId="49319" xr:uid="{00000000-0005-0000-0000-0000D4C50000}"/>
    <cellStyle name="Normal 81 3 2 4" xfId="49320" xr:uid="{00000000-0005-0000-0000-0000D5C50000}"/>
    <cellStyle name="Normal 81 3 2 5" xfId="49321" xr:uid="{00000000-0005-0000-0000-0000D6C50000}"/>
    <cellStyle name="Normal 81 3 2 6" xfId="49322" xr:uid="{00000000-0005-0000-0000-0000D7C50000}"/>
    <cellStyle name="Normal 81 3 2 7" xfId="49323" xr:uid="{00000000-0005-0000-0000-0000D8C50000}"/>
    <cellStyle name="Normal 81 3 3" xfId="49324" xr:uid="{00000000-0005-0000-0000-0000D9C50000}"/>
    <cellStyle name="Normal 81 3 3 2" xfId="49325" xr:uid="{00000000-0005-0000-0000-0000DAC50000}"/>
    <cellStyle name="Normal 81 3 3 3" xfId="49326" xr:uid="{00000000-0005-0000-0000-0000DBC50000}"/>
    <cellStyle name="Normal 81 3 3 4" xfId="49327" xr:uid="{00000000-0005-0000-0000-0000DCC50000}"/>
    <cellStyle name="Normal 81 3 4" xfId="49328" xr:uid="{00000000-0005-0000-0000-0000DDC50000}"/>
    <cellStyle name="Normal 81 3 4 2" xfId="49329" xr:uid="{00000000-0005-0000-0000-0000DEC50000}"/>
    <cellStyle name="Normal 81 3 4 3" xfId="49330" xr:uid="{00000000-0005-0000-0000-0000DFC50000}"/>
    <cellStyle name="Normal 81 3 5" xfId="49331" xr:uid="{00000000-0005-0000-0000-0000E0C50000}"/>
    <cellStyle name="Normal 81 3 6" xfId="49332" xr:uid="{00000000-0005-0000-0000-0000E1C50000}"/>
    <cellStyle name="Normal 81 3 7" xfId="49333" xr:uid="{00000000-0005-0000-0000-0000E2C50000}"/>
    <cellStyle name="Normal 81 3 8" xfId="49334" xr:uid="{00000000-0005-0000-0000-0000E3C50000}"/>
    <cellStyle name="Normal 81 3 9" xfId="49335" xr:uid="{00000000-0005-0000-0000-0000E4C50000}"/>
    <cellStyle name="Normal 81 4" xfId="49336" xr:uid="{00000000-0005-0000-0000-0000E5C50000}"/>
    <cellStyle name="Normal 81 4 2" xfId="49337" xr:uid="{00000000-0005-0000-0000-0000E6C50000}"/>
    <cellStyle name="Normal 81 4 2 2" xfId="49338" xr:uid="{00000000-0005-0000-0000-0000E7C50000}"/>
    <cellStyle name="Normal 81 4 2 3" xfId="49339" xr:uid="{00000000-0005-0000-0000-0000E8C50000}"/>
    <cellStyle name="Normal 81 4 3" xfId="49340" xr:uid="{00000000-0005-0000-0000-0000E9C50000}"/>
    <cellStyle name="Normal 81 4 3 2" xfId="49341" xr:uid="{00000000-0005-0000-0000-0000EAC50000}"/>
    <cellStyle name="Normal 81 4 3 3" xfId="49342" xr:uid="{00000000-0005-0000-0000-0000EBC50000}"/>
    <cellStyle name="Normal 81 4 4" xfId="49343" xr:uid="{00000000-0005-0000-0000-0000ECC50000}"/>
    <cellStyle name="Normal 81 4 5" xfId="49344" xr:uid="{00000000-0005-0000-0000-0000EDC50000}"/>
    <cellStyle name="Normal 81 4 6" xfId="49345" xr:uid="{00000000-0005-0000-0000-0000EEC50000}"/>
    <cellStyle name="Normal 81 4 7" xfId="49346" xr:uid="{00000000-0005-0000-0000-0000EFC50000}"/>
    <cellStyle name="Normal 81 5" xfId="49347" xr:uid="{00000000-0005-0000-0000-0000F0C50000}"/>
    <cellStyle name="Normal 81 5 2" xfId="49348" xr:uid="{00000000-0005-0000-0000-0000F1C50000}"/>
    <cellStyle name="Normal 81 5 3" xfId="49349" xr:uid="{00000000-0005-0000-0000-0000F2C50000}"/>
    <cellStyle name="Normal 81 5 4" xfId="49350" xr:uid="{00000000-0005-0000-0000-0000F3C50000}"/>
    <cellStyle name="Normal 81 6" xfId="49351" xr:uid="{00000000-0005-0000-0000-0000F4C50000}"/>
    <cellStyle name="Normal 81 6 2" xfId="49352" xr:uid="{00000000-0005-0000-0000-0000F5C50000}"/>
    <cellStyle name="Normal 81 6 3" xfId="49353" xr:uid="{00000000-0005-0000-0000-0000F6C50000}"/>
    <cellStyle name="Normal 81 7" xfId="49354" xr:uid="{00000000-0005-0000-0000-0000F7C50000}"/>
    <cellStyle name="Normal 81 8" xfId="49355" xr:uid="{00000000-0005-0000-0000-0000F8C50000}"/>
    <cellStyle name="Normal 81 9" xfId="49356" xr:uid="{00000000-0005-0000-0000-0000F9C50000}"/>
    <cellStyle name="Normal 81_Order Book" xfId="49357" xr:uid="{00000000-0005-0000-0000-0000FAC50000}"/>
    <cellStyle name="Normal 810" xfId="49358" xr:uid="{00000000-0005-0000-0000-0000FBC50000}"/>
    <cellStyle name="Normal 811" xfId="49359" xr:uid="{00000000-0005-0000-0000-0000FCC50000}"/>
    <cellStyle name="Normal 812" xfId="49360" xr:uid="{00000000-0005-0000-0000-0000FDC50000}"/>
    <cellStyle name="Normal 813" xfId="49361" xr:uid="{00000000-0005-0000-0000-0000FEC50000}"/>
    <cellStyle name="Normal 814" xfId="49362" xr:uid="{00000000-0005-0000-0000-0000FFC50000}"/>
    <cellStyle name="Normal 815" xfId="49363" xr:uid="{00000000-0005-0000-0000-000000C60000}"/>
    <cellStyle name="Normal 816" xfId="49364" xr:uid="{00000000-0005-0000-0000-000001C60000}"/>
    <cellStyle name="Normal 817" xfId="49365" xr:uid="{00000000-0005-0000-0000-000002C60000}"/>
    <cellStyle name="Normal 818" xfId="49366" xr:uid="{00000000-0005-0000-0000-000003C60000}"/>
    <cellStyle name="Normal 819" xfId="49367" xr:uid="{00000000-0005-0000-0000-000004C60000}"/>
    <cellStyle name="Normal 82" xfId="3589" xr:uid="{00000000-0005-0000-0000-000005C60000}"/>
    <cellStyle name="Normal 82 10" xfId="49368" xr:uid="{00000000-0005-0000-0000-000006C60000}"/>
    <cellStyle name="Normal 82 11" xfId="49369" xr:uid="{00000000-0005-0000-0000-000007C60000}"/>
    <cellStyle name="Normal 82 12" xfId="49370" xr:uid="{00000000-0005-0000-0000-000008C60000}"/>
    <cellStyle name="Normal 82 13" xfId="49371" xr:uid="{00000000-0005-0000-0000-000009C60000}"/>
    <cellStyle name="Normal 82 2" xfId="49372" xr:uid="{00000000-0005-0000-0000-00000AC60000}"/>
    <cellStyle name="Normal 82 2 10" xfId="49373" xr:uid="{00000000-0005-0000-0000-00000BC60000}"/>
    <cellStyle name="Normal 82 2 2" xfId="49374" xr:uid="{00000000-0005-0000-0000-00000CC60000}"/>
    <cellStyle name="Normal 82 2 2 2" xfId="49375" xr:uid="{00000000-0005-0000-0000-00000DC60000}"/>
    <cellStyle name="Normal 82 2 2 2 2" xfId="49376" xr:uid="{00000000-0005-0000-0000-00000EC60000}"/>
    <cellStyle name="Normal 82 2 2 2 2 2" xfId="49377" xr:uid="{00000000-0005-0000-0000-00000FC60000}"/>
    <cellStyle name="Normal 82 2 2 2 2 3" xfId="49378" xr:uid="{00000000-0005-0000-0000-000010C60000}"/>
    <cellStyle name="Normal 82 2 2 2 3" xfId="49379" xr:uid="{00000000-0005-0000-0000-000011C60000}"/>
    <cellStyle name="Normal 82 2 2 2 3 2" xfId="49380" xr:uid="{00000000-0005-0000-0000-000012C60000}"/>
    <cellStyle name="Normal 82 2 2 2 3 3" xfId="49381" xr:uid="{00000000-0005-0000-0000-000013C60000}"/>
    <cellStyle name="Normal 82 2 2 2 4" xfId="49382" xr:uid="{00000000-0005-0000-0000-000014C60000}"/>
    <cellStyle name="Normal 82 2 2 2 5" xfId="49383" xr:uid="{00000000-0005-0000-0000-000015C60000}"/>
    <cellStyle name="Normal 82 2 2 2 6" xfId="49384" xr:uid="{00000000-0005-0000-0000-000016C60000}"/>
    <cellStyle name="Normal 82 2 2 2 7" xfId="49385" xr:uid="{00000000-0005-0000-0000-000017C60000}"/>
    <cellStyle name="Normal 82 2 2 3" xfId="49386" xr:uid="{00000000-0005-0000-0000-000018C60000}"/>
    <cellStyle name="Normal 82 2 2 3 2" xfId="49387" xr:uid="{00000000-0005-0000-0000-000019C60000}"/>
    <cellStyle name="Normal 82 2 2 3 3" xfId="49388" xr:uid="{00000000-0005-0000-0000-00001AC60000}"/>
    <cellStyle name="Normal 82 2 2 3 4" xfId="49389" xr:uid="{00000000-0005-0000-0000-00001BC60000}"/>
    <cellStyle name="Normal 82 2 2 4" xfId="49390" xr:uid="{00000000-0005-0000-0000-00001CC60000}"/>
    <cellStyle name="Normal 82 2 2 4 2" xfId="49391" xr:uid="{00000000-0005-0000-0000-00001DC60000}"/>
    <cellStyle name="Normal 82 2 2 4 3" xfId="49392" xr:uid="{00000000-0005-0000-0000-00001EC60000}"/>
    <cellStyle name="Normal 82 2 2 5" xfId="49393" xr:uid="{00000000-0005-0000-0000-00001FC60000}"/>
    <cellStyle name="Normal 82 2 2 6" xfId="49394" xr:uid="{00000000-0005-0000-0000-000020C60000}"/>
    <cellStyle name="Normal 82 2 2 7" xfId="49395" xr:uid="{00000000-0005-0000-0000-000021C60000}"/>
    <cellStyle name="Normal 82 2 2 8" xfId="49396" xr:uid="{00000000-0005-0000-0000-000022C60000}"/>
    <cellStyle name="Normal 82 2 2 9" xfId="49397" xr:uid="{00000000-0005-0000-0000-000023C60000}"/>
    <cellStyle name="Normal 82 2 3" xfId="49398" xr:uid="{00000000-0005-0000-0000-000024C60000}"/>
    <cellStyle name="Normal 82 2 3 2" xfId="49399" xr:uid="{00000000-0005-0000-0000-000025C60000}"/>
    <cellStyle name="Normal 82 2 3 2 2" xfId="49400" xr:uid="{00000000-0005-0000-0000-000026C60000}"/>
    <cellStyle name="Normal 82 2 3 2 3" xfId="49401" xr:uid="{00000000-0005-0000-0000-000027C60000}"/>
    <cellStyle name="Normal 82 2 3 3" xfId="49402" xr:uid="{00000000-0005-0000-0000-000028C60000}"/>
    <cellStyle name="Normal 82 2 3 3 2" xfId="49403" xr:uid="{00000000-0005-0000-0000-000029C60000}"/>
    <cellStyle name="Normal 82 2 3 3 3" xfId="49404" xr:uid="{00000000-0005-0000-0000-00002AC60000}"/>
    <cellStyle name="Normal 82 2 3 4" xfId="49405" xr:uid="{00000000-0005-0000-0000-00002BC60000}"/>
    <cellStyle name="Normal 82 2 3 5" xfId="49406" xr:uid="{00000000-0005-0000-0000-00002CC60000}"/>
    <cellStyle name="Normal 82 2 3 6" xfId="49407" xr:uid="{00000000-0005-0000-0000-00002DC60000}"/>
    <cellStyle name="Normal 82 2 3 7" xfId="49408" xr:uid="{00000000-0005-0000-0000-00002EC60000}"/>
    <cellStyle name="Normal 82 2 4" xfId="49409" xr:uid="{00000000-0005-0000-0000-00002FC60000}"/>
    <cellStyle name="Normal 82 2 4 2" xfId="49410" xr:uid="{00000000-0005-0000-0000-000030C60000}"/>
    <cellStyle name="Normal 82 2 4 3" xfId="49411" xr:uid="{00000000-0005-0000-0000-000031C60000}"/>
    <cellStyle name="Normal 82 2 4 4" xfId="49412" xr:uid="{00000000-0005-0000-0000-000032C60000}"/>
    <cellStyle name="Normal 82 2 5" xfId="49413" xr:uid="{00000000-0005-0000-0000-000033C60000}"/>
    <cellStyle name="Normal 82 2 5 2" xfId="49414" xr:uid="{00000000-0005-0000-0000-000034C60000}"/>
    <cellStyle name="Normal 82 2 5 3" xfId="49415" xr:uid="{00000000-0005-0000-0000-000035C60000}"/>
    <cellStyle name="Normal 82 2 6" xfId="49416" xr:uid="{00000000-0005-0000-0000-000036C60000}"/>
    <cellStyle name="Normal 82 2 7" xfId="49417" xr:uid="{00000000-0005-0000-0000-000037C60000}"/>
    <cellStyle name="Normal 82 2 8" xfId="49418" xr:uid="{00000000-0005-0000-0000-000038C60000}"/>
    <cellStyle name="Normal 82 2 9" xfId="49419" xr:uid="{00000000-0005-0000-0000-000039C60000}"/>
    <cellStyle name="Normal 82 3" xfId="49420" xr:uid="{00000000-0005-0000-0000-00003AC60000}"/>
    <cellStyle name="Normal 82 3 2" xfId="49421" xr:uid="{00000000-0005-0000-0000-00003BC60000}"/>
    <cellStyle name="Normal 82 3 2 2" xfId="49422" xr:uid="{00000000-0005-0000-0000-00003CC60000}"/>
    <cellStyle name="Normal 82 3 2 2 2" xfId="49423" xr:uid="{00000000-0005-0000-0000-00003DC60000}"/>
    <cellStyle name="Normal 82 3 2 2 3" xfId="49424" xr:uid="{00000000-0005-0000-0000-00003EC60000}"/>
    <cellStyle name="Normal 82 3 2 3" xfId="49425" xr:uid="{00000000-0005-0000-0000-00003FC60000}"/>
    <cellStyle name="Normal 82 3 2 3 2" xfId="49426" xr:uid="{00000000-0005-0000-0000-000040C60000}"/>
    <cellStyle name="Normal 82 3 2 3 3" xfId="49427" xr:uid="{00000000-0005-0000-0000-000041C60000}"/>
    <cellStyle name="Normal 82 3 2 4" xfId="49428" xr:uid="{00000000-0005-0000-0000-000042C60000}"/>
    <cellStyle name="Normal 82 3 2 5" xfId="49429" xr:uid="{00000000-0005-0000-0000-000043C60000}"/>
    <cellStyle name="Normal 82 3 2 6" xfId="49430" xr:uid="{00000000-0005-0000-0000-000044C60000}"/>
    <cellStyle name="Normal 82 3 2 7" xfId="49431" xr:uid="{00000000-0005-0000-0000-000045C60000}"/>
    <cellStyle name="Normal 82 3 3" xfId="49432" xr:uid="{00000000-0005-0000-0000-000046C60000}"/>
    <cellStyle name="Normal 82 3 3 2" xfId="49433" xr:uid="{00000000-0005-0000-0000-000047C60000}"/>
    <cellStyle name="Normal 82 3 3 3" xfId="49434" xr:uid="{00000000-0005-0000-0000-000048C60000}"/>
    <cellStyle name="Normal 82 3 3 4" xfId="49435" xr:uid="{00000000-0005-0000-0000-000049C60000}"/>
    <cellStyle name="Normal 82 3 4" xfId="49436" xr:uid="{00000000-0005-0000-0000-00004AC60000}"/>
    <cellStyle name="Normal 82 3 4 2" xfId="49437" xr:uid="{00000000-0005-0000-0000-00004BC60000}"/>
    <cellStyle name="Normal 82 3 4 3" xfId="49438" xr:uid="{00000000-0005-0000-0000-00004CC60000}"/>
    <cellStyle name="Normal 82 3 5" xfId="49439" xr:uid="{00000000-0005-0000-0000-00004DC60000}"/>
    <cellStyle name="Normal 82 3 6" xfId="49440" xr:uid="{00000000-0005-0000-0000-00004EC60000}"/>
    <cellStyle name="Normal 82 3 7" xfId="49441" xr:uid="{00000000-0005-0000-0000-00004FC60000}"/>
    <cellStyle name="Normal 82 3 8" xfId="49442" xr:uid="{00000000-0005-0000-0000-000050C60000}"/>
    <cellStyle name="Normal 82 3 9" xfId="49443" xr:uid="{00000000-0005-0000-0000-000051C60000}"/>
    <cellStyle name="Normal 82 4" xfId="49444" xr:uid="{00000000-0005-0000-0000-000052C60000}"/>
    <cellStyle name="Normal 82 4 2" xfId="49445" xr:uid="{00000000-0005-0000-0000-000053C60000}"/>
    <cellStyle name="Normal 82 4 2 2" xfId="49446" xr:uid="{00000000-0005-0000-0000-000054C60000}"/>
    <cellStyle name="Normal 82 4 2 3" xfId="49447" xr:uid="{00000000-0005-0000-0000-000055C60000}"/>
    <cellStyle name="Normal 82 4 3" xfId="49448" xr:uid="{00000000-0005-0000-0000-000056C60000}"/>
    <cellStyle name="Normal 82 4 3 2" xfId="49449" xr:uid="{00000000-0005-0000-0000-000057C60000}"/>
    <cellStyle name="Normal 82 4 3 3" xfId="49450" xr:uid="{00000000-0005-0000-0000-000058C60000}"/>
    <cellStyle name="Normal 82 4 4" xfId="49451" xr:uid="{00000000-0005-0000-0000-000059C60000}"/>
    <cellStyle name="Normal 82 4 5" xfId="49452" xr:uid="{00000000-0005-0000-0000-00005AC60000}"/>
    <cellStyle name="Normal 82 4 6" xfId="49453" xr:uid="{00000000-0005-0000-0000-00005BC60000}"/>
    <cellStyle name="Normal 82 4 7" xfId="49454" xr:uid="{00000000-0005-0000-0000-00005CC60000}"/>
    <cellStyle name="Normal 82 5" xfId="49455" xr:uid="{00000000-0005-0000-0000-00005DC60000}"/>
    <cellStyle name="Normal 82 5 2" xfId="49456" xr:uid="{00000000-0005-0000-0000-00005EC60000}"/>
    <cellStyle name="Normal 82 5 3" xfId="49457" xr:uid="{00000000-0005-0000-0000-00005FC60000}"/>
    <cellStyle name="Normal 82 5 4" xfId="49458" xr:uid="{00000000-0005-0000-0000-000060C60000}"/>
    <cellStyle name="Normal 82 6" xfId="49459" xr:uid="{00000000-0005-0000-0000-000061C60000}"/>
    <cellStyle name="Normal 82 6 2" xfId="49460" xr:uid="{00000000-0005-0000-0000-000062C60000}"/>
    <cellStyle name="Normal 82 6 3" xfId="49461" xr:uid="{00000000-0005-0000-0000-000063C60000}"/>
    <cellStyle name="Normal 82 7" xfId="49462" xr:uid="{00000000-0005-0000-0000-000064C60000}"/>
    <cellStyle name="Normal 82 8" xfId="49463" xr:uid="{00000000-0005-0000-0000-000065C60000}"/>
    <cellStyle name="Normal 82 9" xfId="49464" xr:uid="{00000000-0005-0000-0000-000066C60000}"/>
    <cellStyle name="Normal 82_Order Book" xfId="49465" xr:uid="{00000000-0005-0000-0000-000067C60000}"/>
    <cellStyle name="Normal 820" xfId="49466" xr:uid="{00000000-0005-0000-0000-000068C60000}"/>
    <cellStyle name="Normal 821" xfId="49467" xr:uid="{00000000-0005-0000-0000-000069C60000}"/>
    <cellStyle name="Normal 822" xfId="49468" xr:uid="{00000000-0005-0000-0000-00006AC60000}"/>
    <cellStyle name="Normal 823" xfId="49469" xr:uid="{00000000-0005-0000-0000-00006BC60000}"/>
    <cellStyle name="Normal 824" xfId="49470" xr:uid="{00000000-0005-0000-0000-00006CC60000}"/>
    <cellStyle name="Normal 825" xfId="49471" xr:uid="{00000000-0005-0000-0000-00006DC60000}"/>
    <cellStyle name="Normal 826" xfId="49472" xr:uid="{00000000-0005-0000-0000-00006EC60000}"/>
    <cellStyle name="Normal 827" xfId="49473" xr:uid="{00000000-0005-0000-0000-00006FC60000}"/>
    <cellStyle name="Normal 828" xfId="49474" xr:uid="{00000000-0005-0000-0000-000070C60000}"/>
    <cellStyle name="Normal 829" xfId="49475" xr:uid="{00000000-0005-0000-0000-000071C60000}"/>
    <cellStyle name="Normal 83" xfId="3590" xr:uid="{00000000-0005-0000-0000-000072C60000}"/>
    <cellStyle name="Normal 83 10" xfId="49476" xr:uid="{00000000-0005-0000-0000-000073C60000}"/>
    <cellStyle name="Normal 83 11" xfId="49477" xr:uid="{00000000-0005-0000-0000-000074C60000}"/>
    <cellStyle name="Normal 83 12" xfId="49478" xr:uid="{00000000-0005-0000-0000-000075C60000}"/>
    <cellStyle name="Normal 83 13" xfId="49479" xr:uid="{00000000-0005-0000-0000-000076C60000}"/>
    <cellStyle name="Normal 83 2" xfId="49480" xr:uid="{00000000-0005-0000-0000-000077C60000}"/>
    <cellStyle name="Normal 83 2 10" xfId="49481" xr:uid="{00000000-0005-0000-0000-000078C60000}"/>
    <cellStyle name="Normal 83 2 2" xfId="49482" xr:uid="{00000000-0005-0000-0000-000079C60000}"/>
    <cellStyle name="Normal 83 2 2 2" xfId="49483" xr:uid="{00000000-0005-0000-0000-00007AC60000}"/>
    <cellStyle name="Normal 83 2 2 2 2" xfId="49484" xr:uid="{00000000-0005-0000-0000-00007BC60000}"/>
    <cellStyle name="Normal 83 2 2 2 2 2" xfId="49485" xr:uid="{00000000-0005-0000-0000-00007CC60000}"/>
    <cellStyle name="Normal 83 2 2 2 2 3" xfId="49486" xr:uid="{00000000-0005-0000-0000-00007DC60000}"/>
    <cellStyle name="Normal 83 2 2 2 3" xfId="49487" xr:uid="{00000000-0005-0000-0000-00007EC60000}"/>
    <cellStyle name="Normal 83 2 2 2 3 2" xfId="49488" xr:uid="{00000000-0005-0000-0000-00007FC60000}"/>
    <cellStyle name="Normal 83 2 2 2 3 3" xfId="49489" xr:uid="{00000000-0005-0000-0000-000080C60000}"/>
    <cellStyle name="Normal 83 2 2 2 4" xfId="49490" xr:uid="{00000000-0005-0000-0000-000081C60000}"/>
    <cellStyle name="Normal 83 2 2 2 5" xfId="49491" xr:uid="{00000000-0005-0000-0000-000082C60000}"/>
    <cellStyle name="Normal 83 2 2 2 6" xfId="49492" xr:uid="{00000000-0005-0000-0000-000083C60000}"/>
    <cellStyle name="Normal 83 2 2 2 7" xfId="49493" xr:uid="{00000000-0005-0000-0000-000084C60000}"/>
    <cellStyle name="Normal 83 2 2 3" xfId="49494" xr:uid="{00000000-0005-0000-0000-000085C60000}"/>
    <cellStyle name="Normal 83 2 2 3 2" xfId="49495" xr:uid="{00000000-0005-0000-0000-000086C60000}"/>
    <cellStyle name="Normal 83 2 2 3 3" xfId="49496" xr:uid="{00000000-0005-0000-0000-000087C60000}"/>
    <cellStyle name="Normal 83 2 2 3 4" xfId="49497" xr:uid="{00000000-0005-0000-0000-000088C60000}"/>
    <cellStyle name="Normal 83 2 2 4" xfId="49498" xr:uid="{00000000-0005-0000-0000-000089C60000}"/>
    <cellStyle name="Normal 83 2 2 4 2" xfId="49499" xr:uid="{00000000-0005-0000-0000-00008AC60000}"/>
    <cellStyle name="Normal 83 2 2 4 3" xfId="49500" xr:uid="{00000000-0005-0000-0000-00008BC60000}"/>
    <cellStyle name="Normal 83 2 2 5" xfId="49501" xr:uid="{00000000-0005-0000-0000-00008CC60000}"/>
    <cellStyle name="Normal 83 2 2 6" xfId="49502" xr:uid="{00000000-0005-0000-0000-00008DC60000}"/>
    <cellStyle name="Normal 83 2 2 7" xfId="49503" xr:uid="{00000000-0005-0000-0000-00008EC60000}"/>
    <cellStyle name="Normal 83 2 2 8" xfId="49504" xr:uid="{00000000-0005-0000-0000-00008FC60000}"/>
    <cellStyle name="Normal 83 2 2 9" xfId="49505" xr:uid="{00000000-0005-0000-0000-000090C60000}"/>
    <cellStyle name="Normal 83 2 3" xfId="49506" xr:uid="{00000000-0005-0000-0000-000091C60000}"/>
    <cellStyle name="Normal 83 2 3 2" xfId="49507" xr:uid="{00000000-0005-0000-0000-000092C60000}"/>
    <cellStyle name="Normal 83 2 3 2 2" xfId="49508" xr:uid="{00000000-0005-0000-0000-000093C60000}"/>
    <cellStyle name="Normal 83 2 3 2 3" xfId="49509" xr:uid="{00000000-0005-0000-0000-000094C60000}"/>
    <cellStyle name="Normal 83 2 3 3" xfId="49510" xr:uid="{00000000-0005-0000-0000-000095C60000}"/>
    <cellStyle name="Normal 83 2 3 3 2" xfId="49511" xr:uid="{00000000-0005-0000-0000-000096C60000}"/>
    <cellStyle name="Normal 83 2 3 3 3" xfId="49512" xr:uid="{00000000-0005-0000-0000-000097C60000}"/>
    <cellStyle name="Normal 83 2 3 4" xfId="49513" xr:uid="{00000000-0005-0000-0000-000098C60000}"/>
    <cellStyle name="Normal 83 2 3 5" xfId="49514" xr:uid="{00000000-0005-0000-0000-000099C60000}"/>
    <cellStyle name="Normal 83 2 3 6" xfId="49515" xr:uid="{00000000-0005-0000-0000-00009AC60000}"/>
    <cellStyle name="Normal 83 2 3 7" xfId="49516" xr:uid="{00000000-0005-0000-0000-00009BC60000}"/>
    <cellStyle name="Normal 83 2 4" xfId="49517" xr:uid="{00000000-0005-0000-0000-00009CC60000}"/>
    <cellStyle name="Normal 83 2 4 2" xfId="49518" xr:uid="{00000000-0005-0000-0000-00009DC60000}"/>
    <cellStyle name="Normal 83 2 4 3" xfId="49519" xr:uid="{00000000-0005-0000-0000-00009EC60000}"/>
    <cellStyle name="Normal 83 2 4 4" xfId="49520" xr:uid="{00000000-0005-0000-0000-00009FC60000}"/>
    <cellStyle name="Normal 83 2 5" xfId="49521" xr:uid="{00000000-0005-0000-0000-0000A0C60000}"/>
    <cellStyle name="Normal 83 2 5 2" xfId="49522" xr:uid="{00000000-0005-0000-0000-0000A1C60000}"/>
    <cellStyle name="Normal 83 2 5 3" xfId="49523" xr:uid="{00000000-0005-0000-0000-0000A2C60000}"/>
    <cellStyle name="Normal 83 2 6" xfId="49524" xr:uid="{00000000-0005-0000-0000-0000A3C60000}"/>
    <cellStyle name="Normal 83 2 7" xfId="49525" xr:uid="{00000000-0005-0000-0000-0000A4C60000}"/>
    <cellStyle name="Normal 83 2 8" xfId="49526" xr:uid="{00000000-0005-0000-0000-0000A5C60000}"/>
    <cellStyle name="Normal 83 2 9" xfId="49527" xr:uid="{00000000-0005-0000-0000-0000A6C60000}"/>
    <cellStyle name="Normal 83 3" xfId="49528" xr:uid="{00000000-0005-0000-0000-0000A7C60000}"/>
    <cellStyle name="Normal 83 3 2" xfId="49529" xr:uid="{00000000-0005-0000-0000-0000A8C60000}"/>
    <cellStyle name="Normal 83 3 2 2" xfId="49530" xr:uid="{00000000-0005-0000-0000-0000A9C60000}"/>
    <cellStyle name="Normal 83 3 2 2 2" xfId="49531" xr:uid="{00000000-0005-0000-0000-0000AAC60000}"/>
    <cellStyle name="Normal 83 3 2 2 3" xfId="49532" xr:uid="{00000000-0005-0000-0000-0000ABC60000}"/>
    <cellStyle name="Normal 83 3 2 3" xfId="49533" xr:uid="{00000000-0005-0000-0000-0000ACC60000}"/>
    <cellStyle name="Normal 83 3 2 3 2" xfId="49534" xr:uid="{00000000-0005-0000-0000-0000ADC60000}"/>
    <cellStyle name="Normal 83 3 2 3 3" xfId="49535" xr:uid="{00000000-0005-0000-0000-0000AEC60000}"/>
    <cellStyle name="Normal 83 3 2 4" xfId="49536" xr:uid="{00000000-0005-0000-0000-0000AFC60000}"/>
    <cellStyle name="Normal 83 3 2 5" xfId="49537" xr:uid="{00000000-0005-0000-0000-0000B0C60000}"/>
    <cellStyle name="Normal 83 3 2 6" xfId="49538" xr:uid="{00000000-0005-0000-0000-0000B1C60000}"/>
    <cellStyle name="Normal 83 3 2 7" xfId="49539" xr:uid="{00000000-0005-0000-0000-0000B2C60000}"/>
    <cellStyle name="Normal 83 3 3" xfId="49540" xr:uid="{00000000-0005-0000-0000-0000B3C60000}"/>
    <cellStyle name="Normal 83 3 3 2" xfId="49541" xr:uid="{00000000-0005-0000-0000-0000B4C60000}"/>
    <cellStyle name="Normal 83 3 3 3" xfId="49542" xr:uid="{00000000-0005-0000-0000-0000B5C60000}"/>
    <cellStyle name="Normal 83 3 3 4" xfId="49543" xr:uid="{00000000-0005-0000-0000-0000B6C60000}"/>
    <cellStyle name="Normal 83 3 4" xfId="49544" xr:uid="{00000000-0005-0000-0000-0000B7C60000}"/>
    <cellStyle name="Normal 83 3 4 2" xfId="49545" xr:uid="{00000000-0005-0000-0000-0000B8C60000}"/>
    <cellStyle name="Normal 83 3 4 3" xfId="49546" xr:uid="{00000000-0005-0000-0000-0000B9C60000}"/>
    <cellStyle name="Normal 83 3 5" xfId="49547" xr:uid="{00000000-0005-0000-0000-0000BAC60000}"/>
    <cellStyle name="Normal 83 3 6" xfId="49548" xr:uid="{00000000-0005-0000-0000-0000BBC60000}"/>
    <cellStyle name="Normal 83 3 7" xfId="49549" xr:uid="{00000000-0005-0000-0000-0000BCC60000}"/>
    <cellStyle name="Normal 83 3 8" xfId="49550" xr:uid="{00000000-0005-0000-0000-0000BDC60000}"/>
    <cellStyle name="Normal 83 3 9" xfId="49551" xr:uid="{00000000-0005-0000-0000-0000BEC60000}"/>
    <cellStyle name="Normal 83 4" xfId="49552" xr:uid="{00000000-0005-0000-0000-0000BFC60000}"/>
    <cellStyle name="Normal 83 4 2" xfId="49553" xr:uid="{00000000-0005-0000-0000-0000C0C60000}"/>
    <cellStyle name="Normal 83 4 2 2" xfId="49554" xr:uid="{00000000-0005-0000-0000-0000C1C60000}"/>
    <cellStyle name="Normal 83 4 2 3" xfId="49555" xr:uid="{00000000-0005-0000-0000-0000C2C60000}"/>
    <cellStyle name="Normal 83 4 3" xfId="49556" xr:uid="{00000000-0005-0000-0000-0000C3C60000}"/>
    <cellStyle name="Normal 83 4 3 2" xfId="49557" xr:uid="{00000000-0005-0000-0000-0000C4C60000}"/>
    <cellStyle name="Normal 83 4 3 3" xfId="49558" xr:uid="{00000000-0005-0000-0000-0000C5C60000}"/>
    <cellStyle name="Normal 83 4 4" xfId="49559" xr:uid="{00000000-0005-0000-0000-0000C6C60000}"/>
    <cellStyle name="Normal 83 4 5" xfId="49560" xr:uid="{00000000-0005-0000-0000-0000C7C60000}"/>
    <cellStyle name="Normal 83 4 6" xfId="49561" xr:uid="{00000000-0005-0000-0000-0000C8C60000}"/>
    <cellStyle name="Normal 83 4 7" xfId="49562" xr:uid="{00000000-0005-0000-0000-0000C9C60000}"/>
    <cellStyle name="Normal 83 5" xfId="49563" xr:uid="{00000000-0005-0000-0000-0000CAC60000}"/>
    <cellStyle name="Normal 83 5 2" xfId="49564" xr:uid="{00000000-0005-0000-0000-0000CBC60000}"/>
    <cellStyle name="Normal 83 5 3" xfId="49565" xr:uid="{00000000-0005-0000-0000-0000CCC60000}"/>
    <cellStyle name="Normal 83 5 4" xfId="49566" xr:uid="{00000000-0005-0000-0000-0000CDC60000}"/>
    <cellStyle name="Normal 83 6" xfId="49567" xr:uid="{00000000-0005-0000-0000-0000CEC60000}"/>
    <cellStyle name="Normal 83 6 2" xfId="49568" xr:uid="{00000000-0005-0000-0000-0000CFC60000}"/>
    <cellStyle name="Normal 83 6 3" xfId="49569" xr:uid="{00000000-0005-0000-0000-0000D0C60000}"/>
    <cellStyle name="Normal 83 7" xfId="49570" xr:uid="{00000000-0005-0000-0000-0000D1C60000}"/>
    <cellStyle name="Normal 83 8" xfId="49571" xr:uid="{00000000-0005-0000-0000-0000D2C60000}"/>
    <cellStyle name="Normal 83 9" xfId="49572" xr:uid="{00000000-0005-0000-0000-0000D3C60000}"/>
    <cellStyle name="Normal 83_Order Book" xfId="49573" xr:uid="{00000000-0005-0000-0000-0000D4C60000}"/>
    <cellStyle name="Normal 830" xfId="49574" xr:uid="{00000000-0005-0000-0000-0000D5C60000}"/>
    <cellStyle name="Normal 831" xfId="49575" xr:uid="{00000000-0005-0000-0000-0000D6C60000}"/>
    <cellStyle name="Normal 832" xfId="49576" xr:uid="{00000000-0005-0000-0000-0000D7C60000}"/>
    <cellStyle name="Normal 833" xfId="49577" xr:uid="{00000000-0005-0000-0000-0000D8C60000}"/>
    <cellStyle name="Normal 834" xfId="49578" xr:uid="{00000000-0005-0000-0000-0000D9C60000}"/>
    <cellStyle name="Normal 835" xfId="49579" xr:uid="{00000000-0005-0000-0000-0000DAC60000}"/>
    <cellStyle name="Normal 836" xfId="49580" xr:uid="{00000000-0005-0000-0000-0000DBC60000}"/>
    <cellStyle name="Normal 837" xfId="49581" xr:uid="{00000000-0005-0000-0000-0000DCC60000}"/>
    <cellStyle name="Normal 838" xfId="49582" xr:uid="{00000000-0005-0000-0000-0000DDC60000}"/>
    <cellStyle name="Normal 839" xfId="49583" xr:uid="{00000000-0005-0000-0000-0000DEC60000}"/>
    <cellStyle name="Normal 84" xfId="3591" xr:uid="{00000000-0005-0000-0000-0000DFC60000}"/>
    <cellStyle name="Normal 84 10" xfId="49584" xr:uid="{00000000-0005-0000-0000-0000E0C60000}"/>
    <cellStyle name="Normal 84 11" xfId="49585" xr:uid="{00000000-0005-0000-0000-0000E1C60000}"/>
    <cellStyle name="Normal 84 12" xfId="49586" xr:uid="{00000000-0005-0000-0000-0000E2C60000}"/>
    <cellStyle name="Normal 84 13" xfId="49587" xr:uid="{00000000-0005-0000-0000-0000E3C60000}"/>
    <cellStyle name="Normal 84 2" xfId="49588" xr:uid="{00000000-0005-0000-0000-0000E4C60000}"/>
    <cellStyle name="Normal 84 2 10" xfId="49589" xr:uid="{00000000-0005-0000-0000-0000E5C60000}"/>
    <cellStyle name="Normal 84 2 2" xfId="49590" xr:uid="{00000000-0005-0000-0000-0000E6C60000}"/>
    <cellStyle name="Normal 84 2 2 2" xfId="49591" xr:uid="{00000000-0005-0000-0000-0000E7C60000}"/>
    <cellStyle name="Normal 84 2 2 2 2" xfId="49592" xr:uid="{00000000-0005-0000-0000-0000E8C60000}"/>
    <cellStyle name="Normal 84 2 2 2 2 2" xfId="49593" xr:uid="{00000000-0005-0000-0000-0000E9C60000}"/>
    <cellStyle name="Normal 84 2 2 2 2 3" xfId="49594" xr:uid="{00000000-0005-0000-0000-0000EAC60000}"/>
    <cellStyle name="Normal 84 2 2 2 3" xfId="49595" xr:uid="{00000000-0005-0000-0000-0000EBC60000}"/>
    <cellStyle name="Normal 84 2 2 2 3 2" xfId="49596" xr:uid="{00000000-0005-0000-0000-0000ECC60000}"/>
    <cellStyle name="Normal 84 2 2 2 3 3" xfId="49597" xr:uid="{00000000-0005-0000-0000-0000EDC60000}"/>
    <cellStyle name="Normal 84 2 2 2 4" xfId="49598" xr:uid="{00000000-0005-0000-0000-0000EEC60000}"/>
    <cellStyle name="Normal 84 2 2 2 5" xfId="49599" xr:uid="{00000000-0005-0000-0000-0000EFC60000}"/>
    <cellStyle name="Normal 84 2 2 2 6" xfId="49600" xr:uid="{00000000-0005-0000-0000-0000F0C60000}"/>
    <cellStyle name="Normal 84 2 2 2 7" xfId="49601" xr:uid="{00000000-0005-0000-0000-0000F1C60000}"/>
    <cellStyle name="Normal 84 2 2 3" xfId="49602" xr:uid="{00000000-0005-0000-0000-0000F2C60000}"/>
    <cellStyle name="Normal 84 2 2 3 2" xfId="49603" xr:uid="{00000000-0005-0000-0000-0000F3C60000}"/>
    <cellStyle name="Normal 84 2 2 3 3" xfId="49604" xr:uid="{00000000-0005-0000-0000-0000F4C60000}"/>
    <cellStyle name="Normal 84 2 2 3 4" xfId="49605" xr:uid="{00000000-0005-0000-0000-0000F5C60000}"/>
    <cellStyle name="Normal 84 2 2 4" xfId="49606" xr:uid="{00000000-0005-0000-0000-0000F6C60000}"/>
    <cellStyle name="Normal 84 2 2 4 2" xfId="49607" xr:uid="{00000000-0005-0000-0000-0000F7C60000}"/>
    <cellStyle name="Normal 84 2 2 4 3" xfId="49608" xr:uid="{00000000-0005-0000-0000-0000F8C60000}"/>
    <cellStyle name="Normal 84 2 2 5" xfId="49609" xr:uid="{00000000-0005-0000-0000-0000F9C60000}"/>
    <cellStyle name="Normal 84 2 2 6" xfId="49610" xr:uid="{00000000-0005-0000-0000-0000FAC60000}"/>
    <cellStyle name="Normal 84 2 2 7" xfId="49611" xr:uid="{00000000-0005-0000-0000-0000FBC60000}"/>
    <cellStyle name="Normal 84 2 2 8" xfId="49612" xr:uid="{00000000-0005-0000-0000-0000FCC60000}"/>
    <cellStyle name="Normal 84 2 2 9" xfId="49613" xr:uid="{00000000-0005-0000-0000-0000FDC60000}"/>
    <cellStyle name="Normal 84 2 3" xfId="49614" xr:uid="{00000000-0005-0000-0000-0000FEC60000}"/>
    <cellStyle name="Normal 84 2 3 2" xfId="49615" xr:uid="{00000000-0005-0000-0000-0000FFC60000}"/>
    <cellStyle name="Normal 84 2 3 2 2" xfId="49616" xr:uid="{00000000-0005-0000-0000-000000C70000}"/>
    <cellStyle name="Normal 84 2 3 2 3" xfId="49617" xr:uid="{00000000-0005-0000-0000-000001C70000}"/>
    <cellStyle name="Normal 84 2 3 3" xfId="49618" xr:uid="{00000000-0005-0000-0000-000002C70000}"/>
    <cellStyle name="Normal 84 2 3 3 2" xfId="49619" xr:uid="{00000000-0005-0000-0000-000003C70000}"/>
    <cellStyle name="Normal 84 2 3 3 3" xfId="49620" xr:uid="{00000000-0005-0000-0000-000004C70000}"/>
    <cellStyle name="Normal 84 2 3 4" xfId="49621" xr:uid="{00000000-0005-0000-0000-000005C70000}"/>
    <cellStyle name="Normal 84 2 3 5" xfId="49622" xr:uid="{00000000-0005-0000-0000-000006C70000}"/>
    <cellStyle name="Normal 84 2 3 6" xfId="49623" xr:uid="{00000000-0005-0000-0000-000007C70000}"/>
    <cellStyle name="Normal 84 2 3 7" xfId="49624" xr:uid="{00000000-0005-0000-0000-000008C70000}"/>
    <cellStyle name="Normal 84 2 4" xfId="49625" xr:uid="{00000000-0005-0000-0000-000009C70000}"/>
    <cellStyle name="Normal 84 2 4 2" xfId="49626" xr:uid="{00000000-0005-0000-0000-00000AC70000}"/>
    <cellStyle name="Normal 84 2 4 3" xfId="49627" xr:uid="{00000000-0005-0000-0000-00000BC70000}"/>
    <cellStyle name="Normal 84 2 4 4" xfId="49628" xr:uid="{00000000-0005-0000-0000-00000CC70000}"/>
    <cellStyle name="Normal 84 2 5" xfId="49629" xr:uid="{00000000-0005-0000-0000-00000DC70000}"/>
    <cellStyle name="Normal 84 2 5 2" xfId="49630" xr:uid="{00000000-0005-0000-0000-00000EC70000}"/>
    <cellStyle name="Normal 84 2 5 3" xfId="49631" xr:uid="{00000000-0005-0000-0000-00000FC70000}"/>
    <cellStyle name="Normal 84 2 6" xfId="49632" xr:uid="{00000000-0005-0000-0000-000010C70000}"/>
    <cellStyle name="Normal 84 2 7" xfId="49633" xr:uid="{00000000-0005-0000-0000-000011C70000}"/>
    <cellStyle name="Normal 84 2 8" xfId="49634" xr:uid="{00000000-0005-0000-0000-000012C70000}"/>
    <cellStyle name="Normal 84 2 9" xfId="49635" xr:uid="{00000000-0005-0000-0000-000013C70000}"/>
    <cellStyle name="Normal 84 3" xfId="49636" xr:uid="{00000000-0005-0000-0000-000014C70000}"/>
    <cellStyle name="Normal 84 3 2" xfId="49637" xr:uid="{00000000-0005-0000-0000-000015C70000}"/>
    <cellStyle name="Normal 84 3 2 2" xfId="49638" xr:uid="{00000000-0005-0000-0000-000016C70000}"/>
    <cellStyle name="Normal 84 3 2 2 2" xfId="49639" xr:uid="{00000000-0005-0000-0000-000017C70000}"/>
    <cellStyle name="Normal 84 3 2 2 3" xfId="49640" xr:uid="{00000000-0005-0000-0000-000018C70000}"/>
    <cellStyle name="Normal 84 3 2 3" xfId="49641" xr:uid="{00000000-0005-0000-0000-000019C70000}"/>
    <cellStyle name="Normal 84 3 2 3 2" xfId="49642" xr:uid="{00000000-0005-0000-0000-00001AC70000}"/>
    <cellStyle name="Normal 84 3 2 3 3" xfId="49643" xr:uid="{00000000-0005-0000-0000-00001BC70000}"/>
    <cellStyle name="Normal 84 3 2 4" xfId="49644" xr:uid="{00000000-0005-0000-0000-00001CC70000}"/>
    <cellStyle name="Normal 84 3 2 5" xfId="49645" xr:uid="{00000000-0005-0000-0000-00001DC70000}"/>
    <cellStyle name="Normal 84 3 2 6" xfId="49646" xr:uid="{00000000-0005-0000-0000-00001EC70000}"/>
    <cellStyle name="Normal 84 3 2 7" xfId="49647" xr:uid="{00000000-0005-0000-0000-00001FC70000}"/>
    <cellStyle name="Normal 84 3 3" xfId="49648" xr:uid="{00000000-0005-0000-0000-000020C70000}"/>
    <cellStyle name="Normal 84 3 3 2" xfId="49649" xr:uid="{00000000-0005-0000-0000-000021C70000}"/>
    <cellStyle name="Normal 84 3 3 3" xfId="49650" xr:uid="{00000000-0005-0000-0000-000022C70000}"/>
    <cellStyle name="Normal 84 3 3 4" xfId="49651" xr:uid="{00000000-0005-0000-0000-000023C70000}"/>
    <cellStyle name="Normal 84 3 4" xfId="49652" xr:uid="{00000000-0005-0000-0000-000024C70000}"/>
    <cellStyle name="Normal 84 3 4 2" xfId="49653" xr:uid="{00000000-0005-0000-0000-000025C70000}"/>
    <cellStyle name="Normal 84 3 4 3" xfId="49654" xr:uid="{00000000-0005-0000-0000-000026C70000}"/>
    <cellStyle name="Normal 84 3 5" xfId="49655" xr:uid="{00000000-0005-0000-0000-000027C70000}"/>
    <cellStyle name="Normal 84 3 6" xfId="49656" xr:uid="{00000000-0005-0000-0000-000028C70000}"/>
    <cellStyle name="Normal 84 3 7" xfId="49657" xr:uid="{00000000-0005-0000-0000-000029C70000}"/>
    <cellStyle name="Normal 84 3 8" xfId="49658" xr:uid="{00000000-0005-0000-0000-00002AC70000}"/>
    <cellStyle name="Normal 84 3 9" xfId="49659" xr:uid="{00000000-0005-0000-0000-00002BC70000}"/>
    <cellStyle name="Normal 84 4" xfId="49660" xr:uid="{00000000-0005-0000-0000-00002CC70000}"/>
    <cellStyle name="Normal 84 4 2" xfId="49661" xr:uid="{00000000-0005-0000-0000-00002DC70000}"/>
    <cellStyle name="Normal 84 4 2 2" xfId="49662" xr:uid="{00000000-0005-0000-0000-00002EC70000}"/>
    <cellStyle name="Normal 84 4 2 3" xfId="49663" xr:uid="{00000000-0005-0000-0000-00002FC70000}"/>
    <cellStyle name="Normal 84 4 3" xfId="49664" xr:uid="{00000000-0005-0000-0000-000030C70000}"/>
    <cellStyle name="Normal 84 4 3 2" xfId="49665" xr:uid="{00000000-0005-0000-0000-000031C70000}"/>
    <cellStyle name="Normal 84 4 3 3" xfId="49666" xr:uid="{00000000-0005-0000-0000-000032C70000}"/>
    <cellStyle name="Normal 84 4 4" xfId="49667" xr:uid="{00000000-0005-0000-0000-000033C70000}"/>
    <cellStyle name="Normal 84 4 5" xfId="49668" xr:uid="{00000000-0005-0000-0000-000034C70000}"/>
    <cellStyle name="Normal 84 4 6" xfId="49669" xr:uid="{00000000-0005-0000-0000-000035C70000}"/>
    <cellStyle name="Normal 84 4 7" xfId="49670" xr:uid="{00000000-0005-0000-0000-000036C70000}"/>
    <cellStyle name="Normal 84 5" xfId="49671" xr:uid="{00000000-0005-0000-0000-000037C70000}"/>
    <cellStyle name="Normal 84 5 2" xfId="49672" xr:uid="{00000000-0005-0000-0000-000038C70000}"/>
    <cellStyle name="Normal 84 5 3" xfId="49673" xr:uid="{00000000-0005-0000-0000-000039C70000}"/>
    <cellStyle name="Normal 84 5 4" xfId="49674" xr:uid="{00000000-0005-0000-0000-00003AC70000}"/>
    <cellStyle name="Normal 84 6" xfId="49675" xr:uid="{00000000-0005-0000-0000-00003BC70000}"/>
    <cellStyle name="Normal 84 6 2" xfId="49676" xr:uid="{00000000-0005-0000-0000-00003CC70000}"/>
    <cellStyle name="Normal 84 6 3" xfId="49677" xr:uid="{00000000-0005-0000-0000-00003DC70000}"/>
    <cellStyle name="Normal 84 7" xfId="49678" xr:uid="{00000000-0005-0000-0000-00003EC70000}"/>
    <cellStyle name="Normal 84 8" xfId="49679" xr:uid="{00000000-0005-0000-0000-00003FC70000}"/>
    <cellStyle name="Normal 84 9" xfId="49680" xr:uid="{00000000-0005-0000-0000-000040C70000}"/>
    <cellStyle name="Normal 84_Order Book" xfId="49681" xr:uid="{00000000-0005-0000-0000-000041C70000}"/>
    <cellStyle name="Normal 840" xfId="49682" xr:uid="{00000000-0005-0000-0000-000042C70000}"/>
    <cellStyle name="Normal 841" xfId="49683" xr:uid="{00000000-0005-0000-0000-000043C70000}"/>
    <cellStyle name="Normal 842" xfId="49684" xr:uid="{00000000-0005-0000-0000-000044C70000}"/>
    <cellStyle name="Normal 843" xfId="49685" xr:uid="{00000000-0005-0000-0000-000045C70000}"/>
    <cellStyle name="Normal 844" xfId="49686" xr:uid="{00000000-0005-0000-0000-000046C70000}"/>
    <cellStyle name="Normal 845" xfId="49687" xr:uid="{00000000-0005-0000-0000-000047C70000}"/>
    <cellStyle name="Normal 846" xfId="49688" xr:uid="{00000000-0005-0000-0000-000048C70000}"/>
    <cellStyle name="Normal 847" xfId="49689" xr:uid="{00000000-0005-0000-0000-000049C70000}"/>
    <cellStyle name="Normal 848" xfId="49690" xr:uid="{00000000-0005-0000-0000-00004AC70000}"/>
    <cellStyle name="Normal 849" xfId="49691" xr:uid="{00000000-0005-0000-0000-00004BC70000}"/>
    <cellStyle name="Normal 849 2" xfId="49692" xr:uid="{00000000-0005-0000-0000-00004CC70000}"/>
    <cellStyle name="Normal 85" xfId="3592" xr:uid="{00000000-0005-0000-0000-00004DC70000}"/>
    <cellStyle name="Normal 85 10" xfId="49693" xr:uid="{00000000-0005-0000-0000-00004EC70000}"/>
    <cellStyle name="Normal 85 11" xfId="49694" xr:uid="{00000000-0005-0000-0000-00004FC70000}"/>
    <cellStyle name="Normal 85 12" xfId="49695" xr:uid="{00000000-0005-0000-0000-000050C70000}"/>
    <cellStyle name="Normal 85 13" xfId="49696" xr:uid="{00000000-0005-0000-0000-000051C70000}"/>
    <cellStyle name="Normal 85 14" xfId="49697" xr:uid="{00000000-0005-0000-0000-000052C70000}"/>
    <cellStyle name="Normal 85 2" xfId="49698" xr:uid="{00000000-0005-0000-0000-000053C70000}"/>
    <cellStyle name="Normal 85 2 10" xfId="49699" xr:uid="{00000000-0005-0000-0000-000054C70000}"/>
    <cellStyle name="Normal 85 2 2" xfId="49700" xr:uid="{00000000-0005-0000-0000-000055C70000}"/>
    <cellStyle name="Normal 85 2 2 2" xfId="49701" xr:uid="{00000000-0005-0000-0000-000056C70000}"/>
    <cellStyle name="Normal 85 2 2 2 2" xfId="49702" xr:uid="{00000000-0005-0000-0000-000057C70000}"/>
    <cellStyle name="Normal 85 2 2 2 2 2" xfId="49703" xr:uid="{00000000-0005-0000-0000-000058C70000}"/>
    <cellStyle name="Normal 85 2 2 2 2 3" xfId="49704" xr:uid="{00000000-0005-0000-0000-000059C70000}"/>
    <cellStyle name="Normal 85 2 2 2 3" xfId="49705" xr:uid="{00000000-0005-0000-0000-00005AC70000}"/>
    <cellStyle name="Normal 85 2 2 2 3 2" xfId="49706" xr:uid="{00000000-0005-0000-0000-00005BC70000}"/>
    <cellStyle name="Normal 85 2 2 2 3 3" xfId="49707" xr:uid="{00000000-0005-0000-0000-00005CC70000}"/>
    <cellStyle name="Normal 85 2 2 2 4" xfId="49708" xr:uid="{00000000-0005-0000-0000-00005DC70000}"/>
    <cellStyle name="Normal 85 2 2 2 5" xfId="49709" xr:uid="{00000000-0005-0000-0000-00005EC70000}"/>
    <cellStyle name="Normal 85 2 2 2 6" xfId="49710" xr:uid="{00000000-0005-0000-0000-00005FC70000}"/>
    <cellStyle name="Normal 85 2 2 2 7" xfId="49711" xr:uid="{00000000-0005-0000-0000-000060C70000}"/>
    <cellStyle name="Normal 85 2 2 3" xfId="49712" xr:uid="{00000000-0005-0000-0000-000061C70000}"/>
    <cellStyle name="Normal 85 2 2 3 2" xfId="49713" xr:uid="{00000000-0005-0000-0000-000062C70000}"/>
    <cellStyle name="Normal 85 2 2 3 3" xfId="49714" xr:uid="{00000000-0005-0000-0000-000063C70000}"/>
    <cellStyle name="Normal 85 2 2 3 4" xfId="49715" xr:uid="{00000000-0005-0000-0000-000064C70000}"/>
    <cellStyle name="Normal 85 2 2 4" xfId="49716" xr:uid="{00000000-0005-0000-0000-000065C70000}"/>
    <cellStyle name="Normal 85 2 2 4 2" xfId="49717" xr:uid="{00000000-0005-0000-0000-000066C70000}"/>
    <cellStyle name="Normal 85 2 2 4 3" xfId="49718" xr:uid="{00000000-0005-0000-0000-000067C70000}"/>
    <cellStyle name="Normal 85 2 2 5" xfId="49719" xr:uid="{00000000-0005-0000-0000-000068C70000}"/>
    <cellStyle name="Normal 85 2 2 6" xfId="49720" xr:uid="{00000000-0005-0000-0000-000069C70000}"/>
    <cellStyle name="Normal 85 2 2 7" xfId="49721" xr:uid="{00000000-0005-0000-0000-00006AC70000}"/>
    <cellStyle name="Normal 85 2 2 8" xfId="49722" xr:uid="{00000000-0005-0000-0000-00006BC70000}"/>
    <cellStyle name="Normal 85 2 2 9" xfId="49723" xr:uid="{00000000-0005-0000-0000-00006CC70000}"/>
    <cellStyle name="Normal 85 2 3" xfId="49724" xr:uid="{00000000-0005-0000-0000-00006DC70000}"/>
    <cellStyle name="Normal 85 2 3 2" xfId="49725" xr:uid="{00000000-0005-0000-0000-00006EC70000}"/>
    <cellStyle name="Normal 85 2 3 2 2" xfId="49726" xr:uid="{00000000-0005-0000-0000-00006FC70000}"/>
    <cellStyle name="Normal 85 2 3 2 3" xfId="49727" xr:uid="{00000000-0005-0000-0000-000070C70000}"/>
    <cellStyle name="Normal 85 2 3 3" xfId="49728" xr:uid="{00000000-0005-0000-0000-000071C70000}"/>
    <cellStyle name="Normal 85 2 3 3 2" xfId="49729" xr:uid="{00000000-0005-0000-0000-000072C70000}"/>
    <cellStyle name="Normal 85 2 3 3 3" xfId="49730" xr:uid="{00000000-0005-0000-0000-000073C70000}"/>
    <cellStyle name="Normal 85 2 3 4" xfId="49731" xr:uid="{00000000-0005-0000-0000-000074C70000}"/>
    <cellStyle name="Normal 85 2 3 5" xfId="49732" xr:uid="{00000000-0005-0000-0000-000075C70000}"/>
    <cellStyle name="Normal 85 2 3 6" xfId="49733" xr:uid="{00000000-0005-0000-0000-000076C70000}"/>
    <cellStyle name="Normal 85 2 3 7" xfId="49734" xr:uid="{00000000-0005-0000-0000-000077C70000}"/>
    <cellStyle name="Normal 85 2 4" xfId="49735" xr:uid="{00000000-0005-0000-0000-000078C70000}"/>
    <cellStyle name="Normal 85 2 4 2" xfId="49736" xr:uid="{00000000-0005-0000-0000-000079C70000}"/>
    <cellStyle name="Normal 85 2 4 3" xfId="49737" xr:uid="{00000000-0005-0000-0000-00007AC70000}"/>
    <cellStyle name="Normal 85 2 4 4" xfId="49738" xr:uid="{00000000-0005-0000-0000-00007BC70000}"/>
    <cellStyle name="Normal 85 2 5" xfId="49739" xr:uid="{00000000-0005-0000-0000-00007CC70000}"/>
    <cellStyle name="Normal 85 2 5 2" xfId="49740" xr:uid="{00000000-0005-0000-0000-00007DC70000}"/>
    <cellStyle name="Normal 85 2 5 3" xfId="49741" xr:uid="{00000000-0005-0000-0000-00007EC70000}"/>
    <cellStyle name="Normal 85 2 6" xfId="49742" xr:uid="{00000000-0005-0000-0000-00007FC70000}"/>
    <cellStyle name="Normal 85 2 7" xfId="49743" xr:uid="{00000000-0005-0000-0000-000080C70000}"/>
    <cellStyle name="Normal 85 2 8" xfId="49744" xr:uid="{00000000-0005-0000-0000-000081C70000}"/>
    <cellStyle name="Normal 85 2 9" xfId="49745" xr:uid="{00000000-0005-0000-0000-000082C70000}"/>
    <cellStyle name="Normal 85 3" xfId="49746" xr:uid="{00000000-0005-0000-0000-000083C70000}"/>
    <cellStyle name="Normal 85 3 2" xfId="49747" xr:uid="{00000000-0005-0000-0000-000084C70000}"/>
    <cellStyle name="Normal 85 3 2 2" xfId="49748" xr:uid="{00000000-0005-0000-0000-000085C70000}"/>
    <cellStyle name="Normal 85 3 2 2 2" xfId="49749" xr:uid="{00000000-0005-0000-0000-000086C70000}"/>
    <cellStyle name="Normal 85 3 2 2 3" xfId="49750" xr:uid="{00000000-0005-0000-0000-000087C70000}"/>
    <cellStyle name="Normal 85 3 2 3" xfId="49751" xr:uid="{00000000-0005-0000-0000-000088C70000}"/>
    <cellStyle name="Normal 85 3 2 3 2" xfId="49752" xr:uid="{00000000-0005-0000-0000-000089C70000}"/>
    <cellStyle name="Normal 85 3 2 3 3" xfId="49753" xr:uid="{00000000-0005-0000-0000-00008AC70000}"/>
    <cellStyle name="Normal 85 3 2 4" xfId="49754" xr:uid="{00000000-0005-0000-0000-00008BC70000}"/>
    <cellStyle name="Normal 85 3 2 5" xfId="49755" xr:uid="{00000000-0005-0000-0000-00008CC70000}"/>
    <cellStyle name="Normal 85 3 2 6" xfId="49756" xr:uid="{00000000-0005-0000-0000-00008DC70000}"/>
    <cellStyle name="Normal 85 3 2 7" xfId="49757" xr:uid="{00000000-0005-0000-0000-00008EC70000}"/>
    <cellStyle name="Normal 85 3 3" xfId="49758" xr:uid="{00000000-0005-0000-0000-00008FC70000}"/>
    <cellStyle name="Normal 85 3 3 2" xfId="49759" xr:uid="{00000000-0005-0000-0000-000090C70000}"/>
    <cellStyle name="Normal 85 3 3 3" xfId="49760" xr:uid="{00000000-0005-0000-0000-000091C70000}"/>
    <cellStyle name="Normal 85 3 3 4" xfId="49761" xr:uid="{00000000-0005-0000-0000-000092C70000}"/>
    <cellStyle name="Normal 85 3 4" xfId="49762" xr:uid="{00000000-0005-0000-0000-000093C70000}"/>
    <cellStyle name="Normal 85 3 4 2" xfId="49763" xr:uid="{00000000-0005-0000-0000-000094C70000}"/>
    <cellStyle name="Normal 85 3 4 3" xfId="49764" xr:uid="{00000000-0005-0000-0000-000095C70000}"/>
    <cellStyle name="Normal 85 3 5" xfId="49765" xr:uid="{00000000-0005-0000-0000-000096C70000}"/>
    <cellStyle name="Normal 85 3 6" xfId="49766" xr:uid="{00000000-0005-0000-0000-000097C70000}"/>
    <cellStyle name="Normal 85 3 7" xfId="49767" xr:uid="{00000000-0005-0000-0000-000098C70000}"/>
    <cellStyle name="Normal 85 3 8" xfId="49768" xr:uid="{00000000-0005-0000-0000-000099C70000}"/>
    <cellStyle name="Normal 85 3 9" xfId="49769" xr:uid="{00000000-0005-0000-0000-00009AC70000}"/>
    <cellStyle name="Normal 85 4" xfId="49770" xr:uid="{00000000-0005-0000-0000-00009BC70000}"/>
    <cellStyle name="Normal 85 4 2" xfId="49771" xr:uid="{00000000-0005-0000-0000-00009CC70000}"/>
    <cellStyle name="Normal 85 4 2 2" xfId="49772" xr:uid="{00000000-0005-0000-0000-00009DC70000}"/>
    <cellStyle name="Normal 85 4 2 3" xfId="49773" xr:uid="{00000000-0005-0000-0000-00009EC70000}"/>
    <cellStyle name="Normal 85 4 3" xfId="49774" xr:uid="{00000000-0005-0000-0000-00009FC70000}"/>
    <cellStyle name="Normal 85 4 3 2" xfId="49775" xr:uid="{00000000-0005-0000-0000-0000A0C70000}"/>
    <cellStyle name="Normal 85 4 3 3" xfId="49776" xr:uid="{00000000-0005-0000-0000-0000A1C70000}"/>
    <cellStyle name="Normal 85 4 4" xfId="49777" xr:uid="{00000000-0005-0000-0000-0000A2C70000}"/>
    <cellStyle name="Normal 85 4 5" xfId="49778" xr:uid="{00000000-0005-0000-0000-0000A3C70000}"/>
    <cellStyle name="Normal 85 4 6" xfId="49779" xr:uid="{00000000-0005-0000-0000-0000A4C70000}"/>
    <cellStyle name="Normal 85 4 7" xfId="49780" xr:uid="{00000000-0005-0000-0000-0000A5C70000}"/>
    <cellStyle name="Normal 85 5" xfId="49781" xr:uid="{00000000-0005-0000-0000-0000A6C70000}"/>
    <cellStyle name="Normal 85 5 2" xfId="49782" xr:uid="{00000000-0005-0000-0000-0000A7C70000}"/>
    <cellStyle name="Normal 85 5 3" xfId="49783" xr:uid="{00000000-0005-0000-0000-0000A8C70000}"/>
    <cellStyle name="Normal 85 5 4" xfId="49784" xr:uid="{00000000-0005-0000-0000-0000A9C70000}"/>
    <cellStyle name="Normal 85 6" xfId="49785" xr:uid="{00000000-0005-0000-0000-0000AAC70000}"/>
    <cellStyle name="Normal 85 6 2" xfId="49786" xr:uid="{00000000-0005-0000-0000-0000ABC70000}"/>
    <cellStyle name="Normal 85 6 3" xfId="49787" xr:uid="{00000000-0005-0000-0000-0000ACC70000}"/>
    <cellStyle name="Normal 85 7" xfId="49788" xr:uid="{00000000-0005-0000-0000-0000ADC70000}"/>
    <cellStyle name="Normal 85 8" xfId="49789" xr:uid="{00000000-0005-0000-0000-0000AEC70000}"/>
    <cellStyle name="Normal 85 9" xfId="49790" xr:uid="{00000000-0005-0000-0000-0000AFC70000}"/>
    <cellStyle name="Normal 85_Order Book" xfId="49791" xr:uid="{00000000-0005-0000-0000-0000B0C70000}"/>
    <cellStyle name="Normal 850" xfId="49792" xr:uid="{00000000-0005-0000-0000-0000B1C70000}"/>
    <cellStyle name="Normal 850 2" xfId="49793" xr:uid="{00000000-0005-0000-0000-0000B2C70000}"/>
    <cellStyle name="Normal 851" xfId="49794" xr:uid="{00000000-0005-0000-0000-0000B3C70000}"/>
    <cellStyle name="Normal 851 2" xfId="49795" xr:uid="{00000000-0005-0000-0000-0000B4C70000}"/>
    <cellStyle name="Normal 852" xfId="49796" xr:uid="{00000000-0005-0000-0000-0000B5C70000}"/>
    <cellStyle name="Normal 852 2" xfId="49797" xr:uid="{00000000-0005-0000-0000-0000B6C70000}"/>
    <cellStyle name="Normal 853" xfId="49798" xr:uid="{00000000-0005-0000-0000-0000B7C70000}"/>
    <cellStyle name="Normal 853 2" xfId="49799" xr:uid="{00000000-0005-0000-0000-0000B8C70000}"/>
    <cellStyle name="Normal 854" xfId="49800" xr:uid="{00000000-0005-0000-0000-0000B9C70000}"/>
    <cellStyle name="Normal 854 2" xfId="49801" xr:uid="{00000000-0005-0000-0000-0000BAC70000}"/>
    <cellStyle name="Normal 855" xfId="49802" xr:uid="{00000000-0005-0000-0000-0000BBC70000}"/>
    <cellStyle name="Normal 855 2" xfId="49803" xr:uid="{00000000-0005-0000-0000-0000BCC70000}"/>
    <cellStyle name="Normal 856" xfId="49804" xr:uid="{00000000-0005-0000-0000-0000BDC70000}"/>
    <cellStyle name="Normal 857" xfId="49805" xr:uid="{00000000-0005-0000-0000-0000BEC70000}"/>
    <cellStyle name="Normal 858" xfId="49806" xr:uid="{00000000-0005-0000-0000-0000BFC70000}"/>
    <cellStyle name="Normal 859" xfId="49807" xr:uid="{00000000-0005-0000-0000-0000C0C70000}"/>
    <cellStyle name="Normal 86" xfId="3593" xr:uid="{00000000-0005-0000-0000-0000C1C70000}"/>
    <cellStyle name="Normal 86 10" xfId="49808" xr:uid="{00000000-0005-0000-0000-0000C2C70000}"/>
    <cellStyle name="Normal 86 11" xfId="49809" xr:uid="{00000000-0005-0000-0000-0000C3C70000}"/>
    <cellStyle name="Normal 86 12" xfId="49810" xr:uid="{00000000-0005-0000-0000-0000C4C70000}"/>
    <cellStyle name="Normal 86 13" xfId="49811" xr:uid="{00000000-0005-0000-0000-0000C5C70000}"/>
    <cellStyle name="Normal 86 14" xfId="49812" xr:uid="{00000000-0005-0000-0000-0000C6C70000}"/>
    <cellStyle name="Normal 86 2" xfId="49813" xr:uid="{00000000-0005-0000-0000-0000C7C70000}"/>
    <cellStyle name="Normal 86 2 10" xfId="49814" xr:uid="{00000000-0005-0000-0000-0000C8C70000}"/>
    <cellStyle name="Normal 86 2 2" xfId="49815" xr:uid="{00000000-0005-0000-0000-0000C9C70000}"/>
    <cellStyle name="Normal 86 2 2 2" xfId="49816" xr:uid="{00000000-0005-0000-0000-0000CAC70000}"/>
    <cellStyle name="Normal 86 2 2 2 2" xfId="49817" xr:uid="{00000000-0005-0000-0000-0000CBC70000}"/>
    <cellStyle name="Normal 86 2 2 2 2 2" xfId="49818" xr:uid="{00000000-0005-0000-0000-0000CCC70000}"/>
    <cellStyle name="Normal 86 2 2 2 2 3" xfId="49819" xr:uid="{00000000-0005-0000-0000-0000CDC70000}"/>
    <cellStyle name="Normal 86 2 2 2 3" xfId="49820" xr:uid="{00000000-0005-0000-0000-0000CEC70000}"/>
    <cellStyle name="Normal 86 2 2 2 3 2" xfId="49821" xr:uid="{00000000-0005-0000-0000-0000CFC70000}"/>
    <cellStyle name="Normal 86 2 2 2 3 3" xfId="49822" xr:uid="{00000000-0005-0000-0000-0000D0C70000}"/>
    <cellStyle name="Normal 86 2 2 2 4" xfId="49823" xr:uid="{00000000-0005-0000-0000-0000D1C70000}"/>
    <cellStyle name="Normal 86 2 2 2 5" xfId="49824" xr:uid="{00000000-0005-0000-0000-0000D2C70000}"/>
    <cellStyle name="Normal 86 2 2 2 6" xfId="49825" xr:uid="{00000000-0005-0000-0000-0000D3C70000}"/>
    <cellStyle name="Normal 86 2 2 2 7" xfId="49826" xr:uid="{00000000-0005-0000-0000-0000D4C70000}"/>
    <cellStyle name="Normal 86 2 2 3" xfId="49827" xr:uid="{00000000-0005-0000-0000-0000D5C70000}"/>
    <cellStyle name="Normal 86 2 2 3 2" xfId="49828" xr:uid="{00000000-0005-0000-0000-0000D6C70000}"/>
    <cellStyle name="Normal 86 2 2 3 3" xfId="49829" xr:uid="{00000000-0005-0000-0000-0000D7C70000}"/>
    <cellStyle name="Normal 86 2 2 3 4" xfId="49830" xr:uid="{00000000-0005-0000-0000-0000D8C70000}"/>
    <cellStyle name="Normal 86 2 2 4" xfId="49831" xr:uid="{00000000-0005-0000-0000-0000D9C70000}"/>
    <cellStyle name="Normal 86 2 2 4 2" xfId="49832" xr:uid="{00000000-0005-0000-0000-0000DAC70000}"/>
    <cellStyle name="Normal 86 2 2 4 3" xfId="49833" xr:uid="{00000000-0005-0000-0000-0000DBC70000}"/>
    <cellStyle name="Normal 86 2 2 5" xfId="49834" xr:uid="{00000000-0005-0000-0000-0000DCC70000}"/>
    <cellStyle name="Normal 86 2 2 6" xfId="49835" xr:uid="{00000000-0005-0000-0000-0000DDC70000}"/>
    <cellStyle name="Normal 86 2 2 7" xfId="49836" xr:uid="{00000000-0005-0000-0000-0000DEC70000}"/>
    <cellStyle name="Normal 86 2 2 8" xfId="49837" xr:uid="{00000000-0005-0000-0000-0000DFC70000}"/>
    <cellStyle name="Normal 86 2 2 9" xfId="49838" xr:uid="{00000000-0005-0000-0000-0000E0C70000}"/>
    <cellStyle name="Normal 86 2 3" xfId="49839" xr:uid="{00000000-0005-0000-0000-0000E1C70000}"/>
    <cellStyle name="Normal 86 2 3 2" xfId="49840" xr:uid="{00000000-0005-0000-0000-0000E2C70000}"/>
    <cellStyle name="Normal 86 2 3 2 2" xfId="49841" xr:uid="{00000000-0005-0000-0000-0000E3C70000}"/>
    <cellStyle name="Normal 86 2 3 2 3" xfId="49842" xr:uid="{00000000-0005-0000-0000-0000E4C70000}"/>
    <cellStyle name="Normal 86 2 3 3" xfId="49843" xr:uid="{00000000-0005-0000-0000-0000E5C70000}"/>
    <cellStyle name="Normal 86 2 3 3 2" xfId="49844" xr:uid="{00000000-0005-0000-0000-0000E6C70000}"/>
    <cellStyle name="Normal 86 2 3 3 3" xfId="49845" xr:uid="{00000000-0005-0000-0000-0000E7C70000}"/>
    <cellStyle name="Normal 86 2 3 4" xfId="49846" xr:uid="{00000000-0005-0000-0000-0000E8C70000}"/>
    <cellStyle name="Normal 86 2 3 5" xfId="49847" xr:uid="{00000000-0005-0000-0000-0000E9C70000}"/>
    <cellStyle name="Normal 86 2 3 6" xfId="49848" xr:uid="{00000000-0005-0000-0000-0000EAC70000}"/>
    <cellStyle name="Normal 86 2 3 7" xfId="49849" xr:uid="{00000000-0005-0000-0000-0000EBC70000}"/>
    <cellStyle name="Normal 86 2 4" xfId="49850" xr:uid="{00000000-0005-0000-0000-0000ECC70000}"/>
    <cellStyle name="Normal 86 2 4 2" xfId="49851" xr:uid="{00000000-0005-0000-0000-0000EDC70000}"/>
    <cellStyle name="Normal 86 2 4 3" xfId="49852" xr:uid="{00000000-0005-0000-0000-0000EEC70000}"/>
    <cellStyle name="Normal 86 2 4 4" xfId="49853" xr:uid="{00000000-0005-0000-0000-0000EFC70000}"/>
    <cellStyle name="Normal 86 2 5" xfId="49854" xr:uid="{00000000-0005-0000-0000-0000F0C70000}"/>
    <cellStyle name="Normal 86 2 5 2" xfId="49855" xr:uid="{00000000-0005-0000-0000-0000F1C70000}"/>
    <cellStyle name="Normal 86 2 5 3" xfId="49856" xr:uid="{00000000-0005-0000-0000-0000F2C70000}"/>
    <cellStyle name="Normal 86 2 6" xfId="49857" xr:uid="{00000000-0005-0000-0000-0000F3C70000}"/>
    <cellStyle name="Normal 86 2 7" xfId="49858" xr:uid="{00000000-0005-0000-0000-0000F4C70000}"/>
    <cellStyle name="Normal 86 2 8" xfId="49859" xr:uid="{00000000-0005-0000-0000-0000F5C70000}"/>
    <cellStyle name="Normal 86 2 9" xfId="49860" xr:uid="{00000000-0005-0000-0000-0000F6C70000}"/>
    <cellStyle name="Normal 86 3" xfId="49861" xr:uid="{00000000-0005-0000-0000-0000F7C70000}"/>
    <cellStyle name="Normal 86 3 2" xfId="49862" xr:uid="{00000000-0005-0000-0000-0000F8C70000}"/>
    <cellStyle name="Normal 86 3 2 2" xfId="49863" xr:uid="{00000000-0005-0000-0000-0000F9C70000}"/>
    <cellStyle name="Normal 86 3 2 2 2" xfId="49864" xr:uid="{00000000-0005-0000-0000-0000FAC70000}"/>
    <cellStyle name="Normal 86 3 2 2 3" xfId="49865" xr:uid="{00000000-0005-0000-0000-0000FBC70000}"/>
    <cellStyle name="Normal 86 3 2 3" xfId="49866" xr:uid="{00000000-0005-0000-0000-0000FCC70000}"/>
    <cellStyle name="Normal 86 3 2 3 2" xfId="49867" xr:uid="{00000000-0005-0000-0000-0000FDC70000}"/>
    <cellStyle name="Normal 86 3 2 3 3" xfId="49868" xr:uid="{00000000-0005-0000-0000-0000FEC70000}"/>
    <cellStyle name="Normal 86 3 2 4" xfId="49869" xr:uid="{00000000-0005-0000-0000-0000FFC70000}"/>
    <cellStyle name="Normal 86 3 2 5" xfId="49870" xr:uid="{00000000-0005-0000-0000-000000C80000}"/>
    <cellStyle name="Normal 86 3 2 6" xfId="49871" xr:uid="{00000000-0005-0000-0000-000001C80000}"/>
    <cellStyle name="Normal 86 3 2 7" xfId="49872" xr:uid="{00000000-0005-0000-0000-000002C80000}"/>
    <cellStyle name="Normal 86 3 3" xfId="49873" xr:uid="{00000000-0005-0000-0000-000003C80000}"/>
    <cellStyle name="Normal 86 3 3 2" xfId="49874" xr:uid="{00000000-0005-0000-0000-000004C80000}"/>
    <cellStyle name="Normal 86 3 3 3" xfId="49875" xr:uid="{00000000-0005-0000-0000-000005C80000}"/>
    <cellStyle name="Normal 86 3 3 4" xfId="49876" xr:uid="{00000000-0005-0000-0000-000006C80000}"/>
    <cellStyle name="Normal 86 3 4" xfId="49877" xr:uid="{00000000-0005-0000-0000-000007C80000}"/>
    <cellStyle name="Normal 86 3 4 2" xfId="49878" xr:uid="{00000000-0005-0000-0000-000008C80000}"/>
    <cellStyle name="Normal 86 3 4 3" xfId="49879" xr:uid="{00000000-0005-0000-0000-000009C80000}"/>
    <cellStyle name="Normal 86 3 5" xfId="49880" xr:uid="{00000000-0005-0000-0000-00000AC80000}"/>
    <cellStyle name="Normal 86 3 6" xfId="49881" xr:uid="{00000000-0005-0000-0000-00000BC80000}"/>
    <cellStyle name="Normal 86 3 7" xfId="49882" xr:uid="{00000000-0005-0000-0000-00000CC80000}"/>
    <cellStyle name="Normal 86 3 8" xfId="49883" xr:uid="{00000000-0005-0000-0000-00000DC80000}"/>
    <cellStyle name="Normal 86 3 9" xfId="49884" xr:uid="{00000000-0005-0000-0000-00000EC80000}"/>
    <cellStyle name="Normal 86 4" xfId="49885" xr:uid="{00000000-0005-0000-0000-00000FC80000}"/>
    <cellStyle name="Normal 86 4 2" xfId="49886" xr:uid="{00000000-0005-0000-0000-000010C80000}"/>
    <cellStyle name="Normal 86 4 2 2" xfId="49887" xr:uid="{00000000-0005-0000-0000-000011C80000}"/>
    <cellStyle name="Normal 86 4 2 3" xfId="49888" xr:uid="{00000000-0005-0000-0000-000012C80000}"/>
    <cellStyle name="Normal 86 4 3" xfId="49889" xr:uid="{00000000-0005-0000-0000-000013C80000}"/>
    <cellStyle name="Normal 86 4 3 2" xfId="49890" xr:uid="{00000000-0005-0000-0000-000014C80000}"/>
    <cellStyle name="Normal 86 4 3 3" xfId="49891" xr:uid="{00000000-0005-0000-0000-000015C80000}"/>
    <cellStyle name="Normal 86 4 4" xfId="49892" xr:uid="{00000000-0005-0000-0000-000016C80000}"/>
    <cellStyle name="Normal 86 4 5" xfId="49893" xr:uid="{00000000-0005-0000-0000-000017C80000}"/>
    <cellStyle name="Normal 86 4 6" xfId="49894" xr:uid="{00000000-0005-0000-0000-000018C80000}"/>
    <cellStyle name="Normal 86 4 7" xfId="49895" xr:uid="{00000000-0005-0000-0000-000019C80000}"/>
    <cellStyle name="Normal 86 5" xfId="49896" xr:uid="{00000000-0005-0000-0000-00001AC80000}"/>
    <cellStyle name="Normal 86 5 2" xfId="49897" xr:uid="{00000000-0005-0000-0000-00001BC80000}"/>
    <cellStyle name="Normal 86 5 3" xfId="49898" xr:uid="{00000000-0005-0000-0000-00001CC80000}"/>
    <cellStyle name="Normal 86 5 4" xfId="49899" xr:uid="{00000000-0005-0000-0000-00001DC80000}"/>
    <cellStyle name="Normal 86 6" xfId="49900" xr:uid="{00000000-0005-0000-0000-00001EC80000}"/>
    <cellStyle name="Normal 86 6 2" xfId="49901" xr:uid="{00000000-0005-0000-0000-00001FC80000}"/>
    <cellStyle name="Normal 86 6 3" xfId="49902" xr:uid="{00000000-0005-0000-0000-000020C80000}"/>
    <cellStyle name="Normal 86 7" xfId="49903" xr:uid="{00000000-0005-0000-0000-000021C80000}"/>
    <cellStyle name="Normal 86 8" xfId="49904" xr:uid="{00000000-0005-0000-0000-000022C80000}"/>
    <cellStyle name="Normal 86 9" xfId="49905" xr:uid="{00000000-0005-0000-0000-000023C80000}"/>
    <cellStyle name="Normal 86_Order Book" xfId="49906" xr:uid="{00000000-0005-0000-0000-000024C80000}"/>
    <cellStyle name="Normal 860" xfId="49907" xr:uid="{00000000-0005-0000-0000-000025C80000}"/>
    <cellStyle name="Normal 861" xfId="49908" xr:uid="{00000000-0005-0000-0000-000026C80000}"/>
    <cellStyle name="Normal 862" xfId="49909" xr:uid="{00000000-0005-0000-0000-000027C80000}"/>
    <cellStyle name="Normal 863" xfId="49910" xr:uid="{00000000-0005-0000-0000-000028C80000}"/>
    <cellStyle name="Normal 864" xfId="49911" xr:uid="{00000000-0005-0000-0000-000029C80000}"/>
    <cellStyle name="Normal 865" xfId="49912" xr:uid="{00000000-0005-0000-0000-00002AC80000}"/>
    <cellStyle name="Normal 866" xfId="49913" xr:uid="{00000000-0005-0000-0000-00002BC80000}"/>
    <cellStyle name="Normal 867" xfId="49914" xr:uid="{00000000-0005-0000-0000-00002CC80000}"/>
    <cellStyle name="Normal 868" xfId="49915" xr:uid="{00000000-0005-0000-0000-00002DC80000}"/>
    <cellStyle name="Normal 869" xfId="49916" xr:uid="{00000000-0005-0000-0000-00002EC80000}"/>
    <cellStyle name="Normal 869 2" xfId="49917" xr:uid="{00000000-0005-0000-0000-00002FC80000}"/>
    <cellStyle name="Normal 87" xfId="3594" xr:uid="{00000000-0005-0000-0000-000030C80000}"/>
    <cellStyle name="Normal 87 10" xfId="49918" xr:uid="{00000000-0005-0000-0000-000031C80000}"/>
    <cellStyle name="Normal 87 11" xfId="49919" xr:uid="{00000000-0005-0000-0000-000032C80000}"/>
    <cellStyle name="Normal 87 12" xfId="49920" xr:uid="{00000000-0005-0000-0000-000033C80000}"/>
    <cellStyle name="Normal 87 13" xfId="49921" xr:uid="{00000000-0005-0000-0000-000034C80000}"/>
    <cellStyle name="Normal 87 14" xfId="49922" xr:uid="{00000000-0005-0000-0000-000035C80000}"/>
    <cellStyle name="Normal 87 2" xfId="49923" xr:uid="{00000000-0005-0000-0000-000036C80000}"/>
    <cellStyle name="Normal 87 2 2" xfId="49924" xr:uid="{00000000-0005-0000-0000-000037C80000}"/>
    <cellStyle name="Normal 87 2 2 2" xfId="49925" xr:uid="{00000000-0005-0000-0000-000038C80000}"/>
    <cellStyle name="Normal 87 2 2 2 2" xfId="49926" xr:uid="{00000000-0005-0000-0000-000039C80000}"/>
    <cellStyle name="Normal 87 2 2 2 2 2" xfId="49927" xr:uid="{00000000-0005-0000-0000-00003AC80000}"/>
    <cellStyle name="Normal 87 2 2 2 2 3" xfId="49928" xr:uid="{00000000-0005-0000-0000-00003BC80000}"/>
    <cellStyle name="Normal 87 2 2 2 3" xfId="49929" xr:uid="{00000000-0005-0000-0000-00003CC80000}"/>
    <cellStyle name="Normal 87 2 2 2 3 2" xfId="49930" xr:uid="{00000000-0005-0000-0000-00003DC80000}"/>
    <cellStyle name="Normal 87 2 2 2 3 3" xfId="49931" xr:uid="{00000000-0005-0000-0000-00003EC80000}"/>
    <cellStyle name="Normal 87 2 2 2 4" xfId="49932" xr:uid="{00000000-0005-0000-0000-00003FC80000}"/>
    <cellStyle name="Normal 87 2 2 2 5" xfId="49933" xr:uid="{00000000-0005-0000-0000-000040C80000}"/>
    <cellStyle name="Normal 87 2 2 2 6" xfId="49934" xr:uid="{00000000-0005-0000-0000-000041C80000}"/>
    <cellStyle name="Normal 87 2 2 3" xfId="49935" xr:uid="{00000000-0005-0000-0000-000042C80000}"/>
    <cellStyle name="Normal 87 2 2 3 2" xfId="49936" xr:uid="{00000000-0005-0000-0000-000043C80000}"/>
    <cellStyle name="Normal 87 2 2 3 3" xfId="49937" xr:uid="{00000000-0005-0000-0000-000044C80000}"/>
    <cellStyle name="Normal 87 2 2 4" xfId="49938" xr:uid="{00000000-0005-0000-0000-000045C80000}"/>
    <cellStyle name="Normal 87 2 2 4 2" xfId="49939" xr:uid="{00000000-0005-0000-0000-000046C80000}"/>
    <cellStyle name="Normal 87 2 2 4 3" xfId="49940" xr:uid="{00000000-0005-0000-0000-000047C80000}"/>
    <cellStyle name="Normal 87 2 2 5" xfId="49941" xr:uid="{00000000-0005-0000-0000-000048C80000}"/>
    <cellStyle name="Normal 87 2 2 6" xfId="49942" xr:uid="{00000000-0005-0000-0000-000049C80000}"/>
    <cellStyle name="Normal 87 2 2 7" xfId="49943" xr:uid="{00000000-0005-0000-0000-00004AC80000}"/>
    <cellStyle name="Normal 87 2 2 8" xfId="49944" xr:uid="{00000000-0005-0000-0000-00004BC80000}"/>
    <cellStyle name="Normal 87 2 3" xfId="49945" xr:uid="{00000000-0005-0000-0000-00004CC80000}"/>
    <cellStyle name="Normal 87 2 3 2" xfId="49946" xr:uid="{00000000-0005-0000-0000-00004DC80000}"/>
    <cellStyle name="Normal 87 2 3 2 2" xfId="49947" xr:uid="{00000000-0005-0000-0000-00004EC80000}"/>
    <cellStyle name="Normal 87 2 3 2 3" xfId="49948" xr:uid="{00000000-0005-0000-0000-00004FC80000}"/>
    <cellStyle name="Normal 87 2 3 3" xfId="49949" xr:uid="{00000000-0005-0000-0000-000050C80000}"/>
    <cellStyle name="Normal 87 2 3 3 2" xfId="49950" xr:uid="{00000000-0005-0000-0000-000051C80000}"/>
    <cellStyle name="Normal 87 2 3 3 3" xfId="49951" xr:uid="{00000000-0005-0000-0000-000052C80000}"/>
    <cellStyle name="Normal 87 2 3 4" xfId="49952" xr:uid="{00000000-0005-0000-0000-000053C80000}"/>
    <cellStyle name="Normal 87 2 3 5" xfId="49953" xr:uid="{00000000-0005-0000-0000-000054C80000}"/>
    <cellStyle name="Normal 87 2 3 6" xfId="49954" xr:uid="{00000000-0005-0000-0000-000055C80000}"/>
    <cellStyle name="Normal 87 2 4" xfId="49955" xr:uid="{00000000-0005-0000-0000-000056C80000}"/>
    <cellStyle name="Normal 87 2 4 2" xfId="49956" xr:uid="{00000000-0005-0000-0000-000057C80000}"/>
    <cellStyle name="Normal 87 2 4 3" xfId="49957" xr:uid="{00000000-0005-0000-0000-000058C80000}"/>
    <cellStyle name="Normal 87 2 5" xfId="49958" xr:uid="{00000000-0005-0000-0000-000059C80000}"/>
    <cellStyle name="Normal 87 2 5 2" xfId="49959" xr:uid="{00000000-0005-0000-0000-00005AC80000}"/>
    <cellStyle name="Normal 87 2 5 3" xfId="49960" xr:uid="{00000000-0005-0000-0000-00005BC80000}"/>
    <cellStyle name="Normal 87 2 6" xfId="49961" xr:uid="{00000000-0005-0000-0000-00005CC80000}"/>
    <cellStyle name="Normal 87 2 7" xfId="49962" xr:uid="{00000000-0005-0000-0000-00005DC80000}"/>
    <cellStyle name="Normal 87 2 8" xfId="49963" xr:uid="{00000000-0005-0000-0000-00005EC80000}"/>
    <cellStyle name="Normal 87 2 9" xfId="49964" xr:uid="{00000000-0005-0000-0000-00005FC80000}"/>
    <cellStyle name="Normal 87 3" xfId="49965" xr:uid="{00000000-0005-0000-0000-000060C80000}"/>
    <cellStyle name="Normal 87 3 2" xfId="49966" xr:uid="{00000000-0005-0000-0000-000061C80000}"/>
    <cellStyle name="Normal 87 3 2 2" xfId="49967" xr:uid="{00000000-0005-0000-0000-000062C80000}"/>
    <cellStyle name="Normal 87 3 2 2 2" xfId="49968" xr:uid="{00000000-0005-0000-0000-000063C80000}"/>
    <cellStyle name="Normal 87 3 2 2 3" xfId="49969" xr:uid="{00000000-0005-0000-0000-000064C80000}"/>
    <cellStyle name="Normal 87 3 2 3" xfId="49970" xr:uid="{00000000-0005-0000-0000-000065C80000}"/>
    <cellStyle name="Normal 87 3 2 3 2" xfId="49971" xr:uid="{00000000-0005-0000-0000-000066C80000}"/>
    <cellStyle name="Normal 87 3 2 3 3" xfId="49972" xr:uid="{00000000-0005-0000-0000-000067C80000}"/>
    <cellStyle name="Normal 87 3 2 4" xfId="49973" xr:uid="{00000000-0005-0000-0000-000068C80000}"/>
    <cellStyle name="Normal 87 3 2 5" xfId="49974" xr:uid="{00000000-0005-0000-0000-000069C80000}"/>
    <cellStyle name="Normal 87 3 2 6" xfId="49975" xr:uid="{00000000-0005-0000-0000-00006AC80000}"/>
    <cellStyle name="Normal 87 3 3" xfId="49976" xr:uid="{00000000-0005-0000-0000-00006BC80000}"/>
    <cellStyle name="Normal 87 3 3 2" xfId="49977" xr:uid="{00000000-0005-0000-0000-00006CC80000}"/>
    <cellStyle name="Normal 87 3 3 3" xfId="49978" xr:uid="{00000000-0005-0000-0000-00006DC80000}"/>
    <cellStyle name="Normal 87 3 4" xfId="49979" xr:uid="{00000000-0005-0000-0000-00006EC80000}"/>
    <cellStyle name="Normal 87 3 4 2" xfId="49980" xr:uid="{00000000-0005-0000-0000-00006FC80000}"/>
    <cellStyle name="Normal 87 3 4 3" xfId="49981" xr:uid="{00000000-0005-0000-0000-000070C80000}"/>
    <cellStyle name="Normal 87 3 5" xfId="49982" xr:uid="{00000000-0005-0000-0000-000071C80000}"/>
    <cellStyle name="Normal 87 3 6" xfId="49983" xr:uid="{00000000-0005-0000-0000-000072C80000}"/>
    <cellStyle name="Normal 87 3 7" xfId="49984" xr:uid="{00000000-0005-0000-0000-000073C80000}"/>
    <cellStyle name="Normal 87 3 8" xfId="49985" xr:uid="{00000000-0005-0000-0000-000074C80000}"/>
    <cellStyle name="Normal 87 4" xfId="49986" xr:uid="{00000000-0005-0000-0000-000075C80000}"/>
    <cellStyle name="Normal 87 4 2" xfId="49987" xr:uid="{00000000-0005-0000-0000-000076C80000}"/>
    <cellStyle name="Normal 87 4 2 2" xfId="49988" xr:uid="{00000000-0005-0000-0000-000077C80000}"/>
    <cellStyle name="Normal 87 4 2 3" xfId="49989" xr:uid="{00000000-0005-0000-0000-000078C80000}"/>
    <cellStyle name="Normal 87 4 3" xfId="49990" xr:uid="{00000000-0005-0000-0000-000079C80000}"/>
    <cellStyle name="Normal 87 4 3 2" xfId="49991" xr:uid="{00000000-0005-0000-0000-00007AC80000}"/>
    <cellStyle name="Normal 87 4 3 3" xfId="49992" xr:uid="{00000000-0005-0000-0000-00007BC80000}"/>
    <cellStyle name="Normal 87 4 4" xfId="49993" xr:uid="{00000000-0005-0000-0000-00007CC80000}"/>
    <cellStyle name="Normal 87 4 5" xfId="49994" xr:uid="{00000000-0005-0000-0000-00007DC80000}"/>
    <cellStyle name="Normal 87 4 6" xfId="49995" xr:uid="{00000000-0005-0000-0000-00007EC80000}"/>
    <cellStyle name="Normal 87 5" xfId="49996" xr:uid="{00000000-0005-0000-0000-00007FC80000}"/>
    <cellStyle name="Normal 87 5 2" xfId="49997" xr:uid="{00000000-0005-0000-0000-000080C80000}"/>
    <cellStyle name="Normal 87 5 3" xfId="49998" xr:uid="{00000000-0005-0000-0000-000081C80000}"/>
    <cellStyle name="Normal 87 6" xfId="49999" xr:uid="{00000000-0005-0000-0000-000082C80000}"/>
    <cellStyle name="Normal 87 6 2" xfId="50000" xr:uid="{00000000-0005-0000-0000-000083C80000}"/>
    <cellStyle name="Normal 87 6 3" xfId="50001" xr:uid="{00000000-0005-0000-0000-000084C80000}"/>
    <cellStyle name="Normal 87 7" xfId="50002" xr:uid="{00000000-0005-0000-0000-000085C80000}"/>
    <cellStyle name="Normal 87 8" xfId="50003" xr:uid="{00000000-0005-0000-0000-000086C80000}"/>
    <cellStyle name="Normal 87 9" xfId="50004" xr:uid="{00000000-0005-0000-0000-000087C80000}"/>
    <cellStyle name="Normal 870" xfId="50005" xr:uid="{00000000-0005-0000-0000-000088C80000}"/>
    <cellStyle name="Normal 871" xfId="50006" xr:uid="{00000000-0005-0000-0000-000089C80000}"/>
    <cellStyle name="Normal 872" xfId="50007" xr:uid="{00000000-0005-0000-0000-00008AC80000}"/>
    <cellStyle name="Normal 873" xfId="50008" xr:uid="{00000000-0005-0000-0000-00008BC80000}"/>
    <cellStyle name="Normal 874" xfId="50009" xr:uid="{00000000-0005-0000-0000-00008CC80000}"/>
    <cellStyle name="Normal 875" xfId="50010" xr:uid="{00000000-0005-0000-0000-00008DC80000}"/>
    <cellStyle name="Normal 876" xfId="50011" xr:uid="{00000000-0005-0000-0000-00008EC80000}"/>
    <cellStyle name="Normal 877" xfId="50012" xr:uid="{00000000-0005-0000-0000-00008FC80000}"/>
    <cellStyle name="Normal 877 2" xfId="50013" xr:uid="{00000000-0005-0000-0000-000090C80000}"/>
    <cellStyle name="Normal 878" xfId="50014" xr:uid="{00000000-0005-0000-0000-000091C80000}"/>
    <cellStyle name="Normal 878 2" xfId="50015" xr:uid="{00000000-0005-0000-0000-000092C80000}"/>
    <cellStyle name="Normal 878 2 2" xfId="50016" xr:uid="{00000000-0005-0000-0000-000093C80000}"/>
    <cellStyle name="Normal 878 2 2 2" xfId="50017" xr:uid="{00000000-0005-0000-0000-000094C80000}"/>
    <cellStyle name="Normal 878 2 2 3" xfId="50018" xr:uid="{00000000-0005-0000-0000-000095C80000}"/>
    <cellStyle name="Normal 878 2 3" xfId="50019" xr:uid="{00000000-0005-0000-0000-000096C80000}"/>
    <cellStyle name="Normal 878 2 3 2" xfId="50020" xr:uid="{00000000-0005-0000-0000-000097C80000}"/>
    <cellStyle name="Normal 878 2 3 3" xfId="50021" xr:uid="{00000000-0005-0000-0000-000098C80000}"/>
    <cellStyle name="Normal 878 2 4" xfId="50022" xr:uid="{00000000-0005-0000-0000-000099C80000}"/>
    <cellStyle name="Normal 878 2 5" xfId="50023" xr:uid="{00000000-0005-0000-0000-00009AC80000}"/>
    <cellStyle name="Normal 878 2 6" xfId="50024" xr:uid="{00000000-0005-0000-0000-00009BC80000}"/>
    <cellStyle name="Normal 878 3" xfId="50025" xr:uid="{00000000-0005-0000-0000-00009CC80000}"/>
    <cellStyle name="Normal 878 3 2" xfId="50026" xr:uid="{00000000-0005-0000-0000-00009DC80000}"/>
    <cellStyle name="Normal 878 3 3" xfId="50027" xr:uid="{00000000-0005-0000-0000-00009EC80000}"/>
    <cellStyle name="Normal 878 4" xfId="50028" xr:uid="{00000000-0005-0000-0000-00009FC80000}"/>
    <cellStyle name="Normal 878 4 2" xfId="50029" xr:uid="{00000000-0005-0000-0000-0000A0C80000}"/>
    <cellStyle name="Normal 878 4 3" xfId="50030" xr:uid="{00000000-0005-0000-0000-0000A1C80000}"/>
    <cellStyle name="Normal 878 5" xfId="50031" xr:uid="{00000000-0005-0000-0000-0000A2C80000}"/>
    <cellStyle name="Normal 878 6" xfId="50032" xr:uid="{00000000-0005-0000-0000-0000A3C80000}"/>
    <cellStyle name="Normal 878 7" xfId="50033" xr:uid="{00000000-0005-0000-0000-0000A4C80000}"/>
    <cellStyle name="Normal 878 8" xfId="50034" xr:uid="{00000000-0005-0000-0000-0000A5C80000}"/>
    <cellStyle name="Normal 878 9" xfId="50035" xr:uid="{00000000-0005-0000-0000-0000A6C80000}"/>
    <cellStyle name="Normal 879" xfId="50036" xr:uid="{00000000-0005-0000-0000-0000A7C80000}"/>
    <cellStyle name="Normal 879 2" xfId="50037" xr:uid="{00000000-0005-0000-0000-0000A8C80000}"/>
    <cellStyle name="Normal 879 2 2" xfId="50038" xr:uid="{00000000-0005-0000-0000-0000A9C80000}"/>
    <cellStyle name="Normal 879 2 2 2" xfId="50039" xr:uid="{00000000-0005-0000-0000-0000AAC80000}"/>
    <cellStyle name="Normal 879 2 2 3" xfId="50040" xr:uid="{00000000-0005-0000-0000-0000ABC80000}"/>
    <cellStyle name="Normal 879 2 3" xfId="50041" xr:uid="{00000000-0005-0000-0000-0000ACC80000}"/>
    <cellStyle name="Normal 879 2 3 2" xfId="50042" xr:uid="{00000000-0005-0000-0000-0000ADC80000}"/>
    <cellStyle name="Normal 879 2 3 3" xfId="50043" xr:uid="{00000000-0005-0000-0000-0000AEC80000}"/>
    <cellStyle name="Normal 879 2 4" xfId="50044" xr:uid="{00000000-0005-0000-0000-0000AFC80000}"/>
    <cellStyle name="Normal 879 2 5" xfId="50045" xr:uid="{00000000-0005-0000-0000-0000B0C80000}"/>
    <cellStyle name="Normal 879 2 6" xfId="50046" xr:uid="{00000000-0005-0000-0000-0000B1C80000}"/>
    <cellStyle name="Normal 879 3" xfId="50047" xr:uid="{00000000-0005-0000-0000-0000B2C80000}"/>
    <cellStyle name="Normal 879 3 2" xfId="50048" xr:uid="{00000000-0005-0000-0000-0000B3C80000}"/>
    <cellStyle name="Normal 879 3 3" xfId="50049" xr:uid="{00000000-0005-0000-0000-0000B4C80000}"/>
    <cellStyle name="Normal 879 4" xfId="50050" xr:uid="{00000000-0005-0000-0000-0000B5C80000}"/>
    <cellStyle name="Normal 879 4 2" xfId="50051" xr:uid="{00000000-0005-0000-0000-0000B6C80000}"/>
    <cellStyle name="Normal 879 4 3" xfId="50052" xr:uid="{00000000-0005-0000-0000-0000B7C80000}"/>
    <cellStyle name="Normal 879 5" xfId="50053" xr:uid="{00000000-0005-0000-0000-0000B8C80000}"/>
    <cellStyle name="Normal 879 6" xfId="50054" xr:uid="{00000000-0005-0000-0000-0000B9C80000}"/>
    <cellStyle name="Normal 879 7" xfId="50055" xr:uid="{00000000-0005-0000-0000-0000BAC80000}"/>
    <cellStyle name="Normal 879 8" xfId="50056" xr:uid="{00000000-0005-0000-0000-0000BBC80000}"/>
    <cellStyle name="Normal 879 9" xfId="50057" xr:uid="{00000000-0005-0000-0000-0000BCC80000}"/>
    <cellStyle name="Normal 88" xfId="3595" xr:uid="{00000000-0005-0000-0000-0000BDC80000}"/>
    <cellStyle name="Normal 88 10" xfId="50058" xr:uid="{00000000-0005-0000-0000-0000BEC80000}"/>
    <cellStyle name="Normal 88 11" xfId="50059" xr:uid="{00000000-0005-0000-0000-0000BFC80000}"/>
    <cellStyle name="Normal 88 12" xfId="50060" xr:uid="{00000000-0005-0000-0000-0000C0C80000}"/>
    <cellStyle name="Normal 88 13" xfId="50061" xr:uid="{00000000-0005-0000-0000-0000C1C80000}"/>
    <cellStyle name="Normal 88 14" xfId="50062" xr:uid="{00000000-0005-0000-0000-0000C2C80000}"/>
    <cellStyle name="Normal 88 2" xfId="50063" xr:uid="{00000000-0005-0000-0000-0000C3C80000}"/>
    <cellStyle name="Normal 88 2 2" xfId="50064" xr:uid="{00000000-0005-0000-0000-0000C4C80000}"/>
    <cellStyle name="Normal 88 2 2 2" xfId="50065" xr:uid="{00000000-0005-0000-0000-0000C5C80000}"/>
    <cellStyle name="Normal 88 2 2 2 2" xfId="50066" xr:uid="{00000000-0005-0000-0000-0000C6C80000}"/>
    <cellStyle name="Normal 88 2 2 2 2 2" xfId="50067" xr:uid="{00000000-0005-0000-0000-0000C7C80000}"/>
    <cellStyle name="Normal 88 2 2 2 2 3" xfId="50068" xr:uid="{00000000-0005-0000-0000-0000C8C80000}"/>
    <cellStyle name="Normal 88 2 2 2 3" xfId="50069" xr:uid="{00000000-0005-0000-0000-0000C9C80000}"/>
    <cellStyle name="Normal 88 2 2 2 3 2" xfId="50070" xr:uid="{00000000-0005-0000-0000-0000CAC80000}"/>
    <cellStyle name="Normal 88 2 2 2 3 3" xfId="50071" xr:uid="{00000000-0005-0000-0000-0000CBC80000}"/>
    <cellStyle name="Normal 88 2 2 2 4" xfId="50072" xr:uid="{00000000-0005-0000-0000-0000CCC80000}"/>
    <cellStyle name="Normal 88 2 2 2 5" xfId="50073" xr:uid="{00000000-0005-0000-0000-0000CDC80000}"/>
    <cellStyle name="Normal 88 2 2 2 6" xfId="50074" xr:uid="{00000000-0005-0000-0000-0000CEC80000}"/>
    <cellStyle name="Normal 88 2 2 3" xfId="50075" xr:uid="{00000000-0005-0000-0000-0000CFC80000}"/>
    <cellStyle name="Normal 88 2 2 3 2" xfId="50076" xr:uid="{00000000-0005-0000-0000-0000D0C80000}"/>
    <cellStyle name="Normal 88 2 2 3 3" xfId="50077" xr:uid="{00000000-0005-0000-0000-0000D1C80000}"/>
    <cellStyle name="Normal 88 2 2 4" xfId="50078" xr:uid="{00000000-0005-0000-0000-0000D2C80000}"/>
    <cellStyle name="Normal 88 2 2 4 2" xfId="50079" xr:uid="{00000000-0005-0000-0000-0000D3C80000}"/>
    <cellStyle name="Normal 88 2 2 4 3" xfId="50080" xr:uid="{00000000-0005-0000-0000-0000D4C80000}"/>
    <cellStyle name="Normal 88 2 2 5" xfId="50081" xr:uid="{00000000-0005-0000-0000-0000D5C80000}"/>
    <cellStyle name="Normal 88 2 2 6" xfId="50082" xr:uid="{00000000-0005-0000-0000-0000D6C80000}"/>
    <cellStyle name="Normal 88 2 2 7" xfId="50083" xr:uid="{00000000-0005-0000-0000-0000D7C80000}"/>
    <cellStyle name="Normal 88 2 2 8" xfId="50084" xr:uid="{00000000-0005-0000-0000-0000D8C80000}"/>
    <cellStyle name="Normal 88 2 3" xfId="50085" xr:uid="{00000000-0005-0000-0000-0000D9C80000}"/>
    <cellStyle name="Normal 88 2 3 2" xfId="50086" xr:uid="{00000000-0005-0000-0000-0000DAC80000}"/>
    <cellStyle name="Normal 88 2 3 2 2" xfId="50087" xr:uid="{00000000-0005-0000-0000-0000DBC80000}"/>
    <cellStyle name="Normal 88 2 3 2 3" xfId="50088" xr:uid="{00000000-0005-0000-0000-0000DCC80000}"/>
    <cellStyle name="Normal 88 2 3 3" xfId="50089" xr:uid="{00000000-0005-0000-0000-0000DDC80000}"/>
    <cellStyle name="Normal 88 2 3 3 2" xfId="50090" xr:uid="{00000000-0005-0000-0000-0000DEC80000}"/>
    <cellStyle name="Normal 88 2 3 3 3" xfId="50091" xr:uid="{00000000-0005-0000-0000-0000DFC80000}"/>
    <cellStyle name="Normal 88 2 3 4" xfId="50092" xr:uid="{00000000-0005-0000-0000-0000E0C80000}"/>
    <cellStyle name="Normal 88 2 3 5" xfId="50093" xr:uid="{00000000-0005-0000-0000-0000E1C80000}"/>
    <cellStyle name="Normal 88 2 3 6" xfId="50094" xr:uid="{00000000-0005-0000-0000-0000E2C80000}"/>
    <cellStyle name="Normal 88 2 4" xfId="50095" xr:uid="{00000000-0005-0000-0000-0000E3C80000}"/>
    <cellStyle name="Normal 88 2 4 2" xfId="50096" xr:uid="{00000000-0005-0000-0000-0000E4C80000}"/>
    <cellStyle name="Normal 88 2 4 3" xfId="50097" xr:uid="{00000000-0005-0000-0000-0000E5C80000}"/>
    <cellStyle name="Normal 88 2 5" xfId="50098" xr:uid="{00000000-0005-0000-0000-0000E6C80000}"/>
    <cellStyle name="Normal 88 2 5 2" xfId="50099" xr:uid="{00000000-0005-0000-0000-0000E7C80000}"/>
    <cellStyle name="Normal 88 2 5 3" xfId="50100" xr:uid="{00000000-0005-0000-0000-0000E8C80000}"/>
    <cellStyle name="Normal 88 2 6" xfId="50101" xr:uid="{00000000-0005-0000-0000-0000E9C80000}"/>
    <cellStyle name="Normal 88 2 7" xfId="50102" xr:uid="{00000000-0005-0000-0000-0000EAC80000}"/>
    <cellStyle name="Normal 88 2 8" xfId="50103" xr:uid="{00000000-0005-0000-0000-0000EBC80000}"/>
    <cellStyle name="Normal 88 2 9" xfId="50104" xr:uid="{00000000-0005-0000-0000-0000ECC80000}"/>
    <cellStyle name="Normal 88 3" xfId="50105" xr:uid="{00000000-0005-0000-0000-0000EDC80000}"/>
    <cellStyle name="Normal 88 3 2" xfId="50106" xr:uid="{00000000-0005-0000-0000-0000EEC80000}"/>
    <cellStyle name="Normal 88 3 2 2" xfId="50107" xr:uid="{00000000-0005-0000-0000-0000EFC80000}"/>
    <cellStyle name="Normal 88 3 2 2 2" xfId="50108" xr:uid="{00000000-0005-0000-0000-0000F0C80000}"/>
    <cellStyle name="Normal 88 3 2 2 3" xfId="50109" xr:uid="{00000000-0005-0000-0000-0000F1C80000}"/>
    <cellStyle name="Normal 88 3 2 3" xfId="50110" xr:uid="{00000000-0005-0000-0000-0000F2C80000}"/>
    <cellStyle name="Normal 88 3 2 3 2" xfId="50111" xr:uid="{00000000-0005-0000-0000-0000F3C80000}"/>
    <cellStyle name="Normal 88 3 2 3 3" xfId="50112" xr:uid="{00000000-0005-0000-0000-0000F4C80000}"/>
    <cellStyle name="Normal 88 3 2 4" xfId="50113" xr:uid="{00000000-0005-0000-0000-0000F5C80000}"/>
    <cellStyle name="Normal 88 3 2 5" xfId="50114" xr:uid="{00000000-0005-0000-0000-0000F6C80000}"/>
    <cellStyle name="Normal 88 3 2 6" xfId="50115" xr:uid="{00000000-0005-0000-0000-0000F7C80000}"/>
    <cellStyle name="Normal 88 3 3" xfId="50116" xr:uid="{00000000-0005-0000-0000-0000F8C80000}"/>
    <cellStyle name="Normal 88 3 3 2" xfId="50117" xr:uid="{00000000-0005-0000-0000-0000F9C80000}"/>
    <cellStyle name="Normal 88 3 3 3" xfId="50118" xr:uid="{00000000-0005-0000-0000-0000FAC80000}"/>
    <cellStyle name="Normal 88 3 4" xfId="50119" xr:uid="{00000000-0005-0000-0000-0000FBC80000}"/>
    <cellStyle name="Normal 88 3 4 2" xfId="50120" xr:uid="{00000000-0005-0000-0000-0000FCC80000}"/>
    <cellStyle name="Normal 88 3 4 3" xfId="50121" xr:uid="{00000000-0005-0000-0000-0000FDC80000}"/>
    <cellStyle name="Normal 88 3 5" xfId="50122" xr:uid="{00000000-0005-0000-0000-0000FEC80000}"/>
    <cellStyle name="Normal 88 3 6" xfId="50123" xr:uid="{00000000-0005-0000-0000-0000FFC80000}"/>
    <cellStyle name="Normal 88 3 7" xfId="50124" xr:uid="{00000000-0005-0000-0000-000000C90000}"/>
    <cellStyle name="Normal 88 3 8" xfId="50125" xr:uid="{00000000-0005-0000-0000-000001C90000}"/>
    <cellStyle name="Normal 88 4" xfId="50126" xr:uid="{00000000-0005-0000-0000-000002C90000}"/>
    <cellStyle name="Normal 88 4 2" xfId="50127" xr:uid="{00000000-0005-0000-0000-000003C90000}"/>
    <cellStyle name="Normal 88 4 2 2" xfId="50128" xr:uid="{00000000-0005-0000-0000-000004C90000}"/>
    <cellStyle name="Normal 88 4 2 3" xfId="50129" xr:uid="{00000000-0005-0000-0000-000005C90000}"/>
    <cellStyle name="Normal 88 4 3" xfId="50130" xr:uid="{00000000-0005-0000-0000-000006C90000}"/>
    <cellStyle name="Normal 88 4 3 2" xfId="50131" xr:uid="{00000000-0005-0000-0000-000007C90000}"/>
    <cellStyle name="Normal 88 4 3 3" xfId="50132" xr:uid="{00000000-0005-0000-0000-000008C90000}"/>
    <cellStyle name="Normal 88 4 4" xfId="50133" xr:uid="{00000000-0005-0000-0000-000009C90000}"/>
    <cellStyle name="Normal 88 4 5" xfId="50134" xr:uid="{00000000-0005-0000-0000-00000AC90000}"/>
    <cellStyle name="Normal 88 4 6" xfId="50135" xr:uid="{00000000-0005-0000-0000-00000BC90000}"/>
    <cellStyle name="Normal 88 5" xfId="50136" xr:uid="{00000000-0005-0000-0000-00000CC90000}"/>
    <cellStyle name="Normal 88 5 2" xfId="50137" xr:uid="{00000000-0005-0000-0000-00000DC90000}"/>
    <cellStyle name="Normal 88 5 3" xfId="50138" xr:uid="{00000000-0005-0000-0000-00000EC90000}"/>
    <cellStyle name="Normal 88 6" xfId="50139" xr:uid="{00000000-0005-0000-0000-00000FC90000}"/>
    <cellStyle name="Normal 88 6 2" xfId="50140" xr:uid="{00000000-0005-0000-0000-000010C90000}"/>
    <cellStyle name="Normal 88 6 3" xfId="50141" xr:uid="{00000000-0005-0000-0000-000011C90000}"/>
    <cellStyle name="Normal 88 7" xfId="50142" xr:uid="{00000000-0005-0000-0000-000012C90000}"/>
    <cellStyle name="Normal 88 8" xfId="50143" xr:uid="{00000000-0005-0000-0000-000013C90000}"/>
    <cellStyle name="Normal 88 9" xfId="50144" xr:uid="{00000000-0005-0000-0000-000014C90000}"/>
    <cellStyle name="Normal 880" xfId="50145" xr:uid="{00000000-0005-0000-0000-000015C90000}"/>
    <cellStyle name="Normal 880 2" xfId="50146" xr:uid="{00000000-0005-0000-0000-000016C90000}"/>
    <cellStyle name="Normal 880 2 2" xfId="50147" xr:uid="{00000000-0005-0000-0000-000017C90000}"/>
    <cellStyle name="Normal 880 2 2 2" xfId="50148" xr:uid="{00000000-0005-0000-0000-000018C90000}"/>
    <cellStyle name="Normal 880 2 2 3" xfId="50149" xr:uid="{00000000-0005-0000-0000-000019C90000}"/>
    <cellStyle name="Normal 880 2 3" xfId="50150" xr:uid="{00000000-0005-0000-0000-00001AC90000}"/>
    <cellStyle name="Normal 880 2 3 2" xfId="50151" xr:uid="{00000000-0005-0000-0000-00001BC90000}"/>
    <cellStyle name="Normal 880 2 3 3" xfId="50152" xr:uid="{00000000-0005-0000-0000-00001CC90000}"/>
    <cellStyle name="Normal 880 2 4" xfId="50153" xr:uid="{00000000-0005-0000-0000-00001DC90000}"/>
    <cellStyle name="Normal 880 2 5" xfId="50154" xr:uid="{00000000-0005-0000-0000-00001EC90000}"/>
    <cellStyle name="Normal 880 2 6" xfId="50155" xr:uid="{00000000-0005-0000-0000-00001FC90000}"/>
    <cellStyle name="Normal 880 3" xfId="50156" xr:uid="{00000000-0005-0000-0000-000020C90000}"/>
    <cellStyle name="Normal 880 3 2" xfId="50157" xr:uid="{00000000-0005-0000-0000-000021C90000}"/>
    <cellStyle name="Normal 880 3 3" xfId="50158" xr:uid="{00000000-0005-0000-0000-000022C90000}"/>
    <cellStyle name="Normal 880 4" xfId="50159" xr:uid="{00000000-0005-0000-0000-000023C90000}"/>
    <cellStyle name="Normal 880 4 2" xfId="50160" xr:uid="{00000000-0005-0000-0000-000024C90000}"/>
    <cellStyle name="Normal 880 4 3" xfId="50161" xr:uid="{00000000-0005-0000-0000-000025C90000}"/>
    <cellStyle name="Normal 880 5" xfId="50162" xr:uid="{00000000-0005-0000-0000-000026C90000}"/>
    <cellStyle name="Normal 880 6" xfId="50163" xr:uid="{00000000-0005-0000-0000-000027C90000}"/>
    <cellStyle name="Normal 880 7" xfId="50164" xr:uid="{00000000-0005-0000-0000-000028C90000}"/>
    <cellStyle name="Normal 880 8" xfId="50165" xr:uid="{00000000-0005-0000-0000-000029C90000}"/>
    <cellStyle name="Normal 880 9" xfId="50166" xr:uid="{00000000-0005-0000-0000-00002AC90000}"/>
    <cellStyle name="Normal 881" xfId="50167" xr:uid="{00000000-0005-0000-0000-00002BC90000}"/>
    <cellStyle name="Normal 881 2" xfId="50168" xr:uid="{00000000-0005-0000-0000-00002CC90000}"/>
    <cellStyle name="Normal 881 2 2" xfId="50169" xr:uid="{00000000-0005-0000-0000-00002DC90000}"/>
    <cellStyle name="Normal 881 2 2 2" xfId="50170" xr:uid="{00000000-0005-0000-0000-00002EC90000}"/>
    <cellStyle name="Normal 881 2 2 3" xfId="50171" xr:uid="{00000000-0005-0000-0000-00002FC90000}"/>
    <cellStyle name="Normal 881 2 3" xfId="50172" xr:uid="{00000000-0005-0000-0000-000030C90000}"/>
    <cellStyle name="Normal 881 2 3 2" xfId="50173" xr:uid="{00000000-0005-0000-0000-000031C90000}"/>
    <cellStyle name="Normal 881 2 3 3" xfId="50174" xr:uid="{00000000-0005-0000-0000-000032C90000}"/>
    <cellStyle name="Normal 881 2 4" xfId="50175" xr:uid="{00000000-0005-0000-0000-000033C90000}"/>
    <cellStyle name="Normal 881 2 5" xfId="50176" xr:uid="{00000000-0005-0000-0000-000034C90000}"/>
    <cellStyle name="Normal 881 2 6" xfId="50177" xr:uid="{00000000-0005-0000-0000-000035C90000}"/>
    <cellStyle name="Normal 881 3" xfId="50178" xr:uid="{00000000-0005-0000-0000-000036C90000}"/>
    <cellStyle name="Normal 881 3 2" xfId="50179" xr:uid="{00000000-0005-0000-0000-000037C90000}"/>
    <cellStyle name="Normal 881 3 3" xfId="50180" xr:uid="{00000000-0005-0000-0000-000038C90000}"/>
    <cellStyle name="Normal 881 4" xfId="50181" xr:uid="{00000000-0005-0000-0000-000039C90000}"/>
    <cellStyle name="Normal 881 4 2" xfId="50182" xr:uid="{00000000-0005-0000-0000-00003AC90000}"/>
    <cellStyle name="Normal 881 4 3" xfId="50183" xr:uid="{00000000-0005-0000-0000-00003BC90000}"/>
    <cellStyle name="Normal 881 5" xfId="50184" xr:uid="{00000000-0005-0000-0000-00003CC90000}"/>
    <cellStyle name="Normal 881 6" xfId="50185" xr:uid="{00000000-0005-0000-0000-00003DC90000}"/>
    <cellStyle name="Normal 881 7" xfId="50186" xr:uid="{00000000-0005-0000-0000-00003EC90000}"/>
    <cellStyle name="Normal 881 8" xfId="50187" xr:uid="{00000000-0005-0000-0000-00003FC90000}"/>
    <cellStyle name="Normal 881 9" xfId="50188" xr:uid="{00000000-0005-0000-0000-000040C90000}"/>
    <cellStyle name="Normal 882" xfId="50189" xr:uid="{00000000-0005-0000-0000-000041C90000}"/>
    <cellStyle name="Normal 882 2" xfId="50190" xr:uid="{00000000-0005-0000-0000-000042C90000}"/>
    <cellStyle name="Normal 882 2 2" xfId="50191" xr:uid="{00000000-0005-0000-0000-000043C90000}"/>
    <cellStyle name="Normal 882 2 2 2" xfId="50192" xr:uid="{00000000-0005-0000-0000-000044C90000}"/>
    <cellStyle name="Normal 882 2 2 3" xfId="50193" xr:uid="{00000000-0005-0000-0000-000045C90000}"/>
    <cellStyle name="Normal 882 2 3" xfId="50194" xr:uid="{00000000-0005-0000-0000-000046C90000}"/>
    <cellStyle name="Normal 882 2 3 2" xfId="50195" xr:uid="{00000000-0005-0000-0000-000047C90000}"/>
    <cellStyle name="Normal 882 2 3 3" xfId="50196" xr:uid="{00000000-0005-0000-0000-000048C90000}"/>
    <cellStyle name="Normal 882 2 4" xfId="50197" xr:uid="{00000000-0005-0000-0000-000049C90000}"/>
    <cellStyle name="Normal 882 2 5" xfId="50198" xr:uid="{00000000-0005-0000-0000-00004AC90000}"/>
    <cellStyle name="Normal 882 2 6" xfId="50199" xr:uid="{00000000-0005-0000-0000-00004BC90000}"/>
    <cellStyle name="Normal 882 3" xfId="50200" xr:uid="{00000000-0005-0000-0000-00004CC90000}"/>
    <cellStyle name="Normal 882 3 2" xfId="50201" xr:uid="{00000000-0005-0000-0000-00004DC90000}"/>
    <cellStyle name="Normal 882 3 3" xfId="50202" xr:uid="{00000000-0005-0000-0000-00004EC90000}"/>
    <cellStyle name="Normal 882 4" xfId="50203" xr:uid="{00000000-0005-0000-0000-00004FC90000}"/>
    <cellStyle name="Normal 882 4 2" xfId="50204" xr:uid="{00000000-0005-0000-0000-000050C90000}"/>
    <cellStyle name="Normal 882 4 3" xfId="50205" xr:uid="{00000000-0005-0000-0000-000051C90000}"/>
    <cellStyle name="Normal 882 5" xfId="50206" xr:uid="{00000000-0005-0000-0000-000052C90000}"/>
    <cellStyle name="Normal 882 6" xfId="50207" xr:uid="{00000000-0005-0000-0000-000053C90000}"/>
    <cellStyle name="Normal 882 7" xfId="50208" xr:uid="{00000000-0005-0000-0000-000054C90000}"/>
    <cellStyle name="Normal 882 8" xfId="50209" xr:uid="{00000000-0005-0000-0000-000055C90000}"/>
    <cellStyle name="Normal 882 9" xfId="50210" xr:uid="{00000000-0005-0000-0000-000056C90000}"/>
    <cellStyle name="Normal 883" xfId="50211" xr:uid="{00000000-0005-0000-0000-000057C90000}"/>
    <cellStyle name="Normal 883 2" xfId="50212" xr:uid="{00000000-0005-0000-0000-000058C90000}"/>
    <cellStyle name="Normal 884" xfId="50213" xr:uid="{00000000-0005-0000-0000-000059C90000}"/>
    <cellStyle name="Normal 884 2" xfId="50214" xr:uid="{00000000-0005-0000-0000-00005AC90000}"/>
    <cellStyle name="Normal 885" xfId="50215" xr:uid="{00000000-0005-0000-0000-00005BC90000}"/>
    <cellStyle name="Normal 885 2" xfId="50216" xr:uid="{00000000-0005-0000-0000-00005CC90000}"/>
    <cellStyle name="Normal 886" xfId="50217" xr:uid="{00000000-0005-0000-0000-00005DC90000}"/>
    <cellStyle name="Normal 886 2" xfId="50218" xr:uid="{00000000-0005-0000-0000-00005EC90000}"/>
    <cellStyle name="Normal 887" xfId="50219" xr:uid="{00000000-0005-0000-0000-00005FC90000}"/>
    <cellStyle name="Normal 887 2" xfId="50220" xr:uid="{00000000-0005-0000-0000-000060C90000}"/>
    <cellStyle name="Normal 888" xfId="50221" xr:uid="{00000000-0005-0000-0000-000061C90000}"/>
    <cellStyle name="Normal 888 2" xfId="50222" xr:uid="{00000000-0005-0000-0000-000062C90000}"/>
    <cellStyle name="Normal 889" xfId="50223" xr:uid="{00000000-0005-0000-0000-000063C90000}"/>
    <cellStyle name="Normal 889 2" xfId="50224" xr:uid="{00000000-0005-0000-0000-000064C90000}"/>
    <cellStyle name="Normal 89" xfId="3596" xr:uid="{00000000-0005-0000-0000-000065C90000}"/>
    <cellStyle name="Normal 89 10" xfId="50225" xr:uid="{00000000-0005-0000-0000-000066C90000}"/>
    <cellStyle name="Normal 89 11" xfId="50226" xr:uid="{00000000-0005-0000-0000-000067C90000}"/>
    <cellStyle name="Normal 89 12" xfId="50227" xr:uid="{00000000-0005-0000-0000-000068C90000}"/>
    <cellStyle name="Normal 89 13" xfId="50228" xr:uid="{00000000-0005-0000-0000-000069C90000}"/>
    <cellStyle name="Normal 89 14" xfId="50229" xr:uid="{00000000-0005-0000-0000-00006AC90000}"/>
    <cellStyle name="Normal 89 2" xfId="50230" xr:uid="{00000000-0005-0000-0000-00006BC90000}"/>
    <cellStyle name="Normal 89 2 2" xfId="50231" xr:uid="{00000000-0005-0000-0000-00006CC90000}"/>
    <cellStyle name="Normal 89 2 2 2" xfId="50232" xr:uid="{00000000-0005-0000-0000-00006DC90000}"/>
    <cellStyle name="Normal 89 2 2 2 2" xfId="50233" xr:uid="{00000000-0005-0000-0000-00006EC90000}"/>
    <cellStyle name="Normal 89 2 2 2 2 2" xfId="50234" xr:uid="{00000000-0005-0000-0000-00006FC90000}"/>
    <cellStyle name="Normal 89 2 2 2 2 3" xfId="50235" xr:uid="{00000000-0005-0000-0000-000070C90000}"/>
    <cellStyle name="Normal 89 2 2 2 3" xfId="50236" xr:uid="{00000000-0005-0000-0000-000071C90000}"/>
    <cellStyle name="Normal 89 2 2 2 3 2" xfId="50237" xr:uid="{00000000-0005-0000-0000-000072C90000}"/>
    <cellStyle name="Normal 89 2 2 2 3 3" xfId="50238" xr:uid="{00000000-0005-0000-0000-000073C90000}"/>
    <cellStyle name="Normal 89 2 2 2 4" xfId="50239" xr:uid="{00000000-0005-0000-0000-000074C90000}"/>
    <cellStyle name="Normal 89 2 2 2 5" xfId="50240" xr:uid="{00000000-0005-0000-0000-000075C90000}"/>
    <cellStyle name="Normal 89 2 2 2 6" xfId="50241" xr:uid="{00000000-0005-0000-0000-000076C90000}"/>
    <cellStyle name="Normal 89 2 2 3" xfId="50242" xr:uid="{00000000-0005-0000-0000-000077C90000}"/>
    <cellStyle name="Normal 89 2 2 3 2" xfId="50243" xr:uid="{00000000-0005-0000-0000-000078C90000}"/>
    <cellStyle name="Normal 89 2 2 3 3" xfId="50244" xr:uid="{00000000-0005-0000-0000-000079C90000}"/>
    <cellStyle name="Normal 89 2 2 4" xfId="50245" xr:uid="{00000000-0005-0000-0000-00007AC90000}"/>
    <cellStyle name="Normal 89 2 2 4 2" xfId="50246" xr:uid="{00000000-0005-0000-0000-00007BC90000}"/>
    <cellStyle name="Normal 89 2 2 4 3" xfId="50247" xr:uid="{00000000-0005-0000-0000-00007CC90000}"/>
    <cellStyle name="Normal 89 2 2 5" xfId="50248" xr:uid="{00000000-0005-0000-0000-00007DC90000}"/>
    <cellStyle name="Normal 89 2 2 6" xfId="50249" xr:uid="{00000000-0005-0000-0000-00007EC90000}"/>
    <cellStyle name="Normal 89 2 2 7" xfId="50250" xr:uid="{00000000-0005-0000-0000-00007FC90000}"/>
    <cellStyle name="Normal 89 2 2 8" xfId="50251" xr:uid="{00000000-0005-0000-0000-000080C90000}"/>
    <cellStyle name="Normal 89 2 3" xfId="50252" xr:uid="{00000000-0005-0000-0000-000081C90000}"/>
    <cellStyle name="Normal 89 2 3 2" xfId="50253" xr:uid="{00000000-0005-0000-0000-000082C90000}"/>
    <cellStyle name="Normal 89 2 3 2 2" xfId="50254" xr:uid="{00000000-0005-0000-0000-000083C90000}"/>
    <cellStyle name="Normal 89 2 3 2 3" xfId="50255" xr:uid="{00000000-0005-0000-0000-000084C90000}"/>
    <cellStyle name="Normal 89 2 3 3" xfId="50256" xr:uid="{00000000-0005-0000-0000-000085C90000}"/>
    <cellStyle name="Normal 89 2 3 3 2" xfId="50257" xr:uid="{00000000-0005-0000-0000-000086C90000}"/>
    <cellStyle name="Normal 89 2 3 3 3" xfId="50258" xr:uid="{00000000-0005-0000-0000-000087C90000}"/>
    <cellStyle name="Normal 89 2 3 4" xfId="50259" xr:uid="{00000000-0005-0000-0000-000088C90000}"/>
    <cellStyle name="Normal 89 2 3 5" xfId="50260" xr:uid="{00000000-0005-0000-0000-000089C90000}"/>
    <cellStyle name="Normal 89 2 3 6" xfId="50261" xr:uid="{00000000-0005-0000-0000-00008AC90000}"/>
    <cellStyle name="Normal 89 2 4" xfId="50262" xr:uid="{00000000-0005-0000-0000-00008BC90000}"/>
    <cellStyle name="Normal 89 2 4 2" xfId="50263" xr:uid="{00000000-0005-0000-0000-00008CC90000}"/>
    <cellStyle name="Normal 89 2 4 3" xfId="50264" xr:uid="{00000000-0005-0000-0000-00008DC90000}"/>
    <cellStyle name="Normal 89 2 5" xfId="50265" xr:uid="{00000000-0005-0000-0000-00008EC90000}"/>
    <cellStyle name="Normal 89 2 5 2" xfId="50266" xr:uid="{00000000-0005-0000-0000-00008FC90000}"/>
    <cellStyle name="Normal 89 2 5 3" xfId="50267" xr:uid="{00000000-0005-0000-0000-000090C90000}"/>
    <cellStyle name="Normal 89 2 6" xfId="50268" xr:uid="{00000000-0005-0000-0000-000091C90000}"/>
    <cellStyle name="Normal 89 2 7" xfId="50269" xr:uid="{00000000-0005-0000-0000-000092C90000}"/>
    <cellStyle name="Normal 89 2 8" xfId="50270" xr:uid="{00000000-0005-0000-0000-000093C90000}"/>
    <cellStyle name="Normal 89 2 9" xfId="50271" xr:uid="{00000000-0005-0000-0000-000094C90000}"/>
    <cellStyle name="Normal 89 3" xfId="50272" xr:uid="{00000000-0005-0000-0000-000095C90000}"/>
    <cellStyle name="Normal 89 3 2" xfId="50273" xr:uid="{00000000-0005-0000-0000-000096C90000}"/>
    <cellStyle name="Normal 89 3 2 2" xfId="50274" xr:uid="{00000000-0005-0000-0000-000097C90000}"/>
    <cellStyle name="Normal 89 3 2 2 2" xfId="50275" xr:uid="{00000000-0005-0000-0000-000098C90000}"/>
    <cellStyle name="Normal 89 3 2 2 3" xfId="50276" xr:uid="{00000000-0005-0000-0000-000099C90000}"/>
    <cellStyle name="Normal 89 3 2 3" xfId="50277" xr:uid="{00000000-0005-0000-0000-00009AC90000}"/>
    <cellStyle name="Normal 89 3 2 3 2" xfId="50278" xr:uid="{00000000-0005-0000-0000-00009BC90000}"/>
    <cellStyle name="Normal 89 3 2 3 3" xfId="50279" xr:uid="{00000000-0005-0000-0000-00009CC90000}"/>
    <cellStyle name="Normal 89 3 2 4" xfId="50280" xr:uid="{00000000-0005-0000-0000-00009DC90000}"/>
    <cellStyle name="Normal 89 3 2 5" xfId="50281" xr:uid="{00000000-0005-0000-0000-00009EC90000}"/>
    <cellStyle name="Normal 89 3 2 6" xfId="50282" xr:uid="{00000000-0005-0000-0000-00009FC90000}"/>
    <cellStyle name="Normal 89 3 3" xfId="50283" xr:uid="{00000000-0005-0000-0000-0000A0C90000}"/>
    <cellStyle name="Normal 89 3 3 2" xfId="50284" xr:uid="{00000000-0005-0000-0000-0000A1C90000}"/>
    <cellStyle name="Normal 89 3 3 3" xfId="50285" xr:uid="{00000000-0005-0000-0000-0000A2C90000}"/>
    <cellStyle name="Normal 89 3 4" xfId="50286" xr:uid="{00000000-0005-0000-0000-0000A3C90000}"/>
    <cellStyle name="Normal 89 3 4 2" xfId="50287" xr:uid="{00000000-0005-0000-0000-0000A4C90000}"/>
    <cellStyle name="Normal 89 3 4 3" xfId="50288" xr:uid="{00000000-0005-0000-0000-0000A5C90000}"/>
    <cellStyle name="Normal 89 3 5" xfId="50289" xr:uid="{00000000-0005-0000-0000-0000A6C90000}"/>
    <cellStyle name="Normal 89 3 6" xfId="50290" xr:uid="{00000000-0005-0000-0000-0000A7C90000}"/>
    <cellStyle name="Normal 89 3 7" xfId="50291" xr:uid="{00000000-0005-0000-0000-0000A8C90000}"/>
    <cellStyle name="Normal 89 3 8" xfId="50292" xr:uid="{00000000-0005-0000-0000-0000A9C90000}"/>
    <cellStyle name="Normal 89 4" xfId="50293" xr:uid="{00000000-0005-0000-0000-0000AAC90000}"/>
    <cellStyle name="Normal 89 4 2" xfId="50294" xr:uid="{00000000-0005-0000-0000-0000ABC90000}"/>
    <cellStyle name="Normal 89 4 2 2" xfId="50295" xr:uid="{00000000-0005-0000-0000-0000ACC90000}"/>
    <cellStyle name="Normal 89 4 2 3" xfId="50296" xr:uid="{00000000-0005-0000-0000-0000ADC90000}"/>
    <cellStyle name="Normal 89 4 3" xfId="50297" xr:uid="{00000000-0005-0000-0000-0000AEC90000}"/>
    <cellStyle name="Normal 89 4 3 2" xfId="50298" xr:uid="{00000000-0005-0000-0000-0000AFC90000}"/>
    <cellStyle name="Normal 89 4 3 3" xfId="50299" xr:uid="{00000000-0005-0000-0000-0000B0C90000}"/>
    <cellStyle name="Normal 89 4 4" xfId="50300" xr:uid="{00000000-0005-0000-0000-0000B1C90000}"/>
    <cellStyle name="Normal 89 4 5" xfId="50301" xr:uid="{00000000-0005-0000-0000-0000B2C90000}"/>
    <cellStyle name="Normal 89 4 6" xfId="50302" xr:uid="{00000000-0005-0000-0000-0000B3C90000}"/>
    <cellStyle name="Normal 89 5" xfId="50303" xr:uid="{00000000-0005-0000-0000-0000B4C90000}"/>
    <cellStyle name="Normal 89 5 2" xfId="50304" xr:uid="{00000000-0005-0000-0000-0000B5C90000}"/>
    <cellStyle name="Normal 89 5 3" xfId="50305" xr:uid="{00000000-0005-0000-0000-0000B6C90000}"/>
    <cellStyle name="Normal 89 6" xfId="50306" xr:uid="{00000000-0005-0000-0000-0000B7C90000}"/>
    <cellStyle name="Normal 89 6 2" xfId="50307" xr:uid="{00000000-0005-0000-0000-0000B8C90000}"/>
    <cellStyle name="Normal 89 6 3" xfId="50308" xr:uid="{00000000-0005-0000-0000-0000B9C90000}"/>
    <cellStyle name="Normal 89 7" xfId="50309" xr:uid="{00000000-0005-0000-0000-0000BAC90000}"/>
    <cellStyle name="Normal 89 8" xfId="50310" xr:uid="{00000000-0005-0000-0000-0000BBC90000}"/>
    <cellStyle name="Normal 89 9" xfId="50311" xr:uid="{00000000-0005-0000-0000-0000BCC90000}"/>
    <cellStyle name="Normal 890" xfId="50312" xr:uid="{00000000-0005-0000-0000-0000BDC90000}"/>
    <cellStyle name="Normal 890 2" xfId="50313" xr:uid="{00000000-0005-0000-0000-0000BEC90000}"/>
    <cellStyle name="Normal 891" xfId="50314" xr:uid="{00000000-0005-0000-0000-0000BFC90000}"/>
    <cellStyle name="Normal 892" xfId="50315" xr:uid="{00000000-0005-0000-0000-0000C0C90000}"/>
    <cellStyle name="Normal 893" xfId="50316" xr:uid="{00000000-0005-0000-0000-0000C1C90000}"/>
    <cellStyle name="Normal 894" xfId="50317" xr:uid="{00000000-0005-0000-0000-0000C2C90000}"/>
    <cellStyle name="Normal 895" xfId="50318" xr:uid="{00000000-0005-0000-0000-0000C3C90000}"/>
    <cellStyle name="Normal 896" xfId="50319" xr:uid="{00000000-0005-0000-0000-0000C4C90000}"/>
    <cellStyle name="Normal 897" xfId="50320" xr:uid="{00000000-0005-0000-0000-0000C5C90000}"/>
    <cellStyle name="Normal 898" xfId="50321" xr:uid="{00000000-0005-0000-0000-0000C6C90000}"/>
    <cellStyle name="Normal 899" xfId="50322" xr:uid="{00000000-0005-0000-0000-0000C7C90000}"/>
    <cellStyle name="Normal 9" xfId="3597" xr:uid="{00000000-0005-0000-0000-0000C8C90000}"/>
    <cellStyle name="Normal 9 10" xfId="50323" xr:uid="{00000000-0005-0000-0000-0000C9C90000}"/>
    <cellStyle name="Normal 9 11" xfId="50324" xr:uid="{00000000-0005-0000-0000-0000CAC90000}"/>
    <cellStyle name="Normal 9 2" xfId="3598" xr:uid="{00000000-0005-0000-0000-0000CBC90000}"/>
    <cellStyle name="Normal 9 2 2" xfId="50325" xr:uid="{00000000-0005-0000-0000-0000CCC90000}"/>
    <cellStyle name="Normal 9 2 3" xfId="50326" xr:uid="{00000000-0005-0000-0000-0000CDC90000}"/>
    <cellStyle name="Normal 9 2 4" xfId="50327" xr:uid="{00000000-0005-0000-0000-0000CEC90000}"/>
    <cellStyle name="Normal 9 3" xfId="3599" xr:uid="{00000000-0005-0000-0000-0000CFC90000}"/>
    <cellStyle name="Normal 9 4" xfId="50328" xr:uid="{00000000-0005-0000-0000-0000D0C90000}"/>
    <cellStyle name="Normal 9 5" xfId="50329" xr:uid="{00000000-0005-0000-0000-0000D1C90000}"/>
    <cellStyle name="Normal 9 5 2" xfId="50330" xr:uid="{00000000-0005-0000-0000-0000D2C90000}"/>
    <cellStyle name="Normal 9 6" xfId="50331" xr:uid="{00000000-0005-0000-0000-0000D3C90000}"/>
    <cellStyle name="Normal 9 6 2" xfId="50332" xr:uid="{00000000-0005-0000-0000-0000D4C90000}"/>
    <cellStyle name="Normal 9 7" xfId="50333" xr:uid="{00000000-0005-0000-0000-0000D5C90000}"/>
    <cellStyle name="Normal 9 7 2" xfId="50334" xr:uid="{00000000-0005-0000-0000-0000D6C90000}"/>
    <cellStyle name="Normal 9 8" xfId="50335" xr:uid="{00000000-0005-0000-0000-0000D7C90000}"/>
    <cellStyle name="Normal 9 9" xfId="50336" xr:uid="{00000000-0005-0000-0000-0000D8C90000}"/>
    <cellStyle name="Normal 90" xfId="3600" xr:uid="{00000000-0005-0000-0000-0000D9C90000}"/>
    <cellStyle name="Normal 90 10" xfId="50337" xr:uid="{00000000-0005-0000-0000-0000DAC90000}"/>
    <cellStyle name="Normal 90 11" xfId="50338" xr:uid="{00000000-0005-0000-0000-0000DBC90000}"/>
    <cellStyle name="Normal 90 12" xfId="50339" xr:uid="{00000000-0005-0000-0000-0000DCC90000}"/>
    <cellStyle name="Normal 90 13" xfId="50340" xr:uid="{00000000-0005-0000-0000-0000DDC90000}"/>
    <cellStyle name="Normal 90 14" xfId="50341" xr:uid="{00000000-0005-0000-0000-0000DEC90000}"/>
    <cellStyle name="Normal 90 2" xfId="50342" xr:uid="{00000000-0005-0000-0000-0000DFC90000}"/>
    <cellStyle name="Normal 90 2 2" xfId="50343" xr:uid="{00000000-0005-0000-0000-0000E0C90000}"/>
    <cellStyle name="Normal 90 2 2 2" xfId="50344" xr:uid="{00000000-0005-0000-0000-0000E1C90000}"/>
    <cellStyle name="Normal 90 2 2 2 2" xfId="50345" xr:uid="{00000000-0005-0000-0000-0000E2C90000}"/>
    <cellStyle name="Normal 90 2 2 2 2 2" xfId="50346" xr:uid="{00000000-0005-0000-0000-0000E3C90000}"/>
    <cellStyle name="Normal 90 2 2 2 2 3" xfId="50347" xr:uid="{00000000-0005-0000-0000-0000E4C90000}"/>
    <cellStyle name="Normal 90 2 2 2 3" xfId="50348" xr:uid="{00000000-0005-0000-0000-0000E5C90000}"/>
    <cellStyle name="Normal 90 2 2 2 3 2" xfId="50349" xr:uid="{00000000-0005-0000-0000-0000E6C90000}"/>
    <cellStyle name="Normal 90 2 2 2 3 3" xfId="50350" xr:uid="{00000000-0005-0000-0000-0000E7C90000}"/>
    <cellStyle name="Normal 90 2 2 2 4" xfId="50351" xr:uid="{00000000-0005-0000-0000-0000E8C90000}"/>
    <cellStyle name="Normal 90 2 2 2 5" xfId="50352" xr:uid="{00000000-0005-0000-0000-0000E9C90000}"/>
    <cellStyle name="Normal 90 2 2 2 6" xfId="50353" xr:uid="{00000000-0005-0000-0000-0000EAC90000}"/>
    <cellStyle name="Normal 90 2 2 3" xfId="50354" xr:uid="{00000000-0005-0000-0000-0000EBC90000}"/>
    <cellStyle name="Normal 90 2 2 3 2" xfId="50355" xr:uid="{00000000-0005-0000-0000-0000ECC90000}"/>
    <cellStyle name="Normal 90 2 2 3 3" xfId="50356" xr:uid="{00000000-0005-0000-0000-0000EDC90000}"/>
    <cellStyle name="Normal 90 2 2 4" xfId="50357" xr:uid="{00000000-0005-0000-0000-0000EEC90000}"/>
    <cellStyle name="Normal 90 2 2 4 2" xfId="50358" xr:uid="{00000000-0005-0000-0000-0000EFC90000}"/>
    <cellStyle name="Normal 90 2 2 4 3" xfId="50359" xr:uid="{00000000-0005-0000-0000-0000F0C90000}"/>
    <cellStyle name="Normal 90 2 2 5" xfId="50360" xr:uid="{00000000-0005-0000-0000-0000F1C90000}"/>
    <cellStyle name="Normal 90 2 2 6" xfId="50361" xr:uid="{00000000-0005-0000-0000-0000F2C90000}"/>
    <cellStyle name="Normal 90 2 2 7" xfId="50362" xr:uid="{00000000-0005-0000-0000-0000F3C90000}"/>
    <cellStyle name="Normal 90 2 2 8" xfId="50363" xr:uid="{00000000-0005-0000-0000-0000F4C90000}"/>
    <cellStyle name="Normal 90 2 3" xfId="50364" xr:uid="{00000000-0005-0000-0000-0000F5C90000}"/>
    <cellStyle name="Normal 90 2 3 2" xfId="50365" xr:uid="{00000000-0005-0000-0000-0000F6C90000}"/>
    <cellStyle name="Normal 90 2 3 2 2" xfId="50366" xr:uid="{00000000-0005-0000-0000-0000F7C90000}"/>
    <cellStyle name="Normal 90 2 3 2 3" xfId="50367" xr:uid="{00000000-0005-0000-0000-0000F8C90000}"/>
    <cellStyle name="Normal 90 2 3 3" xfId="50368" xr:uid="{00000000-0005-0000-0000-0000F9C90000}"/>
    <cellStyle name="Normal 90 2 3 3 2" xfId="50369" xr:uid="{00000000-0005-0000-0000-0000FAC90000}"/>
    <cellStyle name="Normal 90 2 3 3 3" xfId="50370" xr:uid="{00000000-0005-0000-0000-0000FBC90000}"/>
    <cellStyle name="Normal 90 2 3 4" xfId="50371" xr:uid="{00000000-0005-0000-0000-0000FCC90000}"/>
    <cellStyle name="Normal 90 2 3 5" xfId="50372" xr:uid="{00000000-0005-0000-0000-0000FDC90000}"/>
    <cellStyle name="Normal 90 2 3 6" xfId="50373" xr:uid="{00000000-0005-0000-0000-0000FEC90000}"/>
    <cellStyle name="Normal 90 2 4" xfId="50374" xr:uid="{00000000-0005-0000-0000-0000FFC90000}"/>
    <cellStyle name="Normal 90 2 4 2" xfId="50375" xr:uid="{00000000-0005-0000-0000-000000CA0000}"/>
    <cellStyle name="Normal 90 2 4 3" xfId="50376" xr:uid="{00000000-0005-0000-0000-000001CA0000}"/>
    <cellStyle name="Normal 90 2 5" xfId="50377" xr:uid="{00000000-0005-0000-0000-000002CA0000}"/>
    <cellStyle name="Normal 90 2 5 2" xfId="50378" xr:uid="{00000000-0005-0000-0000-000003CA0000}"/>
    <cellStyle name="Normal 90 2 5 3" xfId="50379" xr:uid="{00000000-0005-0000-0000-000004CA0000}"/>
    <cellStyle name="Normal 90 2 6" xfId="50380" xr:uid="{00000000-0005-0000-0000-000005CA0000}"/>
    <cellStyle name="Normal 90 2 7" xfId="50381" xr:uid="{00000000-0005-0000-0000-000006CA0000}"/>
    <cellStyle name="Normal 90 2 8" xfId="50382" xr:uid="{00000000-0005-0000-0000-000007CA0000}"/>
    <cellStyle name="Normal 90 2 9" xfId="50383" xr:uid="{00000000-0005-0000-0000-000008CA0000}"/>
    <cellStyle name="Normal 90 3" xfId="50384" xr:uid="{00000000-0005-0000-0000-000009CA0000}"/>
    <cellStyle name="Normal 90 3 2" xfId="50385" xr:uid="{00000000-0005-0000-0000-00000ACA0000}"/>
    <cellStyle name="Normal 90 3 2 2" xfId="50386" xr:uid="{00000000-0005-0000-0000-00000BCA0000}"/>
    <cellStyle name="Normal 90 3 2 2 2" xfId="50387" xr:uid="{00000000-0005-0000-0000-00000CCA0000}"/>
    <cellStyle name="Normal 90 3 2 2 3" xfId="50388" xr:uid="{00000000-0005-0000-0000-00000DCA0000}"/>
    <cellStyle name="Normal 90 3 2 3" xfId="50389" xr:uid="{00000000-0005-0000-0000-00000ECA0000}"/>
    <cellStyle name="Normal 90 3 2 3 2" xfId="50390" xr:uid="{00000000-0005-0000-0000-00000FCA0000}"/>
    <cellStyle name="Normal 90 3 2 3 3" xfId="50391" xr:uid="{00000000-0005-0000-0000-000010CA0000}"/>
    <cellStyle name="Normal 90 3 2 4" xfId="50392" xr:uid="{00000000-0005-0000-0000-000011CA0000}"/>
    <cellStyle name="Normal 90 3 2 5" xfId="50393" xr:uid="{00000000-0005-0000-0000-000012CA0000}"/>
    <cellStyle name="Normal 90 3 2 6" xfId="50394" xr:uid="{00000000-0005-0000-0000-000013CA0000}"/>
    <cellStyle name="Normal 90 3 3" xfId="50395" xr:uid="{00000000-0005-0000-0000-000014CA0000}"/>
    <cellStyle name="Normal 90 3 3 2" xfId="50396" xr:uid="{00000000-0005-0000-0000-000015CA0000}"/>
    <cellStyle name="Normal 90 3 3 3" xfId="50397" xr:uid="{00000000-0005-0000-0000-000016CA0000}"/>
    <cellStyle name="Normal 90 3 4" xfId="50398" xr:uid="{00000000-0005-0000-0000-000017CA0000}"/>
    <cellStyle name="Normal 90 3 4 2" xfId="50399" xr:uid="{00000000-0005-0000-0000-000018CA0000}"/>
    <cellStyle name="Normal 90 3 4 3" xfId="50400" xr:uid="{00000000-0005-0000-0000-000019CA0000}"/>
    <cellStyle name="Normal 90 3 5" xfId="50401" xr:uid="{00000000-0005-0000-0000-00001ACA0000}"/>
    <cellStyle name="Normal 90 3 6" xfId="50402" xr:uid="{00000000-0005-0000-0000-00001BCA0000}"/>
    <cellStyle name="Normal 90 3 7" xfId="50403" xr:uid="{00000000-0005-0000-0000-00001CCA0000}"/>
    <cellStyle name="Normal 90 3 8" xfId="50404" xr:uid="{00000000-0005-0000-0000-00001DCA0000}"/>
    <cellStyle name="Normal 90 4" xfId="50405" xr:uid="{00000000-0005-0000-0000-00001ECA0000}"/>
    <cellStyle name="Normal 90 4 2" xfId="50406" xr:uid="{00000000-0005-0000-0000-00001FCA0000}"/>
    <cellStyle name="Normal 90 4 2 2" xfId="50407" xr:uid="{00000000-0005-0000-0000-000020CA0000}"/>
    <cellStyle name="Normal 90 4 2 3" xfId="50408" xr:uid="{00000000-0005-0000-0000-000021CA0000}"/>
    <cellStyle name="Normal 90 4 3" xfId="50409" xr:uid="{00000000-0005-0000-0000-000022CA0000}"/>
    <cellStyle name="Normal 90 4 3 2" xfId="50410" xr:uid="{00000000-0005-0000-0000-000023CA0000}"/>
    <cellStyle name="Normal 90 4 3 3" xfId="50411" xr:uid="{00000000-0005-0000-0000-000024CA0000}"/>
    <cellStyle name="Normal 90 4 4" xfId="50412" xr:uid="{00000000-0005-0000-0000-000025CA0000}"/>
    <cellStyle name="Normal 90 4 5" xfId="50413" xr:uid="{00000000-0005-0000-0000-000026CA0000}"/>
    <cellStyle name="Normal 90 4 6" xfId="50414" xr:uid="{00000000-0005-0000-0000-000027CA0000}"/>
    <cellStyle name="Normal 90 5" xfId="50415" xr:uid="{00000000-0005-0000-0000-000028CA0000}"/>
    <cellStyle name="Normal 90 5 2" xfId="50416" xr:uid="{00000000-0005-0000-0000-000029CA0000}"/>
    <cellStyle name="Normal 90 5 3" xfId="50417" xr:uid="{00000000-0005-0000-0000-00002ACA0000}"/>
    <cellStyle name="Normal 90 6" xfId="50418" xr:uid="{00000000-0005-0000-0000-00002BCA0000}"/>
    <cellStyle name="Normal 90 6 2" xfId="50419" xr:uid="{00000000-0005-0000-0000-00002CCA0000}"/>
    <cellStyle name="Normal 90 6 3" xfId="50420" xr:uid="{00000000-0005-0000-0000-00002DCA0000}"/>
    <cellStyle name="Normal 90 7" xfId="50421" xr:uid="{00000000-0005-0000-0000-00002ECA0000}"/>
    <cellStyle name="Normal 90 8" xfId="50422" xr:uid="{00000000-0005-0000-0000-00002FCA0000}"/>
    <cellStyle name="Normal 90 9" xfId="50423" xr:uid="{00000000-0005-0000-0000-000030CA0000}"/>
    <cellStyle name="Normal 900" xfId="50424" xr:uid="{00000000-0005-0000-0000-000031CA0000}"/>
    <cellStyle name="Normal 901" xfId="50425" xr:uid="{00000000-0005-0000-0000-000032CA0000}"/>
    <cellStyle name="Normal 902" xfId="50426" xr:uid="{00000000-0005-0000-0000-000033CA0000}"/>
    <cellStyle name="Normal 903" xfId="50427" xr:uid="{00000000-0005-0000-0000-000034CA0000}"/>
    <cellStyle name="Normal 904" xfId="50428" xr:uid="{00000000-0005-0000-0000-000035CA0000}"/>
    <cellStyle name="Normal 905" xfId="50429" xr:uid="{00000000-0005-0000-0000-000036CA0000}"/>
    <cellStyle name="Normal 905 2" xfId="50430" xr:uid="{00000000-0005-0000-0000-000037CA0000}"/>
    <cellStyle name="Normal 906" xfId="50431" xr:uid="{00000000-0005-0000-0000-000038CA0000}"/>
    <cellStyle name="Normal 907" xfId="50432" xr:uid="{00000000-0005-0000-0000-000039CA0000}"/>
    <cellStyle name="Normal 908" xfId="50433" xr:uid="{00000000-0005-0000-0000-00003ACA0000}"/>
    <cellStyle name="Normal 909" xfId="50434" xr:uid="{00000000-0005-0000-0000-00003BCA0000}"/>
    <cellStyle name="Normal 91" xfId="3601" xr:uid="{00000000-0005-0000-0000-00003CCA0000}"/>
    <cellStyle name="Normal 91 10" xfId="50435" xr:uid="{00000000-0005-0000-0000-00003DCA0000}"/>
    <cellStyle name="Normal 91 11" xfId="50436" xr:uid="{00000000-0005-0000-0000-00003ECA0000}"/>
    <cellStyle name="Normal 91 12" xfId="50437" xr:uid="{00000000-0005-0000-0000-00003FCA0000}"/>
    <cellStyle name="Normal 91 13" xfId="50438" xr:uid="{00000000-0005-0000-0000-000040CA0000}"/>
    <cellStyle name="Normal 91 14" xfId="50439" xr:uid="{00000000-0005-0000-0000-000041CA0000}"/>
    <cellStyle name="Normal 91 2" xfId="50440" xr:uid="{00000000-0005-0000-0000-000042CA0000}"/>
    <cellStyle name="Normal 91 2 2" xfId="50441" xr:uid="{00000000-0005-0000-0000-000043CA0000}"/>
    <cellStyle name="Normal 91 2 2 2" xfId="50442" xr:uid="{00000000-0005-0000-0000-000044CA0000}"/>
    <cellStyle name="Normal 91 2 2 2 2" xfId="50443" xr:uid="{00000000-0005-0000-0000-000045CA0000}"/>
    <cellStyle name="Normal 91 2 2 2 2 2" xfId="50444" xr:uid="{00000000-0005-0000-0000-000046CA0000}"/>
    <cellStyle name="Normal 91 2 2 2 2 3" xfId="50445" xr:uid="{00000000-0005-0000-0000-000047CA0000}"/>
    <cellStyle name="Normal 91 2 2 2 3" xfId="50446" xr:uid="{00000000-0005-0000-0000-000048CA0000}"/>
    <cellStyle name="Normal 91 2 2 2 3 2" xfId="50447" xr:uid="{00000000-0005-0000-0000-000049CA0000}"/>
    <cellStyle name="Normal 91 2 2 2 3 3" xfId="50448" xr:uid="{00000000-0005-0000-0000-00004ACA0000}"/>
    <cellStyle name="Normal 91 2 2 2 4" xfId="50449" xr:uid="{00000000-0005-0000-0000-00004BCA0000}"/>
    <cellStyle name="Normal 91 2 2 2 5" xfId="50450" xr:uid="{00000000-0005-0000-0000-00004CCA0000}"/>
    <cellStyle name="Normal 91 2 2 2 6" xfId="50451" xr:uid="{00000000-0005-0000-0000-00004DCA0000}"/>
    <cellStyle name="Normal 91 2 2 3" xfId="50452" xr:uid="{00000000-0005-0000-0000-00004ECA0000}"/>
    <cellStyle name="Normal 91 2 2 3 2" xfId="50453" xr:uid="{00000000-0005-0000-0000-00004FCA0000}"/>
    <cellStyle name="Normal 91 2 2 3 3" xfId="50454" xr:uid="{00000000-0005-0000-0000-000050CA0000}"/>
    <cellStyle name="Normal 91 2 2 4" xfId="50455" xr:uid="{00000000-0005-0000-0000-000051CA0000}"/>
    <cellStyle name="Normal 91 2 2 4 2" xfId="50456" xr:uid="{00000000-0005-0000-0000-000052CA0000}"/>
    <cellStyle name="Normal 91 2 2 4 3" xfId="50457" xr:uid="{00000000-0005-0000-0000-000053CA0000}"/>
    <cellStyle name="Normal 91 2 2 5" xfId="50458" xr:uid="{00000000-0005-0000-0000-000054CA0000}"/>
    <cellStyle name="Normal 91 2 2 6" xfId="50459" xr:uid="{00000000-0005-0000-0000-000055CA0000}"/>
    <cellStyle name="Normal 91 2 2 7" xfId="50460" xr:uid="{00000000-0005-0000-0000-000056CA0000}"/>
    <cellStyle name="Normal 91 2 2 8" xfId="50461" xr:uid="{00000000-0005-0000-0000-000057CA0000}"/>
    <cellStyle name="Normal 91 2 3" xfId="50462" xr:uid="{00000000-0005-0000-0000-000058CA0000}"/>
    <cellStyle name="Normal 91 2 3 2" xfId="50463" xr:uid="{00000000-0005-0000-0000-000059CA0000}"/>
    <cellStyle name="Normal 91 2 3 2 2" xfId="50464" xr:uid="{00000000-0005-0000-0000-00005ACA0000}"/>
    <cellStyle name="Normal 91 2 3 2 3" xfId="50465" xr:uid="{00000000-0005-0000-0000-00005BCA0000}"/>
    <cellStyle name="Normal 91 2 3 3" xfId="50466" xr:uid="{00000000-0005-0000-0000-00005CCA0000}"/>
    <cellStyle name="Normal 91 2 3 3 2" xfId="50467" xr:uid="{00000000-0005-0000-0000-00005DCA0000}"/>
    <cellStyle name="Normal 91 2 3 3 3" xfId="50468" xr:uid="{00000000-0005-0000-0000-00005ECA0000}"/>
    <cellStyle name="Normal 91 2 3 4" xfId="50469" xr:uid="{00000000-0005-0000-0000-00005FCA0000}"/>
    <cellStyle name="Normal 91 2 3 5" xfId="50470" xr:uid="{00000000-0005-0000-0000-000060CA0000}"/>
    <cellStyle name="Normal 91 2 3 6" xfId="50471" xr:uid="{00000000-0005-0000-0000-000061CA0000}"/>
    <cellStyle name="Normal 91 2 4" xfId="50472" xr:uid="{00000000-0005-0000-0000-000062CA0000}"/>
    <cellStyle name="Normal 91 2 4 2" xfId="50473" xr:uid="{00000000-0005-0000-0000-000063CA0000}"/>
    <cellStyle name="Normal 91 2 4 3" xfId="50474" xr:uid="{00000000-0005-0000-0000-000064CA0000}"/>
    <cellStyle name="Normal 91 2 5" xfId="50475" xr:uid="{00000000-0005-0000-0000-000065CA0000}"/>
    <cellStyle name="Normal 91 2 5 2" xfId="50476" xr:uid="{00000000-0005-0000-0000-000066CA0000}"/>
    <cellStyle name="Normal 91 2 5 3" xfId="50477" xr:uid="{00000000-0005-0000-0000-000067CA0000}"/>
    <cellStyle name="Normal 91 2 6" xfId="50478" xr:uid="{00000000-0005-0000-0000-000068CA0000}"/>
    <cellStyle name="Normal 91 2 7" xfId="50479" xr:uid="{00000000-0005-0000-0000-000069CA0000}"/>
    <cellStyle name="Normal 91 2 8" xfId="50480" xr:uid="{00000000-0005-0000-0000-00006ACA0000}"/>
    <cellStyle name="Normal 91 2 9" xfId="50481" xr:uid="{00000000-0005-0000-0000-00006BCA0000}"/>
    <cellStyle name="Normal 91 3" xfId="50482" xr:uid="{00000000-0005-0000-0000-00006CCA0000}"/>
    <cellStyle name="Normal 91 3 2" xfId="50483" xr:uid="{00000000-0005-0000-0000-00006DCA0000}"/>
    <cellStyle name="Normal 91 3 2 2" xfId="50484" xr:uid="{00000000-0005-0000-0000-00006ECA0000}"/>
    <cellStyle name="Normal 91 3 2 2 2" xfId="50485" xr:uid="{00000000-0005-0000-0000-00006FCA0000}"/>
    <cellStyle name="Normal 91 3 2 2 3" xfId="50486" xr:uid="{00000000-0005-0000-0000-000070CA0000}"/>
    <cellStyle name="Normal 91 3 2 3" xfId="50487" xr:uid="{00000000-0005-0000-0000-000071CA0000}"/>
    <cellStyle name="Normal 91 3 2 3 2" xfId="50488" xr:uid="{00000000-0005-0000-0000-000072CA0000}"/>
    <cellStyle name="Normal 91 3 2 3 3" xfId="50489" xr:uid="{00000000-0005-0000-0000-000073CA0000}"/>
    <cellStyle name="Normal 91 3 2 4" xfId="50490" xr:uid="{00000000-0005-0000-0000-000074CA0000}"/>
    <cellStyle name="Normal 91 3 2 5" xfId="50491" xr:uid="{00000000-0005-0000-0000-000075CA0000}"/>
    <cellStyle name="Normal 91 3 2 6" xfId="50492" xr:uid="{00000000-0005-0000-0000-000076CA0000}"/>
    <cellStyle name="Normal 91 3 3" xfId="50493" xr:uid="{00000000-0005-0000-0000-000077CA0000}"/>
    <cellStyle name="Normal 91 3 3 2" xfId="50494" xr:uid="{00000000-0005-0000-0000-000078CA0000}"/>
    <cellStyle name="Normal 91 3 3 3" xfId="50495" xr:uid="{00000000-0005-0000-0000-000079CA0000}"/>
    <cellStyle name="Normal 91 3 4" xfId="50496" xr:uid="{00000000-0005-0000-0000-00007ACA0000}"/>
    <cellStyle name="Normal 91 3 4 2" xfId="50497" xr:uid="{00000000-0005-0000-0000-00007BCA0000}"/>
    <cellStyle name="Normal 91 3 4 3" xfId="50498" xr:uid="{00000000-0005-0000-0000-00007CCA0000}"/>
    <cellStyle name="Normal 91 3 5" xfId="50499" xr:uid="{00000000-0005-0000-0000-00007DCA0000}"/>
    <cellStyle name="Normal 91 3 6" xfId="50500" xr:uid="{00000000-0005-0000-0000-00007ECA0000}"/>
    <cellStyle name="Normal 91 3 7" xfId="50501" xr:uid="{00000000-0005-0000-0000-00007FCA0000}"/>
    <cellStyle name="Normal 91 3 8" xfId="50502" xr:uid="{00000000-0005-0000-0000-000080CA0000}"/>
    <cellStyle name="Normal 91 4" xfId="50503" xr:uid="{00000000-0005-0000-0000-000081CA0000}"/>
    <cellStyle name="Normal 91 4 2" xfId="50504" xr:uid="{00000000-0005-0000-0000-000082CA0000}"/>
    <cellStyle name="Normal 91 4 2 2" xfId="50505" xr:uid="{00000000-0005-0000-0000-000083CA0000}"/>
    <cellStyle name="Normal 91 4 2 3" xfId="50506" xr:uid="{00000000-0005-0000-0000-000084CA0000}"/>
    <cellStyle name="Normal 91 4 3" xfId="50507" xr:uid="{00000000-0005-0000-0000-000085CA0000}"/>
    <cellStyle name="Normal 91 4 3 2" xfId="50508" xr:uid="{00000000-0005-0000-0000-000086CA0000}"/>
    <cellStyle name="Normal 91 4 3 3" xfId="50509" xr:uid="{00000000-0005-0000-0000-000087CA0000}"/>
    <cellStyle name="Normal 91 4 4" xfId="50510" xr:uid="{00000000-0005-0000-0000-000088CA0000}"/>
    <cellStyle name="Normal 91 4 5" xfId="50511" xr:uid="{00000000-0005-0000-0000-000089CA0000}"/>
    <cellStyle name="Normal 91 4 6" xfId="50512" xr:uid="{00000000-0005-0000-0000-00008ACA0000}"/>
    <cellStyle name="Normal 91 5" xfId="50513" xr:uid="{00000000-0005-0000-0000-00008BCA0000}"/>
    <cellStyle name="Normal 91 5 2" xfId="50514" xr:uid="{00000000-0005-0000-0000-00008CCA0000}"/>
    <cellStyle name="Normal 91 5 3" xfId="50515" xr:uid="{00000000-0005-0000-0000-00008DCA0000}"/>
    <cellStyle name="Normal 91 6" xfId="50516" xr:uid="{00000000-0005-0000-0000-00008ECA0000}"/>
    <cellStyle name="Normal 91 6 2" xfId="50517" xr:uid="{00000000-0005-0000-0000-00008FCA0000}"/>
    <cellStyle name="Normal 91 6 3" xfId="50518" xr:uid="{00000000-0005-0000-0000-000090CA0000}"/>
    <cellStyle name="Normal 91 7" xfId="50519" xr:uid="{00000000-0005-0000-0000-000091CA0000}"/>
    <cellStyle name="Normal 91 8" xfId="50520" xr:uid="{00000000-0005-0000-0000-000092CA0000}"/>
    <cellStyle name="Normal 91 9" xfId="50521" xr:uid="{00000000-0005-0000-0000-000093CA0000}"/>
    <cellStyle name="Normal 910" xfId="50522" xr:uid="{00000000-0005-0000-0000-000094CA0000}"/>
    <cellStyle name="Normal 911" xfId="50523" xr:uid="{00000000-0005-0000-0000-000095CA0000}"/>
    <cellStyle name="Normal 912" xfId="50524" xr:uid="{00000000-0005-0000-0000-000096CA0000}"/>
    <cellStyle name="Normal 913" xfId="50525" xr:uid="{00000000-0005-0000-0000-000097CA0000}"/>
    <cellStyle name="Normal 914" xfId="50526" xr:uid="{00000000-0005-0000-0000-000098CA0000}"/>
    <cellStyle name="Normal 915" xfId="50527" xr:uid="{00000000-0005-0000-0000-000099CA0000}"/>
    <cellStyle name="Normal 916" xfId="50528" xr:uid="{00000000-0005-0000-0000-00009ACA0000}"/>
    <cellStyle name="Normal 917" xfId="50529" xr:uid="{00000000-0005-0000-0000-00009BCA0000}"/>
    <cellStyle name="Normal 918" xfId="50530" xr:uid="{00000000-0005-0000-0000-00009CCA0000}"/>
    <cellStyle name="Normal 919" xfId="50531" xr:uid="{00000000-0005-0000-0000-00009DCA0000}"/>
    <cellStyle name="Normal 92" xfId="3602" xr:uid="{00000000-0005-0000-0000-00009ECA0000}"/>
    <cellStyle name="Normal 92 10" xfId="50532" xr:uid="{00000000-0005-0000-0000-00009FCA0000}"/>
    <cellStyle name="Normal 92 11" xfId="50533" xr:uid="{00000000-0005-0000-0000-0000A0CA0000}"/>
    <cellStyle name="Normal 92 12" xfId="50534" xr:uid="{00000000-0005-0000-0000-0000A1CA0000}"/>
    <cellStyle name="Normal 92 13" xfId="50535" xr:uid="{00000000-0005-0000-0000-0000A2CA0000}"/>
    <cellStyle name="Normal 92 14" xfId="50536" xr:uid="{00000000-0005-0000-0000-0000A3CA0000}"/>
    <cellStyle name="Normal 92 2" xfId="50537" xr:uid="{00000000-0005-0000-0000-0000A4CA0000}"/>
    <cellStyle name="Normal 92 2 2" xfId="50538" xr:uid="{00000000-0005-0000-0000-0000A5CA0000}"/>
    <cellStyle name="Normal 92 2 2 2" xfId="50539" xr:uid="{00000000-0005-0000-0000-0000A6CA0000}"/>
    <cellStyle name="Normal 92 2 2 2 2" xfId="50540" xr:uid="{00000000-0005-0000-0000-0000A7CA0000}"/>
    <cellStyle name="Normal 92 2 2 2 2 2" xfId="50541" xr:uid="{00000000-0005-0000-0000-0000A8CA0000}"/>
    <cellStyle name="Normal 92 2 2 2 2 3" xfId="50542" xr:uid="{00000000-0005-0000-0000-0000A9CA0000}"/>
    <cellStyle name="Normal 92 2 2 2 3" xfId="50543" xr:uid="{00000000-0005-0000-0000-0000AACA0000}"/>
    <cellStyle name="Normal 92 2 2 2 3 2" xfId="50544" xr:uid="{00000000-0005-0000-0000-0000ABCA0000}"/>
    <cellStyle name="Normal 92 2 2 2 3 3" xfId="50545" xr:uid="{00000000-0005-0000-0000-0000ACCA0000}"/>
    <cellStyle name="Normal 92 2 2 2 4" xfId="50546" xr:uid="{00000000-0005-0000-0000-0000ADCA0000}"/>
    <cellStyle name="Normal 92 2 2 2 5" xfId="50547" xr:uid="{00000000-0005-0000-0000-0000AECA0000}"/>
    <cellStyle name="Normal 92 2 2 2 6" xfId="50548" xr:uid="{00000000-0005-0000-0000-0000AFCA0000}"/>
    <cellStyle name="Normal 92 2 2 3" xfId="50549" xr:uid="{00000000-0005-0000-0000-0000B0CA0000}"/>
    <cellStyle name="Normal 92 2 2 3 2" xfId="50550" xr:uid="{00000000-0005-0000-0000-0000B1CA0000}"/>
    <cellStyle name="Normal 92 2 2 3 3" xfId="50551" xr:uid="{00000000-0005-0000-0000-0000B2CA0000}"/>
    <cellStyle name="Normal 92 2 2 4" xfId="50552" xr:uid="{00000000-0005-0000-0000-0000B3CA0000}"/>
    <cellStyle name="Normal 92 2 2 4 2" xfId="50553" xr:uid="{00000000-0005-0000-0000-0000B4CA0000}"/>
    <cellStyle name="Normal 92 2 2 4 3" xfId="50554" xr:uid="{00000000-0005-0000-0000-0000B5CA0000}"/>
    <cellStyle name="Normal 92 2 2 5" xfId="50555" xr:uid="{00000000-0005-0000-0000-0000B6CA0000}"/>
    <cellStyle name="Normal 92 2 2 6" xfId="50556" xr:uid="{00000000-0005-0000-0000-0000B7CA0000}"/>
    <cellStyle name="Normal 92 2 2 7" xfId="50557" xr:uid="{00000000-0005-0000-0000-0000B8CA0000}"/>
    <cellStyle name="Normal 92 2 2 8" xfId="50558" xr:uid="{00000000-0005-0000-0000-0000B9CA0000}"/>
    <cellStyle name="Normal 92 2 3" xfId="50559" xr:uid="{00000000-0005-0000-0000-0000BACA0000}"/>
    <cellStyle name="Normal 92 2 3 2" xfId="50560" xr:uid="{00000000-0005-0000-0000-0000BBCA0000}"/>
    <cellStyle name="Normal 92 2 3 2 2" xfId="50561" xr:uid="{00000000-0005-0000-0000-0000BCCA0000}"/>
    <cellStyle name="Normal 92 2 3 2 3" xfId="50562" xr:uid="{00000000-0005-0000-0000-0000BDCA0000}"/>
    <cellStyle name="Normal 92 2 3 3" xfId="50563" xr:uid="{00000000-0005-0000-0000-0000BECA0000}"/>
    <cellStyle name="Normal 92 2 3 3 2" xfId="50564" xr:uid="{00000000-0005-0000-0000-0000BFCA0000}"/>
    <cellStyle name="Normal 92 2 3 3 3" xfId="50565" xr:uid="{00000000-0005-0000-0000-0000C0CA0000}"/>
    <cellStyle name="Normal 92 2 3 4" xfId="50566" xr:uid="{00000000-0005-0000-0000-0000C1CA0000}"/>
    <cellStyle name="Normal 92 2 3 5" xfId="50567" xr:uid="{00000000-0005-0000-0000-0000C2CA0000}"/>
    <cellStyle name="Normal 92 2 3 6" xfId="50568" xr:uid="{00000000-0005-0000-0000-0000C3CA0000}"/>
    <cellStyle name="Normal 92 2 4" xfId="50569" xr:uid="{00000000-0005-0000-0000-0000C4CA0000}"/>
    <cellStyle name="Normal 92 2 4 2" xfId="50570" xr:uid="{00000000-0005-0000-0000-0000C5CA0000}"/>
    <cellStyle name="Normal 92 2 4 3" xfId="50571" xr:uid="{00000000-0005-0000-0000-0000C6CA0000}"/>
    <cellStyle name="Normal 92 2 5" xfId="50572" xr:uid="{00000000-0005-0000-0000-0000C7CA0000}"/>
    <cellStyle name="Normal 92 2 5 2" xfId="50573" xr:uid="{00000000-0005-0000-0000-0000C8CA0000}"/>
    <cellStyle name="Normal 92 2 5 3" xfId="50574" xr:uid="{00000000-0005-0000-0000-0000C9CA0000}"/>
    <cellStyle name="Normal 92 2 6" xfId="50575" xr:uid="{00000000-0005-0000-0000-0000CACA0000}"/>
    <cellStyle name="Normal 92 2 7" xfId="50576" xr:uid="{00000000-0005-0000-0000-0000CBCA0000}"/>
    <cellStyle name="Normal 92 2 8" xfId="50577" xr:uid="{00000000-0005-0000-0000-0000CCCA0000}"/>
    <cellStyle name="Normal 92 2 9" xfId="50578" xr:uid="{00000000-0005-0000-0000-0000CDCA0000}"/>
    <cellStyle name="Normal 92 3" xfId="50579" xr:uid="{00000000-0005-0000-0000-0000CECA0000}"/>
    <cellStyle name="Normal 92 3 2" xfId="50580" xr:uid="{00000000-0005-0000-0000-0000CFCA0000}"/>
    <cellStyle name="Normal 92 3 2 2" xfId="50581" xr:uid="{00000000-0005-0000-0000-0000D0CA0000}"/>
    <cellStyle name="Normal 92 3 2 2 2" xfId="50582" xr:uid="{00000000-0005-0000-0000-0000D1CA0000}"/>
    <cellStyle name="Normal 92 3 2 2 3" xfId="50583" xr:uid="{00000000-0005-0000-0000-0000D2CA0000}"/>
    <cellStyle name="Normal 92 3 2 3" xfId="50584" xr:uid="{00000000-0005-0000-0000-0000D3CA0000}"/>
    <cellStyle name="Normal 92 3 2 3 2" xfId="50585" xr:uid="{00000000-0005-0000-0000-0000D4CA0000}"/>
    <cellStyle name="Normal 92 3 2 3 3" xfId="50586" xr:uid="{00000000-0005-0000-0000-0000D5CA0000}"/>
    <cellStyle name="Normal 92 3 2 4" xfId="50587" xr:uid="{00000000-0005-0000-0000-0000D6CA0000}"/>
    <cellStyle name="Normal 92 3 2 5" xfId="50588" xr:uid="{00000000-0005-0000-0000-0000D7CA0000}"/>
    <cellStyle name="Normal 92 3 2 6" xfId="50589" xr:uid="{00000000-0005-0000-0000-0000D8CA0000}"/>
    <cellStyle name="Normal 92 3 3" xfId="50590" xr:uid="{00000000-0005-0000-0000-0000D9CA0000}"/>
    <cellStyle name="Normal 92 3 3 2" xfId="50591" xr:uid="{00000000-0005-0000-0000-0000DACA0000}"/>
    <cellStyle name="Normal 92 3 3 3" xfId="50592" xr:uid="{00000000-0005-0000-0000-0000DBCA0000}"/>
    <cellStyle name="Normal 92 3 4" xfId="50593" xr:uid="{00000000-0005-0000-0000-0000DCCA0000}"/>
    <cellStyle name="Normal 92 3 4 2" xfId="50594" xr:uid="{00000000-0005-0000-0000-0000DDCA0000}"/>
    <cellStyle name="Normal 92 3 4 3" xfId="50595" xr:uid="{00000000-0005-0000-0000-0000DECA0000}"/>
    <cellStyle name="Normal 92 3 5" xfId="50596" xr:uid="{00000000-0005-0000-0000-0000DFCA0000}"/>
    <cellStyle name="Normal 92 3 6" xfId="50597" xr:uid="{00000000-0005-0000-0000-0000E0CA0000}"/>
    <cellStyle name="Normal 92 3 7" xfId="50598" xr:uid="{00000000-0005-0000-0000-0000E1CA0000}"/>
    <cellStyle name="Normal 92 3 8" xfId="50599" xr:uid="{00000000-0005-0000-0000-0000E2CA0000}"/>
    <cellStyle name="Normal 92 4" xfId="50600" xr:uid="{00000000-0005-0000-0000-0000E3CA0000}"/>
    <cellStyle name="Normal 92 4 2" xfId="50601" xr:uid="{00000000-0005-0000-0000-0000E4CA0000}"/>
    <cellStyle name="Normal 92 4 2 2" xfId="50602" xr:uid="{00000000-0005-0000-0000-0000E5CA0000}"/>
    <cellStyle name="Normal 92 4 2 3" xfId="50603" xr:uid="{00000000-0005-0000-0000-0000E6CA0000}"/>
    <cellStyle name="Normal 92 4 3" xfId="50604" xr:uid="{00000000-0005-0000-0000-0000E7CA0000}"/>
    <cellStyle name="Normal 92 4 3 2" xfId="50605" xr:uid="{00000000-0005-0000-0000-0000E8CA0000}"/>
    <cellStyle name="Normal 92 4 3 3" xfId="50606" xr:uid="{00000000-0005-0000-0000-0000E9CA0000}"/>
    <cellStyle name="Normal 92 4 4" xfId="50607" xr:uid="{00000000-0005-0000-0000-0000EACA0000}"/>
    <cellStyle name="Normal 92 4 5" xfId="50608" xr:uid="{00000000-0005-0000-0000-0000EBCA0000}"/>
    <cellStyle name="Normal 92 4 6" xfId="50609" xr:uid="{00000000-0005-0000-0000-0000ECCA0000}"/>
    <cellStyle name="Normal 92 5" xfId="50610" xr:uid="{00000000-0005-0000-0000-0000EDCA0000}"/>
    <cellStyle name="Normal 92 5 2" xfId="50611" xr:uid="{00000000-0005-0000-0000-0000EECA0000}"/>
    <cellStyle name="Normal 92 5 3" xfId="50612" xr:uid="{00000000-0005-0000-0000-0000EFCA0000}"/>
    <cellStyle name="Normal 92 6" xfId="50613" xr:uid="{00000000-0005-0000-0000-0000F0CA0000}"/>
    <cellStyle name="Normal 92 6 2" xfId="50614" xr:uid="{00000000-0005-0000-0000-0000F1CA0000}"/>
    <cellStyle name="Normal 92 6 3" xfId="50615" xr:uid="{00000000-0005-0000-0000-0000F2CA0000}"/>
    <cellStyle name="Normal 92 7" xfId="50616" xr:uid="{00000000-0005-0000-0000-0000F3CA0000}"/>
    <cellStyle name="Normal 92 8" xfId="50617" xr:uid="{00000000-0005-0000-0000-0000F4CA0000}"/>
    <cellStyle name="Normal 92 9" xfId="50618" xr:uid="{00000000-0005-0000-0000-0000F5CA0000}"/>
    <cellStyle name="Normal 920" xfId="50619" xr:uid="{00000000-0005-0000-0000-0000F6CA0000}"/>
    <cellStyle name="Normal 921" xfId="50620" xr:uid="{00000000-0005-0000-0000-0000F7CA0000}"/>
    <cellStyle name="Normal 922" xfId="50621" xr:uid="{00000000-0005-0000-0000-0000F8CA0000}"/>
    <cellStyle name="Normal 923" xfId="50622" xr:uid="{00000000-0005-0000-0000-0000F9CA0000}"/>
    <cellStyle name="Normal 924" xfId="50623" xr:uid="{00000000-0005-0000-0000-0000FACA0000}"/>
    <cellStyle name="Normal 925" xfId="50624" xr:uid="{00000000-0005-0000-0000-0000FBCA0000}"/>
    <cellStyle name="Normal 926" xfId="50625" xr:uid="{00000000-0005-0000-0000-0000FCCA0000}"/>
    <cellStyle name="Normal 927" xfId="50626" xr:uid="{00000000-0005-0000-0000-0000FDCA0000}"/>
    <cellStyle name="Normal 928" xfId="50627" xr:uid="{00000000-0005-0000-0000-0000FECA0000}"/>
    <cellStyle name="Normal 929" xfId="50628" xr:uid="{00000000-0005-0000-0000-0000FFCA0000}"/>
    <cellStyle name="Normal 93" xfId="3603" xr:uid="{00000000-0005-0000-0000-000000CB0000}"/>
    <cellStyle name="Normal 93 10" xfId="50629" xr:uid="{00000000-0005-0000-0000-000001CB0000}"/>
    <cellStyle name="Normal 93 11" xfId="50630" xr:uid="{00000000-0005-0000-0000-000002CB0000}"/>
    <cellStyle name="Normal 93 12" xfId="50631" xr:uid="{00000000-0005-0000-0000-000003CB0000}"/>
    <cellStyle name="Normal 93 13" xfId="50632" xr:uid="{00000000-0005-0000-0000-000004CB0000}"/>
    <cellStyle name="Normal 93 14" xfId="50633" xr:uid="{00000000-0005-0000-0000-000005CB0000}"/>
    <cellStyle name="Normal 93 2" xfId="50634" xr:uid="{00000000-0005-0000-0000-000006CB0000}"/>
    <cellStyle name="Normal 93 2 2" xfId="50635" xr:uid="{00000000-0005-0000-0000-000007CB0000}"/>
    <cellStyle name="Normal 93 2 2 2" xfId="50636" xr:uid="{00000000-0005-0000-0000-000008CB0000}"/>
    <cellStyle name="Normal 93 2 2 2 2" xfId="50637" xr:uid="{00000000-0005-0000-0000-000009CB0000}"/>
    <cellStyle name="Normal 93 2 2 2 2 2" xfId="50638" xr:uid="{00000000-0005-0000-0000-00000ACB0000}"/>
    <cellStyle name="Normal 93 2 2 2 2 3" xfId="50639" xr:uid="{00000000-0005-0000-0000-00000BCB0000}"/>
    <cellStyle name="Normal 93 2 2 2 3" xfId="50640" xr:uid="{00000000-0005-0000-0000-00000CCB0000}"/>
    <cellStyle name="Normal 93 2 2 2 3 2" xfId="50641" xr:uid="{00000000-0005-0000-0000-00000DCB0000}"/>
    <cellStyle name="Normal 93 2 2 2 3 3" xfId="50642" xr:uid="{00000000-0005-0000-0000-00000ECB0000}"/>
    <cellStyle name="Normal 93 2 2 2 4" xfId="50643" xr:uid="{00000000-0005-0000-0000-00000FCB0000}"/>
    <cellStyle name="Normal 93 2 2 2 5" xfId="50644" xr:uid="{00000000-0005-0000-0000-000010CB0000}"/>
    <cellStyle name="Normal 93 2 2 2 6" xfId="50645" xr:uid="{00000000-0005-0000-0000-000011CB0000}"/>
    <cellStyle name="Normal 93 2 2 3" xfId="50646" xr:uid="{00000000-0005-0000-0000-000012CB0000}"/>
    <cellStyle name="Normal 93 2 2 3 2" xfId="50647" xr:uid="{00000000-0005-0000-0000-000013CB0000}"/>
    <cellStyle name="Normal 93 2 2 3 3" xfId="50648" xr:uid="{00000000-0005-0000-0000-000014CB0000}"/>
    <cellStyle name="Normal 93 2 2 4" xfId="50649" xr:uid="{00000000-0005-0000-0000-000015CB0000}"/>
    <cellStyle name="Normal 93 2 2 4 2" xfId="50650" xr:uid="{00000000-0005-0000-0000-000016CB0000}"/>
    <cellStyle name="Normal 93 2 2 4 3" xfId="50651" xr:uid="{00000000-0005-0000-0000-000017CB0000}"/>
    <cellStyle name="Normal 93 2 2 5" xfId="50652" xr:uid="{00000000-0005-0000-0000-000018CB0000}"/>
    <cellStyle name="Normal 93 2 2 6" xfId="50653" xr:uid="{00000000-0005-0000-0000-000019CB0000}"/>
    <cellStyle name="Normal 93 2 2 7" xfId="50654" xr:uid="{00000000-0005-0000-0000-00001ACB0000}"/>
    <cellStyle name="Normal 93 2 2 8" xfId="50655" xr:uid="{00000000-0005-0000-0000-00001BCB0000}"/>
    <cellStyle name="Normal 93 2 3" xfId="50656" xr:uid="{00000000-0005-0000-0000-00001CCB0000}"/>
    <cellStyle name="Normal 93 2 3 2" xfId="50657" xr:uid="{00000000-0005-0000-0000-00001DCB0000}"/>
    <cellStyle name="Normal 93 2 3 2 2" xfId="50658" xr:uid="{00000000-0005-0000-0000-00001ECB0000}"/>
    <cellStyle name="Normal 93 2 3 2 3" xfId="50659" xr:uid="{00000000-0005-0000-0000-00001FCB0000}"/>
    <cellStyle name="Normal 93 2 3 3" xfId="50660" xr:uid="{00000000-0005-0000-0000-000020CB0000}"/>
    <cellStyle name="Normal 93 2 3 3 2" xfId="50661" xr:uid="{00000000-0005-0000-0000-000021CB0000}"/>
    <cellStyle name="Normal 93 2 3 3 3" xfId="50662" xr:uid="{00000000-0005-0000-0000-000022CB0000}"/>
    <cellStyle name="Normal 93 2 3 4" xfId="50663" xr:uid="{00000000-0005-0000-0000-000023CB0000}"/>
    <cellStyle name="Normal 93 2 3 5" xfId="50664" xr:uid="{00000000-0005-0000-0000-000024CB0000}"/>
    <cellStyle name="Normal 93 2 3 6" xfId="50665" xr:uid="{00000000-0005-0000-0000-000025CB0000}"/>
    <cellStyle name="Normal 93 2 4" xfId="50666" xr:uid="{00000000-0005-0000-0000-000026CB0000}"/>
    <cellStyle name="Normal 93 2 4 2" xfId="50667" xr:uid="{00000000-0005-0000-0000-000027CB0000}"/>
    <cellStyle name="Normal 93 2 4 3" xfId="50668" xr:uid="{00000000-0005-0000-0000-000028CB0000}"/>
    <cellStyle name="Normal 93 2 5" xfId="50669" xr:uid="{00000000-0005-0000-0000-000029CB0000}"/>
    <cellStyle name="Normal 93 2 5 2" xfId="50670" xr:uid="{00000000-0005-0000-0000-00002ACB0000}"/>
    <cellStyle name="Normal 93 2 5 3" xfId="50671" xr:uid="{00000000-0005-0000-0000-00002BCB0000}"/>
    <cellStyle name="Normal 93 2 6" xfId="50672" xr:uid="{00000000-0005-0000-0000-00002CCB0000}"/>
    <cellStyle name="Normal 93 2 7" xfId="50673" xr:uid="{00000000-0005-0000-0000-00002DCB0000}"/>
    <cellStyle name="Normal 93 2 8" xfId="50674" xr:uid="{00000000-0005-0000-0000-00002ECB0000}"/>
    <cellStyle name="Normal 93 2 9" xfId="50675" xr:uid="{00000000-0005-0000-0000-00002FCB0000}"/>
    <cellStyle name="Normal 93 3" xfId="50676" xr:uid="{00000000-0005-0000-0000-000030CB0000}"/>
    <cellStyle name="Normal 93 3 2" xfId="50677" xr:uid="{00000000-0005-0000-0000-000031CB0000}"/>
    <cellStyle name="Normal 93 3 2 2" xfId="50678" xr:uid="{00000000-0005-0000-0000-000032CB0000}"/>
    <cellStyle name="Normal 93 3 2 2 2" xfId="50679" xr:uid="{00000000-0005-0000-0000-000033CB0000}"/>
    <cellStyle name="Normal 93 3 2 2 3" xfId="50680" xr:uid="{00000000-0005-0000-0000-000034CB0000}"/>
    <cellStyle name="Normal 93 3 2 3" xfId="50681" xr:uid="{00000000-0005-0000-0000-000035CB0000}"/>
    <cellStyle name="Normal 93 3 2 3 2" xfId="50682" xr:uid="{00000000-0005-0000-0000-000036CB0000}"/>
    <cellStyle name="Normal 93 3 2 3 3" xfId="50683" xr:uid="{00000000-0005-0000-0000-000037CB0000}"/>
    <cellStyle name="Normal 93 3 2 4" xfId="50684" xr:uid="{00000000-0005-0000-0000-000038CB0000}"/>
    <cellStyle name="Normal 93 3 2 5" xfId="50685" xr:uid="{00000000-0005-0000-0000-000039CB0000}"/>
    <cellStyle name="Normal 93 3 2 6" xfId="50686" xr:uid="{00000000-0005-0000-0000-00003ACB0000}"/>
    <cellStyle name="Normal 93 3 3" xfId="50687" xr:uid="{00000000-0005-0000-0000-00003BCB0000}"/>
    <cellStyle name="Normal 93 3 3 2" xfId="50688" xr:uid="{00000000-0005-0000-0000-00003CCB0000}"/>
    <cellStyle name="Normal 93 3 3 3" xfId="50689" xr:uid="{00000000-0005-0000-0000-00003DCB0000}"/>
    <cellStyle name="Normal 93 3 4" xfId="50690" xr:uid="{00000000-0005-0000-0000-00003ECB0000}"/>
    <cellStyle name="Normal 93 3 4 2" xfId="50691" xr:uid="{00000000-0005-0000-0000-00003FCB0000}"/>
    <cellStyle name="Normal 93 3 4 3" xfId="50692" xr:uid="{00000000-0005-0000-0000-000040CB0000}"/>
    <cellStyle name="Normal 93 3 5" xfId="50693" xr:uid="{00000000-0005-0000-0000-000041CB0000}"/>
    <cellStyle name="Normal 93 3 6" xfId="50694" xr:uid="{00000000-0005-0000-0000-000042CB0000}"/>
    <cellStyle name="Normal 93 3 7" xfId="50695" xr:uid="{00000000-0005-0000-0000-000043CB0000}"/>
    <cellStyle name="Normal 93 3 8" xfId="50696" xr:uid="{00000000-0005-0000-0000-000044CB0000}"/>
    <cellStyle name="Normal 93 4" xfId="50697" xr:uid="{00000000-0005-0000-0000-000045CB0000}"/>
    <cellStyle name="Normal 93 4 2" xfId="50698" xr:uid="{00000000-0005-0000-0000-000046CB0000}"/>
    <cellStyle name="Normal 93 4 2 2" xfId="50699" xr:uid="{00000000-0005-0000-0000-000047CB0000}"/>
    <cellStyle name="Normal 93 4 2 3" xfId="50700" xr:uid="{00000000-0005-0000-0000-000048CB0000}"/>
    <cellStyle name="Normal 93 4 3" xfId="50701" xr:uid="{00000000-0005-0000-0000-000049CB0000}"/>
    <cellStyle name="Normal 93 4 3 2" xfId="50702" xr:uid="{00000000-0005-0000-0000-00004ACB0000}"/>
    <cellStyle name="Normal 93 4 3 3" xfId="50703" xr:uid="{00000000-0005-0000-0000-00004BCB0000}"/>
    <cellStyle name="Normal 93 4 4" xfId="50704" xr:uid="{00000000-0005-0000-0000-00004CCB0000}"/>
    <cellStyle name="Normal 93 4 5" xfId="50705" xr:uid="{00000000-0005-0000-0000-00004DCB0000}"/>
    <cellStyle name="Normal 93 4 6" xfId="50706" xr:uid="{00000000-0005-0000-0000-00004ECB0000}"/>
    <cellStyle name="Normal 93 5" xfId="50707" xr:uid="{00000000-0005-0000-0000-00004FCB0000}"/>
    <cellStyle name="Normal 93 5 2" xfId="50708" xr:uid="{00000000-0005-0000-0000-000050CB0000}"/>
    <cellStyle name="Normal 93 5 3" xfId="50709" xr:uid="{00000000-0005-0000-0000-000051CB0000}"/>
    <cellStyle name="Normal 93 6" xfId="50710" xr:uid="{00000000-0005-0000-0000-000052CB0000}"/>
    <cellStyle name="Normal 93 6 2" xfId="50711" xr:uid="{00000000-0005-0000-0000-000053CB0000}"/>
    <cellStyle name="Normal 93 6 3" xfId="50712" xr:uid="{00000000-0005-0000-0000-000054CB0000}"/>
    <cellStyle name="Normal 93 7" xfId="50713" xr:uid="{00000000-0005-0000-0000-000055CB0000}"/>
    <cellStyle name="Normal 93 8" xfId="50714" xr:uid="{00000000-0005-0000-0000-000056CB0000}"/>
    <cellStyle name="Normal 93 9" xfId="50715" xr:uid="{00000000-0005-0000-0000-000057CB0000}"/>
    <cellStyle name="Normal 930" xfId="50716" xr:uid="{00000000-0005-0000-0000-000058CB0000}"/>
    <cellStyle name="Normal 931" xfId="50717" xr:uid="{00000000-0005-0000-0000-000059CB0000}"/>
    <cellStyle name="Normal 932" xfId="50718" xr:uid="{00000000-0005-0000-0000-00005ACB0000}"/>
    <cellStyle name="Normal 933" xfId="50719" xr:uid="{00000000-0005-0000-0000-00005BCB0000}"/>
    <cellStyle name="Normal 934" xfId="50720" xr:uid="{00000000-0005-0000-0000-00005CCB0000}"/>
    <cellStyle name="Normal 935" xfId="50721" xr:uid="{00000000-0005-0000-0000-00005DCB0000}"/>
    <cellStyle name="Normal 936" xfId="50722" xr:uid="{00000000-0005-0000-0000-00005ECB0000}"/>
    <cellStyle name="Normal 937" xfId="50723" xr:uid="{00000000-0005-0000-0000-00005FCB0000}"/>
    <cellStyle name="Normal 938" xfId="50724" xr:uid="{00000000-0005-0000-0000-000060CB0000}"/>
    <cellStyle name="Normal 939" xfId="50725" xr:uid="{00000000-0005-0000-0000-000061CB0000}"/>
    <cellStyle name="Normal 94" xfId="3604" xr:uid="{00000000-0005-0000-0000-000062CB0000}"/>
    <cellStyle name="Normal 94 10" xfId="50726" xr:uid="{00000000-0005-0000-0000-000063CB0000}"/>
    <cellStyle name="Normal 94 11" xfId="50727" xr:uid="{00000000-0005-0000-0000-000064CB0000}"/>
    <cellStyle name="Normal 94 12" xfId="50728" xr:uid="{00000000-0005-0000-0000-000065CB0000}"/>
    <cellStyle name="Normal 94 13" xfId="50729" xr:uid="{00000000-0005-0000-0000-000066CB0000}"/>
    <cellStyle name="Normal 94 14" xfId="50730" xr:uid="{00000000-0005-0000-0000-000067CB0000}"/>
    <cellStyle name="Normal 94 2" xfId="50731" xr:uid="{00000000-0005-0000-0000-000068CB0000}"/>
    <cellStyle name="Normal 94 2 2" xfId="50732" xr:uid="{00000000-0005-0000-0000-000069CB0000}"/>
    <cellStyle name="Normal 94 2 2 2" xfId="50733" xr:uid="{00000000-0005-0000-0000-00006ACB0000}"/>
    <cellStyle name="Normal 94 2 2 2 2" xfId="50734" xr:uid="{00000000-0005-0000-0000-00006BCB0000}"/>
    <cellStyle name="Normal 94 2 2 2 2 2" xfId="50735" xr:uid="{00000000-0005-0000-0000-00006CCB0000}"/>
    <cellStyle name="Normal 94 2 2 2 2 3" xfId="50736" xr:uid="{00000000-0005-0000-0000-00006DCB0000}"/>
    <cellStyle name="Normal 94 2 2 2 3" xfId="50737" xr:uid="{00000000-0005-0000-0000-00006ECB0000}"/>
    <cellStyle name="Normal 94 2 2 2 3 2" xfId="50738" xr:uid="{00000000-0005-0000-0000-00006FCB0000}"/>
    <cellStyle name="Normal 94 2 2 2 3 3" xfId="50739" xr:uid="{00000000-0005-0000-0000-000070CB0000}"/>
    <cellStyle name="Normal 94 2 2 2 4" xfId="50740" xr:uid="{00000000-0005-0000-0000-000071CB0000}"/>
    <cellStyle name="Normal 94 2 2 2 5" xfId="50741" xr:uid="{00000000-0005-0000-0000-000072CB0000}"/>
    <cellStyle name="Normal 94 2 2 2 6" xfId="50742" xr:uid="{00000000-0005-0000-0000-000073CB0000}"/>
    <cellStyle name="Normal 94 2 2 3" xfId="50743" xr:uid="{00000000-0005-0000-0000-000074CB0000}"/>
    <cellStyle name="Normal 94 2 2 3 2" xfId="50744" xr:uid="{00000000-0005-0000-0000-000075CB0000}"/>
    <cellStyle name="Normal 94 2 2 3 3" xfId="50745" xr:uid="{00000000-0005-0000-0000-000076CB0000}"/>
    <cellStyle name="Normal 94 2 2 4" xfId="50746" xr:uid="{00000000-0005-0000-0000-000077CB0000}"/>
    <cellStyle name="Normal 94 2 2 4 2" xfId="50747" xr:uid="{00000000-0005-0000-0000-000078CB0000}"/>
    <cellStyle name="Normal 94 2 2 4 3" xfId="50748" xr:uid="{00000000-0005-0000-0000-000079CB0000}"/>
    <cellStyle name="Normal 94 2 2 5" xfId="50749" xr:uid="{00000000-0005-0000-0000-00007ACB0000}"/>
    <cellStyle name="Normal 94 2 2 6" xfId="50750" xr:uid="{00000000-0005-0000-0000-00007BCB0000}"/>
    <cellStyle name="Normal 94 2 2 7" xfId="50751" xr:uid="{00000000-0005-0000-0000-00007CCB0000}"/>
    <cellStyle name="Normal 94 2 2 8" xfId="50752" xr:uid="{00000000-0005-0000-0000-00007DCB0000}"/>
    <cellStyle name="Normal 94 2 3" xfId="50753" xr:uid="{00000000-0005-0000-0000-00007ECB0000}"/>
    <cellStyle name="Normal 94 2 3 2" xfId="50754" xr:uid="{00000000-0005-0000-0000-00007FCB0000}"/>
    <cellStyle name="Normal 94 2 3 2 2" xfId="50755" xr:uid="{00000000-0005-0000-0000-000080CB0000}"/>
    <cellStyle name="Normal 94 2 3 2 3" xfId="50756" xr:uid="{00000000-0005-0000-0000-000081CB0000}"/>
    <cellStyle name="Normal 94 2 3 3" xfId="50757" xr:uid="{00000000-0005-0000-0000-000082CB0000}"/>
    <cellStyle name="Normal 94 2 3 3 2" xfId="50758" xr:uid="{00000000-0005-0000-0000-000083CB0000}"/>
    <cellStyle name="Normal 94 2 3 3 3" xfId="50759" xr:uid="{00000000-0005-0000-0000-000084CB0000}"/>
    <cellStyle name="Normal 94 2 3 4" xfId="50760" xr:uid="{00000000-0005-0000-0000-000085CB0000}"/>
    <cellStyle name="Normal 94 2 3 5" xfId="50761" xr:uid="{00000000-0005-0000-0000-000086CB0000}"/>
    <cellStyle name="Normal 94 2 3 6" xfId="50762" xr:uid="{00000000-0005-0000-0000-000087CB0000}"/>
    <cellStyle name="Normal 94 2 4" xfId="50763" xr:uid="{00000000-0005-0000-0000-000088CB0000}"/>
    <cellStyle name="Normal 94 2 4 2" xfId="50764" xr:uid="{00000000-0005-0000-0000-000089CB0000}"/>
    <cellStyle name="Normal 94 2 4 3" xfId="50765" xr:uid="{00000000-0005-0000-0000-00008ACB0000}"/>
    <cellStyle name="Normal 94 2 5" xfId="50766" xr:uid="{00000000-0005-0000-0000-00008BCB0000}"/>
    <cellStyle name="Normal 94 2 5 2" xfId="50767" xr:uid="{00000000-0005-0000-0000-00008CCB0000}"/>
    <cellStyle name="Normal 94 2 5 3" xfId="50768" xr:uid="{00000000-0005-0000-0000-00008DCB0000}"/>
    <cellStyle name="Normal 94 2 6" xfId="50769" xr:uid="{00000000-0005-0000-0000-00008ECB0000}"/>
    <cellStyle name="Normal 94 2 7" xfId="50770" xr:uid="{00000000-0005-0000-0000-00008FCB0000}"/>
    <cellStyle name="Normal 94 2 8" xfId="50771" xr:uid="{00000000-0005-0000-0000-000090CB0000}"/>
    <cellStyle name="Normal 94 2 9" xfId="50772" xr:uid="{00000000-0005-0000-0000-000091CB0000}"/>
    <cellStyle name="Normal 94 3" xfId="50773" xr:uid="{00000000-0005-0000-0000-000092CB0000}"/>
    <cellStyle name="Normal 94 3 2" xfId="50774" xr:uid="{00000000-0005-0000-0000-000093CB0000}"/>
    <cellStyle name="Normal 94 3 2 2" xfId="50775" xr:uid="{00000000-0005-0000-0000-000094CB0000}"/>
    <cellStyle name="Normal 94 3 2 2 2" xfId="50776" xr:uid="{00000000-0005-0000-0000-000095CB0000}"/>
    <cellStyle name="Normal 94 3 2 2 3" xfId="50777" xr:uid="{00000000-0005-0000-0000-000096CB0000}"/>
    <cellStyle name="Normal 94 3 2 3" xfId="50778" xr:uid="{00000000-0005-0000-0000-000097CB0000}"/>
    <cellStyle name="Normal 94 3 2 3 2" xfId="50779" xr:uid="{00000000-0005-0000-0000-000098CB0000}"/>
    <cellStyle name="Normal 94 3 2 3 3" xfId="50780" xr:uid="{00000000-0005-0000-0000-000099CB0000}"/>
    <cellStyle name="Normal 94 3 2 4" xfId="50781" xr:uid="{00000000-0005-0000-0000-00009ACB0000}"/>
    <cellStyle name="Normal 94 3 2 5" xfId="50782" xr:uid="{00000000-0005-0000-0000-00009BCB0000}"/>
    <cellStyle name="Normal 94 3 2 6" xfId="50783" xr:uid="{00000000-0005-0000-0000-00009CCB0000}"/>
    <cellStyle name="Normal 94 3 3" xfId="50784" xr:uid="{00000000-0005-0000-0000-00009DCB0000}"/>
    <cellStyle name="Normal 94 3 3 2" xfId="50785" xr:uid="{00000000-0005-0000-0000-00009ECB0000}"/>
    <cellStyle name="Normal 94 3 3 3" xfId="50786" xr:uid="{00000000-0005-0000-0000-00009FCB0000}"/>
    <cellStyle name="Normal 94 3 4" xfId="50787" xr:uid="{00000000-0005-0000-0000-0000A0CB0000}"/>
    <cellStyle name="Normal 94 3 4 2" xfId="50788" xr:uid="{00000000-0005-0000-0000-0000A1CB0000}"/>
    <cellStyle name="Normal 94 3 4 3" xfId="50789" xr:uid="{00000000-0005-0000-0000-0000A2CB0000}"/>
    <cellStyle name="Normal 94 3 5" xfId="50790" xr:uid="{00000000-0005-0000-0000-0000A3CB0000}"/>
    <cellStyle name="Normal 94 3 6" xfId="50791" xr:uid="{00000000-0005-0000-0000-0000A4CB0000}"/>
    <cellStyle name="Normal 94 3 7" xfId="50792" xr:uid="{00000000-0005-0000-0000-0000A5CB0000}"/>
    <cellStyle name="Normal 94 3 8" xfId="50793" xr:uid="{00000000-0005-0000-0000-0000A6CB0000}"/>
    <cellStyle name="Normal 94 4" xfId="50794" xr:uid="{00000000-0005-0000-0000-0000A7CB0000}"/>
    <cellStyle name="Normal 94 4 2" xfId="50795" xr:uid="{00000000-0005-0000-0000-0000A8CB0000}"/>
    <cellStyle name="Normal 94 4 2 2" xfId="50796" xr:uid="{00000000-0005-0000-0000-0000A9CB0000}"/>
    <cellStyle name="Normal 94 4 2 3" xfId="50797" xr:uid="{00000000-0005-0000-0000-0000AACB0000}"/>
    <cellStyle name="Normal 94 4 3" xfId="50798" xr:uid="{00000000-0005-0000-0000-0000ABCB0000}"/>
    <cellStyle name="Normal 94 4 3 2" xfId="50799" xr:uid="{00000000-0005-0000-0000-0000ACCB0000}"/>
    <cellStyle name="Normal 94 4 3 3" xfId="50800" xr:uid="{00000000-0005-0000-0000-0000ADCB0000}"/>
    <cellStyle name="Normal 94 4 4" xfId="50801" xr:uid="{00000000-0005-0000-0000-0000AECB0000}"/>
    <cellStyle name="Normal 94 4 5" xfId="50802" xr:uid="{00000000-0005-0000-0000-0000AFCB0000}"/>
    <cellStyle name="Normal 94 4 6" xfId="50803" xr:uid="{00000000-0005-0000-0000-0000B0CB0000}"/>
    <cellStyle name="Normal 94 5" xfId="50804" xr:uid="{00000000-0005-0000-0000-0000B1CB0000}"/>
    <cellStyle name="Normal 94 5 2" xfId="50805" xr:uid="{00000000-0005-0000-0000-0000B2CB0000}"/>
    <cellStyle name="Normal 94 5 3" xfId="50806" xr:uid="{00000000-0005-0000-0000-0000B3CB0000}"/>
    <cellStyle name="Normal 94 6" xfId="50807" xr:uid="{00000000-0005-0000-0000-0000B4CB0000}"/>
    <cellStyle name="Normal 94 6 2" xfId="50808" xr:uid="{00000000-0005-0000-0000-0000B5CB0000}"/>
    <cellStyle name="Normal 94 6 3" xfId="50809" xr:uid="{00000000-0005-0000-0000-0000B6CB0000}"/>
    <cellStyle name="Normal 94 7" xfId="50810" xr:uid="{00000000-0005-0000-0000-0000B7CB0000}"/>
    <cellStyle name="Normal 94 8" xfId="50811" xr:uid="{00000000-0005-0000-0000-0000B8CB0000}"/>
    <cellStyle name="Normal 94 9" xfId="50812" xr:uid="{00000000-0005-0000-0000-0000B9CB0000}"/>
    <cellStyle name="Normal 940" xfId="50813" xr:uid="{00000000-0005-0000-0000-0000BACB0000}"/>
    <cellStyle name="Normal 941" xfId="50814" xr:uid="{00000000-0005-0000-0000-0000BBCB0000}"/>
    <cellStyle name="Normal 942" xfId="50815" xr:uid="{00000000-0005-0000-0000-0000BCCB0000}"/>
    <cellStyle name="Normal 943" xfId="50816" xr:uid="{00000000-0005-0000-0000-0000BDCB0000}"/>
    <cellStyle name="Normal 944" xfId="50817" xr:uid="{00000000-0005-0000-0000-0000BECB0000}"/>
    <cellStyle name="Normal 945" xfId="50818" xr:uid="{00000000-0005-0000-0000-0000BFCB0000}"/>
    <cellStyle name="Normal 946" xfId="50819" xr:uid="{00000000-0005-0000-0000-0000C0CB0000}"/>
    <cellStyle name="Normal 947" xfId="50820" xr:uid="{00000000-0005-0000-0000-0000C1CB0000}"/>
    <cellStyle name="Normal 948" xfId="50821" xr:uid="{00000000-0005-0000-0000-0000C2CB0000}"/>
    <cellStyle name="Normal 949" xfId="50822" xr:uid="{00000000-0005-0000-0000-0000C3CB0000}"/>
    <cellStyle name="Normal 95" xfId="3605" xr:uid="{00000000-0005-0000-0000-0000C4CB0000}"/>
    <cellStyle name="Normal 95 10" xfId="50823" xr:uid="{00000000-0005-0000-0000-0000C5CB0000}"/>
    <cellStyle name="Normal 95 11" xfId="50824" xr:uid="{00000000-0005-0000-0000-0000C6CB0000}"/>
    <cellStyle name="Normal 95 12" xfId="50825" xr:uid="{00000000-0005-0000-0000-0000C7CB0000}"/>
    <cellStyle name="Normal 95 13" xfId="50826" xr:uid="{00000000-0005-0000-0000-0000C8CB0000}"/>
    <cellStyle name="Normal 95 14" xfId="50827" xr:uid="{00000000-0005-0000-0000-0000C9CB0000}"/>
    <cellStyle name="Normal 95 2" xfId="50828" xr:uid="{00000000-0005-0000-0000-0000CACB0000}"/>
    <cellStyle name="Normal 95 2 2" xfId="50829" xr:uid="{00000000-0005-0000-0000-0000CBCB0000}"/>
    <cellStyle name="Normal 95 2 2 2" xfId="50830" xr:uid="{00000000-0005-0000-0000-0000CCCB0000}"/>
    <cellStyle name="Normal 95 2 2 2 2" xfId="50831" xr:uid="{00000000-0005-0000-0000-0000CDCB0000}"/>
    <cellStyle name="Normal 95 2 2 2 2 2" xfId="50832" xr:uid="{00000000-0005-0000-0000-0000CECB0000}"/>
    <cellStyle name="Normal 95 2 2 2 2 3" xfId="50833" xr:uid="{00000000-0005-0000-0000-0000CFCB0000}"/>
    <cellStyle name="Normal 95 2 2 2 3" xfId="50834" xr:uid="{00000000-0005-0000-0000-0000D0CB0000}"/>
    <cellStyle name="Normal 95 2 2 2 3 2" xfId="50835" xr:uid="{00000000-0005-0000-0000-0000D1CB0000}"/>
    <cellStyle name="Normal 95 2 2 2 3 3" xfId="50836" xr:uid="{00000000-0005-0000-0000-0000D2CB0000}"/>
    <cellStyle name="Normal 95 2 2 2 4" xfId="50837" xr:uid="{00000000-0005-0000-0000-0000D3CB0000}"/>
    <cellStyle name="Normal 95 2 2 2 5" xfId="50838" xr:uid="{00000000-0005-0000-0000-0000D4CB0000}"/>
    <cellStyle name="Normal 95 2 2 2 6" xfId="50839" xr:uid="{00000000-0005-0000-0000-0000D5CB0000}"/>
    <cellStyle name="Normal 95 2 2 3" xfId="50840" xr:uid="{00000000-0005-0000-0000-0000D6CB0000}"/>
    <cellStyle name="Normal 95 2 2 3 2" xfId="50841" xr:uid="{00000000-0005-0000-0000-0000D7CB0000}"/>
    <cellStyle name="Normal 95 2 2 3 3" xfId="50842" xr:uid="{00000000-0005-0000-0000-0000D8CB0000}"/>
    <cellStyle name="Normal 95 2 2 4" xfId="50843" xr:uid="{00000000-0005-0000-0000-0000D9CB0000}"/>
    <cellStyle name="Normal 95 2 2 4 2" xfId="50844" xr:uid="{00000000-0005-0000-0000-0000DACB0000}"/>
    <cellStyle name="Normal 95 2 2 4 3" xfId="50845" xr:uid="{00000000-0005-0000-0000-0000DBCB0000}"/>
    <cellStyle name="Normal 95 2 2 5" xfId="50846" xr:uid="{00000000-0005-0000-0000-0000DCCB0000}"/>
    <cellStyle name="Normal 95 2 2 6" xfId="50847" xr:uid="{00000000-0005-0000-0000-0000DDCB0000}"/>
    <cellStyle name="Normal 95 2 2 7" xfId="50848" xr:uid="{00000000-0005-0000-0000-0000DECB0000}"/>
    <cellStyle name="Normal 95 2 2 8" xfId="50849" xr:uid="{00000000-0005-0000-0000-0000DFCB0000}"/>
    <cellStyle name="Normal 95 2 3" xfId="50850" xr:uid="{00000000-0005-0000-0000-0000E0CB0000}"/>
    <cellStyle name="Normal 95 2 3 2" xfId="50851" xr:uid="{00000000-0005-0000-0000-0000E1CB0000}"/>
    <cellStyle name="Normal 95 2 3 2 2" xfId="50852" xr:uid="{00000000-0005-0000-0000-0000E2CB0000}"/>
    <cellStyle name="Normal 95 2 3 2 3" xfId="50853" xr:uid="{00000000-0005-0000-0000-0000E3CB0000}"/>
    <cellStyle name="Normal 95 2 3 3" xfId="50854" xr:uid="{00000000-0005-0000-0000-0000E4CB0000}"/>
    <cellStyle name="Normal 95 2 3 3 2" xfId="50855" xr:uid="{00000000-0005-0000-0000-0000E5CB0000}"/>
    <cellStyle name="Normal 95 2 3 3 3" xfId="50856" xr:uid="{00000000-0005-0000-0000-0000E6CB0000}"/>
    <cellStyle name="Normal 95 2 3 4" xfId="50857" xr:uid="{00000000-0005-0000-0000-0000E7CB0000}"/>
    <cellStyle name="Normal 95 2 3 5" xfId="50858" xr:uid="{00000000-0005-0000-0000-0000E8CB0000}"/>
    <cellStyle name="Normal 95 2 3 6" xfId="50859" xr:uid="{00000000-0005-0000-0000-0000E9CB0000}"/>
    <cellStyle name="Normal 95 2 4" xfId="50860" xr:uid="{00000000-0005-0000-0000-0000EACB0000}"/>
    <cellStyle name="Normal 95 2 4 2" xfId="50861" xr:uid="{00000000-0005-0000-0000-0000EBCB0000}"/>
    <cellStyle name="Normal 95 2 4 3" xfId="50862" xr:uid="{00000000-0005-0000-0000-0000ECCB0000}"/>
    <cellStyle name="Normal 95 2 5" xfId="50863" xr:uid="{00000000-0005-0000-0000-0000EDCB0000}"/>
    <cellStyle name="Normal 95 2 5 2" xfId="50864" xr:uid="{00000000-0005-0000-0000-0000EECB0000}"/>
    <cellStyle name="Normal 95 2 5 3" xfId="50865" xr:uid="{00000000-0005-0000-0000-0000EFCB0000}"/>
    <cellStyle name="Normal 95 2 6" xfId="50866" xr:uid="{00000000-0005-0000-0000-0000F0CB0000}"/>
    <cellStyle name="Normal 95 2 7" xfId="50867" xr:uid="{00000000-0005-0000-0000-0000F1CB0000}"/>
    <cellStyle name="Normal 95 2 8" xfId="50868" xr:uid="{00000000-0005-0000-0000-0000F2CB0000}"/>
    <cellStyle name="Normal 95 2 9" xfId="50869" xr:uid="{00000000-0005-0000-0000-0000F3CB0000}"/>
    <cellStyle name="Normal 95 3" xfId="50870" xr:uid="{00000000-0005-0000-0000-0000F4CB0000}"/>
    <cellStyle name="Normal 95 3 2" xfId="50871" xr:uid="{00000000-0005-0000-0000-0000F5CB0000}"/>
    <cellStyle name="Normal 95 3 2 2" xfId="50872" xr:uid="{00000000-0005-0000-0000-0000F6CB0000}"/>
    <cellStyle name="Normal 95 3 2 2 2" xfId="50873" xr:uid="{00000000-0005-0000-0000-0000F7CB0000}"/>
    <cellStyle name="Normal 95 3 2 2 3" xfId="50874" xr:uid="{00000000-0005-0000-0000-0000F8CB0000}"/>
    <cellStyle name="Normal 95 3 2 3" xfId="50875" xr:uid="{00000000-0005-0000-0000-0000F9CB0000}"/>
    <cellStyle name="Normal 95 3 2 3 2" xfId="50876" xr:uid="{00000000-0005-0000-0000-0000FACB0000}"/>
    <cellStyle name="Normal 95 3 2 3 3" xfId="50877" xr:uid="{00000000-0005-0000-0000-0000FBCB0000}"/>
    <cellStyle name="Normal 95 3 2 4" xfId="50878" xr:uid="{00000000-0005-0000-0000-0000FCCB0000}"/>
    <cellStyle name="Normal 95 3 2 5" xfId="50879" xr:uid="{00000000-0005-0000-0000-0000FDCB0000}"/>
    <cellStyle name="Normal 95 3 2 6" xfId="50880" xr:uid="{00000000-0005-0000-0000-0000FECB0000}"/>
    <cellStyle name="Normal 95 3 3" xfId="50881" xr:uid="{00000000-0005-0000-0000-0000FFCB0000}"/>
    <cellStyle name="Normal 95 3 3 2" xfId="50882" xr:uid="{00000000-0005-0000-0000-000000CC0000}"/>
    <cellStyle name="Normal 95 3 3 3" xfId="50883" xr:uid="{00000000-0005-0000-0000-000001CC0000}"/>
    <cellStyle name="Normal 95 3 4" xfId="50884" xr:uid="{00000000-0005-0000-0000-000002CC0000}"/>
    <cellStyle name="Normal 95 3 4 2" xfId="50885" xr:uid="{00000000-0005-0000-0000-000003CC0000}"/>
    <cellStyle name="Normal 95 3 4 3" xfId="50886" xr:uid="{00000000-0005-0000-0000-000004CC0000}"/>
    <cellStyle name="Normal 95 3 5" xfId="50887" xr:uid="{00000000-0005-0000-0000-000005CC0000}"/>
    <cellStyle name="Normal 95 3 6" xfId="50888" xr:uid="{00000000-0005-0000-0000-000006CC0000}"/>
    <cellStyle name="Normal 95 3 7" xfId="50889" xr:uid="{00000000-0005-0000-0000-000007CC0000}"/>
    <cellStyle name="Normal 95 3 8" xfId="50890" xr:uid="{00000000-0005-0000-0000-000008CC0000}"/>
    <cellStyle name="Normal 95 4" xfId="50891" xr:uid="{00000000-0005-0000-0000-000009CC0000}"/>
    <cellStyle name="Normal 95 4 2" xfId="50892" xr:uid="{00000000-0005-0000-0000-00000ACC0000}"/>
    <cellStyle name="Normal 95 4 2 2" xfId="50893" xr:uid="{00000000-0005-0000-0000-00000BCC0000}"/>
    <cellStyle name="Normal 95 4 2 3" xfId="50894" xr:uid="{00000000-0005-0000-0000-00000CCC0000}"/>
    <cellStyle name="Normal 95 4 3" xfId="50895" xr:uid="{00000000-0005-0000-0000-00000DCC0000}"/>
    <cellStyle name="Normal 95 4 3 2" xfId="50896" xr:uid="{00000000-0005-0000-0000-00000ECC0000}"/>
    <cellStyle name="Normal 95 4 3 3" xfId="50897" xr:uid="{00000000-0005-0000-0000-00000FCC0000}"/>
    <cellStyle name="Normal 95 4 4" xfId="50898" xr:uid="{00000000-0005-0000-0000-000010CC0000}"/>
    <cellStyle name="Normal 95 4 5" xfId="50899" xr:uid="{00000000-0005-0000-0000-000011CC0000}"/>
    <cellStyle name="Normal 95 4 6" xfId="50900" xr:uid="{00000000-0005-0000-0000-000012CC0000}"/>
    <cellStyle name="Normal 95 5" xfId="50901" xr:uid="{00000000-0005-0000-0000-000013CC0000}"/>
    <cellStyle name="Normal 95 5 2" xfId="50902" xr:uid="{00000000-0005-0000-0000-000014CC0000}"/>
    <cellStyle name="Normal 95 5 3" xfId="50903" xr:uid="{00000000-0005-0000-0000-000015CC0000}"/>
    <cellStyle name="Normal 95 6" xfId="50904" xr:uid="{00000000-0005-0000-0000-000016CC0000}"/>
    <cellStyle name="Normal 95 6 2" xfId="50905" xr:uid="{00000000-0005-0000-0000-000017CC0000}"/>
    <cellStyle name="Normal 95 6 3" xfId="50906" xr:uid="{00000000-0005-0000-0000-000018CC0000}"/>
    <cellStyle name="Normal 95 7" xfId="50907" xr:uid="{00000000-0005-0000-0000-000019CC0000}"/>
    <cellStyle name="Normal 95 8" xfId="50908" xr:uid="{00000000-0005-0000-0000-00001ACC0000}"/>
    <cellStyle name="Normal 95 9" xfId="50909" xr:uid="{00000000-0005-0000-0000-00001BCC0000}"/>
    <cellStyle name="Normal 950" xfId="50910" xr:uid="{00000000-0005-0000-0000-00001CCC0000}"/>
    <cellStyle name="Normal 951" xfId="50911" xr:uid="{00000000-0005-0000-0000-00001DCC0000}"/>
    <cellStyle name="Normal 952" xfId="50912" xr:uid="{00000000-0005-0000-0000-00001ECC0000}"/>
    <cellStyle name="Normal 953" xfId="50913" xr:uid="{00000000-0005-0000-0000-00001FCC0000}"/>
    <cellStyle name="Normal 954" xfId="50914" xr:uid="{00000000-0005-0000-0000-000020CC0000}"/>
    <cellStyle name="Normal 955" xfId="50915" xr:uid="{00000000-0005-0000-0000-000021CC0000}"/>
    <cellStyle name="Normal 956" xfId="50916" xr:uid="{00000000-0005-0000-0000-000022CC0000}"/>
    <cellStyle name="Normal 957" xfId="50917" xr:uid="{00000000-0005-0000-0000-000023CC0000}"/>
    <cellStyle name="Normal 958" xfId="50918" xr:uid="{00000000-0005-0000-0000-000024CC0000}"/>
    <cellStyle name="Normal 959" xfId="50919" xr:uid="{00000000-0005-0000-0000-000025CC0000}"/>
    <cellStyle name="Normal 96" xfId="3606" xr:uid="{00000000-0005-0000-0000-000026CC0000}"/>
    <cellStyle name="Normal 96 10" xfId="50920" xr:uid="{00000000-0005-0000-0000-000027CC0000}"/>
    <cellStyle name="Normal 96 11" xfId="50921" xr:uid="{00000000-0005-0000-0000-000028CC0000}"/>
    <cellStyle name="Normal 96 12" xfId="50922" xr:uid="{00000000-0005-0000-0000-000029CC0000}"/>
    <cellStyle name="Normal 96 2" xfId="50923" xr:uid="{00000000-0005-0000-0000-00002ACC0000}"/>
    <cellStyle name="Normal 96 2 2" xfId="50924" xr:uid="{00000000-0005-0000-0000-00002BCC0000}"/>
    <cellStyle name="Normal 96 2 2 2" xfId="50925" xr:uid="{00000000-0005-0000-0000-00002CCC0000}"/>
    <cellStyle name="Normal 96 2 2 2 2" xfId="50926" xr:uid="{00000000-0005-0000-0000-00002DCC0000}"/>
    <cellStyle name="Normal 96 2 2 2 2 2" xfId="50927" xr:uid="{00000000-0005-0000-0000-00002ECC0000}"/>
    <cellStyle name="Normal 96 2 2 2 2 3" xfId="50928" xr:uid="{00000000-0005-0000-0000-00002FCC0000}"/>
    <cellStyle name="Normal 96 2 2 2 3" xfId="50929" xr:uid="{00000000-0005-0000-0000-000030CC0000}"/>
    <cellStyle name="Normal 96 2 2 2 3 2" xfId="50930" xr:uid="{00000000-0005-0000-0000-000031CC0000}"/>
    <cellStyle name="Normal 96 2 2 2 3 3" xfId="50931" xr:uid="{00000000-0005-0000-0000-000032CC0000}"/>
    <cellStyle name="Normal 96 2 2 2 4" xfId="50932" xr:uid="{00000000-0005-0000-0000-000033CC0000}"/>
    <cellStyle name="Normal 96 2 2 2 5" xfId="50933" xr:uid="{00000000-0005-0000-0000-000034CC0000}"/>
    <cellStyle name="Normal 96 2 2 2 6" xfId="50934" xr:uid="{00000000-0005-0000-0000-000035CC0000}"/>
    <cellStyle name="Normal 96 2 2 3" xfId="50935" xr:uid="{00000000-0005-0000-0000-000036CC0000}"/>
    <cellStyle name="Normal 96 2 2 3 2" xfId="50936" xr:uid="{00000000-0005-0000-0000-000037CC0000}"/>
    <cellStyle name="Normal 96 2 2 3 3" xfId="50937" xr:uid="{00000000-0005-0000-0000-000038CC0000}"/>
    <cellStyle name="Normal 96 2 2 4" xfId="50938" xr:uid="{00000000-0005-0000-0000-000039CC0000}"/>
    <cellStyle name="Normal 96 2 2 4 2" xfId="50939" xr:uid="{00000000-0005-0000-0000-00003ACC0000}"/>
    <cellStyle name="Normal 96 2 2 4 3" xfId="50940" xr:uid="{00000000-0005-0000-0000-00003BCC0000}"/>
    <cellStyle name="Normal 96 2 2 5" xfId="50941" xr:uid="{00000000-0005-0000-0000-00003CCC0000}"/>
    <cellStyle name="Normal 96 2 2 6" xfId="50942" xr:uid="{00000000-0005-0000-0000-00003DCC0000}"/>
    <cellStyle name="Normal 96 2 2 7" xfId="50943" xr:uid="{00000000-0005-0000-0000-00003ECC0000}"/>
    <cellStyle name="Normal 96 2 2 8" xfId="50944" xr:uid="{00000000-0005-0000-0000-00003FCC0000}"/>
    <cellStyle name="Normal 96 2 3" xfId="50945" xr:uid="{00000000-0005-0000-0000-000040CC0000}"/>
    <cellStyle name="Normal 96 2 3 2" xfId="50946" xr:uid="{00000000-0005-0000-0000-000041CC0000}"/>
    <cellStyle name="Normal 96 2 3 2 2" xfId="50947" xr:uid="{00000000-0005-0000-0000-000042CC0000}"/>
    <cellStyle name="Normal 96 2 3 2 3" xfId="50948" xr:uid="{00000000-0005-0000-0000-000043CC0000}"/>
    <cellStyle name="Normal 96 2 3 3" xfId="50949" xr:uid="{00000000-0005-0000-0000-000044CC0000}"/>
    <cellStyle name="Normal 96 2 3 3 2" xfId="50950" xr:uid="{00000000-0005-0000-0000-000045CC0000}"/>
    <cellStyle name="Normal 96 2 3 3 3" xfId="50951" xr:uid="{00000000-0005-0000-0000-000046CC0000}"/>
    <cellStyle name="Normal 96 2 3 4" xfId="50952" xr:uid="{00000000-0005-0000-0000-000047CC0000}"/>
    <cellStyle name="Normal 96 2 3 5" xfId="50953" xr:uid="{00000000-0005-0000-0000-000048CC0000}"/>
    <cellStyle name="Normal 96 2 3 6" xfId="50954" xr:uid="{00000000-0005-0000-0000-000049CC0000}"/>
    <cellStyle name="Normal 96 2 4" xfId="50955" xr:uid="{00000000-0005-0000-0000-00004ACC0000}"/>
    <cellStyle name="Normal 96 2 4 2" xfId="50956" xr:uid="{00000000-0005-0000-0000-00004BCC0000}"/>
    <cellStyle name="Normal 96 2 4 3" xfId="50957" xr:uid="{00000000-0005-0000-0000-00004CCC0000}"/>
    <cellStyle name="Normal 96 2 5" xfId="50958" xr:uid="{00000000-0005-0000-0000-00004DCC0000}"/>
    <cellStyle name="Normal 96 2 5 2" xfId="50959" xr:uid="{00000000-0005-0000-0000-00004ECC0000}"/>
    <cellStyle name="Normal 96 2 5 3" xfId="50960" xr:uid="{00000000-0005-0000-0000-00004FCC0000}"/>
    <cellStyle name="Normal 96 2 6" xfId="50961" xr:uid="{00000000-0005-0000-0000-000050CC0000}"/>
    <cellStyle name="Normal 96 2 7" xfId="50962" xr:uid="{00000000-0005-0000-0000-000051CC0000}"/>
    <cellStyle name="Normal 96 2 8" xfId="50963" xr:uid="{00000000-0005-0000-0000-000052CC0000}"/>
    <cellStyle name="Normal 96 2 9" xfId="50964" xr:uid="{00000000-0005-0000-0000-000053CC0000}"/>
    <cellStyle name="Normal 96 3" xfId="50965" xr:uid="{00000000-0005-0000-0000-000054CC0000}"/>
    <cellStyle name="Normal 96 3 2" xfId="50966" xr:uid="{00000000-0005-0000-0000-000055CC0000}"/>
    <cellStyle name="Normal 96 3 2 2" xfId="50967" xr:uid="{00000000-0005-0000-0000-000056CC0000}"/>
    <cellStyle name="Normal 96 3 2 2 2" xfId="50968" xr:uid="{00000000-0005-0000-0000-000057CC0000}"/>
    <cellStyle name="Normal 96 3 2 2 3" xfId="50969" xr:uid="{00000000-0005-0000-0000-000058CC0000}"/>
    <cellStyle name="Normal 96 3 2 3" xfId="50970" xr:uid="{00000000-0005-0000-0000-000059CC0000}"/>
    <cellStyle name="Normal 96 3 2 3 2" xfId="50971" xr:uid="{00000000-0005-0000-0000-00005ACC0000}"/>
    <cellStyle name="Normal 96 3 2 3 3" xfId="50972" xr:uid="{00000000-0005-0000-0000-00005BCC0000}"/>
    <cellStyle name="Normal 96 3 2 4" xfId="50973" xr:uid="{00000000-0005-0000-0000-00005CCC0000}"/>
    <cellStyle name="Normal 96 3 2 5" xfId="50974" xr:uid="{00000000-0005-0000-0000-00005DCC0000}"/>
    <cellStyle name="Normal 96 3 2 6" xfId="50975" xr:uid="{00000000-0005-0000-0000-00005ECC0000}"/>
    <cellStyle name="Normal 96 3 3" xfId="50976" xr:uid="{00000000-0005-0000-0000-00005FCC0000}"/>
    <cellStyle name="Normal 96 3 3 2" xfId="50977" xr:uid="{00000000-0005-0000-0000-000060CC0000}"/>
    <cellStyle name="Normal 96 3 3 3" xfId="50978" xr:uid="{00000000-0005-0000-0000-000061CC0000}"/>
    <cellStyle name="Normal 96 3 4" xfId="50979" xr:uid="{00000000-0005-0000-0000-000062CC0000}"/>
    <cellStyle name="Normal 96 3 4 2" xfId="50980" xr:uid="{00000000-0005-0000-0000-000063CC0000}"/>
    <cellStyle name="Normal 96 3 4 3" xfId="50981" xr:uid="{00000000-0005-0000-0000-000064CC0000}"/>
    <cellStyle name="Normal 96 3 5" xfId="50982" xr:uid="{00000000-0005-0000-0000-000065CC0000}"/>
    <cellStyle name="Normal 96 3 6" xfId="50983" xr:uid="{00000000-0005-0000-0000-000066CC0000}"/>
    <cellStyle name="Normal 96 3 7" xfId="50984" xr:uid="{00000000-0005-0000-0000-000067CC0000}"/>
    <cellStyle name="Normal 96 3 8" xfId="50985" xr:uid="{00000000-0005-0000-0000-000068CC0000}"/>
    <cellStyle name="Normal 96 4" xfId="50986" xr:uid="{00000000-0005-0000-0000-000069CC0000}"/>
    <cellStyle name="Normal 96 4 2" xfId="50987" xr:uid="{00000000-0005-0000-0000-00006ACC0000}"/>
    <cellStyle name="Normal 96 4 2 2" xfId="50988" xr:uid="{00000000-0005-0000-0000-00006BCC0000}"/>
    <cellStyle name="Normal 96 4 2 3" xfId="50989" xr:uid="{00000000-0005-0000-0000-00006CCC0000}"/>
    <cellStyle name="Normal 96 4 3" xfId="50990" xr:uid="{00000000-0005-0000-0000-00006DCC0000}"/>
    <cellStyle name="Normal 96 4 3 2" xfId="50991" xr:uid="{00000000-0005-0000-0000-00006ECC0000}"/>
    <cellStyle name="Normal 96 4 3 3" xfId="50992" xr:uid="{00000000-0005-0000-0000-00006FCC0000}"/>
    <cellStyle name="Normal 96 4 4" xfId="50993" xr:uid="{00000000-0005-0000-0000-000070CC0000}"/>
    <cellStyle name="Normal 96 4 5" xfId="50994" xr:uid="{00000000-0005-0000-0000-000071CC0000}"/>
    <cellStyle name="Normal 96 4 6" xfId="50995" xr:uid="{00000000-0005-0000-0000-000072CC0000}"/>
    <cellStyle name="Normal 96 5" xfId="50996" xr:uid="{00000000-0005-0000-0000-000073CC0000}"/>
    <cellStyle name="Normal 96 5 2" xfId="50997" xr:uid="{00000000-0005-0000-0000-000074CC0000}"/>
    <cellStyle name="Normal 96 5 3" xfId="50998" xr:uid="{00000000-0005-0000-0000-000075CC0000}"/>
    <cellStyle name="Normal 96 6" xfId="50999" xr:uid="{00000000-0005-0000-0000-000076CC0000}"/>
    <cellStyle name="Normal 96 6 2" xfId="51000" xr:uid="{00000000-0005-0000-0000-000077CC0000}"/>
    <cellStyle name="Normal 96 6 3" xfId="51001" xr:uid="{00000000-0005-0000-0000-000078CC0000}"/>
    <cellStyle name="Normal 96 7" xfId="51002" xr:uid="{00000000-0005-0000-0000-000079CC0000}"/>
    <cellStyle name="Normal 96 8" xfId="51003" xr:uid="{00000000-0005-0000-0000-00007ACC0000}"/>
    <cellStyle name="Normal 96 9" xfId="51004" xr:uid="{00000000-0005-0000-0000-00007BCC0000}"/>
    <cellStyle name="Normal 960" xfId="51005" xr:uid="{00000000-0005-0000-0000-00007CCC0000}"/>
    <cellStyle name="Normal 961" xfId="51006" xr:uid="{00000000-0005-0000-0000-00007DCC0000}"/>
    <cellStyle name="Normal 962" xfId="51007" xr:uid="{00000000-0005-0000-0000-00007ECC0000}"/>
    <cellStyle name="Normal 963" xfId="51008" xr:uid="{00000000-0005-0000-0000-00007FCC0000}"/>
    <cellStyle name="Normal 964" xfId="51009" xr:uid="{00000000-0005-0000-0000-000080CC0000}"/>
    <cellStyle name="Normal 965" xfId="51010" xr:uid="{00000000-0005-0000-0000-000081CC0000}"/>
    <cellStyle name="Normal 966" xfId="51011" xr:uid="{00000000-0005-0000-0000-000082CC0000}"/>
    <cellStyle name="Normal 967" xfId="51012" xr:uid="{00000000-0005-0000-0000-000083CC0000}"/>
    <cellStyle name="Normal 968" xfId="51013" xr:uid="{00000000-0005-0000-0000-000084CC0000}"/>
    <cellStyle name="Normal 969" xfId="51014" xr:uid="{00000000-0005-0000-0000-000085CC0000}"/>
    <cellStyle name="Normal 97" xfId="3607" xr:uid="{00000000-0005-0000-0000-000086CC0000}"/>
    <cellStyle name="Normal 97 10" xfId="51015" xr:uid="{00000000-0005-0000-0000-000087CC0000}"/>
    <cellStyle name="Normal 97 11" xfId="51016" xr:uid="{00000000-0005-0000-0000-000088CC0000}"/>
    <cellStyle name="Normal 97 12" xfId="51017" xr:uid="{00000000-0005-0000-0000-000089CC0000}"/>
    <cellStyle name="Normal 97 2" xfId="51018" xr:uid="{00000000-0005-0000-0000-00008ACC0000}"/>
    <cellStyle name="Normal 97 2 2" xfId="51019" xr:uid="{00000000-0005-0000-0000-00008BCC0000}"/>
    <cellStyle name="Normal 97 2 2 2" xfId="51020" xr:uid="{00000000-0005-0000-0000-00008CCC0000}"/>
    <cellStyle name="Normal 97 2 2 2 2" xfId="51021" xr:uid="{00000000-0005-0000-0000-00008DCC0000}"/>
    <cellStyle name="Normal 97 2 2 2 2 2" xfId="51022" xr:uid="{00000000-0005-0000-0000-00008ECC0000}"/>
    <cellStyle name="Normal 97 2 2 2 2 3" xfId="51023" xr:uid="{00000000-0005-0000-0000-00008FCC0000}"/>
    <cellStyle name="Normal 97 2 2 2 3" xfId="51024" xr:uid="{00000000-0005-0000-0000-000090CC0000}"/>
    <cellStyle name="Normal 97 2 2 2 3 2" xfId="51025" xr:uid="{00000000-0005-0000-0000-000091CC0000}"/>
    <cellStyle name="Normal 97 2 2 2 3 3" xfId="51026" xr:uid="{00000000-0005-0000-0000-000092CC0000}"/>
    <cellStyle name="Normal 97 2 2 2 4" xfId="51027" xr:uid="{00000000-0005-0000-0000-000093CC0000}"/>
    <cellStyle name="Normal 97 2 2 2 5" xfId="51028" xr:uid="{00000000-0005-0000-0000-000094CC0000}"/>
    <cellStyle name="Normal 97 2 2 2 6" xfId="51029" xr:uid="{00000000-0005-0000-0000-000095CC0000}"/>
    <cellStyle name="Normal 97 2 2 3" xfId="51030" xr:uid="{00000000-0005-0000-0000-000096CC0000}"/>
    <cellStyle name="Normal 97 2 2 3 2" xfId="51031" xr:uid="{00000000-0005-0000-0000-000097CC0000}"/>
    <cellStyle name="Normal 97 2 2 3 3" xfId="51032" xr:uid="{00000000-0005-0000-0000-000098CC0000}"/>
    <cellStyle name="Normal 97 2 2 4" xfId="51033" xr:uid="{00000000-0005-0000-0000-000099CC0000}"/>
    <cellStyle name="Normal 97 2 2 4 2" xfId="51034" xr:uid="{00000000-0005-0000-0000-00009ACC0000}"/>
    <cellStyle name="Normal 97 2 2 4 3" xfId="51035" xr:uid="{00000000-0005-0000-0000-00009BCC0000}"/>
    <cellStyle name="Normal 97 2 2 5" xfId="51036" xr:uid="{00000000-0005-0000-0000-00009CCC0000}"/>
    <cellStyle name="Normal 97 2 2 6" xfId="51037" xr:uid="{00000000-0005-0000-0000-00009DCC0000}"/>
    <cellStyle name="Normal 97 2 2 7" xfId="51038" xr:uid="{00000000-0005-0000-0000-00009ECC0000}"/>
    <cellStyle name="Normal 97 2 2 8" xfId="51039" xr:uid="{00000000-0005-0000-0000-00009FCC0000}"/>
    <cellStyle name="Normal 97 2 3" xfId="51040" xr:uid="{00000000-0005-0000-0000-0000A0CC0000}"/>
    <cellStyle name="Normal 97 2 3 2" xfId="51041" xr:uid="{00000000-0005-0000-0000-0000A1CC0000}"/>
    <cellStyle name="Normal 97 2 3 2 2" xfId="51042" xr:uid="{00000000-0005-0000-0000-0000A2CC0000}"/>
    <cellStyle name="Normal 97 2 3 2 3" xfId="51043" xr:uid="{00000000-0005-0000-0000-0000A3CC0000}"/>
    <cellStyle name="Normal 97 2 3 3" xfId="51044" xr:uid="{00000000-0005-0000-0000-0000A4CC0000}"/>
    <cellStyle name="Normal 97 2 3 3 2" xfId="51045" xr:uid="{00000000-0005-0000-0000-0000A5CC0000}"/>
    <cellStyle name="Normal 97 2 3 3 3" xfId="51046" xr:uid="{00000000-0005-0000-0000-0000A6CC0000}"/>
    <cellStyle name="Normal 97 2 3 4" xfId="51047" xr:uid="{00000000-0005-0000-0000-0000A7CC0000}"/>
    <cellStyle name="Normal 97 2 3 5" xfId="51048" xr:uid="{00000000-0005-0000-0000-0000A8CC0000}"/>
    <cellStyle name="Normal 97 2 3 6" xfId="51049" xr:uid="{00000000-0005-0000-0000-0000A9CC0000}"/>
    <cellStyle name="Normal 97 2 4" xfId="51050" xr:uid="{00000000-0005-0000-0000-0000AACC0000}"/>
    <cellStyle name="Normal 97 2 4 2" xfId="51051" xr:uid="{00000000-0005-0000-0000-0000ABCC0000}"/>
    <cellStyle name="Normal 97 2 4 3" xfId="51052" xr:uid="{00000000-0005-0000-0000-0000ACCC0000}"/>
    <cellStyle name="Normal 97 2 5" xfId="51053" xr:uid="{00000000-0005-0000-0000-0000ADCC0000}"/>
    <cellStyle name="Normal 97 2 5 2" xfId="51054" xr:uid="{00000000-0005-0000-0000-0000AECC0000}"/>
    <cellStyle name="Normal 97 2 5 3" xfId="51055" xr:uid="{00000000-0005-0000-0000-0000AFCC0000}"/>
    <cellStyle name="Normal 97 2 6" xfId="51056" xr:uid="{00000000-0005-0000-0000-0000B0CC0000}"/>
    <cellStyle name="Normal 97 2 7" xfId="51057" xr:uid="{00000000-0005-0000-0000-0000B1CC0000}"/>
    <cellStyle name="Normal 97 2 8" xfId="51058" xr:uid="{00000000-0005-0000-0000-0000B2CC0000}"/>
    <cellStyle name="Normal 97 2 9" xfId="51059" xr:uid="{00000000-0005-0000-0000-0000B3CC0000}"/>
    <cellStyle name="Normal 97 3" xfId="51060" xr:uid="{00000000-0005-0000-0000-0000B4CC0000}"/>
    <cellStyle name="Normal 97 3 2" xfId="51061" xr:uid="{00000000-0005-0000-0000-0000B5CC0000}"/>
    <cellStyle name="Normal 97 3 2 2" xfId="51062" xr:uid="{00000000-0005-0000-0000-0000B6CC0000}"/>
    <cellStyle name="Normal 97 3 2 2 2" xfId="51063" xr:uid="{00000000-0005-0000-0000-0000B7CC0000}"/>
    <cellStyle name="Normal 97 3 2 2 3" xfId="51064" xr:uid="{00000000-0005-0000-0000-0000B8CC0000}"/>
    <cellStyle name="Normal 97 3 2 3" xfId="51065" xr:uid="{00000000-0005-0000-0000-0000B9CC0000}"/>
    <cellStyle name="Normal 97 3 2 3 2" xfId="51066" xr:uid="{00000000-0005-0000-0000-0000BACC0000}"/>
    <cellStyle name="Normal 97 3 2 3 3" xfId="51067" xr:uid="{00000000-0005-0000-0000-0000BBCC0000}"/>
    <cellStyle name="Normal 97 3 2 4" xfId="51068" xr:uid="{00000000-0005-0000-0000-0000BCCC0000}"/>
    <cellStyle name="Normal 97 3 2 5" xfId="51069" xr:uid="{00000000-0005-0000-0000-0000BDCC0000}"/>
    <cellStyle name="Normal 97 3 2 6" xfId="51070" xr:uid="{00000000-0005-0000-0000-0000BECC0000}"/>
    <cellStyle name="Normal 97 3 3" xfId="51071" xr:uid="{00000000-0005-0000-0000-0000BFCC0000}"/>
    <cellStyle name="Normal 97 3 3 2" xfId="51072" xr:uid="{00000000-0005-0000-0000-0000C0CC0000}"/>
    <cellStyle name="Normal 97 3 3 3" xfId="51073" xr:uid="{00000000-0005-0000-0000-0000C1CC0000}"/>
    <cellStyle name="Normal 97 3 4" xfId="51074" xr:uid="{00000000-0005-0000-0000-0000C2CC0000}"/>
    <cellStyle name="Normal 97 3 4 2" xfId="51075" xr:uid="{00000000-0005-0000-0000-0000C3CC0000}"/>
    <cellStyle name="Normal 97 3 4 3" xfId="51076" xr:uid="{00000000-0005-0000-0000-0000C4CC0000}"/>
    <cellStyle name="Normal 97 3 5" xfId="51077" xr:uid="{00000000-0005-0000-0000-0000C5CC0000}"/>
    <cellStyle name="Normal 97 3 6" xfId="51078" xr:uid="{00000000-0005-0000-0000-0000C6CC0000}"/>
    <cellStyle name="Normal 97 3 7" xfId="51079" xr:uid="{00000000-0005-0000-0000-0000C7CC0000}"/>
    <cellStyle name="Normal 97 3 8" xfId="51080" xr:uid="{00000000-0005-0000-0000-0000C8CC0000}"/>
    <cellStyle name="Normal 97 4" xfId="51081" xr:uid="{00000000-0005-0000-0000-0000C9CC0000}"/>
    <cellStyle name="Normal 97 4 2" xfId="51082" xr:uid="{00000000-0005-0000-0000-0000CACC0000}"/>
    <cellStyle name="Normal 97 4 2 2" xfId="51083" xr:uid="{00000000-0005-0000-0000-0000CBCC0000}"/>
    <cellStyle name="Normal 97 4 2 3" xfId="51084" xr:uid="{00000000-0005-0000-0000-0000CCCC0000}"/>
    <cellStyle name="Normal 97 4 3" xfId="51085" xr:uid="{00000000-0005-0000-0000-0000CDCC0000}"/>
    <cellStyle name="Normal 97 4 3 2" xfId="51086" xr:uid="{00000000-0005-0000-0000-0000CECC0000}"/>
    <cellStyle name="Normal 97 4 3 3" xfId="51087" xr:uid="{00000000-0005-0000-0000-0000CFCC0000}"/>
    <cellStyle name="Normal 97 4 4" xfId="51088" xr:uid="{00000000-0005-0000-0000-0000D0CC0000}"/>
    <cellStyle name="Normal 97 4 5" xfId="51089" xr:uid="{00000000-0005-0000-0000-0000D1CC0000}"/>
    <cellStyle name="Normal 97 4 6" xfId="51090" xr:uid="{00000000-0005-0000-0000-0000D2CC0000}"/>
    <cellStyle name="Normal 97 5" xfId="51091" xr:uid="{00000000-0005-0000-0000-0000D3CC0000}"/>
    <cellStyle name="Normal 97 5 2" xfId="51092" xr:uid="{00000000-0005-0000-0000-0000D4CC0000}"/>
    <cellStyle name="Normal 97 5 3" xfId="51093" xr:uid="{00000000-0005-0000-0000-0000D5CC0000}"/>
    <cellStyle name="Normal 97 6" xfId="51094" xr:uid="{00000000-0005-0000-0000-0000D6CC0000}"/>
    <cellStyle name="Normal 97 6 2" xfId="51095" xr:uid="{00000000-0005-0000-0000-0000D7CC0000}"/>
    <cellStyle name="Normal 97 6 3" xfId="51096" xr:uid="{00000000-0005-0000-0000-0000D8CC0000}"/>
    <cellStyle name="Normal 97 7" xfId="51097" xr:uid="{00000000-0005-0000-0000-0000D9CC0000}"/>
    <cellStyle name="Normal 97 8" xfId="51098" xr:uid="{00000000-0005-0000-0000-0000DACC0000}"/>
    <cellStyle name="Normal 97 9" xfId="51099" xr:uid="{00000000-0005-0000-0000-0000DBCC0000}"/>
    <cellStyle name="Normal 970" xfId="51100" xr:uid="{00000000-0005-0000-0000-0000DCCC0000}"/>
    <cellStyle name="Normal 970 2" xfId="51101" xr:uid="{00000000-0005-0000-0000-0000DDCC0000}"/>
    <cellStyle name="Normal 971" xfId="51102" xr:uid="{00000000-0005-0000-0000-0000DECC0000}"/>
    <cellStyle name="Normal 972" xfId="51103" xr:uid="{00000000-0005-0000-0000-0000DFCC0000}"/>
    <cellStyle name="Normal 973" xfId="51104" xr:uid="{00000000-0005-0000-0000-0000E0CC0000}"/>
    <cellStyle name="Normal 974" xfId="51105" xr:uid="{00000000-0005-0000-0000-0000E1CC0000}"/>
    <cellStyle name="Normal 975" xfId="51106" xr:uid="{00000000-0005-0000-0000-0000E2CC0000}"/>
    <cellStyle name="Normal 976" xfId="51107" xr:uid="{00000000-0005-0000-0000-0000E3CC0000}"/>
    <cellStyle name="Normal 977" xfId="51108" xr:uid="{00000000-0005-0000-0000-0000E4CC0000}"/>
    <cellStyle name="Normal 978" xfId="51109" xr:uid="{00000000-0005-0000-0000-0000E5CC0000}"/>
    <cellStyle name="Normal 979" xfId="51110" xr:uid="{00000000-0005-0000-0000-0000E6CC0000}"/>
    <cellStyle name="Normal 98" xfId="3608" xr:uid="{00000000-0005-0000-0000-0000E7CC0000}"/>
    <cellStyle name="Normal 98 10" xfId="51111" xr:uid="{00000000-0005-0000-0000-0000E8CC0000}"/>
    <cellStyle name="Normal 98 11" xfId="51112" xr:uid="{00000000-0005-0000-0000-0000E9CC0000}"/>
    <cellStyle name="Normal 98 12" xfId="51113" xr:uid="{00000000-0005-0000-0000-0000EACC0000}"/>
    <cellStyle name="Normal 98 2" xfId="51114" xr:uid="{00000000-0005-0000-0000-0000EBCC0000}"/>
    <cellStyle name="Normal 98 2 2" xfId="51115" xr:uid="{00000000-0005-0000-0000-0000ECCC0000}"/>
    <cellStyle name="Normal 98 2 2 2" xfId="51116" xr:uid="{00000000-0005-0000-0000-0000EDCC0000}"/>
    <cellStyle name="Normal 98 2 2 2 2" xfId="51117" xr:uid="{00000000-0005-0000-0000-0000EECC0000}"/>
    <cellStyle name="Normal 98 2 2 2 2 2" xfId="51118" xr:uid="{00000000-0005-0000-0000-0000EFCC0000}"/>
    <cellStyle name="Normal 98 2 2 2 2 3" xfId="51119" xr:uid="{00000000-0005-0000-0000-0000F0CC0000}"/>
    <cellStyle name="Normal 98 2 2 2 3" xfId="51120" xr:uid="{00000000-0005-0000-0000-0000F1CC0000}"/>
    <cellStyle name="Normal 98 2 2 2 3 2" xfId="51121" xr:uid="{00000000-0005-0000-0000-0000F2CC0000}"/>
    <cellStyle name="Normal 98 2 2 2 3 3" xfId="51122" xr:uid="{00000000-0005-0000-0000-0000F3CC0000}"/>
    <cellStyle name="Normal 98 2 2 2 4" xfId="51123" xr:uid="{00000000-0005-0000-0000-0000F4CC0000}"/>
    <cellStyle name="Normal 98 2 2 2 5" xfId="51124" xr:uid="{00000000-0005-0000-0000-0000F5CC0000}"/>
    <cellStyle name="Normal 98 2 2 2 6" xfId="51125" xr:uid="{00000000-0005-0000-0000-0000F6CC0000}"/>
    <cellStyle name="Normal 98 2 2 3" xfId="51126" xr:uid="{00000000-0005-0000-0000-0000F7CC0000}"/>
    <cellStyle name="Normal 98 2 2 3 2" xfId="51127" xr:uid="{00000000-0005-0000-0000-0000F8CC0000}"/>
    <cellStyle name="Normal 98 2 2 3 3" xfId="51128" xr:uid="{00000000-0005-0000-0000-0000F9CC0000}"/>
    <cellStyle name="Normal 98 2 2 4" xfId="51129" xr:uid="{00000000-0005-0000-0000-0000FACC0000}"/>
    <cellStyle name="Normal 98 2 2 4 2" xfId="51130" xr:uid="{00000000-0005-0000-0000-0000FBCC0000}"/>
    <cellStyle name="Normal 98 2 2 4 3" xfId="51131" xr:uid="{00000000-0005-0000-0000-0000FCCC0000}"/>
    <cellStyle name="Normal 98 2 2 5" xfId="51132" xr:uid="{00000000-0005-0000-0000-0000FDCC0000}"/>
    <cellStyle name="Normal 98 2 2 6" xfId="51133" xr:uid="{00000000-0005-0000-0000-0000FECC0000}"/>
    <cellStyle name="Normal 98 2 2 7" xfId="51134" xr:uid="{00000000-0005-0000-0000-0000FFCC0000}"/>
    <cellStyle name="Normal 98 2 2 8" xfId="51135" xr:uid="{00000000-0005-0000-0000-000000CD0000}"/>
    <cellStyle name="Normal 98 2 3" xfId="51136" xr:uid="{00000000-0005-0000-0000-000001CD0000}"/>
    <cellStyle name="Normal 98 2 3 2" xfId="51137" xr:uid="{00000000-0005-0000-0000-000002CD0000}"/>
    <cellStyle name="Normal 98 2 3 2 2" xfId="51138" xr:uid="{00000000-0005-0000-0000-000003CD0000}"/>
    <cellStyle name="Normal 98 2 3 2 3" xfId="51139" xr:uid="{00000000-0005-0000-0000-000004CD0000}"/>
    <cellStyle name="Normal 98 2 3 3" xfId="51140" xr:uid="{00000000-0005-0000-0000-000005CD0000}"/>
    <cellStyle name="Normal 98 2 3 3 2" xfId="51141" xr:uid="{00000000-0005-0000-0000-000006CD0000}"/>
    <cellStyle name="Normal 98 2 3 3 3" xfId="51142" xr:uid="{00000000-0005-0000-0000-000007CD0000}"/>
    <cellStyle name="Normal 98 2 3 4" xfId="51143" xr:uid="{00000000-0005-0000-0000-000008CD0000}"/>
    <cellStyle name="Normal 98 2 3 5" xfId="51144" xr:uid="{00000000-0005-0000-0000-000009CD0000}"/>
    <cellStyle name="Normal 98 2 3 6" xfId="51145" xr:uid="{00000000-0005-0000-0000-00000ACD0000}"/>
    <cellStyle name="Normal 98 2 4" xfId="51146" xr:uid="{00000000-0005-0000-0000-00000BCD0000}"/>
    <cellStyle name="Normal 98 2 4 2" xfId="51147" xr:uid="{00000000-0005-0000-0000-00000CCD0000}"/>
    <cellStyle name="Normal 98 2 4 3" xfId="51148" xr:uid="{00000000-0005-0000-0000-00000DCD0000}"/>
    <cellStyle name="Normal 98 2 5" xfId="51149" xr:uid="{00000000-0005-0000-0000-00000ECD0000}"/>
    <cellStyle name="Normal 98 2 5 2" xfId="51150" xr:uid="{00000000-0005-0000-0000-00000FCD0000}"/>
    <cellStyle name="Normal 98 2 5 3" xfId="51151" xr:uid="{00000000-0005-0000-0000-000010CD0000}"/>
    <cellStyle name="Normal 98 2 6" xfId="51152" xr:uid="{00000000-0005-0000-0000-000011CD0000}"/>
    <cellStyle name="Normal 98 2 7" xfId="51153" xr:uid="{00000000-0005-0000-0000-000012CD0000}"/>
    <cellStyle name="Normal 98 2 8" xfId="51154" xr:uid="{00000000-0005-0000-0000-000013CD0000}"/>
    <cellStyle name="Normal 98 2 9" xfId="51155" xr:uid="{00000000-0005-0000-0000-000014CD0000}"/>
    <cellStyle name="Normal 98 3" xfId="51156" xr:uid="{00000000-0005-0000-0000-000015CD0000}"/>
    <cellStyle name="Normal 98 3 2" xfId="51157" xr:uid="{00000000-0005-0000-0000-000016CD0000}"/>
    <cellStyle name="Normal 98 3 2 2" xfId="51158" xr:uid="{00000000-0005-0000-0000-000017CD0000}"/>
    <cellStyle name="Normal 98 3 2 2 2" xfId="51159" xr:uid="{00000000-0005-0000-0000-000018CD0000}"/>
    <cellStyle name="Normal 98 3 2 2 3" xfId="51160" xr:uid="{00000000-0005-0000-0000-000019CD0000}"/>
    <cellStyle name="Normal 98 3 2 3" xfId="51161" xr:uid="{00000000-0005-0000-0000-00001ACD0000}"/>
    <cellStyle name="Normal 98 3 2 3 2" xfId="51162" xr:uid="{00000000-0005-0000-0000-00001BCD0000}"/>
    <cellStyle name="Normal 98 3 2 3 3" xfId="51163" xr:uid="{00000000-0005-0000-0000-00001CCD0000}"/>
    <cellStyle name="Normal 98 3 2 4" xfId="51164" xr:uid="{00000000-0005-0000-0000-00001DCD0000}"/>
    <cellStyle name="Normal 98 3 2 5" xfId="51165" xr:uid="{00000000-0005-0000-0000-00001ECD0000}"/>
    <cellStyle name="Normal 98 3 2 6" xfId="51166" xr:uid="{00000000-0005-0000-0000-00001FCD0000}"/>
    <cellStyle name="Normal 98 3 3" xfId="51167" xr:uid="{00000000-0005-0000-0000-000020CD0000}"/>
    <cellStyle name="Normal 98 3 3 2" xfId="51168" xr:uid="{00000000-0005-0000-0000-000021CD0000}"/>
    <cellStyle name="Normal 98 3 3 3" xfId="51169" xr:uid="{00000000-0005-0000-0000-000022CD0000}"/>
    <cellStyle name="Normal 98 3 4" xfId="51170" xr:uid="{00000000-0005-0000-0000-000023CD0000}"/>
    <cellStyle name="Normal 98 3 4 2" xfId="51171" xr:uid="{00000000-0005-0000-0000-000024CD0000}"/>
    <cellStyle name="Normal 98 3 4 3" xfId="51172" xr:uid="{00000000-0005-0000-0000-000025CD0000}"/>
    <cellStyle name="Normal 98 3 5" xfId="51173" xr:uid="{00000000-0005-0000-0000-000026CD0000}"/>
    <cellStyle name="Normal 98 3 6" xfId="51174" xr:uid="{00000000-0005-0000-0000-000027CD0000}"/>
    <cellStyle name="Normal 98 3 7" xfId="51175" xr:uid="{00000000-0005-0000-0000-000028CD0000}"/>
    <cellStyle name="Normal 98 3 8" xfId="51176" xr:uid="{00000000-0005-0000-0000-000029CD0000}"/>
    <cellStyle name="Normal 98 4" xfId="51177" xr:uid="{00000000-0005-0000-0000-00002ACD0000}"/>
    <cellStyle name="Normal 98 4 2" xfId="51178" xr:uid="{00000000-0005-0000-0000-00002BCD0000}"/>
    <cellStyle name="Normal 98 4 2 2" xfId="51179" xr:uid="{00000000-0005-0000-0000-00002CCD0000}"/>
    <cellStyle name="Normal 98 4 2 3" xfId="51180" xr:uid="{00000000-0005-0000-0000-00002DCD0000}"/>
    <cellStyle name="Normal 98 4 3" xfId="51181" xr:uid="{00000000-0005-0000-0000-00002ECD0000}"/>
    <cellStyle name="Normal 98 4 3 2" xfId="51182" xr:uid="{00000000-0005-0000-0000-00002FCD0000}"/>
    <cellStyle name="Normal 98 4 3 3" xfId="51183" xr:uid="{00000000-0005-0000-0000-000030CD0000}"/>
    <cellStyle name="Normal 98 4 4" xfId="51184" xr:uid="{00000000-0005-0000-0000-000031CD0000}"/>
    <cellStyle name="Normal 98 4 5" xfId="51185" xr:uid="{00000000-0005-0000-0000-000032CD0000}"/>
    <cellStyle name="Normal 98 4 6" xfId="51186" xr:uid="{00000000-0005-0000-0000-000033CD0000}"/>
    <cellStyle name="Normal 98 5" xfId="51187" xr:uid="{00000000-0005-0000-0000-000034CD0000}"/>
    <cellStyle name="Normal 98 5 2" xfId="51188" xr:uid="{00000000-0005-0000-0000-000035CD0000}"/>
    <cellStyle name="Normal 98 5 3" xfId="51189" xr:uid="{00000000-0005-0000-0000-000036CD0000}"/>
    <cellStyle name="Normal 98 6" xfId="51190" xr:uid="{00000000-0005-0000-0000-000037CD0000}"/>
    <cellStyle name="Normal 98 6 2" xfId="51191" xr:uid="{00000000-0005-0000-0000-000038CD0000}"/>
    <cellStyle name="Normal 98 6 3" xfId="51192" xr:uid="{00000000-0005-0000-0000-000039CD0000}"/>
    <cellStyle name="Normal 98 7" xfId="51193" xr:uid="{00000000-0005-0000-0000-00003ACD0000}"/>
    <cellStyle name="Normal 98 8" xfId="51194" xr:uid="{00000000-0005-0000-0000-00003BCD0000}"/>
    <cellStyle name="Normal 98 9" xfId="51195" xr:uid="{00000000-0005-0000-0000-00003CCD0000}"/>
    <cellStyle name="Normal 980" xfId="51196" xr:uid="{00000000-0005-0000-0000-00003DCD0000}"/>
    <cellStyle name="Normal 981" xfId="51197" xr:uid="{00000000-0005-0000-0000-00003ECD0000}"/>
    <cellStyle name="Normal 982" xfId="51198" xr:uid="{00000000-0005-0000-0000-00003FCD0000}"/>
    <cellStyle name="Normal 983" xfId="51199" xr:uid="{00000000-0005-0000-0000-000040CD0000}"/>
    <cellStyle name="Normal 984" xfId="51200" xr:uid="{00000000-0005-0000-0000-000041CD0000}"/>
    <cellStyle name="Normal 985" xfId="51201" xr:uid="{00000000-0005-0000-0000-000042CD0000}"/>
    <cellStyle name="Normal 986" xfId="51202" xr:uid="{00000000-0005-0000-0000-000043CD0000}"/>
    <cellStyle name="Normal 987" xfId="51203" xr:uid="{00000000-0005-0000-0000-000044CD0000}"/>
    <cellStyle name="Normal 988" xfId="51204" xr:uid="{00000000-0005-0000-0000-000045CD0000}"/>
    <cellStyle name="Normal 989" xfId="51205" xr:uid="{00000000-0005-0000-0000-000046CD0000}"/>
    <cellStyle name="Normal 99" xfId="3609" xr:uid="{00000000-0005-0000-0000-000047CD0000}"/>
    <cellStyle name="Normal 99 10" xfId="51206" xr:uid="{00000000-0005-0000-0000-000048CD0000}"/>
    <cellStyle name="Normal 99 11" xfId="51207" xr:uid="{00000000-0005-0000-0000-000049CD0000}"/>
    <cellStyle name="Normal 99 12" xfId="51208" xr:uid="{00000000-0005-0000-0000-00004ACD0000}"/>
    <cellStyle name="Normal 99 2" xfId="51209" xr:uid="{00000000-0005-0000-0000-00004BCD0000}"/>
    <cellStyle name="Normal 99 2 2" xfId="51210" xr:uid="{00000000-0005-0000-0000-00004CCD0000}"/>
    <cellStyle name="Normal 99 2 2 2" xfId="51211" xr:uid="{00000000-0005-0000-0000-00004DCD0000}"/>
    <cellStyle name="Normal 99 2 2 2 2" xfId="51212" xr:uid="{00000000-0005-0000-0000-00004ECD0000}"/>
    <cellStyle name="Normal 99 2 2 2 2 2" xfId="51213" xr:uid="{00000000-0005-0000-0000-00004FCD0000}"/>
    <cellStyle name="Normal 99 2 2 2 2 3" xfId="51214" xr:uid="{00000000-0005-0000-0000-000050CD0000}"/>
    <cellStyle name="Normal 99 2 2 2 3" xfId="51215" xr:uid="{00000000-0005-0000-0000-000051CD0000}"/>
    <cellStyle name="Normal 99 2 2 2 3 2" xfId="51216" xr:uid="{00000000-0005-0000-0000-000052CD0000}"/>
    <cellStyle name="Normal 99 2 2 2 3 3" xfId="51217" xr:uid="{00000000-0005-0000-0000-000053CD0000}"/>
    <cellStyle name="Normal 99 2 2 2 4" xfId="51218" xr:uid="{00000000-0005-0000-0000-000054CD0000}"/>
    <cellStyle name="Normal 99 2 2 2 5" xfId="51219" xr:uid="{00000000-0005-0000-0000-000055CD0000}"/>
    <cellStyle name="Normal 99 2 2 2 6" xfId="51220" xr:uid="{00000000-0005-0000-0000-000056CD0000}"/>
    <cellStyle name="Normal 99 2 2 3" xfId="51221" xr:uid="{00000000-0005-0000-0000-000057CD0000}"/>
    <cellStyle name="Normal 99 2 2 3 2" xfId="51222" xr:uid="{00000000-0005-0000-0000-000058CD0000}"/>
    <cellStyle name="Normal 99 2 2 3 3" xfId="51223" xr:uid="{00000000-0005-0000-0000-000059CD0000}"/>
    <cellStyle name="Normal 99 2 2 4" xfId="51224" xr:uid="{00000000-0005-0000-0000-00005ACD0000}"/>
    <cellStyle name="Normal 99 2 2 4 2" xfId="51225" xr:uid="{00000000-0005-0000-0000-00005BCD0000}"/>
    <cellStyle name="Normal 99 2 2 4 3" xfId="51226" xr:uid="{00000000-0005-0000-0000-00005CCD0000}"/>
    <cellStyle name="Normal 99 2 2 5" xfId="51227" xr:uid="{00000000-0005-0000-0000-00005DCD0000}"/>
    <cellStyle name="Normal 99 2 2 6" xfId="51228" xr:uid="{00000000-0005-0000-0000-00005ECD0000}"/>
    <cellStyle name="Normal 99 2 2 7" xfId="51229" xr:uid="{00000000-0005-0000-0000-00005FCD0000}"/>
    <cellStyle name="Normal 99 2 2 8" xfId="51230" xr:uid="{00000000-0005-0000-0000-000060CD0000}"/>
    <cellStyle name="Normal 99 2 3" xfId="51231" xr:uid="{00000000-0005-0000-0000-000061CD0000}"/>
    <cellStyle name="Normal 99 2 3 2" xfId="51232" xr:uid="{00000000-0005-0000-0000-000062CD0000}"/>
    <cellStyle name="Normal 99 2 3 2 2" xfId="51233" xr:uid="{00000000-0005-0000-0000-000063CD0000}"/>
    <cellStyle name="Normal 99 2 3 2 3" xfId="51234" xr:uid="{00000000-0005-0000-0000-000064CD0000}"/>
    <cellStyle name="Normal 99 2 3 3" xfId="51235" xr:uid="{00000000-0005-0000-0000-000065CD0000}"/>
    <cellStyle name="Normal 99 2 3 3 2" xfId="51236" xr:uid="{00000000-0005-0000-0000-000066CD0000}"/>
    <cellStyle name="Normal 99 2 3 3 3" xfId="51237" xr:uid="{00000000-0005-0000-0000-000067CD0000}"/>
    <cellStyle name="Normal 99 2 3 4" xfId="51238" xr:uid="{00000000-0005-0000-0000-000068CD0000}"/>
    <cellStyle name="Normal 99 2 3 5" xfId="51239" xr:uid="{00000000-0005-0000-0000-000069CD0000}"/>
    <cellStyle name="Normal 99 2 3 6" xfId="51240" xr:uid="{00000000-0005-0000-0000-00006ACD0000}"/>
    <cellStyle name="Normal 99 2 4" xfId="51241" xr:uid="{00000000-0005-0000-0000-00006BCD0000}"/>
    <cellStyle name="Normal 99 2 4 2" xfId="51242" xr:uid="{00000000-0005-0000-0000-00006CCD0000}"/>
    <cellStyle name="Normal 99 2 4 3" xfId="51243" xr:uid="{00000000-0005-0000-0000-00006DCD0000}"/>
    <cellStyle name="Normal 99 2 5" xfId="51244" xr:uid="{00000000-0005-0000-0000-00006ECD0000}"/>
    <cellStyle name="Normal 99 2 5 2" xfId="51245" xr:uid="{00000000-0005-0000-0000-00006FCD0000}"/>
    <cellStyle name="Normal 99 2 5 3" xfId="51246" xr:uid="{00000000-0005-0000-0000-000070CD0000}"/>
    <cellStyle name="Normal 99 2 6" xfId="51247" xr:uid="{00000000-0005-0000-0000-000071CD0000}"/>
    <cellStyle name="Normal 99 2 7" xfId="51248" xr:uid="{00000000-0005-0000-0000-000072CD0000}"/>
    <cellStyle name="Normal 99 2 8" xfId="51249" xr:uid="{00000000-0005-0000-0000-000073CD0000}"/>
    <cellStyle name="Normal 99 2 9" xfId="51250" xr:uid="{00000000-0005-0000-0000-000074CD0000}"/>
    <cellStyle name="Normal 99 3" xfId="51251" xr:uid="{00000000-0005-0000-0000-000075CD0000}"/>
    <cellStyle name="Normal 99 3 2" xfId="51252" xr:uid="{00000000-0005-0000-0000-000076CD0000}"/>
    <cellStyle name="Normal 99 3 2 2" xfId="51253" xr:uid="{00000000-0005-0000-0000-000077CD0000}"/>
    <cellStyle name="Normal 99 3 2 2 2" xfId="51254" xr:uid="{00000000-0005-0000-0000-000078CD0000}"/>
    <cellStyle name="Normal 99 3 2 2 3" xfId="51255" xr:uid="{00000000-0005-0000-0000-000079CD0000}"/>
    <cellStyle name="Normal 99 3 2 3" xfId="51256" xr:uid="{00000000-0005-0000-0000-00007ACD0000}"/>
    <cellStyle name="Normal 99 3 2 3 2" xfId="51257" xr:uid="{00000000-0005-0000-0000-00007BCD0000}"/>
    <cellStyle name="Normal 99 3 2 3 3" xfId="51258" xr:uid="{00000000-0005-0000-0000-00007CCD0000}"/>
    <cellStyle name="Normal 99 3 2 4" xfId="51259" xr:uid="{00000000-0005-0000-0000-00007DCD0000}"/>
    <cellStyle name="Normal 99 3 2 5" xfId="51260" xr:uid="{00000000-0005-0000-0000-00007ECD0000}"/>
    <cellStyle name="Normal 99 3 2 6" xfId="51261" xr:uid="{00000000-0005-0000-0000-00007FCD0000}"/>
    <cellStyle name="Normal 99 3 3" xfId="51262" xr:uid="{00000000-0005-0000-0000-000080CD0000}"/>
    <cellStyle name="Normal 99 3 3 2" xfId="51263" xr:uid="{00000000-0005-0000-0000-000081CD0000}"/>
    <cellStyle name="Normal 99 3 3 3" xfId="51264" xr:uid="{00000000-0005-0000-0000-000082CD0000}"/>
    <cellStyle name="Normal 99 3 4" xfId="51265" xr:uid="{00000000-0005-0000-0000-000083CD0000}"/>
    <cellStyle name="Normal 99 3 4 2" xfId="51266" xr:uid="{00000000-0005-0000-0000-000084CD0000}"/>
    <cellStyle name="Normal 99 3 4 3" xfId="51267" xr:uid="{00000000-0005-0000-0000-000085CD0000}"/>
    <cellStyle name="Normal 99 3 5" xfId="51268" xr:uid="{00000000-0005-0000-0000-000086CD0000}"/>
    <cellStyle name="Normal 99 3 6" xfId="51269" xr:uid="{00000000-0005-0000-0000-000087CD0000}"/>
    <cellStyle name="Normal 99 3 7" xfId="51270" xr:uid="{00000000-0005-0000-0000-000088CD0000}"/>
    <cellStyle name="Normal 99 3 8" xfId="51271" xr:uid="{00000000-0005-0000-0000-000089CD0000}"/>
    <cellStyle name="Normal 99 4" xfId="51272" xr:uid="{00000000-0005-0000-0000-00008ACD0000}"/>
    <cellStyle name="Normal 99 4 2" xfId="51273" xr:uid="{00000000-0005-0000-0000-00008BCD0000}"/>
    <cellStyle name="Normal 99 4 2 2" xfId="51274" xr:uid="{00000000-0005-0000-0000-00008CCD0000}"/>
    <cellStyle name="Normal 99 4 2 3" xfId="51275" xr:uid="{00000000-0005-0000-0000-00008DCD0000}"/>
    <cellStyle name="Normal 99 4 3" xfId="51276" xr:uid="{00000000-0005-0000-0000-00008ECD0000}"/>
    <cellStyle name="Normal 99 4 3 2" xfId="51277" xr:uid="{00000000-0005-0000-0000-00008FCD0000}"/>
    <cellStyle name="Normal 99 4 3 3" xfId="51278" xr:uid="{00000000-0005-0000-0000-000090CD0000}"/>
    <cellStyle name="Normal 99 4 4" xfId="51279" xr:uid="{00000000-0005-0000-0000-000091CD0000}"/>
    <cellStyle name="Normal 99 4 5" xfId="51280" xr:uid="{00000000-0005-0000-0000-000092CD0000}"/>
    <cellStyle name="Normal 99 4 6" xfId="51281" xr:uid="{00000000-0005-0000-0000-000093CD0000}"/>
    <cellStyle name="Normal 99 5" xfId="51282" xr:uid="{00000000-0005-0000-0000-000094CD0000}"/>
    <cellStyle name="Normal 99 5 2" xfId="51283" xr:uid="{00000000-0005-0000-0000-000095CD0000}"/>
    <cellStyle name="Normal 99 5 3" xfId="51284" xr:uid="{00000000-0005-0000-0000-000096CD0000}"/>
    <cellStyle name="Normal 99 6" xfId="51285" xr:uid="{00000000-0005-0000-0000-000097CD0000}"/>
    <cellStyle name="Normal 99 6 2" xfId="51286" xr:uid="{00000000-0005-0000-0000-000098CD0000}"/>
    <cellStyle name="Normal 99 6 3" xfId="51287" xr:uid="{00000000-0005-0000-0000-000099CD0000}"/>
    <cellStyle name="Normal 99 7" xfId="51288" xr:uid="{00000000-0005-0000-0000-00009ACD0000}"/>
    <cellStyle name="Normal 99 8" xfId="51289" xr:uid="{00000000-0005-0000-0000-00009BCD0000}"/>
    <cellStyle name="Normal 99 9" xfId="51290" xr:uid="{00000000-0005-0000-0000-00009CCD0000}"/>
    <cellStyle name="Normal 990" xfId="51291" xr:uid="{00000000-0005-0000-0000-00009DCD0000}"/>
    <cellStyle name="Normal 991" xfId="51292" xr:uid="{00000000-0005-0000-0000-00009ECD0000}"/>
    <cellStyle name="Normal 992" xfId="51293" xr:uid="{00000000-0005-0000-0000-00009FCD0000}"/>
    <cellStyle name="Normal 993" xfId="51294" xr:uid="{00000000-0005-0000-0000-0000A0CD0000}"/>
    <cellStyle name="Normal 994" xfId="51295" xr:uid="{00000000-0005-0000-0000-0000A1CD0000}"/>
    <cellStyle name="Normal 995" xfId="51296" xr:uid="{00000000-0005-0000-0000-0000A2CD0000}"/>
    <cellStyle name="Normal 996" xfId="51297" xr:uid="{00000000-0005-0000-0000-0000A3CD0000}"/>
    <cellStyle name="Normal 997" xfId="51298" xr:uid="{00000000-0005-0000-0000-0000A4CD0000}"/>
    <cellStyle name="Normal 998" xfId="51299" xr:uid="{00000000-0005-0000-0000-0000A5CD0000}"/>
    <cellStyle name="Normal 999" xfId="51300" xr:uid="{00000000-0005-0000-0000-0000A6CD0000}"/>
    <cellStyle name="Normale_Foglio1" xfId="51301" xr:uid="{00000000-0005-0000-0000-0000A9CD0000}"/>
    <cellStyle name="Not_Excession" xfId="51302" xr:uid="{00000000-0005-0000-0000-0000AACD0000}"/>
    <cellStyle name="Note 10" xfId="3610" xr:uid="{00000000-0005-0000-0000-0000ABCD0000}"/>
    <cellStyle name="Note 10 10" xfId="51303" xr:uid="{00000000-0005-0000-0000-0000ACCD0000}"/>
    <cellStyle name="Note 10 2" xfId="3611" xr:uid="{00000000-0005-0000-0000-0000ADCD0000}"/>
    <cellStyle name="Note 10 2 2" xfId="51304" xr:uid="{00000000-0005-0000-0000-0000AECD0000}"/>
    <cellStyle name="Note 10 2 2 2" xfId="51305" xr:uid="{00000000-0005-0000-0000-0000AFCD0000}"/>
    <cellStyle name="Note 10 2 2 2 2" xfId="51306" xr:uid="{00000000-0005-0000-0000-0000B0CD0000}"/>
    <cellStyle name="Note 10 2 2 2 3" xfId="51307" xr:uid="{00000000-0005-0000-0000-0000B1CD0000}"/>
    <cellStyle name="Note 10 2 2 3" xfId="51308" xr:uid="{00000000-0005-0000-0000-0000B2CD0000}"/>
    <cellStyle name="Note 10 2 2 3 2" xfId="51309" xr:uid="{00000000-0005-0000-0000-0000B3CD0000}"/>
    <cellStyle name="Note 10 2 2 3 3" xfId="51310" xr:uid="{00000000-0005-0000-0000-0000B4CD0000}"/>
    <cellStyle name="Note 10 2 2 4" xfId="51311" xr:uid="{00000000-0005-0000-0000-0000B5CD0000}"/>
    <cellStyle name="Note 10 2 2 5" xfId="51312" xr:uid="{00000000-0005-0000-0000-0000B6CD0000}"/>
    <cellStyle name="Note 10 2 2 6" xfId="51313" xr:uid="{00000000-0005-0000-0000-0000B7CD0000}"/>
    <cellStyle name="Note 10 2 3" xfId="51314" xr:uid="{00000000-0005-0000-0000-0000B8CD0000}"/>
    <cellStyle name="Note 10 2 3 2" xfId="51315" xr:uid="{00000000-0005-0000-0000-0000B9CD0000}"/>
    <cellStyle name="Note 10 2 3 3" xfId="51316" xr:uid="{00000000-0005-0000-0000-0000BACD0000}"/>
    <cellStyle name="Note 10 2 4" xfId="51317" xr:uid="{00000000-0005-0000-0000-0000BBCD0000}"/>
    <cellStyle name="Note 10 2 4 2" xfId="51318" xr:uid="{00000000-0005-0000-0000-0000BCCD0000}"/>
    <cellStyle name="Note 10 2 4 3" xfId="51319" xr:uid="{00000000-0005-0000-0000-0000BDCD0000}"/>
    <cellStyle name="Note 10 2 5" xfId="51320" xr:uid="{00000000-0005-0000-0000-0000BECD0000}"/>
    <cellStyle name="Note 10 2 6" xfId="51321" xr:uid="{00000000-0005-0000-0000-0000BFCD0000}"/>
    <cellStyle name="Note 10 2 7" xfId="51322" xr:uid="{00000000-0005-0000-0000-0000C0CD0000}"/>
    <cellStyle name="Note 10 2 8" xfId="51323" xr:uid="{00000000-0005-0000-0000-0000C1CD0000}"/>
    <cellStyle name="Note 10 3" xfId="51324" xr:uid="{00000000-0005-0000-0000-0000C2CD0000}"/>
    <cellStyle name="Note 10 3 2" xfId="51325" xr:uid="{00000000-0005-0000-0000-0000C3CD0000}"/>
    <cellStyle name="Note 10 3 2 2" xfId="51326" xr:uid="{00000000-0005-0000-0000-0000C4CD0000}"/>
    <cellStyle name="Note 10 3 2 2 2" xfId="51327" xr:uid="{00000000-0005-0000-0000-0000C5CD0000}"/>
    <cellStyle name="Note 10 3 2 3" xfId="51328" xr:uid="{00000000-0005-0000-0000-0000C6CD0000}"/>
    <cellStyle name="Note 10 3 3" xfId="51329" xr:uid="{00000000-0005-0000-0000-0000C7CD0000}"/>
    <cellStyle name="Note 10 3 3 2" xfId="51330" xr:uid="{00000000-0005-0000-0000-0000C8CD0000}"/>
    <cellStyle name="Note 10 3 3 3" xfId="51331" xr:uid="{00000000-0005-0000-0000-0000C9CD0000}"/>
    <cellStyle name="Note 10 3 4" xfId="51332" xr:uid="{00000000-0005-0000-0000-0000CACD0000}"/>
    <cellStyle name="Note 10 3 5" xfId="51333" xr:uid="{00000000-0005-0000-0000-0000CBCD0000}"/>
    <cellStyle name="Note 10 3 6" xfId="51334" xr:uid="{00000000-0005-0000-0000-0000CCCD0000}"/>
    <cellStyle name="Note 10 4" xfId="51335" xr:uid="{00000000-0005-0000-0000-0000CDCD0000}"/>
    <cellStyle name="Note 10 4 2" xfId="51336" xr:uid="{00000000-0005-0000-0000-0000CECD0000}"/>
    <cellStyle name="Note 10 4 3" xfId="51337" xr:uid="{00000000-0005-0000-0000-0000CFCD0000}"/>
    <cellStyle name="Note 10 5" xfId="51338" xr:uid="{00000000-0005-0000-0000-0000D0CD0000}"/>
    <cellStyle name="Note 10 5 2" xfId="51339" xr:uid="{00000000-0005-0000-0000-0000D1CD0000}"/>
    <cellStyle name="Note 10 5 3" xfId="51340" xr:uid="{00000000-0005-0000-0000-0000D2CD0000}"/>
    <cellStyle name="Note 10 6" xfId="51341" xr:uid="{00000000-0005-0000-0000-0000D3CD0000}"/>
    <cellStyle name="Note 10 7" xfId="51342" xr:uid="{00000000-0005-0000-0000-0000D4CD0000}"/>
    <cellStyle name="Note 10 8" xfId="51343" xr:uid="{00000000-0005-0000-0000-0000D5CD0000}"/>
    <cellStyle name="Note 10 9" xfId="51344" xr:uid="{00000000-0005-0000-0000-0000D6CD0000}"/>
    <cellStyle name="Note 11" xfId="3612" xr:uid="{00000000-0005-0000-0000-0000D7CD0000}"/>
    <cellStyle name="Note 11 2" xfId="3613" xr:uid="{00000000-0005-0000-0000-0000D8CD0000}"/>
    <cellStyle name="Note 11 3" xfId="51345" xr:uid="{00000000-0005-0000-0000-0000D9CD0000}"/>
    <cellStyle name="Note 12" xfId="3614" xr:uid="{00000000-0005-0000-0000-0000DACD0000}"/>
    <cellStyle name="Note 12 2" xfId="3615" xr:uid="{00000000-0005-0000-0000-0000DBCD0000}"/>
    <cellStyle name="Note 13" xfId="3616" xr:uid="{00000000-0005-0000-0000-0000DCCD0000}"/>
    <cellStyle name="Note 13 2" xfId="3617" xr:uid="{00000000-0005-0000-0000-0000DDCD0000}"/>
    <cellStyle name="Note 14" xfId="3618" xr:uid="{00000000-0005-0000-0000-0000DECD0000}"/>
    <cellStyle name="Note 14 2" xfId="3619" xr:uid="{00000000-0005-0000-0000-0000DFCD0000}"/>
    <cellStyle name="Note 15" xfId="3620" xr:uid="{00000000-0005-0000-0000-0000E0CD0000}"/>
    <cellStyle name="Note 15 2" xfId="3621" xr:uid="{00000000-0005-0000-0000-0000E1CD0000}"/>
    <cellStyle name="Note 16" xfId="3622" xr:uid="{00000000-0005-0000-0000-0000E2CD0000}"/>
    <cellStyle name="Note 16 2" xfId="3623" xr:uid="{00000000-0005-0000-0000-0000E3CD0000}"/>
    <cellStyle name="Note 17" xfId="3624" xr:uid="{00000000-0005-0000-0000-0000E4CD0000}"/>
    <cellStyle name="Note 17 2" xfId="3625" xr:uid="{00000000-0005-0000-0000-0000E5CD0000}"/>
    <cellStyle name="Note 18" xfId="3626" xr:uid="{00000000-0005-0000-0000-0000E6CD0000}"/>
    <cellStyle name="Note 18 2" xfId="3627" xr:uid="{00000000-0005-0000-0000-0000E7CD0000}"/>
    <cellStyle name="Note 19" xfId="3628" xr:uid="{00000000-0005-0000-0000-0000E8CD0000}"/>
    <cellStyle name="Note 19 2" xfId="3629" xr:uid="{00000000-0005-0000-0000-0000E9CD0000}"/>
    <cellStyle name="Note 2" xfId="3630" xr:uid="{00000000-0005-0000-0000-0000EACD0000}"/>
    <cellStyle name="Note 2 10" xfId="54379" xr:uid="{00000000-0005-0000-0000-0000EBCD0000}"/>
    <cellStyle name="Note 2 11" xfId="54380" xr:uid="{00000000-0005-0000-0000-0000ECCD0000}"/>
    <cellStyle name="Note 2 2" xfId="3631" xr:uid="{00000000-0005-0000-0000-0000EDCD0000}"/>
    <cellStyle name="Note 2 2 2" xfId="3632" xr:uid="{00000000-0005-0000-0000-0000EECD0000}"/>
    <cellStyle name="Note 2 2 2 2" xfId="3633" xr:uid="{00000000-0005-0000-0000-0000EFCD0000}"/>
    <cellStyle name="Note 2 2 2 2 10" xfId="51346" xr:uid="{00000000-0005-0000-0000-0000F0CD0000}"/>
    <cellStyle name="Note 2 2 2 2 2" xfId="3634" xr:uid="{00000000-0005-0000-0000-0000F1CD0000}"/>
    <cellStyle name="Note 2 2 2 2 2 2" xfId="3635" xr:uid="{00000000-0005-0000-0000-0000F2CD0000}"/>
    <cellStyle name="Note 2 2 2 2 2 2 2" xfId="51347" xr:uid="{00000000-0005-0000-0000-0000F3CD0000}"/>
    <cellStyle name="Note 2 2 2 2 2 2 2 2" xfId="54381" xr:uid="{00000000-0005-0000-0000-0000F4CD0000}"/>
    <cellStyle name="Note 2 2 2 2 2 2 3" xfId="54382" xr:uid="{00000000-0005-0000-0000-0000F5CD0000}"/>
    <cellStyle name="Note 2 2 2 2 2 3" xfId="3636" xr:uid="{00000000-0005-0000-0000-0000F6CD0000}"/>
    <cellStyle name="Note 2 2 2 2 2 3 2" xfId="51348" xr:uid="{00000000-0005-0000-0000-0000F7CD0000}"/>
    <cellStyle name="Note 2 2 2 2 2 3 2 2" xfId="54383" xr:uid="{00000000-0005-0000-0000-0000F8CD0000}"/>
    <cellStyle name="Note 2 2 2 2 2 3 3" xfId="54384" xr:uid="{00000000-0005-0000-0000-0000F9CD0000}"/>
    <cellStyle name="Note 2 2 2 2 2 4" xfId="51349" xr:uid="{00000000-0005-0000-0000-0000FACD0000}"/>
    <cellStyle name="Note 2 2 2 2 2 4 2" xfId="54385" xr:uid="{00000000-0005-0000-0000-0000FBCD0000}"/>
    <cellStyle name="Note 2 2 2 2 2 5" xfId="51350" xr:uid="{00000000-0005-0000-0000-0000FCCD0000}"/>
    <cellStyle name="Note 2 2 2 2 3" xfId="3637" xr:uid="{00000000-0005-0000-0000-0000FDCD0000}"/>
    <cellStyle name="Note 2 2 2 2 3 2" xfId="51351" xr:uid="{00000000-0005-0000-0000-0000FECD0000}"/>
    <cellStyle name="Note 2 2 2 2 3 2 2" xfId="51352" xr:uid="{00000000-0005-0000-0000-0000FFCD0000}"/>
    <cellStyle name="Note 2 2 2 2 3 3" xfId="51353" xr:uid="{00000000-0005-0000-0000-000000CE0000}"/>
    <cellStyle name="Note 2 2 2 2 3 3 2" xfId="51354" xr:uid="{00000000-0005-0000-0000-000001CE0000}"/>
    <cellStyle name="Note 2 2 2 2 3 4" xfId="51355" xr:uid="{00000000-0005-0000-0000-000002CE0000}"/>
    <cellStyle name="Note 2 2 2 2 3 5" xfId="51356" xr:uid="{00000000-0005-0000-0000-000003CE0000}"/>
    <cellStyle name="Note 2 2 2 2 4" xfId="3638" xr:uid="{00000000-0005-0000-0000-000004CE0000}"/>
    <cellStyle name="Note 2 2 2 2 4 2" xfId="51357" xr:uid="{00000000-0005-0000-0000-000005CE0000}"/>
    <cellStyle name="Note 2 2 2 2 4 2 2" xfId="51358" xr:uid="{00000000-0005-0000-0000-000006CE0000}"/>
    <cellStyle name="Note 2 2 2 2 4 3" xfId="51359" xr:uid="{00000000-0005-0000-0000-000007CE0000}"/>
    <cellStyle name="Note 2 2 2 2 4 3 2" xfId="51360" xr:uid="{00000000-0005-0000-0000-000008CE0000}"/>
    <cellStyle name="Note 2 2 2 2 4 4" xfId="51361" xr:uid="{00000000-0005-0000-0000-000009CE0000}"/>
    <cellStyle name="Note 2 2 2 2 5" xfId="51362" xr:uid="{00000000-0005-0000-0000-00000ACE0000}"/>
    <cellStyle name="Note 2 2 2 2 5 2" xfId="51363" xr:uid="{00000000-0005-0000-0000-00000BCE0000}"/>
    <cellStyle name="Note 2 2 2 2 5 2 2" xfId="51364" xr:uid="{00000000-0005-0000-0000-00000CCE0000}"/>
    <cellStyle name="Note 2 2 2 2 5 3" xfId="51365" xr:uid="{00000000-0005-0000-0000-00000DCE0000}"/>
    <cellStyle name="Note 2 2 2 2 5 3 2" xfId="51366" xr:uid="{00000000-0005-0000-0000-00000ECE0000}"/>
    <cellStyle name="Note 2 2 2 2 5 4" xfId="51367" xr:uid="{00000000-0005-0000-0000-00000FCE0000}"/>
    <cellStyle name="Note 2 2 2 2 6" xfId="51368" xr:uid="{00000000-0005-0000-0000-000010CE0000}"/>
    <cellStyle name="Note 2 2 2 2 6 2" xfId="51369" xr:uid="{00000000-0005-0000-0000-000011CE0000}"/>
    <cellStyle name="Note 2 2 2 2 6 2 2" xfId="51370" xr:uid="{00000000-0005-0000-0000-000012CE0000}"/>
    <cellStyle name="Note 2 2 2 2 6 3" xfId="51371" xr:uid="{00000000-0005-0000-0000-000013CE0000}"/>
    <cellStyle name="Note 2 2 2 2 6 3 2" xfId="51372" xr:uid="{00000000-0005-0000-0000-000014CE0000}"/>
    <cellStyle name="Note 2 2 2 2 6 4" xfId="51373" xr:uid="{00000000-0005-0000-0000-000015CE0000}"/>
    <cellStyle name="Note 2 2 2 2 7" xfId="51374" xr:uid="{00000000-0005-0000-0000-000016CE0000}"/>
    <cellStyle name="Note 2 2 2 2 7 2" xfId="51375" xr:uid="{00000000-0005-0000-0000-000017CE0000}"/>
    <cellStyle name="Note 2 2 2 2 8" xfId="51376" xr:uid="{00000000-0005-0000-0000-000018CE0000}"/>
    <cellStyle name="Note 2 2 2 2 8 2" xfId="51377" xr:uid="{00000000-0005-0000-0000-000019CE0000}"/>
    <cellStyle name="Note 2 2 2 2 9" xfId="51378" xr:uid="{00000000-0005-0000-0000-00001ACE0000}"/>
    <cellStyle name="Note 2 2 2 3" xfId="3639" xr:uid="{00000000-0005-0000-0000-00001BCE0000}"/>
    <cellStyle name="Note 2 2 2 3 10" xfId="51379" xr:uid="{00000000-0005-0000-0000-00001CCE0000}"/>
    <cellStyle name="Note 2 2 2 3 2" xfId="3640" xr:uid="{00000000-0005-0000-0000-00001DCE0000}"/>
    <cellStyle name="Note 2 2 2 3 2 2" xfId="3641" xr:uid="{00000000-0005-0000-0000-00001ECE0000}"/>
    <cellStyle name="Note 2 2 2 3 2 2 2" xfId="51380" xr:uid="{00000000-0005-0000-0000-00001FCE0000}"/>
    <cellStyle name="Note 2 2 2 3 2 2 2 2" xfId="54386" xr:uid="{00000000-0005-0000-0000-000020CE0000}"/>
    <cellStyle name="Note 2 2 2 3 2 2 3" xfId="54387" xr:uid="{00000000-0005-0000-0000-000021CE0000}"/>
    <cellStyle name="Note 2 2 2 3 2 3" xfId="51381" xr:uid="{00000000-0005-0000-0000-000022CE0000}"/>
    <cellStyle name="Note 2 2 2 3 2 3 2" xfId="51382" xr:uid="{00000000-0005-0000-0000-000023CE0000}"/>
    <cellStyle name="Note 2 2 2 3 2 3 2 2" xfId="54388" xr:uid="{00000000-0005-0000-0000-000024CE0000}"/>
    <cellStyle name="Note 2 2 2 3 2 3 3" xfId="54389" xr:uid="{00000000-0005-0000-0000-000025CE0000}"/>
    <cellStyle name="Note 2 2 2 3 2 4" xfId="51383" xr:uid="{00000000-0005-0000-0000-000026CE0000}"/>
    <cellStyle name="Note 2 2 2 3 2 4 2" xfId="54390" xr:uid="{00000000-0005-0000-0000-000027CE0000}"/>
    <cellStyle name="Note 2 2 2 3 2 5" xfId="51384" xr:uid="{00000000-0005-0000-0000-000028CE0000}"/>
    <cellStyle name="Note 2 2 2 3 3" xfId="3642" xr:uid="{00000000-0005-0000-0000-000029CE0000}"/>
    <cellStyle name="Note 2 2 2 3 3 2" xfId="51385" xr:uid="{00000000-0005-0000-0000-00002ACE0000}"/>
    <cellStyle name="Note 2 2 2 3 3 2 2" xfId="51386" xr:uid="{00000000-0005-0000-0000-00002BCE0000}"/>
    <cellStyle name="Note 2 2 2 3 3 3" xfId="51387" xr:uid="{00000000-0005-0000-0000-00002CCE0000}"/>
    <cellStyle name="Note 2 2 2 3 3 3 2" xfId="51388" xr:uid="{00000000-0005-0000-0000-00002DCE0000}"/>
    <cellStyle name="Note 2 2 2 3 3 4" xfId="51389" xr:uid="{00000000-0005-0000-0000-00002ECE0000}"/>
    <cellStyle name="Note 2 2 2 3 4" xfId="51390" xr:uid="{00000000-0005-0000-0000-00002FCE0000}"/>
    <cellStyle name="Note 2 2 2 3 4 2" xfId="51391" xr:uid="{00000000-0005-0000-0000-000030CE0000}"/>
    <cellStyle name="Note 2 2 2 3 4 2 2" xfId="51392" xr:uid="{00000000-0005-0000-0000-000031CE0000}"/>
    <cellStyle name="Note 2 2 2 3 4 3" xfId="51393" xr:uid="{00000000-0005-0000-0000-000032CE0000}"/>
    <cellStyle name="Note 2 2 2 3 4 3 2" xfId="51394" xr:uid="{00000000-0005-0000-0000-000033CE0000}"/>
    <cellStyle name="Note 2 2 2 3 4 4" xfId="51395" xr:uid="{00000000-0005-0000-0000-000034CE0000}"/>
    <cellStyle name="Note 2 2 2 3 5" xfId="51396" xr:uid="{00000000-0005-0000-0000-000035CE0000}"/>
    <cellStyle name="Note 2 2 2 3 5 2" xfId="51397" xr:uid="{00000000-0005-0000-0000-000036CE0000}"/>
    <cellStyle name="Note 2 2 2 3 5 2 2" xfId="51398" xr:uid="{00000000-0005-0000-0000-000037CE0000}"/>
    <cellStyle name="Note 2 2 2 3 5 3" xfId="51399" xr:uid="{00000000-0005-0000-0000-000038CE0000}"/>
    <cellStyle name="Note 2 2 2 3 5 3 2" xfId="51400" xr:uid="{00000000-0005-0000-0000-000039CE0000}"/>
    <cellStyle name="Note 2 2 2 3 5 4" xfId="51401" xr:uid="{00000000-0005-0000-0000-00003ACE0000}"/>
    <cellStyle name="Note 2 2 2 3 6" xfId="51402" xr:uid="{00000000-0005-0000-0000-00003BCE0000}"/>
    <cellStyle name="Note 2 2 2 3 6 2" xfId="51403" xr:uid="{00000000-0005-0000-0000-00003CCE0000}"/>
    <cellStyle name="Note 2 2 2 3 6 2 2" xfId="51404" xr:uid="{00000000-0005-0000-0000-00003DCE0000}"/>
    <cellStyle name="Note 2 2 2 3 6 3" xfId="51405" xr:uid="{00000000-0005-0000-0000-00003ECE0000}"/>
    <cellStyle name="Note 2 2 2 3 6 3 2" xfId="51406" xr:uid="{00000000-0005-0000-0000-00003FCE0000}"/>
    <cellStyle name="Note 2 2 2 3 6 4" xfId="51407" xr:uid="{00000000-0005-0000-0000-000040CE0000}"/>
    <cellStyle name="Note 2 2 2 3 7" xfId="51408" xr:uid="{00000000-0005-0000-0000-000041CE0000}"/>
    <cellStyle name="Note 2 2 2 3 7 2" xfId="51409" xr:uid="{00000000-0005-0000-0000-000042CE0000}"/>
    <cellStyle name="Note 2 2 2 3 8" xfId="51410" xr:uid="{00000000-0005-0000-0000-000043CE0000}"/>
    <cellStyle name="Note 2 2 2 3 8 2" xfId="51411" xr:uid="{00000000-0005-0000-0000-000044CE0000}"/>
    <cellStyle name="Note 2 2 2 3 9" xfId="51412" xr:uid="{00000000-0005-0000-0000-000045CE0000}"/>
    <cellStyle name="Note 2 2 2 4" xfId="3643" xr:uid="{00000000-0005-0000-0000-000046CE0000}"/>
    <cellStyle name="Note 2 2 2 4 2" xfId="3644" xr:uid="{00000000-0005-0000-0000-000047CE0000}"/>
    <cellStyle name="Note 2 2 2 4 2 2" xfId="51413" xr:uid="{00000000-0005-0000-0000-000048CE0000}"/>
    <cellStyle name="Note 2 2 2 4 2 2 2" xfId="51414" xr:uid="{00000000-0005-0000-0000-000049CE0000}"/>
    <cellStyle name="Note 2 2 2 4 2 3" xfId="51415" xr:uid="{00000000-0005-0000-0000-00004ACE0000}"/>
    <cellStyle name="Note 2 2 2 4 2 3 2" xfId="51416" xr:uid="{00000000-0005-0000-0000-00004BCE0000}"/>
    <cellStyle name="Note 2 2 2 4 2 4" xfId="51417" xr:uid="{00000000-0005-0000-0000-00004CCE0000}"/>
    <cellStyle name="Note 2 2 2 4 3" xfId="51418" xr:uid="{00000000-0005-0000-0000-00004DCE0000}"/>
    <cellStyle name="Note 2 2 2 4 3 2" xfId="51419" xr:uid="{00000000-0005-0000-0000-00004ECE0000}"/>
    <cellStyle name="Note 2 2 2 4 3 2 2" xfId="51420" xr:uid="{00000000-0005-0000-0000-00004FCE0000}"/>
    <cellStyle name="Note 2 2 2 4 3 3" xfId="51421" xr:uid="{00000000-0005-0000-0000-000050CE0000}"/>
    <cellStyle name="Note 2 2 2 4 3 3 2" xfId="51422" xr:uid="{00000000-0005-0000-0000-000051CE0000}"/>
    <cellStyle name="Note 2 2 2 4 3 4" xfId="51423" xr:uid="{00000000-0005-0000-0000-000052CE0000}"/>
    <cellStyle name="Note 2 2 2 4 4" xfId="51424" xr:uid="{00000000-0005-0000-0000-000053CE0000}"/>
    <cellStyle name="Note 2 2 2 4 4 2" xfId="51425" xr:uid="{00000000-0005-0000-0000-000054CE0000}"/>
    <cellStyle name="Note 2 2 2 4 4 2 2" xfId="51426" xr:uid="{00000000-0005-0000-0000-000055CE0000}"/>
    <cellStyle name="Note 2 2 2 4 4 3" xfId="51427" xr:uid="{00000000-0005-0000-0000-000056CE0000}"/>
    <cellStyle name="Note 2 2 2 4 4 3 2" xfId="51428" xr:uid="{00000000-0005-0000-0000-000057CE0000}"/>
    <cellStyle name="Note 2 2 2 4 4 4" xfId="51429" xr:uid="{00000000-0005-0000-0000-000058CE0000}"/>
    <cellStyle name="Note 2 2 2 4 5" xfId="51430" xr:uid="{00000000-0005-0000-0000-000059CE0000}"/>
    <cellStyle name="Note 2 2 2 4 5 2" xfId="51431" xr:uid="{00000000-0005-0000-0000-00005ACE0000}"/>
    <cellStyle name="Note 2 2 2 4 5 2 2" xfId="51432" xr:uid="{00000000-0005-0000-0000-00005BCE0000}"/>
    <cellStyle name="Note 2 2 2 4 5 3" xfId="51433" xr:uid="{00000000-0005-0000-0000-00005CCE0000}"/>
    <cellStyle name="Note 2 2 2 4 5 3 2" xfId="51434" xr:uid="{00000000-0005-0000-0000-00005DCE0000}"/>
    <cellStyle name="Note 2 2 2 4 5 4" xfId="51435" xr:uid="{00000000-0005-0000-0000-00005ECE0000}"/>
    <cellStyle name="Note 2 2 2 4 6" xfId="51436" xr:uid="{00000000-0005-0000-0000-00005FCE0000}"/>
    <cellStyle name="Note 2 2 2 4 6 2" xfId="51437" xr:uid="{00000000-0005-0000-0000-000060CE0000}"/>
    <cellStyle name="Note 2 2 2 4 6 2 2" xfId="51438" xr:uid="{00000000-0005-0000-0000-000061CE0000}"/>
    <cellStyle name="Note 2 2 2 4 6 3" xfId="51439" xr:uid="{00000000-0005-0000-0000-000062CE0000}"/>
    <cellStyle name="Note 2 2 2 4 6 3 2" xfId="51440" xr:uid="{00000000-0005-0000-0000-000063CE0000}"/>
    <cellStyle name="Note 2 2 2 4 6 4" xfId="51441" xr:uid="{00000000-0005-0000-0000-000064CE0000}"/>
    <cellStyle name="Note 2 2 2 4 7" xfId="51442" xr:uid="{00000000-0005-0000-0000-000065CE0000}"/>
    <cellStyle name="Note 2 2 2 4 7 2" xfId="51443" xr:uid="{00000000-0005-0000-0000-000066CE0000}"/>
    <cellStyle name="Note 2 2 2 4 8" xfId="51444" xr:uid="{00000000-0005-0000-0000-000067CE0000}"/>
    <cellStyle name="Note 2 2 2 4 9" xfId="51445" xr:uid="{00000000-0005-0000-0000-000068CE0000}"/>
    <cellStyle name="Note 2 2 2 5" xfId="3645" xr:uid="{00000000-0005-0000-0000-000069CE0000}"/>
    <cellStyle name="Note 2 2 2 5 2" xfId="51446" xr:uid="{00000000-0005-0000-0000-00006ACE0000}"/>
    <cellStyle name="Note 2 2 2 5 2 2" xfId="51447" xr:uid="{00000000-0005-0000-0000-00006BCE0000}"/>
    <cellStyle name="Note 2 2 2 5 2 2 2" xfId="51448" xr:uid="{00000000-0005-0000-0000-00006CCE0000}"/>
    <cellStyle name="Note 2 2 2 5 2 3" xfId="51449" xr:uid="{00000000-0005-0000-0000-00006DCE0000}"/>
    <cellStyle name="Note 2 2 2 5 2 3 2" xfId="51450" xr:uid="{00000000-0005-0000-0000-00006ECE0000}"/>
    <cellStyle name="Note 2 2 2 5 2 4" xfId="51451" xr:uid="{00000000-0005-0000-0000-00006FCE0000}"/>
    <cellStyle name="Note 2 2 2 5 3" xfId="51452" xr:uid="{00000000-0005-0000-0000-000070CE0000}"/>
    <cellStyle name="Note 2 2 2 5 3 2" xfId="51453" xr:uid="{00000000-0005-0000-0000-000071CE0000}"/>
    <cellStyle name="Note 2 2 2 5 3 2 2" xfId="51454" xr:uid="{00000000-0005-0000-0000-000072CE0000}"/>
    <cellStyle name="Note 2 2 2 5 3 3" xfId="51455" xr:uid="{00000000-0005-0000-0000-000073CE0000}"/>
    <cellStyle name="Note 2 2 2 5 3 3 2" xfId="51456" xr:uid="{00000000-0005-0000-0000-000074CE0000}"/>
    <cellStyle name="Note 2 2 2 5 3 4" xfId="51457" xr:uid="{00000000-0005-0000-0000-000075CE0000}"/>
    <cellStyle name="Note 2 2 2 5 4" xfId="51458" xr:uid="{00000000-0005-0000-0000-000076CE0000}"/>
    <cellStyle name="Note 2 2 2 5 4 2" xfId="51459" xr:uid="{00000000-0005-0000-0000-000077CE0000}"/>
    <cellStyle name="Note 2 2 2 5 4 2 2" xfId="51460" xr:uid="{00000000-0005-0000-0000-000078CE0000}"/>
    <cellStyle name="Note 2 2 2 5 4 3" xfId="51461" xr:uid="{00000000-0005-0000-0000-000079CE0000}"/>
    <cellStyle name="Note 2 2 2 5 4 3 2" xfId="51462" xr:uid="{00000000-0005-0000-0000-00007ACE0000}"/>
    <cellStyle name="Note 2 2 2 5 4 4" xfId="51463" xr:uid="{00000000-0005-0000-0000-00007BCE0000}"/>
    <cellStyle name="Note 2 2 2 5 5" xfId="51464" xr:uid="{00000000-0005-0000-0000-00007CCE0000}"/>
    <cellStyle name="Note 2 2 2 5 5 2" xfId="51465" xr:uid="{00000000-0005-0000-0000-00007DCE0000}"/>
    <cellStyle name="Note 2 2 2 5 5 2 2" xfId="51466" xr:uid="{00000000-0005-0000-0000-00007ECE0000}"/>
    <cellStyle name="Note 2 2 2 5 5 3" xfId="51467" xr:uid="{00000000-0005-0000-0000-00007FCE0000}"/>
    <cellStyle name="Note 2 2 2 5 5 3 2" xfId="51468" xr:uid="{00000000-0005-0000-0000-000080CE0000}"/>
    <cellStyle name="Note 2 2 2 5 5 4" xfId="51469" xr:uid="{00000000-0005-0000-0000-000081CE0000}"/>
    <cellStyle name="Note 2 2 2 5 6" xfId="51470" xr:uid="{00000000-0005-0000-0000-000082CE0000}"/>
    <cellStyle name="Note 2 2 2 5 6 2" xfId="51471" xr:uid="{00000000-0005-0000-0000-000083CE0000}"/>
    <cellStyle name="Note 2 2 2 5 6 2 2" xfId="51472" xr:uid="{00000000-0005-0000-0000-000084CE0000}"/>
    <cellStyle name="Note 2 2 2 5 6 3" xfId="51473" xr:uid="{00000000-0005-0000-0000-000085CE0000}"/>
    <cellStyle name="Note 2 2 2 5 6 3 2" xfId="51474" xr:uid="{00000000-0005-0000-0000-000086CE0000}"/>
    <cellStyle name="Note 2 2 2 5 6 4" xfId="51475" xr:uid="{00000000-0005-0000-0000-000087CE0000}"/>
    <cellStyle name="Note 2 2 2 5 7" xfId="51476" xr:uid="{00000000-0005-0000-0000-000088CE0000}"/>
    <cellStyle name="Note 2 2 2 5 7 2" xfId="51477" xr:uid="{00000000-0005-0000-0000-000089CE0000}"/>
    <cellStyle name="Note 2 2 2 5 8" xfId="51478" xr:uid="{00000000-0005-0000-0000-00008ACE0000}"/>
    <cellStyle name="Note 2 2 2 5 9" xfId="51479" xr:uid="{00000000-0005-0000-0000-00008BCE0000}"/>
    <cellStyle name="Note 2 2 2 6" xfId="51480" xr:uid="{00000000-0005-0000-0000-00008CCE0000}"/>
    <cellStyle name="Note 2 2 2 6 10" xfId="51481" xr:uid="{00000000-0005-0000-0000-00008DCE0000}"/>
    <cellStyle name="Note 2 2 2 6 2" xfId="51482" xr:uid="{00000000-0005-0000-0000-00008ECE0000}"/>
    <cellStyle name="Note 2 2 2 6 2 2" xfId="51483" xr:uid="{00000000-0005-0000-0000-00008FCE0000}"/>
    <cellStyle name="Note 2 2 2 6 2 2 2" xfId="51484" xr:uid="{00000000-0005-0000-0000-000090CE0000}"/>
    <cellStyle name="Note 2 2 2 6 2 3" xfId="51485" xr:uid="{00000000-0005-0000-0000-000091CE0000}"/>
    <cellStyle name="Note 2 2 2 6 2 3 2" xfId="51486" xr:uid="{00000000-0005-0000-0000-000092CE0000}"/>
    <cellStyle name="Note 2 2 2 6 2 4" xfId="51487" xr:uid="{00000000-0005-0000-0000-000093CE0000}"/>
    <cellStyle name="Note 2 2 2 6 3" xfId="51488" xr:uid="{00000000-0005-0000-0000-000094CE0000}"/>
    <cellStyle name="Note 2 2 2 6 3 2" xfId="51489" xr:uid="{00000000-0005-0000-0000-000095CE0000}"/>
    <cellStyle name="Note 2 2 2 6 3 2 2" xfId="51490" xr:uid="{00000000-0005-0000-0000-000096CE0000}"/>
    <cellStyle name="Note 2 2 2 6 3 3" xfId="51491" xr:uid="{00000000-0005-0000-0000-000097CE0000}"/>
    <cellStyle name="Note 2 2 2 6 3 3 2" xfId="51492" xr:uid="{00000000-0005-0000-0000-000098CE0000}"/>
    <cellStyle name="Note 2 2 2 6 3 4" xfId="51493" xr:uid="{00000000-0005-0000-0000-000099CE0000}"/>
    <cellStyle name="Note 2 2 2 6 4" xfId="51494" xr:uid="{00000000-0005-0000-0000-00009ACE0000}"/>
    <cellStyle name="Note 2 2 2 6 4 2" xfId="51495" xr:uid="{00000000-0005-0000-0000-00009BCE0000}"/>
    <cellStyle name="Note 2 2 2 6 4 2 2" xfId="51496" xr:uid="{00000000-0005-0000-0000-00009CCE0000}"/>
    <cellStyle name="Note 2 2 2 6 4 3" xfId="51497" xr:uid="{00000000-0005-0000-0000-00009DCE0000}"/>
    <cellStyle name="Note 2 2 2 6 4 3 2" xfId="51498" xr:uid="{00000000-0005-0000-0000-00009ECE0000}"/>
    <cellStyle name="Note 2 2 2 6 4 4" xfId="51499" xr:uid="{00000000-0005-0000-0000-00009FCE0000}"/>
    <cellStyle name="Note 2 2 2 6 5" xfId="51500" xr:uid="{00000000-0005-0000-0000-0000A0CE0000}"/>
    <cellStyle name="Note 2 2 2 6 5 2" xfId="51501" xr:uid="{00000000-0005-0000-0000-0000A1CE0000}"/>
    <cellStyle name="Note 2 2 2 6 5 2 2" xfId="51502" xr:uid="{00000000-0005-0000-0000-0000A2CE0000}"/>
    <cellStyle name="Note 2 2 2 6 5 3" xfId="51503" xr:uid="{00000000-0005-0000-0000-0000A3CE0000}"/>
    <cellStyle name="Note 2 2 2 6 5 3 2" xfId="51504" xr:uid="{00000000-0005-0000-0000-0000A4CE0000}"/>
    <cellStyle name="Note 2 2 2 6 5 4" xfId="51505" xr:uid="{00000000-0005-0000-0000-0000A5CE0000}"/>
    <cellStyle name="Note 2 2 2 6 6" xfId="51506" xr:uid="{00000000-0005-0000-0000-0000A6CE0000}"/>
    <cellStyle name="Note 2 2 2 6 6 2" xfId="51507" xr:uid="{00000000-0005-0000-0000-0000A7CE0000}"/>
    <cellStyle name="Note 2 2 2 6 6 2 2" xfId="51508" xr:uid="{00000000-0005-0000-0000-0000A8CE0000}"/>
    <cellStyle name="Note 2 2 2 6 6 3" xfId="51509" xr:uid="{00000000-0005-0000-0000-0000A9CE0000}"/>
    <cellStyle name="Note 2 2 2 6 6 3 2" xfId="51510" xr:uid="{00000000-0005-0000-0000-0000AACE0000}"/>
    <cellStyle name="Note 2 2 2 6 6 4" xfId="51511" xr:uid="{00000000-0005-0000-0000-0000ABCE0000}"/>
    <cellStyle name="Note 2 2 2 6 7" xfId="51512" xr:uid="{00000000-0005-0000-0000-0000ACCE0000}"/>
    <cellStyle name="Note 2 2 2 6 7 2" xfId="51513" xr:uid="{00000000-0005-0000-0000-0000ADCE0000}"/>
    <cellStyle name="Note 2 2 2 6 8" xfId="51514" xr:uid="{00000000-0005-0000-0000-0000AECE0000}"/>
    <cellStyle name="Note 2 2 2 6 8 2" xfId="51515" xr:uid="{00000000-0005-0000-0000-0000AFCE0000}"/>
    <cellStyle name="Note 2 2 2 6 9" xfId="51516" xr:uid="{00000000-0005-0000-0000-0000B0CE0000}"/>
    <cellStyle name="Note 2 2 2 7" xfId="51517" xr:uid="{00000000-0005-0000-0000-0000B1CE0000}"/>
    <cellStyle name="Note 2 2 2 7 2" xfId="54391" xr:uid="{00000000-0005-0000-0000-0000B2CE0000}"/>
    <cellStyle name="Note 2 2 2 8" xfId="51518" xr:uid="{00000000-0005-0000-0000-0000B3CE0000}"/>
    <cellStyle name="Note 2 2 3" xfId="3646" xr:uid="{00000000-0005-0000-0000-0000B4CE0000}"/>
    <cellStyle name="Note 2 2 3 10" xfId="51519" xr:uid="{00000000-0005-0000-0000-0000B5CE0000}"/>
    <cellStyle name="Note 2 2 3 10 2" xfId="51520" xr:uid="{00000000-0005-0000-0000-0000B6CE0000}"/>
    <cellStyle name="Note 2 2 3 10 2 2" xfId="51521" xr:uid="{00000000-0005-0000-0000-0000B7CE0000}"/>
    <cellStyle name="Note 2 2 3 10 3" xfId="51522" xr:uid="{00000000-0005-0000-0000-0000B8CE0000}"/>
    <cellStyle name="Note 2 2 3 10 3 2" xfId="51523" xr:uid="{00000000-0005-0000-0000-0000B9CE0000}"/>
    <cellStyle name="Note 2 2 3 10 4" xfId="51524" xr:uid="{00000000-0005-0000-0000-0000BACE0000}"/>
    <cellStyle name="Note 2 2 3 11" xfId="51525" xr:uid="{00000000-0005-0000-0000-0000BBCE0000}"/>
    <cellStyle name="Note 2 2 3 12" xfId="51526" xr:uid="{00000000-0005-0000-0000-0000BCCE0000}"/>
    <cellStyle name="Note 2 2 3 2" xfId="3647" xr:uid="{00000000-0005-0000-0000-0000BDCE0000}"/>
    <cellStyle name="Note 2 2 3 2 10" xfId="51527" xr:uid="{00000000-0005-0000-0000-0000BECE0000}"/>
    <cellStyle name="Note 2 2 3 2 2" xfId="3648" xr:uid="{00000000-0005-0000-0000-0000BFCE0000}"/>
    <cellStyle name="Note 2 2 3 2 2 2" xfId="51528" xr:uid="{00000000-0005-0000-0000-0000C0CE0000}"/>
    <cellStyle name="Note 2 2 3 2 2 2 2" xfId="51529" xr:uid="{00000000-0005-0000-0000-0000C1CE0000}"/>
    <cellStyle name="Note 2 2 3 2 2 3" xfId="51530" xr:uid="{00000000-0005-0000-0000-0000C2CE0000}"/>
    <cellStyle name="Note 2 2 3 2 2 3 2" xfId="51531" xr:uid="{00000000-0005-0000-0000-0000C3CE0000}"/>
    <cellStyle name="Note 2 2 3 2 2 4" xfId="51532" xr:uid="{00000000-0005-0000-0000-0000C4CE0000}"/>
    <cellStyle name="Note 2 2 3 2 3" xfId="3649" xr:uid="{00000000-0005-0000-0000-0000C5CE0000}"/>
    <cellStyle name="Note 2 2 3 2 3 2" xfId="51533" xr:uid="{00000000-0005-0000-0000-0000C6CE0000}"/>
    <cellStyle name="Note 2 2 3 2 3 2 2" xfId="51534" xr:uid="{00000000-0005-0000-0000-0000C7CE0000}"/>
    <cellStyle name="Note 2 2 3 2 3 3" xfId="51535" xr:uid="{00000000-0005-0000-0000-0000C8CE0000}"/>
    <cellStyle name="Note 2 2 3 2 3 3 2" xfId="51536" xr:uid="{00000000-0005-0000-0000-0000C9CE0000}"/>
    <cellStyle name="Note 2 2 3 2 3 4" xfId="51537" xr:uid="{00000000-0005-0000-0000-0000CACE0000}"/>
    <cellStyle name="Note 2 2 3 2 4" xfId="51538" xr:uid="{00000000-0005-0000-0000-0000CBCE0000}"/>
    <cellStyle name="Note 2 2 3 2 4 2" xfId="51539" xr:uid="{00000000-0005-0000-0000-0000CCCE0000}"/>
    <cellStyle name="Note 2 2 3 2 4 2 2" xfId="51540" xr:uid="{00000000-0005-0000-0000-0000CDCE0000}"/>
    <cellStyle name="Note 2 2 3 2 4 3" xfId="51541" xr:uid="{00000000-0005-0000-0000-0000CECE0000}"/>
    <cellStyle name="Note 2 2 3 2 4 3 2" xfId="51542" xr:uid="{00000000-0005-0000-0000-0000CFCE0000}"/>
    <cellStyle name="Note 2 2 3 2 4 4" xfId="51543" xr:uid="{00000000-0005-0000-0000-0000D0CE0000}"/>
    <cellStyle name="Note 2 2 3 2 5" xfId="51544" xr:uid="{00000000-0005-0000-0000-0000D1CE0000}"/>
    <cellStyle name="Note 2 2 3 2 5 2" xfId="51545" xr:uid="{00000000-0005-0000-0000-0000D2CE0000}"/>
    <cellStyle name="Note 2 2 3 2 5 2 2" xfId="51546" xr:uid="{00000000-0005-0000-0000-0000D3CE0000}"/>
    <cellStyle name="Note 2 2 3 2 5 3" xfId="51547" xr:uid="{00000000-0005-0000-0000-0000D4CE0000}"/>
    <cellStyle name="Note 2 2 3 2 5 3 2" xfId="51548" xr:uid="{00000000-0005-0000-0000-0000D5CE0000}"/>
    <cellStyle name="Note 2 2 3 2 5 4" xfId="51549" xr:uid="{00000000-0005-0000-0000-0000D6CE0000}"/>
    <cellStyle name="Note 2 2 3 2 6" xfId="51550" xr:uid="{00000000-0005-0000-0000-0000D7CE0000}"/>
    <cellStyle name="Note 2 2 3 2 6 2" xfId="51551" xr:uid="{00000000-0005-0000-0000-0000D8CE0000}"/>
    <cellStyle name="Note 2 2 3 2 6 2 2" xfId="51552" xr:uid="{00000000-0005-0000-0000-0000D9CE0000}"/>
    <cellStyle name="Note 2 2 3 2 6 3" xfId="51553" xr:uid="{00000000-0005-0000-0000-0000DACE0000}"/>
    <cellStyle name="Note 2 2 3 2 6 3 2" xfId="51554" xr:uid="{00000000-0005-0000-0000-0000DBCE0000}"/>
    <cellStyle name="Note 2 2 3 2 6 4" xfId="51555" xr:uid="{00000000-0005-0000-0000-0000DCCE0000}"/>
    <cellStyle name="Note 2 2 3 2 7" xfId="51556" xr:uid="{00000000-0005-0000-0000-0000DDCE0000}"/>
    <cellStyle name="Note 2 2 3 2 7 2" xfId="51557" xr:uid="{00000000-0005-0000-0000-0000DECE0000}"/>
    <cellStyle name="Note 2 2 3 2 8" xfId="51558" xr:uid="{00000000-0005-0000-0000-0000DFCE0000}"/>
    <cellStyle name="Note 2 2 3 2 8 2" xfId="51559" xr:uid="{00000000-0005-0000-0000-0000E0CE0000}"/>
    <cellStyle name="Note 2 2 3 2 9" xfId="51560" xr:uid="{00000000-0005-0000-0000-0000E1CE0000}"/>
    <cellStyle name="Note 2 2 3 3" xfId="3650" xr:uid="{00000000-0005-0000-0000-0000E2CE0000}"/>
    <cellStyle name="Note 2 2 3 3 2" xfId="51561" xr:uid="{00000000-0005-0000-0000-0000E3CE0000}"/>
    <cellStyle name="Note 2 2 3 3 2 2" xfId="51562" xr:uid="{00000000-0005-0000-0000-0000E4CE0000}"/>
    <cellStyle name="Note 2 2 3 3 2 2 2" xfId="51563" xr:uid="{00000000-0005-0000-0000-0000E5CE0000}"/>
    <cellStyle name="Note 2 2 3 3 2 3" xfId="51564" xr:uid="{00000000-0005-0000-0000-0000E6CE0000}"/>
    <cellStyle name="Note 2 2 3 3 2 3 2" xfId="51565" xr:uid="{00000000-0005-0000-0000-0000E7CE0000}"/>
    <cellStyle name="Note 2 2 3 3 2 4" xfId="51566" xr:uid="{00000000-0005-0000-0000-0000E8CE0000}"/>
    <cellStyle name="Note 2 2 3 3 3" xfId="51567" xr:uid="{00000000-0005-0000-0000-0000E9CE0000}"/>
    <cellStyle name="Note 2 2 3 3 3 2" xfId="51568" xr:uid="{00000000-0005-0000-0000-0000EACE0000}"/>
    <cellStyle name="Note 2 2 3 3 3 2 2" xfId="51569" xr:uid="{00000000-0005-0000-0000-0000EBCE0000}"/>
    <cellStyle name="Note 2 2 3 3 3 3" xfId="51570" xr:uid="{00000000-0005-0000-0000-0000ECCE0000}"/>
    <cellStyle name="Note 2 2 3 3 3 3 2" xfId="51571" xr:uid="{00000000-0005-0000-0000-0000EDCE0000}"/>
    <cellStyle name="Note 2 2 3 3 3 4" xfId="51572" xr:uid="{00000000-0005-0000-0000-0000EECE0000}"/>
    <cellStyle name="Note 2 2 3 3 4" xfId="51573" xr:uid="{00000000-0005-0000-0000-0000EFCE0000}"/>
    <cellStyle name="Note 2 2 3 3 4 2" xfId="51574" xr:uid="{00000000-0005-0000-0000-0000F0CE0000}"/>
    <cellStyle name="Note 2 2 3 3 4 2 2" xfId="51575" xr:uid="{00000000-0005-0000-0000-0000F1CE0000}"/>
    <cellStyle name="Note 2 2 3 3 4 3" xfId="51576" xr:uid="{00000000-0005-0000-0000-0000F2CE0000}"/>
    <cellStyle name="Note 2 2 3 3 4 3 2" xfId="51577" xr:uid="{00000000-0005-0000-0000-0000F3CE0000}"/>
    <cellStyle name="Note 2 2 3 3 4 4" xfId="51578" xr:uid="{00000000-0005-0000-0000-0000F4CE0000}"/>
    <cellStyle name="Note 2 2 3 3 5" xfId="51579" xr:uid="{00000000-0005-0000-0000-0000F5CE0000}"/>
    <cellStyle name="Note 2 2 3 3 5 2" xfId="51580" xr:uid="{00000000-0005-0000-0000-0000F6CE0000}"/>
    <cellStyle name="Note 2 2 3 3 5 2 2" xfId="51581" xr:uid="{00000000-0005-0000-0000-0000F7CE0000}"/>
    <cellStyle name="Note 2 2 3 3 5 3" xfId="51582" xr:uid="{00000000-0005-0000-0000-0000F8CE0000}"/>
    <cellStyle name="Note 2 2 3 3 5 3 2" xfId="51583" xr:uid="{00000000-0005-0000-0000-0000F9CE0000}"/>
    <cellStyle name="Note 2 2 3 3 5 4" xfId="51584" xr:uid="{00000000-0005-0000-0000-0000FACE0000}"/>
    <cellStyle name="Note 2 2 3 3 6" xfId="51585" xr:uid="{00000000-0005-0000-0000-0000FBCE0000}"/>
    <cellStyle name="Note 2 2 3 3 6 2" xfId="51586" xr:uid="{00000000-0005-0000-0000-0000FCCE0000}"/>
    <cellStyle name="Note 2 2 3 3 6 2 2" xfId="51587" xr:uid="{00000000-0005-0000-0000-0000FDCE0000}"/>
    <cellStyle name="Note 2 2 3 3 6 3" xfId="51588" xr:uid="{00000000-0005-0000-0000-0000FECE0000}"/>
    <cellStyle name="Note 2 2 3 3 6 3 2" xfId="51589" xr:uid="{00000000-0005-0000-0000-0000FFCE0000}"/>
    <cellStyle name="Note 2 2 3 3 6 4" xfId="51590" xr:uid="{00000000-0005-0000-0000-000000CF0000}"/>
    <cellStyle name="Note 2 2 3 3 7" xfId="51591" xr:uid="{00000000-0005-0000-0000-000001CF0000}"/>
    <cellStyle name="Note 2 2 3 3 7 2" xfId="51592" xr:uid="{00000000-0005-0000-0000-000002CF0000}"/>
    <cellStyle name="Note 2 2 3 3 8" xfId="51593" xr:uid="{00000000-0005-0000-0000-000003CF0000}"/>
    <cellStyle name="Note 2 2 3 3 9" xfId="51594" xr:uid="{00000000-0005-0000-0000-000004CF0000}"/>
    <cellStyle name="Note 2 2 3 4" xfId="3651" xr:uid="{00000000-0005-0000-0000-000005CF0000}"/>
    <cellStyle name="Note 2 2 3 4 2" xfId="51595" xr:uid="{00000000-0005-0000-0000-000006CF0000}"/>
    <cellStyle name="Note 2 2 3 4 2 2" xfId="51596" xr:uid="{00000000-0005-0000-0000-000007CF0000}"/>
    <cellStyle name="Note 2 2 3 4 2 2 2" xfId="51597" xr:uid="{00000000-0005-0000-0000-000008CF0000}"/>
    <cellStyle name="Note 2 2 3 4 2 3" xfId="51598" xr:uid="{00000000-0005-0000-0000-000009CF0000}"/>
    <cellStyle name="Note 2 2 3 4 2 3 2" xfId="51599" xr:uid="{00000000-0005-0000-0000-00000ACF0000}"/>
    <cellStyle name="Note 2 2 3 4 2 4" xfId="51600" xr:uid="{00000000-0005-0000-0000-00000BCF0000}"/>
    <cellStyle name="Note 2 2 3 4 3" xfId="51601" xr:uid="{00000000-0005-0000-0000-00000CCF0000}"/>
    <cellStyle name="Note 2 2 3 4 3 2" xfId="51602" xr:uid="{00000000-0005-0000-0000-00000DCF0000}"/>
    <cellStyle name="Note 2 2 3 4 3 2 2" xfId="51603" xr:uid="{00000000-0005-0000-0000-00000ECF0000}"/>
    <cellStyle name="Note 2 2 3 4 3 3" xfId="51604" xr:uid="{00000000-0005-0000-0000-00000FCF0000}"/>
    <cellStyle name="Note 2 2 3 4 3 3 2" xfId="51605" xr:uid="{00000000-0005-0000-0000-000010CF0000}"/>
    <cellStyle name="Note 2 2 3 4 3 4" xfId="51606" xr:uid="{00000000-0005-0000-0000-000011CF0000}"/>
    <cellStyle name="Note 2 2 3 4 4" xfId="51607" xr:uid="{00000000-0005-0000-0000-000012CF0000}"/>
    <cellStyle name="Note 2 2 3 4 4 2" xfId="51608" xr:uid="{00000000-0005-0000-0000-000013CF0000}"/>
    <cellStyle name="Note 2 2 3 4 4 2 2" xfId="51609" xr:uid="{00000000-0005-0000-0000-000014CF0000}"/>
    <cellStyle name="Note 2 2 3 4 4 3" xfId="51610" xr:uid="{00000000-0005-0000-0000-000015CF0000}"/>
    <cellStyle name="Note 2 2 3 4 4 3 2" xfId="51611" xr:uid="{00000000-0005-0000-0000-000016CF0000}"/>
    <cellStyle name="Note 2 2 3 4 4 4" xfId="51612" xr:uid="{00000000-0005-0000-0000-000017CF0000}"/>
    <cellStyle name="Note 2 2 3 4 5" xfId="51613" xr:uid="{00000000-0005-0000-0000-000018CF0000}"/>
    <cellStyle name="Note 2 2 3 4 5 2" xfId="51614" xr:uid="{00000000-0005-0000-0000-000019CF0000}"/>
    <cellStyle name="Note 2 2 3 4 5 2 2" xfId="51615" xr:uid="{00000000-0005-0000-0000-00001ACF0000}"/>
    <cellStyle name="Note 2 2 3 4 5 3" xfId="51616" xr:uid="{00000000-0005-0000-0000-00001BCF0000}"/>
    <cellStyle name="Note 2 2 3 4 5 3 2" xfId="51617" xr:uid="{00000000-0005-0000-0000-00001CCF0000}"/>
    <cellStyle name="Note 2 2 3 4 5 4" xfId="51618" xr:uid="{00000000-0005-0000-0000-00001DCF0000}"/>
    <cellStyle name="Note 2 2 3 4 6" xfId="51619" xr:uid="{00000000-0005-0000-0000-00001ECF0000}"/>
    <cellStyle name="Note 2 2 3 4 6 2" xfId="51620" xr:uid="{00000000-0005-0000-0000-00001FCF0000}"/>
    <cellStyle name="Note 2 2 3 4 6 2 2" xfId="51621" xr:uid="{00000000-0005-0000-0000-000020CF0000}"/>
    <cellStyle name="Note 2 2 3 4 6 3" xfId="51622" xr:uid="{00000000-0005-0000-0000-000021CF0000}"/>
    <cellStyle name="Note 2 2 3 4 6 3 2" xfId="51623" xr:uid="{00000000-0005-0000-0000-000022CF0000}"/>
    <cellStyle name="Note 2 2 3 4 6 4" xfId="51624" xr:uid="{00000000-0005-0000-0000-000023CF0000}"/>
    <cellStyle name="Note 2 2 3 4 7" xfId="51625" xr:uid="{00000000-0005-0000-0000-000024CF0000}"/>
    <cellStyle name="Note 2 2 3 4 7 2" xfId="51626" xr:uid="{00000000-0005-0000-0000-000025CF0000}"/>
    <cellStyle name="Note 2 2 3 4 8" xfId="51627" xr:uid="{00000000-0005-0000-0000-000026CF0000}"/>
    <cellStyle name="Note 2 2 3 4 9" xfId="51628" xr:uid="{00000000-0005-0000-0000-000027CF0000}"/>
    <cellStyle name="Note 2 2 3 5" xfId="51629" xr:uid="{00000000-0005-0000-0000-000028CF0000}"/>
    <cellStyle name="Note 2 2 3 5 2" xfId="51630" xr:uid="{00000000-0005-0000-0000-000029CF0000}"/>
    <cellStyle name="Note 2 2 3 5 2 2" xfId="51631" xr:uid="{00000000-0005-0000-0000-00002ACF0000}"/>
    <cellStyle name="Note 2 2 3 5 2 2 2" xfId="51632" xr:uid="{00000000-0005-0000-0000-00002BCF0000}"/>
    <cellStyle name="Note 2 2 3 5 2 3" xfId="51633" xr:uid="{00000000-0005-0000-0000-00002CCF0000}"/>
    <cellStyle name="Note 2 2 3 5 2 3 2" xfId="51634" xr:uid="{00000000-0005-0000-0000-00002DCF0000}"/>
    <cellStyle name="Note 2 2 3 5 2 4" xfId="51635" xr:uid="{00000000-0005-0000-0000-00002ECF0000}"/>
    <cellStyle name="Note 2 2 3 5 3" xfId="51636" xr:uid="{00000000-0005-0000-0000-00002FCF0000}"/>
    <cellStyle name="Note 2 2 3 5 3 2" xfId="51637" xr:uid="{00000000-0005-0000-0000-000030CF0000}"/>
    <cellStyle name="Note 2 2 3 5 3 2 2" xfId="51638" xr:uid="{00000000-0005-0000-0000-000031CF0000}"/>
    <cellStyle name="Note 2 2 3 5 3 3" xfId="51639" xr:uid="{00000000-0005-0000-0000-000032CF0000}"/>
    <cellStyle name="Note 2 2 3 5 3 3 2" xfId="51640" xr:uid="{00000000-0005-0000-0000-000033CF0000}"/>
    <cellStyle name="Note 2 2 3 5 3 4" xfId="51641" xr:uid="{00000000-0005-0000-0000-000034CF0000}"/>
    <cellStyle name="Note 2 2 3 5 4" xfId="51642" xr:uid="{00000000-0005-0000-0000-000035CF0000}"/>
    <cellStyle name="Note 2 2 3 5 4 2" xfId="51643" xr:uid="{00000000-0005-0000-0000-000036CF0000}"/>
    <cellStyle name="Note 2 2 3 5 4 2 2" xfId="51644" xr:uid="{00000000-0005-0000-0000-000037CF0000}"/>
    <cellStyle name="Note 2 2 3 5 4 3" xfId="51645" xr:uid="{00000000-0005-0000-0000-000038CF0000}"/>
    <cellStyle name="Note 2 2 3 5 4 3 2" xfId="51646" xr:uid="{00000000-0005-0000-0000-000039CF0000}"/>
    <cellStyle name="Note 2 2 3 5 4 4" xfId="51647" xr:uid="{00000000-0005-0000-0000-00003ACF0000}"/>
    <cellStyle name="Note 2 2 3 5 5" xfId="51648" xr:uid="{00000000-0005-0000-0000-00003BCF0000}"/>
    <cellStyle name="Note 2 2 3 5 5 2" xfId="51649" xr:uid="{00000000-0005-0000-0000-00003CCF0000}"/>
    <cellStyle name="Note 2 2 3 5 5 2 2" xfId="51650" xr:uid="{00000000-0005-0000-0000-00003DCF0000}"/>
    <cellStyle name="Note 2 2 3 5 5 3" xfId="51651" xr:uid="{00000000-0005-0000-0000-00003ECF0000}"/>
    <cellStyle name="Note 2 2 3 5 5 3 2" xfId="51652" xr:uid="{00000000-0005-0000-0000-00003FCF0000}"/>
    <cellStyle name="Note 2 2 3 5 5 4" xfId="51653" xr:uid="{00000000-0005-0000-0000-000040CF0000}"/>
    <cellStyle name="Note 2 2 3 5 6" xfId="51654" xr:uid="{00000000-0005-0000-0000-000041CF0000}"/>
    <cellStyle name="Note 2 2 3 5 6 2" xfId="51655" xr:uid="{00000000-0005-0000-0000-000042CF0000}"/>
    <cellStyle name="Note 2 2 3 5 6 2 2" xfId="51656" xr:uid="{00000000-0005-0000-0000-000043CF0000}"/>
    <cellStyle name="Note 2 2 3 5 6 3" xfId="51657" xr:uid="{00000000-0005-0000-0000-000044CF0000}"/>
    <cellStyle name="Note 2 2 3 5 6 3 2" xfId="51658" xr:uid="{00000000-0005-0000-0000-000045CF0000}"/>
    <cellStyle name="Note 2 2 3 5 6 4" xfId="51659" xr:uid="{00000000-0005-0000-0000-000046CF0000}"/>
    <cellStyle name="Note 2 2 3 5 7" xfId="51660" xr:uid="{00000000-0005-0000-0000-000047CF0000}"/>
    <cellStyle name="Note 2 2 3 5 7 2" xfId="51661" xr:uid="{00000000-0005-0000-0000-000048CF0000}"/>
    <cellStyle name="Note 2 2 3 5 8" xfId="51662" xr:uid="{00000000-0005-0000-0000-000049CF0000}"/>
    <cellStyle name="Note 2 2 3 5 8 2" xfId="51663" xr:uid="{00000000-0005-0000-0000-00004ACF0000}"/>
    <cellStyle name="Note 2 2 3 5 9" xfId="51664" xr:uid="{00000000-0005-0000-0000-00004BCF0000}"/>
    <cellStyle name="Note 2 2 3 6" xfId="51665" xr:uid="{00000000-0005-0000-0000-00004CCF0000}"/>
    <cellStyle name="Note 2 2 3 6 2" xfId="51666" xr:uid="{00000000-0005-0000-0000-00004DCF0000}"/>
    <cellStyle name="Note 2 2 3 6 2 2" xfId="51667" xr:uid="{00000000-0005-0000-0000-00004ECF0000}"/>
    <cellStyle name="Note 2 2 3 6 3" xfId="51668" xr:uid="{00000000-0005-0000-0000-00004FCF0000}"/>
    <cellStyle name="Note 2 2 3 6 3 2" xfId="51669" xr:uid="{00000000-0005-0000-0000-000050CF0000}"/>
    <cellStyle name="Note 2 2 3 6 4" xfId="51670" xr:uid="{00000000-0005-0000-0000-000051CF0000}"/>
    <cellStyle name="Note 2 2 3 7" xfId="51671" xr:uid="{00000000-0005-0000-0000-000052CF0000}"/>
    <cellStyle name="Note 2 2 3 7 2" xfId="51672" xr:uid="{00000000-0005-0000-0000-000053CF0000}"/>
    <cellStyle name="Note 2 2 3 7 2 2" xfId="51673" xr:uid="{00000000-0005-0000-0000-000054CF0000}"/>
    <cellStyle name="Note 2 2 3 7 3" xfId="51674" xr:uid="{00000000-0005-0000-0000-000055CF0000}"/>
    <cellStyle name="Note 2 2 3 7 3 2" xfId="51675" xr:uid="{00000000-0005-0000-0000-000056CF0000}"/>
    <cellStyle name="Note 2 2 3 7 4" xfId="51676" xr:uid="{00000000-0005-0000-0000-000057CF0000}"/>
    <cellStyle name="Note 2 2 3 8" xfId="51677" xr:uid="{00000000-0005-0000-0000-000058CF0000}"/>
    <cellStyle name="Note 2 2 3 8 2" xfId="51678" xr:uid="{00000000-0005-0000-0000-000059CF0000}"/>
    <cellStyle name="Note 2 2 3 8 2 2" xfId="51679" xr:uid="{00000000-0005-0000-0000-00005ACF0000}"/>
    <cellStyle name="Note 2 2 3 8 3" xfId="51680" xr:uid="{00000000-0005-0000-0000-00005BCF0000}"/>
    <cellStyle name="Note 2 2 3 8 3 2" xfId="51681" xr:uid="{00000000-0005-0000-0000-00005CCF0000}"/>
    <cellStyle name="Note 2 2 3 8 4" xfId="51682" xr:uid="{00000000-0005-0000-0000-00005DCF0000}"/>
    <cellStyle name="Note 2 2 3 9" xfId="51683" xr:uid="{00000000-0005-0000-0000-00005ECF0000}"/>
    <cellStyle name="Note 2 2 3 9 2" xfId="51684" xr:uid="{00000000-0005-0000-0000-00005FCF0000}"/>
    <cellStyle name="Note 2 2 3 9 2 2" xfId="51685" xr:uid="{00000000-0005-0000-0000-000060CF0000}"/>
    <cellStyle name="Note 2 2 3 9 3" xfId="51686" xr:uid="{00000000-0005-0000-0000-000061CF0000}"/>
    <cellStyle name="Note 2 2 3 9 3 2" xfId="51687" xr:uid="{00000000-0005-0000-0000-000062CF0000}"/>
    <cellStyle name="Note 2 2 3 9 4" xfId="51688" xr:uid="{00000000-0005-0000-0000-000063CF0000}"/>
    <cellStyle name="Note 2 2 4" xfId="3652" xr:uid="{00000000-0005-0000-0000-000064CF0000}"/>
    <cellStyle name="Note 2 2 4 2" xfId="3653" xr:uid="{00000000-0005-0000-0000-000065CF0000}"/>
    <cellStyle name="Note 2 2 4 2 2" xfId="3654" xr:uid="{00000000-0005-0000-0000-000066CF0000}"/>
    <cellStyle name="Note 2 2 4 2 2 2" xfId="51689" xr:uid="{00000000-0005-0000-0000-000067CF0000}"/>
    <cellStyle name="Note 2 2 4 2 2 2 2" xfId="51690" xr:uid="{00000000-0005-0000-0000-000068CF0000}"/>
    <cellStyle name="Note 2 2 4 2 2 3" xfId="51691" xr:uid="{00000000-0005-0000-0000-000069CF0000}"/>
    <cellStyle name="Note 2 2 4 2 2 3 2" xfId="51692" xr:uid="{00000000-0005-0000-0000-00006ACF0000}"/>
    <cellStyle name="Note 2 2 4 2 2 4" xfId="51693" xr:uid="{00000000-0005-0000-0000-00006BCF0000}"/>
    <cellStyle name="Note 2 2 4 2 3" xfId="51694" xr:uid="{00000000-0005-0000-0000-00006CCF0000}"/>
    <cellStyle name="Note 2 2 4 2 3 2" xfId="51695" xr:uid="{00000000-0005-0000-0000-00006DCF0000}"/>
    <cellStyle name="Note 2 2 4 2 3 2 2" xfId="51696" xr:uid="{00000000-0005-0000-0000-00006ECF0000}"/>
    <cellStyle name="Note 2 2 4 2 3 3" xfId="51697" xr:uid="{00000000-0005-0000-0000-00006FCF0000}"/>
    <cellStyle name="Note 2 2 4 2 3 3 2" xfId="51698" xr:uid="{00000000-0005-0000-0000-000070CF0000}"/>
    <cellStyle name="Note 2 2 4 2 3 4" xfId="51699" xr:uid="{00000000-0005-0000-0000-000071CF0000}"/>
    <cellStyle name="Note 2 2 4 2 4" xfId="51700" xr:uid="{00000000-0005-0000-0000-000072CF0000}"/>
    <cellStyle name="Note 2 2 4 2 4 2" xfId="51701" xr:uid="{00000000-0005-0000-0000-000073CF0000}"/>
    <cellStyle name="Note 2 2 4 2 4 2 2" xfId="51702" xr:uid="{00000000-0005-0000-0000-000074CF0000}"/>
    <cellStyle name="Note 2 2 4 2 4 3" xfId="51703" xr:uid="{00000000-0005-0000-0000-000075CF0000}"/>
    <cellStyle name="Note 2 2 4 2 4 3 2" xfId="51704" xr:uid="{00000000-0005-0000-0000-000076CF0000}"/>
    <cellStyle name="Note 2 2 4 2 4 4" xfId="51705" xr:uid="{00000000-0005-0000-0000-000077CF0000}"/>
    <cellStyle name="Note 2 2 4 2 5" xfId="51706" xr:uid="{00000000-0005-0000-0000-000078CF0000}"/>
    <cellStyle name="Note 2 2 4 2 5 2" xfId="51707" xr:uid="{00000000-0005-0000-0000-000079CF0000}"/>
    <cellStyle name="Note 2 2 4 2 5 2 2" xfId="51708" xr:uid="{00000000-0005-0000-0000-00007ACF0000}"/>
    <cellStyle name="Note 2 2 4 2 5 3" xfId="51709" xr:uid="{00000000-0005-0000-0000-00007BCF0000}"/>
    <cellStyle name="Note 2 2 4 2 5 3 2" xfId="51710" xr:uid="{00000000-0005-0000-0000-00007CCF0000}"/>
    <cellStyle name="Note 2 2 4 2 5 4" xfId="51711" xr:uid="{00000000-0005-0000-0000-00007DCF0000}"/>
    <cellStyle name="Note 2 2 4 2 6" xfId="51712" xr:uid="{00000000-0005-0000-0000-00007ECF0000}"/>
    <cellStyle name="Note 2 2 4 2 6 2" xfId="51713" xr:uid="{00000000-0005-0000-0000-00007FCF0000}"/>
    <cellStyle name="Note 2 2 4 2 6 2 2" xfId="51714" xr:uid="{00000000-0005-0000-0000-000080CF0000}"/>
    <cellStyle name="Note 2 2 4 2 6 3" xfId="51715" xr:uid="{00000000-0005-0000-0000-000081CF0000}"/>
    <cellStyle name="Note 2 2 4 2 6 3 2" xfId="51716" xr:uid="{00000000-0005-0000-0000-000082CF0000}"/>
    <cellStyle name="Note 2 2 4 2 6 4" xfId="51717" xr:uid="{00000000-0005-0000-0000-000083CF0000}"/>
    <cellStyle name="Note 2 2 4 2 7" xfId="51718" xr:uid="{00000000-0005-0000-0000-000084CF0000}"/>
    <cellStyle name="Note 2 2 4 2 7 2" xfId="51719" xr:uid="{00000000-0005-0000-0000-000085CF0000}"/>
    <cellStyle name="Note 2 2 4 2 8" xfId="51720" xr:uid="{00000000-0005-0000-0000-000086CF0000}"/>
    <cellStyle name="Note 2 2 4 2 9" xfId="51721" xr:uid="{00000000-0005-0000-0000-000087CF0000}"/>
    <cellStyle name="Note 2 2 4 3" xfId="3655" xr:uid="{00000000-0005-0000-0000-000088CF0000}"/>
    <cellStyle name="Note 2 2 4 3 2" xfId="51722" xr:uid="{00000000-0005-0000-0000-000089CF0000}"/>
    <cellStyle name="Note 2 2 4 3 2 2" xfId="51723" xr:uid="{00000000-0005-0000-0000-00008ACF0000}"/>
    <cellStyle name="Note 2 2 4 3 2 2 2" xfId="51724" xr:uid="{00000000-0005-0000-0000-00008BCF0000}"/>
    <cellStyle name="Note 2 2 4 3 2 3" xfId="51725" xr:uid="{00000000-0005-0000-0000-00008CCF0000}"/>
    <cellStyle name="Note 2 2 4 3 2 3 2" xfId="51726" xr:uid="{00000000-0005-0000-0000-00008DCF0000}"/>
    <cellStyle name="Note 2 2 4 3 2 4" xfId="51727" xr:uid="{00000000-0005-0000-0000-00008ECF0000}"/>
    <cellStyle name="Note 2 2 4 3 3" xfId="51728" xr:uid="{00000000-0005-0000-0000-00008FCF0000}"/>
    <cellStyle name="Note 2 2 4 3 3 2" xfId="51729" xr:uid="{00000000-0005-0000-0000-000090CF0000}"/>
    <cellStyle name="Note 2 2 4 3 3 2 2" xfId="51730" xr:uid="{00000000-0005-0000-0000-000091CF0000}"/>
    <cellStyle name="Note 2 2 4 3 3 3" xfId="51731" xr:uid="{00000000-0005-0000-0000-000092CF0000}"/>
    <cellStyle name="Note 2 2 4 3 3 3 2" xfId="51732" xr:uid="{00000000-0005-0000-0000-000093CF0000}"/>
    <cellStyle name="Note 2 2 4 3 3 4" xfId="51733" xr:uid="{00000000-0005-0000-0000-000094CF0000}"/>
    <cellStyle name="Note 2 2 4 3 4" xfId="51734" xr:uid="{00000000-0005-0000-0000-000095CF0000}"/>
    <cellStyle name="Note 2 2 4 3 4 2" xfId="51735" xr:uid="{00000000-0005-0000-0000-000096CF0000}"/>
    <cellStyle name="Note 2 2 4 3 4 2 2" xfId="51736" xr:uid="{00000000-0005-0000-0000-000097CF0000}"/>
    <cellStyle name="Note 2 2 4 3 4 3" xfId="51737" xr:uid="{00000000-0005-0000-0000-000098CF0000}"/>
    <cellStyle name="Note 2 2 4 3 4 3 2" xfId="51738" xr:uid="{00000000-0005-0000-0000-000099CF0000}"/>
    <cellStyle name="Note 2 2 4 3 4 4" xfId="51739" xr:uid="{00000000-0005-0000-0000-00009ACF0000}"/>
    <cellStyle name="Note 2 2 4 3 5" xfId="51740" xr:uid="{00000000-0005-0000-0000-00009BCF0000}"/>
    <cellStyle name="Note 2 2 4 3 5 2" xfId="51741" xr:uid="{00000000-0005-0000-0000-00009CCF0000}"/>
    <cellStyle name="Note 2 2 4 3 5 2 2" xfId="51742" xr:uid="{00000000-0005-0000-0000-00009DCF0000}"/>
    <cellStyle name="Note 2 2 4 3 5 3" xfId="51743" xr:uid="{00000000-0005-0000-0000-00009ECF0000}"/>
    <cellStyle name="Note 2 2 4 3 5 3 2" xfId="51744" xr:uid="{00000000-0005-0000-0000-00009FCF0000}"/>
    <cellStyle name="Note 2 2 4 3 5 4" xfId="51745" xr:uid="{00000000-0005-0000-0000-0000A0CF0000}"/>
    <cellStyle name="Note 2 2 4 3 6" xfId="51746" xr:uid="{00000000-0005-0000-0000-0000A1CF0000}"/>
    <cellStyle name="Note 2 2 4 3 6 2" xfId="51747" xr:uid="{00000000-0005-0000-0000-0000A2CF0000}"/>
    <cellStyle name="Note 2 2 4 3 6 2 2" xfId="51748" xr:uid="{00000000-0005-0000-0000-0000A3CF0000}"/>
    <cellStyle name="Note 2 2 4 3 6 3" xfId="51749" xr:uid="{00000000-0005-0000-0000-0000A4CF0000}"/>
    <cellStyle name="Note 2 2 4 3 6 3 2" xfId="51750" xr:uid="{00000000-0005-0000-0000-0000A5CF0000}"/>
    <cellStyle name="Note 2 2 4 3 6 4" xfId="51751" xr:uid="{00000000-0005-0000-0000-0000A6CF0000}"/>
    <cellStyle name="Note 2 2 4 3 7" xfId="51752" xr:uid="{00000000-0005-0000-0000-0000A7CF0000}"/>
    <cellStyle name="Note 2 2 4 3 7 2" xfId="51753" xr:uid="{00000000-0005-0000-0000-0000A8CF0000}"/>
    <cellStyle name="Note 2 2 4 3 8" xfId="51754" xr:uid="{00000000-0005-0000-0000-0000A9CF0000}"/>
    <cellStyle name="Note 2 2 4 4" xfId="51755" xr:uid="{00000000-0005-0000-0000-0000AACF0000}"/>
    <cellStyle name="Note 2 2 4 4 2" xfId="51756" xr:uid="{00000000-0005-0000-0000-0000ABCF0000}"/>
    <cellStyle name="Note 2 2 4 4 2 2" xfId="51757" xr:uid="{00000000-0005-0000-0000-0000ACCF0000}"/>
    <cellStyle name="Note 2 2 4 4 2 2 2" xfId="51758" xr:uid="{00000000-0005-0000-0000-0000ADCF0000}"/>
    <cellStyle name="Note 2 2 4 4 2 3" xfId="51759" xr:uid="{00000000-0005-0000-0000-0000AECF0000}"/>
    <cellStyle name="Note 2 2 4 4 2 3 2" xfId="51760" xr:uid="{00000000-0005-0000-0000-0000AFCF0000}"/>
    <cellStyle name="Note 2 2 4 4 2 4" xfId="51761" xr:uid="{00000000-0005-0000-0000-0000B0CF0000}"/>
    <cellStyle name="Note 2 2 4 4 3" xfId="51762" xr:uid="{00000000-0005-0000-0000-0000B1CF0000}"/>
    <cellStyle name="Note 2 2 4 4 3 2" xfId="51763" xr:uid="{00000000-0005-0000-0000-0000B2CF0000}"/>
    <cellStyle name="Note 2 2 4 4 3 2 2" xfId="51764" xr:uid="{00000000-0005-0000-0000-0000B3CF0000}"/>
    <cellStyle name="Note 2 2 4 4 3 3" xfId="51765" xr:uid="{00000000-0005-0000-0000-0000B4CF0000}"/>
    <cellStyle name="Note 2 2 4 4 3 3 2" xfId="51766" xr:uid="{00000000-0005-0000-0000-0000B5CF0000}"/>
    <cellStyle name="Note 2 2 4 4 3 4" xfId="51767" xr:uid="{00000000-0005-0000-0000-0000B6CF0000}"/>
    <cellStyle name="Note 2 2 4 4 4" xfId="51768" xr:uid="{00000000-0005-0000-0000-0000B7CF0000}"/>
    <cellStyle name="Note 2 2 4 4 4 2" xfId="51769" xr:uid="{00000000-0005-0000-0000-0000B8CF0000}"/>
    <cellStyle name="Note 2 2 4 4 4 2 2" xfId="51770" xr:uid="{00000000-0005-0000-0000-0000B9CF0000}"/>
    <cellStyle name="Note 2 2 4 4 4 3" xfId="51771" xr:uid="{00000000-0005-0000-0000-0000BACF0000}"/>
    <cellStyle name="Note 2 2 4 4 4 3 2" xfId="51772" xr:uid="{00000000-0005-0000-0000-0000BBCF0000}"/>
    <cellStyle name="Note 2 2 4 4 4 4" xfId="51773" xr:uid="{00000000-0005-0000-0000-0000BCCF0000}"/>
    <cellStyle name="Note 2 2 4 4 5" xfId="51774" xr:uid="{00000000-0005-0000-0000-0000BDCF0000}"/>
    <cellStyle name="Note 2 2 4 4 5 2" xfId="51775" xr:uid="{00000000-0005-0000-0000-0000BECF0000}"/>
    <cellStyle name="Note 2 2 4 4 5 2 2" xfId="51776" xr:uid="{00000000-0005-0000-0000-0000BFCF0000}"/>
    <cellStyle name="Note 2 2 4 4 5 3" xfId="51777" xr:uid="{00000000-0005-0000-0000-0000C0CF0000}"/>
    <cellStyle name="Note 2 2 4 4 5 3 2" xfId="51778" xr:uid="{00000000-0005-0000-0000-0000C1CF0000}"/>
    <cellStyle name="Note 2 2 4 4 5 4" xfId="51779" xr:uid="{00000000-0005-0000-0000-0000C2CF0000}"/>
    <cellStyle name="Note 2 2 4 4 6" xfId="51780" xr:uid="{00000000-0005-0000-0000-0000C3CF0000}"/>
    <cellStyle name="Note 2 2 4 4 6 2" xfId="51781" xr:uid="{00000000-0005-0000-0000-0000C4CF0000}"/>
    <cellStyle name="Note 2 2 4 4 6 2 2" xfId="51782" xr:uid="{00000000-0005-0000-0000-0000C5CF0000}"/>
    <cellStyle name="Note 2 2 4 4 6 3" xfId="51783" xr:uid="{00000000-0005-0000-0000-0000C6CF0000}"/>
    <cellStyle name="Note 2 2 4 4 6 3 2" xfId="51784" xr:uid="{00000000-0005-0000-0000-0000C7CF0000}"/>
    <cellStyle name="Note 2 2 4 4 6 4" xfId="51785" xr:uid="{00000000-0005-0000-0000-0000C8CF0000}"/>
    <cellStyle name="Note 2 2 4 4 7" xfId="51786" xr:uid="{00000000-0005-0000-0000-0000C9CF0000}"/>
    <cellStyle name="Note 2 2 4 4 7 2" xfId="51787" xr:uid="{00000000-0005-0000-0000-0000CACF0000}"/>
    <cellStyle name="Note 2 2 4 4 8" xfId="51788" xr:uid="{00000000-0005-0000-0000-0000CBCF0000}"/>
    <cellStyle name="Note 2 2 4 4 8 2" xfId="51789" xr:uid="{00000000-0005-0000-0000-0000CCCF0000}"/>
    <cellStyle name="Note 2 2 4 4 9" xfId="51790" xr:uid="{00000000-0005-0000-0000-0000CDCF0000}"/>
    <cellStyle name="Note 2 2 4 5" xfId="51791" xr:uid="{00000000-0005-0000-0000-0000CECF0000}"/>
    <cellStyle name="Note 2 2 4 5 2" xfId="51792" xr:uid="{00000000-0005-0000-0000-0000CFCF0000}"/>
    <cellStyle name="Note 2 2 4 5 2 2" xfId="51793" xr:uid="{00000000-0005-0000-0000-0000D0CF0000}"/>
    <cellStyle name="Note 2 2 4 5 2 2 2" xfId="51794" xr:uid="{00000000-0005-0000-0000-0000D1CF0000}"/>
    <cellStyle name="Note 2 2 4 5 2 3" xfId="51795" xr:uid="{00000000-0005-0000-0000-0000D2CF0000}"/>
    <cellStyle name="Note 2 2 4 5 2 3 2" xfId="51796" xr:uid="{00000000-0005-0000-0000-0000D3CF0000}"/>
    <cellStyle name="Note 2 2 4 5 2 4" xfId="51797" xr:uid="{00000000-0005-0000-0000-0000D4CF0000}"/>
    <cellStyle name="Note 2 2 4 5 3" xfId="51798" xr:uid="{00000000-0005-0000-0000-0000D5CF0000}"/>
    <cellStyle name="Note 2 2 4 5 3 2" xfId="51799" xr:uid="{00000000-0005-0000-0000-0000D6CF0000}"/>
    <cellStyle name="Note 2 2 4 5 3 2 2" xfId="51800" xr:uid="{00000000-0005-0000-0000-0000D7CF0000}"/>
    <cellStyle name="Note 2 2 4 5 3 3" xfId="51801" xr:uid="{00000000-0005-0000-0000-0000D8CF0000}"/>
    <cellStyle name="Note 2 2 4 5 3 3 2" xfId="51802" xr:uid="{00000000-0005-0000-0000-0000D9CF0000}"/>
    <cellStyle name="Note 2 2 4 5 3 4" xfId="51803" xr:uid="{00000000-0005-0000-0000-0000DACF0000}"/>
    <cellStyle name="Note 2 2 4 5 4" xfId="51804" xr:uid="{00000000-0005-0000-0000-0000DBCF0000}"/>
    <cellStyle name="Note 2 2 4 5 4 2" xfId="51805" xr:uid="{00000000-0005-0000-0000-0000DCCF0000}"/>
    <cellStyle name="Note 2 2 4 5 4 2 2" xfId="51806" xr:uid="{00000000-0005-0000-0000-0000DDCF0000}"/>
    <cellStyle name="Note 2 2 4 5 4 3" xfId="51807" xr:uid="{00000000-0005-0000-0000-0000DECF0000}"/>
    <cellStyle name="Note 2 2 4 5 4 3 2" xfId="51808" xr:uid="{00000000-0005-0000-0000-0000DFCF0000}"/>
    <cellStyle name="Note 2 2 4 5 4 4" xfId="51809" xr:uid="{00000000-0005-0000-0000-0000E0CF0000}"/>
    <cellStyle name="Note 2 2 4 5 5" xfId="51810" xr:uid="{00000000-0005-0000-0000-0000E1CF0000}"/>
    <cellStyle name="Note 2 2 4 5 5 2" xfId="51811" xr:uid="{00000000-0005-0000-0000-0000E2CF0000}"/>
    <cellStyle name="Note 2 2 4 5 5 2 2" xfId="51812" xr:uid="{00000000-0005-0000-0000-0000E3CF0000}"/>
    <cellStyle name="Note 2 2 4 5 5 3" xfId="51813" xr:uid="{00000000-0005-0000-0000-0000E4CF0000}"/>
    <cellStyle name="Note 2 2 4 5 5 3 2" xfId="51814" xr:uid="{00000000-0005-0000-0000-0000E5CF0000}"/>
    <cellStyle name="Note 2 2 4 5 5 4" xfId="51815" xr:uid="{00000000-0005-0000-0000-0000E6CF0000}"/>
    <cellStyle name="Note 2 2 4 5 6" xfId="51816" xr:uid="{00000000-0005-0000-0000-0000E7CF0000}"/>
    <cellStyle name="Note 2 2 4 5 6 2" xfId="51817" xr:uid="{00000000-0005-0000-0000-0000E8CF0000}"/>
    <cellStyle name="Note 2 2 4 5 6 2 2" xfId="51818" xr:uid="{00000000-0005-0000-0000-0000E9CF0000}"/>
    <cellStyle name="Note 2 2 4 5 6 3" xfId="51819" xr:uid="{00000000-0005-0000-0000-0000EACF0000}"/>
    <cellStyle name="Note 2 2 4 5 6 3 2" xfId="51820" xr:uid="{00000000-0005-0000-0000-0000EBCF0000}"/>
    <cellStyle name="Note 2 2 4 5 6 4" xfId="51821" xr:uid="{00000000-0005-0000-0000-0000ECCF0000}"/>
    <cellStyle name="Note 2 2 4 5 7" xfId="51822" xr:uid="{00000000-0005-0000-0000-0000EDCF0000}"/>
    <cellStyle name="Note 2 2 4 5 7 2" xfId="51823" xr:uid="{00000000-0005-0000-0000-0000EECF0000}"/>
    <cellStyle name="Note 2 2 4 5 8" xfId="51824" xr:uid="{00000000-0005-0000-0000-0000EFCF0000}"/>
    <cellStyle name="Note 2 2 4 5 8 2" xfId="51825" xr:uid="{00000000-0005-0000-0000-0000F0CF0000}"/>
    <cellStyle name="Note 2 2 4 5 9" xfId="51826" xr:uid="{00000000-0005-0000-0000-0000F1CF0000}"/>
    <cellStyle name="Note 2 2 4 6" xfId="51827" xr:uid="{00000000-0005-0000-0000-0000F2CF0000}"/>
    <cellStyle name="Note 2 2 4 6 2" xfId="51828" xr:uid="{00000000-0005-0000-0000-0000F3CF0000}"/>
    <cellStyle name="Note 2 2 4 6 2 2" xfId="51829" xr:uid="{00000000-0005-0000-0000-0000F4CF0000}"/>
    <cellStyle name="Note 2 2 4 6 3" xfId="51830" xr:uid="{00000000-0005-0000-0000-0000F5CF0000}"/>
    <cellStyle name="Note 2 2 4 6 3 2" xfId="51831" xr:uid="{00000000-0005-0000-0000-0000F6CF0000}"/>
    <cellStyle name="Note 2 2 4 6 4" xfId="51832" xr:uid="{00000000-0005-0000-0000-0000F7CF0000}"/>
    <cellStyle name="Note 2 2 4 7" xfId="51833" xr:uid="{00000000-0005-0000-0000-0000F8CF0000}"/>
    <cellStyle name="Note 2 2 4 8" xfId="51834" xr:uid="{00000000-0005-0000-0000-0000F9CF0000}"/>
    <cellStyle name="Note 2 2 5" xfId="3656" xr:uid="{00000000-0005-0000-0000-0000FACF0000}"/>
    <cellStyle name="Note 2 2 5 2" xfId="3657" xr:uid="{00000000-0005-0000-0000-0000FBCF0000}"/>
    <cellStyle name="Note 2 2 5 2 2" xfId="51835" xr:uid="{00000000-0005-0000-0000-0000FCCF0000}"/>
    <cellStyle name="Note 2 2 5 2 2 2" xfId="54392" xr:uid="{00000000-0005-0000-0000-0000FDCF0000}"/>
    <cellStyle name="Note 2 2 5 2 3" xfId="54393" xr:uid="{00000000-0005-0000-0000-0000FECF0000}"/>
    <cellStyle name="Note 2 2 5 3" xfId="51836" xr:uid="{00000000-0005-0000-0000-0000FFCF0000}"/>
    <cellStyle name="Note 2 2 5 3 2" xfId="51837" xr:uid="{00000000-0005-0000-0000-000000D00000}"/>
    <cellStyle name="Note 2 2 5 3 2 2" xfId="54394" xr:uid="{00000000-0005-0000-0000-000001D00000}"/>
    <cellStyle name="Note 2 2 5 3 3" xfId="54395" xr:uid="{00000000-0005-0000-0000-000002D00000}"/>
    <cellStyle name="Note 2 2 5 4" xfId="51838" xr:uid="{00000000-0005-0000-0000-000003D00000}"/>
    <cellStyle name="Note 2 2 5 4 2" xfId="54396" xr:uid="{00000000-0005-0000-0000-000004D00000}"/>
    <cellStyle name="Note 2 2 5 5" xfId="51839" xr:uid="{00000000-0005-0000-0000-000005D00000}"/>
    <cellStyle name="Note 2 2 6" xfId="3658" xr:uid="{00000000-0005-0000-0000-000006D00000}"/>
    <cellStyle name="Note 2 2 6 2" xfId="51840" xr:uid="{00000000-0005-0000-0000-000007D00000}"/>
    <cellStyle name="Note 2 2 6 2 2" xfId="54397" xr:uid="{00000000-0005-0000-0000-000008D00000}"/>
    <cellStyle name="Note 2 2 6 3" xfId="54398" xr:uid="{00000000-0005-0000-0000-000009D00000}"/>
    <cellStyle name="Note 2 2 7" xfId="51841" xr:uid="{00000000-0005-0000-0000-00000AD00000}"/>
    <cellStyle name="Note 2 2 7 2" xfId="54399" xr:uid="{00000000-0005-0000-0000-00000BD00000}"/>
    <cellStyle name="Note 2 2 7 2 2" xfId="54400" xr:uid="{00000000-0005-0000-0000-00000CD00000}"/>
    <cellStyle name="Note 2 2 7 3" xfId="54401" xr:uid="{00000000-0005-0000-0000-00000DD00000}"/>
    <cellStyle name="Note 2 2 8" xfId="51842" xr:uid="{00000000-0005-0000-0000-00000ED00000}"/>
    <cellStyle name="Note 2 2 8 2" xfId="54402" xr:uid="{00000000-0005-0000-0000-00000FD00000}"/>
    <cellStyle name="Note 2 2 9" xfId="54403" xr:uid="{00000000-0005-0000-0000-000010D00000}"/>
    <cellStyle name="Note 2 3" xfId="3659" xr:uid="{00000000-0005-0000-0000-000011D00000}"/>
    <cellStyle name="Note 2 3 10" xfId="51843" xr:uid="{00000000-0005-0000-0000-000012D00000}"/>
    <cellStyle name="Note 2 3 10 2" xfId="51844" xr:uid="{00000000-0005-0000-0000-000013D00000}"/>
    <cellStyle name="Note 2 3 10 2 2" xfId="51845" xr:uid="{00000000-0005-0000-0000-000014D00000}"/>
    <cellStyle name="Note 2 3 10 3" xfId="51846" xr:uid="{00000000-0005-0000-0000-000015D00000}"/>
    <cellStyle name="Note 2 3 10 3 2" xfId="51847" xr:uid="{00000000-0005-0000-0000-000016D00000}"/>
    <cellStyle name="Note 2 3 10 4" xfId="51848" xr:uid="{00000000-0005-0000-0000-000017D00000}"/>
    <cellStyle name="Note 2 3 11" xfId="51849" xr:uid="{00000000-0005-0000-0000-000018D00000}"/>
    <cellStyle name="Note 2 3 12" xfId="51850" xr:uid="{00000000-0005-0000-0000-000019D00000}"/>
    <cellStyle name="Note 2 3 2" xfId="3660" xr:uid="{00000000-0005-0000-0000-00001AD00000}"/>
    <cellStyle name="Note 2 3 2 10" xfId="51851" xr:uid="{00000000-0005-0000-0000-00001BD00000}"/>
    <cellStyle name="Note 2 3 2 2" xfId="3661" xr:uid="{00000000-0005-0000-0000-00001CD00000}"/>
    <cellStyle name="Note 2 3 2 2 2" xfId="3662" xr:uid="{00000000-0005-0000-0000-00001DD00000}"/>
    <cellStyle name="Note 2 3 2 2 2 2" xfId="51852" xr:uid="{00000000-0005-0000-0000-00001ED00000}"/>
    <cellStyle name="Note 2 3 2 2 2 2 2" xfId="54404" xr:uid="{00000000-0005-0000-0000-00001FD00000}"/>
    <cellStyle name="Note 2 3 2 2 2 3" xfId="54405" xr:uid="{00000000-0005-0000-0000-000020D00000}"/>
    <cellStyle name="Note 2 3 2 2 3" xfId="3663" xr:uid="{00000000-0005-0000-0000-000021D00000}"/>
    <cellStyle name="Note 2 3 2 2 3 2" xfId="51853" xr:uid="{00000000-0005-0000-0000-000022D00000}"/>
    <cellStyle name="Note 2 3 2 2 3 2 2" xfId="54406" xr:uid="{00000000-0005-0000-0000-000023D00000}"/>
    <cellStyle name="Note 2 3 2 2 3 3" xfId="54407" xr:uid="{00000000-0005-0000-0000-000024D00000}"/>
    <cellStyle name="Note 2 3 2 2 4" xfId="51854" xr:uid="{00000000-0005-0000-0000-000025D00000}"/>
    <cellStyle name="Note 2 3 2 2 4 2" xfId="54408" xr:uid="{00000000-0005-0000-0000-000026D00000}"/>
    <cellStyle name="Note 2 3 2 2 5" xfId="51855" xr:uid="{00000000-0005-0000-0000-000027D00000}"/>
    <cellStyle name="Note 2 3 2 3" xfId="3664" xr:uid="{00000000-0005-0000-0000-000028D00000}"/>
    <cellStyle name="Note 2 3 2 3 2" xfId="51856" xr:uid="{00000000-0005-0000-0000-000029D00000}"/>
    <cellStyle name="Note 2 3 2 3 2 2" xfId="51857" xr:uid="{00000000-0005-0000-0000-00002AD00000}"/>
    <cellStyle name="Note 2 3 2 3 3" xfId="51858" xr:uid="{00000000-0005-0000-0000-00002BD00000}"/>
    <cellStyle name="Note 2 3 2 3 3 2" xfId="51859" xr:uid="{00000000-0005-0000-0000-00002CD00000}"/>
    <cellStyle name="Note 2 3 2 3 4" xfId="51860" xr:uid="{00000000-0005-0000-0000-00002DD00000}"/>
    <cellStyle name="Note 2 3 2 3 5" xfId="51861" xr:uid="{00000000-0005-0000-0000-00002ED00000}"/>
    <cellStyle name="Note 2 3 2 4" xfId="3665" xr:uid="{00000000-0005-0000-0000-00002FD00000}"/>
    <cellStyle name="Note 2 3 2 4 2" xfId="51862" xr:uid="{00000000-0005-0000-0000-000030D00000}"/>
    <cellStyle name="Note 2 3 2 4 2 2" xfId="51863" xr:uid="{00000000-0005-0000-0000-000031D00000}"/>
    <cellStyle name="Note 2 3 2 4 3" xfId="51864" xr:uid="{00000000-0005-0000-0000-000032D00000}"/>
    <cellStyle name="Note 2 3 2 4 3 2" xfId="51865" xr:uid="{00000000-0005-0000-0000-000033D00000}"/>
    <cellStyle name="Note 2 3 2 4 4" xfId="51866" xr:uid="{00000000-0005-0000-0000-000034D00000}"/>
    <cellStyle name="Note 2 3 2 5" xfId="51867" xr:uid="{00000000-0005-0000-0000-000035D00000}"/>
    <cellStyle name="Note 2 3 2 5 2" xfId="51868" xr:uid="{00000000-0005-0000-0000-000036D00000}"/>
    <cellStyle name="Note 2 3 2 5 2 2" xfId="51869" xr:uid="{00000000-0005-0000-0000-000037D00000}"/>
    <cellStyle name="Note 2 3 2 5 3" xfId="51870" xr:uid="{00000000-0005-0000-0000-000038D00000}"/>
    <cellStyle name="Note 2 3 2 5 3 2" xfId="51871" xr:uid="{00000000-0005-0000-0000-000039D00000}"/>
    <cellStyle name="Note 2 3 2 5 4" xfId="51872" xr:uid="{00000000-0005-0000-0000-00003AD00000}"/>
    <cellStyle name="Note 2 3 2 6" xfId="51873" xr:uid="{00000000-0005-0000-0000-00003BD00000}"/>
    <cellStyle name="Note 2 3 2 6 2" xfId="51874" xr:uid="{00000000-0005-0000-0000-00003CD00000}"/>
    <cellStyle name="Note 2 3 2 6 2 2" xfId="51875" xr:uid="{00000000-0005-0000-0000-00003DD00000}"/>
    <cellStyle name="Note 2 3 2 6 3" xfId="51876" xr:uid="{00000000-0005-0000-0000-00003ED00000}"/>
    <cellStyle name="Note 2 3 2 6 3 2" xfId="51877" xr:uid="{00000000-0005-0000-0000-00003FD00000}"/>
    <cellStyle name="Note 2 3 2 6 4" xfId="51878" xr:uid="{00000000-0005-0000-0000-000040D00000}"/>
    <cellStyle name="Note 2 3 2 7" xfId="51879" xr:uid="{00000000-0005-0000-0000-000041D00000}"/>
    <cellStyle name="Note 2 3 2 7 2" xfId="51880" xr:uid="{00000000-0005-0000-0000-000042D00000}"/>
    <cellStyle name="Note 2 3 2 8" xfId="51881" xr:uid="{00000000-0005-0000-0000-000043D00000}"/>
    <cellStyle name="Note 2 3 2 8 2" xfId="51882" xr:uid="{00000000-0005-0000-0000-000044D00000}"/>
    <cellStyle name="Note 2 3 2 9" xfId="51883" xr:uid="{00000000-0005-0000-0000-000045D00000}"/>
    <cellStyle name="Note 2 3 3" xfId="3666" xr:uid="{00000000-0005-0000-0000-000046D00000}"/>
    <cellStyle name="Note 2 3 3 2" xfId="3667" xr:uid="{00000000-0005-0000-0000-000047D00000}"/>
    <cellStyle name="Note 2 3 3 2 2" xfId="3668" xr:uid="{00000000-0005-0000-0000-000048D00000}"/>
    <cellStyle name="Note 2 3 3 2 2 2" xfId="51884" xr:uid="{00000000-0005-0000-0000-000049D00000}"/>
    <cellStyle name="Note 2 3 3 2 2 2 2" xfId="54409" xr:uid="{00000000-0005-0000-0000-00004AD00000}"/>
    <cellStyle name="Note 2 3 3 2 2 3" xfId="54410" xr:uid="{00000000-0005-0000-0000-00004BD00000}"/>
    <cellStyle name="Note 2 3 3 2 3" xfId="51885" xr:uid="{00000000-0005-0000-0000-00004CD00000}"/>
    <cellStyle name="Note 2 3 3 2 3 2" xfId="51886" xr:uid="{00000000-0005-0000-0000-00004DD00000}"/>
    <cellStyle name="Note 2 3 3 2 3 2 2" xfId="54411" xr:uid="{00000000-0005-0000-0000-00004ED00000}"/>
    <cellStyle name="Note 2 3 3 2 3 3" xfId="54412" xr:uid="{00000000-0005-0000-0000-00004FD00000}"/>
    <cellStyle name="Note 2 3 3 2 4" xfId="51887" xr:uid="{00000000-0005-0000-0000-000050D00000}"/>
    <cellStyle name="Note 2 3 3 2 4 2" xfId="54413" xr:uid="{00000000-0005-0000-0000-000051D00000}"/>
    <cellStyle name="Note 2 3 3 2 5" xfId="51888" xr:uid="{00000000-0005-0000-0000-000052D00000}"/>
    <cellStyle name="Note 2 3 3 3" xfId="3669" xr:uid="{00000000-0005-0000-0000-000053D00000}"/>
    <cellStyle name="Note 2 3 3 3 2" xfId="51889" xr:uid="{00000000-0005-0000-0000-000054D00000}"/>
    <cellStyle name="Note 2 3 3 3 2 2" xfId="51890" xr:uid="{00000000-0005-0000-0000-000055D00000}"/>
    <cellStyle name="Note 2 3 3 3 3" xfId="51891" xr:uid="{00000000-0005-0000-0000-000056D00000}"/>
    <cellStyle name="Note 2 3 3 3 3 2" xfId="51892" xr:uid="{00000000-0005-0000-0000-000057D00000}"/>
    <cellStyle name="Note 2 3 3 3 4" xfId="51893" xr:uid="{00000000-0005-0000-0000-000058D00000}"/>
    <cellStyle name="Note 2 3 3 4" xfId="51894" xr:uid="{00000000-0005-0000-0000-000059D00000}"/>
    <cellStyle name="Note 2 3 3 4 2" xfId="51895" xr:uid="{00000000-0005-0000-0000-00005AD00000}"/>
    <cellStyle name="Note 2 3 3 4 2 2" xfId="51896" xr:uid="{00000000-0005-0000-0000-00005BD00000}"/>
    <cellStyle name="Note 2 3 3 4 3" xfId="51897" xr:uid="{00000000-0005-0000-0000-00005CD00000}"/>
    <cellStyle name="Note 2 3 3 4 3 2" xfId="51898" xr:uid="{00000000-0005-0000-0000-00005DD00000}"/>
    <cellStyle name="Note 2 3 3 4 4" xfId="51899" xr:uid="{00000000-0005-0000-0000-00005ED00000}"/>
    <cellStyle name="Note 2 3 3 5" xfId="51900" xr:uid="{00000000-0005-0000-0000-00005FD00000}"/>
    <cellStyle name="Note 2 3 3 5 2" xfId="51901" xr:uid="{00000000-0005-0000-0000-000060D00000}"/>
    <cellStyle name="Note 2 3 3 5 2 2" xfId="51902" xr:uid="{00000000-0005-0000-0000-000061D00000}"/>
    <cellStyle name="Note 2 3 3 5 3" xfId="51903" xr:uid="{00000000-0005-0000-0000-000062D00000}"/>
    <cellStyle name="Note 2 3 3 5 3 2" xfId="51904" xr:uid="{00000000-0005-0000-0000-000063D00000}"/>
    <cellStyle name="Note 2 3 3 5 4" xfId="51905" xr:uid="{00000000-0005-0000-0000-000064D00000}"/>
    <cellStyle name="Note 2 3 3 6" xfId="51906" xr:uid="{00000000-0005-0000-0000-000065D00000}"/>
    <cellStyle name="Note 2 3 3 6 2" xfId="51907" xr:uid="{00000000-0005-0000-0000-000066D00000}"/>
    <cellStyle name="Note 2 3 3 6 2 2" xfId="51908" xr:uid="{00000000-0005-0000-0000-000067D00000}"/>
    <cellStyle name="Note 2 3 3 6 3" xfId="51909" xr:uid="{00000000-0005-0000-0000-000068D00000}"/>
    <cellStyle name="Note 2 3 3 6 3 2" xfId="51910" xr:uid="{00000000-0005-0000-0000-000069D00000}"/>
    <cellStyle name="Note 2 3 3 6 4" xfId="51911" xr:uid="{00000000-0005-0000-0000-00006AD00000}"/>
    <cellStyle name="Note 2 3 3 7" xfId="51912" xr:uid="{00000000-0005-0000-0000-00006BD00000}"/>
    <cellStyle name="Note 2 3 3 7 2" xfId="51913" xr:uid="{00000000-0005-0000-0000-00006CD00000}"/>
    <cellStyle name="Note 2 3 3 8" xfId="51914" xr:uid="{00000000-0005-0000-0000-00006DD00000}"/>
    <cellStyle name="Note 2 3 3 9" xfId="51915" xr:uid="{00000000-0005-0000-0000-00006ED00000}"/>
    <cellStyle name="Note 2 3 4" xfId="3670" xr:uid="{00000000-0005-0000-0000-00006FD00000}"/>
    <cellStyle name="Note 2 3 4 2" xfId="3671" xr:uid="{00000000-0005-0000-0000-000070D00000}"/>
    <cellStyle name="Note 2 3 4 2 2" xfId="51916" xr:uid="{00000000-0005-0000-0000-000071D00000}"/>
    <cellStyle name="Note 2 3 4 2 2 2" xfId="51917" xr:uid="{00000000-0005-0000-0000-000072D00000}"/>
    <cellStyle name="Note 2 3 4 2 3" xfId="51918" xr:uid="{00000000-0005-0000-0000-000073D00000}"/>
    <cellStyle name="Note 2 3 4 2 3 2" xfId="51919" xr:uid="{00000000-0005-0000-0000-000074D00000}"/>
    <cellStyle name="Note 2 3 4 2 4" xfId="51920" xr:uid="{00000000-0005-0000-0000-000075D00000}"/>
    <cellStyle name="Note 2 3 4 3" xfId="51921" xr:uid="{00000000-0005-0000-0000-000076D00000}"/>
    <cellStyle name="Note 2 3 4 3 2" xfId="51922" xr:uid="{00000000-0005-0000-0000-000077D00000}"/>
    <cellStyle name="Note 2 3 4 3 2 2" xfId="51923" xr:uid="{00000000-0005-0000-0000-000078D00000}"/>
    <cellStyle name="Note 2 3 4 3 3" xfId="51924" xr:uid="{00000000-0005-0000-0000-000079D00000}"/>
    <cellStyle name="Note 2 3 4 3 3 2" xfId="51925" xr:uid="{00000000-0005-0000-0000-00007AD00000}"/>
    <cellStyle name="Note 2 3 4 3 4" xfId="51926" xr:uid="{00000000-0005-0000-0000-00007BD00000}"/>
    <cellStyle name="Note 2 3 4 4" xfId="51927" xr:uid="{00000000-0005-0000-0000-00007CD00000}"/>
    <cellStyle name="Note 2 3 4 4 2" xfId="51928" xr:uid="{00000000-0005-0000-0000-00007DD00000}"/>
    <cellStyle name="Note 2 3 4 4 2 2" xfId="51929" xr:uid="{00000000-0005-0000-0000-00007ED00000}"/>
    <cellStyle name="Note 2 3 4 4 3" xfId="51930" xr:uid="{00000000-0005-0000-0000-00007FD00000}"/>
    <cellStyle name="Note 2 3 4 4 3 2" xfId="51931" xr:uid="{00000000-0005-0000-0000-000080D00000}"/>
    <cellStyle name="Note 2 3 4 4 4" xfId="51932" xr:uid="{00000000-0005-0000-0000-000081D00000}"/>
    <cellStyle name="Note 2 3 4 5" xfId="51933" xr:uid="{00000000-0005-0000-0000-000082D00000}"/>
    <cellStyle name="Note 2 3 4 5 2" xfId="51934" xr:uid="{00000000-0005-0000-0000-000083D00000}"/>
    <cellStyle name="Note 2 3 4 5 2 2" xfId="51935" xr:uid="{00000000-0005-0000-0000-000084D00000}"/>
    <cellStyle name="Note 2 3 4 5 3" xfId="51936" xr:uid="{00000000-0005-0000-0000-000085D00000}"/>
    <cellStyle name="Note 2 3 4 5 3 2" xfId="51937" xr:uid="{00000000-0005-0000-0000-000086D00000}"/>
    <cellStyle name="Note 2 3 4 5 4" xfId="51938" xr:uid="{00000000-0005-0000-0000-000087D00000}"/>
    <cellStyle name="Note 2 3 4 6" xfId="51939" xr:uid="{00000000-0005-0000-0000-000088D00000}"/>
    <cellStyle name="Note 2 3 4 6 2" xfId="51940" xr:uid="{00000000-0005-0000-0000-000089D00000}"/>
    <cellStyle name="Note 2 3 4 6 2 2" xfId="51941" xr:uid="{00000000-0005-0000-0000-00008AD00000}"/>
    <cellStyle name="Note 2 3 4 6 3" xfId="51942" xr:uid="{00000000-0005-0000-0000-00008BD00000}"/>
    <cellStyle name="Note 2 3 4 6 3 2" xfId="51943" xr:uid="{00000000-0005-0000-0000-00008CD00000}"/>
    <cellStyle name="Note 2 3 4 6 4" xfId="51944" xr:uid="{00000000-0005-0000-0000-00008DD00000}"/>
    <cellStyle name="Note 2 3 4 7" xfId="51945" xr:uid="{00000000-0005-0000-0000-00008ED00000}"/>
    <cellStyle name="Note 2 3 4 7 2" xfId="51946" xr:uid="{00000000-0005-0000-0000-00008FD00000}"/>
    <cellStyle name="Note 2 3 4 8" xfId="51947" xr:uid="{00000000-0005-0000-0000-000090D00000}"/>
    <cellStyle name="Note 2 3 4 9" xfId="51948" xr:uid="{00000000-0005-0000-0000-000091D00000}"/>
    <cellStyle name="Note 2 3 5" xfId="3672" xr:uid="{00000000-0005-0000-0000-000092D00000}"/>
    <cellStyle name="Note 2 3 5 10" xfId="51949" xr:uid="{00000000-0005-0000-0000-000093D00000}"/>
    <cellStyle name="Note 2 3 5 2" xfId="51950" xr:uid="{00000000-0005-0000-0000-000094D00000}"/>
    <cellStyle name="Note 2 3 5 2 2" xfId="51951" xr:uid="{00000000-0005-0000-0000-000095D00000}"/>
    <cellStyle name="Note 2 3 5 2 2 2" xfId="51952" xr:uid="{00000000-0005-0000-0000-000096D00000}"/>
    <cellStyle name="Note 2 3 5 2 3" xfId="51953" xr:uid="{00000000-0005-0000-0000-000097D00000}"/>
    <cellStyle name="Note 2 3 5 2 3 2" xfId="51954" xr:uid="{00000000-0005-0000-0000-000098D00000}"/>
    <cellStyle name="Note 2 3 5 2 4" xfId="51955" xr:uid="{00000000-0005-0000-0000-000099D00000}"/>
    <cellStyle name="Note 2 3 5 3" xfId="51956" xr:uid="{00000000-0005-0000-0000-00009AD00000}"/>
    <cellStyle name="Note 2 3 5 3 2" xfId="51957" xr:uid="{00000000-0005-0000-0000-00009BD00000}"/>
    <cellStyle name="Note 2 3 5 3 2 2" xfId="51958" xr:uid="{00000000-0005-0000-0000-00009CD00000}"/>
    <cellStyle name="Note 2 3 5 3 3" xfId="51959" xr:uid="{00000000-0005-0000-0000-00009DD00000}"/>
    <cellStyle name="Note 2 3 5 3 3 2" xfId="51960" xr:uid="{00000000-0005-0000-0000-00009ED00000}"/>
    <cellStyle name="Note 2 3 5 3 4" xfId="51961" xr:uid="{00000000-0005-0000-0000-00009FD00000}"/>
    <cellStyle name="Note 2 3 5 4" xfId="51962" xr:uid="{00000000-0005-0000-0000-0000A0D00000}"/>
    <cellStyle name="Note 2 3 5 4 2" xfId="51963" xr:uid="{00000000-0005-0000-0000-0000A1D00000}"/>
    <cellStyle name="Note 2 3 5 4 2 2" xfId="51964" xr:uid="{00000000-0005-0000-0000-0000A2D00000}"/>
    <cellStyle name="Note 2 3 5 4 3" xfId="51965" xr:uid="{00000000-0005-0000-0000-0000A3D00000}"/>
    <cellStyle name="Note 2 3 5 4 3 2" xfId="51966" xr:uid="{00000000-0005-0000-0000-0000A4D00000}"/>
    <cellStyle name="Note 2 3 5 4 4" xfId="51967" xr:uid="{00000000-0005-0000-0000-0000A5D00000}"/>
    <cellStyle name="Note 2 3 5 5" xfId="51968" xr:uid="{00000000-0005-0000-0000-0000A6D00000}"/>
    <cellStyle name="Note 2 3 5 5 2" xfId="51969" xr:uid="{00000000-0005-0000-0000-0000A7D00000}"/>
    <cellStyle name="Note 2 3 5 5 2 2" xfId="51970" xr:uid="{00000000-0005-0000-0000-0000A8D00000}"/>
    <cellStyle name="Note 2 3 5 5 3" xfId="51971" xr:uid="{00000000-0005-0000-0000-0000A9D00000}"/>
    <cellStyle name="Note 2 3 5 5 3 2" xfId="51972" xr:uid="{00000000-0005-0000-0000-0000AAD00000}"/>
    <cellStyle name="Note 2 3 5 5 4" xfId="51973" xr:uid="{00000000-0005-0000-0000-0000ABD00000}"/>
    <cellStyle name="Note 2 3 5 6" xfId="51974" xr:uid="{00000000-0005-0000-0000-0000ACD00000}"/>
    <cellStyle name="Note 2 3 5 6 2" xfId="51975" xr:uid="{00000000-0005-0000-0000-0000ADD00000}"/>
    <cellStyle name="Note 2 3 5 6 2 2" xfId="51976" xr:uid="{00000000-0005-0000-0000-0000AED00000}"/>
    <cellStyle name="Note 2 3 5 6 3" xfId="51977" xr:uid="{00000000-0005-0000-0000-0000AFD00000}"/>
    <cellStyle name="Note 2 3 5 6 3 2" xfId="51978" xr:uid="{00000000-0005-0000-0000-0000B0D00000}"/>
    <cellStyle name="Note 2 3 5 6 4" xfId="51979" xr:uid="{00000000-0005-0000-0000-0000B1D00000}"/>
    <cellStyle name="Note 2 3 5 7" xfId="51980" xr:uid="{00000000-0005-0000-0000-0000B2D00000}"/>
    <cellStyle name="Note 2 3 5 7 2" xfId="51981" xr:uid="{00000000-0005-0000-0000-0000B3D00000}"/>
    <cellStyle name="Note 2 3 5 8" xfId="51982" xr:uid="{00000000-0005-0000-0000-0000B4D00000}"/>
    <cellStyle name="Note 2 3 5 8 2" xfId="51983" xr:uid="{00000000-0005-0000-0000-0000B5D00000}"/>
    <cellStyle name="Note 2 3 5 9" xfId="51984" xr:uid="{00000000-0005-0000-0000-0000B6D00000}"/>
    <cellStyle name="Note 2 3 6" xfId="51985" xr:uid="{00000000-0005-0000-0000-0000B7D00000}"/>
    <cellStyle name="Note 2 3 6 2" xfId="51986" xr:uid="{00000000-0005-0000-0000-0000B8D00000}"/>
    <cellStyle name="Note 2 3 6 2 2" xfId="51987" xr:uid="{00000000-0005-0000-0000-0000B9D00000}"/>
    <cellStyle name="Note 2 3 6 3" xfId="51988" xr:uid="{00000000-0005-0000-0000-0000BAD00000}"/>
    <cellStyle name="Note 2 3 6 3 2" xfId="51989" xr:uid="{00000000-0005-0000-0000-0000BBD00000}"/>
    <cellStyle name="Note 2 3 6 4" xfId="51990" xr:uid="{00000000-0005-0000-0000-0000BCD00000}"/>
    <cellStyle name="Note 2 3 6 5" xfId="51991" xr:uid="{00000000-0005-0000-0000-0000BDD00000}"/>
    <cellStyle name="Note 2 3 7" xfId="51992" xr:uid="{00000000-0005-0000-0000-0000BED00000}"/>
    <cellStyle name="Note 2 3 7 2" xfId="51993" xr:uid="{00000000-0005-0000-0000-0000BFD00000}"/>
    <cellStyle name="Note 2 3 7 2 2" xfId="51994" xr:uid="{00000000-0005-0000-0000-0000C0D00000}"/>
    <cellStyle name="Note 2 3 7 3" xfId="51995" xr:uid="{00000000-0005-0000-0000-0000C1D00000}"/>
    <cellStyle name="Note 2 3 7 3 2" xfId="51996" xr:uid="{00000000-0005-0000-0000-0000C2D00000}"/>
    <cellStyle name="Note 2 3 7 4" xfId="51997" xr:uid="{00000000-0005-0000-0000-0000C3D00000}"/>
    <cellStyle name="Note 2 3 8" xfId="51998" xr:uid="{00000000-0005-0000-0000-0000C4D00000}"/>
    <cellStyle name="Note 2 3 8 2" xfId="51999" xr:uid="{00000000-0005-0000-0000-0000C5D00000}"/>
    <cellStyle name="Note 2 3 8 2 2" xfId="52000" xr:uid="{00000000-0005-0000-0000-0000C6D00000}"/>
    <cellStyle name="Note 2 3 8 3" xfId="52001" xr:uid="{00000000-0005-0000-0000-0000C7D00000}"/>
    <cellStyle name="Note 2 3 8 3 2" xfId="52002" xr:uid="{00000000-0005-0000-0000-0000C8D00000}"/>
    <cellStyle name="Note 2 3 8 4" xfId="52003" xr:uid="{00000000-0005-0000-0000-0000C9D00000}"/>
    <cellStyle name="Note 2 3 9" xfId="52004" xr:uid="{00000000-0005-0000-0000-0000CAD00000}"/>
    <cellStyle name="Note 2 3 9 2" xfId="52005" xr:uid="{00000000-0005-0000-0000-0000CBD00000}"/>
    <cellStyle name="Note 2 3 9 2 2" xfId="52006" xr:uid="{00000000-0005-0000-0000-0000CCD00000}"/>
    <cellStyle name="Note 2 3 9 3" xfId="52007" xr:uid="{00000000-0005-0000-0000-0000CDD00000}"/>
    <cellStyle name="Note 2 3 9 3 2" xfId="52008" xr:uid="{00000000-0005-0000-0000-0000CED00000}"/>
    <cellStyle name="Note 2 3 9 4" xfId="52009" xr:uid="{00000000-0005-0000-0000-0000CFD00000}"/>
    <cellStyle name="Note 2 4" xfId="3673" xr:uid="{00000000-0005-0000-0000-0000D0D00000}"/>
    <cellStyle name="Note 2 4 2" xfId="3674" xr:uid="{00000000-0005-0000-0000-0000D1D00000}"/>
    <cellStyle name="Note 2 4 2 2" xfId="3675" xr:uid="{00000000-0005-0000-0000-0000D2D00000}"/>
    <cellStyle name="Note 2 4 2 2 2" xfId="52010" xr:uid="{00000000-0005-0000-0000-0000D3D00000}"/>
    <cellStyle name="Note 2 4 2 2 2 2" xfId="52011" xr:uid="{00000000-0005-0000-0000-0000D4D00000}"/>
    <cellStyle name="Note 2 4 2 2 3" xfId="52012" xr:uid="{00000000-0005-0000-0000-0000D5D00000}"/>
    <cellStyle name="Note 2 4 2 2 3 2" xfId="52013" xr:uid="{00000000-0005-0000-0000-0000D6D00000}"/>
    <cellStyle name="Note 2 4 2 2 4" xfId="52014" xr:uid="{00000000-0005-0000-0000-0000D7D00000}"/>
    <cellStyle name="Note 2 4 2 3" xfId="3676" xr:uid="{00000000-0005-0000-0000-0000D8D00000}"/>
    <cellStyle name="Note 2 4 2 3 2" xfId="52015" xr:uid="{00000000-0005-0000-0000-0000D9D00000}"/>
    <cellStyle name="Note 2 4 2 3 2 2" xfId="52016" xr:uid="{00000000-0005-0000-0000-0000DAD00000}"/>
    <cellStyle name="Note 2 4 2 3 3" xfId="52017" xr:uid="{00000000-0005-0000-0000-0000DBD00000}"/>
    <cellStyle name="Note 2 4 2 3 3 2" xfId="52018" xr:uid="{00000000-0005-0000-0000-0000DCD00000}"/>
    <cellStyle name="Note 2 4 2 3 4" xfId="52019" xr:uid="{00000000-0005-0000-0000-0000DDD00000}"/>
    <cellStyle name="Note 2 4 2 4" xfId="52020" xr:uid="{00000000-0005-0000-0000-0000DED00000}"/>
    <cellStyle name="Note 2 4 2 4 2" xfId="52021" xr:uid="{00000000-0005-0000-0000-0000DFD00000}"/>
    <cellStyle name="Note 2 4 2 4 2 2" xfId="52022" xr:uid="{00000000-0005-0000-0000-0000E0D00000}"/>
    <cellStyle name="Note 2 4 2 4 3" xfId="52023" xr:uid="{00000000-0005-0000-0000-0000E1D00000}"/>
    <cellStyle name="Note 2 4 2 4 3 2" xfId="52024" xr:uid="{00000000-0005-0000-0000-0000E2D00000}"/>
    <cellStyle name="Note 2 4 2 4 4" xfId="52025" xr:uid="{00000000-0005-0000-0000-0000E3D00000}"/>
    <cellStyle name="Note 2 4 2 5" xfId="52026" xr:uid="{00000000-0005-0000-0000-0000E4D00000}"/>
    <cellStyle name="Note 2 4 2 5 2" xfId="52027" xr:uid="{00000000-0005-0000-0000-0000E5D00000}"/>
    <cellStyle name="Note 2 4 2 5 2 2" xfId="52028" xr:uid="{00000000-0005-0000-0000-0000E6D00000}"/>
    <cellStyle name="Note 2 4 2 5 3" xfId="52029" xr:uid="{00000000-0005-0000-0000-0000E7D00000}"/>
    <cellStyle name="Note 2 4 2 5 3 2" xfId="52030" xr:uid="{00000000-0005-0000-0000-0000E8D00000}"/>
    <cellStyle name="Note 2 4 2 5 4" xfId="52031" xr:uid="{00000000-0005-0000-0000-0000E9D00000}"/>
    <cellStyle name="Note 2 4 2 6" xfId="52032" xr:uid="{00000000-0005-0000-0000-0000EAD00000}"/>
    <cellStyle name="Note 2 4 2 6 2" xfId="52033" xr:uid="{00000000-0005-0000-0000-0000EBD00000}"/>
    <cellStyle name="Note 2 4 2 6 2 2" xfId="52034" xr:uid="{00000000-0005-0000-0000-0000ECD00000}"/>
    <cellStyle name="Note 2 4 2 6 3" xfId="52035" xr:uid="{00000000-0005-0000-0000-0000EDD00000}"/>
    <cellStyle name="Note 2 4 2 6 3 2" xfId="52036" xr:uid="{00000000-0005-0000-0000-0000EED00000}"/>
    <cellStyle name="Note 2 4 2 6 4" xfId="52037" xr:uid="{00000000-0005-0000-0000-0000EFD00000}"/>
    <cellStyle name="Note 2 4 2 7" xfId="52038" xr:uid="{00000000-0005-0000-0000-0000F0D00000}"/>
    <cellStyle name="Note 2 4 2 7 2" xfId="52039" xr:uid="{00000000-0005-0000-0000-0000F1D00000}"/>
    <cellStyle name="Note 2 4 2 8" xfId="52040" xr:uid="{00000000-0005-0000-0000-0000F2D00000}"/>
    <cellStyle name="Note 2 4 2 9" xfId="52041" xr:uid="{00000000-0005-0000-0000-0000F3D00000}"/>
    <cellStyle name="Note 2 4 3" xfId="3677" xr:uid="{00000000-0005-0000-0000-0000F4D00000}"/>
    <cellStyle name="Note 2 4 3 2" xfId="52042" xr:uid="{00000000-0005-0000-0000-0000F5D00000}"/>
    <cellStyle name="Note 2 4 3 2 2" xfId="52043" xr:uid="{00000000-0005-0000-0000-0000F6D00000}"/>
    <cellStyle name="Note 2 4 3 2 2 2" xfId="52044" xr:uid="{00000000-0005-0000-0000-0000F7D00000}"/>
    <cellStyle name="Note 2 4 3 2 3" xfId="52045" xr:uid="{00000000-0005-0000-0000-0000F8D00000}"/>
    <cellStyle name="Note 2 4 3 2 3 2" xfId="52046" xr:uid="{00000000-0005-0000-0000-0000F9D00000}"/>
    <cellStyle name="Note 2 4 3 2 4" xfId="52047" xr:uid="{00000000-0005-0000-0000-0000FAD00000}"/>
    <cellStyle name="Note 2 4 3 3" xfId="52048" xr:uid="{00000000-0005-0000-0000-0000FBD00000}"/>
    <cellStyle name="Note 2 4 3 3 2" xfId="52049" xr:uid="{00000000-0005-0000-0000-0000FCD00000}"/>
    <cellStyle name="Note 2 4 3 3 2 2" xfId="52050" xr:uid="{00000000-0005-0000-0000-0000FDD00000}"/>
    <cellStyle name="Note 2 4 3 3 3" xfId="52051" xr:uid="{00000000-0005-0000-0000-0000FED00000}"/>
    <cellStyle name="Note 2 4 3 3 3 2" xfId="52052" xr:uid="{00000000-0005-0000-0000-0000FFD00000}"/>
    <cellStyle name="Note 2 4 3 3 4" xfId="52053" xr:uid="{00000000-0005-0000-0000-000000D10000}"/>
    <cellStyle name="Note 2 4 3 4" xfId="52054" xr:uid="{00000000-0005-0000-0000-000001D10000}"/>
    <cellStyle name="Note 2 4 3 4 2" xfId="52055" xr:uid="{00000000-0005-0000-0000-000002D10000}"/>
    <cellStyle name="Note 2 4 3 4 2 2" xfId="52056" xr:uid="{00000000-0005-0000-0000-000003D10000}"/>
    <cellStyle name="Note 2 4 3 4 3" xfId="52057" xr:uid="{00000000-0005-0000-0000-000004D10000}"/>
    <cellStyle name="Note 2 4 3 4 3 2" xfId="52058" xr:uid="{00000000-0005-0000-0000-000005D10000}"/>
    <cellStyle name="Note 2 4 3 4 4" xfId="52059" xr:uid="{00000000-0005-0000-0000-000006D10000}"/>
    <cellStyle name="Note 2 4 3 5" xfId="52060" xr:uid="{00000000-0005-0000-0000-000007D10000}"/>
    <cellStyle name="Note 2 4 3 5 2" xfId="52061" xr:uid="{00000000-0005-0000-0000-000008D10000}"/>
    <cellStyle name="Note 2 4 3 5 2 2" xfId="52062" xr:uid="{00000000-0005-0000-0000-000009D10000}"/>
    <cellStyle name="Note 2 4 3 5 3" xfId="52063" xr:uid="{00000000-0005-0000-0000-00000AD10000}"/>
    <cellStyle name="Note 2 4 3 5 3 2" xfId="52064" xr:uid="{00000000-0005-0000-0000-00000BD10000}"/>
    <cellStyle name="Note 2 4 3 5 4" xfId="52065" xr:uid="{00000000-0005-0000-0000-00000CD10000}"/>
    <cellStyle name="Note 2 4 3 6" xfId="52066" xr:uid="{00000000-0005-0000-0000-00000DD10000}"/>
    <cellStyle name="Note 2 4 3 6 2" xfId="52067" xr:uid="{00000000-0005-0000-0000-00000ED10000}"/>
    <cellStyle name="Note 2 4 3 6 2 2" xfId="52068" xr:uid="{00000000-0005-0000-0000-00000FD10000}"/>
    <cellStyle name="Note 2 4 3 6 3" xfId="52069" xr:uid="{00000000-0005-0000-0000-000010D10000}"/>
    <cellStyle name="Note 2 4 3 6 3 2" xfId="52070" xr:uid="{00000000-0005-0000-0000-000011D10000}"/>
    <cellStyle name="Note 2 4 3 6 4" xfId="52071" xr:uid="{00000000-0005-0000-0000-000012D10000}"/>
    <cellStyle name="Note 2 4 3 7" xfId="52072" xr:uid="{00000000-0005-0000-0000-000013D10000}"/>
    <cellStyle name="Note 2 4 3 7 2" xfId="52073" xr:uid="{00000000-0005-0000-0000-000014D10000}"/>
    <cellStyle name="Note 2 4 3 8" xfId="52074" xr:uid="{00000000-0005-0000-0000-000015D10000}"/>
    <cellStyle name="Note 2 4 3 9" xfId="52075" xr:uid="{00000000-0005-0000-0000-000016D10000}"/>
    <cellStyle name="Note 2 4 4" xfId="3678" xr:uid="{00000000-0005-0000-0000-000017D10000}"/>
    <cellStyle name="Note 2 4 4 10" xfId="52076" xr:uid="{00000000-0005-0000-0000-000018D10000}"/>
    <cellStyle name="Note 2 4 4 2" xfId="52077" xr:uid="{00000000-0005-0000-0000-000019D10000}"/>
    <cellStyle name="Note 2 4 4 2 2" xfId="52078" xr:uid="{00000000-0005-0000-0000-00001AD10000}"/>
    <cellStyle name="Note 2 4 4 2 2 2" xfId="52079" xr:uid="{00000000-0005-0000-0000-00001BD10000}"/>
    <cellStyle name="Note 2 4 4 2 3" xfId="52080" xr:uid="{00000000-0005-0000-0000-00001CD10000}"/>
    <cellStyle name="Note 2 4 4 2 3 2" xfId="52081" xr:uid="{00000000-0005-0000-0000-00001DD10000}"/>
    <cellStyle name="Note 2 4 4 2 4" xfId="52082" xr:uid="{00000000-0005-0000-0000-00001ED10000}"/>
    <cellStyle name="Note 2 4 4 3" xfId="52083" xr:uid="{00000000-0005-0000-0000-00001FD10000}"/>
    <cellStyle name="Note 2 4 4 3 2" xfId="52084" xr:uid="{00000000-0005-0000-0000-000020D10000}"/>
    <cellStyle name="Note 2 4 4 3 2 2" xfId="52085" xr:uid="{00000000-0005-0000-0000-000021D10000}"/>
    <cellStyle name="Note 2 4 4 3 3" xfId="52086" xr:uid="{00000000-0005-0000-0000-000022D10000}"/>
    <cellStyle name="Note 2 4 4 3 3 2" xfId="52087" xr:uid="{00000000-0005-0000-0000-000023D10000}"/>
    <cellStyle name="Note 2 4 4 3 4" xfId="52088" xr:uid="{00000000-0005-0000-0000-000024D10000}"/>
    <cellStyle name="Note 2 4 4 4" xfId="52089" xr:uid="{00000000-0005-0000-0000-000025D10000}"/>
    <cellStyle name="Note 2 4 4 4 2" xfId="52090" xr:uid="{00000000-0005-0000-0000-000026D10000}"/>
    <cellStyle name="Note 2 4 4 4 2 2" xfId="52091" xr:uid="{00000000-0005-0000-0000-000027D10000}"/>
    <cellStyle name="Note 2 4 4 4 3" xfId="52092" xr:uid="{00000000-0005-0000-0000-000028D10000}"/>
    <cellStyle name="Note 2 4 4 4 3 2" xfId="52093" xr:uid="{00000000-0005-0000-0000-000029D10000}"/>
    <cellStyle name="Note 2 4 4 4 4" xfId="52094" xr:uid="{00000000-0005-0000-0000-00002AD10000}"/>
    <cellStyle name="Note 2 4 4 5" xfId="52095" xr:uid="{00000000-0005-0000-0000-00002BD10000}"/>
    <cellStyle name="Note 2 4 4 5 2" xfId="52096" xr:uid="{00000000-0005-0000-0000-00002CD10000}"/>
    <cellStyle name="Note 2 4 4 5 2 2" xfId="52097" xr:uid="{00000000-0005-0000-0000-00002DD10000}"/>
    <cellStyle name="Note 2 4 4 5 3" xfId="52098" xr:uid="{00000000-0005-0000-0000-00002ED10000}"/>
    <cellStyle name="Note 2 4 4 5 3 2" xfId="52099" xr:uid="{00000000-0005-0000-0000-00002FD10000}"/>
    <cellStyle name="Note 2 4 4 5 4" xfId="52100" xr:uid="{00000000-0005-0000-0000-000030D10000}"/>
    <cellStyle name="Note 2 4 4 6" xfId="52101" xr:uid="{00000000-0005-0000-0000-000031D10000}"/>
    <cellStyle name="Note 2 4 4 6 2" xfId="52102" xr:uid="{00000000-0005-0000-0000-000032D10000}"/>
    <cellStyle name="Note 2 4 4 6 2 2" xfId="52103" xr:uid="{00000000-0005-0000-0000-000033D10000}"/>
    <cellStyle name="Note 2 4 4 6 3" xfId="52104" xr:uid="{00000000-0005-0000-0000-000034D10000}"/>
    <cellStyle name="Note 2 4 4 6 3 2" xfId="52105" xr:uid="{00000000-0005-0000-0000-000035D10000}"/>
    <cellStyle name="Note 2 4 4 6 4" xfId="52106" xr:uid="{00000000-0005-0000-0000-000036D10000}"/>
    <cellStyle name="Note 2 4 4 7" xfId="52107" xr:uid="{00000000-0005-0000-0000-000037D10000}"/>
    <cellStyle name="Note 2 4 4 7 2" xfId="52108" xr:uid="{00000000-0005-0000-0000-000038D10000}"/>
    <cellStyle name="Note 2 4 4 8" xfId="52109" xr:uid="{00000000-0005-0000-0000-000039D10000}"/>
    <cellStyle name="Note 2 4 4 8 2" xfId="52110" xr:uid="{00000000-0005-0000-0000-00003AD10000}"/>
    <cellStyle name="Note 2 4 4 9" xfId="52111" xr:uid="{00000000-0005-0000-0000-00003BD10000}"/>
    <cellStyle name="Note 2 4 5" xfId="52112" xr:uid="{00000000-0005-0000-0000-00003CD10000}"/>
    <cellStyle name="Note 2 4 5 2" xfId="52113" xr:uid="{00000000-0005-0000-0000-00003DD10000}"/>
    <cellStyle name="Note 2 4 5 2 2" xfId="52114" xr:uid="{00000000-0005-0000-0000-00003ED10000}"/>
    <cellStyle name="Note 2 4 5 2 2 2" xfId="52115" xr:uid="{00000000-0005-0000-0000-00003FD10000}"/>
    <cellStyle name="Note 2 4 5 2 3" xfId="52116" xr:uid="{00000000-0005-0000-0000-000040D10000}"/>
    <cellStyle name="Note 2 4 5 2 3 2" xfId="52117" xr:uid="{00000000-0005-0000-0000-000041D10000}"/>
    <cellStyle name="Note 2 4 5 2 4" xfId="52118" xr:uid="{00000000-0005-0000-0000-000042D10000}"/>
    <cellStyle name="Note 2 4 5 3" xfId="52119" xr:uid="{00000000-0005-0000-0000-000043D10000}"/>
    <cellStyle name="Note 2 4 5 3 2" xfId="52120" xr:uid="{00000000-0005-0000-0000-000044D10000}"/>
    <cellStyle name="Note 2 4 5 3 2 2" xfId="52121" xr:uid="{00000000-0005-0000-0000-000045D10000}"/>
    <cellStyle name="Note 2 4 5 3 3" xfId="52122" xr:uid="{00000000-0005-0000-0000-000046D10000}"/>
    <cellStyle name="Note 2 4 5 3 3 2" xfId="52123" xr:uid="{00000000-0005-0000-0000-000047D10000}"/>
    <cellStyle name="Note 2 4 5 3 4" xfId="52124" xr:uid="{00000000-0005-0000-0000-000048D10000}"/>
    <cellStyle name="Note 2 4 5 4" xfId="52125" xr:uid="{00000000-0005-0000-0000-000049D10000}"/>
    <cellStyle name="Note 2 4 5 4 2" xfId="52126" xr:uid="{00000000-0005-0000-0000-00004AD10000}"/>
    <cellStyle name="Note 2 4 5 4 2 2" xfId="52127" xr:uid="{00000000-0005-0000-0000-00004BD10000}"/>
    <cellStyle name="Note 2 4 5 4 3" xfId="52128" xr:uid="{00000000-0005-0000-0000-00004CD10000}"/>
    <cellStyle name="Note 2 4 5 4 3 2" xfId="52129" xr:uid="{00000000-0005-0000-0000-00004DD10000}"/>
    <cellStyle name="Note 2 4 5 4 4" xfId="52130" xr:uid="{00000000-0005-0000-0000-00004ED10000}"/>
    <cellStyle name="Note 2 4 5 5" xfId="52131" xr:uid="{00000000-0005-0000-0000-00004FD10000}"/>
    <cellStyle name="Note 2 4 5 5 2" xfId="52132" xr:uid="{00000000-0005-0000-0000-000050D10000}"/>
    <cellStyle name="Note 2 4 5 5 2 2" xfId="52133" xr:uid="{00000000-0005-0000-0000-000051D10000}"/>
    <cellStyle name="Note 2 4 5 5 3" xfId="52134" xr:uid="{00000000-0005-0000-0000-000052D10000}"/>
    <cellStyle name="Note 2 4 5 5 3 2" xfId="52135" xr:uid="{00000000-0005-0000-0000-000053D10000}"/>
    <cellStyle name="Note 2 4 5 5 4" xfId="52136" xr:uid="{00000000-0005-0000-0000-000054D10000}"/>
    <cellStyle name="Note 2 4 5 6" xfId="52137" xr:uid="{00000000-0005-0000-0000-000055D10000}"/>
    <cellStyle name="Note 2 4 5 6 2" xfId="52138" xr:uid="{00000000-0005-0000-0000-000056D10000}"/>
    <cellStyle name="Note 2 4 5 6 2 2" xfId="52139" xr:uid="{00000000-0005-0000-0000-000057D10000}"/>
    <cellStyle name="Note 2 4 5 6 3" xfId="52140" xr:uid="{00000000-0005-0000-0000-000058D10000}"/>
    <cellStyle name="Note 2 4 5 6 3 2" xfId="52141" xr:uid="{00000000-0005-0000-0000-000059D10000}"/>
    <cellStyle name="Note 2 4 5 6 4" xfId="52142" xr:uid="{00000000-0005-0000-0000-00005AD10000}"/>
    <cellStyle name="Note 2 4 5 7" xfId="52143" xr:uid="{00000000-0005-0000-0000-00005BD10000}"/>
    <cellStyle name="Note 2 4 5 7 2" xfId="52144" xr:uid="{00000000-0005-0000-0000-00005CD10000}"/>
    <cellStyle name="Note 2 4 5 8" xfId="52145" xr:uid="{00000000-0005-0000-0000-00005DD10000}"/>
    <cellStyle name="Note 2 4 5 8 2" xfId="52146" xr:uid="{00000000-0005-0000-0000-00005ED10000}"/>
    <cellStyle name="Note 2 4 5 9" xfId="52147" xr:uid="{00000000-0005-0000-0000-00005FD10000}"/>
    <cellStyle name="Note 2 4 6" xfId="52148" xr:uid="{00000000-0005-0000-0000-000060D10000}"/>
    <cellStyle name="Note 2 4 6 2" xfId="52149" xr:uid="{00000000-0005-0000-0000-000061D10000}"/>
    <cellStyle name="Note 2 4 6 2 2" xfId="52150" xr:uid="{00000000-0005-0000-0000-000062D10000}"/>
    <cellStyle name="Note 2 4 6 3" xfId="52151" xr:uid="{00000000-0005-0000-0000-000063D10000}"/>
    <cellStyle name="Note 2 4 6 3 2" xfId="52152" xr:uid="{00000000-0005-0000-0000-000064D10000}"/>
    <cellStyle name="Note 2 4 6 4" xfId="52153" xr:uid="{00000000-0005-0000-0000-000065D10000}"/>
    <cellStyle name="Note 2 4 7" xfId="52154" xr:uid="{00000000-0005-0000-0000-000066D10000}"/>
    <cellStyle name="Note 2 4 8" xfId="52155" xr:uid="{00000000-0005-0000-0000-000067D10000}"/>
    <cellStyle name="Note 2 5" xfId="3679" xr:uid="{00000000-0005-0000-0000-000068D10000}"/>
    <cellStyle name="Note 2 5 2" xfId="3680" xr:uid="{00000000-0005-0000-0000-000069D10000}"/>
    <cellStyle name="Note 2 5 2 2" xfId="3681" xr:uid="{00000000-0005-0000-0000-00006AD10000}"/>
    <cellStyle name="Note 2 5 2 2 2" xfId="54414" xr:uid="{00000000-0005-0000-0000-00006BD10000}"/>
    <cellStyle name="Note 2 5 2 2 2 2" xfId="54415" xr:uid="{00000000-0005-0000-0000-00006CD10000}"/>
    <cellStyle name="Note 2 5 2 2 3" xfId="54416" xr:uid="{00000000-0005-0000-0000-00006DD10000}"/>
    <cellStyle name="Note 2 5 2 3" xfId="54417" xr:uid="{00000000-0005-0000-0000-00006ED10000}"/>
    <cellStyle name="Note 2 5 2 3 2" xfId="54418" xr:uid="{00000000-0005-0000-0000-00006FD10000}"/>
    <cellStyle name="Note 2 5 2 3 2 2" xfId="54419" xr:uid="{00000000-0005-0000-0000-000070D10000}"/>
    <cellStyle name="Note 2 5 2 3 3" xfId="54420" xr:uid="{00000000-0005-0000-0000-000071D10000}"/>
    <cellStyle name="Note 2 5 2 4" xfId="54421" xr:uid="{00000000-0005-0000-0000-000072D10000}"/>
    <cellStyle name="Note 2 5 2 4 2" xfId="54422" xr:uid="{00000000-0005-0000-0000-000073D10000}"/>
    <cellStyle name="Note 2 5 2 5" xfId="54423" xr:uid="{00000000-0005-0000-0000-000074D10000}"/>
    <cellStyle name="Note 2 5 3" xfId="3682" xr:uid="{00000000-0005-0000-0000-000075D10000}"/>
    <cellStyle name="Note 2 5 3 2" xfId="54424" xr:uid="{00000000-0005-0000-0000-000076D10000}"/>
    <cellStyle name="Note 2 5 3 2 2" xfId="54425" xr:uid="{00000000-0005-0000-0000-000077D10000}"/>
    <cellStyle name="Note 2 5 3 3" xfId="54426" xr:uid="{00000000-0005-0000-0000-000078D10000}"/>
    <cellStyle name="Note 2 5 4" xfId="54427" xr:uid="{00000000-0005-0000-0000-000079D10000}"/>
    <cellStyle name="Note 2 5 4 2" xfId="54428" xr:uid="{00000000-0005-0000-0000-00007AD10000}"/>
    <cellStyle name="Note 2 5 4 2 2" xfId="54429" xr:uid="{00000000-0005-0000-0000-00007BD10000}"/>
    <cellStyle name="Note 2 5 4 3" xfId="54430" xr:uid="{00000000-0005-0000-0000-00007CD10000}"/>
    <cellStyle name="Note 2 5 5" xfId="54431" xr:uid="{00000000-0005-0000-0000-00007DD10000}"/>
    <cellStyle name="Note 2 5 5 2" xfId="54432" xr:uid="{00000000-0005-0000-0000-00007ED10000}"/>
    <cellStyle name="Note 2 5 6" xfId="54433" xr:uid="{00000000-0005-0000-0000-00007FD10000}"/>
    <cellStyle name="Note 2 6" xfId="3683" xr:uid="{00000000-0005-0000-0000-000080D10000}"/>
    <cellStyle name="Note 2 6 2" xfId="3684" xr:uid="{00000000-0005-0000-0000-000081D10000}"/>
    <cellStyle name="Note 2 6 2 2" xfId="54434" xr:uid="{00000000-0005-0000-0000-000082D10000}"/>
    <cellStyle name="Note 2 6 2 2 2" xfId="54435" xr:uid="{00000000-0005-0000-0000-000083D10000}"/>
    <cellStyle name="Note 2 6 2 3" xfId="54436" xr:uid="{00000000-0005-0000-0000-000084D10000}"/>
    <cellStyle name="Note 2 6 3" xfId="54437" xr:uid="{00000000-0005-0000-0000-000085D10000}"/>
    <cellStyle name="Note 2 6 3 2" xfId="54438" xr:uid="{00000000-0005-0000-0000-000086D10000}"/>
    <cellStyle name="Note 2 6 3 2 2" xfId="54439" xr:uid="{00000000-0005-0000-0000-000087D10000}"/>
    <cellStyle name="Note 2 6 3 3" xfId="54440" xr:uid="{00000000-0005-0000-0000-000088D10000}"/>
    <cellStyle name="Note 2 6 4" xfId="54441" xr:uid="{00000000-0005-0000-0000-000089D10000}"/>
    <cellStyle name="Note 2 6 4 2" xfId="54442" xr:uid="{00000000-0005-0000-0000-00008AD10000}"/>
    <cellStyle name="Note 2 6 5" xfId="54443" xr:uid="{00000000-0005-0000-0000-00008BD10000}"/>
    <cellStyle name="Note 2 7" xfId="3685" xr:uid="{00000000-0005-0000-0000-00008CD10000}"/>
    <cellStyle name="Note 2 7 2" xfId="54444" xr:uid="{00000000-0005-0000-0000-00008DD10000}"/>
    <cellStyle name="Note 2 7 2 2" xfId="54445" xr:uid="{00000000-0005-0000-0000-00008ED10000}"/>
    <cellStyle name="Note 2 7 3" xfId="54446" xr:uid="{00000000-0005-0000-0000-00008FD10000}"/>
    <cellStyle name="Note 2 8" xfId="52156" xr:uid="{00000000-0005-0000-0000-000090D10000}"/>
    <cellStyle name="Note 2 8 2" xfId="54447" xr:uid="{00000000-0005-0000-0000-000091D10000}"/>
    <cellStyle name="Note 2 8 2 2" xfId="54448" xr:uid="{00000000-0005-0000-0000-000092D10000}"/>
    <cellStyle name="Note 2 8 3" xfId="54449" xr:uid="{00000000-0005-0000-0000-000093D10000}"/>
    <cellStyle name="Note 2 9" xfId="54450" xr:uid="{00000000-0005-0000-0000-000094D10000}"/>
    <cellStyle name="Note 2 9 2" xfId="54451" xr:uid="{00000000-0005-0000-0000-000095D10000}"/>
    <cellStyle name="Note 20" xfId="3686" xr:uid="{00000000-0005-0000-0000-000096D10000}"/>
    <cellStyle name="Note 20 2" xfId="3687" xr:uid="{00000000-0005-0000-0000-000097D10000}"/>
    <cellStyle name="Note 21" xfId="3688" xr:uid="{00000000-0005-0000-0000-000098D10000}"/>
    <cellStyle name="Note 21 2" xfId="3689" xr:uid="{00000000-0005-0000-0000-000099D10000}"/>
    <cellStyle name="Note 22" xfId="3690" xr:uid="{00000000-0005-0000-0000-00009AD10000}"/>
    <cellStyle name="Note 22 2" xfId="3691" xr:uid="{00000000-0005-0000-0000-00009BD10000}"/>
    <cellStyle name="Note 23" xfId="3692" xr:uid="{00000000-0005-0000-0000-00009CD10000}"/>
    <cellStyle name="Note 23 2" xfId="3693" xr:uid="{00000000-0005-0000-0000-00009DD10000}"/>
    <cellStyle name="Note 24" xfId="3694" xr:uid="{00000000-0005-0000-0000-00009ED10000}"/>
    <cellStyle name="Note 24 2" xfId="3695" xr:uid="{00000000-0005-0000-0000-00009FD10000}"/>
    <cellStyle name="Note 25" xfId="3696" xr:uid="{00000000-0005-0000-0000-0000A0D10000}"/>
    <cellStyle name="Note 25 2" xfId="3697" xr:uid="{00000000-0005-0000-0000-0000A1D10000}"/>
    <cellStyle name="Note 26" xfId="3698" xr:uid="{00000000-0005-0000-0000-0000A2D10000}"/>
    <cellStyle name="Note 26 2" xfId="3699" xr:uid="{00000000-0005-0000-0000-0000A3D10000}"/>
    <cellStyle name="Note 27" xfId="3700" xr:uid="{00000000-0005-0000-0000-0000A4D10000}"/>
    <cellStyle name="Note 27 2" xfId="3701" xr:uid="{00000000-0005-0000-0000-0000A5D10000}"/>
    <cellStyle name="Note 28" xfId="3702" xr:uid="{00000000-0005-0000-0000-0000A6D10000}"/>
    <cellStyle name="Note 28 2" xfId="3703" xr:uid="{00000000-0005-0000-0000-0000A7D10000}"/>
    <cellStyle name="Note 29" xfId="3704" xr:uid="{00000000-0005-0000-0000-0000A8D10000}"/>
    <cellStyle name="Note 29 2" xfId="3705" xr:uid="{00000000-0005-0000-0000-0000A9D10000}"/>
    <cellStyle name="Note 3" xfId="3706" xr:uid="{00000000-0005-0000-0000-0000AAD10000}"/>
    <cellStyle name="Note 3 2" xfId="3707" xr:uid="{00000000-0005-0000-0000-0000ABD10000}"/>
    <cellStyle name="Note 3 2 2" xfId="3708" xr:uid="{00000000-0005-0000-0000-0000ACD10000}"/>
    <cellStyle name="Note 3 2 2 2" xfId="54452" xr:uid="{00000000-0005-0000-0000-0000ADD10000}"/>
    <cellStyle name="Note 3 2 2 2 2" xfId="54453" xr:uid="{00000000-0005-0000-0000-0000AED10000}"/>
    <cellStyle name="Note 3 2 2 3" xfId="54454" xr:uid="{00000000-0005-0000-0000-0000AFD10000}"/>
    <cellStyle name="Note 3 2 3" xfId="3709" xr:uid="{00000000-0005-0000-0000-0000B0D10000}"/>
    <cellStyle name="Note 3 2 3 2" xfId="54455" xr:uid="{00000000-0005-0000-0000-0000B1D10000}"/>
    <cellStyle name="Note 3 2 3 2 2" xfId="54456" xr:uid="{00000000-0005-0000-0000-0000B2D10000}"/>
    <cellStyle name="Note 3 2 3 3" xfId="54457" xr:uid="{00000000-0005-0000-0000-0000B3D10000}"/>
    <cellStyle name="Note 3 2 4" xfId="54458" xr:uid="{00000000-0005-0000-0000-0000B4D10000}"/>
    <cellStyle name="Note 3 2 4 2" xfId="54459" xr:uid="{00000000-0005-0000-0000-0000B5D10000}"/>
    <cellStyle name="Note 3 2 5" xfId="54460" xr:uid="{00000000-0005-0000-0000-0000B6D10000}"/>
    <cellStyle name="Note 3 3" xfId="3710" xr:uid="{00000000-0005-0000-0000-0000B7D10000}"/>
    <cellStyle name="Note 3 3 2" xfId="52157" xr:uid="{00000000-0005-0000-0000-0000B8D10000}"/>
    <cellStyle name="Note 3 3 2 2" xfId="54461" xr:uid="{00000000-0005-0000-0000-0000B9D10000}"/>
    <cellStyle name="Note 3 3 3" xfId="54462" xr:uid="{00000000-0005-0000-0000-0000BAD10000}"/>
    <cellStyle name="Note 3 4" xfId="3711" xr:uid="{00000000-0005-0000-0000-0000BBD10000}"/>
    <cellStyle name="Note 3 4 2" xfId="52158" xr:uid="{00000000-0005-0000-0000-0000BCD10000}"/>
    <cellStyle name="Note 3 4 2 2" xfId="54463" xr:uid="{00000000-0005-0000-0000-0000BDD10000}"/>
    <cellStyle name="Note 3 4 3" xfId="54464" xr:uid="{00000000-0005-0000-0000-0000BED10000}"/>
    <cellStyle name="Note 3 5" xfId="52159" xr:uid="{00000000-0005-0000-0000-0000BFD10000}"/>
    <cellStyle name="Note 3 5 2" xfId="54465" xr:uid="{00000000-0005-0000-0000-0000C0D10000}"/>
    <cellStyle name="Note 3 6" xfId="54466" xr:uid="{00000000-0005-0000-0000-0000C1D10000}"/>
    <cellStyle name="Note 30" xfId="3712" xr:uid="{00000000-0005-0000-0000-0000C2D10000}"/>
    <cellStyle name="Note 30 2" xfId="3713" xr:uid="{00000000-0005-0000-0000-0000C3D10000}"/>
    <cellStyle name="Note 31" xfId="3714" xr:uid="{00000000-0005-0000-0000-0000C4D10000}"/>
    <cellStyle name="Note 31 2" xfId="3715" xr:uid="{00000000-0005-0000-0000-0000C5D10000}"/>
    <cellStyle name="Note 32" xfId="3716" xr:uid="{00000000-0005-0000-0000-0000C6D10000}"/>
    <cellStyle name="Note 32 2" xfId="3717" xr:uid="{00000000-0005-0000-0000-0000C7D10000}"/>
    <cellStyle name="Note 33" xfId="3718" xr:uid="{00000000-0005-0000-0000-0000C8D10000}"/>
    <cellStyle name="Note 33 2" xfId="3719" xr:uid="{00000000-0005-0000-0000-0000C9D10000}"/>
    <cellStyle name="Note 34" xfId="3720" xr:uid="{00000000-0005-0000-0000-0000CAD10000}"/>
    <cellStyle name="Note 34 2" xfId="3721" xr:uid="{00000000-0005-0000-0000-0000CBD10000}"/>
    <cellStyle name="Note 35" xfId="3722" xr:uid="{00000000-0005-0000-0000-0000CCD10000}"/>
    <cellStyle name="Note 35 2" xfId="3723" xr:uid="{00000000-0005-0000-0000-0000CDD10000}"/>
    <cellStyle name="Note 36" xfId="3724" xr:uid="{00000000-0005-0000-0000-0000CED10000}"/>
    <cellStyle name="Note 36 2" xfId="3725" xr:uid="{00000000-0005-0000-0000-0000CFD10000}"/>
    <cellStyle name="Note 37" xfId="3726" xr:uid="{00000000-0005-0000-0000-0000D0D10000}"/>
    <cellStyle name="Note 38" xfId="3727" xr:uid="{00000000-0005-0000-0000-0000D1D10000}"/>
    <cellStyle name="Note 39" xfId="3728" xr:uid="{00000000-0005-0000-0000-0000D2D10000}"/>
    <cellStyle name="Note 4" xfId="3729" xr:uid="{00000000-0005-0000-0000-0000D3D10000}"/>
    <cellStyle name="Note 4 2" xfId="3730" xr:uid="{00000000-0005-0000-0000-0000D4D10000}"/>
    <cellStyle name="Note 4 2 2" xfId="3731" xr:uid="{00000000-0005-0000-0000-0000D5D10000}"/>
    <cellStyle name="Note 4 2 3" xfId="3732" xr:uid="{00000000-0005-0000-0000-0000D6D10000}"/>
    <cellStyle name="Note 4 3" xfId="3733" xr:uid="{00000000-0005-0000-0000-0000D7D10000}"/>
    <cellStyle name="Note 4 4" xfId="3734" xr:uid="{00000000-0005-0000-0000-0000D8D10000}"/>
    <cellStyle name="Note 4 5" xfId="52160" xr:uid="{00000000-0005-0000-0000-0000D9D10000}"/>
    <cellStyle name="Note 40" xfId="3735" xr:uid="{00000000-0005-0000-0000-0000DAD10000}"/>
    <cellStyle name="Note 41" xfId="3736" xr:uid="{00000000-0005-0000-0000-0000DBD10000}"/>
    <cellStyle name="Note 42" xfId="52161" xr:uid="{00000000-0005-0000-0000-0000DCD10000}"/>
    <cellStyle name="Note 43" xfId="52162" xr:uid="{00000000-0005-0000-0000-0000DDD10000}"/>
    <cellStyle name="Note 44" xfId="52163" xr:uid="{00000000-0005-0000-0000-0000DED10000}"/>
    <cellStyle name="Note 45" xfId="52164" xr:uid="{00000000-0005-0000-0000-0000DFD10000}"/>
    <cellStyle name="Note 46" xfId="52165" xr:uid="{00000000-0005-0000-0000-0000E0D10000}"/>
    <cellStyle name="Note 47" xfId="52166" xr:uid="{00000000-0005-0000-0000-0000E1D10000}"/>
    <cellStyle name="Note 5" xfId="3737" xr:uid="{00000000-0005-0000-0000-0000E2D10000}"/>
    <cellStyle name="Note 5 2" xfId="3738" xr:uid="{00000000-0005-0000-0000-0000E3D10000}"/>
    <cellStyle name="Note 5 2 2" xfId="52167" xr:uid="{00000000-0005-0000-0000-0000E4D10000}"/>
    <cellStyle name="Note 5 3" xfId="3739" xr:uid="{00000000-0005-0000-0000-0000E5D10000}"/>
    <cellStyle name="Note 5 4" xfId="52168" xr:uid="{00000000-0005-0000-0000-0000E6D10000}"/>
    <cellStyle name="Note 6" xfId="3740" xr:uid="{00000000-0005-0000-0000-0000E7D10000}"/>
    <cellStyle name="Note 6 2" xfId="3741" xr:uid="{00000000-0005-0000-0000-0000E8D10000}"/>
    <cellStyle name="Note 6 3" xfId="3742" xr:uid="{00000000-0005-0000-0000-0000E9D10000}"/>
    <cellStyle name="Note 7" xfId="3743" xr:uid="{00000000-0005-0000-0000-0000EAD10000}"/>
    <cellStyle name="Note 7 10" xfId="52169" xr:uid="{00000000-0005-0000-0000-0000EBD10000}"/>
    <cellStyle name="Note 7 11" xfId="52170" xr:uid="{00000000-0005-0000-0000-0000ECD10000}"/>
    <cellStyle name="Note 7 2" xfId="3744" xr:uid="{00000000-0005-0000-0000-0000EDD10000}"/>
    <cellStyle name="Note 7 2 2" xfId="52171" xr:uid="{00000000-0005-0000-0000-0000EED10000}"/>
    <cellStyle name="Note 7 2 2 2" xfId="52172" xr:uid="{00000000-0005-0000-0000-0000EFD10000}"/>
    <cellStyle name="Note 7 2 2 2 2" xfId="52173" xr:uid="{00000000-0005-0000-0000-0000F0D10000}"/>
    <cellStyle name="Note 7 2 2 2 3" xfId="52174" xr:uid="{00000000-0005-0000-0000-0000F1D10000}"/>
    <cellStyle name="Note 7 2 2 3" xfId="52175" xr:uid="{00000000-0005-0000-0000-0000F2D10000}"/>
    <cellStyle name="Note 7 2 2 3 2" xfId="52176" xr:uid="{00000000-0005-0000-0000-0000F3D10000}"/>
    <cellStyle name="Note 7 2 2 3 3" xfId="52177" xr:uid="{00000000-0005-0000-0000-0000F4D10000}"/>
    <cellStyle name="Note 7 2 2 4" xfId="52178" xr:uid="{00000000-0005-0000-0000-0000F5D10000}"/>
    <cellStyle name="Note 7 2 2 5" xfId="52179" xr:uid="{00000000-0005-0000-0000-0000F6D10000}"/>
    <cellStyle name="Note 7 2 2 6" xfId="52180" xr:uid="{00000000-0005-0000-0000-0000F7D10000}"/>
    <cellStyle name="Note 7 2 3" xfId="52181" xr:uid="{00000000-0005-0000-0000-0000F8D10000}"/>
    <cellStyle name="Note 7 2 3 2" xfId="52182" xr:uid="{00000000-0005-0000-0000-0000F9D10000}"/>
    <cellStyle name="Note 7 2 3 3" xfId="52183" xr:uid="{00000000-0005-0000-0000-0000FAD10000}"/>
    <cellStyle name="Note 7 2 4" xfId="52184" xr:uid="{00000000-0005-0000-0000-0000FBD10000}"/>
    <cellStyle name="Note 7 2 4 2" xfId="52185" xr:uid="{00000000-0005-0000-0000-0000FCD10000}"/>
    <cellStyle name="Note 7 2 4 3" xfId="52186" xr:uid="{00000000-0005-0000-0000-0000FDD10000}"/>
    <cellStyle name="Note 7 2 5" xfId="52187" xr:uid="{00000000-0005-0000-0000-0000FED10000}"/>
    <cellStyle name="Note 7 2 6" xfId="52188" xr:uid="{00000000-0005-0000-0000-0000FFD10000}"/>
    <cellStyle name="Note 7 2 7" xfId="52189" xr:uid="{00000000-0005-0000-0000-000000D20000}"/>
    <cellStyle name="Note 7 2 8" xfId="52190" xr:uid="{00000000-0005-0000-0000-000001D20000}"/>
    <cellStyle name="Note 7 3" xfId="52191" xr:uid="{00000000-0005-0000-0000-000002D20000}"/>
    <cellStyle name="Note 7 3 2" xfId="52192" xr:uid="{00000000-0005-0000-0000-000003D20000}"/>
    <cellStyle name="Note 7 3 2 2" xfId="52193" xr:uid="{00000000-0005-0000-0000-000004D20000}"/>
    <cellStyle name="Note 7 3 2 2 2" xfId="52194" xr:uid="{00000000-0005-0000-0000-000005D20000}"/>
    <cellStyle name="Note 7 3 2 3" xfId="52195" xr:uid="{00000000-0005-0000-0000-000006D20000}"/>
    <cellStyle name="Note 7 3 3" xfId="52196" xr:uid="{00000000-0005-0000-0000-000007D20000}"/>
    <cellStyle name="Note 7 3 3 2" xfId="52197" xr:uid="{00000000-0005-0000-0000-000008D20000}"/>
    <cellStyle name="Note 7 3 3 3" xfId="52198" xr:uid="{00000000-0005-0000-0000-000009D20000}"/>
    <cellStyle name="Note 7 3 4" xfId="52199" xr:uid="{00000000-0005-0000-0000-00000AD20000}"/>
    <cellStyle name="Note 7 3 5" xfId="52200" xr:uid="{00000000-0005-0000-0000-00000BD20000}"/>
    <cellStyle name="Note 7 3 6" xfId="52201" xr:uid="{00000000-0005-0000-0000-00000CD20000}"/>
    <cellStyle name="Note 7 4" xfId="52202" xr:uid="{00000000-0005-0000-0000-00000DD20000}"/>
    <cellStyle name="Note 7 4 2" xfId="52203" xr:uid="{00000000-0005-0000-0000-00000ED20000}"/>
    <cellStyle name="Note 7 4 3" xfId="52204" xr:uid="{00000000-0005-0000-0000-00000FD20000}"/>
    <cellStyle name="Note 7 5" xfId="52205" xr:uid="{00000000-0005-0000-0000-000010D20000}"/>
    <cellStyle name="Note 7 5 2" xfId="52206" xr:uid="{00000000-0005-0000-0000-000011D20000}"/>
    <cellStyle name="Note 7 5 3" xfId="52207" xr:uid="{00000000-0005-0000-0000-000012D20000}"/>
    <cellStyle name="Note 7 6" xfId="52208" xr:uid="{00000000-0005-0000-0000-000013D20000}"/>
    <cellStyle name="Note 7 7" xfId="52209" xr:uid="{00000000-0005-0000-0000-000014D20000}"/>
    <cellStyle name="Note 7 8" xfId="52210" xr:uid="{00000000-0005-0000-0000-000015D20000}"/>
    <cellStyle name="Note 7 9" xfId="52211" xr:uid="{00000000-0005-0000-0000-000016D20000}"/>
    <cellStyle name="Note 8" xfId="3745" xr:uid="{00000000-0005-0000-0000-000017D20000}"/>
    <cellStyle name="Note 8 10" xfId="52212" xr:uid="{00000000-0005-0000-0000-000018D20000}"/>
    <cellStyle name="Note 8 2" xfId="3746" xr:uid="{00000000-0005-0000-0000-000019D20000}"/>
    <cellStyle name="Note 8 2 2" xfId="52213" xr:uid="{00000000-0005-0000-0000-00001AD20000}"/>
    <cellStyle name="Note 8 2 2 2" xfId="52214" xr:uid="{00000000-0005-0000-0000-00001BD20000}"/>
    <cellStyle name="Note 8 2 2 2 2" xfId="52215" xr:uid="{00000000-0005-0000-0000-00001CD20000}"/>
    <cellStyle name="Note 8 2 2 2 3" xfId="52216" xr:uid="{00000000-0005-0000-0000-00001DD20000}"/>
    <cellStyle name="Note 8 2 2 3" xfId="52217" xr:uid="{00000000-0005-0000-0000-00001ED20000}"/>
    <cellStyle name="Note 8 2 2 3 2" xfId="52218" xr:uid="{00000000-0005-0000-0000-00001FD20000}"/>
    <cellStyle name="Note 8 2 2 3 3" xfId="52219" xr:uid="{00000000-0005-0000-0000-000020D20000}"/>
    <cellStyle name="Note 8 2 2 4" xfId="52220" xr:uid="{00000000-0005-0000-0000-000021D20000}"/>
    <cellStyle name="Note 8 2 2 5" xfId="52221" xr:uid="{00000000-0005-0000-0000-000022D20000}"/>
    <cellStyle name="Note 8 2 2 6" xfId="52222" xr:uid="{00000000-0005-0000-0000-000023D20000}"/>
    <cellStyle name="Note 8 2 3" xfId="52223" xr:uid="{00000000-0005-0000-0000-000024D20000}"/>
    <cellStyle name="Note 8 2 3 2" xfId="52224" xr:uid="{00000000-0005-0000-0000-000025D20000}"/>
    <cellStyle name="Note 8 2 3 3" xfId="52225" xr:uid="{00000000-0005-0000-0000-000026D20000}"/>
    <cellStyle name="Note 8 2 4" xfId="52226" xr:uid="{00000000-0005-0000-0000-000027D20000}"/>
    <cellStyle name="Note 8 2 4 2" xfId="52227" xr:uid="{00000000-0005-0000-0000-000028D20000}"/>
    <cellStyle name="Note 8 2 4 3" xfId="52228" xr:uid="{00000000-0005-0000-0000-000029D20000}"/>
    <cellStyle name="Note 8 2 5" xfId="52229" xr:uid="{00000000-0005-0000-0000-00002AD20000}"/>
    <cellStyle name="Note 8 2 6" xfId="52230" xr:uid="{00000000-0005-0000-0000-00002BD20000}"/>
    <cellStyle name="Note 8 2 7" xfId="52231" xr:uid="{00000000-0005-0000-0000-00002CD20000}"/>
    <cellStyle name="Note 8 2 8" xfId="52232" xr:uid="{00000000-0005-0000-0000-00002DD20000}"/>
    <cellStyle name="Note 8 3" xfId="52233" xr:uid="{00000000-0005-0000-0000-00002ED20000}"/>
    <cellStyle name="Note 8 3 2" xfId="52234" xr:uid="{00000000-0005-0000-0000-00002FD20000}"/>
    <cellStyle name="Note 8 3 2 2" xfId="52235" xr:uid="{00000000-0005-0000-0000-000030D20000}"/>
    <cellStyle name="Note 8 3 2 2 2" xfId="52236" xr:uid="{00000000-0005-0000-0000-000031D20000}"/>
    <cellStyle name="Note 8 3 2 3" xfId="52237" xr:uid="{00000000-0005-0000-0000-000032D20000}"/>
    <cellStyle name="Note 8 3 3" xfId="52238" xr:uid="{00000000-0005-0000-0000-000033D20000}"/>
    <cellStyle name="Note 8 3 3 2" xfId="52239" xr:uid="{00000000-0005-0000-0000-000034D20000}"/>
    <cellStyle name="Note 8 3 3 3" xfId="52240" xr:uid="{00000000-0005-0000-0000-000035D20000}"/>
    <cellStyle name="Note 8 3 4" xfId="52241" xr:uid="{00000000-0005-0000-0000-000036D20000}"/>
    <cellStyle name="Note 8 3 5" xfId="52242" xr:uid="{00000000-0005-0000-0000-000037D20000}"/>
    <cellStyle name="Note 8 3 6" xfId="52243" xr:uid="{00000000-0005-0000-0000-000038D20000}"/>
    <cellStyle name="Note 8 4" xfId="52244" xr:uid="{00000000-0005-0000-0000-000039D20000}"/>
    <cellStyle name="Note 8 4 2" xfId="52245" xr:uid="{00000000-0005-0000-0000-00003AD20000}"/>
    <cellStyle name="Note 8 4 3" xfId="52246" xr:uid="{00000000-0005-0000-0000-00003BD20000}"/>
    <cellStyle name="Note 8 5" xfId="52247" xr:uid="{00000000-0005-0000-0000-00003CD20000}"/>
    <cellStyle name="Note 8 5 2" xfId="52248" xr:uid="{00000000-0005-0000-0000-00003DD20000}"/>
    <cellStyle name="Note 8 5 3" xfId="52249" xr:uid="{00000000-0005-0000-0000-00003ED20000}"/>
    <cellStyle name="Note 8 6" xfId="52250" xr:uid="{00000000-0005-0000-0000-00003FD20000}"/>
    <cellStyle name="Note 8 7" xfId="52251" xr:uid="{00000000-0005-0000-0000-000040D20000}"/>
    <cellStyle name="Note 8 8" xfId="52252" xr:uid="{00000000-0005-0000-0000-000041D20000}"/>
    <cellStyle name="Note 8 9" xfId="52253" xr:uid="{00000000-0005-0000-0000-000042D20000}"/>
    <cellStyle name="Note 9" xfId="3747" xr:uid="{00000000-0005-0000-0000-000043D20000}"/>
    <cellStyle name="Note 9 10" xfId="52254" xr:uid="{00000000-0005-0000-0000-000044D20000}"/>
    <cellStyle name="Note 9 2" xfId="3748" xr:uid="{00000000-0005-0000-0000-000045D20000}"/>
    <cellStyle name="Note 9 2 2" xfId="52255" xr:uid="{00000000-0005-0000-0000-000046D20000}"/>
    <cellStyle name="Note 9 2 2 2" xfId="52256" xr:uid="{00000000-0005-0000-0000-000047D20000}"/>
    <cellStyle name="Note 9 2 2 2 2" xfId="52257" xr:uid="{00000000-0005-0000-0000-000048D20000}"/>
    <cellStyle name="Note 9 2 2 2 3" xfId="52258" xr:uid="{00000000-0005-0000-0000-000049D20000}"/>
    <cellStyle name="Note 9 2 2 3" xfId="52259" xr:uid="{00000000-0005-0000-0000-00004AD20000}"/>
    <cellStyle name="Note 9 2 2 3 2" xfId="52260" xr:uid="{00000000-0005-0000-0000-00004BD20000}"/>
    <cellStyle name="Note 9 2 2 3 3" xfId="52261" xr:uid="{00000000-0005-0000-0000-00004CD20000}"/>
    <cellStyle name="Note 9 2 2 4" xfId="52262" xr:uid="{00000000-0005-0000-0000-00004DD20000}"/>
    <cellStyle name="Note 9 2 2 5" xfId="52263" xr:uid="{00000000-0005-0000-0000-00004ED20000}"/>
    <cellStyle name="Note 9 2 2 6" xfId="52264" xr:uid="{00000000-0005-0000-0000-00004FD20000}"/>
    <cellStyle name="Note 9 2 3" xfId="52265" xr:uid="{00000000-0005-0000-0000-000050D20000}"/>
    <cellStyle name="Note 9 2 3 2" xfId="52266" xr:uid="{00000000-0005-0000-0000-000051D20000}"/>
    <cellStyle name="Note 9 2 3 3" xfId="52267" xr:uid="{00000000-0005-0000-0000-000052D20000}"/>
    <cellStyle name="Note 9 2 4" xfId="52268" xr:uid="{00000000-0005-0000-0000-000053D20000}"/>
    <cellStyle name="Note 9 2 4 2" xfId="52269" xr:uid="{00000000-0005-0000-0000-000054D20000}"/>
    <cellStyle name="Note 9 2 4 3" xfId="52270" xr:uid="{00000000-0005-0000-0000-000055D20000}"/>
    <cellStyle name="Note 9 2 5" xfId="52271" xr:uid="{00000000-0005-0000-0000-000056D20000}"/>
    <cellStyle name="Note 9 2 6" xfId="52272" xr:uid="{00000000-0005-0000-0000-000057D20000}"/>
    <cellStyle name="Note 9 2 7" xfId="52273" xr:uid="{00000000-0005-0000-0000-000058D20000}"/>
    <cellStyle name="Note 9 2 8" xfId="52274" xr:uid="{00000000-0005-0000-0000-000059D20000}"/>
    <cellStyle name="Note 9 3" xfId="52275" xr:uid="{00000000-0005-0000-0000-00005AD20000}"/>
    <cellStyle name="Note 9 3 2" xfId="52276" xr:uid="{00000000-0005-0000-0000-00005BD20000}"/>
    <cellStyle name="Note 9 3 2 2" xfId="52277" xr:uid="{00000000-0005-0000-0000-00005CD20000}"/>
    <cellStyle name="Note 9 3 2 2 2" xfId="52278" xr:uid="{00000000-0005-0000-0000-00005DD20000}"/>
    <cellStyle name="Note 9 3 2 3" xfId="52279" xr:uid="{00000000-0005-0000-0000-00005ED20000}"/>
    <cellStyle name="Note 9 3 3" xfId="52280" xr:uid="{00000000-0005-0000-0000-00005FD20000}"/>
    <cellStyle name="Note 9 3 3 2" xfId="52281" xr:uid="{00000000-0005-0000-0000-000060D20000}"/>
    <cellStyle name="Note 9 3 3 3" xfId="52282" xr:uid="{00000000-0005-0000-0000-000061D20000}"/>
    <cellStyle name="Note 9 3 4" xfId="52283" xr:uid="{00000000-0005-0000-0000-000062D20000}"/>
    <cellStyle name="Note 9 3 5" xfId="52284" xr:uid="{00000000-0005-0000-0000-000063D20000}"/>
    <cellStyle name="Note 9 3 6" xfId="52285" xr:uid="{00000000-0005-0000-0000-000064D20000}"/>
    <cellStyle name="Note 9 4" xfId="52286" xr:uid="{00000000-0005-0000-0000-000065D20000}"/>
    <cellStyle name="Note 9 4 2" xfId="52287" xr:uid="{00000000-0005-0000-0000-000066D20000}"/>
    <cellStyle name="Note 9 4 3" xfId="52288" xr:uid="{00000000-0005-0000-0000-000067D20000}"/>
    <cellStyle name="Note 9 5" xfId="52289" xr:uid="{00000000-0005-0000-0000-000068D20000}"/>
    <cellStyle name="Note 9 5 2" xfId="52290" xr:uid="{00000000-0005-0000-0000-000069D20000}"/>
    <cellStyle name="Note 9 5 3" xfId="52291" xr:uid="{00000000-0005-0000-0000-00006AD20000}"/>
    <cellStyle name="Note 9 6" xfId="52292" xr:uid="{00000000-0005-0000-0000-00006BD20000}"/>
    <cellStyle name="Note 9 7" xfId="52293" xr:uid="{00000000-0005-0000-0000-00006CD20000}"/>
    <cellStyle name="Note 9 8" xfId="52294" xr:uid="{00000000-0005-0000-0000-00006DD20000}"/>
    <cellStyle name="Note 9 9" xfId="52295" xr:uid="{00000000-0005-0000-0000-00006ED20000}"/>
    <cellStyle name="nPlode" xfId="52296" xr:uid="{00000000-0005-0000-0000-00006FD20000}"/>
    <cellStyle name="Number" xfId="52297" xr:uid="{00000000-0005-0000-0000-000070D20000}"/>
    <cellStyle name="NumberBold" xfId="52298" xr:uid="{00000000-0005-0000-0000-000071D20000}"/>
    <cellStyle name="NumberNoDec" xfId="52299" xr:uid="{00000000-0005-0000-0000-000072D20000}"/>
    <cellStyle name="NumberPercent" xfId="52300" xr:uid="{00000000-0005-0000-0000-000073D20000}"/>
    <cellStyle name="NumberVarDec" xfId="52301" xr:uid="{00000000-0005-0000-0000-000074D20000}"/>
    <cellStyle name="OH01" xfId="3749" xr:uid="{00000000-0005-0000-0000-000075D20000}"/>
    <cellStyle name="OH01 2" xfId="3750" xr:uid="{00000000-0005-0000-0000-000076D20000}"/>
    <cellStyle name="OH01 3" xfId="52302" xr:uid="{00000000-0005-0000-0000-000077D20000}"/>
    <cellStyle name="OHnplode" xfId="3751" xr:uid="{00000000-0005-0000-0000-000078D20000}"/>
    <cellStyle name="OHnplode 2" xfId="3752" xr:uid="{00000000-0005-0000-0000-000079D20000}"/>
    <cellStyle name="OHnplode 3" xfId="52303" xr:uid="{00000000-0005-0000-0000-00007AD20000}"/>
    <cellStyle name="Output 2" xfId="3753" xr:uid="{00000000-0005-0000-0000-00007BD20000}"/>
    <cellStyle name="Output 2 2" xfId="52304" xr:uid="{00000000-0005-0000-0000-00007CD20000}"/>
    <cellStyle name="Output 2 2 2" xfId="52305" xr:uid="{00000000-0005-0000-0000-00007DD20000}"/>
    <cellStyle name="Output 3" xfId="3754" xr:uid="{00000000-0005-0000-0000-00007ED20000}"/>
    <cellStyle name="Output 3 2" xfId="52306" xr:uid="{00000000-0005-0000-0000-00007FD20000}"/>
    <cellStyle name="Output 4" xfId="52307" xr:uid="{00000000-0005-0000-0000-000080D20000}"/>
    <cellStyle name="OUTPUT AMOUNTS" xfId="52308" xr:uid="{00000000-0005-0000-0000-000081D20000}"/>
    <cellStyle name="OUTPUT LINE ITEMS" xfId="52309" xr:uid="{00000000-0005-0000-0000-000082D20000}"/>
    <cellStyle name="per.style" xfId="52310" xr:uid="{00000000-0005-0000-0000-000083D20000}"/>
    <cellStyle name="Percent" xfId="4" builtinId="5"/>
    <cellStyle name="Percent ()" xfId="52311" xr:uid="{00000000-0005-0000-0000-000085D20000}"/>
    <cellStyle name="Percent (0)" xfId="52312" xr:uid="{00000000-0005-0000-0000-000086D20000}"/>
    <cellStyle name="Percent (1)" xfId="52313" xr:uid="{00000000-0005-0000-0000-000087D20000}"/>
    <cellStyle name="Percent (2)" xfId="52314" xr:uid="{00000000-0005-0000-0000-000088D20000}"/>
    <cellStyle name="Percent [0]" xfId="52315" xr:uid="{00000000-0005-0000-0000-000089D20000}"/>
    <cellStyle name="Percent [00]" xfId="52316" xr:uid="{00000000-0005-0000-0000-00008AD20000}"/>
    <cellStyle name="Percent [2]" xfId="3755" xr:uid="{00000000-0005-0000-0000-00008BD20000}"/>
    <cellStyle name="Percent [2] 2" xfId="3756" xr:uid="{00000000-0005-0000-0000-00008CD20000}"/>
    <cellStyle name="Percent [2] 2 2" xfId="3757" xr:uid="{00000000-0005-0000-0000-00008DD20000}"/>
    <cellStyle name="Percent [2] 2 2 2" xfId="52317" xr:uid="{00000000-0005-0000-0000-00008ED20000}"/>
    <cellStyle name="Percent [2] 2 3" xfId="52318" xr:uid="{00000000-0005-0000-0000-00008FD20000}"/>
    <cellStyle name="Percent [2] 2 3 2" xfId="52319" xr:uid="{00000000-0005-0000-0000-000090D20000}"/>
    <cellStyle name="Percent [2] 2 4" xfId="52320" xr:uid="{00000000-0005-0000-0000-000091D20000}"/>
    <cellStyle name="Percent [2] 3" xfId="3758" xr:uid="{00000000-0005-0000-0000-000092D20000}"/>
    <cellStyle name="Percent [2] 3 2" xfId="3759" xr:uid="{00000000-0005-0000-0000-000093D20000}"/>
    <cellStyle name="Percent [2] 4" xfId="3760" xr:uid="{00000000-0005-0000-0000-000094D20000}"/>
    <cellStyle name="Percent [2] 4 2" xfId="52321" xr:uid="{00000000-0005-0000-0000-000095D20000}"/>
    <cellStyle name="Percent [2] 4 2 2" xfId="52322" xr:uid="{00000000-0005-0000-0000-000096D20000}"/>
    <cellStyle name="Percent [2] 4 3" xfId="52323" xr:uid="{00000000-0005-0000-0000-000097D20000}"/>
    <cellStyle name="Percent [2] 5" xfId="52324" xr:uid="{00000000-0005-0000-0000-000098D20000}"/>
    <cellStyle name="Percent [2] 5 2" xfId="52325" xr:uid="{00000000-0005-0000-0000-000099D20000}"/>
    <cellStyle name="Percent [2] 5 3" xfId="52326" xr:uid="{00000000-0005-0000-0000-00009AD20000}"/>
    <cellStyle name="Percent [2] 6" xfId="52327" xr:uid="{00000000-0005-0000-0000-00009BD20000}"/>
    <cellStyle name="Percent 1" xfId="52328" xr:uid="{00000000-0005-0000-0000-00009CD20000}"/>
    <cellStyle name="Percent 10" xfId="3761" xr:uid="{00000000-0005-0000-0000-00009DD20000}"/>
    <cellStyle name="Percent 10 2" xfId="3762" xr:uid="{00000000-0005-0000-0000-00009ED20000}"/>
    <cellStyle name="Percent 100" xfId="52329" xr:uid="{00000000-0005-0000-0000-00009FD20000}"/>
    <cellStyle name="Percent 101" xfId="52330" xr:uid="{00000000-0005-0000-0000-0000A0D20000}"/>
    <cellStyle name="Percent 102" xfId="52331" xr:uid="{00000000-0005-0000-0000-0000A1D20000}"/>
    <cellStyle name="Percent 103" xfId="52332" xr:uid="{00000000-0005-0000-0000-0000A2D20000}"/>
    <cellStyle name="Percent 104" xfId="52333" xr:uid="{00000000-0005-0000-0000-0000A3D20000}"/>
    <cellStyle name="Percent 105" xfId="52334" xr:uid="{00000000-0005-0000-0000-0000A4D20000}"/>
    <cellStyle name="Percent 106" xfId="52335" xr:uid="{00000000-0005-0000-0000-0000A5D20000}"/>
    <cellStyle name="Percent 107" xfId="52336" xr:uid="{00000000-0005-0000-0000-0000A6D20000}"/>
    <cellStyle name="Percent 108" xfId="52337" xr:uid="{00000000-0005-0000-0000-0000A7D20000}"/>
    <cellStyle name="Percent 109" xfId="52338" xr:uid="{00000000-0005-0000-0000-0000A8D20000}"/>
    <cellStyle name="Percent 11" xfId="3763" xr:uid="{00000000-0005-0000-0000-0000A9D20000}"/>
    <cellStyle name="Percent 11 2" xfId="3764" xr:uid="{00000000-0005-0000-0000-0000AAD20000}"/>
    <cellStyle name="Percent 110" xfId="52339" xr:uid="{00000000-0005-0000-0000-0000ABD20000}"/>
    <cellStyle name="Percent 111" xfId="52340" xr:uid="{00000000-0005-0000-0000-0000ACD20000}"/>
    <cellStyle name="Percent 112" xfId="52341" xr:uid="{00000000-0005-0000-0000-0000ADD20000}"/>
    <cellStyle name="Percent 113" xfId="52342" xr:uid="{00000000-0005-0000-0000-0000AED20000}"/>
    <cellStyle name="Percent 114" xfId="52343" xr:uid="{00000000-0005-0000-0000-0000AFD20000}"/>
    <cellStyle name="Percent 115" xfId="52344" xr:uid="{00000000-0005-0000-0000-0000B0D20000}"/>
    <cellStyle name="Percent 116" xfId="52345" xr:uid="{00000000-0005-0000-0000-0000B1D20000}"/>
    <cellStyle name="Percent 117" xfId="52346" xr:uid="{00000000-0005-0000-0000-0000B2D20000}"/>
    <cellStyle name="Percent 118" xfId="52347" xr:uid="{00000000-0005-0000-0000-0000B3D20000}"/>
    <cellStyle name="Percent 119" xfId="52348" xr:uid="{00000000-0005-0000-0000-0000B4D20000}"/>
    <cellStyle name="Percent 12" xfId="3765" xr:uid="{00000000-0005-0000-0000-0000B5D20000}"/>
    <cellStyle name="Percent 12 2" xfId="3766" xr:uid="{00000000-0005-0000-0000-0000B6D20000}"/>
    <cellStyle name="Percent 12 2 2" xfId="52349" xr:uid="{00000000-0005-0000-0000-0000B7D20000}"/>
    <cellStyle name="Percent 120" xfId="52350" xr:uid="{00000000-0005-0000-0000-0000B8D20000}"/>
    <cellStyle name="Percent 121" xfId="52351" xr:uid="{00000000-0005-0000-0000-0000B9D20000}"/>
    <cellStyle name="Percent 122" xfId="52352" xr:uid="{00000000-0005-0000-0000-0000BAD20000}"/>
    <cellStyle name="Percent 123" xfId="52353" xr:uid="{00000000-0005-0000-0000-0000BBD20000}"/>
    <cellStyle name="Percent 124" xfId="52354" xr:uid="{00000000-0005-0000-0000-0000BCD20000}"/>
    <cellStyle name="Percent 125" xfId="52355" xr:uid="{00000000-0005-0000-0000-0000BDD20000}"/>
    <cellStyle name="Percent 126" xfId="52356" xr:uid="{00000000-0005-0000-0000-0000BED20000}"/>
    <cellStyle name="Percent 127" xfId="52357" xr:uid="{00000000-0005-0000-0000-0000BFD20000}"/>
    <cellStyle name="Percent 128" xfId="52358" xr:uid="{00000000-0005-0000-0000-0000C0D20000}"/>
    <cellStyle name="Percent 13" xfId="3767" xr:uid="{00000000-0005-0000-0000-0000C1D20000}"/>
    <cellStyle name="Percent 13 2" xfId="52359" xr:uid="{00000000-0005-0000-0000-0000C2D20000}"/>
    <cellStyle name="Percent 14" xfId="3768" xr:uid="{00000000-0005-0000-0000-0000C3D20000}"/>
    <cellStyle name="Percent 14 2" xfId="54467" xr:uid="{00000000-0005-0000-0000-0000C4D20000}"/>
    <cellStyle name="Percent 14 3" xfId="54468" xr:uid="{00000000-0005-0000-0000-0000C5D20000}"/>
    <cellStyle name="Percent 15" xfId="3769" xr:uid="{00000000-0005-0000-0000-0000C6D20000}"/>
    <cellStyle name="Percent 15 2" xfId="52360" xr:uid="{00000000-0005-0000-0000-0000C7D20000}"/>
    <cellStyle name="Percent 15 3" xfId="52361" xr:uid="{00000000-0005-0000-0000-0000C8D20000}"/>
    <cellStyle name="Percent 15 3 2" xfId="52362" xr:uid="{00000000-0005-0000-0000-0000C9D20000}"/>
    <cellStyle name="Percent 15 3 2 2" xfId="52363" xr:uid="{00000000-0005-0000-0000-0000CAD20000}"/>
    <cellStyle name="Percent 15 3 2 3" xfId="52364" xr:uid="{00000000-0005-0000-0000-0000CBD20000}"/>
    <cellStyle name="Percent 15 3 3" xfId="52365" xr:uid="{00000000-0005-0000-0000-0000CCD20000}"/>
    <cellStyle name="Percent 15 3 4" xfId="52366" xr:uid="{00000000-0005-0000-0000-0000CDD20000}"/>
    <cellStyle name="Percent 15 4" xfId="52367" xr:uid="{00000000-0005-0000-0000-0000CED20000}"/>
    <cellStyle name="Percent 15 4 2" xfId="52368" xr:uid="{00000000-0005-0000-0000-0000CFD20000}"/>
    <cellStyle name="Percent 15 4 3" xfId="52369" xr:uid="{00000000-0005-0000-0000-0000D0D20000}"/>
    <cellStyle name="Percent 15 5" xfId="52370" xr:uid="{00000000-0005-0000-0000-0000D1D20000}"/>
    <cellStyle name="Percent 15 6" xfId="52371" xr:uid="{00000000-0005-0000-0000-0000D2D20000}"/>
    <cellStyle name="Percent 15 7" xfId="52372" xr:uid="{00000000-0005-0000-0000-0000D3D20000}"/>
    <cellStyle name="Percent 16" xfId="3770" xr:uid="{00000000-0005-0000-0000-0000D4D20000}"/>
    <cellStyle name="Percent 16 2" xfId="52373" xr:uid="{00000000-0005-0000-0000-0000D5D20000}"/>
    <cellStyle name="Percent 16 2 2" xfId="52374" xr:uid="{00000000-0005-0000-0000-0000D6D20000}"/>
    <cellStyle name="Percent 16 2 2 2" xfId="52375" xr:uid="{00000000-0005-0000-0000-0000D7D20000}"/>
    <cellStyle name="Percent 16 2 2 3" xfId="52376" xr:uid="{00000000-0005-0000-0000-0000D8D20000}"/>
    <cellStyle name="Percent 16 2 3" xfId="52377" xr:uid="{00000000-0005-0000-0000-0000D9D20000}"/>
    <cellStyle name="Percent 16 2 4" xfId="52378" xr:uid="{00000000-0005-0000-0000-0000DAD20000}"/>
    <cellStyle name="Percent 16 3" xfId="52379" xr:uid="{00000000-0005-0000-0000-0000DBD20000}"/>
    <cellStyle name="Percent 16 3 2" xfId="52380" xr:uid="{00000000-0005-0000-0000-0000DCD20000}"/>
    <cellStyle name="Percent 16 3 3" xfId="52381" xr:uid="{00000000-0005-0000-0000-0000DDD20000}"/>
    <cellStyle name="Percent 16 4" xfId="52382" xr:uid="{00000000-0005-0000-0000-0000DED20000}"/>
    <cellStyle name="Percent 16 5" xfId="52383" xr:uid="{00000000-0005-0000-0000-0000DFD20000}"/>
    <cellStyle name="Percent 16 6" xfId="52384" xr:uid="{00000000-0005-0000-0000-0000E0D20000}"/>
    <cellStyle name="Percent 17" xfId="3771" xr:uid="{00000000-0005-0000-0000-0000E1D20000}"/>
    <cellStyle name="Percent 17 2" xfId="52385" xr:uid="{00000000-0005-0000-0000-0000E2D20000}"/>
    <cellStyle name="Percent 18" xfId="3772" xr:uid="{00000000-0005-0000-0000-0000E3D20000}"/>
    <cellStyle name="Percent 19" xfId="3773" xr:uid="{00000000-0005-0000-0000-0000E4D20000}"/>
    <cellStyle name="Percent 2" xfId="2" xr:uid="{00000000-0005-0000-0000-0000E5D20000}"/>
    <cellStyle name="Percent 2 2" xfId="3775" xr:uid="{00000000-0005-0000-0000-0000E6D20000}"/>
    <cellStyle name="Percent 2 2 2" xfId="52386" xr:uid="{00000000-0005-0000-0000-0000E7D20000}"/>
    <cellStyle name="Percent 2 2 2 2" xfId="52387" xr:uid="{00000000-0005-0000-0000-0000E8D20000}"/>
    <cellStyle name="Percent 2 2 3" xfId="52388" xr:uid="{00000000-0005-0000-0000-0000E9D20000}"/>
    <cellStyle name="Percent 2 3" xfId="3774" xr:uid="{00000000-0005-0000-0000-0000EAD20000}"/>
    <cellStyle name="Percent 2 3 2" xfId="52389" xr:uid="{00000000-0005-0000-0000-0000EBD20000}"/>
    <cellStyle name="Percent 2 4" xfId="52390" xr:uid="{00000000-0005-0000-0000-0000ECD20000}"/>
    <cellStyle name="Percent 2 4 2" xfId="52391" xr:uid="{00000000-0005-0000-0000-0000EDD20000}"/>
    <cellStyle name="Percent 20" xfId="3776" xr:uid="{00000000-0005-0000-0000-0000EED20000}"/>
    <cellStyle name="Percent 21" xfId="52392" xr:uid="{00000000-0005-0000-0000-0000EFD20000}"/>
    <cellStyle name="Percent 21 2" xfId="52393" xr:uid="{00000000-0005-0000-0000-0000F0D20000}"/>
    <cellStyle name="Percent 22" xfId="52394" xr:uid="{00000000-0005-0000-0000-0000F1D20000}"/>
    <cellStyle name="Percent 23" xfId="52395" xr:uid="{00000000-0005-0000-0000-0000F2D20000}"/>
    <cellStyle name="Percent 24" xfId="52396" xr:uid="{00000000-0005-0000-0000-0000F3D20000}"/>
    <cellStyle name="Percent 24 2" xfId="52397" xr:uid="{00000000-0005-0000-0000-0000F4D20000}"/>
    <cellStyle name="Percent 25" xfId="52398" xr:uid="{00000000-0005-0000-0000-0000F5D20000}"/>
    <cellStyle name="Percent 25 2" xfId="52399" xr:uid="{00000000-0005-0000-0000-0000F6D20000}"/>
    <cellStyle name="Percent 25 3" xfId="52400" xr:uid="{00000000-0005-0000-0000-0000F7D20000}"/>
    <cellStyle name="Percent 26" xfId="52401" xr:uid="{00000000-0005-0000-0000-0000F8D20000}"/>
    <cellStyle name="Percent 26 2" xfId="52402" xr:uid="{00000000-0005-0000-0000-0000F9D20000}"/>
    <cellStyle name="Percent 26 2 2" xfId="52403" xr:uid="{00000000-0005-0000-0000-0000FAD20000}"/>
    <cellStyle name="Percent 26 3" xfId="52404" xr:uid="{00000000-0005-0000-0000-0000FBD20000}"/>
    <cellStyle name="Percent 27" xfId="52405" xr:uid="{00000000-0005-0000-0000-0000FCD20000}"/>
    <cellStyle name="Percent 27 2" xfId="52406" xr:uid="{00000000-0005-0000-0000-0000FDD20000}"/>
    <cellStyle name="Percent 27 3" xfId="52407" xr:uid="{00000000-0005-0000-0000-0000FED20000}"/>
    <cellStyle name="Percent 28" xfId="52408" xr:uid="{00000000-0005-0000-0000-0000FFD20000}"/>
    <cellStyle name="Percent 28 2" xfId="52409" xr:uid="{00000000-0005-0000-0000-000000D30000}"/>
    <cellStyle name="Percent 28 3" xfId="52410" xr:uid="{00000000-0005-0000-0000-000001D30000}"/>
    <cellStyle name="Percent 29" xfId="52411" xr:uid="{00000000-0005-0000-0000-000002D30000}"/>
    <cellStyle name="Percent 29 2" xfId="52412" xr:uid="{00000000-0005-0000-0000-000003D30000}"/>
    <cellStyle name="Percent 29 2 2" xfId="52413" xr:uid="{00000000-0005-0000-0000-000004D30000}"/>
    <cellStyle name="Percent 29 3" xfId="52414" xr:uid="{00000000-0005-0000-0000-000005D30000}"/>
    <cellStyle name="Percent 29 4" xfId="52415" xr:uid="{00000000-0005-0000-0000-000006D30000}"/>
    <cellStyle name="Percent 3" xfId="3777" xr:uid="{00000000-0005-0000-0000-000007D30000}"/>
    <cellStyle name="Percent 3 2" xfId="3778" xr:uid="{00000000-0005-0000-0000-000008D30000}"/>
    <cellStyle name="Percent 3 3" xfId="52416" xr:uid="{00000000-0005-0000-0000-000009D30000}"/>
    <cellStyle name="Percent 3 3 2" xfId="52417" xr:uid="{00000000-0005-0000-0000-00000AD30000}"/>
    <cellStyle name="Percent 3 4" xfId="52418" xr:uid="{00000000-0005-0000-0000-00000BD30000}"/>
    <cellStyle name="Percent 3 4 2" xfId="52419" xr:uid="{00000000-0005-0000-0000-00000CD30000}"/>
    <cellStyle name="Percent 3 4 3" xfId="52420" xr:uid="{00000000-0005-0000-0000-00000DD30000}"/>
    <cellStyle name="Percent 3 5" xfId="52421" xr:uid="{00000000-0005-0000-0000-00000ED30000}"/>
    <cellStyle name="Percent 3 6" xfId="52422" xr:uid="{00000000-0005-0000-0000-00000FD30000}"/>
    <cellStyle name="Percent 30" xfId="52423" xr:uid="{00000000-0005-0000-0000-000010D30000}"/>
    <cellStyle name="Percent 30 2" xfId="52424" xr:uid="{00000000-0005-0000-0000-000011D30000}"/>
    <cellStyle name="Percent 30 3" xfId="52425" xr:uid="{00000000-0005-0000-0000-000012D30000}"/>
    <cellStyle name="Percent 31" xfId="52426" xr:uid="{00000000-0005-0000-0000-000013D30000}"/>
    <cellStyle name="Percent 31 2" xfId="52427" xr:uid="{00000000-0005-0000-0000-000014D30000}"/>
    <cellStyle name="Percent 31 3" xfId="52428" xr:uid="{00000000-0005-0000-0000-000015D30000}"/>
    <cellStyle name="Percent 32" xfId="52429" xr:uid="{00000000-0005-0000-0000-000016D30000}"/>
    <cellStyle name="Percent 32 2" xfId="52430" xr:uid="{00000000-0005-0000-0000-000017D30000}"/>
    <cellStyle name="Percent 32 3" xfId="52431" xr:uid="{00000000-0005-0000-0000-000018D30000}"/>
    <cellStyle name="Percent 33" xfId="52432" xr:uid="{00000000-0005-0000-0000-000019D30000}"/>
    <cellStyle name="Percent 33 2" xfId="52433" xr:uid="{00000000-0005-0000-0000-00001AD30000}"/>
    <cellStyle name="Percent 33 3" xfId="52434" xr:uid="{00000000-0005-0000-0000-00001BD30000}"/>
    <cellStyle name="Percent 34" xfId="52435" xr:uid="{00000000-0005-0000-0000-00001CD30000}"/>
    <cellStyle name="Percent 34 2" xfId="52436" xr:uid="{00000000-0005-0000-0000-00001DD30000}"/>
    <cellStyle name="Percent 34 3" xfId="52437" xr:uid="{00000000-0005-0000-0000-00001ED30000}"/>
    <cellStyle name="Percent 35" xfId="52438" xr:uid="{00000000-0005-0000-0000-00001FD30000}"/>
    <cellStyle name="Percent 35 2" xfId="52439" xr:uid="{00000000-0005-0000-0000-000020D30000}"/>
    <cellStyle name="Percent 35 3" xfId="52440" xr:uid="{00000000-0005-0000-0000-000021D30000}"/>
    <cellStyle name="Percent 36" xfId="52441" xr:uid="{00000000-0005-0000-0000-000022D30000}"/>
    <cellStyle name="Percent 36 2" xfId="52442" xr:uid="{00000000-0005-0000-0000-000023D30000}"/>
    <cellStyle name="Percent 36 3" xfId="52443" xr:uid="{00000000-0005-0000-0000-000024D30000}"/>
    <cellStyle name="Percent 37" xfId="52444" xr:uid="{00000000-0005-0000-0000-000025D30000}"/>
    <cellStyle name="Percent 38" xfId="52445" xr:uid="{00000000-0005-0000-0000-000026D30000}"/>
    <cellStyle name="Percent 39" xfId="52446" xr:uid="{00000000-0005-0000-0000-000027D30000}"/>
    <cellStyle name="Percent 4" xfId="3779" xr:uid="{00000000-0005-0000-0000-000028D30000}"/>
    <cellStyle name="Percent 4 2" xfId="3780" xr:uid="{00000000-0005-0000-0000-000029D30000}"/>
    <cellStyle name="Percent 4 3" xfId="52447" xr:uid="{00000000-0005-0000-0000-00002AD30000}"/>
    <cellStyle name="Percent 4 3 2" xfId="52448" xr:uid="{00000000-0005-0000-0000-00002BD30000}"/>
    <cellStyle name="Percent 4 3 2 2" xfId="52449" xr:uid="{00000000-0005-0000-0000-00002CD30000}"/>
    <cellStyle name="Percent 4 3 2 3" xfId="52450" xr:uid="{00000000-0005-0000-0000-00002DD30000}"/>
    <cellStyle name="Percent 4 3 2 4" xfId="52451" xr:uid="{00000000-0005-0000-0000-00002ED30000}"/>
    <cellStyle name="Percent 4 3 3" xfId="52452" xr:uid="{00000000-0005-0000-0000-00002FD30000}"/>
    <cellStyle name="Percent 4 3 3 2" xfId="52453" xr:uid="{00000000-0005-0000-0000-000030D30000}"/>
    <cellStyle name="Percent 4 3 4" xfId="52454" xr:uid="{00000000-0005-0000-0000-000031D30000}"/>
    <cellStyle name="Percent 4 3 5" xfId="52455" xr:uid="{00000000-0005-0000-0000-000032D30000}"/>
    <cellStyle name="Percent 4 4" xfId="52456" xr:uid="{00000000-0005-0000-0000-000033D30000}"/>
    <cellStyle name="Percent 4 4 2" xfId="52457" xr:uid="{00000000-0005-0000-0000-000034D30000}"/>
    <cellStyle name="Percent 4 4 3" xfId="52458" xr:uid="{00000000-0005-0000-0000-000035D30000}"/>
    <cellStyle name="Percent 4 4 4" xfId="52459" xr:uid="{00000000-0005-0000-0000-000036D30000}"/>
    <cellStyle name="Percent 4 5" xfId="52460" xr:uid="{00000000-0005-0000-0000-000037D30000}"/>
    <cellStyle name="Percent 4 6" xfId="52461" xr:uid="{00000000-0005-0000-0000-000038D30000}"/>
    <cellStyle name="Percent 40" xfId="52462" xr:uid="{00000000-0005-0000-0000-000039D30000}"/>
    <cellStyle name="Percent 41" xfId="52463" xr:uid="{00000000-0005-0000-0000-00003AD30000}"/>
    <cellStyle name="Percent 42" xfId="52464" xr:uid="{00000000-0005-0000-0000-00003BD30000}"/>
    <cellStyle name="Percent 43" xfId="52465" xr:uid="{00000000-0005-0000-0000-00003CD30000}"/>
    <cellStyle name="Percent 44" xfId="52466" xr:uid="{00000000-0005-0000-0000-00003DD30000}"/>
    <cellStyle name="Percent 45" xfId="52467" xr:uid="{00000000-0005-0000-0000-00003ED30000}"/>
    <cellStyle name="Percent 46" xfId="52468" xr:uid="{00000000-0005-0000-0000-00003FD30000}"/>
    <cellStyle name="Percent 47" xfId="52469" xr:uid="{00000000-0005-0000-0000-000040D30000}"/>
    <cellStyle name="Percent 48" xfId="52470" xr:uid="{00000000-0005-0000-0000-000041D30000}"/>
    <cellStyle name="Percent 49" xfId="52471" xr:uid="{00000000-0005-0000-0000-000042D30000}"/>
    <cellStyle name="Percent 5" xfId="3781" xr:uid="{00000000-0005-0000-0000-000043D30000}"/>
    <cellStyle name="Percent 5 2" xfId="3782" xr:uid="{00000000-0005-0000-0000-000044D30000}"/>
    <cellStyle name="Percent 5 3" xfId="52472" xr:uid="{00000000-0005-0000-0000-000045D30000}"/>
    <cellStyle name="Percent 5 4" xfId="52473" xr:uid="{00000000-0005-0000-0000-000046D30000}"/>
    <cellStyle name="Percent 5 4 2" xfId="52474" xr:uid="{00000000-0005-0000-0000-000047D30000}"/>
    <cellStyle name="Percent 50" xfId="52475" xr:uid="{00000000-0005-0000-0000-000048D30000}"/>
    <cellStyle name="Percent 51" xfId="52476" xr:uid="{00000000-0005-0000-0000-000049D30000}"/>
    <cellStyle name="Percent 52" xfId="52477" xr:uid="{00000000-0005-0000-0000-00004AD30000}"/>
    <cellStyle name="Percent 53" xfId="52478" xr:uid="{00000000-0005-0000-0000-00004BD30000}"/>
    <cellStyle name="Percent 54" xfId="52479" xr:uid="{00000000-0005-0000-0000-00004CD30000}"/>
    <cellStyle name="Percent 55" xfId="52480" xr:uid="{00000000-0005-0000-0000-00004DD30000}"/>
    <cellStyle name="Percent 56" xfId="52481" xr:uid="{00000000-0005-0000-0000-00004ED30000}"/>
    <cellStyle name="Percent 57" xfId="52482" xr:uid="{00000000-0005-0000-0000-00004FD30000}"/>
    <cellStyle name="Percent 58" xfId="52483" xr:uid="{00000000-0005-0000-0000-000050D30000}"/>
    <cellStyle name="Percent 59" xfId="52484" xr:uid="{00000000-0005-0000-0000-000051D30000}"/>
    <cellStyle name="Percent 6" xfId="3783" xr:uid="{00000000-0005-0000-0000-000052D30000}"/>
    <cellStyle name="Percent 6 2" xfId="3784" xr:uid="{00000000-0005-0000-0000-000053D30000}"/>
    <cellStyle name="Percent 6 3" xfId="52485" xr:uid="{00000000-0005-0000-0000-000054D30000}"/>
    <cellStyle name="Percent 6 3 2" xfId="52486" xr:uid="{00000000-0005-0000-0000-000055D30000}"/>
    <cellStyle name="Percent 6 4" xfId="52487" xr:uid="{00000000-0005-0000-0000-000056D30000}"/>
    <cellStyle name="Percent 60" xfId="52488" xr:uid="{00000000-0005-0000-0000-000057D30000}"/>
    <cellStyle name="Percent 61" xfId="52489" xr:uid="{00000000-0005-0000-0000-000058D30000}"/>
    <cellStyle name="Percent 62" xfId="52490" xr:uid="{00000000-0005-0000-0000-000059D30000}"/>
    <cellStyle name="Percent 63" xfId="52491" xr:uid="{00000000-0005-0000-0000-00005AD30000}"/>
    <cellStyle name="Percent 64" xfId="52492" xr:uid="{00000000-0005-0000-0000-00005BD30000}"/>
    <cellStyle name="Percent 65" xfId="52493" xr:uid="{00000000-0005-0000-0000-00005CD30000}"/>
    <cellStyle name="Percent 66" xfId="52494" xr:uid="{00000000-0005-0000-0000-00005DD30000}"/>
    <cellStyle name="Percent 67" xfId="52495" xr:uid="{00000000-0005-0000-0000-00005ED30000}"/>
    <cellStyle name="Percent 67 2" xfId="52496" xr:uid="{00000000-0005-0000-0000-00005FD30000}"/>
    <cellStyle name="Percent 68" xfId="52497" xr:uid="{00000000-0005-0000-0000-000060D30000}"/>
    <cellStyle name="Percent 68 2" xfId="52498" xr:uid="{00000000-0005-0000-0000-000061D30000}"/>
    <cellStyle name="Percent 69" xfId="52499" xr:uid="{00000000-0005-0000-0000-000062D30000}"/>
    <cellStyle name="Percent 69 2" xfId="52500" xr:uid="{00000000-0005-0000-0000-000063D30000}"/>
    <cellStyle name="Percent 7" xfId="3785" xr:uid="{00000000-0005-0000-0000-000064D30000}"/>
    <cellStyle name="Percent 7 2" xfId="3786" xr:uid="{00000000-0005-0000-0000-000065D30000}"/>
    <cellStyle name="Percent 7 2 2" xfId="52501" xr:uid="{00000000-0005-0000-0000-000066D30000}"/>
    <cellStyle name="Percent 7 3" xfId="52502" xr:uid="{00000000-0005-0000-0000-000067D30000}"/>
    <cellStyle name="Percent 7 3 2" xfId="52503" xr:uid="{00000000-0005-0000-0000-000068D30000}"/>
    <cellStyle name="Percent 70" xfId="52504" xr:uid="{00000000-0005-0000-0000-000069D30000}"/>
    <cellStyle name="Percent 70 2" xfId="52505" xr:uid="{00000000-0005-0000-0000-00006AD30000}"/>
    <cellStyle name="Percent 71" xfId="52506" xr:uid="{00000000-0005-0000-0000-00006BD30000}"/>
    <cellStyle name="Percent 71 2" xfId="52507" xr:uid="{00000000-0005-0000-0000-00006CD30000}"/>
    <cellStyle name="Percent 72" xfId="52508" xr:uid="{00000000-0005-0000-0000-00006DD30000}"/>
    <cellStyle name="Percent 72 2" xfId="52509" xr:uid="{00000000-0005-0000-0000-00006ED30000}"/>
    <cellStyle name="Percent 73" xfId="52510" xr:uid="{00000000-0005-0000-0000-00006FD30000}"/>
    <cellStyle name="Percent 73 2" xfId="52511" xr:uid="{00000000-0005-0000-0000-000070D30000}"/>
    <cellStyle name="Percent 74" xfId="52512" xr:uid="{00000000-0005-0000-0000-000071D30000}"/>
    <cellStyle name="Percent 74 2" xfId="52513" xr:uid="{00000000-0005-0000-0000-000072D30000}"/>
    <cellStyle name="Percent 75" xfId="52514" xr:uid="{00000000-0005-0000-0000-000073D30000}"/>
    <cellStyle name="Percent 75 2" xfId="52515" xr:uid="{00000000-0005-0000-0000-000074D30000}"/>
    <cellStyle name="Percent 76" xfId="52516" xr:uid="{00000000-0005-0000-0000-000075D30000}"/>
    <cellStyle name="Percent 76 2" xfId="52517" xr:uid="{00000000-0005-0000-0000-000076D30000}"/>
    <cellStyle name="Percent 77" xfId="52518" xr:uid="{00000000-0005-0000-0000-000077D30000}"/>
    <cellStyle name="Percent 77 2" xfId="52519" xr:uid="{00000000-0005-0000-0000-000078D30000}"/>
    <cellStyle name="Percent 78" xfId="52520" xr:uid="{00000000-0005-0000-0000-000079D30000}"/>
    <cellStyle name="Percent 78 2" xfId="52521" xr:uid="{00000000-0005-0000-0000-00007AD30000}"/>
    <cellStyle name="Percent 79" xfId="52522" xr:uid="{00000000-0005-0000-0000-00007BD30000}"/>
    <cellStyle name="Percent 79 2" xfId="52523" xr:uid="{00000000-0005-0000-0000-00007CD30000}"/>
    <cellStyle name="Percent 8" xfId="3787" xr:uid="{00000000-0005-0000-0000-00007DD30000}"/>
    <cellStyle name="Percent 8 2" xfId="3788" xr:uid="{00000000-0005-0000-0000-00007ED30000}"/>
    <cellStyle name="Percent 8 2 2" xfId="52524" xr:uid="{00000000-0005-0000-0000-00007FD30000}"/>
    <cellStyle name="Percent 80" xfId="52525" xr:uid="{00000000-0005-0000-0000-000080D30000}"/>
    <cellStyle name="Percent 80 2" xfId="52526" xr:uid="{00000000-0005-0000-0000-000081D30000}"/>
    <cellStyle name="Percent 81" xfId="52527" xr:uid="{00000000-0005-0000-0000-000082D30000}"/>
    <cellStyle name="Percent 81 2" xfId="52528" xr:uid="{00000000-0005-0000-0000-000083D30000}"/>
    <cellStyle name="Percent 82" xfId="52529" xr:uid="{00000000-0005-0000-0000-000084D30000}"/>
    <cellStyle name="Percent 82 2" xfId="52530" xr:uid="{00000000-0005-0000-0000-000085D30000}"/>
    <cellStyle name="Percent 83" xfId="52531" xr:uid="{00000000-0005-0000-0000-000086D30000}"/>
    <cellStyle name="Percent 83 2" xfId="52532" xr:uid="{00000000-0005-0000-0000-000087D30000}"/>
    <cellStyle name="Percent 84" xfId="52533" xr:uid="{00000000-0005-0000-0000-000088D30000}"/>
    <cellStyle name="Percent 85" xfId="52534" xr:uid="{00000000-0005-0000-0000-000089D30000}"/>
    <cellStyle name="Percent 86" xfId="52535" xr:uid="{00000000-0005-0000-0000-00008AD30000}"/>
    <cellStyle name="Percent 87" xfId="52536" xr:uid="{00000000-0005-0000-0000-00008BD30000}"/>
    <cellStyle name="Percent 88" xfId="52537" xr:uid="{00000000-0005-0000-0000-00008CD30000}"/>
    <cellStyle name="Percent 89" xfId="52538" xr:uid="{00000000-0005-0000-0000-00008DD30000}"/>
    <cellStyle name="Percent 9" xfId="3789" xr:uid="{00000000-0005-0000-0000-00008ED30000}"/>
    <cellStyle name="Percent 9 2" xfId="3790" xr:uid="{00000000-0005-0000-0000-00008FD30000}"/>
    <cellStyle name="Percent 9 2 2" xfId="52539" xr:uid="{00000000-0005-0000-0000-000090D30000}"/>
    <cellStyle name="Percent 9 3" xfId="52540" xr:uid="{00000000-0005-0000-0000-000091D30000}"/>
    <cellStyle name="Percent 90" xfId="52541" xr:uid="{00000000-0005-0000-0000-000092D30000}"/>
    <cellStyle name="Percent 91" xfId="52542" xr:uid="{00000000-0005-0000-0000-000093D30000}"/>
    <cellStyle name="Percent 92" xfId="52543" xr:uid="{00000000-0005-0000-0000-000094D30000}"/>
    <cellStyle name="Percent 93" xfId="52544" xr:uid="{00000000-0005-0000-0000-000095D30000}"/>
    <cellStyle name="Percent 94" xfId="52545" xr:uid="{00000000-0005-0000-0000-000096D30000}"/>
    <cellStyle name="Percent 95" xfId="52546" xr:uid="{00000000-0005-0000-0000-000097D30000}"/>
    <cellStyle name="Percent 96" xfId="52547" xr:uid="{00000000-0005-0000-0000-000098D30000}"/>
    <cellStyle name="Percent 97" xfId="52548" xr:uid="{00000000-0005-0000-0000-000099D30000}"/>
    <cellStyle name="Percent 98" xfId="52549" xr:uid="{00000000-0005-0000-0000-00009AD30000}"/>
    <cellStyle name="Percent 99" xfId="52550" xr:uid="{00000000-0005-0000-0000-00009BD30000}"/>
    <cellStyle name="Percent0" xfId="52551" xr:uid="{00000000-0005-0000-0000-00009CD30000}"/>
    <cellStyle name="percentage" xfId="52552" xr:uid="{00000000-0005-0000-0000-00009DD30000}"/>
    <cellStyle name="Percentuale_IT Assets" xfId="52553" xr:uid="{00000000-0005-0000-0000-00009ED30000}"/>
    <cellStyle name="PrePop Currency (0)" xfId="52554" xr:uid="{00000000-0005-0000-0000-00009FD30000}"/>
    <cellStyle name="PrePop Currency (2)" xfId="52555" xr:uid="{00000000-0005-0000-0000-0000A0D30000}"/>
    <cellStyle name="PrePop Units (0)" xfId="52556" xr:uid="{00000000-0005-0000-0000-0000A1D30000}"/>
    <cellStyle name="PrePop Units (1)" xfId="52557" xr:uid="{00000000-0005-0000-0000-0000A2D30000}"/>
    <cellStyle name="PrePop Units (2)" xfId="52558" xr:uid="{00000000-0005-0000-0000-0000A3D30000}"/>
    <cellStyle name="PSChar" xfId="3791" xr:uid="{00000000-0005-0000-0000-0000A4D30000}"/>
    <cellStyle name="PSChar 2" xfId="3792" xr:uid="{00000000-0005-0000-0000-0000A5D30000}"/>
    <cellStyle name="PSChar 2 2" xfId="52559" xr:uid="{00000000-0005-0000-0000-0000A6D30000}"/>
    <cellStyle name="PSChar 2 3" xfId="52560" xr:uid="{00000000-0005-0000-0000-0000A7D30000}"/>
    <cellStyle name="PSChar 2 4" xfId="52561" xr:uid="{00000000-0005-0000-0000-0000A8D30000}"/>
    <cellStyle name="PSChar 3" xfId="52562" xr:uid="{00000000-0005-0000-0000-0000A9D30000}"/>
    <cellStyle name="PSChar 3 2" xfId="52563" xr:uid="{00000000-0005-0000-0000-0000AAD30000}"/>
    <cellStyle name="PSDate" xfId="3793" xr:uid="{00000000-0005-0000-0000-0000ABD30000}"/>
    <cellStyle name="PSDate 2" xfId="3794" xr:uid="{00000000-0005-0000-0000-0000ACD30000}"/>
    <cellStyle name="PSDate 2 2" xfId="52564" xr:uid="{00000000-0005-0000-0000-0000ADD30000}"/>
    <cellStyle name="PSDec" xfId="3795" xr:uid="{00000000-0005-0000-0000-0000AED30000}"/>
    <cellStyle name="PSDec 2" xfId="3796" xr:uid="{00000000-0005-0000-0000-0000AFD30000}"/>
    <cellStyle name="PSDec 2 2" xfId="52565" xr:uid="{00000000-0005-0000-0000-0000B0D30000}"/>
    <cellStyle name="PSHeading" xfId="3797" xr:uid="{00000000-0005-0000-0000-0000B1D30000}"/>
    <cellStyle name="PSHeading 2" xfId="3798" xr:uid="{00000000-0005-0000-0000-0000B2D30000}"/>
    <cellStyle name="PSHeading 2 2" xfId="52566" xr:uid="{00000000-0005-0000-0000-0000B3D30000}"/>
    <cellStyle name="PSInt" xfId="3799" xr:uid="{00000000-0005-0000-0000-0000B4D30000}"/>
    <cellStyle name="PSInt 2" xfId="3800" xr:uid="{00000000-0005-0000-0000-0000B5D30000}"/>
    <cellStyle name="PSInt 2 2" xfId="52567" xr:uid="{00000000-0005-0000-0000-0000B6D30000}"/>
    <cellStyle name="PSSpacer" xfId="3801" xr:uid="{00000000-0005-0000-0000-0000B7D30000}"/>
    <cellStyle name="PSSpacer 2" xfId="3802" xr:uid="{00000000-0005-0000-0000-0000B8D30000}"/>
    <cellStyle name="PSSpacer 2 2" xfId="52568" xr:uid="{00000000-0005-0000-0000-0000B9D30000}"/>
    <cellStyle name="RAMEY" xfId="52569" xr:uid="{00000000-0005-0000-0000-0000BAD30000}"/>
    <cellStyle name="Ramey $k" xfId="52570" xr:uid="{00000000-0005-0000-0000-0000BBD30000}"/>
    <cellStyle name="RAMEY_BAFOdevtest 5plus year v1" xfId="52571" xr:uid="{00000000-0005-0000-0000-0000BCD30000}"/>
    <cellStyle name="REDCLEAR" xfId="52572" xr:uid="{00000000-0005-0000-0000-0000BDD30000}"/>
    <cellStyle name="REDCLEAR 2" xfId="52573" xr:uid="{00000000-0005-0000-0000-0000BED30000}"/>
    <cellStyle name="REDSHADE" xfId="52574" xr:uid="{00000000-0005-0000-0000-0000BFD30000}"/>
    <cellStyle name="REDSHADE 2" xfId="52575" xr:uid="{00000000-0005-0000-0000-0000C0D30000}"/>
    <cellStyle name="regstoresfromspecstores" xfId="52576" xr:uid="{00000000-0005-0000-0000-0000C1D30000}"/>
    <cellStyle name="RevList" xfId="52577" xr:uid="{00000000-0005-0000-0000-0000C2D30000}"/>
    <cellStyle name="round" xfId="52578" xr:uid="{00000000-0005-0000-0000-0000C3D30000}"/>
    <cellStyle name="s Services" xfId="52579" xr:uid="{00000000-0005-0000-0000-0000C4D30000}"/>
    <cellStyle name="SAPBEXaggData" xfId="52580" xr:uid="{00000000-0005-0000-0000-0000C5D30000}"/>
    <cellStyle name="SAPBEXaggData 2" xfId="52581" xr:uid="{00000000-0005-0000-0000-0000C6D30000}"/>
    <cellStyle name="SAPBEXaggDataEmph" xfId="52582" xr:uid="{00000000-0005-0000-0000-0000C7D30000}"/>
    <cellStyle name="SAPBEXaggDataEmph 2" xfId="52583" xr:uid="{00000000-0005-0000-0000-0000C8D30000}"/>
    <cellStyle name="SAPBEXaggItem" xfId="52584" xr:uid="{00000000-0005-0000-0000-0000C9D30000}"/>
    <cellStyle name="SAPBEXaggItem 2" xfId="52585" xr:uid="{00000000-0005-0000-0000-0000CAD30000}"/>
    <cellStyle name="SAPBEXaggItemX" xfId="52586" xr:uid="{00000000-0005-0000-0000-0000CBD30000}"/>
    <cellStyle name="SAPBEXaggItemX 2" xfId="52587" xr:uid="{00000000-0005-0000-0000-0000CCD30000}"/>
    <cellStyle name="SAPBEXchaText" xfId="52588" xr:uid="{00000000-0005-0000-0000-0000CDD30000}"/>
    <cellStyle name="SAPBEXexcBad7" xfId="52589" xr:uid="{00000000-0005-0000-0000-0000CED30000}"/>
    <cellStyle name="SAPBEXexcBad7 2" xfId="52590" xr:uid="{00000000-0005-0000-0000-0000CFD30000}"/>
    <cellStyle name="SAPBEXexcBad8" xfId="52591" xr:uid="{00000000-0005-0000-0000-0000D0D30000}"/>
    <cellStyle name="SAPBEXexcBad8 2" xfId="52592" xr:uid="{00000000-0005-0000-0000-0000D1D30000}"/>
    <cellStyle name="SAPBEXexcBad9" xfId="52593" xr:uid="{00000000-0005-0000-0000-0000D2D30000}"/>
    <cellStyle name="SAPBEXexcBad9 2" xfId="52594" xr:uid="{00000000-0005-0000-0000-0000D3D30000}"/>
    <cellStyle name="SAPBEXexcCritical4" xfId="52595" xr:uid="{00000000-0005-0000-0000-0000D4D30000}"/>
    <cellStyle name="SAPBEXexcCritical4 2" xfId="52596" xr:uid="{00000000-0005-0000-0000-0000D5D30000}"/>
    <cellStyle name="SAPBEXexcCritical5" xfId="52597" xr:uid="{00000000-0005-0000-0000-0000D6D30000}"/>
    <cellStyle name="SAPBEXexcCritical5 2" xfId="52598" xr:uid="{00000000-0005-0000-0000-0000D7D30000}"/>
    <cellStyle name="SAPBEXexcCritical6" xfId="52599" xr:uid="{00000000-0005-0000-0000-0000D8D30000}"/>
    <cellStyle name="SAPBEXexcCritical6 2" xfId="52600" xr:uid="{00000000-0005-0000-0000-0000D9D30000}"/>
    <cellStyle name="SAPBEXexcGood1" xfId="52601" xr:uid="{00000000-0005-0000-0000-0000DAD30000}"/>
    <cellStyle name="SAPBEXexcGood1 2" xfId="52602" xr:uid="{00000000-0005-0000-0000-0000DBD30000}"/>
    <cellStyle name="SAPBEXexcGood2" xfId="52603" xr:uid="{00000000-0005-0000-0000-0000DCD30000}"/>
    <cellStyle name="SAPBEXexcGood2 2" xfId="52604" xr:uid="{00000000-0005-0000-0000-0000DDD30000}"/>
    <cellStyle name="SAPBEXexcGood3" xfId="52605" xr:uid="{00000000-0005-0000-0000-0000DED30000}"/>
    <cellStyle name="SAPBEXexcGood3 2" xfId="52606" xr:uid="{00000000-0005-0000-0000-0000DFD30000}"/>
    <cellStyle name="SAPBEXfilterDrill" xfId="52607" xr:uid="{00000000-0005-0000-0000-0000E0D30000}"/>
    <cellStyle name="SAPBEXfilterItem" xfId="52608" xr:uid="{00000000-0005-0000-0000-0000E1D30000}"/>
    <cellStyle name="SAPBEXfilterText" xfId="52609" xr:uid="{00000000-0005-0000-0000-0000E2D30000}"/>
    <cellStyle name="SAPBEXformats" xfId="52610" xr:uid="{00000000-0005-0000-0000-0000E3D30000}"/>
    <cellStyle name="SAPBEXformats 2" xfId="52611" xr:uid="{00000000-0005-0000-0000-0000E4D30000}"/>
    <cellStyle name="SAPBEXheaderItem" xfId="52612" xr:uid="{00000000-0005-0000-0000-0000E5D30000}"/>
    <cellStyle name="SAPBEXheaderText" xfId="52613" xr:uid="{00000000-0005-0000-0000-0000E6D30000}"/>
    <cellStyle name="SAPBEXHLevel0" xfId="52614" xr:uid="{00000000-0005-0000-0000-0000E7D30000}"/>
    <cellStyle name="SAPBEXHLevel0 2" xfId="52615" xr:uid="{00000000-0005-0000-0000-0000E8D30000}"/>
    <cellStyle name="SAPBEXHLevel0X" xfId="52616" xr:uid="{00000000-0005-0000-0000-0000E9D30000}"/>
    <cellStyle name="SAPBEXHLevel0X 2" xfId="52617" xr:uid="{00000000-0005-0000-0000-0000EAD30000}"/>
    <cellStyle name="SAPBEXHLevel1" xfId="52618" xr:uid="{00000000-0005-0000-0000-0000EBD30000}"/>
    <cellStyle name="SAPBEXHLevel1 2" xfId="52619" xr:uid="{00000000-0005-0000-0000-0000ECD30000}"/>
    <cellStyle name="SAPBEXHLevel1X" xfId="52620" xr:uid="{00000000-0005-0000-0000-0000EDD30000}"/>
    <cellStyle name="SAPBEXHLevel1X 2" xfId="52621" xr:uid="{00000000-0005-0000-0000-0000EED30000}"/>
    <cellStyle name="SAPBEXHLevel2" xfId="52622" xr:uid="{00000000-0005-0000-0000-0000EFD30000}"/>
    <cellStyle name="SAPBEXHLevel2 2" xfId="52623" xr:uid="{00000000-0005-0000-0000-0000F0D30000}"/>
    <cellStyle name="SAPBEXHLevel2X" xfId="52624" xr:uid="{00000000-0005-0000-0000-0000F1D30000}"/>
    <cellStyle name="SAPBEXHLevel2X 2" xfId="52625" xr:uid="{00000000-0005-0000-0000-0000F2D30000}"/>
    <cellStyle name="SAPBEXHLevel3" xfId="52626" xr:uid="{00000000-0005-0000-0000-0000F3D30000}"/>
    <cellStyle name="SAPBEXHLevel3 2" xfId="52627" xr:uid="{00000000-0005-0000-0000-0000F4D30000}"/>
    <cellStyle name="SAPBEXHLevel3X" xfId="52628" xr:uid="{00000000-0005-0000-0000-0000F5D30000}"/>
    <cellStyle name="SAPBEXHLevel3X 2" xfId="52629" xr:uid="{00000000-0005-0000-0000-0000F6D30000}"/>
    <cellStyle name="SAPBEXresData" xfId="52630" xr:uid="{00000000-0005-0000-0000-0000F7D30000}"/>
    <cellStyle name="SAPBEXresData 2" xfId="52631" xr:uid="{00000000-0005-0000-0000-0000F8D30000}"/>
    <cellStyle name="SAPBEXresDataEmph" xfId="52632" xr:uid="{00000000-0005-0000-0000-0000F9D30000}"/>
    <cellStyle name="SAPBEXresDataEmph 2" xfId="52633" xr:uid="{00000000-0005-0000-0000-0000FAD30000}"/>
    <cellStyle name="SAPBEXresItem" xfId="52634" xr:uid="{00000000-0005-0000-0000-0000FBD30000}"/>
    <cellStyle name="SAPBEXresItem 2" xfId="52635" xr:uid="{00000000-0005-0000-0000-0000FCD30000}"/>
    <cellStyle name="SAPBEXresItemX" xfId="52636" xr:uid="{00000000-0005-0000-0000-0000FDD30000}"/>
    <cellStyle name="SAPBEXresItemX 2" xfId="52637" xr:uid="{00000000-0005-0000-0000-0000FED30000}"/>
    <cellStyle name="SAPBEXstdData" xfId="52638" xr:uid="{00000000-0005-0000-0000-0000FFD30000}"/>
    <cellStyle name="SAPBEXstdData 2" xfId="52639" xr:uid="{00000000-0005-0000-0000-000000D40000}"/>
    <cellStyle name="SAPBEXstdDataEmph" xfId="52640" xr:uid="{00000000-0005-0000-0000-000001D40000}"/>
    <cellStyle name="SAPBEXstdDataEmph 2" xfId="52641" xr:uid="{00000000-0005-0000-0000-000002D40000}"/>
    <cellStyle name="SAPBEXstdItem" xfId="52642" xr:uid="{00000000-0005-0000-0000-000003D40000}"/>
    <cellStyle name="SAPBEXstdItem 2" xfId="52643" xr:uid="{00000000-0005-0000-0000-000004D40000}"/>
    <cellStyle name="SAPBEXstdItemX" xfId="52644" xr:uid="{00000000-0005-0000-0000-000005D40000}"/>
    <cellStyle name="SAPBEXstdItemX 2" xfId="52645" xr:uid="{00000000-0005-0000-0000-000006D40000}"/>
    <cellStyle name="SAPBEXtitle" xfId="52646" xr:uid="{00000000-0005-0000-0000-000007D40000}"/>
    <cellStyle name="SAPBEXundefined" xfId="52647" xr:uid="{00000000-0005-0000-0000-000008D40000}"/>
    <cellStyle name="SAPBEXundefined 2" xfId="52648" xr:uid="{00000000-0005-0000-0000-000009D40000}"/>
    <cellStyle name="SHADE" xfId="52649" xr:uid="{00000000-0005-0000-0000-00000AD40000}"/>
    <cellStyle name="Shaded" xfId="52650" xr:uid="{00000000-0005-0000-0000-00000BD40000}"/>
    <cellStyle name="SHADEDSTORES" xfId="52651" xr:uid="{00000000-0005-0000-0000-00000CD40000}"/>
    <cellStyle name="SHADEDSTORES 2" xfId="52652" xr:uid="{00000000-0005-0000-0000-00000DD40000}"/>
    <cellStyle name="ShOut" xfId="52653" xr:uid="{00000000-0005-0000-0000-00000ED40000}"/>
    <cellStyle name="specstores" xfId="52654" xr:uid="{00000000-0005-0000-0000-00000FD40000}"/>
    <cellStyle name="SS Col Hdr" xfId="52655" xr:uid="{00000000-0005-0000-0000-000010D40000}"/>
    <cellStyle name="SS Dim 1 Blank" xfId="52656" xr:uid="{00000000-0005-0000-0000-000011D40000}"/>
    <cellStyle name="SS Dim 1 Title" xfId="52657" xr:uid="{00000000-0005-0000-0000-000012D40000}"/>
    <cellStyle name="SS Dim 1 Value" xfId="52658" xr:uid="{00000000-0005-0000-0000-000013D40000}"/>
    <cellStyle name="SS Dim 2 Blank" xfId="52659" xr:uid="{00000000-0005-0000-0000-000014D40000}"/>
    <cellStyle name="SS Dim 2 Title" xfId="52660" xr:uid="{00000000-0005-0000-0000-000015D40000}"/>
    <cellStyle name="SS Dim 2 Value" xfId="52661" xr:uid="{00000000-0005-0000-0000-000016D40000}"/>
    <cellStyle name="SS Dim 3 Blank" xfId="52662" xr:uid="{00000000-0005-0000-0000-000017D40000}"/>
    <cellStyle name="SS Dim 3 Title" xfId="52663" xr:uid="{00000000-0005-0000-0000-000018D40000}"/>
    <cellStyle name="SS Dim 3 Value" xfId="52664" xr:uid="{00000000-0005-0000-0000-000019D40000}"/>
    <cellStyle name="SS Dim 4 Blank" xfId="52665" xr:uid="{00000000-0005-0000-0000-00001AD40000}"/>
    <cellStyle name="SS Dim 4 Title" xfId="52666" xr:uid="{00000000-0005-0000-0000-00001BD40000}"/>
    <cellStyle name="SS Dim 4 Value" xfId="52667" xr:uid="{00000000-0005-0000-0000-00001CD40000}"/>
    <cellStyle name="SS Dim 5 Blank" xfId="52668" xr:uid="{00000000-0005-0000-0000-00001DD40000}"/>
    <cellStyle name="SS Dim 5 Title" xfId="52669" xr:uid="{00000000-0005-0000-0000-00001ED40000}"/>
    <cellStyle name="SS Dim 5 Value" xfId="52670" xr:uid="{00000000-0005-0000-0000-00001FD40000}"/>
    <cellStyle name="SS Other Measure" xfId="52671" xr:uid="{00000000-0005-0000-0000-000020D40000}"/>
    <cellStyle name="SS Sum Measure" xfId="52672" xr:uid="{00000000-0005-0000-0000-000021D40000}"/>
    <cellStyle name="SS Unbound Dim" xfId="52673" xr:uid="{00000000-0005-0000-0000-000022D40000}"/>
    <cellStyle name="SS WAvg Measure" xfId="52674" xr:uid="{00000000-0005-0000-0000-000023D40000}"/>
    <cellStyle name="ssn" xfId="52675" xr:uid="{00000000-0005-0000-0000-000024D40000}"/>
    <cellStyle name="Standard_FuncLoc Liste per 241003" xfId="52676" xr:uid="{00000000-0005-0000-0000-000025D40000}"/>
    <cellStyle name="Style 1" xfId="52677" xr:uid="{00000000-0005-0000-0000-000026D40000}"/>
    <cellStyle name="Style 1 10" xfId="52678" xr:uid="{00000000-0005-0000-0000-000027D40000}"/>
    <cellStyle name="Style 1 11" xfId="52679" xr:uid="{00000000-0005-0000-0000-000028D40000}"/>
    <cellStyle name="Style 1 12" xfId="52680" xr:uid="{00000000-0005-0000-0000-000029D40000}"/>
    <cellStyle name="Style 1 13" xfId="52681" xr:uid="{00000000-0005-0000-0000-00002AD40000}"/>
    <cellStyle name="Style 1 14" xfId="52682" xr:uid="{00000000-0005-0000-0000-00002BD40000}"/>
    <cellStyle name="Style 1 15" xfId="52683" xr:uid="{00000000-0005-0000-0000-00002CD40000}"/>
    <cellStyle name="Style 1 16" xfId="52684" xr:uid="{00000000-0005-0000-0000-00002DD40000}"/>
    <cellStyle name="Style 1 17" xfId="52685" xr:uid="{00000000-0005-0000-0000-00002ED40000}"/>
    <cellStyle name="Style 1 18" xfId="52686" xr:uid="{00000000-0005-0000-0000-00002FD40000}"/>
    <cellStyle name="Style 1 19" xfId="52687" xr:uid="{00000000-0005-0000-0000-000030D40000}"/>
    <cellStyle name="Style 1 2" xfId="52688" xr:uid="{00000000-0005-0000-0000-000031D40000}"/>
    <cellStyle name="Style 1 20" xfId="52689" xr:uid="{00000000-0005-0000-0000-000032D40000}"/>
    <cellStyle name="Style 1 3" xfId="52690" xr:uid="{00000000-0005-0000-0000-000033D40000}"/>
    <cellStyle name="Style 1 4" xfId="52691" xr:uid="{00000000-0005-0000-0000-000034D40000}"/>
    <cellStyle name="Style 1 5" xfId="52692" xr:uid="{00000000-0005-0000-0000-000035D40000}"/>
    <cellStyle name="Style 1 6" xfId="52693" xr:uid="{00000000-0005-0000-0000-000036D40000}"/>
    <cellStyle name="Style 1 7" xfId="52694" xr:uid="{00000000-0005-0000-0000-000037D40000}"/>
    <cellStyle name="Style 1 8" xfId="52695" xr:uid="{00000000-0005-0000-0000-000038D40000}"/>
    <cellStyle name="Style 1 9" xfId="52696" xr:uid="{00000000-0005-0000-0000-000039D40000}"/>
    <cellStyle name="Style 2" xfId="52697" xr:uid="{00000000-0005-0000-0000-00003AD40000}"/>
    <cellStyle name="Style 2 2" xfId="52698" xr:uid="{00000000-0005-0000-0000-00003BD40000}"/>
    <cellStyle name="Style 3" xfId="52699" xr:uid="{00000000-0005-0000-0000-00003CD40000}"/>
    <cellStyle name="Style 3 2" xfId="52700" xr:uid="{00000000-0005-0000-0000-00003DD40000}"/>
    <cellStyle name="Style 4" xfId="52701" xr:uid="{00000000-0005-0000-0000-00003ED40000}"/>
    <cellStyle name="Style 5" xfId="52702" xr:uid="{00000000-0005-0000-0000-00003FD40000}"/>
    <cellStyle name="Style 6" xfId="52703" xr:uid="{00000000-0005-0000-0000-000040D40000}"/>
    <cellStyle name="Style 7" xfId="52704" xr:uid="{00000000-0005-0000-0000-000041D40000}"/>
    <cellStyle name="Subtotal" xfId="52705" xr:uid="{00000000-0005-0000-0000-000042D40000}"/>
    <cellStyle name="subtotals" xfId="52706" xr:uid="{00000000-0005-0000-0000-000043D40000}"/>
    <cellStyle name="Sum" xfId="52707" xr:uid="{00000000-0005-0000-0000-000044D40000}"/>
    <cellStyle name="Sum %of HV" xfId="52708" xr:uid="{00000000-0005-0000-0000-000045D40000}"/>
    <cellStyle name="Sum_BAFO model 2 year v1" xfId="52709" xr:uid="{00000000-0005-0000-0000-000046D40000}"/>
    <cellStyle name="Text Indent A" xfId="52710" xr:uid="{00000000-0005-0000-0000-000047D40000}"/>
    <cellStyle name="Text Indent B" xfId="52711" xr:uid="{00000000-0005-0000-0000-000048D40000}"/>
    <cellStyle name="Text Indent C" xfId="52712" xr:uid="{00000000-0005-0000-0000-000049D40000}"/>
    <cellStyle name="Thousands (0)" xfId="52713" xr:uid="{00000000-0005-0000-0000-00004AD40000}"/>
    <cellStyle name="Thousands (1)" xfId="52714" xr:uid="{00000000-0005-0000-0000-00004BD40000}"/>
    <cellStyle name="time" xfId="52715" xr:uid="{00000000-0005-0000-0000-00004CD40000}"/>
    <cellStyle name="Title (non-wrap)" xfId="52716" xr:uid="{00000000-0005-0000-0000-00004DD40000}"/>
    <cellStyle name="Title 10" xfId="52717" xr:uid="{00000000-0005-0000-0000-00004ED40000}"/>
    <cellStyle name="Title 11" xfId="52718" xr:uid="{00000000-0005-0000-0000-00004FD40000}"/>
    <cellStyle name="Title 12" xfId="52719" xr:uid="{00000000-0005-0000-0000-000050D40000}"/>
    <cellStyle name="Title 13" xfId="52720" xr:uid="{00000000-0005-0000-0000-000051D40000}"/>
    <cellStyle name="Title 14" xfId="52721" xr:uid="{00000000-0005-0000-0000-000052D40000}"/>
    <cellStyle name="Title 15" xfId="52722" xr:uid="{00000000-0005-0000-0000-000053D40000}"/>
    <cellStyle name="Title 16" xfId="52723" xr:uid="{00000000-0005-0000-0000-000054D40000}"/>
    <cellStyle name="Title 17" xfId="52724" xr:uid="{00000000-0005-0000-0000-000055D40000}"/>
    <cellStyle name="Title 18" xfId="52725" xr:uid="{00000000-0005-0000-0000-000056D40000}"/>
    <cellStyle name="Title 19" xfId="52726" xr:uid="{00000000-0005-0000-0000-000057D40000}"/>
    <cellStyle name="Title 2" xfId="3803" xr:uid="{00000000-0005-0000-0000-000058D40000}"/>
    <cellStyle name="Title 2 2" xfId="52727" xr:uid="{00000000-0005-0000-0000-000059D40000}"/>
    <cellStyle name="Title 20" xfId="52728" xr:uid="{00000000-0005-0000-0000-00005AD40000}"/>
    <cellStyle name="Title 21" xfId="52729" xr:uid="{00000000-0005-0000-0000-00005BD40000}"/>
    <cellStyle name="Title 22" xfId="52730" xr:uid="{00000000-0005-0000-0000-00005CD40000}"/>
    <cellStyle name="Title 23" xfId="52731" xr:uid="{00000000-0005-0000-0000-00005DD40000}"/>
    <cellStyle name="Title 24" xfId="52732" xr:uid="{00000000-0005-0000-0000-00005ED40000}"/>
    <cellStyle name="Title 25" xfId="52733" xr:uid="{00000000-0005-0000-0000-00005FD40000}"/>
    <cellStyle name="Title 26" xfId="52734" xr:uid="{00000000-0005-0000-0000-000060D40000}"/>
    <cellStyle name="Title 27" xfId="52735" xr:uid="{00000000-0005-0000-0000-000061D40000}"/>
    <cellStyle name="Title 3" xfId="3804" xr:uid="{00000000-0005-0000-0000-000062D40000}"/>
    <cellStyle name="Title 3 2" xfId="52736" xr:uid="{00000000-0005-0000-0000-000063D40000}"/>
    <cellStyle name="Title 3 3" xfId="52737" xr:uid="{00000000-0005-0000-0000-000064D40000}"/>
    <cellStyle name="Title 4" xfId="52738" xr:uid="{00000000-0005-0000-0000-000065D40000}"/>
    <cellStyle name="Title 5" xfId="52739" xr:uid="{00000000-0005-0000-0000-000066D40000}"/>
    <cellStyle name="Title 6" xfId="52740" xr:uid="{00000000-0005-0000-0000-000067D40000}"/>
    <cellStyle name="Title 7" xfId="52741" xr:uid="{00000000-0005-0000-0000-000068D40000}"/>
    <cellStyle name="Title 8" xfId="52742" xr:uid="{00000000-0005-0000-0000-000069D40000}"/>
    <cellStyle name="Title 9" xfId="52743" xr:uid="{00000000-0005-0000-0000-00006AD40000}"/>
    <cellStyle name="Total 10" xfId="52744" xr:uid="{00000000-0005-0000-0000-00006BD40000}"/>
    <cellStyle name="Total 11" xfId="52745" xr:uid="{00000000-0005-0000-0000-00006CD40000}"/>
    <cellStyle name="Total 12" xfId="52746" xr:uid="{00000000-0005-0000-0000-00006DD40000}"/>
    <cellStyle name="Total 13" xfId="52747" xr:uid="{00000000-0005-0000-0000-00006ED40000}"/>
    <cellStyle name="Total 14" xfId="52748" xr:uid="{00000000-0005-0000-0000-00006FD40000}"/>
    <cellStyle name="Total 15" xfId="52749" xr:uid="{00000000-0005-0000-0000-000070D40000}"/>
    <cellStyle name="Total 16" xfId="52750" xr:uid="{00000000-0005-0000-0000-000071D40000}"/>
    <cellStyle name="Total 17" xfId="52751" xr:uid="{00000000-0005-0000-0000-000072D40000}"/>
    <cellStyle name="Total 18" xfId="52752" xr:uid="{00000000-0005-0000-0000-000073D40000}"/>
    <cellStyle name="Total 19" xfId="52753" xr:uid="{00000000-0005-0000-0000-000074D40000}"/>
    <cellStyle name="Total 2" xfId="3805" xr:uid="{00000000-0005-0000-0000-000075D40000}"/>
    <cellStyle name="Total 2 2" xfId="52754" xr:uid="{00000000-0005-0000-0000-000076D40000}"/>
    <cellStyle name="Total 2 2 2" xfId="52755" xr:uid="{00000000-0005-0000-0000-000077D40000}"/>
    <cellStyle name="Total 2 2 2 2" xfId="52756" xr:uid="{00000000-0005-0000-0000-000078D40000}"/>
    <cellStyle name="Total 2 2 3" xfId="52757" xr:uid="{00000000-0005-0000-0000-000079D40000}"/>
    <cellStyle name="Total 2 3" xfId="52758" xr:uid="{00000000-0005-0000-0000-00007AD40000}"/>
    <cellStyle name="Total 2_Order Book" xfId="52759" xr:uid="{00000000-0005-0000-0000-00007BD40000}"/>
    <cellStyle name="Total 20" xfId="52760" xr:uid="{00000000-0005-0000-0000-00007CD40000}"/>
    <cellStyle name="Total 20 2" xfId="52761" xr:uid="{00000000-0005-0000-0000-00007DD40000}"/>
    <cellStyle name="Total 21" xfId="52762" xr:uid="{00000000-0005-0000-0000-00007ED40000}"/>
    <cellStyle name="Total 3" xfId="3806" xr:uid="{00000000-0005-0000-0000-00007FD40000}"/>
    <cellStyle name="Total 3 2" xfId="52763" xr:uid="{00000000-0005-0000-0000-000080D40000}"/>
    <cellStyle name="Total 3 3" xfId="52764" xr:uid="{00000000-0005-0000-0000-000081D40000}"/>
    <cellStyle name="Total 4" xfId="52765" xr:uid="{00000000-0005-0000-0000-000082D40000}"/>
    <cellStyle name="Total 5" xfId="52766" xr:uid="{00000000-0005-0000-0000-000083D40000}"/>
    <cellStyle name="Total 6" xfId="52767" xr:uid="{00000000-0005-0000-0000-000084D40000}"/>
    <cellStyle name="Total 7" xfId="52768" xr:uid="{00000000-0005-0000-0000-000085D40000}"/>
    <cellStyle name="Total 8" xfId="52769" xr:uid="{00000000-0005-0000-0000-000086D40000}"/>
    <cellStyle name="Total 9" xfId="52770" xr:uid="{00000000-0005-0000-0000-000087D40000}"/>
    <cellStyle name="Underline 2" xfId="52771" xr:uid="{00000000-0005-0000-0000-000088D40000}"/>
    <cellStyle name="Unprot" xfId="52772" xr:uid="{00000000-0005-0000-0000-000089D40000}"/>
    <cellStyle name="Unprot$" xfId="52773" xr:uid="{00000000-0005-0000-0000-00008AD40000}"/>
    <cellStyle name="Unprotect" xfId="52774" xr:uid="{00000000-0005-0000-0000-00008BD40000}"/>
    <cellStyle name="Unprotect-$" xfId="52775" xr:uid="{00000000-0005-0000-0000-00008CD40000}"/>
    <cellStyle name="Unprotect_AstraZeneca Termination" xfId="52776" xr:uid="{00000000-0005-0000-0000-00008DD40000}"/>
    <cellStyle name="Unprotected" xfId="52777" xr:uid="{00000000-0005-0000-0000-00008ED40000}"/>
    <cellStyle name="use" xfId="52778" xr:uid="{00000000-0005-0000-0000-00008FD40000}"/>
    <cellStyle name="Valuta (0)_IT Assets" xfId="52779" xr:uid="{00000000-0005-0000-0000-000090D40000}"/>
    <cellStyle name="Valuta_IT Assets" xfId="52780" xr:uid="{00000000-0005-0000-0000-000091D40000}"/>
    <cellStyle name="Währung [0]_Austria Expense" xfId="52781" xr:uid="{00000000-0005-0000-0000-000092D40000}"/>
    <cellStyle name="Währung_Austria Expense" xfId="52782" xr:uid="{00000000-0005-0000-0000-000093D40000}"/>
    <cellStyle name="Warning Text 2" xfId="3807" xr:uid="{00000000-0005-0000-0000-000094D40000}"/>
    <cellStyle name="Warning Text 2 2" xfId="52783" xr:uid="{00000000-0005-0000-0000-000095D40000}"/>
    <cellStyle name="Warning Text 3" xfId="3808" xr:uid="{00000000-0005-0000-0000-000096D40000}"/>
    <cellStyle name="Warning Text 4" xfId="52784" xr:uid="{00000000-0005-0000-0000-000097D40000}"/>
    <cellStyle name="Wrap" xfId="52785" xr:uid="{00000000-0005-0000-0000-000098D40000}"/>
    <cellStyle name="x" xfId="52786" xr:uid="{00000000-0005-0000-0000-000099D40000}"/>
    <cellStyle name="x_Brampton Comparision of TB  pre  post entries" xfId="52787" xr:uid="{00000000-0005-0000-0000-00009AD40000}"/>
    <cellStyle name="x_CCA-Request_H11bps" xfId="52788" xr:uid="{00000000-0005-0000-0000-00009BD40000}"/>
    <cellStyle name="x_CCA-Request_H11bps July 9" xfId="52789" xr:uid="{00000000-0005-0000-0000-00009CD40000}"/>
    <cellStyle name="x_CCA-Request_H11bps July 9_Brampton Comparision of TB  pre  post entries" xfId="52790" xr:uid="{00000000-0005-0000-0000-00009DD40000}"/>
    <cellStyle name="x_CCA-Request_H11bps_Brampton Comparision of TB  pre  post entries" xfId="52791" xr:uid="{00000000-0005-0000-0000-00009ED40000}"/>
    <cellStyle name="Year" xfId="52792" xr:uid="{00000000-0005-0000-0000-00009FD40000}"/>
    <cellStyle name="Year 2" xfId="52793" xr:uid="{00000000-0005-0000-0000-0000A0D40000}"/>
    <cellStyle name="YELLOWCLEAR" xfId="52794" xr:uid="{00000000-0005-0000-0000-0000A1D40000}"/>
    <cellStyle name="YELLOWCLEAR 2" xfId="52795" xr:uid="{00000000-0005-0000-0000-0000A2D40000}"/>
    <cellStyle name="YELLOWSHADE" xfId="52796" xr:uid="{00000000-0005-0000-0000-0000A3D40000}"/>
    <cellStyle name="YELLOWSHADE 2" xfId="52797" xr:uid="{00000000-0005-0000-0000-0000A4D40000}"/>
    <cellStyle name="뒤에 오는 하이퍼링크_999-1" xfId="52798" xr:uid="{00000000-0005-0000-0000-0000A5D40000}"/>
    <cellStyle name="백분율_전사 고정자산(작업용)" xfId="52799" xr:uid="{00000000-0005-0000-0000-0000A6D40000}"/>
    <cellStyle name="뷭?_BOOKSHIP_공문 " xfId="52800" xr:uid="{00000000-0005-0000-0000-0000A7D40000}"/>
    <cellStyle name="쉼표 [0]_Inventory~May29" xfId="52801" xr:uid="{00000000-0005-0000-0000-0000A8D40000}"/>
    <cellStyle name="쉼표_AR_OK" xfId="52802" xr:uid="{00000000-0005-0000-0000-0000A9D40000}"/>
    <cellStyle name="콤마 [0]_00사업(자금)" xfId="52803" xr:uid="{00000000-0005-0000-0000-0000AAD40000}"/>
    <cellStyle name="콤마_00사업(자금)" xfId="52804" xr:uid="{00000000-0005-0000-0000-0000ABD40000}"/>
    <cellStyle name="통화 [0]_전사 고정자산(작업용)" xfId="52805" xr:uid="{00000000-0005-0000-0000-0000ACD40000}"/>
    <cellStyle name="통화_전사 고정자산(작업용)" xfId="52806" xr:uid="{00000000-0005-0000-0000-0000ADD40000}"/>
    <cellStyle name="표준_2000-12 AR" xfId="52807" xr:uid="{00000000-0005-0000-0000-0000AED40000}"/>
    <cellStyle name="千位分隔_UTC_China_Att_R_Assets_DD_V1c_V3" xfId="52808" xr:uid="{00000000-0005-0000-0000-0000AFD40000}"/>
    <cellStyle name="崔矾" xfId="52809" xr:uid="{00000000-0005-0000-0000-0000B0D40000}"/>
    <cellStyle name="常规_Asset List" xfId="52810" xr:uid="{00000000-0005-0000-0000-0000B1D40000}"/>
    <cellStyle name="拳企扁龋" xfId="52811" xr:uid="{00000000-0005-0000-0000-0000B2D40000}"/>
    <cellStyle name="拳企扁龋0" xfId="52812" xr:uid="{00000000-0005-0000-0000-0000B3D40000}"/>
    <cellStyle name="朝楼" xfId="52813" xr:uid="{00000000-0005-0000-0000-0000B4D40000}"/>
    <cellStyle name="桁区切り [0.00]_PERSONAL" xfId="52814" xr:uid="{00000000-0005-0000-0000-0000B5D40000}"/>
    <cellStyle name="桁区切り_PERSONAL" xfId="52815" xr:uid="{00000000-0005-0000-0000-0000B6D40000}"/>
    <cellStyle name="標準_2001購入" xfId="52816" xr:uid="{00000000-0005-0000-0000-0000B7D40000}"/>
    <cellStyle name="欺季飘" xfId="52817" xr:uid="{00000000-0005-0000-0000-0000B8D40000}"/>
    <cellStyle name="烹拳 [0]_(type)醚褒" xfId="52818" xr:uid="{00000000-0005-0000-0000-0000B9D40000}"/>
    <cellStyle name="烹拳_(type)醚褒" xfId="52819" xr:uid="{00000000-0005-0000-0000-0000BAD40000}"/>
    <cellStyle name="磊府荐" xfId="52820" xr:uid="{00000000-0005-0000-0000-0000BBD40000}"/>
    <cellStyle name="磊府荐0" xfId="52821" xr:uid="{00000000-0005-0000-0000-0000BCD40000}"/>
    <cellStyle name="箭磊(R)" xfId="52822" xr:uid="{00000000-0005-0000-0000-0000BDD40000}"/>
    <cellStyle name="绊沥免仿1" xfId="52823" xr:uid="{00000000-0005-0000-0000-0000BED40000}"/>
    <cellStyle name="绊沥免仿2" xfId="52824" xr:uid="{00000000-0005-0000-0000-0000BFD40000}"/>
    <cellStyle name="绊沥家箭痢" xfId="52825" xr:uid="{00000000-0005-0000-0000-0000C0D40000}"/>
    <cellStyle name="通貨 [0.00]_PERSONAL" xfId="52826" xr:uid="{00000000-0005-0000-0000-0000C1D40000}"/>
    <cellStyle name="通貨_PERSONAL" xfId="52827" xr:uid="{00000000-0005-0000-0000-0000C2D40000}"/>
    <cellStyle name="钎霖_(type)醚褒" xfId="52828" xr:uid="{00000000-0005-0000-0000-0000C3D40000}"/>
    <cellStyle name="钦魂" xfId="52829" xr:uid="{00000000-0005-0000-0000-0000C4D40000}"/>
    <cellStyle name="霓付 [0]_(type)醚褒" xfId="52830" xr:uid="{00000000-0005-0000-0000-0000C5D40000}"/>
    <cellStyle name="霓付_(type)醚褒" xfId="52831" xr:uid="{00000000-0005-0000-0000-0000C6D40000}"/>
  </cellStyles>
  <dxfs count="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  <color rgb="FF0000FF"/>
      <color rgb="FFFFCCFF"/>
      <color rgb="FF99FF99"/>
      <color rgb="FFFFFFCC"/>
      <color rgb="FF33ED37"/>
      <color rgb="FF006600"/>
      <color rgb="FFFFFF99"/>
      <color rgb="FF0028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0.xml"/><Relationship Id="rId47" Type="http://schemas.openxmlformats.org/officeDocument/2006/relationships/externalLink" Target="externalLinks/externalLink15.xml"/><Relationship Id="rId63" Type="http://schemas.openxmlformats.org/officeDocument/2006/relationships/externalLink" Target="externalLinks/externalLink31.xml"/><Relationship Id="rId68" Type="http://schemas.openxmlformats.org/officeDocument/2006/relationships/externalLink" Target="externalLinks/externalLink36.xml"/><Relationship Id="rId84" Type="http://schemas.openxmlformats.org/officeDocument/2006/relationships/externalLink" Target="externalLinks/externalLink52.xml"/><Relationship Id="rId89" Type="http://schemas.openxmlformats.org/officeDocument/2006/relationships/externalLink" Target="externalLinks/externalLink57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53" Type="http://schemas.openxmlformats.org/officeDocument/2006/relationships/externalLink" Target="externalLinks/externalLink21.xml"/><Relationship Id="rId58" Type="http://schemas.openxmlformats.org/officeDocument/2006/relationships/externalLink" Target="externalLinks/externalLink26.xml"/><Relationship Id="rId74" Type="http://schemas.openxmlformats.org/officeDocument/2006/relationships/externalLink" Target="externalLinks/externalLink42.xml"/><Relationship Id="rId79" Type="http://schemas.openxmlformats.org/officeDocument/2006/relationships/externalLink" Target="externalLinks/externalLink47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95" Type="http://schemas.openxmlformats.org/officeDocument/2006/relationships/customXml" Target="../customXml/item2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16.xml"/><Relationship Id="rId64" Type="http://schemas.openxmlformats.org/officeDocument/2006/relationships/externalLink" Target="externalLinks/externalLink32.xml"/><Relationship Id="rId69" Type="http://schemas.openxmlformats.org/officeDocument/2006/relationships/externalLink" Target="externalLinks/externalLink3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9.xml"/><Relationship Id="rId72" Type="http://schemas.openxmlformats.org/officeDocument/2006/relationships/externalLink" Target="externalLinks/externalLink40.xml"/><Relationship Id="rId80" Type="http://schemas.openxmlformats.org/officeDocument/2006/relationships/externalLink" Target="externalLinks/externalLink48.xml"/><Relationship Id="rId85" Type="http://schemas.openxmlformats.org/officeDocument/2006/relationships/externalLink" Target="externalLinks/externalLink53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externalLink" Target="externalLinks/externalLink14.xml"/><Relationship Id="rId59" Type="http://schemas.openxmlformats.org/officeDocument/2006/relationships/externalLink" Target="externalLinks/externalLink27.xml"/><Relationship Id="rId67" Type="http://schemas.openxmlformats.org/officeDocument/2006/relationships/externalLink" Target="externalLinks/externalLink3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9.xml"/><Relationship Id="rId54" Type="http://schemas.openxmlformats.org/officeDocument/2006/relationships/externalLink" Target="externalLinks/externalLink22.xml"/><Relationship Id="rId62" Type="http://schemas.openxmlformats.org/officeDocument/2006/relationships/externalLink" Target="externalLinks/externalLink30.xml"/><Relationship Id="rId70" Type="http://schemas.openxmlformats.org/officeDocument/2006/relationships/externalLink" Target="externalLinks/externalLink38.xml"/><Relationship Id="rId75" Type="http://schemas.openxmlformats.org/officeDocument/2006/relationships/externalLink" Target="externalLinks/externalLink43.xml"/><Relationship Id="rId83" Type="http://schemas.openxmlformats.org/officeDocument/2006/relationships/externalLink" Target="externalLinks/externalLink51.xml"/><Relationship Id="rId88" Type="http://schemas.openxmlformats.org/officeDocument/2006/relationships/externalLink" Target="externalLinks/externalLink56.xml"/><Relationship Id="rId91" Type="http://schemas.openxmlformats.org/officeDocument/2006/relationships/styles" Target="styles.xml"/><Relationship Id="rId9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49" Type="http://schemas.openxmlformats.org/officeDocument/2006/relationships/externalLink" Target="externalLinks/externalLink17.xml"/><Relationship Id="rId57" Type="http://schemas.openxmlformats.org/officeDocument/2006/relationships/externalLink" Target="externalLinks/externalLink2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52" Type="http://schemas.openxmlformats.org/officeDocument/2006/relationships/externalLink" Target="externalLinks/externalLink20.xml"/><Relationship Id="rId60" Type="http://schemas.openxmlformats.org/officeDocument/2006/relationships/externalLink" Target="externalLinks/externalLink28.xml"/><Relationship Id="rId65" Type="http://schemas.openxmlformats.org/officeDocument/2006/relationships/externalLink" Target="externalLinks/externalLink33.xml"/><Relationship Id="rId73" Type="http://schemas.openxmlformats.org/officeDocument/2006/relationships/externalLink" Target="externalLinks/externalLink41.xml"/><Relationship Id="rId78" Type="http://schemas.openxmlformats.org/officeDocument/2006/relationships/externalLink" Target="externalLinks/externalLink46.xml"/><Relationship Id="rId81" Type="http://schemas.openxmlformats.org/officeDocument/2006/relationships/externalLink" Target="externalLinks/externalLink49.xml"/><Relationship Id="rId86" Type="http://schemas.openxmlformats.org/officeDocument/2006/relationships/externalLink" Target="externalLinks/externalLink54.xml"/><Relationship Id="rId9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.xml"/><Relationship Id="rId50" Type="http://schemas.openxmlformats.org/officeDocument/2006/relationships/externalLink" Target="externalLinks/externalLink18.xml"/><Relationship Id="rId55" Type="http://schemas.openxmlformats.org/officeDocument/2006/relationships/externalLink" Target="externalLinks/externalLink23.xml"/><Relationship Id="rId76" Type="http://schemas.openxmlformats.org/officeDocument/2006/relationships/externalLink" Target="externalLinks/externalLink4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9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8.xml"/><Relationship Id="rId45" Type="http://schemas.openxmlformats.org/officeDocument/2006/relationships/externalLink" Target="externalLinks/externalLink13.xml"/><Relationship Id="rId66" Type="http://schemas.openxmlformats.org/officeDocument/2006/relationships/externalLink" Target="externalLinks/externalLink34.xml"/><Relationship Id="rId87" Type="http://schemas.openxmlformats.org/officeDocument/2006/relationships/externalLink" Target="externalLinks/externalLink55.xml"/><Relationship Id="rId61" Type="http://schemas.openxmlformats.org/officeDocument/2006/relationships/externalLink" Target="externalLinks/externalLink29.xml"/><Relationship Id="rId82" Type="http://schemas.openxmlformats.org/officeDocument/2006/relationships/externalLink" Target="externalLinks/externalLink5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56" Type="http://schemas.openxmlformats.org/officeDocument/2006/relationships/externalLink" Target="externalLinks/externalLink24.xml"/><Relationship Id="rId77" Type="http://schemas.openxmlformats.org/officeDocument/2006/relationships/externalLink" Target="externalLinks/externalLink4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064/Local%20Settings/Temporary%20Internet%20Files/OLK4D/2012%20SP%20Labour%20Mode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4/NOVEMBER%202004%20CAPITAL%20CONTINUITY/Dec2003_CapExp_Support%20Docs_Re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nne\My%20Documents\Inergi\Recovery%20Support\2006%20OU%20report\08-06\Reports\Over%20Under%20Report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366884\Local%20Settings\Temporary%20Internet%20Files\OLK5A\Copy%20of%20Summary%20pension_benefit%20cost%20and%20liabllity%20Sep%202006%20%20Ann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3914/AppData/Local/Microsoft/Windows/Temporary%20Internet%20Files/Content.Outlook/RBDHLG3M/2017%20HydroOne%20Benefits%20Forecast-%20May%20Tower%20valuation%20Dec%2031%20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CCAM%202007-11%20060512%202007-2011%20(Printing%20-%20Rudden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AN2007_CONTINUITY%20SCHEDU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6milpfv02\800138$\SynchFolder\Anne\Pension%20support\payroll%20benefit%20fcst%20model\2010\2010%20HydroOneBenefitsForecast%20-%20GAAP%20Dec%2016%202009%20with%202%205%25%20and%206%205%25%20and%20mid%20yr%20HC%20(%20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Business%20Plan_COS/2017%20COS/References/Filing%20Requirements/2017_Filing_Requirements_Chapter2_Appendices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Input%20-%20CFS_r1_Dec2004%20Final%20-%20Revised@Jan%201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6/MAY%202006%20CAPITAL%20CONTINUITY/MAY2006_CONTINUITY%20SCHEDULES_rev%20not%20pu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7865/Desktop/IFRS/L%20IFRS%202010%20SP%20Labour%20Model%20FINAL%20rel%20Feb%2013%200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pr2003_CapExp_V1_Revis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CCCM%202007-11%200605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Lei%20-%20CCAM%20Study%20Documents%202007-01-3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900-MSCA2005-2007-06-29%20after%20tax%20revised%20Jun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7114/Local%20Settings/Temporary%20Internet%20Files/OLK26/SEPTEMBER2009_Capex%20Report%20-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ccount%20Analysis%20Owners-with%20aug%2005%20b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384055/Local%20Settings/Temporary%20Internet%20Files/OLK26/Account%20Analysis%20Template%20Q1%20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HydroOne%20Benefits%20Forecast%20%20Ver%2005A%20(DRAFT)%20%20Oct-14-04%2010%20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cision%20Support\WWL%20396116\Hydro%20One%202006-2010%20Benefits%20Forecast%20(Confidential)\HydroOne%20Benefits%20Forecast%20%20Ver%2005A%20(DRAFT)%20%20Nov-02-04%208a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LBSS/LBSS/Facilities/October/2003%20Facility%20Cost%20Statement%20Octobe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1_Fin_Models\TX%20Connection%20Model%20Development\Tx%20Connection%20Model%20%20Version%2003A%20Mar-13-03%20Test%20-%20Refined%20Vers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UN2007_CONTINUITY%20SCHEDU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-%20Dec%202005%20FINAL%20@%20Jan%2011-06%20v2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9829/Local%20Settings/Temporary%20Internet%20Files/OLK187/2006%2003%20Time%20Survey%20Asset%20Mgt%20&amp;%20Etc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9/08%20-%20AUGUST%202009%20CAPITAL%20CONTINUITY/FA-022_Capex%20Report%20-%20Aug200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174/Local%20Settings/Temporary%20Internet%20Files/OLK6/3%20-%2006%20CCCM%20Input%20Inergi%202007-02-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ension%20support\2007%20forecast\CPP%20EI\CPP%20EI%20Payment%20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fs700/user/nVision/iscextss.xn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%20SERVICES\Actuals\2016%20Actuals\02%20February\Remotes%20PDR%20Actuals%20-%20February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700%20Finance%20&amp;%20Accounting/Actuals/2010%20Actuals/March/Remotes%20PDR%20Actuals%20-%20March%20201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396116\Desktop\based%20pensionable%20earnings%20for%20Q4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LY%202007%20CAPITAL%20CONTINUITY/JULY2007_CONTINUITY%20SCHEDULES_b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nth%20End\2017\7%20Jul%202017\Journal%20Entries\JE%20Cat%20Lake%20Int%20Impr%20Feb%20201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FILES/Journals/GL%20JOURNAL%20-%20TEMPLATE-Simplified-Rev'd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5055/Local%20Settings/Temporary%20Internet%20Files/OLKF3/2010%20New%20Rate%20Structur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rio/Rates/2010%20Rates/L%202010%20SP%20Labour%20Model%20FINAL%20rel%20Jan%2023%200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800138\Local%20Settings\Temporary%20Internet%20Files\OLK3\Summary%20pension_benefit%20cost%20and%20liabllity%20Sep%20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DEC%202007%20CAPITAL%20CONTINUITY/CIP_In%20Serv_Cap%20Exp%20vs%20Budget_Jun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corpprojects/cis/Shared%20Documents/30_Transformation/Realization/Change%20Network/Role%20Mapping/Role%20Profile%20Grouping/Roles-Process-Group%20Mapping%20v3.xls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%20Analysis/2005/Q4%202005/Account%20Analysis%20Owners-Q4%20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609434/Local%20Settings/Temporary%20Internet%20Files/OLKF2/Account%20Analysis%20Owners-Q1%202006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10364/Local%20Settings/Temporary%20Internet%20Files/OLK9/CCCM%202006%20Final%20(3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Actuals\2010%20Actuals\April\Remotes%20PDR%20Actuals%20-%20April%2020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700%20Finance%20&amp;%20Accounting/Actuals/2012%20Actuals/07%20July/z%20FUEL%20KWH%20AND%20REVENUE%20INFO%20-%20July%2020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9832/AppData/Local/Microsoft/Windows/Temporary%20Internet%20Files/Content.Outlook/K0ZOBHIP/Remotes%20PDR%20Actuals%20-%20April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%20SERVICES\Actuals\2017%20Actuals\08%20August\Remotes%20PDR%20Actuals%20-%20August%202017%20REV%20for%20Var%20Formula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Actuals/2016%20Actuals/04%20April/ECM%20PROJECT%20-%202014/FINANCIAL%20SERVICES/Actuals/2015%20Actuals/12%20December/Remotes%20PDR%20Actuals%20-%20December%202015%20at%20Jan%2019%20(Updated%20Tax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Actuals/2016%20Actuals/04%20April/ECM%20PROJECT%20-%202014/FINANCIAL%20SERVICES/Actuals/2015%20Actuals/06%20June/Remotes%20PDR%20Actuals%20-%20June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ours Report"/>
      <sheetName val="Regular Hours"/>
      <sheetName val="Non Reg Hours"/>
      <sheetName val="O-U Report"/>
      <sheetName val="Graphs"/>
      <sheetName val="Allocations"/>
      <sheetName val="HR Info"/>
      <sheetName val="Var Explanations"/>
      <sheetName val="Forecast O-U"/>
      <sheetName val="Forecast TDOC"/>
      <sheetName val="Forecast Assump"/>
      <sheetName val="Journal TDOC"/>
      <sheetName val="Overunder"/>
      <sheetName val="Actuals"/>
      <sheetName val="Budget"/>
      <sheetName val="Forecast"/>
      <sheetName val="Forecast YE"/>
      <sheetName val="HR ACT"/>
      <sheetName val="TDOC"/>
      <sheetName val="Variance Report"/>
      <sheetName val="Monthly Chan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Summary"/>
      <sheetName val="BPE "/>
      <sheetName val="Pension"/>
      <sheetName val="OPRB H1"/>
      <sheetName val="OPRB_Inergi"/>
      <sheetName val="OPEB"/>
      <sheetName val="SPS"/>
      <sheetName val="DSPS"/>
      <sheetName val="OPRB MEU"/>
      <sheetName val="Active health"/>
      <sheetName val="Active Dental"/>
      <sheetName val="Active GLI"/>
      <sheetName val="Active OHP"/>
      <sheetName val="366300 Accru and pmt"/>
      <sheetName val="OHP Kevin"/>
      <sheetName val="PMT weight"/>
      <sheetName val="Sept 06 opeb"/>
      <sheetName val="Forecast"/>
      <sheetName val="Change Monthly hding labels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LTD deemed earnings"/>
      <sheetName val="32. EFB Forecast Details"/>
      <sheetName val="33. Comp&amp;Benefits Summary"/>
      <sheetName val="2003-08 NS"/>
      <sheetName val="34. Burden Rates Summary"/>
      <sheetName val="35. Benefits Forecast - Consol"/>
      <sheetName val="36. Benefits Forecast - HOI"/>
      <sheetName val="37. Benefits Forecast - Netw"/>
      <sheetName val="38 Benefits Forecast - RC"/>
      <sheetName val="39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  <sheetName val="DC BPE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9 CPP &amp; EI Summary"/>
      <sheetName val="7A TR fcst 2006"/>
      <sheetName val="7B CPP EI fcst 2009"/>
      <sheetName val="7B CPP EI fcst 2006"/>
      <sheetName val="8. 2006 TR, CPP &amp; EI var analys"/>
      <sheetName val="9. 2006 BPE"/>
      <sheetName val="10.  2009 EHT TR"/>
      <sheetName val="11. 2009 WSIB Sch 1 Premium"/>
      <sheetName val="11A 2009 WC forecast"/>
      <sheetName val="12. 2006 H D GLI Maternity"/>
      <sheetName val="13. Headcount Forecast"/>
      <sheetName val="14.HOI  headcount"/>
      <sheetName val="Networks total headcount"/>
      <sheetName val="15 Networks-SP headcount"/>
      <sheetName val="14. HOI Headcount(x)"/>
      <sheetName val="14. HOI Headcount (O)"/>
      <sheetName val="15. Networks - SP Headcount(x)"/>
      <sheetName val="15. Networks - SP Headcount (O)"/>
      <sheetName val="16.Networks-AM Headcount"/>
      <sheetName val="16. Networks - AM Headcount(x)"/>
      <sheetName val="16. Networks - AM Headcount (O)"/>
      <sheetName val="17. CF&amp;S  HONI headcount"/>
      <sheetName val="17. CF&amp;S HONI Headcount(x)"/>
      <sheetName val="17. CF&amp;S HONI Headcount (O)"/>
      <sheetName val="18. RC Headcount(x)"/>
      <sheetName val="18. RC  headcount"/>
      <sheetName val="19. Telecom 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0A. OHP"/>
      <sheetName val="31. WC, CPP, EI - HOI"/>
      <sheetName val="32. WC, CPP, EI - Networks"/>
      <sheetName val="32A FTE or HC for CPP,EI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6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Summary"/>
      <sheetName val="LOAD CALC"/>
      <sheetName val="SCH 2 - Loaders"/>
      <sheetName val="SCH 3 - LINES"/>
      <sheetName val="SCH 3 - FOR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CH 4 - Admin"/>
      <sheetName val="SCH 5 - PAY RATES"/>
      <sheetName val="SCH 6 - RATES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  <sheetName val="Sheet1"/>
      <sheetName val="Sheet1 (2)"/>
      <sheetName val="BASC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thout Subledger"/>
      <sheetName val="With Subledger"/>
      <sheetName val="Sheet3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 (O)"/>
      <sheetName val="15. Networks - SP Headcount"/>
      <sheetName val="15. Networks - SP Headcount (O)"/>
      <sheetName val="16. Networks - AM Headcount"/>
      <sheetName val="16. Networks - AM Headcount (O)"/>
      <sheetName val="17. CF&amp;S HONI Headcount"/>
      <sheetName val="17. CF&amp;S HONI Headcount (O)"/>
      <sheetName val="18. RC Headcount"/>
      <sheetName val="18. RC Headcount (O)"/>
      <sheetName val="19. Telecom Headcount"/>
      <sheetName val="19. Telecom Headcount (O)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(x)"/>
      <sheetName val="14. HOI Headcount (O)"/>
      <sheetName val="15. Networks - SP Headcount"/>
      <sheetName val="15. Networks - SP Headcount(x)"/>
      <sheetName val="15. Networks - SP Headcount (O)"/>
      <sheetName val="16. Networks - AM Headcount"/>
      <sheetName val="16. Networks - AM Headcount(x)"/>
      <sheetName val="16. Networks - AM Headcount (O)"/>
      <sheetName val="17. CF&amp;S HONI Headcount"/>
      <sheetName val="17. CF&amp;S HONI Headcount(x)"/>
      <sheetName val="17. CF&amp;S HONI Headcount (O)"/>
      <sheetName val="18. RC Headcount"/>
      <sheetName val="18. RC Headcount(x)"/>
      <sheetName val="19. Telecom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1. WC, CPP, EI - HOI"/>
      <sheetName val="32. WC, CPP, EI - Networks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TAXREG"/>
      <sheetName val="summary CPP EI"/>
      <sheetName val="01CPPREG"/>
      <sheetName val="01CPPTMP"/>
      <sheetName val="01EIREG"/>
      <sheetName val="01EIT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Pres Report"/>
      <sheetName val="ME Report - Key Results"/>
      <sheetName val="ME Report - Overview"/>
      <sheetName val="Prior Year CM Schedule"/>
      <sheetName val="Bad Debt Schedule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 Nov-10 Extract"/>
      <sheetName val="TB Mar-11 Extract"/>
      <sheetName val="June Correction"/>
      <sheetName val="SAP JE"/>
      <sheetName val="TB Nov-13 Extract"/>
      <sheetName val="TB Oct-13 Extract"/>
      <sheetName val="TB Sept-13 Extract"/>
      <sheetName val="TB Aug-13 Extract"/>
      <sheetName val="TB Jul-13 Extract"/>
      <sheetName val="TB Jun-13 Extract"/>
      <sheetName val="TB Jan-12 Extract"/>
      <sheetName val="TB Nov-11 Extract"/>
      <sheetName val="TB Oct-11 Extract"/>
      <sheetName val="TB Sept-11 Extract"/>
      <sheetName val="TB Aug-11 Extract"/>
      <sheetName val="TB July-11 Extract"/>
      <sheetName val="TB June-11 Extract"/>
      <sheetName val="TB May-11 Extract"/>
      <sheetName val="TB Apr-11 Extract"/>
      <sheetName val="TB Dec-10 Extract"/>
      <sheetName val="TB Jan-11 Extract"/>
      <sheetName val="TB May-13 Extract"/>
      <sheetName val="TB Apr-13 Extract"/>
      <sheetName val="TB Mar-13 Extract"/>
      <sheetName val="TB Feb-13 Extract"/>
      <sheetName val="TB Jan-13 Extract"/>
      <sheetName val="TB Dec-12 Extract"/>
      <sheetName val="TB Nov-12 Extract"/>
      <sheetName val="TB Oct-12 Extract"/>
      <sheetName val="TB Sept-12 Extract"/>
      <sheetName val="TB Aug-12 Extract"/>
      <sheetName val="TB July-12 Extract"/>
      <sheetName val="TB Jun-12 Extract"/>
      <sheetName val="TB May-12 Extract"/>
      <sheetName val="TB Apr-12 Extract"/>
      <sheetName val="TB Mar-12 Extract"/>
      <sheetName val="TB Feb-12 Extract"/>
      <sheetName val="TB Dec-11 Extract"/>
      <sheetName val="TB Jan-14 Extract"/>
      <sheetName val="TB Dec-13 Extract"/>
      <sheetName val="Cat Lake Int Imp Calc"/>
      <sheetName val="Download from Cognos"/>
      <sheetName val="PT"/>
      <sheetName val="Account Query "/>
      <sheetName val="Pre Aug 09Cat Lake Int Imp Calc"/>
      <sheetName val="TB Aug-10 Extract"/>
      <sheetName val="TB Jul-10 Extract"/>
      <sheetName val="TB Jun-10 Extract"/>
      <sheetName val="TB May-10 Extract"/>
      <sheetName val="TB Apr10 Extract"/>
      <sheetName val="TB Mar10 Extract "/>
      <sheetName val="Extract from TB Feb10"/>
      <sheetName val="Extract from TB Jan10"/>
      <sheetName val="Extract from TB Dec09"/>
      <sheetName val="TB Oct-10 Extract"/>
      <sheetName val="TB Sep-10 Extract"/>
      <sheetName val="TB Feb-11 Extract"/>
      <sheetName val="Instructions"/>
      <sheetName val="7.71%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3 - FOR"/>
      <sheetName val="SCH 3 - STA"/>
      <sheetName val="SCH 3 - ENG"/>
      <sheetName val="SCH 3 - CONSTR"/>
      <sheetName val="SCH 3 - SCS"/>
      <sheetName val="SCH 5 - PAY RATES"/>
      <sheetName val="SCH 3 - CTS"/>
      <sheetName val="SCH 3 - FLEET"/>
      <sheetName val="SCH 3 - HSE"/>
      <sheetName val="Sheet1"/>
      <sheetName val="SCH 4 - Admin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ummary"/>
      <sheetName val="SCH 11 - LOAD BY RES"/>
      <sheetName val="SCH 12 - LABOUR SUM"/>
      <sheetName val="SCH 13 - RATIOS"/>
      <sheetName val="SCH 14 - OT MULT"/>
      <sheetName val="SCH 6 - RATES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Sheet1 (2)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Summary"/>
      <sheetName val="BPE "/>
      <sheetName val="Pension"/>
      <sheetName val="OPRB H1"/>
      <sheetName val="OPRB_Inergi"/>
      <sheetName val="OPEB"/>
      <sheetName val="SPS"/>
      <sheetName val="DSPS"/>
      <sheetName val="OPRB MEU"/>
      <sheetName val="Active health"/>
      <sheetName val="Active Dental"/>
      <sheetName val="Active GLI"/>
      <sheetName val="Active OHP"/>
      <sheetName val="GLI OHP PMT"/>
      <sheetName val="PMT weight"/>
      <sheetName val="Sept 06 opeb"/>
      <sheetName val="Forecast"/>
      <sheetName val="Change Monthly hding labels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 Control"/>
      <sheetName val="Role Catalogue"/>
      <sheetName val="Role-Process-Tcode Mapping"/>
      <sheetName val="Role Profile (comp)"/>
      <sheetName val="IEE Roles - updated"/>
      <sheetName val="Single Role Technical Mapping"/>
      <sheetName val="Org Structure-Composite mapping"/>
      <sheetName val="Exception Mapping"/>
      <sheetName val="BI Roles"/>
      <sheetName val="Stream Serve Roles"/>
      <sheetName val="Role Category Definition"/>
      <sheetName val="BI Reports"/>
      <sheetName val="SOD rules"/>
      <sheetName val="Rough Notes"/>
      <sheetName val="Existing TX Security Groups"/>
      <sheetName val="Role Descriptions"/>
      <sheetName val="Matrix"/>
      <sheetName val="Table"/>
      <sheetName val="Stephen's Roles"/>
      <sheetName val="Validatio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Audit Adjustment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Project Spending Summary "/>
      <sheetName val="Project Spending Summary IM Pos"/>
      <sheetName val="Net Income Summary Acct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    "/>
      <sheetName val="Key Measure Trends - 2012"/>
      <sheetName val="Trend Data"/>
      <sheetName val="Revenue and Fuel vs. Trend"/>
      <sheetName val="Fuel  Monthly - Litres by Type"/>
      <sheetName val="Fuel  Monthly - litres"/>
      <sheetName val="Kwh Generated - 2012"/>
      <sheetName val="Fuel  Monthly - dollars"/>
      <sheetName val="KWH LOAD LOSS"/>
      <sheetName val="Sheet3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Query 9 (new)"/>
      <sheetName val="ME Report - Key Results"/>
      <sheetName val="DASHBOARD"/>
      <sheetName val="ANALYSIS"/>
      <sheetName val="Net Income CM &amp; YTD"/>
      <sheetName val="Depreciation Analysis 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-2017 Distribution Stats"/>
      <sheetName val="Distribution Hour Trending"/>
      <sheetName val="2014-2017 Energy-Fuel Stats"/>
      <sheetName val="DSP Targets"/>
      <sheetName val="2014-2017 OMA &amp; MF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FF99"/>
  </sheetPr>
  <dimension ref="B1:T19"/>
  <sheetViews>
    <sheetView zoomScale="80" zoomScaleNormal="80" workbookViewId="0">
      <selection activeCell="C41" sqref="C41"/>
    </sheetView>
  </sheetViews>
  <sheetFormatPr defaultColWidth="9.140625" defaultRowHeight="14.45"/>
  <cols>
    <col min="2" max="2" width="53.85546875" bestFit="1" customWidth="1"/>
    <col min="3" max="14" width="15" bestFit="1" customWidth="1"/>
    <col min="15" max="15" width="16.140625" bestFit="1" customWidth="1"/>
    <col min="16" max="16" width="16.28515625" bestFit="1" customWidth="1"/>
    <col min="17" max="17" width="14.28515625" bestFit="1" customWidth="1"/>
    <col min="18" max="18" width="13.7109375" bestFit="1" customWidth="1"/>
    <col min="19" max="19" width="13.28515625" bestFit="1" customWidth="1"/>
    <col min="21" max="21" width="11.140625" bestFit="1" customWidth="1"/>
  </cols>
  <sheetData>
    <row r="1" spans="2:20">
      <c r="B1" s="198" t="s">
        <v>0</v>
      </c>
    </row>
    <row r="2" spans="2:20">
      <c r="B2" s="3" t="s">
        <v>1</v>
      </c>
      <c r="C2" s="202"/>
      <c r="D2" s="202"/>
    </row>
    <row r="3" spans="2:20">
      <c r="B3" t="s">
        <v>2</v>
      </c>
      <c r="C3" s="203" t="s">
        <v>3</v>
      </c>
      <c r="D3" s="203" t="s">
        <v>3</v>
      </c>
      <c r="E3" s="203" t="s">
        <v>3</v>
      </c>
      <c r="F3" s="229" t="s">
        <v>4</v>
      </c>
      <c r="G3" s="229" t="s">
        <v>4</v>
      </c>
      <c r="H3" s="229" t="s">
        <v>4</v>
      </c>
      <c r="I3" s="229" t="s">
        <v>4</v>
      </c>
      <c r="J3" s="229" t="s">
        <v>4</v>
      </c>
      <c r="K3" s="229" t="s">
        <v>4</v>
      </c>
      <c r="L3" s="229" t="s">
        <v>4</v>
      </c>
      <c r="M3" s="229" t="s">
        <v>4</v>
      </c>
      <c r="N3" s="229" t="s">
        <v>4</v>
      </c>
    </row>
    <row r="4" spans="2:20">
      <c r="C4" s="479" t="s">
        <v>5</v>
      </c>
      <c r="D4" s="479" t="s">
        <v>6</v>
      </c>
      <c r="E4" s="479" t="s">
        <v>7</v>
      </c>
      <c r="F4" s="203" t="s">
        <v>8</v>
      </c>
      <c r="G4" s="203" t="s">
        <v>9</v>
      </c>
      <c r="H4" s="203" t="s">
        <v>10</v>
      </c>
      <c r="I4" s="203" t="s">
        <v>11</v>
      </c>
      <c r="J4" s="203" t="s">
        <v>12</v>
      </c>
      <c r="K4" s="203" t="s">
        <v>13</v>
      </c>
      <c r="L4" s="203" t="s">
        <v>14</v>
      </c>
      <c r="M4" s="203" t="s">
        <v>15</v>
      </c>
      <c r="N4" s="203" t="s">
        <v>16</v>
      </c>
      <c r="O4" s="203" t="s">
        <v>17</v>
      </c>
    </row>
    <row r="5" spans="2:20">
      <c r="B5" t="s">
        <v>18</v>
      </c>
      <c r="C5" s="491"/>
      <c r="D5" s="491"/>
      <c r="E5" s="491"/>
      <c r="F5" s="478"/>
      <c r="G5" s="478"/>
      <c r="H5" s="478"/>
      <c r="I5" s="74"/>
      <c r="J5" s="74"/>
      <c r="K5" s="74"/>
      <c r="L5" s="74"/>
      <c r="M5" s="74"/>
      <c r="N5" s="74"/>
      <c r="O5" s="234"/>
    </row>
    <row r="6" spans="2:20">
      <c r="B6" s="36" t="s">
        <v>19</v>
      </c>
      <c r="C6" s="480">
        <f>7439223.03938731-C7</f>
        <v>7418889.0000000009</v>
      </c>
      <c r="D6" s="480">
        <f>7150050.03938731-D7</f>
        <v>7129716.0000000009</v>
      </c>
      <c r="E6" s="480">
        <f>7118558.03938731-E7</f>
        <v>7098224.0000000009</v>
      </c>
      <c r="F6" s="74">
        <f>'2023 Load Forecast Test Year'!E101</f>
        <v>5673274</v>
      </c>
      <c r="G6" s="74">
        <f>'2023 Load Forecast Test Year'!F101</f>
        <v>4908737</v>
      </c>
      <c r="H6" s="74">
        <f>'2023 Load Forecast Test Year'!G101</f>
        <v>4138218</v>
      </c>
      <c r="I6" s="74">
        <f>'2023 Load Forecast Test Year'!H101</f>
        <v>3145677</v>
      </c>
      <c r="J6" s="74">
        <f>'2023 Load Forecast Test Year'!I101</f>
        <v>3140122</v>
      </c>
      <c r="K6" s="74">
        <f>'2023 Load Forecast Test Year'!J101</f>
        <v>2920517</v>
      </c>
      <c r="L6" s="74">
        <f>'2023 Load Forecast Test Year'!K101</f>
        <v>3659266</v>
      </c>
      <c r="M6" s="74">
        <f>'2023 Load Forecast Test Year'!L101</f>
        <v>4352123</v>
      </c>
      <c r="N6" s="74">
        <f>'2023 Load Forecast Test Year'!M101</f>
        <v>4715258</v>
      </c>
      <c r="O6" s="234">
        <f>SUM(C6:N6)</f>
        <v>58300021</v>
      </c>
      <c r="P6" s="1"/>
      <c r="Q6" s="1"/>
      <c r="R6" s="1"/>
      <c r="T6" s="202"/>
    </row>
    <row r="7" spans="2:20">
      <c r="B7" s="36" t="s">
        <v>20</v>
      </c>
      <c r="C7" s="480">
        <v>20334.039387308534</v>
      </c>
      <c r="D7" s="480">
        <v>20334.039387308534</v>
      </c>
      <c r="E7" s="480">
        <v>20334.039387308534</v>
      </c>
      <c r="F7" s="74">
        <f>'2023 Load Forecast Test Year'!E102</f>
        <v>20334</v>
      </c>
      <c r="G7" s="74">
        <f>'2023 Load Forecast Test Year'!F102</f>
        <v>20334</v>
      </c>
      <c r="H7" s="74">
        <f>'2023 Load Forecast Test Year'!G102</f>
        <v>20334</v>
      </c>
      <c r="I7" s="74">
        <f>'2023 Load Forecast Test Year'!H102</f>
        <v>15454</v>
      </c>
      <c r="J7" s="74">
        <f>'2023 Load Forecast Test Year'!I102</f>
        <v>15454</v>
      </c>
      <c r="K7" s="74">
        <f>'2023 Load Forecast Test Year'!J102</f>
        <v>15454</v>
      </c>
      <c r="L7" s="74">
        <f>'2023 Load Forecast Test Year'!K102</f>
        <v>15454</v>
      </c>
      <c r="M7" s="74">
        <f>'2023 Load Forecast Test Year'!L102</f>
        <v>15454</v>
      </c>
      <c r="N7" s="74">
        <f>'2023 Load Forecast Test Year'!M102</f>
        <v>15454</v>
      </c>
      <c r="O7" s="234">
        <f>SUM(C7:N7)</f>
        <v>214728.11816192561</v>
      </c>
      <c r="P7" s="1"/>
      <c r="Q7" s="1"/>
      <c r="R7" s="1"/>
      <c r="T7" s="202"/>
    </row>
    <row r="8" spans="2:20">
      <c r="B8" s="36" t="s">
        <v>21</v>
      </c>
      <c r="C8" s="480">
        <v>267508.96235510579</v>
      </c>
      <c r="D8" s="480">
        <v>-62207.938288868419</v>
      </c>
      <c r="E8" s="480">
        <v>-713826.61256117758</v>
      </c>
      <c r="F8" s="74">
        <f>'2023 Load Forecast Test Year'!E130</f>
        <v>-452807</v>
      </c>
      <c r="G8" s="74">
        <f>'2023 Load Forecast Test Year'!F130</f>
        <v>-449115</v>
      </c>
      <c r="H8" s="74">
        <f>'2023 Load Forecast Test Year'!G130</f>
        <v>-346277</v>
      </c>
      <c r="I8" s="74">
        <f>'2023 Load Forecast Test Year'!H130</f>
        <v>-16080</v>
      </c>
      <c r="J8" s="74">
        <f>'2023 Load Forecast Test Year'!I130</f>
        <v>-183661</v>
      </c>
      <c r="K8" s="74">
        <f>'2023 Load Forecast Test Year'!J130</f>
        <v>475388</v>
      </c>
      <c r="L8" s="74">
        <f>'2023 Load Forecast Test Year'!K130</f>
        <v>421531</v>
      </c>
      <c r="M8" s="74">
        <f>'2023 Load Forecast Test Year'!L130</f>
        <v>244602</v>
      </c>
      <c r="N8" s="74">
        <f>'2023 Load Forecast Test Year'!M130</f>
        <v>627781</v>
      </c>
      <c r="O8" s="234">
        <f>SUM(C8:N8)</f>
        <v>-187163.5884949402</v>
      </c>
      <c r="P8" s="1"/>
      <c r="Q8" s="1"/>
      <c r="R8" s="1"/>
    </row>
    <row r="9" spans="2:20">
      <c r="B9" s="36" t="s">
        <v>22</v>
      </c>
      <c r="C9" s="480">
        <v>1380531.4639999999</v>
      </c>
      <c r="D9" s="480">
        <v>1330151.7120000001</v>
      </c>
      <c r="E9" s="480">
        <v>1494719</v>
      </c>
      <c r="F9" s="74">
        <f>'2023 Load Forecast Test Year'!E103</f>
        <v>1170660</v>
      </c>
      <c r="G9" s="74">
        <f>'2023 Load Forecast Test Year'!F103</f>
        <v>1067779</v>
      </c>
      <c r="H9" s="74">
        <f>'2023 Load Forecast Test Year'!G103</f>
        <v>932245</v>
      </c>
      <c r="I9" s="74">
        <f>'2023 Load Forecast Test Year'!H103</f>
        <v>766229</v>
      </c>
      <c r="J9" s="74">
        <f>'2023 Load Forecast Test Year'!I103</f>
        <v>694112</v>
      </c>
      <c r="K9" s="74">
        <f>'2023 Load Forecast Test Year'!J103</f>
        <v>768233</v>
      </c>
      <c r="L9" s="74">
        <f>'2023 Load Forecast Test Year'!K103</f>
        <v>882614</v>
      </c>
      <c r="M9" s="74">
        <f>'2023 Load Forecast Test Year'!L103</f>
        <v>1030881</v>
      </c>
      <c r="N9" s="74">
        <f>'2023 Load Forecast Test Year'!M103</f>
        <v>1163753</v>
      </c>
      <c r="O9" s="234">
        <f>SUM(C9:N9)</f>
        <v>12681908.175999999</v>
      </c>
      <c r="P9" s="1"/>
      <c r="Q9" s="1"/>
      <c r="R9" s="1"/>
    </row>
    <row r="10" spans="2:20">
      <c r="B10" s="36" t="s">
        <v>23</v>
      </c>
      <c r="C10" s="480">
        <v>52133.540000000037</v>
      </c>
      <c r="D10" s="480">
        <v>9028.5259999999544</v>
      </c>
      <c r="E10" s="480">
        <v>-100824.81999999995</v>
      </c>
      <c r="F10" s="74">
        <f>'2023 Load Forecast Test Year'!E132</f>
        <v>-67395</v>
      </c>
      <c r="G10" s="74">
        <f>'2023 Load Forecast Test Year'!F132</f>
        <v>-82480</v>
      </c>
      <c r="H10" s="74">
        <f>'2023 Load Forecast Test Year'!G132</f>
        <v>-58608</v>
      </c>
      <c r="I10" s="74">
        <f>'2023 Load Forecast Test Year'!H132</f>
        <v>-25455</v>
      </c>
      <c r="J10" s="74">
        <f>'2023 Load Forecast Test Year'!I132</f>
        <v>37541</v>
      </c>
      <c r="K10" s="74">
        <f>'2023 Load Forecast Test Year'!J132</f>
        <v>49974</v>
      </c>
      <c r="L10" s="74">
        <f>'2023 Load Forecast Test Year'!K132</f>
        <v>99699</v>
      </c>
      <c r="M10" s="74">
        <f>'2023 Load Forecast Test Year'!L132</f>
        <v>79178</v>
      </c>
      <c r="N10" s="74">
        <f>'2023 Load Forecast Test Year'!M132</f>
        <v>109236</v>
      </c>
      <c r="O10" s="234">
        <f>SUM(C10:N10)</f>
        <v>102027.24600000004</v>
      </c>
      <c r="P10" s="1"/>
      <c r="Q10" s="1"/>
      <c r="R10" s="1"/>
    </row>
    <row r="11" spans="2:20">
      <c r="B11" s="235" t="s">
        <v>24</v>
      </c>
      <c r="C11" s="492">
        <f t="shared" ref="C11:H11" si="0">SUM(C6:C10)</f>
        <v>9139397.0057424158</v>
      </c>
      <c r="D11" s="492">
        <f t="shared" si="0"/>
        <v>8427022.3390984423</v>
      </c>
      <c r="E11" s="492">
        <f t="shared" si="0"/>
        <v>7798625.6068261322</v>
      </c>
      <c r="F11" s="72">
        <f t="shared" si="0"/>
        <v>6344066</v>
      </c>
      <c r="G11" s="72">
        <f t="shared" si="0"/>
        <v>5465255</v>
      </c>
      <c r="H11" s="72">
        <f t="shared" si="0"/>
        <v>4685912</v>
      </c>
      <c r="I11" s="72">
        <f t="shared" ref="I11:O11" si="1">SUM(I6:I10)</f>
        <v>3885825</v>
      </c>
      <c r="J11" s="72">
        <f t="shared" si="1"/>
        <v>3703568</v>
      </c>
      <c r="K11" s="72">
        <f t="shared" si="1"/>
        <v>4229566</v>
      </c>
      <c r="L11" s="72">
        <f t="shared" si="1"/>
        <v>5078564</v>
      </c>
      <c r="M11" s="72">
        <f t="shared" si="1"/>
        <v>5722238</v>
      </c>
      <c r="N11" s="72">
        <f t="shared" si="1"/>
        <v>6631482</v>
      </c>
      <c r="O11" s="72">
        <f t="shared" si="1"/>
        <v>71111520.951666996</v>
      </c>
      <c r="P11" s="1"/>
      <c r="Q11" s="1"/>
      <c r="R11" s="1"/>
    </row>
    <row r="12" spans="2:20">
      <c r="B12" s="36" t="s">
        <v>25</v>
      </c>
      <c r="C12" s="480">
        <v>1065555</v>
      </c>
      <c r="D12" s="480">
        <v>703074</v>
      </c>
      <c r="E12" s="480">
        <v>1358542</v>
      </c>
      <c r="F12" s="74">
        <f>'2023 Load Forecast Test Year'!E105</f>
        <v>758316</v>
      </c>
      <c r="G12" s="74">
        <f>'2023 Load Forecast Test Year'!F105</f>
        <v>669533</v>
      </c>
      <c r="H12" s="74">
        <f>'2023 Load Forecast Test Year'!G105</f>
        <v>514984</v>
      </c>
      <c r="I12" s="74">
        <f>'2023 Load Forecast Test Year'!H105</f>
        <v>905441</v>
      </c>
      <c r="J12" s="74">
        <f>'2023 Load Forecast Test Year'!I105</f>
        <v>948561</v>
      </c>
      <c r="K12" s="74">
        <f>'2023 Load Forecast Test Year'!J105</f>
        <v>999025</v>
      </c>
      <c r="L12" s="74">
        <f>'2023 Load Forecast Test Year'!K105</f>
        <v>984833</v>
      </c>
      <c r="M12" s="74">
        <f>'2023 Load Forecast Test Year'!L105</f>
        <v>1160082</v>
      </c>
      <c r="N12" s="74">
        <f>'2023 Load Forecast Test Year'!M105</f>
        <v>1326625</v>
      </c>
      <c r="O12" s="234">
        <f>SUM(C12:N12)</f>
        <v>11394571</v>
      </c>
      <c r="P12" s="1"/>
      <c r="Q12" s="1"/>
      <c r="R12" s="1"/>
    </row>
    <row r="13" spans="2:20">
      <c r="B13" s="36" t="s">
        <v>20</v>
      </c>
      <c r="C13" s="480">
        <f>'2023 Load Forecast Test Year'!B106</f>
        <v>0</v>
      </c>
      <c r="D13" s="480">
        <f>'2023 Load Forecast Test Year'!C106</f>
        <v>0</v>
      </c>
      <c r="E13" s="480">
        <f>'2023 Load Forecast Test Year'!D106</f>
        <v>0</v>
      </c>
      <c r="F13" s="74">
        <f>'2023 Load Forecast Test Year'!E106</f>
        <v>0</v>
      </c>
      <c r="G13" s="74">
        <f>'2023 Load Forecast Test Year'!F106</f>
        <v>0</v>
      </c>
      <c r="H13" s="74">
        <f>'2023 Load Forecast Test Year'!G106</f>
        <v>0</v>
      </c>
      <c r="I13" s="74">
        <f>'2023 Load Forecast Test Year'!H106</f>
        <v>4880</v>
      </c>
      <c r="J13" s="74">
        <f>'2023 Load Forecast Test Year'!I106</f>
        <v>4880</v>
      </c>
      <c r="K13" s="74">
        <f>'2023 Load Forecast Test Year'!J106</f>
        <v>4880</v>
      </c>
      <c r="L13" s="74">
        <f>'2023 Load Forecast Test Year'!K106</f>
        <v>4880</v>
      </c>
      <c r="M13" s="74">
        <f>'2023 Load Forecast Test Year'!L106</f>
        <v>4880</v>
      </c>
      <c r="N13" s="74">
        <f>'2023 Load Forecast Test Year'!M106</f>
        <v>4880</v>
      </c>
      <c r="O13" s="234">
        <f>SUM(C13:N13)</f>
        <v>29280</v>
      </c>
      <c r="P13" s="1"/>
      <c r="Q13" s="1"/>
      <c r="R13" s="1"/>
    </row>
    <row r="14" spans="2:20">
      <c r="B14" s="36" t="s">
        <v>26</v>
      </c>
      <c r="C14" s="480">
        <v>409588</v>
      </c>
      <c r="D14" s="480">
        <v>182381</v>
      </c>
      <c r="E14" s="480">
        <v>-608778</v>
      </c>
      <c r="F14" s="74">
        <f>'2023 Load Forecast Test Year'!E133</f>
        <v>-88783</v>
      </c>
      <c r="G14" s="74">
        <f>'2023 Load Forecast Test Year'!F133</f>
        <v>-154549</v>
      </c>
      <c r="H14" s="74">
        <f>'2023 Load Forecast Test Year'!G133</f>
        <v>-76817</v>
      </c>
      <c r="I14" s="74">
        <f>'2023 Load Forecast Test Year'!H133</f>
        <v>48712</v>
      </c>
      <c r="J14" s="74">
        <f>'2023 Load Forecast Test Year'!I133</f>
        <v>51346</v>
      </c>
      <c r="K14" s="74">
        <f>'2023 Load Forecast Test Year'!J133</f>
        <v>-22260</v>
      </c>
      <c r="L14" s="74">
        <f>'2023 Load Forecast Test Year'!K133</f>
        <v>140077</v>
      </c>
      <c r="M14" s="74">
        <f>'2023 Load Forecast Test Year'!L133</f>
        <v>166726</v>
      </c>
      <c r="N14" s="74">
        <f>'2023 Load Forecast Test Year'!M133</f>
        <v>346818</v>
      </c>
      <c r="O14" s="234">
        <f>SUM(C14:N14)</f>
        <v>394461</v>
      </c>
      <c r="P14" s="1"/>
      <c r="Q14" s="1"/>
      <c r="R14" s="1"/>
    </row>
    <row r="15" spans="2:20">
      <c r="B15" s="2" t="s">
        <v>27</v>
      </c>
      <c r="C15" s="493">
        <v>302235</v>
      </c>
      <c r="D15" s="493">
        <v>434528</v>
      </c>
      <c r="E15" s="493">
        <v>524456</v>
      </c>
      <c r="F15" s="71">
        <f>'2023 Load Forecast Test Year'!E107</f>
        <v>267058</v>
      </c>
      <c r="G15" s="71">
        <f>'2023 Load Forecast Test Year'!F107</f>
        <v>232339</v>
      </c>
      <c r="H15" s="71">
        <f>'2023 Load Forecast Test Year'!G107</f>
        <v>205041</v>
      </c>
      <c r="I15" s="71">
        <f>'2023 Load Forecast Test Year'!H107</f>
        <v>196367</v>
      </c>
      <c r="J15" s="71">
        <f>'2023 Load Forecast Test Year'!I107</f>
        <v>214894</v>
      </c>
      <c r="K15" s="71">
        <f>'2023 Load Forecast Test Year'!J107</f>
        <v>340961</v>
      </c>
      <c r="L15" s="71">
        <f>'2023 Load Forecast Test Year'!K107</f>
        <v>394522</v>
      </c>
      <c r="M15" s="71">
        <f>'2023 Load Forecast Test Year'!L107</f>
        <v>354132</v>
      </c>
      <c r="N15" s="71">
        <f>'2023 Load Forecast Test Year'!M107</f>
        <v>348175</v>
      </c>
      <c r="O15" s="234">
        <f>SUM(C15:N15)</f>
        <v>3814708</v>
      </c>
      <c r="P15" s="1"/>
      <c r="Q15" s="1"/>
      <c r="R15" s="1"/>
    </row>
    <row r="16" spans="2:20">
      <c r="B16" s="238" t="s">
        <v>28</v>
      </c>
      <c r="C16" s="493">
        <v>214417.31400000001</v>
      </c>
      <c r="D16" s="493">
        <v>4397.8439999999828</v>
      </c>
      <c r="E16" s="493">
        <v>-120328.32199999999</v>
      </c>
      <c r="F16" s="71">
        <f>'2023 Load Forecast Test Year'!E134</f>
        <v>-34719</v>
      </c>
      <c r="G16" s="71">
        <f>'2023 Load Forecast Test Year'!F134</f>
        <v>-27298</v>
      </c>
      <c r="H16" s="71">
        <f>'2023 Load Forecast Test Year'!G134</f>
        <v>-98989</v>
      </c>
      <c r="I16" s="71">
        <f>'2023 Load Forecast Test Year'!H134</f>
        <v>15097</v>
      </c>
      <c r="J16" s="71">
        <f>'2023 Load Forecast Test Year'!I134</f>
        <v>122240</v>
      </c>
      <c r="K16" s="71">
        <f>'2023 Load Forecast Test Year'!J134</f>
        <v>51904</v>
      </c>
      <c r="L16" s="71">
        <f>'2023 Load Forecast Test Year'!K134</f>
        <v>-45923</v>
      </c>
      <c r="M16" s="71">
        <f>'2023 Load Forecast Test Year'!L134</f>
        <v>-11849</v>
      </c>
      <c r="N16" s="71">
        <f>'2023 Load Forecast Test Year'!M134</f>
        <v>148542</v>
      </c>
      <c r="O16" s="234">
        <f>SUM(C16:N16)</f>
        <v>217491.83600000001</v>
      </c>
      <c r="Q16" s="1"/>
    </row>
    <row r="17" spans="2:17">
      <c r="B17" s="235" t="s">
        <v>29</v>
      </c>
      <c r="C17" s="492">
        <f t="shared" ref="C17:H17" si="2">SUM(C12:C16)</f>
        <v>1991795.314</v>
      </c>
      <c r="D17" s="492">
        <f t="shared" si="2"/>
        <v>1324380.844</v>
      </c>
      <c r="E17" s="492">
        <f t="shared" si="2"/>
        <v>1153891.6780000001</v>
      </c>
      <c r="F17" s="72">
        <f t="shared" si="2"/>
        <v>901872</v>
      </c>
      <c r="G17" s="72">
        <f t="shared" si="2"/>
        <v>720025</v>
      </c>
      <c r="H17" s="72">
        <f t="shared" si="2"/>
        <v>544219</v>
      </c>
      <c r="I17" s="72">
        <f t="shared" ref="I17:O17" si="3">SUM(I12:I16)</f>
        <v>1170497</v>
      </c>
      <c r="J17" s="72">
        <f t="shared" si="3"/>
        <v>1341921</v>
      </c>
      <c r="K17" s="72">
        <f t="shared" si="3"/>
        <v>1374510</v>
      </c>
      <c r="L17" s="72">
        <f t="shared" si="3"/>
        <v>1478389</v>
      </c>
      <c r="M17" s="72">
        <f t="shared" si="3"/>
        <v>1673971</v>
      </c>
      <c r="N17" s="72">
        <f t="shared" si="3"/>
        <v>2175040</v>
      </c>
      <c r="O17" s="72">
        <f t="shared" si="3"/>
        <v>15850511.835999999</v>
      </c>
      <c r="Q17" s="1"/>
    </row>
    <row r="18" spans="2:17" ht="15" thickBot="1">
      <c r="B18" s="236" t="s">
        <v>30</v>
      </c>
      <c r="C18" s="481">
        <f t="shared" ref="C18:H18" si="4">C17+C11</f>
        <v>11131192.319742415</v>
      </c>
      <c r="D18" s="481">
        <f t="shared" si="4"/>
        <v>9751403.1830984429</v>
      </c>
      <c r="E18" s="481">
        <f t="shared" si="4"/>
        <v>8952517.2848261315</v>
      </c>
      <c r="F18" s="4">
        <f t="shared" si="4"/>
        <v>7245938</v>
      </c>
      <c r="G18" s="4">
        <f t="shared" si="4"/>
        <v>6185280</v>
      </c>
      <c r="H18" s="4">
        <f t="shared" si="4"/>
        <v>5230131</v>
      </c>
      <c r="I18" s="4">
        <f t="shared" ref="I18:O18" si="5">I17+I11</f>
        <v>5056322</v>
      </c>
      <c r="J18" s="4">
        <f t="shared" si="5"/>
        <v>5045489</v>
      </c>
      <c r="K18" s="4">
        <f t="shared" si="5"/>
        <v>5604076</v>
      </c>
      <c r="L18" s="4">
        <f t="shared" si="5"/>
        <v>6556953</v>
      </c>
      <c r="M18" s="4">
        <f t="shared" si="5"/>
        <v>7396209</v>
      </c>
      <c r="N18" s="4">
        <f t="shared" si="5"/>
        <v>8806522</v>
      </c>
      <c r="O18" s="494">
        <f t="shared" si="5"/>
        <v>86962032.787666991</v>
      </c>
    </row>
    <row r="19" spans="2:17" ht="15" thickTop="1">
      <c r="B19" s="36"/>
      <c r="C19" s="36"/>
      <c r="D19" s="36"/>
      <c r="E19" s="36"/>
      <c r="F19" s="36"/>
      <c r="G19" s="1"/>
      <c r="H19" s="1"/>
      <c r="I19" s="1"/>
      <c r="J19" s="1"/>
      <c r="K19" s="1"/>
      <c r="L19" s="1"/>
      <c r="M19" s="1"/>
      <c r="N19" s="1"/>
      <c r="O19" s="1"/>
    </row>
  </sheetData>
  <pageMargins left="0.7" right="0.7" top="0.75" bottom="0.75" header="0.3" footer="0.3"/>
  <pageSetup orientation="portrait" r:id="rId1"/>
  <ignoredErrors>
    <ignoredError sqref="O1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O133"/>
  <sheetViews>
    <sheetView zoomScale="80" zoomScaleNormal="80" workbookViewId="0">
      <pane xSplit="1" ySplit="6" topLeftCell="N7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7" width="12" hidden="1" customWidth="1" outlineLevel="1"/>
    <col min="8" max="8" width="12.42578125" hidden="1" customWidth="1" outlineLevel="1"/>
    <col min="9" max="9" width="11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1" width="12.42578125" hidden="1" customWidth="1" outlineLevel="1"/>
    <col min="22" max="22" width="12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2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5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1" width="14.85546875" hidden="1" customWidth="1" outlineLevel="1"/>
    <col min="62" max="62" width="15.71093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6.7109375" style="3" bestFit="1" customWidth="1" collapsed="1"/>
    <col min="67" max="67" width="16.7109375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112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90"/>
      <c r="AP6" s="391"/>
      <c r="AQ6" s="391"/>
      <c r="AR6" s="391"/>
      <c r="AS6" s="391"/>
      <c r="AT6" s="3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362"/>
      <c r="AP7" s="283"/>
      <c r="AQ7" s="283"/>
      <c r="AR7" s="283"/>
      <c r="AS7" s="283"/>
      <c r="AT7" s="39"/>
      <c r="AU7" s="109">
        <f>Customers!E51</f>
        <v>6</v>
      </c>
      <c r="AV7" s="109">
        <f>Customers!F51</f>
        <v>6</v>
      </c>
      <c r="AW7" s="109">
        <f>Customers!G51</f>
        <v>6</v>
      </c>
      <c r="AX7" s="109">
        <f>Customers!H51</f>
        <v>6</v>
      </c>
      <c r="AY7" s="109">
        <f>Customers!I51</f>
        <v>6</v>
      </c>
      <c r="AZ7" s="109">
        <f>Customers!J51</f>
        <v>6</v>
      </c>
      <c r="BA7" s="210">
        <f>IFERROR(ROUND(AVERAGE(AO7:AZ7),0),0)</f>
        <v>6</v>
      </c>
      <c r="BB7" s="124">
        <v>6</v>
      </c>
      <c r="BC7" s="38">
        <v>6</v>
      </c>
      <c r="BD7" s="38">
        <v>6</v>
      </c>
      <c r="BE7" s="38">
        <v>6</v>
      </c>
      <c r="BF7" s="38">
        <f t="shared" ref="BF7:BM7" si="0">BE7</f>
        <v>6</v>
      </c>
      <c r="BG7" s="38">
        <f t="shared" si="0"/>
        <v>6</v>
      </c>
      <c r="BH7" s="38">
        <f t="shared" si="0"/>
        <v>6</v>
      </c>
      <c r="BI7" s="38">
        <f t="shared" si="0"/>
        <v>6</v>
      </c>
      <c r="BJ7" s="38">
        <f t="shared" si="0"/>
        <v>6</v>
      </c>
      <c r="BK7" s="38">
        <f t="shared" si="0"/>
        <v>6</v>
      </c>
      <c r="BL7" s="38">
        <f t="shared" si="0"/>
        <v>6</v>
      </c>
      <c r="BM7" s="38">
        <f t="shared" si="0"/>
        <v>6</v>
      </c>
      <c r="BN7" s="210">
        <f>IFERROR(ROUND(AVERAGE(BB7:BM7),0),0)</f>
        <v>6</v>
      </c>
      <c r="BO7" s="143">
        <f>Customers!L51</f>
        <v>6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362"/>
      <c r="AP8" s="283"/>
      <c r="AQ8" s="283"/>
      <c r="AR8" s="283"/>
      <c r="AS8" s="283"/>
      <c r="AT8" s="39"/>
      <c r="AU8" s="38">
        <f>ROUND(AU$11*'kWh Blocks by Rate Category'!C8,0)</f>
        <v>3567</v>
      </c>
      <c r="AV8" s="38">
        <f>ROUND(AV$11*'kWh Blocks by Rate Category'!D8,0)</f>
        <v>2990</v>
      </c>
      <c r="AW8" s="38">
        <f>ROUND(AW$11*'kWh Blocks by Rate Category'!E8,0)</f>
        <v>3268</v>
      </c>
      <c r="AX8" s="38">
        <f>ROUND(AX$11*'kWh Blocks by Rate Category'!F8,0)</f>
        <v>3818</v>
      </c>
      <c r="AY8" s="38">
        <f>ROUND(AY$11*'kWh Blocks by Rate Category'!G8,0)</f>
        <v>6282</v>
      </c>
      <c r="AZ8" s="38">
        <f>ROUND(AZ$11*'kWh Blocks by Rate Category'!H8,0)</f>
        <v>6989</v>
      </c>
      <c r="BA8" s="210">
        <f>SUM(AO8:AZ8)</f>
        <v>26914</v>
      </c>
      <c r="BB8" s="38">
        <v>8562</v>
      </c>
      <c r="BC8" s="38">
        <v>7748</v>
      </c>
      <c r="BD8" s="38">
        <v>5770</v>
      </c>
      <c r="BE8" s="38">
        <v>6236</v>
      </c>
      <c r="BF8" s="38">
        <f>ROUND(BF$11*'kWh Blocks by Rate Category'!N8,0)</f>
        <v>6279</v>
      </c>
      <c r="BG8" s="38">
        <f>ROUND(BG$11*'kWh Blocks by Rate Category'!O8,0)</f>
        <v>4193</v>
      </c>
      <c r="BH8" s="38">
        <f>ROUND(BH$11*'kWh Blocks by Rate Category'!P8,0)</f>
        <v>3567</v>
      </c>
      <c r="BI8" s="38">
        <f>ROUND(BI$11*'kWh Blocks by Rate Category'!Q8,0)</f>
        <v>2990</v>
      </c>
      <c r="BJ8" s="38">
        <f>ROUND(BJ$11*'kWh Blocks by Rate Category'!R8,0)</f>
        <v>3268</v>
      </c>
      <c r="BK8" s="38">
        <f>ROUND(BK$11*'kWh Blocks by Rate Category'!S8,0)</f>
        <v>3818</v>
      </c>
      <c r="BL8" s="38">
        <f>ROUND(BL$11*'kWh Blocks by Rate Category'!T8,0)</f>
        <v>6282</v>
      </c>
      <c r="BM8" s="38">
        <f>ROUND(BM$11*'kWh Blocks by Rate Category'!U8,0)</f>
        <v>6989</v>
      </c>
      <c r="BN8" s="210">
        <f>SUM(BB8:BM8)</f>
        <v>65702</v>
      </c>
      <c r="BO8" s="143">
        <f>IFERROR(ROUND((BN8/BN$11)*BO$11,0),0)</f>
        <v>65702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362"/>
      <c r="AP9" s="283"/>
      <c r="AQ9" s="283"/>
      <c r="AR9" s="283"/>
      <c r="AS9" s="283"/>
      <c r="AT9" s="39"/>
      <c r="AU9" s="38">
        <f>ROUND(AU$11*'kWh Blocks by Rate Category'!C9,0)</f>
        <v>1901</v>
      </c>
      <c r="AV9" s="38">
        <f>ROUND(AV$11*'kWh Blocks by Rate Category'!D9,0)</f>
        <v>1593</v>
      </c>
      <c r="AW9" s="38">
        <f>ROUND(AW$11*'kWh Blocks by Rate Category'!E9,0)</f>
        <v>1741</v>
      </c>
      <c r="AX9" s="38">
        <f>ROUND(AX$11*'kWh Blocks by Rate Category'!F9,0)</f>
        <v>2035</v>
      </c>
      <c r="AY9" s="38">
        <f>ROUND(AY$11*'kWh Blocks by Rate Category'!G9,0)</f>
        <v>3347</v>
      </c>
      <c r="AZ9" s="38">
        <f>ROUND(AZ$11*'kWh Blocks by Rate Category'!H9,0)</f>
        <v>3724</v>
      </c>
      <c r="BA9" s="210">
        <f>SUM(AO9:AZ9)</f>
        <v>14341</v>
      </c>
      <c r="BB9" s="38">
        <v>4562</v>
      </c>
      <c r="BC9" s="38">
        <v>4128</v>
      </c>
      <c r="BD9" s="38">
        <v>3074</v>
      </c>
      <c r="BE9" s="38">
        <v>3323</v>
      </c>
      <c r="BF9" s="38">
        <f>ROUND(BF$11*'kWh Blocks by Rate Category'!N9,0)</f>
        <v>3346</v>
      </c>
      <c r="BG9" s="38">
        <f>ROUND(BG$11*'kWh Blocks by Rate Category'!O9,0)</f>
        <v>2234</v>
      </c>
      <c r="BH9" s="38">
        <f>ROUND(BH$11*'kWh Blocks by Rate Category'!P9,0)</f>
        <v>1901</v>
      </c>
      <c r="BI9" s="38">
        <f>ROUND(BI$11*'kWh Blocks by Rate Category'!Q9,0)</f>
        <v>1593</v>
      </c>
      <c r="BJ9" s="38">
        <f>ROUND(BJ$11*'kWh Blocks by Rate Category'!R9,0)</f>
        <v>1741</v>
      </c>
      <c r="BK9" s="38">
        <f>ROUND(BK$11*'kWh Blocks by Rate Category'!S9,0)</f>
        <v>2035</v>
      </c>
      <c r="BL9" s="38">
        <f>ROUND(BL$11*'kWh Blocks by Rate Category'!T9,0)</f>
        <v>3347</v>
      </c>
      <c r="BM9" s="38">
        <f>ROUND(BM$11*'kWh Blocks by Rate Category'!U9,0)</f>
        <v>3724</v>
      </c>
      <c r="BN9" s="210">
        <f>SUM(BB9:BM9)</f>
        <v>35008</v>
      </c>
      <c r="BO9" s="143">
        <f>IFERROR(ROUND((BN9/BN$11)*BO$11,0),0)</f>
        <v>35008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362"/>
      <c r="AP10" s="283"/>
      <c r="AQ10" s="283"/>
      <c r="AR10" s="283"/>
      <c r="AS10" s="283"/>
      <c r="AT10" s="39"/>
      <c r="AU10" s="38">
        <f>ROUND(AU$11*'kWh Blocks by Rate Category'!C10,0)</f>
        <v>362</v>
      </c>
      <c r="AV10" s="38">
        <f>ROUND(AV$11*'kWh Blocks by Rate Category'!D10,0)</f>
        <v>304</v>
      </c>
      <c r="AW10" s="38">
        <f>ROUND(AW$11*'kWh Blocks by Rate Category'!E10,0)</f>
        <v>332</v>
      </c>
      <c r="AX10" s="38">
        <f>ROUND(AX$11*'kWh Blocks by Rate Category'!F10,0)</f>
        <v>388</v>
      </c>
      <c r="AY10" s="38">
        <f>ROUND(AY$11*'kWh Blocks by Rate Category'!G10,0)+1</f>
        <v>639</v>
      </c>
      <c r="AZ10" s="38">
        <f>ROUND(AZ$11*'kWh Blocks by Rate Category'!H10,0)</f>
        <v>710</v>
      </c>
      <c r="BA10" s="210">
        <f>SUM(AO10:AZ10)</f>
        <v>2735</v>
      </c>
      <c r="BB10" s="38">
        <v>870</v>
      </c>
      <c r="BC10" s="38">
        <v>787</v>
      </c>
      <c r="BD10" s="38">
        <v>586</v>
      </c>
      <c r="BE10" s="38">
        <v>634</v>
      </c>
      <c r="BF10" s="38">
        <f>ROUND(BF$11*'kWh Blocks by Rate Category'!N10,0)</f>
        <v>638</v>
      </c>
      <c r="BG10" s="38">
        <f>ROUND(BG$11*'kWh Blocks by Rate Category'!O10,0)</f>
        <v>426</v>
      </c>
      <c r="BH10" s="38">
        <f>ROUND(BH$11*'kWh Blocks by Rate Category'!P10,0)</f>
        <v>362</v>
      </c>
      <c r="BI10" s="38">
        <f>ROUND(BI$11*'kWh Blocks by Rate Category'!Q10,0)</f>
        <v>304</v>
      </c>
      <c r="BJ10" s="38">
        <f>ROUND(BJ$11*'kWh Blocks by Rate Category'!R10,0)</f>
        <v>332</v>
      </c>
      <c r="BK10" s="38">
        <f>ROUND(BK$11*'kWh Blocks by Rate Category'!S10,0)</f>
        <v>388</v>
      </c>
      <c r="BL10" s="38">
        <f>ROUND(BL$11*'kWh Blocks by Rate Category'!T10,0)</f>
        <v>638</v>
      </c>
      <c r="BM10" s="38">
        <f>ROUND(BM$11*'kWh Blocks by Rate Category'!U10,0)</f>
        <v>710</v>
      </c>
      <c r="BN10" s="210">
        <f>SUM(BB10:BM10)</f>
        <v>6675</v>
      </c>
      <c r="BO10" s="143">
        <f>IFERROR(ROUND((BN10/BN$11)*BO$11,0),0)</f>
        <v>6675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363"/>
      <c r="AP11" s="284"/>
      <c r="AQ11" s="284"/>
      <c r="AR11" s="284"/>
      <c r="AS11" s="284"/>
      <c r="AT11" s="64"/>
      <c r="AU11" s="64">
        <f t="shared" ref="AU11:AZ11" si="1">IFERROR(ROUND(AU12*AU7,0),0)</f>
        <v>5830</v>
      </c>
      <c r="AV11" s="64">
        <f t="shared" si="1"/>
        <v>4887</v>
      </c>
      <c r="AW11" s="64">
        <f t="shared" si="1"/>
        <v>5341</v>
      </c>
      <c r="AX11" s="64">
        <f t="shared" si="1"/>
        <v>6241</v>
      </c>
      <c r="AY11" s="64">
        <f t="shared" si="1"/>
        <v>10268</v>
      </c>
      <c r="AZ11" s="64">
        <f t="shared" si="1"/>
        <v>11423</v>
      </c>
      <c r="BA11" s="196">
        <f>SUM(AT11:AZ11)</f>
        <v>43990</v>
      </c>
      <c r="BB11" s="64">
        <v>13994</v>
      </c>
      <c r="BC11" s="64">
        <v>12663</v>
      </c>
      <c r="BD11" s="64">
        <v>9430</v>
      </c>
      <c r="BE11" s="64">
        <v>10193</v>
      </c>
      <c r="BF11" s="64">
        <f t="shared" ref="BF11:BM11" si="2">IFERROR(ROUND(BF12*BF7,0),0)</f>
        <v>10263</v>
      </c>
      <c r="BG11" s="64">
        <f t="shared" si="2"/>
        <v>6854</v>
      </c>
      <c r="BH11" s="64">
        <f t="shared" si="2"/>
        <v>5830</v>
      </c>
      <c r="BI11" s="64">
        <f t="shared" si="2"/>
        <v>4887</v>
      </c>
      <c r="BJ11" s="64">
        <f t="shared" si="2"/>
        <v>5341</v>
      </c>
      <c r="BK11" s="64">
        <f t="shared" si="2"/>
        <v>6241</v>
      </c>
      <c r="BL11" s="64">
        <f t="shared" si="2"/>
        <v>10268</v>
      </c>
      <c r="BM11" s="64">
        <f t="shared" si="2"/>
        <v>11423</v>
      </c>
      <c r="BN11" s="196">
        <f>SUM(BB11:BM11)</f>
        <v>107387</v>
      </c>
      <c r="BO11" s="147">
        <f>ROUND(BO7*BO12,0)</f>
        <v>107387</v>
      </c>
    </row>
    <row r="12" spans="1:67" ht="15" thickTop="1">
      <c r="A12" s="374" t="s">
        <v>54</v>
      </c>
      <c r="B12" s="129">
        <f>IF('kWh_Streetlight Data'!C139=0,"",'kWh_Streetlight Data'!C139)</f>
        <v>2140.3333333333335</v>
      </c>
      <c r="C12" s="108">
        <f>IF('kWh_Streetlight Data'!D139=0,"",'kWh_Streetlight Data'!D139)</f>
        <v>2012.5</v>
      </c>
      <c r="D12" s="108">
        <f>IF('kWh_Streetlight Data'!E139=0,"",'kWh_Streetlight Data'!E139)</f>
        <v>1585.5</v>
      </c>
      <c r="E12" s="108">
        <f>IF('kWh_Streetlight Data'!F139=0,"",'kWh_Streetlight Data'!F139)</f>
        <v>1571.3333333333333</v>
      </c>
      <c r="F12" s="108">
        <f>IF('kWh_Streetlight Data'!G139=0,"",'kWh_Streetlight Data'!G139)</f>
        <v>1317.1666666666667</v>
      </c>
      <c r="G12" s="108">
        <f>IF('kWh_Streetlight Data'!H139=0,"",'kWh_Streetlight Data'!H139)</f>
        <v>1198.1666666666667</v>
      </c>
      <c r="H12" s="108">
        <f>IF('kWh_Streetlight Data'!I139=0,"",'kWh_Streetlight Data'!I139)</f>
        <v>959.83333333333337</v>
      </c>
      <c r="I12" s="108">
        <f>IF('kWh_Streetlight Data'!J139=0,"",'kWh_Streetlight Data'!J139)</f>
        <v>854.16666666666663</v>
      </c>
      <c r="J12" s="108">
        <f>IF('kWh_Streetlight Data'!K139=0,"",'kWh_Streetlight Data'!K139)</f>
        <v>829.5</v>
      </c>
      <c r="K12" s="108">
        <f>IF('kWh_Streetlight Data'!L139=0,"",'kWh_Streetlight Data'!L139)</f>
        <v>1029.6666666666667</v>
      </c>
      <c r="L12" s="108">
        <f>IF('kWh_Streetlight Data'!M139=0,"",'kWh_Streetlight Data'!M139)</f>
        <v>2116.6666666666665</v>
      </c>
      <c r="M12" s="108">
        <f>IF('kWh_Streetlight Data'!N139=0,"",'kWh_Streetlight Data'!N139)</f>
        <v>2279.8333333333335</v>
      </c>
      <c r="N12" s="424">
        <f>IF('kWh_Streetlight Data'!O139=0,"",'kWh_Streetlight Data'!O139)</f>
        <v>1491.2222222222222</v>
      </c>
      <c r="O12" s="84">
        <f>IF('kWh_Streetlight Data'!P139=0,"",'kWh_Streetlight Data'!P139)</f>
        <v>2552.1666666666665</v>
      </c>
      <c r="P12" s="108">
        <f>IF('kWh_Streetlight Data'!Q139=0,"",'kWh_Streetlight Data'!Q139)</f>
        <v>2343.3333333333335</v>
      </c>
      <c r="Q12" s="108">
        <f>IF('kWh_Streetlight Data'!R139=0,"",'kWh_Streetlight Data'!R139)</f>
        <v>1363.1666666666667</v>
      </c>
      <c r="R12" s="108">
        <f>IF('kWh_Streetlight Data'!S139=0,"",'kWh_Streetlight Data'!S139)</f>
        <v>1402.75</v>
      </c>
      <c r="S12" s="108">
        <f>IF('kWh_Streetlight Data'!T139=0,"",'kWh_Streetlight Data'!T139)</f>
        <v>2380.6666666666665</v>
      </c>
      <c r="T12" s="108">
        <f>IF('kWh_Streetlight Data'!U139=0,"",'kWh_Streetlight Data'!U139)</f>
        <v>1229.3333333333333</v>
      </c>
      <c r="U12" s="108">
        <f>IF('kWh_Streetlight Data'!V139=0,"",'kWh_Streetlight Data'!V139)</f>
        <v>1203.3333333333333</v>
      </c>
      <c r="V12" s="108">
        <f>IF('kWh_Streetlight Data'!W139=0,"",'kWh_Streetlight Data'!W139)</f>
        <v>726</v>
      </c>
      <c r="W12" s="108">
        <f>IF('kWh_Streetlight Data'!X139=0,"",'kWh_Streetlight Data'!X139)</f>
        <v>975.66666666666663</v>
      </c>
      <c r="X12" s="108">
        <f>IF('kWh_Streetlight Data'!Y139=0,"",'kWh_Streetlight Data'!Y139)</f>
        <v>938.5</v>
      </c>
      <c r="Y12" s="108">
        <f>IF('kWh_Streetlight Data'!Z139=0,"",'kWh_Streetlight Data'!Z139)</f>
        <v>1402.8333333333333</v>
      </c>
      <c r="Z12" s="108">
        <f>IF('kWh_Streetlight Data'!AA139=0,"",'kWh_Streetlight Data'!AA139)</f>
        <v>1657.5</v>
      </c>
      <c r="AA12" s="424">
        <f>IF('kWh_Streetlight Data'!AB139=0,"",'kWh_Streetlight Data'!AB139)</f>
        <v>1511.581081081081</v>
      </c>
      <c r="AB12" s="129">
        <f>IF('kWh_Streetlight Data'!AC139=0,"",'kWh_Streetlight Data'!AC139)</f>
        <v>2304.6666666666665</v>
      </c>
      <c r="AC12" s="130">
        <f>IF('kWh_Streetlight Data'!AD139=0,"",'kWh_Streetlight Data'!AD139)</f>
        <v>1975.6666666666667</v>
      </c>
      <c r="AD12" s="130">
        <f>IF('kWh_Streetlight Data'!AE139=0,"",'kWh_Streetlight Data'!AE139)</f>
        <v>1766.3333333333333</v>
      </c>
      <c r="AE12" s="130">
        <f>IF('kWh_Streetlight Data'!AF139=0,"",'kWh_Streetlight Data'!AF139)</f>
        <v>2122.6</v>
      </c>
      <c r="AF12" s="130">
        <f>IF('kWh_Streetlight Data'!AG139=0,"",'kWh_Streetlight Data'!AG139)</f>
        <v>1433.6</v>
      </c>
      <c r="AG12" s="130">
        <f>IF('kWh_Streetlight Data'!AH139=0,"",'kWh_Streetlight Data'!AH139)</f>
        <v>999.5</v>
      </c>
      <c r="AH12" s="130">
        <f>IF('kWh_Streetlight Data'!AI139=0,"",'kWh_Streetlight Data'!AI139)</f>
        <v>751.83333333333337</v>
      </c>
      <c r="AI12" s="130">
        <f>IF('kWh_Streetlight Data'!AJ139=0,"",'kWh_Streetlight Data'!AJ139)</f>
        <v>863.5</v>
      </c>
      <c r="AJ12" s="130">
        <f>IF('kWh_Streetlight Data'!AK139=0,"",'kWh_Streetlight Data'!AK139)</f>
        <v>865.33333333333337</v>
      </c>
      <c r="AK12" s="130">
        <f>IF('kWh_Streetlight Data'!AL139=0,"",'kWh_Streetlight Data'!AL139)</f>
        <v>1152.5</v>
      </c>
      <c r="AL12" s="130">
        <f>IF('kWh_Streetlight Data'!AM139=0,"",'kWh_Streetlight Data'!AM139)</f>
        <v>1614.3333333333333</v>
      </c>
      <c r="AM12" s="130">
        <f>IF('kWh_Streetlight Data'!AN139=0,"",'kWh_Streetlight Data'!AN139)</f>
        <v>1774.1666666666667</v>
      </c>
      <c r="AN12" s="426">
        <f>IF('kWh_Streetlight Data'!AO139=0,"",'kWh_Streetlight Data'!AO139)</f>
        <v>1459.8285714285714</v>
      </c>
      <c r="AO12" s="390"/>
      <c r="AP12" s="391"/>
      <c r="AQ12" s="391"/>
      <c r="AR12" s="391"/>
      <c r="AS12" s="391"/>
      <c r="AT12" s="17"/>
      <c r="AU12" s="17">
        <f t="shared" ref="AU12:AZ12" si="3">IFERROR(AVERAGE(AH12,U12,H12),0)</f>
        <v>971.66666666666663</v>
      </c>
      <c r="AV12" s="17">
        <f t="shared" si="3"/>
        <v>814.55555555555554</v>
      </c>
      <c r="AW12" s="17">
        <f t="shared" si="3"/>
        <v>890.16666666666663</v>
      </c>
      <c r="AX12" s="17">
        <f t="shared" si="3"/>
        <v>1040.2222222222224</v>
      </c>
      <c r="AY12" s="17">
        <f t="shared" si="3"/>
        <v>1711.2777777777776</v>
      </c>
      <c r="AZ12" s="17">
        <f t="shared" si="3"/>
        <v>1903.8333333333333</v>
      </c>
      <c r="BA12" s="211"/>
      <c r="BB12" s="17">
        <v>2332.3888888888887</v>
      </c>
      <c r="BC12" s="17">
        <v>2110.5000000000005</v>
      </c>
      <c r="BD12" s="17">
        <v>1571.6666666666667</v>
      </c>
      <c r="BE12" s="17">
        <v>1698.8944444444442</v>
      </c>
      <c r="BF12" s="17">
        <f>IFERROR(AVERAGE(F12,S12,AF12),0)</f>
        <v>1710.4777777777774</v>
      </c>
      <c r="BG12" s="17">
        <f t="shared" ref="BG12:BM12" si="4">IFERROR(AVERAGE(G12,T12,AG12),0)</f>
        <v>1142.3333333333333</v>
      </c>
      <c r="BH12" s="17">
        <f t="shared" si="4"/>
        <v>971.66666666666663</v>
      </c>
      <c r="BI12" s="17">
        <f t="shared" si="4"/>
        <v>814.55555555555554</v>
      </c>
      <c r="BJ12" s="17">
        <f t="shared" si="4"/>
        <v>890.16666666666663</v>
      </c>
      <c r="BK12" s="17">
        <f t="shared" si="4"/>
        <v>1040.2222222222224</v>
      </c>
      <c r="BL12" s="17">
        <f t="shared" si="4"/>
        <v>1711.2777777777776</v>
      </c>
      <c r="BM12" s="9">
        <f t="shared" si="4"/>
        <v>1903.8333333333333</v>
      </c>
      <c r="BN12" s="211">
        <f>IFERROR(BN11/SUM(BB7:BM7)*12,0)</f>
        <v>17897.833333333332</v>
      </c>
      <c r="BO12" s="20">
        <f>BN12</f>
        <v>17897.833333333332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362"/>
      <c r="AP13" s="283"/>
      <c r="AQ13" s="283"/>
      <c r="AR13" s="283"/>
      <c r="AS13" s="283"/>
      <c r="AT13" s="276"/>
      <c r="AU13" s="39"/>
      <c r="AV13" s="39"/>
      <c r="AW13" s="39"/>
      <c r="AX13" s="39"/>
      <c r="AY13" s="39"/>
      <c r="AZ13" s="39"/>
      <c r="BA13" s="210"/>
      <c r="BB13" s="39" t="s">
        <v>2</v>
      </c>
      <c r="BC13" s="39"/>
      <c r="BD13" s="39"/>
      <c r="BE13" s="39"/>
      <c r="BF13" s="39"/>
      <c r="BG13" s="39"/>
      <c r="BH13" s="39"/>
      <c r="BI13" s="39"/>
      <c r="BJ13" s="39"/>
      <c r="BK13" s="39"/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90"/>
      <c r="AP14" s="391"/>
      <c r="AQ14" s="391"/>
      <c r="AR14" s="391"/>
      <c r="AS14" s="391"/>
      <c r="AT14" s="3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362"/>
      <c r="AP15" s="283"/>
      <c r="AQ15" s="283"/>
      <c r="AR15" s="283"/>
      <c r="AS15" s="283"/>
      <c r="AT15" s="276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362"/>
      <c r="AP16" s="283"/>
      <c r="AQ16" s="283"/>
      <c r="AR16" s="283"/>
      <c r="AS16" s="283"/>
      <c r="AT16" s="276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362"/>
      <c r="AP17" s="283"/>
      <c r="AQ17" s="283"/>
      <c r="AR17" s="283"/>
      <c r="AS17" s="283"/>
      <c r="AT17" s="276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362"/>
      <c r="AP18" s="283"/>
      <c r="AQ18" s="283"/>
      <c r="AR18" s="283"/>
      <c r="AS18" s="283"/>
      <c r="AT18" s="276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363"/>
      <c r="AP19" s="284"/>
      <c r="AQ19" s="284"/>
      <c r="AR19" s="284"/>
      <c r="AS19" s="284"/>
      <c r="AT19" s="277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90"/>
      <c r="AP20" s="391"/>
      <c r="AQ20" s="391"/>
      <c r="AR20" s="391"/>
      <c r="AS20" s="391"/>
      <c r="AT20" s="322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396"/>
      <c r="AP21" s="397"/>
      <c r="AQ21" s="397"/>
      <c r="AR21" s="397"/>
      <c r="AS21" s="397"/>
      <c r="AT21" s="325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362"/>
      <c r="AP22" s="283"/>
      <c r="AQ22" s="283"/>
      <c r="AR22" s="283"/>
      <c r="AS22" s="283"/>
      <c r="AT22" s="39"/>
      <c r="AU22" s="109">
        <f>Customers!E52</f>
        <v>18</v>
      </c>
      <c r="AV22" s="109">
        <f>Customers!F52</f>
        <v>18</v>
      </c>
      <c r="AW22" s="109">
        <f>Customers!G52</f>
        <v>18</v>
      </c>
      <c r="AX22" s="109">
        <f>Customers!H52</f>
        <v>18</v>
      </c>
      <c r="AY22" s="109">
        <f>Customers!I52</f>
        <v>18</v>
      </c>
      <c r="AZ22" s="109">
        <f>Customers!J52</f>
        <v>18</v>
      </c>
      <c r="BA22" s="210">
        <f>AZ22</f>
        <v>18</v>
      </c>
      <c r="BB22" s="124">
        <v>18</v>
      </c>
      <c r="BC22" s="38">
        <v>18</v>
      </c>
      <c r="BD22" s="38">
        <v>18</v>
      </c>
      <c r="BE22" s="38">
        <v>18</v>
      </c>
      <c r="BF22" s="38">
        <f t="shared" ref="BF22:BM22" si="5">BE22</f>
        <v>18</v>
      </c>
      <c r="BG22" s="38">
        <f t="shared" si="5"/>
        <v>18</v>
      </c>
      <c r="BH22" s="38">
        <f t="shared" si="5"/>
        <v>18</v>
      </c>
      <c r="BI22" s="38">
        <f t="shared" si="5"/>
        <v>18</v>
      </c>
      <c r="BJ22" s="38">
        <f t="shared" si="5"/>
        <v>18</v>
      </c>
      <c r="BK22" s="38">
        <f t="shared" si="5"/>
        <v>18</v>
      </c>
      <c r="BL22" s="38">
        <f t="shared" si="5"/>
        <v>18</v>
      </c>
      <c r="BM22" s="38">
        <f t="shared" si="5"/>
        <v>18</v>
      </c>
      <c r="BN22" s="210">
        <f>IFERROR(ROUND(AVERAGE(BB22:BM22),0),0)</f>
        <v>18</v>
      </c>
      <c r="BO22" s="90">
        <f>Customers!L52</f>
        <v>18</v>
      </c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362"/>
      <c r="AP23" s="283"/>
      <c r="AQ23" s="283"/>
      <c r="AR23" s="283"/>
      <c r="AS23" s="283"/>
      <c r="AT23" s="276"/>
      <c r="AU23" s="38">
        <f>ROUND(AU$26*'kWh Blocks by Rate Category'!C22,0)</f>
        <v>10417</v>
      </c>
      <c r="AV23" s="38"/>
      <c r="AW23" s="38"/>
      <c r="AX23" s="38">
        <f>ROUND(AX$26*'kWh Blocks by Rate Category'!F22,0)</f>
        <v>7268</v>
      </c>
      <c r="AY23" s="38"/>
      <c r="AZ23" s="38"/>
      <c r="BA23" s="210">
        <f>SUM(AO23:AZ23)</f>
        <v>17685</v>
      </c>
      <c r="BB23" s="38">
        <v>5109</v>
      </c>
      <c r="BC23" s="38"/>
      <c r="BD23" s="38"/>
      <c r="BE23" s="38">
        <v>5429</v>
      </c>
      <c r="BF23" s="38"/>
      <c r="BG23" s="38"/>
      <c r="BH23" s="38">
        <f>ROUND(BH$26*'kWh Blocks by Rate Category'!P22,0)</f>
        <v>9230</v>
      </c>
      <c r="BI23" s="38"/>
      <c r="BJ23" s="38"/>
      <c r="BK23" s="38">
        <f>ROUND(BK$26*'kWh Blocks by Rate Category'!S22,0)</f>
        <v>6081</v>
      </c>
      <c r="BL23" s="38">
        <f t="shared" ref="BL23:BM25" si="6">IFERROR(ROUND((Y23/Y$26)*BL$26,0),0)</f>
        <v>0</v>
      </c>
      <c r="BM23" s="38">
        <f t="shared" si="6"/>
        <v>0</v>
      </c>
      <c r="BN23" s="210">
        <f>SUM(BB23:BM23)</f>
        <v>25849</v>
      </c>
      <c r="BO23" s="90">
        <f>IFERROR(ROUND((BN23/BN$26)*BO$26,0),0)</f>
        <v>25849</v>
      </c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362"/>
      <c r="AP24" s="283"/>
      <c r="AQ24" s="283"/>
      <c r="AR24" s="283"/>
      <c r="AS24" s="283"/>
      <c r="AT24" s="276"/>
      <c r="AU24" s="38">
        <f>ROUND(AU$26*'kWh Blocks by Rate Category'!C23,0)</f>
        <v>3528</v>
      </c>
      <c r="AV24" s="38"/>
      <c r="AW24" s="38"/>
      <c r="AX24" s="38">
        <f>ROUND(AX$26*'kWh Blocks by Rate Category'!F23,0)</f>
        <v>2461</v>
      </c>
      <c r="AY24" s="38"/>
      <c r="AZ24" s="38"/>
      <c r="BA24" s="210">
        <f>SUM(AO24:AZ24)</f>
        <v>5989</v>
      </c>
      <c r="BB24" s="38">
        <v>1730</v>
      </c>
      <c r="BC24" s="38"/>
      <c r="BD24" s="38"/>
      <c r="BE24" s="38">
        <v>1839</v>
      </c>
      <c r="BF24" s="38"/>
      <c r="BG24" s="38"/>
      <c r="BH24" s="38">
        <f>ROUND(BH$26*'kWh Blocks by Rate Category'!P23,0)</f>
        <v>3126</v>
      </c>
      <c r="BI24" s="38"/>
      <c r="BJ24" s="38"/>
      <c r="BK24" s="38">
        <f>ROUND(BK$26*'kWh Blocks by Rate Category'!S23,0)</f>
        <v>2059</v>
      </c>
      <c r="BL24" s="38">
        <f t="shared" si="6"/>
        <v>0</v>
      </c>
      <c r="BM24" s="38">
        <f t="shared" si="6"/>
        <v>0</v>
      </c>
      <c r="BN24" s="210">
        <f>SUM(BB24:BM24)</f>
        <v>8754</v>
      </c>
      <c r="BO24" s="90">
        <f>IFERROR(ROUND((BN24/BN$26)*BO$26,0),0)</f>
        <v>8754</v>
      </c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362"/>
      <c r="AP25" s="283"/>
      <c r="AQ25" s="283"/>
      <c r="AR25" s="283"/>
      <c r="AS25" s="283"/>
      <c r="AT25" s="276"/>
      <c r="AU25" s="38">
        <f>ROUND(AU$26*'kWh Blocks by Rate Category'!C24,0)</f>
        <v>1854</v>
      </c>
      <c r="AV25" s="38"/>
      <c r="AW25" s="38"/>
      <c r="AX25" s="38">
        <f>ROUND(AX$26*'kWh Blocks by Rate Category'!F24,0)</f>
        <v>1293</v>
      </c>
      <c r="AY25" s="38"/>
      <c r="AZ25" s="38"/>
      <c r="BA25" s="210">
        <f>SUM(AO25:AZ25)</f>
        <v>3147</v>
      </c>
      <c r="BB25" s="38">
        <v>909</v>
      </c>
      <c r="BC25" s="38"/>
      <c r="BD25" s="38"/>
      <c r="BE25" s="38">
        <v>966</v>
      </c>
      <c r="BF25" s="38"/>
      <c r="BG25" s="38"/>
      <c r="BH25" s="38">
        <f>ROUND(BH$26*'kWh Blocks by Rate Category'!P24,0)</f>
        <v>1642</v>
      </c>
      <c r="BI25" s="38"/>
      <c r="BJ25" s="38"/>
      <c r="BK25" s="38">
        <f>ROUND(BK$26*'kWh Blocks by Rate Category'!S24,0)</f>
        <v>1082</v>
      </c>
      <c r="BL25" s="38">
        <f t="shared" si="6"/>
        <v>0</v>
      </c>
      <c r="BM25" s="38">
        <f t="shared" si="6"/>
        <v>0</v>
      </c>
      <c r="BN25" s="210">
        <f>SUM(BB25:BM25)</f>
        <v>4599</v>
      </c>
      <c r="BO25" s="91">
        <f>IFERROR(ROUND((BN25/BN$26)*BO$26,0),0)</f>
        <v>4599</v>
      </c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363"/>
      <c r="AP26" s="284"/>
      <c r="AQ26" s="284"/>
      <c r="AR26" s="284"/>
      <c r="AS26" s="284"/>
      <c r="AT26" s="277"/>
      <c r="AU26" s="64">
        <f t="shared" ref="AU26" si="7">IFERROR(ROUND(AU27*AU22,0),0)</f>
        <v>15798</v>
      </c>
      <c r="AV26" s="64"/>
      <c r="AW26" s="64"/>
      <c r="AX26" s="64">
        <f t="shared" ref="AX26" si="8">IFERROR(ROUND(AX27*AX22,0),0)</f>
        <v>11023</v>
      </c>
      <c r="AY26" s="64"/>
      <c r="AZ26" s="64"/>
      <c r="BA26" s="196">
        <f>SUM(AO26:AZ26)</f>
        <v>26821</v>
      </c>
      <c r="BB26" s="64">
        <v>7748</v>
      </c>
      <c r="BC26" s="64"/>
      <c r="BD26" s="64"/>
      <c r="BE26" s="64">
        <v>8234</v>
      </c>
      <c r="BF26" s="64"/>
      <c r="BG26" s="64"/>
      <c r="BH26" s="64">
        <f>IFERROR(ROUND(BH27*BH22,0),0)</f>
        <v>13998</v>
      </c>
      <c r="BI26" s="64"/>
      <c r="BJ26" s="277"/>
      <c r="BK26" s="64">
        <f>IFERROR(ROUND(BK27*BK22,0),0)</f>
        <v>9223</v>
      </c>
      <c r="BL26" s="64">
        <f t="shared" ref="BL26:BM26" si="9">IFERROR(ROUND(BL27*BL22,0),0)</f>
        <v>0</v>
      </c>
      <c r="BM26" s="64">
        <f t="shared" si="9"/>
        <v>0</v>
      </c>
      <c r="BN26" s="196">
        <f>SUM(BB26:BM26)</f>
        <v>39203</v>
      </c>
      <c r="BO26" s="147">
        <f>ROUND(BO22*BO27,0)</f>
        <v>39203</v>
      </c>
    </row>
    <row r="27" spans="1:67" s="1" customFormat="1" ht="15" thickTop="1">
      <c r="A27" s="143" t="s">
        <v>54</v>
      </c>
      <c r="B27" s="129">
        <f>IF('kWh_Streetlight Data'!C140=0,"",'kWh_Streetlight Data'!C140)</f>
        <v>758</v>
      </c>
      <c r="C27" s="108" t="str">
        <f>IF('kWh_Streetlight Data'!D140=0,"",'kWh_Streetlight Data'!D140)</f>
        <v/>
      </c>
      <c r="D27" s="108" t="str">
        <f>IF('kWh_Streetlight Data'!E140=0,"",'kWh_Streetlight Data'!E140)</f>
        <v/>
      </c>
      <c r="E27" s="108">
        <f>IF('kWh_Streetlight Data'!F140=0,"",'kWh_Streetlight Data'!F140)</f>
        <v>1242.7777777777778</v>
      </c>
      <c r="F27" s="108" t="str">
        <f>IF('kWh_Streetlight Data'!G140=0,"",'kWh_Streetlight Data'!G140)</f>
        <v/>
      </c>
      <c r="G27" s="108" t="str">
        <f>IF('kWh_Streetlight Data'!H140=0,"",'kWh_Streetlight Data'!H140)</f>
        <v/>
      </c>
      <c r="H27" s="108">
        <f>IF('kWh_Streetlight Data'!I140=0,"",'kWh_Streetlight Data'!I140)</f>
        <v>1040</v>
      </c>
      <c r="I27" s="108" t="str">
        <f>IF('kWh_Streetlight Data'!J140=0,"",'kWh_Streetlight Data'!J140)</f>
        <v/>
      </c>
      <c r="J27" s="108" t="str">
        <f>IF('kWh_Streetlight Data'!K140=0,"",'kWh_Streetlight Data'!K140)</f>
        <v/>
      </c>
      <c r="K27" s="108">
        <f>IF('kWh_Streetlight Data'!L140=0,"",'kWh_Streetlight Data'!L140)</f>
        <v>714.10526315789468</v>
      </c>
      <c r="L27" s="108" t="str">
        <f>IF('kWh_Streetlight Data'!M140=0,"",'kWh_Streetlight Data'!M140)</f>
        <v/>
      </c>
      <c r="M27" s="108" t="str">
        <f>IF('kWh_Streetlight Data'!N140=0,"",'kWh_Streetlight Data'!N140)</f>
        <v/>
      </c>
      <c r="N27" s="424">
        <f>IF('kWh_Streetlight Data'!O140=0,"",'kWh_Streetlight Data'!O140)</f>
        <v>742.2166666666667</v>
      </c>
      <c r="O27" s="84">
        <f>IF('kWh_Streetlight Data'!P140=0,"",'kWh_Streetlight Data'!P140)</f>
        <v>702.90909090909088</v>
      </c>
      <c r="P27" s="108" t="str">
        <f>IF('kWh_Streetlight Data'!Q140=0,"",'kWh_Streetlight Data'!Q140)</f>
        <v/>
      </c>
      <c r="Q27" s="108" t="str">
        <f>IF('kWh_Streetlight Data'!R140=0,"",'kWh_Streetlight Data'!R140)</f>
        <v/>
      </c>
      <c r="R27" s="108">
        <f>IF('kWh_Streetlight Data'!S140=0,"",'kWh_Streetlight Data'!S140)</f>
        <v>297.57142857142856</v>
      </c>
      <c r="S27" s="108" t="str">
        <f>IF('kWh_Streetlight Data'!T140=0,"",'kWh_Streetlight Data'!T140)</f>
        <v/>
      </c>
      <c r="T27" s="108" t="str">
        <f>IF('kWh_Streetlight Data'!U140=0,"",'kWh_Streetlight Data'!U140)</f>
        <v/>
      </c>
      <c r="U27" s="108">
        <f>IF('kWh_Streetlight Data'!V140=0,"",'kWh_Streetlight Data'!V140)</f>
        <v>758.57142857142856</v>
      </c>
      <c r="V27" s="108" t="str">
        <f>IF('kWh_Streetlight Data'!W140=0,"",'kWh_Streetlight Data'!W140)</f>
        <v/>
      </c>
      <c r="W27" s="108" t="str">
        <f>IF('kWh_Streetlight Data'!X140=0,"",'kWh_Streetlight Data'!X140)</f>
        <v/>
      </c>
      <c r="X27" s="108">
        <f>IF('kWh_Streetlight Data'!Y140=0,"",'kWh_Streetlight Data'!Y140)</f>
        <v>470.55555555555554</v>
      </c>
      <c r="Y27" s="108" t="str">
        <f>IF('kWh_Streetlight Data'!Z140=0,"",'kWh_Streetlight Data'!Z140)</f>
        <v/>
      </c>
      <c r="Z27" s="108" t="str">
        <f>IF('kWh_Streetlight Data'!AA140=0,"",'kWh_Streetlight Data'!AA140)</f>
        <v/>
      </c>
      <c r="AA27" s="424">
        <f>IF('kWh_Streetlight Data'!AB140=0,"",'kWh_Streetlight Data'!AB140)</f>
        <v>530.9636363636364</v>
      </c>
      <c r="AB27" s="129" t="str">
        <f>IF('kWh_Streetlight Data'!AC140=0,"",'kWh_Streetlight Data'!AC140)</f>
        <v/>
      </c>
      <c r="AC27" s="130" t="str">
        <f>IF('kWh_Streetlight Data'!AD140=0,"",'kWh_Streetlight Data'!AD140)</f>
        <v/>
      </c>
      <c r="AD27" s="130" t="str">
        <f>IF('kWh_Streetlight Data'!AE140=0,"",'kWh_Streetlight Data'!AE140)</f>
        <v/>
      </c>
      <c r="AE27" s="130">
        <f>IF('kWh_Streetlight Data'!AF140=0,"",'kWh_Streetlight Data'!AF140)</f>
        <v>432</v>
      </c>
      <c r="AF27" s="130" t="str">
        <f>IF('kWh_Streetlight Data'!AG140=0,"",'kWh_Streetlight Data'!AG140)</f>
        <v/>
      </c>
      <c r="AG27" s="130" t="str">
        <f>IF('kWh_Streetlight Data'!AH140=0,"",'kWh_Streetlight Data'!AH140)</f>
        <v/>
      </c>
      <c r="AH27" s="130">
        <f>IF('kWh_Streetlight Data'!AI140=0,"",'kWh_Streetlight Data'!AI140)</f>
        <v>834.35714285714289</v>
      </c>
      <c r="AI27" s="130" t="str">
        <f>IF('kWh_Streetlight Data'!AJ140=0,"",'kWh_Streetlight Data'!AJ140)</f>
        <v/>
      </c>
      <c r="AJ27" s="130" t="str">
        <f>IF('kWh_Streetlight Data'!AK140=0,"",'kWh_Streetlight Data'!AK140)</f>
        <v/>
      </c>
      <c r="AK27" s="130">
        <f>IF('kWh_Streetlight Data'!AL140=0,"",'kWh_Streetlight Data'!AL140)</f>
        <v>652.5454545454545</v>
      </c>
      <c r="AL27" s="130" t="str">
        <f>IF('kWh_Streetlight Data'!AM140=0,"",'kWh_Streetlight Data'!AM140)</f>
        <v/>
      </c>
      <c r="AM27" s="130" t="str">
        <f>IF('kWh_Streetlight Data'!AN140=0,"",'kWh_Streetlight Data'!AN140)</f>
        <v/>
      </c>
      <c r="AN27" s="426">
        <f>IF('kWh_Streetlight Data'!AO140=0,"",'kWh_Streetlight Data'!AO140)</f>
        <v>605.28947368421052</v>
      </c>
      <c r="AO27" s="362"/>
      <c r="AP27" s="283"/>
      <c r="AQ27" s="283"/>
      <c r="AR27" s="283"/>
      <c r="AS27" s="283"/>
      <c r="AT27" s="17"/>
      <c r="AU27" s="17">
        <f t="shared" ref="AU27" si="10">IFERROR(AVERAGE(AH27,U27,H27),0)</f>
        <v>877.64285714285722</v>
      </c>
      <c r="AV27" s="17"/>
      <c r="AW27" s="17"/>
      <c r="AX27" s="17">
        <f>IFERROR(AVERAGE(AK27,X27,K27),0)</f>
        <v>612.40209108630154</v>
      </c>
      <c r="AY27" s="17"/>
      <c r="AZ27" s="17"/>
      <c r="BA27" s="211">
        <f>IFERROR(BA26/SUM(AO22:AZ22),0)</f>
        <v>248.34259259259258</v>
      </c>
      <c r="BB27" s="507">
        <v>430.4545454545455</v>
      </c>
      <c r="BC27" s="505"/>
      <c r="BD27" s="505"/>
      <c r="BE27" s="507">
        <v>457.44973544973539</v>
      </c>
      <c r="BF27" s="505"/>
      <c r="BG27" s="505"/>
      <c r="BH27" s="507">
        <f>IFERROR(AVERAGE(H27,U27,AH27),0)-100</f>
        <v>777.64285714285722</v>
      </c>
      <c r="BI27" s="505"/>
      <c r="BJ27" s="505"/>
      <c r="BK27" s="507">
        <f>IFERROR(AVERAGE(K27,X27,AK27),0)-100</f>
        <v>512.40209108630154</v>
      </c>
      <c r="BL27" s="505"/>
      <c r="BM27" s="505"/>
      <c r="BN27" s="211">
        <f>IFERROR(BN26/SUM(BB22:BM22)*12,0)</f>
        <v>2177.9444444444443</v>
      </c>
      <c r="BO27" s="20">
        <f>BN27</f>
        <v>2177.9444444444443</v>
      </c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396"/>
      <c r="AP28" s="397"/>
      <c r="AQ28" s="397"/>
      <c r="AR28" s="397"/>
      <c r="AS28" s="397"/>
      <c r="AT28" s="325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362"/>
      <c r="AP29" s="283"/>
      <c r="AQ29" s="283"/>
      <c r="AR29" s="283"/>
      <c r="AS29" s="283"/>
      <c r="AT29" s="39"/>
      <c r="AU29" s="109">
        <f>Customers!E53</f>
        <v>5</v>
      </c>
      <c r="AV29" s="109">
        <f>Customers!F53</f>
        <v>5</v>
      </c>
      <c r="AW29" s="109">
        <f>Customers!G53</f>
        <v>5</v>
      </c>
      <c r="AX29" s="109">
        <f>Customers!H53</f>
        <v>5</v>
      </c>
      <c r="AY29" s="109">
        <f>Customers!I53</f>
        <v>5</v>
      </c>
      <c r="AZ29" s="109">
        <f>Customers!J53</f>
        <v>5</v>
      </c>
      <c r="BA29" s="210">
        <f>AZ29</f>
        <v>5</v>
      </c>
      <c r="BB29" s="124">
        <v>5</v>
      </c>
      <c r="BC29" s="38">
        <v>5</v>
      </c>
      <c r="BD29" s="38">
        <v>5</v>
      </c>
      <c r="BE29" s="38">
        <v>5</v>
      </c>
      <c r="BF29" s="38">
        <f t="shared" ref="BF29:BM29" si="11">BE29</f>
        <v>5</v>
      </c>
      <c r="BG29" s="38">
        <f t="shared" si="11"/>
        <v>5</v>
      </c>
      <c r="BH29" s="38">
        <f t="shared" si="11"/>
        <v>5</v>
      </c>
      <c r="BI29" s="38">
        <f t="shared" si="11"/>
        <v>5</v>
      </c>
      <c r="BJ29" s="38">
        <f t="shared" si="11"/>
        <v>5</v>
      </c>
      <c r="BK29" s="38">
        <f t="shared" si="11"/>
        <v>5</v>
      </c>
      <c r="BL29" s="38">
        <f t="shared" si="11"/>
        <v>5</v>
      </c>
      <c r="BM29" s="38">
        <f t="shared" si="11"/>
        <v>5</v>
      </c>
      <c r="BN29" s="210">
        <f>IFERROR(ROUND(AVERAGE(BB29:BM29),0),0)</f>
        <v>5</v>
      </c>
      <c r="BO29" s="90">
        <f>Customers!L53</f>
        <v>5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362"/>
      <c r="AP30" s="283"/>
      <c r="AQ30" s="283"/>
      <c r="AR30" s="283"/>
      <c r="AS30" s="283"/>
      <c r="AT30" s="39"/>
      <c r="AU30" s="39">
        <f t="shared" ref="AU30:AZ30" si="12">AU33</f>
        <v>6084</v>
      </c>
      <c r="AV30" s="39">
        <f t="shared" si="12"/>
        <v>7544</v>
      </c>
      <c r="AW30" s="39">
        <f t="shared" si="12"/>
        <v>6613</v>
      </c>
      <c r="AX30" s="39">
        <f t="shared" si="12"/>
        <v>6238</v>
      </c>
      <c r="AY30" s="39">
        <f t="shared" si="12"/>
        <v>6774</v>
      </c>
      <c r="AZ30" s="39">
        <f t="shared" si="12"/>
        <v>7716</v>
      </c>
      <c r="BA30" s="210">
        <f>SUM(AO30:AZ30)</f>
        <v>40969</v>
      </c>
      <c r="BB30" s="38">
        <v>10209</v>
      </c>
      <c r="BC30" s="38">
        <v>9238</v>
      </c>
      <c r="BD30" s="38">
        <v>7813</v>
      </c>
      <c r="BE30" s="38">
        <v>8794</v>
      </c>
      <c r="BF30" s="38">
        <f t="shared" ref="BF30:BM30" si="13">BF33</f>
        <v>7702</v>
      </c>
      <c r="BG30" s="38">
        <f t="shared" si="13"/>
        <v>6402</v>
      </c>
      <c r="BH30" s="38">
        <f t="shared" si="13"/>
        <v>6084</v>
      </c>
      <c r="BI30" s="38">
        <f t="shared" si="13"/>
        <v>7544</v>
      </c>
      <c r="BJ30" s="38">
        <f t="shared" si="13"/>
        <v>6613</v>
      </c>
      <c r="BK30" s="38">
        <f t="shared" si="13"/>
        <v>6238</v>
      </c>
      <c r="BL30" s="38">
        <f t="shared" si="13"/>
        <v>6774</v>
      </c>
      <c r="BM30" s="38">
        <f t="shared" si="13"/>
        <v>7716</v>
      </c>
      <c r="BN30" s="210">
        <f>SUM(BB30:BM30)</f>
        <v>91127</v>
      </c>
      <c r="BO30" s="90">
        <f>IFERROR(ROUND((BN30/BN$33)*BO$33,0),0)</f>
        <v>91127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362"/>
      <c r="AP31" s="283"/>
      <c r="AQ31" s="283"/>
      <c r="AR31" s="283"/>
      <c r="AS31" s="283"/>
      <c r="AT31" s="39"/>
      <c r="AU31" s="39"/>
      <c r="AV31" s="39"/>
      <c r="AW31" s="39"/>
      <c r="AX31" s="39"/>
      <c r="AY31" s="39"/>
      <c r="AZ31" s="39"/>
      <c r="BA31" s="210">
        <f>SUM(AO31:AZ31)</f>
        <v>0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210">
        <f>SUM(BB31:BM31)</f>
        <v>0</v>
      </c>
      <c r="BO31" s="90">
        <f t="shared" ref="BO31:BO32" si="14">IFERROR(ROUND((BN31/BN$33)*BO$33,0),0)</f>
        <v>0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362"/>
      <c r="AP32" s="283"/>
      <c r="AQ32" s="283"/>
      <c r="AR32" s="283"/>
      <c r="AS32" s="283"/>
      <c r="AT32" s="39"/>
      <c r="AU32" s="39"/>
      <c r="AV32" s="39"/>
      <c r="AW32" s="39"/>
      <c r="AX32" s="39"/>
      <c r="AY32" s="39"/>
      <c r="AZ32" s="39"/>
      <c r="BA32" s="210">
        <f>SUM(AO32:AZ32)</f>
        <v>0</v>
      </c>
      <c r="BB32" s="56">
        <v>0</v>
      </c>
      <c r="BC32" s="56">
        <v>0</v>
      </c>
      <c r="BD32" s="56">
        <v>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56">
        <v>0</v>
      </c>
      <c r="BN32" s="210">
        <f>SUM(BB32:BM32)</f>
        <v>0</v>
      </c>
      <c r="BO32" s="90">
        <f t="shared" si="14"/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363"/>
      <c r="AP33" s="284"/>
      <c r="AQ33" s="284"/>
      <c r="AR33" s="284"/>
      <c r="AS33" s="284"/>
      <c r="AT33" s="64"/>
      <c r="AU33" s="64">
        <f t="shared" ref="AU33:AZ33" si="15">IFERROR(ROUND(AU34*AU29,0),0)</f>
        <v>6084</v>
      </c>
      <c r="AV33" s="64">
        <f t="shared" si="15"/>
        <v>7544</v>
      </c>
      <c r="AW33" s="64">
        <f t="shared" si="15"/>
        <v>6613</v>
      </c>
      <c r="AX33" s="64">
        <f t="shared" si="15"/>
        <v>6238</v>
      </c>
      <c r="AY33" s="64">
        <f t="shared" si="15"/>
        <v>6774</v>
      </c>
      <c r="AZ33" s="64">
        <f t="shared" si="15"/>
        <v>7716</v>
      </c>
      <c r="BA33" s="196">
        <f>SUM(AO33:AZ33)</f>
        <v>40969</v>
      </c>
      <c r="BB33" s="64">
        <v>10209</v>
      </c>
      <c r="BC33" s="64">
        <v>9238</v>
      </c>
      <c r="BD33" s="64">
        <v>7813</v>
      </c>
      <c r="BE33" s="64">
        <v>8794</v>
      </c>
      <c r="BF33" s="64">
        <f t="shared" ref="BF33:BM33" si="16">IFERROR(ROUND(BF34*BF29,0),0)</f>
        <v>7702</v>
      </c>
      <c r="BG33" s="64">
        <f t="shared" si="16"/>
        <v>6402</v>
      </c>
      <c r="BH33" s="64">
        <f t="shared" si="16"/>
        <v>6084</v>
      </c>
      <c r="BI33" s="64">
        <f t="shared" si="16"/>
        <v>7544</v>
      </c>
      <c r="BJ33" s="64">
        <f t="shared" si="16"/>
        <v>6613</v>
      </c>
      <c r="BK33" s="64">
        <f t="shared" si="16"/>
        <v>6238</v>
      </c>
      <c r="BL33" s="64">
        <f t="shared" si="16"/>
        <v>6774</v>
      </c>
      <c r="BM33" s="64">
        <f t="shared" si="16"/>
        <v>7716</v>
      </c>
      <c r="BN33" s="196">
        <f>SUM(BB33:BM33)</f>
        <v>91127</v>
      </c>
      <c r="BO33" s="147">
        <f>ROUND(BO29*BO34,0)</f>
        <v>91127</v>
      </c>
    </row>
    <row r="34" spans="1:67" ht="15.75" customHeight="1" thickTop="1">
      <c r="A34" s="374" t="s">
        <v>54</v>
      </c>
      <c r="B34" s="129">
        <f>IF('kWh_Streetlight Data'!C141=0,"",'kWh_Streetlight Data'!C141)</f>
        <v>1619.8</v>
      </c>
      <c r="C34" s="108">
        <f>IF('kWh_Streetlight Data'!D141=0,"",'kWh_Streetlight Data'!D141)</f>
        <v>1645.2</v>
      </c>
      <c r="D34" s="108">
        <f>IF('kWh_Streetlight Data'!E141=0,"",'kWh_Streetlight Data'!E141)</f>
        <v>1263.5999999999999</v>
      </c>
      <c r="E34" s="108">
        <f>IF('kWh_Streetlight Data'!F141=0,"",'kWh_Streetlight Data'!F141)</f>
        <v>1359.8</v>
      </c>
      <c r="F34" s="108">
        <f>IF('kWh_Streetlight Data'!G141=0,"",'kWh_Streetlight Data'!G141)</f>
        <v>1047.5999999999999</v>
      </c>
      <c r="G34" s="108">
        <f>IF('kWh_Streetlight Data'!H141=0,"",'kWh_Streetlight Data'!H141)</f>
        <v>1161.5999999999999</v>
      </c>
      <c r="H34" s="108">
        <f>IF('kWh_Streetlight Data'!I141=0,"",'kWh_Streetlight Data'!I141)</f>
        <v>1043.2</v>
      </c>
      <c r="I34" s="108">
        <f>IF('kWh_Streetlight Data'!J141=0,"",'kWh_Streetlight Data'!J141)</f>
        <v>1162.5999999999999</v>
      </c>
      <c r="J34" s="108">
        <f>IF('kWh_Streetlight Data'!K141=0,"",'kWh_Streetlight Data'!K141)</f>
        <v>1131.4000000000001</v>
      </c>
      <c r="K34" s="108">
        <f>IF('kWh_Streetlight Data'!L141=0,"",'kWh_Streetlight Data'!L141)</f>
        <v>1044.2</v>
      </c>
      <c r="L34" s="108">
        <f>IF('kWh_Streetlight Data'!M141=0,"",'kWh_Streetlight Data'!M141)</f>
        <v>1273.8</v>
      </c>
      <c r="M34" s="108">
        <f>IF('kWh_Streetlight Data'!N141=0,"",'kWh_Streetlight Data'!N141)</f>
        <v>1598.8</v>
      </c>
      <c r="N34" s="424">
        <f>IF('kWh_Streetlight Data'!O141=0,"",'kWh_Streetlight Data'!O141)</f>
        <v>1279.3</v>
      </c>
      <c r="O34" s="84">
        <f>IF('kWh_Streetlight Data'!P141=0,"",'kWh_Streetlight Data'!P141)</f>
        <v>1959</v>
      </c>
      <c r="P34" s="108">
        <f>IF('kWh_Streetlight Data'!Q141=0,"",'kWh_Streetlight Data'!Q141)</f>
        <v>1703.6</v>
      </c>
      <c r="Q34" s="108">
        <f>IF('kWh_Streetlight Data'!R141=0,"",'kWh_Streetlight Data'!R141)</f>
        <v>1269.2</v>
      </c>
      <c r="R34" s="108">
        <f>IF('kWh_Streetlight Data'!S141=0,"",'kWh_Streetlight Data'!S141)</f>
        <v>1480.8</v>
      </c>
      <c r="S34" s="108">
        <f>IF('kWh_Streetlight Data'!T141=0,"",'kWh_Streetlight Data'!T141)</f>
        <v>1811.8</v>
      </c>
      <c r="T34" s="108">
        <f>IF('kWh_Streetlight Data'!U141=0,"",'kWh_Streetlight Data'!U141)</f>
        <v>1241.5999999999999</v>
      </c>
      <c r="U34" s="108">
        <f>IF('kWh_Streetlight Data'!V141=0,"",'kWh_Streetlight Data'!V141)</f>
        <v>1600.8</v>
      </c>
      <c r="V34" s="108">
        <f>IF('kWh_Streetlight Data'!W141=0,"",'kWh_Streetlight Data'!W141)</f>
        <v>1816</v>
      </c>
      <c r="W34" s="108">
        <f>IF('kWh_Streetlight Data'!X141=0,"",'kWh_Streetlight Data'!X141)</f>
        <v>1791.8</v>
      </c>
      <c r="X34" s="108">
        <f>IF('kWh_Streetlight Data'!Y141=0,"",'kWh_Streetlight Data'!Y141)</f>
        <v>1368.2</v>
      </c>
      <c r="Y34" s="108">
        <f>IF('kWh_Streetlight Data'!Z141=0,"",'kWh_Streetlight Data'!Z141)</f>
        <v>1458.8</v>
      </c>
      <c r="Z34" s="108">
        <f>IF('kWh_Streetlight Data'!AA141=0,"",'kWh_Streetlight Data'!AA141)</f>
        <v>1650.6</v>
      </c>
      <c r="AA34" s="424">
        <f>IF('kWh_Streetlight Data'!AB141=0,"",'kWh_Streetlight Data'!AB141)</f>
        <v>1596.0166666666667</v>
      </c>
      <c r="AB34" s="129">
        <f>IF('kWh_Streetlight Data'!AC141=0,"",'kWh_Streetlight Data'!AC141)</f>
        <v>2546.4</v>
      </c>
      <c r="AC34" s="130">
        <f>IF('kWh_Streetlight Data'!AD141=0,"",'kWh_Streetlight Data'!AD141)</f>
        <v>2194</v>
      </c>
      <c r="AD34" s="130">
        <f>IF('kWh_Streetlight Data'!AE141=0,"",'kWh_Streetlight Data'!AE141)</f>
        <v>2155</v>
      </c>
      <c r="AE34" s="130">
        <f>IF('kWh_Streetlight Data'!AF141=0,"",'kWh_Streetlight Data'!AF141)</f>
        <v>2435.8000000000002</v>
      </c>
      <c r="AF34" s="130">
        <f>IF('kWh_Streetlight Data'!AG141=0,"",'kWh_Streetlight Data'!AG141)</f>
        <v>1761.6</v>
      </c>
      <c r="AG34" s="130">
        <f>IF('kWh_Streetlight Data'!AH141=0,"",'kWh_Streetlight Data'!AH141)</f>
        <v>1438.2</v>
      </c>
      <c r="AH34" s="130">
        <f>IF('kWh_Streetlight Data'!AI141=0,"",'kWh_Streetlight Data'!AI141)</f>
        <v>1006.4</v>
      </c>
      <c r="AI34" s="130">
        <f>IF('kWh_Streetlight Data'!AJ141=0,"",'kWh_Streetlight Data'!AJ141)</f>
        <v>1548</v>
      </c>
      <c r="AJ34" s="130">
        <f>IF('kWh_Streetlight Data'!AK141=0,"",'kWh_Streetlight Data'!AK141)</f>
        <v>1044.8</v>
      </c>
      <c r="AK34" s="130">
        <f>IF('kWh_Streetlight Data'!AL141=0,"",'kWh_Streetlight Data'!AL141)</f>
        <v>1330.4</v>
      </c>
      <c r="AL34" s="130">
        <f>IF('kWh_Streetlight Data'!AM141=0,"",'kWh_Streetlight Data'!AM141)</f>
        <v>1331.6</v>
      </c>
      <c r="AM34" s="130">
        <f>IF('kWh_Streetlight Data'!AN141=0,"",'kWh_Streetlight Data'!AN141)</f>
        <v>1380.4</v>
      </c>
      <c r="AN34" s="426">
        <f>IF('kWh_Streetlight Data'!AO141=0,"",'kWh_Streetlight Data'!AO141)</f>
        <v>1681.05</v>
      </c>
      <c r="AO34" s="364"/>
      <c r="AP34" s="285"/>
      <c r="AQ34" s="285"/>
      <c r="AR34" s="285"/>
      <c r="AS34" s="285"/>
      <c r="AT34" s="17"/>
      <c r="AU34" s="17">
        <f t="shared" ref="AU34" si="17">IFERROR(AVERAGE(AH34,U34,H34),0)</f>
        <v>1216.8</v>
      </c>
      <c r="AV34" s="17">
        <f t="shared" ref="AV34" si="18">IFERROR(AVERAGE(AI34,V34,I34),0)</f>
        <v>1508.8666666666668</v>
      </c>
      <c r="AW34" s="17">
        <f t="shared" ref="AW34" si="19">IFERROR(AVERAGE(AJ34,W34,J34),0)</f>
        <v>1322.6666666666667</v>
      </c>
      <c r="AX34" s="17">
        <f t="shared" ref="AX34" si="20">IFERROR(AVERAGE(AK34,X34,K34),0)</f>
        <v>1247.6000000000001</v>
      </c>
      <c r="AY34" s="17">
        <f t="shared" ref="AY34" si="21">IFERROR(AVERAGE(AL34,Y34,L34),0)</f>
        <v>1354.7333333333333</v>
      </c>
      <c r="AZ34" s="17">
        <f t="shared" ref="AZ34" si="22">IFERROR(AVERAGE(AM34,Z34,M34),0)</f>
        <v>1543.2666666666667</v>
      </c>
      <c r="BA34" s="211">
        <f>IFERROR(BA33/SUM(AO29:AZ29),0)</f>
        <v>1365.6333333333334</v>
      </c>
      <c r="BB34" s="17">
        <v>2041.7333333333336</v>
      </c>
      <c r="BC34" s="17">
        <v>1847.6000000000001</v>
      </c>
      <c r="BD34" s="17">
        <v>1562.6000000000001</v>
      </c>
      <c r="BE34" s="17">
        <v>1758.8</v>
      </c>
      <c r="BF34" s="17">
        <f t="shared" ref="BF34:BM34" si="23">IFERROR(AVERAGE(F34,S34,AF34),0)</f>
        <v>1540.3333333333333</v>
      </c>
      <c r="BG34" s="17">
        <f t="shared" si="23"/>
        <v>1280.4666666666665</v>
      </c>
      <c r="BH34" s="17">
        <f t="shared" si="23"/>
        <v>1216.8</v>
      </c>
      <c r="BI34" s="17">
        <f t="shared" si="23"/>
        <v>1508.8666666666668</v>
      </c>
      <c r="BJ34" s="17">
        <f t="shared" si="23"/>
        <v>1322.6666666666667</v>
      </c>
      <c r="BK34" s="17">
        <f t="shared" si="23"/>
        <v>1247.6000000000001</v>
      </c>
      <c r="BL34" s="17">
        <f t="shared" si="23"/>
        <v>1354.7333333333333</v>
      </c>
      <c r="BM34" s="17">
        <f t="shared" si="23"/>
        <v>1543.2666666666664</v>
      </c>
      <c r="BN34" s="211">
        <f>IFERROR(BN33/SUM(BB29:BM29)*12,0)</f>
        <v>18225.400000000001</v>
      </c>
      <c r="BO34" s="20">
        <f>BN34</f>
        <v>18225.400000000001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90"/>
      <c r="AP35" s="391"/>
      <c r="AQ35" s="391"/>
      <c r="AR35" s="391"/>
      <c r="AS35" s="391"/>
      <c r="AT35" s="3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362"/>
      <c r="AP36" s="283"/>
      <c r="AQ36" s="283"/>
      <c r="AR36" s="283"/>
      <c r="AS36" s="283"/>
      <c r="AT36" s="276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362"/>
      <c r="AP37" s="283"/>
      <c r="AQ37" s="283"/>
      <c r="AR37" s="283"/>
      <c r="AS37" s="283"/>
      <c r="AT37" s="276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362"/>
      <c r="AP38" s="283"/>
      <c r="AQ38" s="283"/>
      <c r="AR38" s="283"/>
      <c r="AS38" s="283"/>
      <c r="AT38" s="276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362"/>
      <c r="AP39" s="283"/>
      <c r="AQ39" s="283"/>
      <c r="AR39" s="283"/>
      <c r="AS39" s="283"/>
      <c r="AT39" s="276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363"/>
      <c r="AP40" s="284"/>
      <c r="AQ40" s="284"/>
      <c r="AR40" s="284"/>
      <c r="AS40" s="284"/>
      <c r="AT40" s="277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90"/>
      <c r="AP41" s="391"/>
      <c r="AQ41" s="391"/>
      <c r="AR41" s="391"/>
      <c r="AS41" s="391"/>
      <c r="AT41" s="322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396"/>
      <c r="AP42" s="397"/>
      <c r="AQ42" s="397"/>
      <c r="AR42" s="397"/>
      <c r="AS42" s="397"/>
      <c r="AT42" s="325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362"/>
      <c r="AP43" s="283"/>
      <c r="AQ43" s="283"/>
      <c r="AR43" s="283"/>
      <c r="AS43" s="283"/>
      <c r="AT43" s="276"/>
      <c r="AU43" s="124"/>
      <c r="AV43" s="124"/>
      <c r="AW43" s="124"/>
      <c r="AX43" s="124"/>
      <c r="AY43" s="124"/>
      <c r="AZ43" s="124"/>
      <c r="BA43" s="210"/>
      <c r="BB43" s="124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362"/>
      <c r="AP44" s="283"/>
      <c r="AQ44" s="283"/>
      <c r="AR44" s="283"/>
      <c r="AS44" s="283"/>
      <c r="AT44" s="276"/>
      <c r="AU44" s="38"/>
      <c r="AV44" s="38"/>
      <c r="AW44" s="38"/>
      <c r="AX44" s="38"/>
      <c r="AY44" s="38"/>
      <c r="AZ44" s="38"/>
      <c r="BA44" s="210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362"/>
      <c r="AP45" s="283"/>
      <c r="AQ45" s="283"/>
      <c r="AR45" s="283"/>
      <c r="AS45" s="283"/>
      <c r="AT45" s="276"/>
      <c r="AU45" s="38"/>
      <c r="AV45" s="38"/>
      <c r="AW45" s="38"/>
      <c r="AX45" s="38"/>
      <c r="AY45" s="38"/>
      <c r="AZ45" s="38"/>
      <c r="BA45" s="210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362"/>
      <c r="AP46" s="283"/>
      <c r="AQ46" s="283"/>
      <c r="AR46" s="283"/>
      <c r="AS46" s="283"/>
      <c r="AT46" s="276"/>
      <c r="AU46" s="38"/>
      <c r="AV46" s="38"/>
      <c r="AW46" s="38"/>
      <c r="AX46" s="38"/>
      <c r="AY46" s="38"/>
      <c r="AZ46" s="38"/>
      <c r="BA46" s="210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363"/>
      <c r="AP47" s="284"/>
      <c r="AQ47" s="284"/>
      <c r="AR47" s="284"/>
      <c r="AS47" s="284"/>
      <c r="AT47" s="277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 t="str">
        <f>IF('kWh_Streetlight Data'!C142=0,"",'kWh_Streetlight Data'!C142)</f>
        <v/>
      </c>
      <c r="C48" s="130" t="str">
        <f>IF('kWh_Streetlight Data'!D142=0,"",'kWh_Streetlight Data'!D142)</f>
        <v/>
      </c>
      <c r="D48" s="130" t="str">
        <f>IF('kWh_Streetlight Data'!E142=0,"",'kWh_Streetlight Data'!E142)</f>
        <v/>
      </c>
      <c r="E48" s="130" t="str">
        <f>IF('kWh_Streetlight Data'!F142=0,"",'kWh_Streetlight Data'!F142)</f>
        <v/>
      </c>
      <c r="F48" s="130" t="str">
        <f>IF('kWh_Streetlight Data'!G142=0,"",'kWh_Streetlight Data'!G142)</f>
        <v/>
      </c>
      <c r="G48" s="130" t="str">
        <f>IF('kWh_Streetlight Data'!H142=0,"",'kWh_Streetlight Data'!H142)</f>
        <v/>
      </c>
      <c r="H48" s="130" t="str">
        <f>IF('kWh_Streetlight Data'!I142=0,"",'kWh_Streetlight Data'!I142)</f>
        <v/>
      </c>
      <c r="I48" s="130" t="str">
        <f>IF('kWh_Streetlight Data'!J142=0,"",'kWh_Streetlight Data'!J142)</f>
        <v/>
      </c>
      <c r="J48" s="130" t="str">
        <f>IF('kWh_Streetlight Data'!K142=0,"",'kWh_Streetlight Data'!K142)</f>
        <v/>
      </c>
      <c r="K48" s="130" t="str">
        <f>IF('kWh_Streetlight Data'!L142=0,"",'kWh_Streetlight Data'!L142)</f>
        <v/>
      </c>
      <c r="L48" s="130" t="str">
        <f>IF('kWh_Streetlight Data'!M142=0,"",'kWh_Streetlight Data'!M142)</f>
        <v/>
      </c>
      <c r="M48" s="130" t="str">
        <f>IF('kWh_Streetlight Data'!N142=0,"",'kWh_Streetlight Data'!N142)</f>
        <v/>
      </c>
      <c r="N48" s="424" t="str">
        <f>IF('kWh_Streetlight Data'!O142=0,"",'kWh_Streetlight Data'!O142)</f>
        <v/>
      </c>
      <c r="O48" s="129" t="str">
        <f>IF('kWh_Streetlight Data'!P142=0,"",'kWh_Streetlight Data'!P142)</f>
        <v/>
      </c>
      <c r="P48" s="130" t="str">
        <f>IF('kWh_Streetlight Data'!Q142=0,"",'kWh_Streetlight Data'!Q142)</f>
        <v/>
      </c>
      <c r="Q48" s="130" t="str">
        <f>IF('kWh_Streetlight Data'!R142=0,"",'kWh_Streetlight Data'!R142)</f>
        <v/>
      </c>
      <c r="R48" s="130" t="str">
        <f>IF('kWh_Streetlight Data'!S142=0,"",'kWh_Streetlight Data'!S142)</f>
        <v/>
      </c>
      <c r="S48" s="130" t="str">
        <f>IF('kWh_Streetlight Data'!T142=0,"",'kWh_Streetlight Data'!T142)</f>
        <v/>
      </c>
      <c r="T48" s="130" t="str">
        <f>IF('kWh_Streetlight Data'!U142=0,"",'kWh_Streetlight Data'!U142)</f>
        <v/>
      </c>
      <c r="U48" s="130" t="str">
        <f>IF('kWh_Streetlight Data'!V142=0,"",'kWh_Streetlight Data'!V142)</f>
        <v/>
      </c>
      <c r="V48" s="130" t="str">
        <f>IF('kWh_Streetlight Data'!W142=0,"",'kWh_Streetlight Data'!W142)</f>
        <v/>
      </c>
      <c r="W48" s="130" t="str">
        <f>IF('kWh_Streetlight Data'!X142=0,"",'kWh_Streetlight Data'!X142)</f>
        <v/>
      </c>
      <c r="X48" s="130" t="str">
        <f>IF('kWh_Streetlight Data'!Y142=0,"",'kWh_Streetlight Data'!Y142)</f>
        <v/>
      </c>
      <c r="Y48" s="130" t="str">
        <f>IF('kWh_Streetlight Data'!Z142=0,"",'kWh_Streetlight Data'!Z142)</f>
        <v/>
      </c>
      <c r="Z48" s="130" t="str">
        <f>IF('kWh_Streetlight Data'!AA142=0,"",'kWh_Streetlight Data'!AA142)</f>
        <v/>
      </c>
      <c r="AA48" s="424" t="str">
        <f>IF('kWh_Streetlight Data'!AB142=0,"",'kWh_Streetlight Data'!AB142)</f>
        <v/>
      </c>
      <c r="AB48" s="129" t="str">
        <f>IF('kWh_Streetlight Data'!AC142=0,"",'kWh_Streetlight Data'!AC142)</f>
        <v/>
      </c>
      <c r="AC48" s="130" t="str">
        <f>IF('kWh_Streetlight Data'!AD142=0,"",'kWh_Streetlight Data'!AD142)</f>
        <v/>
      </c>
      <c r="AD48" s="130" t="str">
        <f>IF('kWh_Streetlight Data'!AE142=0,"",'kWh_Streetlight Data'!AE142)</f>
        <v/>
      </c>
      <c r="AE48" s="130" t="str">
        <f>IF('kWh_Streetlight Data'!AF142=0,"",'kWh_Streetlight Data'!AF142)</f>
        <v/>
      </c>
      <c r="AF48" s="130" t="str">
        <f>IF('kWh_Streetlight Data'!AG142=0,"",'kWh_Streetlight Data'!AG142)</f>
        <v/>
      </c>
      <c r="AG48" s="130" t="str">
        <f>IF('kWh_Streetlight Data'!AH142=0,"",'kWh_Streetlight Data'!AH142)</f>
        <v/>
      </c>
      <c r="AH48" s="130" t="str">
        <f>IF('kWh_Streetlight Data'!AI142=0,"",'kWh_Streetlight Data'!AI142)</f>
        <v/>
      </c>
      <c r="AI48" s="130" t="str">
        <f>IF('kWh_Streetlight Data'!AJ142=0,"",'kWh_Streetlight Data'!AJ142)</f>
        <v/>
      </c>
      <c r="AJ48" s="130" t="str">
        <f>IF('kWh_Streetlight Data'!AK142=0,"",'kWh_Streetlight Data'!AK142)</f>
        <v/>
      </c>
      <c r="AK48" s="130" t="str">
        <f>IF('kWh_Streetlight Data'!AL142=0,"",'kWh_Streetlight Data'!AL142)</f>
        <v/>
      </c>
      <c r="AL48" s="130" t="str">
        <f>IF('kWh_Streetlight Data'!AM142=0,"",'kWh_Streetlight Data'!AM142)</f>
        <v/>
      </c>
      <c r="AM48" s="130" t="str">
        <f>IF('kWh_Streetlight Data'!AN142=0,"",'kWh_Streetlight Data'!AN142)</f>
        <v/>
      </c>
      <c r="AN48" s="426" t="str">
        <f>IF('kWh_Streetlight Data'!AO142=0,"",'kWh_Streetlight Data'!AO142)</f>
        <v/>
      </c>
      <c r="AO48" s="364"/>
      <c r="AP48" s="285"/>
      <c r="AQ48" s="285"/>
      <c r="AR48" s="285"/>
      <c r="AS48" s="285"/>
      <c r="AT48" s="17"/>
      <c r="AU48" s="17"/>
      <c r="AV48" s="17"/>
      <c r="AW48" s="17"/>
      <c r="AX48" s="17"/>
      <c r="AY48" s="17"/>
      <c r="AZ48" s="17"/>
      <c r="BA48" s="211"/>
      <c r="BB48" s="9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9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90"/>
      <c r="AP49" s="391"/>
      <c r="AQ49" s="391"/>
      <c r="AR49" s="391"/>
      <c r="AS49" s="391"/>
      <c r="AT49" s="3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362"/>
      <c r="AP50" s="283"/>
      <c r="AQ50" s="283"/>
      <c r="AR50" s="283"/>
      <c r="AS50" s="283"/>
      <c r="AT50" s="276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362"/>
      <c r="AP51" s="283"/>
      <c r="AQ51" s="283"/>
      <c r="AR51" s="283"/>
      <c r="AS51" s="283"/>
      <c r="AT51" s="276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362"/>
      <c r="AP52" s="283"/>
      <c r="AQ52" s="283"/>
      <c r="AR52" s="283"/>
      <c r="AS52" s="283"/>
      <c r="AT52" s="276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362"/>
      <c r="AP53" s="283"/>
      <c r="AQ53" s="283"/>
      <c r="AR53" s="283"/>
      <c r="AS53" s="283"/>
      <c r="AT53" s="276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363"/>
      <c r="AP54" s="284"/>
      <c r="AQ54" s="284"/>
      <c r="AR54" s="284"/>
      <c r="AS54" s="284"/>
      <c r="AT54" s="277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90"/>
      <c r="AP55" s="391"/>
      <c r="AQ55" s="391"/>
      <c r="AR55" s="391"/>
      <c r="AS55" s="391"/>
      <c r="AT55" s="322"/>
      <c r="AU55" s="9"/>
      <c r="AV55" s="9"/>
      <c r="AW55" s="9"/>
      <c r="AX55" s="9"/>
      <c r="AY55" s="9"/>
      <c r="AZ55" s="9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398"/>
      <c r="AP56" s="399"/>
      <c r="AQ56" s="399"/>
      <c r="AR56" s="399"/>
      <c r="AS56" s="399"/>
      <c r="AT56" s="327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362"/>
      <c r="AP57" s="283"/>
      <c r="AQ57" s="283"/>
      <c r="AR57" s="283"/>
      <c r="AS57" s="283"/>
      <c r="AT57" s="276"/>
      <c r="AU57" s="145"/>
      <c r="AV57" s="145"/>
      <c r="AW57" s="145"/>
      <c r="AX57" s="145"/>
      <c r="AY57" s="145"/>
      <c r="AZ57" s="145"/>
      <c r="BA57" s="204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04"/>
      <c r="BO57" s="92"/>
    </row>
    <row r="58" spans="1:67" ht="15.75" customHeight="1" thickBot="1">
      <c r="A58" s="201" t="s">
        <v>30</v>
      </c>
      <c r="B58" s="113" t="str">
        <f>IF('kWh_Streetlight Data'!C242=0,"",'kWh_Streetlight Data'!C242)</f>
        <v/>
      </c>
      <c r="C58" s="114" t="str">
        <f>IF('kWh_Streetlight Data'!D242=0,"",'kWh_Streetlight Data'!D242)</f>
        <v/>
      </c>
      <c r="D58" s="114" t="str">
        <f>IF('kWh_Streetlight Data'!E242=0,"",'kWh_Streetlight Data'!E242)</f>
        <v/>
      </c>
      <c r="E58" s="114" t="str">
        <f>IF('kWh_Streetlight Data'!F242=0,"",'kWh_Streetlight Data'!F242)</f>
        <v/>
      </c>
      <c r="F58" s="114" t="str">
        <f>IF('kWh_Streetlight Data'!G242=0,"",'kWh_Streetlight Data'!G242)</f>
        <v/>
      </c>
      <c r="G58" s="114" t="str">
        <f>IF('kWh_Streetlight Data'!H242=0,"",'kWh_Streetlight Data'!H242)</f>
        <v/>
      </c>
      <c r="H58" s="114" t="str">
        <f>IF('kWh_Streetlight Data'!I242=0,"",'kWh_Streetlight Data'!I242)</f>
        <v/>
      </c>
      <c r="I58" s="114" t="str">
        <f>IF('kWh_Streetlight Data'!J242=0,"",'kWh_Streetlight Data'!J242)</f>
        <v/>
      </c>
      <c r="J58" s="114" t="str">
        <f>IF('kWh_Streetlight Data'!K242=0,"",'kWh_Streetlight Data'!K242)</f>
        <v/>
      </c>
      <c r="K58" s="114" t="str">
        <f>IF('kWh_Streetlight Data'!L242=0,"",'kWh_Streetlight Data'!L242)</f>
        <v/>
      </c>
      <c r="L58" s="114" t="str">
        <f>IF('kWh_Streetlight Data'!M242=0,"",'kWh_Streetlight Data'!M242)</f>
        <v/>
      </c>
      <c r="M58" s="114" t="str">
        <f>IF('kWh_Streetlight Data'!N242=0,"",'kWh_Streetlight Data'!N242)</f>
        <v/>
      </c>
      <c r="N58" s="459" t="str">
        <f>IF('kWh_Streetlight Data'!O242=0,"",'kWh_Streetlight Data'!O242)</f>
        <v/>
      </c>
      <c r="O58" s="113" t="str">
        <f>IF('kWh_Streetlight Data'!P242=0,"",'kWh_Streetlight Data'!P242)</f>
        <v/>
      </c>
      <c r="P58" s="114" t="str">
        <f>IF('kWh_Streetlight Data'!Q242=0,"",'kWh_Streetlight Data'!Q242)</f>
        <v/>
      </c>
      <c r="Q58" s="114" t="str">
        <f>IF('kWh_Streetlight Data'!R242=0,"",'kWh_Streetlight Data'!R242)</f>
        <v/>
      </c>
      <c r="R58" s="114" t="str">
        <f>IF('kWh_Streetlight Data'!S242=0,"",'kWh_Streetlight Data'!S242)</f>
        <v/>
      </c>
      <c r="S58" s="114" t="str">
        <f>IF('kWh_Streetlight Data'!T242=0,"",'kWh_Streetlight Data'!T242)</f>
        <v/>
      </c>
      <c r="T58" s="114" t="str">
        <f>IF('kWh_Streetlight Data'!U242=0,"",'kWh_Streetlight Data'!U242)</f>
        <v/>
      </c>
      <c r="U58" s="114" t="str">
        <f>IF('kWh_Streetlight Data'!V242=0,"",'kWh_Streetlight Data'!V242)</f>
        <v/>
      </c>
      <c r="V58" s="114" t="str">
        <f>IF('kWh_Streetlight Data'!W242=0,"",'kWh_Streetlight Data'!W242)</f>
        <v/>
      </c>
      <c r="W58" s="114" t="str">
        <f>IF('kWh_Streetlight Data'!X242=0,"",'kWh_Streetlight Data'!X242)</f>
        <v/>
      </c>
      <c r="X58" s="114" t="str">
        <f>IF('kWh_Streetlight Data'!Y242=0,"",'kWh_Streetlight Data'!Y242)</f>
        <v/>
      </c>
      <c r="Y58" s="114" t="str">
        <f>IF('kWh_Streetlight Data'!Z242=0,"",'kWh_Streetlight Data'!Z242)</f>
        <v/>
      </c>
      <c r="Z58" s="114" t="str">
        <f>IF('kWh_Streetlight Data'!AA242=0,"",'kWh_Streetlight Data'!AA242)</f>
        <v/>
      </c>
      <c r="AA58" s="459" t="str">
        <f>IF('kWh_Streetlight Data'!AB242=0,"",'kWh_Streetlight Data'!AB242)</f>
        <v/>
      </c>
      <c r="AB58" s="240" t="str">
        <f>IF('kWh_Streetlight Data'!AC242=0,"",'kWh_Streetlight Data'!AC242)</f>
        <v/>
      </c>
      <c r="AC58" s="117" t="str">
        <f>IF('kWh_Streetlight Data'!AD242=0,"",'kWh_Streetlight Data'!AD242)</f>
        <v/>
      </c>
      <c r="AD58" s="117" t="str">
        <f>IF('kWh_Streetlight Data'!AE242=0,"",'kWh_Streetlight Data'!AE242)</f>
        <v/>
      </c>
      <c r="AE58" s="117" t="str">
        <f>IF('kWh_Streetlight Data'!AF242=0,"",'kWh_Streetlight Data'!AF242)</f>
        <v/>
      </c>
      <c r="AF58" s="117" t="str">
        <f>IF('kWh_Streetlight Data'!AG242=0,"",'kWh_Streetlight Data'!AG242)</f>
        <v/>
      </c>
      <c r="AG58" s="117" t="str">
        <f>IF('kWh_Streetlight Data'!AH242=0,"",'kWh_Streetlight Data'!AH242)</f>
        <v/>
      </c>
      <c r="AH58" s="117" t="str">
        <f>IF('kWh_Streetlight Data'!AI242=0,"",'kWh_Streetlight Data'!AI242)</f>
        <v/>
      </c>
      <c r="AI58" s="117" t="str">
        <f>IF('kWh_Streetlight Data'!AJ242=0,"",'kWh_Streetlight Data'!AJ242)</f>
        <v/>
      </c>
      <c r="AJ58" s="117" t="str">
        <f>IF('kWh_Streetlight Data'!AK242=0,"",'kWh_Streetlight Data'!AK242)</f>
        <v/>
      </c>
      <c r="AK58" s="117" t="str">
        <f>IF('kWh_Streetlight Data'!AL242=0,"",'kWh_Streetlight Data'!AL242)</f>
        <v/>
      </c>
      <c r="AL58" s="117" t="str">
        <f>IF('kWh_Streetlight Data'!AM242=0,"",'kWh_Streetlight Data'!AM242)</f>
        <v/>
      </c>
      <c r="AM58" s="117" t="str">
        <f>IF('kWh_Streetlight Data'!AN242=0,"",'kWh_Streetlight Data'!AN242)</f>
        <v/>
      </c>
      <c r="AN58" s="464" t="str">
        <f>IF('kWh_Streetlight Data'!AO242=0,"",'kWh_Streetlight Data'!AO242)</f>
        <v/>
      </c>
      <c r="AO58" s="363"/>
      <c r="AP58" s="284"/>
      <c r="AQ58" s="284"/>
      <c r="AR58" s="284"/>
      <c r="AS58" s="284"/>
      <c r="AT58" s="277"/>
      <c r="AU58" s="160"/>
      <c r="AV58" s="160"/>
      <c r="AW58" s="160"/>
      <c r="AX58" s="160"/>
      <c r="AY58" s="160"/>
      <c r="AZ58" s="160"/>
      <c r="BA58" s="213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213"/>
      <c r="BO58" s="161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362"/>
      <c r="AP59" s="283"/>
      <c r="AQ59" s="283"/>
      <c r="AR59" s="283"/>
      <c r="AS59" s="283"/>
      <c r="AT59" s="276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362"/>
      <c r="AP60" s="283"/>
      <c r="AQ60" s="283"/>
      <c r="AR60" s="283"/>
      <c r="AS60" s="283"/>
      <c r="AT60" s="276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362"/>
      <c r="AP61" s="283"/>
      <c r="AQ61" s="283"/>
      <c r="AR61" s="283"/>
      <c r="AS61" s="283"/>
      <c r="AT61" s="276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2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363"/>
      <c r="AP62" s="284"/>
      <c r="AQ62" s="284"/>
      <c r="AR62" s="284"/>
      <c r="AS62" s="284"/>
      <c r="AT62" s="277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61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362"/>
      <c r="AP63" s="283"/>
      <c r="AQ63" s="283"/>
      <c r="AR63" s="283"/>
      <c r="AS63" s="283"/>
      <c r="AT63" s="276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398"/>
      <c r="AP64" s="399"/>
      <c r="AQ64" s="399"/>
      <c r="AR64" s="399"/>
      <c r="AS64" s="399"/>
      <c r="AT64" s="327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362"/>
      <c r="AP65" s="283"/>
      <c r="AQ65" s="283"/>
      <c r="AR65" s="283"/>
      <c r="AS65" s="283"/>
      <c r="AT65" s="276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362"/>
      <c r="AP66" s="283"/>
      <c r="AQ66" s="283"/>
      <c r="AR66" s="283"/>
      <c r="AS66" s="283"/>
      <c r="AT66" s="276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362"/>
      <c r="AP67" s="283"/>
      <c r="AQ67" s="283"/>
      <c r="AR67" s="283"/>
      <c r="AS67" s="283"/>
      <c r="AT67" s="276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363"/>
      <c r="AP68" s="284"/>
      <c r="AQ68" s="284"/>
      <c r="AR68" s="284"/>
      <c r="AS68" s="284"/>
      <c r="AT68" s="277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Data'!C143=0,"",'kWh_Streetlight Data'!C143)</f>
        <v/>
      </c>
      <c r="C69" s="130" t="str">
        <f>IF('kWh_Streetlight Data'!D143=0,"",'kWh_Streetlight Data'!D143)</f>
        <v/>
      </c>
      <c r="D69" s="130" t="str">
        <f>IF('kWh_Streetlight Data'!E143=0,"",'kWh_Streetlight Data'!E143)</f>
        <v/>
      </c>
      <c r="E69" s="130" t="str">
        <f>IF('kWh_Streetlight Data'!F143=0,"",'kWh_Streetlight Data'!F143)</f>
        <v/>
      </c>
      <c r="F69" s="130" t="str">
        <f>IF('kWh_Streetlight Data'!G143=0,"",'kWh_Streetlight Data'!G143)</f>
        <v/>
      </c>
      <c r="G69" s="130" t="str">
        <f>IF('kWh_Streetlight Data'!H143=0,"",'kWh_Streetlight Data'!H143)</f>
        <v/>
      </c>
      <c r="H69" s="130" t="str">
        <f>IF('kWh_Streetlight Data'!I143=0,"",'kWh_Streetlight Data'!I143)</f>
        <v/>
      </c>
      <c r="I69" s="130" t="str">
        <f>IF('kWh_Streetlight Data'!J143=0,"",'kWh_Streetlight Data'!J143)</f>
        <v/>
      </c>
      <c r="J69" s="130" t="str">
        <f>IF('kWh_Streetlight Data'!K143=0,"",'kWh_Streetlight Data'!K143)</f>
        <v/>
      </c>
      <c r="K69" s="130" t="str">
        <f>IF('kWh_Streetlight Data'!L143=0,"",'kWh_Streetlight Data'!L143)</f>
        <v/>
      </c>
      <c r="L69" s="130" t="str">
        <f>IF('kWh_Streetlight Data'!M143=0,"",'kWh_Streetlight Data'!M143)</f>
        <v/>
      </c>
      <c r="M69" s="130" t="str">
        <f>IF('kWh_Streetlight Data'!N143=0,"",'kWh_Streetlight Data'!N143)</f>
        <v/>
      </c>
      <c r="N69" s="424" t="str">
        <f>IF('kWh_Streetlight Data'!O143=0,"",'kWh_Streetlight Data'!O143)</f>
        <v/>
      </c>
      <c r="O69" s="84" t="str">
        <f>IF('kWh_Streetlight Data'!P143=0,"",'kWh_Streetlight Data'!P143)</f>
        <v/>
      </c>
      <c r="P69" s="108" t="str">
        <f>IF('kWh_Streetlight Data'!Q143=0,"",'kWh_Streetlight Data'!Q143)</f>
        <v/>
      </c>
      <c r="Q69" s="108" t="str">
        <f>IF('kWh_Streetlight Data'!R143=0,"",'kWh_Streetlight Data'!R143)</f>
        <v/>
      </c>
      <c r="R69" s="108" t="str">
        <f>IF('kWh_Streetlight Data'!S143=0,"",'kWh_Streetlight Data'!S143)</f>
        <v/>
      </c>
      <c r="S69" s="108" t="str">
        <f>IF('kWh_Streetlight Data'!T143=0,"",'kWh_Streetlight Data'!T143)</f>
        <v/>
      </c>
      <c r="T69" s="108" t="str">
        <f>IF('kWh_Streetlight Data'!U143=0,"",'kWh_Streetlight Data'!U143)</f>
        <v/>
      </c>
      <c r="U69" s="108" t="str">
        <f>IF('kWh_Streetlight Data'!V143=0,"",'kWh_Streetlight Data'!V143)</f>
        <v/>
      </c>
      <c r="V69" s="108" t="str">
        <f>IF('kWh_Streetlight Data'!W143=0,"",'kWh_Streetlight Data'!W143)</f>
        <v/>
      </c>
      <c r="W69" s="108" t="str">
        <f>IF('kWh_Streetlight Data'!X143=0,"",'kWh_Streetlight Data'!X143)</f>
        <v/>
      </c>
      <c r="X69" s="108" t="str">
        <f>IF('kWh_Streetlight Data'!Y143=0,"",'kWh_Streetlight Data'!Y143)</f>
        <v/>
      </c>
      <c r="Y69" s="108" t="str">
        <f>IF('kWh_Streetlight Data'!Z143=0,"",'kWh_Streetlight Data'!Z143)</f>
        <v/>
      </c>
      <c r="Z69" s="108" t="str">
        <f>IF('kWh_Streetlight Data'!AA143=0,"",'kWh_Streetlight Data'!AA143)</f>
        <v/>
      </c>
      <c r="AA69" s="424" t="str">
        <f>IF('kWh_Streetlight Data'!AB143=0,"",'kWh_Streetlight Data'!AB143)</f>
        <v/>
      </c>
      <c r="AB69" s="84" t="str">
        <f>IF('kWh_Streetlight Data'!AC143=0,"",'kWh_Streetlight Data'!AC143)</f>
        <v/>
      </c>
      <c r="AC69" s="108" t="str">
        <f>IF('kWh_Streetlight Data'!AD143=0,"",'kWh_Streetlight Data'!AD143)</f>
        <v/>
      </c>
      <c r="AD69" s="108" t="str">
        <f>IF('kWh_Streetlight Data'!AE143=0,"",'kWh_Streetlight Data'!AE143)</f>
        <v/>
      </c>
      <c r="AE69" s="108" t="str">
        <f>IF('kWh_Streetlight Data'!AF143=0,"",'kWh_Streetlight Data'!AF143)</f>
        <v/>
      </c>
      <c r="AF69" s="108" t="str">
        <f>IF('kWh_Streetlight Data'!AG143=0,"",'kWh_Streetlight Data'!AG143)</f>
        <v/>
      </c>
      <c r="AG69" s="108" t="str">
        <f>IF('kWh_Streetlight Data'!AH143=0,"",'kWh_Streetlight Data'!AH143)</f>
        <v/>
      </c>
      <c r="AH69" s="130" t="str">
        <f>IF('kWh_Streetlight Data'!AI143=0,"",'kWh_Streetlight Data'!AI143)</f>
        <v/>
      </c>
      <c r="AI69" s="130" t="str">
        <f>IF('kWh_Streetlight Data'!AJ143=0,"",'kWh_Streetlight Data'!AJ143)</f>
        <v/>
      </c>
      <c r="AJ69" s="130" t="str">
        <f>IF('kWh_Streetlight Data'!AK143=0,"",'kWh_Streetlight Data'!AK143)</f>
        <v/>
      </c>
      <c r="AK69" s="130" t="str">
        <f>IF('kWh_Streetlight Data'!AL143=0,"",'kWh_Streetlight Data'!AL143)</f>
        <v/>
      </c>
      <c r="AL69" s="130" t="str">
        <f>IF('kWh_Streetlight Data'!AM143=0,"",'kWh_Streetlight Data'!AM143)</f>
        <v/>
      </c>
      <c r="AM69" s="130" t="str">
        <f>IF('kWh_Streetlight Data'!AN143=0,"",'kWh_Streetlight Data'!AN143)</f>
        <v/>
      </c>
      <c r="AN69" s="424" t="str">
        <f>IF('kWh_Streetlight Data'!AO143=0,"",'kWh_Streetlight Data'!AO143)</f>
        <v/>
      </c>
      <c r="AO69" s="364"/>
      <c r="AP69" s="285"/>
      <c r="AQ69" s="285"/>
      <c r="AR69" s="285"/>
      <c r="AS69" s="285"/>
      <c r="AT69" s="326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392"/>
      <c r="AP70" s="393"/>
      <c r="AQ70" s="393"/>
      <c r="AR70" s="393"/>
      <c r="AS70" s="393"/>
      <c r="AT70" s="323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392"/>
      <c r="AP71" s="393"/>
      <c r="AQ71" s="393"/>
      <c r="AR71" s="393"/>
      <c r="AS71" s="393"/>
      <c r="AT71" s="323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394"/>
      <c r="AP72" s="395"/>
      <c r="AQ72" s="395"/>
      <c r="AR72" s="395"/>
      <c r="AS72" s="395"/>
      <c r="AT72" s="324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362"/>
      <c r="AP73" s="283"/>
      <c r="AQ73" s="283"/>
      <c r="AR73" s="283"/>
      <c r="AS73" s="283"/>
      <c r="AT73" s="276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396"/>
      <c r="AP74" s="397"/>
      <c r="AQ74" s="397"/>
      <c r="AR74" s="397"/>
      <c r="AS74" s="397"/>
      <c r="AT74" s="325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362"/>
      <c r="AP75" s="283"/>
      <c r="AQ75" s="283"/>
      <c r="AR75" s="283"/>
      <c r="AS75" s="283"/>
      <c r="AT75" s="276"/>
      <c r="AU75" s="38"/>
      <c r="AV75" s="38"/>
      <c r="AW75" s="38"/>
      <c r="AX75" s="38"/>
      <c r="AY75" s="38"/>
      <c r="AZ75" s="38"/>
      <c r="BA75" s="210"/>
      <c r="BB75" s="124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143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362"/>
      <c r="AP76" s="283"/>
      <c r="AQ76" s="283"/>
      <c r="AR76" s="283"/>
      <c r="AS76" s="283"/>
      <c r="AT76" s="276"/>
      <c r="AU76" s="38"/>
      <c r="AV76" s="38"/>
      <c r="AW76" s="38"/>
      <c r="AX76" s="38"/>
      <c r="AY76" s="38"/>
      <c r="AZ76" s="38"/>
      <c r="BA76" s="210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143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362"/>
      <c r="AP77" s="283"/>
      <c r="AQ77" s="283"/>
      <c r="AR77" s="283"/>
      <c r="AS77" s="283"/>
      <c r="AT77" s="276"/>
      <c r="AU77" s="38"/>
      <c r="AV77" s="38"/>
      <c r="AW77" s="38"/>
      <c r="AX77" s="38"/>
      <c r="AY77" s="38"/>
      <c r="AZ77" s="38"/>
      <c r="BA77" s="210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143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363"/>
      <c r="AP78" s="284"/>
      <c r="AQ78" s="284"/>
      <c r="AR78" s="284"/>
      <c r="AS78" s="284"/>
      <c r="AT78" s="277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129" t="str">
        <f>IF('kWh_Streetlight Data'!C144=0,"",'kWh_Streetlight Data'!C144)</f>
        <v/>
      </c>
      <c r="C79" s="108" t="str">
        <f>IF('kWh_Streetlight Data'!D144=0,"",'kWh_Streetlight Data'!D144)</f>
        <v/>
      </c>
      <c r="D79" s="108" t="str">
        <f>IF('kWh_Streetlight Data'!E144=0,"",'kWh_Streetlight Data'!E144)</f>
        <v/>
      </c>
      <c r="E79" s="108" t="str">
        <f>IF('kWh_Streetlight Data'!F144=0,"",'kWh_Streetlight Data'!F144)</f>
        <v/>
      </c>
      <c r="F79" s="108" t="str">
        <f>IF('kWh_Streetlight Data'!G144=0,"",'kWh_Streetlight Data'!G144)</f>
        <v/>
      </c>
      <c r="G79" s="108" t="str">
        <f>IF('kWh_Streetlight Data'!H144=0,"",'kWh_Streetlight Data'!H144)</f>
        <v/>
      </c>
      <c r="H79" s="108" t="str">
        <f>IF('kWh_Streetlight Data'!I144=0,"",'kWh_Streetlight Data'!I144)</f>
        <v/>
      </c>
      <c r="I79" s="108" t="str">
        <f>IF('kWh_Streetlight Data'!J144=0,"",'kWh_Streetlight Data'!J144)</f>
        <v/>
      </c>
      <c r="J79" s="108" t="str">
        <f>IF('kWh_Streetlight Data'!K144=0,"",'kWh_Streetlight Data'!K144)</f>
        <v/>
      </c>
      <c r="K79" s="108" t="str">
        <f>IF('kWh_Streetlight Data'!L144=0,"",'kWh_Streetlight Data'!L144)</f>
        <v/>
      </c>
      <c r="L79" s="108" t="str">
        <f>IF('kWh_Streetlight Data'!M144=0,"",'kWh_Streetlight Data'!M144)</f>
        <v/>
      </c>
      <c r="M79" s="108" t="str">
        <f>IF('kWh_Streetlight Data'!N144=0,"",'kWh_Streetlight Data'!N144)</f>
        <v/>
      </c>
      <c r="N79" s="424" t="str">
        <f>IF('kWh_Streetlight Data'!O144=0,"",'kWh_Streetlight Data'!O144)</f>
        <v/>
      </c>
      <c r="O79" s="84" t="str">
        <f>IF('kWh_Streetlight Data'!P144=0,"",'kWh_Streetlight Data'!P144)</f>
        <v/>
      </c>
      <c r="P79" s="108" t="str">
        <f>IF('kWh_Streetlight Data'!Q144=0,"",'kWh_Streetlight Data'!Q144)</f>
        <v/>
      </c>
      <c r="Q79" s="108" t="str">
        <f>IF('kWh_Streetlight Data'!R144=0,"",'kWh_Streetlight Data'!R144)</f>
        <v/>
      </c>
      <c r="R79" s="108" t="str">
        <f>IF('kWh_Streetlight Data'!S144=0,"",'kWh_Streetlight Data'!S144)</f>
        <v/>
      </c>
      <c r="S79" s="108" t="str">
        <f>IF('kWh_Streetlight Data'!T144=0,"",'kWh_Streetlight Data'!T144)</f>
        <v/>
      </c>
      <c r="T79" s="108" t="str">
        <f>IF('kWh_Streetlight Data'!U144=0,"",'kWh_Streetlight Data'!U144)</f>
        <v/>
      </c>
      <c r="U79" s="108" t="str">
        <f>IF('kWh_Streetlight Data'!V144=0,"",'kWh_Streetlight Data'!V144)</f>
        <v/>
      </c>
      <c r="V79" s="108" t="str">
        <f>IF('kWh_Streetlight Data'!W144=0,"",'kWh_Streetlight Data'!W144)</f>
        <v/>
      </c>
      <c r="W79" s="108" t="str">
        <f>IF('kWh_Streetlight Data'!X144=0,"",'kWh_Streetlight Data'!X144)</f>
        <v/>
      </c>
      <c r="X79" s="108" t="str">
        <f>IF('kWh_Streetlight Data'!Y144=0,"",'kWh_Streetlight Data'!Y144)</f>
        <v/>
      </c>
      <c r="Y79" s="108" t="str">
        <f>IF('kWh_Streetlight Data'!Z144=0,"",'kWh_Streetlight Data'!Z144)</f>
        <v/>
      </c>
      <c r="Z79" s="108" t="str">
        <f>IF('kWh_Streetlight Data'!AA144=0,"",'kWh_Streetlight Data'!AA144)</f>
        <v/>
      </c>
      <c r="AA79" s="424" t="str">
        <f>IF('kWh_Streetlight Data'!AB144=0,"",'kWh_Streetlight Data'!AB144)</f>
        <v/>
      </c>
      <c r="AB79" s="129" t="str">
        <f>IF('kWh_Streetlight Data'!AC144=0,"",'kWh_Streetlight Data'!AC144)</f>
        <v/>
      </c>
      <c r="AC79" s="130" t="str">
        <f>IF('kWh_Streetlight Data'!AD144=0,"",'kWh_Streetlight Data'!AD144)</f>
        <v/>
      </c>
      <c r="AD79" s="130" t="str">
        <f>IF('kWh_Streetlight Data'!AE144=0,"",'kWh_Streetlight Data'!AE144)</f>
        <v/>
      </c>
      <c r="AE79" s="130" t="str">
        <f>IF('kWh_Streetlight Data'!AF144=0,"",'kWh_Streetlight Data'!AF144)</f>
        <v/>
      </c>
      <c r="AF79" s="130" t="str">
        <f>IF('kWh_Streetlight Data'!AG144=0,"",'kWh_Streetlight Data'!AG144)</f>
        <v/>
      </c>
      <c r="AG79" s="130" t="str">
        <f>IF('kWh_Streetlight Data'!AH144=0,"",'kWh_Streetlight Data'!AH144)</f>
        <v/>
      </c>
      <c r="AH79" s="108" t="str">
        <f>IF('kWh_Streetlight Data'!AI144=0,"",'kWh_Streetlight Data'!AI144)</f>
        <v/>
      </c>
      <c r="AI79" s="108" t="str">
        <f>IF('kWh_Streetlight Data'!AJ144=0,"",'kWh_Streetlight Data'!AJ144)</f>
        <v/>
      </c>
      <c r="AJ79" s="108" t="str">
        <f>IF('kWh_Streetlight Data'!AK144=0,"",'kWh_Streetlight Data'!AK144)</f>
        <v/>
      </c>
      <c r="AK79" s="108" t="str">
        <f>IF('kWh_Streetlight Data'!AL144=0,"",'kWh_Streetlight Data'!AL144)</f>
        <v/>
      </c>
      <c r="AL79" s="108" t="str">
        <f>IF('kWh_Streetlight Data'!AM144=0,"",'kWh_Streetlight Data'!AM144)</f>
        <v/>
      </c>
      <c r="AM79" s="108" t="str">
        <f>IF('kWh_Streetlight Data'!AN144=0,"",'kWh_Streetlight Data'!AN144)</f>
        <v/>
      </c>
      <c r="AN79" s="424" t="str">
        <f>IF('kWh_Streetlight Data'!AO144=0,"",'kWh_Streetlight Data'!AO144)</f>
        <v/>
      </c>
      <c r="AO79" s="390"/>
      <c r="AP79" s="391"/>
      <c r="AQ79" s="391"/>
      <c r="AR79" s="391"/>
      <c r="AS79" s="391"/>
      <c r="AT79" s="322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398"/>
      <c r="AP80" s="399"/>
      <c r="AQ80" s="399"/>
      <c r="AR80" s="399"/>
      <c r="AS80" s="399"/>
      <c r="AT80" s="327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400"/>
      <c r="AP81" s="401"/>
      <c r="AQ81" s="401"/>
      <c r="AR81" s="401"/>
      <c r="AS81" s="401"/>
      <c r="AT81" s="328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363"/>
      <c r="AP82" s="284"/>
      <c r="AQ82" s="284"/>
      <c r="AR82" s="284"/>
      <c r="AS82" s="284"/>
      <c r="AT82" s="277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129" t="str">
        <f>IF('kWh_Streetlight Data'!C145=0,"",'kWh_Streetlight Data'!C145)</f>
        <v/>
      </c>
      <c r="C83" s="108" t="str">
        <f>IF('kWh_Streetlight Data'!D145=0,"",'kWh_Streetlight Data'!D145)</f>
        <v/>
      </c>
      <c r="D83" s="108" t="str">
        <f>IF('kWh_Streetlight Data'!E145=0,"",'kWh_Streetlight Data'!E145)</f>
        <v/>
      </c>
      <c r="E83" s="108" t="str">
        <f>IF('kWh_Streetlight Data'!F145=0,"",'kWh_Streetlight Data'!F145)</f>
        <v/>
      </c>
      <c r="F83" s="108" t="str">
        <f>IF('kWh_Streetlight Data'!G145=0,"",'kWh_Streetlight Data'!G145)</f>
        <v/>
      </c>
      <c r="G83" s="108" t="str">
        <f>IF('kWh_Streetlight Data'!H145=0,"",'kWh_Streetlight Data'!H145)</f>
        <v/>
      </c>
      <c r="H83" s="108" t="str">
        <f>IF('kWh_Streetlight Data'!I145=0,"",'kWh_Streetlight Data'!I145)</f>
        <v/>
      </c>
      <c r="I83" s="108" t="str">
        <f>IF('kWh_Streetlight Data'!J145=0,"",'kWh_Streetlight Data'!J145)</f>
        <v/>
      </c>
      <c r="J83" s="108" t="str">
        <f>IF('kWh_Streetlight Data'!K145=0,"",'kWh_Streetlight Data'!K145)</f>
        <v/>
      </c>
      <c r="K83" s="108" t="str">
        <f>IF('kWh_Streetlight Data'!L145=0,"",'kWh_Streetlight Data'!L145)</f>
        <v/>
      </c>
      <c r="L83" s="108" t="str">
        <f>IF('kWh_Streetlight Data'!M145=0,"",'kWh_Streetlight Data'!M145)</f>
        <v/>
      </c>
      <c r="M83" s="108" t="str">
        <f>IF('kWh_Streetlight Data'!N145=0,"",'kWh_Streetlight Data'!N145)</f>
        <v/>
      </c>
      <c r="N83" s="424" t="str">
        <f>IF('kWh_Streetlight Data'!O145=0,"",'kWh_Streetlight Data'!O145)</f>
        <v/>
      </c>
      <c r="O83" s="84" t="str">
        <f>IF('kWh_Streetlight Data'!P145=0,"",'kWh_Streetlight Data'!P145)</f>
        <v/>
      </c>
      <c r="P83" s="108" t="str">
        <f>IF('kWh_Streetlight Data'!Q145=0,"",'kWh_Streetlight Data'!Q145)</f>
        <v/>
      </c>
      <c r="Q83" s="108" t="str">
        <f>IF('kWh_Streetlight Data'!R145=0,"",'kWh_Streetlight Data'!R145)</f>
        <v/>
      </c>
      <c r="R83" s="108" t="str">
        <f>IF('kWh_Streetlight Data'!S145=0,"",'kWh_Streetlight Data'!S145)</f>
        <v/>
      </c>
      <c r="S83" s="108" t="str">
        <f>IF('kWh_Streetlight Data'!T145=0,"",'kWh_Streetlight Data'!T145)</f>
        <v/>
      </c>
      <c r="T83" s="108" t="str">
        <f>IF('kWh_Streetlight Data'!U145=0,"",'kWh_Streetlight Data'!U145)</f>
        <v/>
      </c>
      <c r="U83" s="108" t="str">
        <f>IF('kWh_Streetlight Data'!V145=0,"",'kWh_Streetlight Data'!V145)</f>
        <v/>
      </c>
      <c r="V83" s="108" t="str">
        <f>IF('kWh_Streetlight Data'!W145=0,"",'kWh_Streetlight Data'!W145)</f>
        <v/>
      </c>
      <c r="W83" s="108" t="str">
        <f>IF('kWh_Streetlight Data'!X145=0,"",'kWh_Streetlight Data'!X145)</f>
        <v/>
      </c>
      <c r="X83" s="108" t="str">
        <f>IF('kWh_Streetlight Data'!Y145=0,"",'kWh_Streetlight Data'!Y145)</f>
        <v/>
      </c>
      <c r="Y83" s="108" t="str">
        <f>IF('kWh_Streetlight Data'!Z145=0,"",'kWh_Streetlight Data'!Z145)</f>
        <v/>
      </c>
      <c r="Z83" s="108" t="str">
        <f>IF('kWh_Streetlight Data'!AA145=0,"",'kWh_Streetlight Data'!AA145)</f>
        <v/>
      </c>
      <c r="AA83" s="424" t="str">
        <f>IF('kWh_Streetlight Data'!AB145=0,"",'kWh_Streetlight Data'!AB145)</f>
        <v/>
      </c>
      <c r="AB83" s="442" t="str">
        <f>IF('kWh_Streetlight Data'!AC145=0,"",'kWh_Streetlight Data'!AC145)</f>
        <v/>
      </c>
      <c r="AC83" s="443" t="str">
        <f>IF('kWh_Streetlight Data'!AD145=0,"",'kWh_Streetlight Data'!AD145)</f>
        <v/>
      </c>
      <c r="AD83" s="443" t="str">
        <f>IF('kWh_Streetlight Data'!AE145=0,"",'kWh_Streetlight Data'!AE145)</f>
        <v/>
      </c>
      <c r="AE83" s="443" t="str">
        <f>IF('kWh_Streetlight Data'!AF145=0,"",'kWh_Streetlight Data'!AF145)</f>
        <v/>
      </c>
      <c r="AF83" s="443" t="str">
        <f>IF('kWh_Streetlight Data'!AG145=0,"",'kWh_Streetlight Data'!AG145)</f>
        <v/>
      </c>
      <c r="AG83" s="443" t="str">
        <f>IF('kWh_Streetlight Data'!AH145=0,"",'kWh_Streetlight Data'!AH145)</f>
        <v/>
      </c>
      <c r="AH83" s="108" t="str">
        <f>IF('kWh_Streetlight Data'!AI145=0,"",'kWh_Streetlight Data'!AI145)</f>
        <v/>
      </c>
      <c r="AI83" s="108" t="str">
        <f>IF('kWh_Streetlight Data'!AJ145=0,"",'kWh_Streetlight Data'!AJ145)</f>
        <v/>
      </c>
      <c r="AJ83" s="108" t="str">
        <f>IF('kWh_Streetlight Data'!AK145=0,"",'kWh_Streetlight Data'!AK145)</f>
        <v/>
      </c>
      <c r="AK83" s="108" t="str">
        <f>IF('kWh_Streetlight Data'!AL145=0,"",'kWh_Streetlight Data'!AL145)</f>
        <v/>
      </c>
      <c r="AL83" s="108" t="str">
        <f>IF('kWh_Streetlight Data'!AM145=0,"",'kWh_Streetlight Data'!AM145)</f>
        <v/>
      </c>
      <c r="AM83" s="108" t="str">
        <f>IF('kWh_Streetlight Data'!AN145=0,"",'kWh_Streetlight Data'!AN145)</f>
        <v/>
      </c>
      <c r="AN83" s="424" t="str">
        <f>IF('kWh_Streetlight Data'!AO145=0,"",'kWh_Streetlight Data'!AO145)</f>
        <v/>
      </c>
      <c r="AO83" s="390"/>
      <c r="AP83" s="391"/>
      <c r="AQ83" s="391"/>
      <c r="AR83" s="391"/>
      <c r="AS83" s="391"/>
      <c r="AT83" s="17"/>
      <c r="AU83" s="17"/>
      <c r="AV83" s="17"/>
      <c r="AW83" s="17"/>
      <c r="AX83" s="17"/>
      <c r="AY83" s="17"/>
      <c r="AZ83" s="17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362"/>
      <c r="AP84" s="283"/>
      <c r="AQ84" s="283"/>
      <c r="AR84" s="283"/>
      <c r="AS84" s="283"/>
      <c r="AT84" s="276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396"/>
      <c r="AP85" s="397"/>
      <c r="AQ85" s="397"/>
      <c r="AR85" s="397"/>
      <c r="AS85" s="397"/>
      <c r="AT85" s="325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362"/>
      <c r="AP86" s="283"/>
      <c r="AQ86" s="283"/>
      <c r="AR86" s="283"/>
      <c r="AS86" s="283"/>
      <c r="AT86" s="276"/>
      <c r="AU86" s="38"/>
      <c r="AV86" s="38"/>
      <c r="AW86" s="38"/>
      <c r="AX86" s="38"/>
      <c r="AY86" s="38"/>
      <c r="AZ86" s="38"/>
      <c r="BA86" s="210"/>
      <c r="BB86" s="124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143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363"/>
      <c r="AP87" s="284"/>
      <c r="AQ87" s="284"/>
      <c r="AR87" s="284"/>
      <c r="AS87" s="284"/>
      <c r="AT87" s="277"/>
      <c r="AU87" s="160"/>
      <c r="AV87" s="160"/>
      <c r="AW87" s="160"/>
      <c r="AX87" s="160"/>
      <c r="AY87" s="160"/>
      <c r="AZ87" s="160"/>
      <c r="BA87" s="196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144"/>
    </row>
    <row r="88" spans="1:67" ht="15.75" customHeight="1" thickTop="1">
      <c r="A88" s="374" t="s">
        <v>54</v>
      </c>
      <c r="B88" s="129" t="str">
        <f>IF('kWh_Streetlight Data'!C146=0,"",'kWh_Streetlight Data'!C146)</f>
        <v/>
      </c>
      <c r="C88" s="108" t="str">
        <f>IF('kWh_Streetlight Data'!D146=0,"",'kWh_Streetlight Data'!D146)</f>
        <v/>
      </c>
      <c r="D88" s="108" t="str">
        <f>IF('kWh_Streetlight Data'!E146=0,"",'kWh_Streetlight Data'!E146)</f>
        <v/>
      </c>
      <c r="E88" s="108" t="str">
        <f>IF('kWh_Streetlight Data'!F146=0,"",'kWh_Streetlight Data'!F146)</f>
        <v/>
      </c>
      <c r="F88" s="108" t="str">
        <f>IF('kWh_Streetlight Data'!G146=0,"",'kWh_Streetlight Data'!G146)</f>
        <v/>
      </c>
      <c r="G88" s="108" t="str">
        <f>IF('kWh_Streetlight Data'!H146=0,"",'kWh_Streetlight Data'!H146)</f>
        <v/>
      </c>
      <c r="H88" s="108" t="str">
        <f>IF('kWh_Streetlight Data'!I146=0,"",'kWh_Streetlight Data'!I146)</f>
        <v/>
      </c>
      <c r="I88" s="108" t="str">
        <f>IF('kWh_Streetlight Data'!J146=0,"",'kWh_Streetlight Data'!J146)</f>
        <v/>
      </c>
      <c r="J88" s="108" t="str">
        <f>IF('kWh_Streetlight Data'!K146=0,"",'kWh_Streetlight Data'!K146)</f>
        <v/>
      </c>
      <c r="K88" s="108" t="str">
        <f>IF('kWh_Streetlight Data'!L146=0,"",'kWh_Streetlight Data'!L146)</f>
        <v/>
      </c>
      <c r="L88" s="108" t="str">
        <f>IF('kWh_Streetlight Data'!M146=0,"",'kWh_Streetlight Data'!M146)</f>
        <v/>
      </c>
      <c r="M88" s="108" t="str">
        <f>IF('kWh_Streetlight Data'!N146=0,"",'kWh_Streetlight Data'!N146)</f>
        <v/>
      </c>
      <c r="N88" s="424" t="str">
        <f>IF('kWh_Streetlight Data'!O146=0,"",'kWh_Streetlight Data'!O146)</f>
        <v/>
      </c>
      <c r="O88" s="84" t="str">
        <f>IF('kWh_Streetlight Data'!P146=0,"",'kWh_Streetlight Data'!P146)</f>
        <v/>
      </c>
      <c r="P88" s="108" t="str">
        <f>IF('kWh_Streetlight Data'!Q146=0,"",'kWh_Streetlight Data'!Q146)</f>
        <v/>
      </c>
      <c r="Q88" s="108" t="str">
        <f>IF('kWh_Streetlight Data'!R146=0,"",'kWh_Streetlight Data'!R146)</f>
        <v/>
      </c>
      <c r="R88" s="108" t="str">
        <f>IF('kWh_Streetlight Data'!S146=0,"",'kWh_Streetlight Data'!S146)</f>
        <v/>
      </c>
      <c r="S88" s="108" t="str">
        <f>IF('kWh_Streetlight Data'!T146=0,"",'kWh_Streetlight Data'!T146)</f>
        <v/>
      </c>
      <c r="T88" s="108" t="str">
        <f>IF('kWh_Streetlight Data'!U146=0,"",'kWh_Streetlight Data'!U146)</f>
        <v/>
      </c>
      <c r="U88" s="108" t="str">
        <f>IF('kWh_Streetlight Data'!V146=0,"",'kWh_Streetlight Data'!V146)</f>
        <v/>
      </c>
      <c r="V88" s="108" t="str">
        <f>IF('kWh_Streetlight Data'!W146=0,"",'kWh_Streetlight Data'!W146)</f>
        <v/>
      </c>
      <c r="W88" s="108" t="str">
        <f>IF('kWh_Streetlight Data'!X146=0,"",'kWh_Streetlight Data'!X146)</f>
        <v/>
      </c>
      <c r="X88" s="108" t="str">
        <f>IF('kWh_Streetlight Data'!Y146=0,"",'kWh_Streetlight Data'!Y146)</f>
        <v/>
      </c>
      <c r="Y88" s="108" t="str">
        <f>IF('kWh_Streetlight Data'!Z146=0,"",'kWh_Streetlight Data'!Z146)</f>
        <v/>
      </c>
      <c r="Z88" s="108" t="str">
        <f>IF('kWh_Streetlight Data'!AA146=0,"",'kWh_Streetlight Data'!AA146)</f>
        <v/>
      </c>
      <c r="AA88" s="426" t="str">
        <f>IF('kWh_Streetlight Data'!AB146=0,"",'kWh_Streetlight Data'!AB146)</f>
        <v/>
      </c>
      <c r="AB88" s="442" t="str">
        <f>IF('kWh_Streetlight Data'!AC146=0,"",'kWh_Streetlight Data'!AC146)</f>
        <v/>
      </c>
      <c r="AC88" s="443" t="str">
        <f>IF('kWh_Streetlight Data'!AD146=0,"",'kWh_Streetlight Data'!AD146)</f>
        <v/>
      </c>
      <c r="AD88" s="443" t="str">
        <f>IF('kWh_Streetlight Data'!AE146=0,"",'kWh_Streetlight Data'!AE146)</f>
        <v/>
      </c>
      <c r="AE88" s="443" t="str">
        <f>IF('kWh_Streetlight Data'!AF146=0,"",'kWh_Streetlight Data'!AF146)</f>
        <v/>
      </c>
      <c r="AF88" s="443" t="str">
        <f>IF('kWh_Streetlight Data'!AG146=0,"",'kWh_Streetlight Data'!AG146)</f>
        <v/>
      </c>
      <c r="AG88" s="443" t="str">
        <f>IF('kWh_Streetlight Data'!AH146=0,"",'kWh_Streetlight Data'!AH146)</f>
        <v/>
      </c>
      <c r="AH88" s="108" t="str">
        <f>IF('kWh_Streetlight Data'!AI146=0,"",'kWh_Streetlight Data'!AI146)</f>
        <v/>
      </c>
      <c r="AI88" s="108" t="str">
        <f>IF('kWh_Streetlight Data'!AJ146=0,"",'kWh_Streetlight Data'!AJ146)</f>
        <v/>
      </c>
      <c r="AJ88" s="108" t="str">
        <f>IF('kWh_Streetlight Data'!AK146=0,"",'kWh_Streetlight Data'!AK146)</f>
        <v/>
      </c>
      <c r="AK88" s="108" t="str">
        <f>IF('kWh_Streetlight Data'!AL146=0,"",'kWh_Streetlight Data'!AL146)</f>
        <v/>
      </c>
      <c r="AL88" s="108" t="str">
        <f>IF('kWh_Streetlight Data'!AM146=0,"",'kWh_Streetlight Data'!AM146)</f>
        <v/>
      </c>
      <c r="AM88" s="108" t="str">
        <f>IF('kWh_Streetlight Data'!AN146=0,"",'kWh_Streetlight Data'!AN146)</f>
        <v/>
      </c>
      <c r="AN88" s="424" t="str">
        <f>IF('kWh_Streetlight Data'!AO146=0,"",'kWh_Streetlight Data'!AO146)</f>
        <v/>
      </c>
      <c r="AO88" s="390"/>
      <c r="AP88" s="391"/>
      <c r="AQ88" s="391"/>
      <c r="AR88" s="391"/>
      <c r="AS88" s="391"/>
      <c r="AT88" s="322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394"/>
      <c r="AP89" s="395"/>
      <c r="AQ89" s="395"/>
      <c r="AR89" s="395"/>
      <c r="AS89" s="395"/>
      <c r="AT89" s="324"/>
      <c r="AU89" s="126"/>
      <c r="AV89" s="126"/>
      <c r="AW89" s="126"/>
      <c r="AX89" s="126"/>
      <c r="AY89" s="126"/>
      <c r="AZ89" s="126"/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362"/>
      <c r="AP90" s="283"/>
      <c r="AQ90" s="283"/>
      <c r="AR90" s="283"/>
      <c r="AS90" s="283"/>
      <c r="AT90" s="276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396"/>
      <c r="AP91" s="397"/>
      <c r="AQ91" s="397"/>
      <c r="AR91" s="397"/>
      <c r="AS91" s="397"/>
      <c r="AT91" s="325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362"/>
      <c r="AP92" s="283"/>
      <c r="AQ92" s="283"/>
      <c r="AR92" s="283"/>
      <c r="AS92" s="283"/>
      <c r="AT92" s="276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363"/>
      <c r="AP93" s="284"/>
      <c r="AQ93" s="284"/>
      <c r="AR93" s="284"/>
      <c r="AS93" s="284"/>
      <c r="AT93" s="277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129" t="str">
        <f>IF('kWh_Streetlight Data'!C147=0,"",'kWh_Streetlight Data'!C147)</f>
        <v/>
      </c>
      <c r="C94" s="108" t="str">
        <f>IF('kWh_Streetlight Data'!D147=0,"",'kWh_Streetlight Data'!D147)</f>
        <v/>
      </c>
      <c r="D94" s="108" t="str">
        <f>IF('kWh_Streetlight Data'!E147=0,"",'kWh_Streetlight Data'!E147)</f>
        <v/>
      </c>
      <c r="E94" s="108" t="str">
        <f>IF('kWh_Streetlight Data'!F147=0,"",'kWh_Streetlight Data'!F147)</f>
        <v/>
      </c>
      <c r="F94" s="108" t="str">
        <f>IF('kWh_Streetlight Data'!G147=0,"",'kWh_Streetlight Data'!G147)</f>
        <v/>
      </c>
      <c r="G94" s="108" t="str">
        <f>IF('kWh_Streetlight Data'!H147=0,"",'kWh_Streetlight Data'!H147)</f>
        <v/>
      </c>
      <c r="H94" s="108" t="str">
        <f>IF('kWh_Streetlight Data'!I147=0,"",'kWh_Streetlight Data'!I147)</f>
        <v/>
      </c>
      <c r="I94" s="108" t="str">
        <f>IF('kWh_Streetlight Data'!J147=0,"",'kWh_Streetlight Data'!J147)</f>
        <v/>
      </c>
      <c r="J94" s="108" t="str">
        <f>IF('kWh_Streetlight Data'!K147=0,"",'kWh_Streetlight Data'!K147)</f>
        <v/>
      </c>
      <c r="K94" s="108" t="str">
        <f>IF('kWh_Streetlight Data'!L147=0,"",'kWh_Streetlight Data'!L147)</f>
        <v/>
      </c>
      <c r="L94" s="130" t="str">
        <f>IF('kWh_Streetlight Data'!M147=0,"",'kWh_Streetlight Data'!M147)</f>
        <v/>
      </c>
      <c r="M94" s="130" t="str">
        <f>IF('kWh_Streetlight Data'!N147=0,"",'kWh_Streetlight Data'!N147)</f>
        <v/>
      </c>
      <c r="N94" s="425" t="str">
        <f>IF('kWh_Streetlight Data'!O147=0,"",'kWh_Streetlight Data'!O147)</f>
        <v/>
      </c>
      <c r="O94" s="84" t="str">
        <f>IF('kWh_Streetlight Data'!P147=0,"",'kWh_Streetlight Data'!P147)</f>
        <v/>
      </c>
      <c r="P94" s="108" t="str">
        <f>IF('kWh_Streetlight Data'!Q147=0,"",'kWh_Streetlight Data'!Q147)</f>
        <v/>
      </c>
      <c r="Q94" s="108" t="str">
        <f>IF('kWh_Streetlight Data'!R147=0,"",'kWh_Streetlight Data'!R147)</f>
        <v/>
      </c>
      <c r="R94" s="108" t="str">
        <f>IF('kWh_Streetlight Data'!S147=0,"",'kWh_Streetlight Data'!S147)</f>
        <v/>
      </c>
      <c r="S94" s="108" t="str">
        <f>IF('kWh_Streetlight Data'!T147=0,"",'kWh_Streetlight Data'!T147)</f>
        <v/>
      </c>
      <c r="T94" s="108" t="str">
        <f>IF('kWh_Streetlight Data'!U147=0,"",'kWh_Streetlight Data'!U147)</f>
        <v/>
      </c>
      <c r="U94" s="108" t="str">
        <f>IF('kWh_Streetlight Data'!V147=0,"",'kWh_Streetlight Data'!V147)</f>
        <v/>
      </c>
      <c r="V94" s="108" t="str">
        <f>IF('kWh_Streetlight Data'!W147=0,"",'kWh_Streetlight Data'!W147)</f>
        <v/>
      </c>
      <c r="W94" s="108" t="str">
        <f>IF('kWh_Streetlight Data'!X147=0,"",'kWh_Streetlight Data'!X147)</f>
        <v/>
      </c>
      <c r="X94" s="108" t="str">
        <f>IF('kWh_Streetlight Data'!Y147=0,"",'kWh_Streetlight Data'!Y147)</f>
        <v/>
      </c>
      <c r="Y94" s="108" t="str">
        <f>IF('kWh_Streetlight Data'!Z147=0,"",'kWh_Streetlight Data'!Z147)</f>
        <v/>
      </c>
      <c r="Z94" s="108" t="str">
        <f>IF('kWh_Streetlight Data'!AA147=0,"",'kWh_Streetlight Data'!AA147)</f>
        <v/>
      </c>
      <c r="AA94" s="426" t="str">
        <f>IF('kWh_Streetlight Data'!AB147=0,"",'kWh_Streetlight Data'!AB147)</f>
        <v/>
      </c>
      <c r="AB94" s="84" t="str">
        <f>IF('kWh_Streetlight Data'!AC147=0,"",'kWh_Streetlight Data'!AC147)</f>
        <v/>
      </c>
      <c r="AC94" s="108" t="str">
        <f>IF('kWh_Streetlight Data'!AD147=0,"",'kWh_Streetlight Data'!AD147)</f>
        <v/>
      </c>
      <c r="AD94" s="108" t="str">
        <f>IF('kWh_Streetlight Data'!AE147=0,"",'kWh_Streetlight Data'!AE147)</f>
        <v/>
      </c>
      <c r="AE94" s="108" t="str">
        <f>IF('kWh_Streetlight Data'!AF147=0,"",'kWh_Streetlight Data'!AF147)</f>
        <v/>
      </c>
      <c r="AF94" s="108" t="str">
        <f>IF('kWh_Streetlight Data'!AG147=0,"",'kWh_Streetlight Data'!AG147)</f>
        <v/>
      </c>
      <c r="AG94" s="108" t="str">
        <f>IF('kWh_Streetlight Data'!AH147=0,"",'kWh_Streetlight Data'!AH147)</f>
        <v/>
      </c>
      <c r="AH94" s="108" t="str">
        <f>IF('kWh_Streetlight Data'!AI147=0,"",'kWh_Streetlight Data'!AI147)</f>
        <v/>
      </c>
      <c r="AI94" s="108" t="str">
        <f>IF('kWh_Streetlight Data'!AJ147=0,"",'kWh_Streetlight Data'!AJ147)</f>
        <v/>
      </c>
      <c r="AJ94" s="108" t="str">
        <f>IF('kWh_Streetlight Data'!AK147=0,"",'kWh_Streetlight Data'!AK147)</f>
        <v/>
      </c>
      <c r="AK94" s="108" t="str">
        <f>IF('kWh_Streetlight Data'!AL147=0,"",'kWh_Streetlight Data'!AL147)</f>
        <v/>
      </c>
      <c r="AL94" s="108" t="str">
        <f>IF('kWh_Streetlight Data'!AM147=0,"",'kWh_Streetlight Data'!AM147)</f>
        <v/>
      </c>
      <c r="AM94" s="108" t="str">
        <f>IF('kWh_Streetlight Data'!AN147=0,"",'kWh_Streetlight Data'!AN147)</f>
        <v/>
      </c>
      <c r="AN94" s="424" t="str">
        <f>IF('kWh_Streetlight Data'!AO147=0,"",'kWh_Streetlight Data'!AO147)</f>
        <v/>
      </c>
      <c r="AO94" s="390"/>
      <c r="AP94" s="391"/>
      <c r="AQ94" s="391"/>
      <c r="AR94" s="391"/>
      <c r="AS94" s="391"/>
      <c r="AT94" s="322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362"/>
      <c r="AP95" s="283"/>
      <c r="AQ95" s="283"/>
      <c r="AR95" s="283"/>
      <c r="AS95" s="283"/>
      <c r="AT95" s="276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362"/>
      <c r="AP96" s="283"/>
      <c r="AQ96" s="283"/>
      <c r="AR96" s="283"/>
      <c r="AS96" s="283"/>
      <c r="AT96" s="276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402"/>
      <c r="AP97" s="403"/>
      <c r="AQ97" s="403"/>
      <c r="AR97" s="403"/>
      <c r="AS97" s="403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90"/>
      <c r="AP98" s="391"/>
      <c r="AQ98" s="391"/>
      <c r="AR98" s="391"/>
      <c r="AS98" s="391"/>
      <c r="AT98" s="9"/>
      <c r="AU98" s="9">
        <f t="shared" ref="AU98:AZ98" si="24">AU7+AU22+AU29+AU43</f>
        <v>29</v>
      </c>
      <c r="AV98" s="9">
        <f t="shared" si="24"/>
        <v>29</v>
      </c>
      <c r="AW98" s="9">
        <f t="shared" si="24"/>
        <v>29</v>
      </c>
      <c r="AX98" s="9">
        <f t="shared" si="24"/>
        <v>29</v>
      </c>
      <c r="AY98" s="9">
        <f t="shared" si="24"/>
        <v>29</v>
      </c>
      <c r="AZ98" s="9">
        <f t="shared" si="24"/>
        <v>29</v>
      </c>
      <c r="BA98" s="138">
        <f>AZ98</f>
        <v>29</v>
      </c>
      <c r="BB98" s="9">
        <v>29</v>
      </c>
      <c r="BC98" s="9">
        <v>29</v>
      </c>
      <c r="BD98" s="9">
        <v>29</v>
      </c>
      <c r="BE98" s="9">
        <v>29</v>
      </c>
      <c r="BF98" s="9">
        <f t="shared" ref="BF98:BO98" si="25">BF7+BF22+BF29+BF43</f>
        <v>29</v>
      </c>
      <c r="BG98" s="9">
        <f t="shared" si="25"/>
        <v>29</v>
      </c>
      <c r="BH98" s="9">
        <f t="shared" si="25"/>
        <v>29</v>
      </c>
      <c r="BI98" s="9">
        <f t="shared" si="25"/>
        <v>29</v>
      </c>
      <c r="BJ98" s="9">
        <f t="shared" si="25"/>
        <v>29</v>
      </c>
      <c r="BK98" s="9">
        <f t="shared" si="25"/>
        <v>29</v>
      </c>
      <c r="BL98" s="9">
        <f t="shared" si="25"/>
        <v>29</v>
      </c>
      <c r="BM98" s="9">
        <f t="shared" si="25"/>
        <v>29</v>
      </c>
      <c r="BN98" s="138">
        <f t="shared" si="25"/>
        <v>29</v>
      </c>
      <c r="BO98" s="58">
        <f t="shared" si="25"/>
        <v>29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90"/>
      <c r="AP99" s="391"/>
      <c r="AQ99" s="391"/>
      <c r="AR99" s="391"/>
      <c r="AS99" s="391"/>
      <c r="AT99" s="9"/>
      <c r="AU99" s="9">
        <f t="shared" ref="AU99:AZ99" si="26">AU57</f>
        <v>0</v>
      </c>
      <c r="AV99" s="9">
        <f t="shared" si="26"/>
        <v>0</v>
      </c>
      <c r="AW99" s="9">
        <f t="shared" si="26"/>
        <v>0</v>
      </c>
      <c r="AX99" s="9">
        <f t="shared" si="26"/>
        <v>0</v>
      </c>
      <c r="AY99" s="9">
        <f t="shared" si="26"/>
        <v>0</v>
      </c>
      <c r="AZ99" s="9">
        <f t="shared" si="26"/>
        <v>0</v>
      </c>
      <c r="BA99" s="138">
        <f>AZ99</f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27">BF57</f>
        <v>0</v>
      </c>
      <c r="BG99" s="9">
        <f t="shared" si="27"/>
        <v>0</v>
      </c>
      <c r="BH99" s="9">
        <f t="shared" si="27"/>
        <v>0</v>
      </c>
      <c r="BI99" s="9">
        <f t="shared" si="27"/>
        <v>0</v>
      </c>
      <c r="BJ99" s="9">
        <f t="shared" si="27"/>
        <v>0</v>
      </c>
      <c r="BK99" s="9">
        <f t="shared" si="27"/>
        <v>0</v>
      </c>
      <c r="BL99" s="9">
        <f t="shared" si="27"/>
        <v>0</v>
      </c>
      <c r="BM99" s="9">
        <f t="shared" si="27"/>
        <v>0</v>
      </c>
      <c r="BN99" s="138">
        <f t="shared" si="27"/>
        <v>0</v>
      </c>
      <c r="BO99" s="58">
        <f t="shared" si="27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AZ100" si="28">AU65+AU75+AU81+AU86</f>
        <v>0</v>
      </c>
      <c r="AV100" s="9">
        <f t="shared" si="28"/>
        <v>0</v>
      </c>
      <c r="AW100" s="9">
        <f t="shared" si="28"/>
        <v>0</v>
      </c>
      <c r="AX100" s="9">
        <f t="shared" si="28"/>
        <v>0</v>
      </c>
      <c r="AY100" s="9">
        <f t="shared" si="28"/>
        <v>0</v>
      </c>
      <c r="AZ100" s="9">
        <f t="shared" si="28"/>
        <v>0</v>
      </c>
      <c r="BA100" s="138">
        <f>AZ100</f>
        <v>0</v>
      </c>
      <c r="BB100" s="9">
        <v>0</v>
      </c>
      <c r="BC100" s="9"/>
      <c r="BD100" s="9"/>
      <c r="BE100" s="9"/>
      <c r="BF100" s="9"/>
      <c r="BG100" s="9"/>
      <c r="BH100" s="9"/>
      <c r="BI100" s="9"/>
      <c r="BJ100" s="9"/>
      <c r="BK100" s="9">
        <f>BK65+BK75+BK81+BK86</f>
        <v>0</v>
      </c>
      <c r="BL100" s="9">
        <f>BL65+BL75+BL81+BL86</f>
        <v>0</v>
      </c>
      <c r="BM100" s="9">
        <f>BM65+BM75+BM81+BM86</f>
        <v>0</v>
      </c>
      <c r="BN100" s="138">
        <f>BN65+BN75+BN81+BN86</f>
        <v>0</v>
      </c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29">SUM(AU98:AU100)</f>
        <v>29</v>
      </c>
      <c r="AV101" s="73">
        <f t="shared" si="29"/>
        <v>29</v>
      </c>
      <c r="AW101" s="73">
        <f t="shared" si="29"/>
        <v>29</v>
      </c>
      <c r="AX101" s="73">
        <f t="shared" si="29"/>
        <v>29</v>
      </c>
      <c r="AY101" s="73">
        <f t="shared" si="29"/>
        <v>29</v>
      </c>
      <c r="AZ101" s="73">
        <f t="shared" si="29"/>
        <v>29</v>
      </c>
      <c r="BA101" s="249">
        <f t="shared" si="29"/>
        <v>29</v>
      </c>
      <c r="BB101" s="73">
        <v>29</v>
      </c>
      <c r="BC101" s="73">
        <v>29</v>
      </c>
      <c r="BD101" s="73">
        <v>29</v>
      </c>
      <c r="BE101" s="73">
        <v>29</v>
      </c>
      <c r="BF101" s="73">
        <f t="shared" ref="BF101:BO101" si="30">SUM(BF98:BF100)</f>
        <v>29</v>
      </c>
      <c r="BG101" s="73">
        <f t="shared" si="30"/>
        <v>29</v>
      </c>
      <c r="BH101" s="73">
        <f t="shared" si="30"/>
        <v>29</v>
      </c>
      <c r="BI101" s="73">
        <f t="shared" si="30"/>
        <v>29</v>
      </c>
      <c r="BJ101" s="73">
        <f t="shared" si="30"/>
        <v>29</v>
      </c>
      <c r="BK101" s="73">
        <f t="shared" si="30"/>
        <v>29</v>
      </c>
      <c r="BL101" s="73">
        <f t="shared" si="30"/>
        <v>29</v>
      </c>
      <c r="BM101" s="73">
        <f t="shared" si="30"/>
        <v>29</v>
      </c>
      <c r="BN101" s="249">
        <f t="shared" si="30"/>
        <v>29</v>
      </c>
      <c r="BO101" s="268">
        <f t="shared" si="30"/>
        <v>29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337">
        <v>0</v>
      </c>
      <c r="BC102" s="337">
        <v>0</v>
      </c>
      <c r="BD102" s="337">
        <v>0</v>
      </c>
      <c r="BE102" s="337">
        <v>0</v>
      </c>
      <c r="BF102" s="337">
        <f t="shared" ref="BF102:BO102" si="31">BF15+BF36+BF50</f>
        <v>0</v>
      </c>
      <c r="BG102" s="337">
        <f t="shared" si="31"/>
        <v>0</v>
      </c>
      <c r="BH102" s="337">
        <f t="shared" si="31"/>
        <v>0</v>
      </c>
      <c r="BI102" s="337">
        <f t="shared" si="31"/>
        <v>0</v>
      </c>
      <c r="BJ102" s="337">
        <f t="shared" si="31"/>
        <v>0</v>
      </c>
      <c r="BK102" s="337">
        <f t="shared" si="31"/>
        <v>0</v>
      </c>
      <c r="BL102" s="337">
        <f t="shared" si="31"/>
        <v>0</v>
      </c>
      <c r="BM102" s="337">
        <f t="shared" si="31"/>
        <v>0</v>
      </c>
      <c r="BN102" s="138">
        <f t="shared" si="31"/>
        <v>0</v>
      </c>
      <c r="BO102" s="266">
        <f t="shared" si="31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>
        <v>0</v>
      </c>
      <c r="BC103" s="9">
        <v>0</v>
      </c>
      <c r="BD103" s="9">
        <v>0</v>
      </c>
      <c r="BE103" s="9">
        <v>0</v>
      </c>
      <c r="BF103" s="9">
        <f t="shared" ref="BF103:BM103" si="32">BF61</f>
        <v>0</v>
      </c>
      <c r="BG103" s="9">
        <f t="shared" si="32"/>
        <v>0</v>
      </c>
      <c r="BH103" s="9">
        <f t="shared" si="32"/>
        <v>0</v>
      </c>
      <c r="BI103" s="9">
        <f t="shared" si="32"/>
        <v>0</v>
      </c>
      <c r="BJ103" s="9">
        <f t="shared" si="32"/>
        <v>0</v>
      </c>
      <c r="BK103" s="9">
        <f t="shared" si="32"/>
        <v>0</v>
      </c>
      <c r="BL103" s="9">
        <f t="shared" si="32"/>
        <v>0</v>
      </c>
      <c r="BM103" s="9">
        <f t="shared" si="32"/>
        <v>0</v>
      </c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AZ104" si="33">AU92</f>
        <v>0</v>
      </c>
      <c r="AV104" s="9">
        <f t="shared" si="33"/>
        <v>0</v>
      </c>
      <c r="AW104" s="9">
        <f t="shared" si="33"/>
        <v>0</v>
      </c>
      <c r="AX104" s="9">
        <f t="shared" si="33"/>
        <v>0</v>
      </c>
      <c r="AY104" s="9">
        <f t="shared" si="33"/>
        <v>0</v>
      </c>
      <c r="AZ104" s="9">
        <f t="shared" si="33"/>
        <v>0</v>
      </c>
      <c r="BA104" s="138"/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34">BF92</f>
        <v>0</v>
      </c>
      <c r="BG104" s="9">
        <f t="shared" si="34"/>
        <v>0</v>
      </c>
      <c r="BH104" s="9">
        <f t="shared" si="34"/>
        <v>0</v>
      </c>
      <c r="BI104" s="9">
        <f t="shared" si="34"/>
        <v>0</v>
      </c>
      <c r="BJ104" s="9">
        <f t="shared" si="34"/>
        <v>0</v>
      </c>
      <c r="BK104" s="9">
        <f t="shared" si="34"/>
        <v>0</v>
      </c>
      <c r="BL104" s="9">
        <f t="shared" si="34"/>
        <v>0</v>
      </c>
      <c r="BM104" s="9">
        <f t="shared" si="34"/>
        <v>0</v>
      </c>
      <c r="BN104" s="138">
        <f t="shared" si="34"/>
        <v>0</v>
      </c>
      <c r="BO104" s="58">
        <f t="shared" si="34"/>
        <v>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404"/>
      <c r="AP105" s="405"/>
      <c r="AQ105" s="405"/>
      <c r="AR105" s="405"/>
      <c r="AS105" s="405"/>
      <c r="AT105" s="73"/>
      <c r="AU105" s="73">
        <f t="shared" ref="AU105:BA105" si="35">SUM(AU102:AU104)</f>
        <v>0</v>
      </c>
      <c r="AV105" s="73">
        <f t="shared" si="35"/>
        <v>0</v>
      </c>
      <c r="AW105" s="73">
        <f t="shared" si="35"/>
        <v>0</v>
      </c>
      <c r="AX105" s="73">
        <f t="shared" si="35"/>
        <v>0</v>
      </c>
      <c r="AY105" s="73">
        <f t="shared" si="35"/>
        <v>0</v>
      </c>
      <c r="AZ105" s="73">
        <f t="shared" si="35"/>
        <v>0</v>
      </c>
      <c r="BA105" s="249">
        <f t="shared" si="3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36">SUM(BF102:BF104)</f>
        <v>0</v>
      </c>
      <c r="BG105" s="73">
        <f t="shared" si="36"/>
        <v>0</v>
      </c>
      <c r="BH105" s="73">
        <f t="shared" si="36"/>
        <v>0</v>
      </c>
      <c r="BI105" s="73">
        <f t="shared" si="36"/>
        <v>0</v>
      </c>
      <c r="BJ105" s="73">
        <f t="shared" si="36"/>
        <v>0</v>
      </c>
      <c r="BK105" s="73">
        <f t="shared" si="36"/>
        <v>0</v>
      </c>
      <c r="BL105" s="73">
        <f t="shared" si="36"/>
        <v>0</v>
      </c>
      <c r="BM105" s="73">
        <f t="shared" si="36"/>
        <v>0</v>
      </c>
      <c r="BN105" s="249">
        <f t="shared" si="36"/>
        <v>0</v>
      </c>
      <c r="BO105" s="268">
        <f t="shared" si="36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406"/>
      <c r="AP106" s="407"/>
      <c r="AQ106" s="407"/>
      <c r="AR106" s="407"/>
      <c r="AS106" s="407"/>
      <c r="AT106" s="251"/>
      <c r="AU106" s="251">
        <f t="shared" ref="AU106:BO106" si="37">AU105+AU101</f>
        <v>29</v>
      </c>
      <c r="AV106" s="251">
        <f t="shared" si="37"/>
        <v>29</v>
      </c>
      <c r="AW106" s="251">
        <f t="shared" si="37"/>
        <v>29</v>
      </c>
      <c r="AX106" s="251">
        <f t="shared" si="37"/>
        <v>29</v>
      </c>
      <c r="AY106" s="251">
        <f t="shared" si="37"/>
        <v>29</v>
      </c>
      <c r="AZ106" s="251">
        <f t="shared" si="37"/>
        <v>29</v>
      </c>
      <c r="BA106" s="255">
        <f t="shared" si="37"/>
        <v>29</v>
      </c>
      <c r="BB106" s="251">
        <v>29</v>
      </c>
      <c r="BC106" s="251">
        <v>29</v>
      </c>
      <c r="BD106" s="251">
        <v>29</v>
      </c>
      <c r="BE106" s="251">
        <v>29</v>
      </c>
      <c r="BF106" s="251">
        <f t="shared" si="37"/>
        <v>29</v>
      </c>
      <c r="BG106" s="251">
        <f t="shared" si="37"/>
        <v>29</v>
      </c>
      <c r="BH106" s="251">
        <f t="shared" si="37"/>
        <v>29</v>
      </c>
      <c r="BI106" s="251">
        <f t="shared" si="37"/>
        <v>29</v>
      </c>
      <c r="BJ106" s="251">
        <f t="shared" si="37"/>
        <v>29</v>
      </c>
      <c r="BK106" s="251">
        <f t="shared" si="37"/>
        <v>29</v>
      </c>
      <c r="BL106" s="251">
        <f t="shared" si="37"/>
        <v>29</v>
      </c>
      <c r="BM106" s="251">
        <f t="shared" si="37"/>
        <v>29</v>
      </c>
      <c r="BN106" s="255">
        <f t="shared" si="37"/>
        <v>29</v>
      </c>
      <c r="BO106" s="269">
        <f t="shared" si="37"/>
        <v>29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08"/>
      <c r="AP107" s="409"/>
      <c r="AQ107" s="409"/>
      <c r="AR107" s="409"/>
      <c r="AS107" s="409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90"/>
      <c r="AP108" s="391"/>
      <c r="AQ108" s="391"/>
      <c r="AR108" s="391"/>
      <c r="AS108" s="391"/>
      <c r="AT108" s="9"/>
      <c r="AU108" s="9">
        <f t="shared" ref="AU108:BA108" si="38">AU11+AU26+AU33+AU47</f>
        <v>27712</v>
      </c>
      <c r="AV108" s="9">
        <f t="shared" si="38"/>
        <v>12431</v>
      </c>
      <c r="AW108" s="9">
        <f t="shared" si="38"/>
        <v>11954</v>
      </c>
      <c r="AX108" s="9">
        <f t="shared" si="38"/>
        <v>23502</v>
      </c>
      <c r="AY108" s="9">
        <f t="shared" si="38"/>
        <v>17042</v>
      </c>
      <c r="AZ108" s="9">
        <f t="shared" si="38"/>
        <v>19139</v>
      </c>
      <c r="BA108" s="138">
        <f t="shared" si="38"/>
        <v>111780</v>
      </c>
      <c r="BB108" s="9">
        <v>31951</v>
      </c>
      <c r="BC108" s="9">
        <v>21901</v>
      </c>
      <c r="BD108" s="9">
        <v>17243</v>
      </c>
      <c r="BE108" s="9">
        <v>27221</v>
      </c>
      <c r="BF108" s="9">
        <f t="shared" ref="BF108:BO108" si="39">BF11+BF26+BF33+BF47</f>
        <v>17965</v>
      </c>
      <c r="BG108" s="9">
        <f t="shared" si="39"/>
        <v>13256</v>
      </c>
      <c r="BH108" s="9">
        <f t="shared" si="39"/>
        <v>25912</v>
      </c>
      <c r="BI108" s="9">
        <f t="shared" si="39"/>
        <v>12431</v>
      </c>
      <c r="BJ108" s="9">
        <f t="shared" si="39"/>
        <v>11954</v>
      </c>
      <c r="BK108" s="9">
        <f t="shared" si="39"/>
        <v>21702</v>
      </c>
      <c r="BL108" s="9">
        <f t="shared" si="39"/>
        <v>17042</v>
      </c>
      <c r="BM108" s="9">
        <f t="shared" si="39"/>
        <v>19139</v>
      </c>
      <c r="BN108" s="138">
        <f t="shared" si="39"/>
        <v>237717</v>
      </c>
      <c r="BO108" s="58">
        <f t="shared" si="39"/>
        <v>237717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90"/>
      <c r="AP109" s="391"/>
      <c r="AQ109" s="391"/>
      <c r="AR109" s="391"/>
      <c r="AS109" s="391"/>
      <c r="AT109" s="9"/>
      <c r="AU109" s="9">
        <f t="shared" ref="AU109:BA109" si="40">AU58</f>
        <v>0</v>
      </c>
      <c r="AV109" s="9">
        <f t="shared" si="40"/>
        <v>0</v>
      </c>
      <c r="AW109" s="9">
        <f t="shared" si="40"/>
        <v>0</v>
      </c>
      <c r="AX109" s="9">
        <f t="shared" si="40"/>
        <v>0</v>
      </c>
      <c r="AY109" s="9">
        <f t="shared" si="40"/>
        <v>0</v>
      </c>
      <c r="AZ109" s="9">
        <f t="shared" si="40"/>
        <v>0</v>
      </c>
      <c r="BA109" s="138">
        <f t="shared" si="40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41">BF58</f>
        <v>0</v>
      </c>
      <c r="BG109" s="9">
        <f t="shared" si="41"/>
        <v>0</v>
      </c>
      <c r="BH109" s="9">
        <f t="shared" si="41"/>
        <v>0</v>
      </c>
      <c r="BI109" s="9">
        <f t="shared" si="41"/>
        <v>0</v>
      </c>
      <c r="BJ109" s="9">
        <f t="shared" si="41"/>
        <v>0</v>
      </c>
      <c r="BK109" s="9">
        <f t="shared" si="41"/>
        <v>0</v>
      </c>
      <c r="BL109" s="9">
        <f t="shared" si="41"/>
        <v>0</v>
      </c>
      <c r="BM109" s="9">
        <f t="shared" si="41"/>
        <v>0</v>
      </c>
      <c r="BN109" s="138">
        <f t="shared" si="41"/>
        <v>0</v>
      </c>
      <c r="BO109" s="58">
        <f t="shared" si="41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90"/>
      <c r="AP110" s="391"/>
      <c r="AQ110" s="391"/>
      <c r="AR110" s="391"/>
      <c r="AS110" s="391"/>
      <c r="AT110" s="9"/>
      <c r="AU110" s="9">
        <f t="shared" ref="AU110:BA110" si="42">AU68+AU78+AU82+AU87</f>
        <v>0</v>
      </c>
      <c r="AV110" s="9">
        <f t="shared" si="42"/>
        <v>0</v>
      </c>
      <c r="AW110" s="9">
        <f t="shared" si="42"/>
        <v>0</v>
      </c>
      <c r="AX110" s="9">
        <f t="shared" si="42"/>
        <v>0</v>
      </c>
      <c r="AY110" s="9">
        <f t="shared" si="42"/>
        <v>0</v>
      </c>
      <c r="AZ110" s="9">
        <f t="shared" si="42"/>
        <v>0</v>
      </c>
      <c r="BA110" s="138">
        <f t="shared" si="42"/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f t="shared" ref="BF110:BO110" si="43">BF68+BF78+BF82+BF87</f>
        <v>0</v>
      </c>
      <c r="BG110" s="9">
        <f t="shared" si="43"/>
        <v>0</v>
      </c>
      <c r="BH110" s="9">
        <f t="shared" si="43"/>
        <v>0</v>
      </c>
      <c r="BI110" s="9">
        <f t="shared" si="43"/>
        <v>0</v>
      </c>
      <c r="BJ110" s="9">
        <f t="shared" si="43"/>
        <v>0</v>
      </c>
      <c r="BK110" s="9">
        <f t="shared" si="43"/>
        <v>0</v>
      </c>
      <c r="BL110" s="9">
        <f t="shared" si="43"/>
        <v>0</v>
      </c>
      <c r="BM110" s="9">
        <f t="shared" si="43"/>
        <v>0</v>
      </c>
      <c r="BN110" s="138">
        <f t="shared" si="43"/>
        <v>0</v>
      </c>
      <c r="BO110" s="58">
        <f t="shared" si="43"/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404"/>
      <c r="AP111" s="405"/>
      <c r="AQ111" s="405"/>
      <c r="AR111" s="405"/>
      <c r="AS111" s="405"/>
      <c r="AT111" s="73"/>
      <c r="AU111" s="73">
        <f t="shared" ref="AU111:BO111" si="44">SUM(AU108:AU110)</f>
        <v>27712</v>
      </c>
      <c r="AV111" s="73">
        <f t="shared" si="44"/>
        <v>12431</v>
      </c>
      <c r="AW111" s="73">
        <f t="shared" si="44"/>
        <v>11954</v>
      </c>
      <c r="AX111" s="73">
        <f t="shared" si="44"/>
        <v>23502</v>
      </c>
      <c r="AY111" s="73">
        <f t="shared" si="44"/>
        <v>17042</v>
      </c>
      <c r="AZ111" s="73">
        <f t="shared" si="44"/>
        <v>19139</v>
      </c>
      <c r="BA111" s="249">
        <f t="shared" si="44"/>
        <v>111780</v>
      </c>
      <c r="BB111" s="73">
        <v>31951</v>
      </c>
      <c r="BC111" s="73">
        <v>21901</v>
      </c>
      <c r="BD111" s="73">
        <v>17243</v>
      </c>
      <c r="BE111" s="73">
        <v>27221</v>
      </c>
      <c r="BF111" s="73">
        <f t="shared" si="44"/>
        <v>17965</v>
      </c>
      <c r="BG111" s="73">
        <f t="shared" si="44"/>
        <v>13256</v>
      </c>
      <c r="BH111" s="73">
        <f t="shared" si="44"/>
        <v>25912</v>
      </c>
      <c r="BI111" s="73">
        <f t="shared" si="44"/>
        <v>12431</v>
      </c>
      <c r="BJ111" s="73">
        <f t="shared" si="44"/>
        <v>11954</v>
      </c>
      <c r="BK111" s="73">
        <f t="shared" si="44"/>
        <v>21702</v>
      </c>
      <c r="BL111" s="73">
        <f t="shared" si="44"/>
        <v>17042</v>
      </c>
      <c r="BM111" s="73">
        <f t="shared" si="44"/>
        <v>19139</v>
      </c>
      <c r="BN111" s="249">
        <f t="shared" si="44"/>
        <v>237717</v>
      </c>
      <c r="BO111" s="268">
        <f t="shared" si="44"/>
        <v>237717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90"/>
      <c r="AP112" s="391"/>
      <c r="AQ112" s="391"/>
      <c r="AR112" s="391"/>
      <c r="AS112" s="391"/>
      <c r="AT112" s="9"/>
      <c r="AU112" s="9"/>
      <c r="AV112" s="9"/>
      <c r="AW112" s="9"/>
      <c r="AX112" s="9"/>
      <c r="AY112" s="9"/>
      <c r="AZ112" s="9"/>
      <c r="BA112" s="138">
        <f>BA19+BA40+BA54</f>
        <v>0</v>
      </c>
      <c r="BB112" s="337">
        <v>0</v>
      </c>
      <c r="BC112" s="337">
        <v>0</v>
      </c>
      <c r="BD112" s="337">
        <v>0</v>
      </c>
      <c r="BE112" s="337">
        <v>0</v>
      </c>
      <c r="BF112" s="337">
        <f t="shared" ref="BF112:BO112" si="45">BF19+BF40+BF54</f>
        <v>0</v>
      </c>
      <c r="BG112" s="337">
        <f t="shared" si="45"/>
        <v>0</v>
      </c>
      <c r="BH112" s="337">
        <f t="shared" si="45"/>
        <v>0</v>
      </c>
      <c r="BI112" s="337">
        <f t="shared" si="45"/>
        <v>0</v>
      </c>
      <c r="BJ112" s="337">
        <f t="shared" si="45"/>
        <v>0</v>
      </c>
      <c r="BK112" s="337">
        <f t="shared" si="45"/>
        <v>0</v>
      </c>
      <c r="BL112" s="337">
        <f t="shared" si="45"/>
        <v>0</v>
      </c>
      <c r="BM112" s="337">
        <f t="shared" si="45"/>
        <v>0</v>
      </c>
      <c r="BN112" s="138">
        <f t="shared" si="45"/>
        <v>0</v>
      </c>
      <c r="BO112" s="58">
        <f t="shared" si="45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90"/>
      <c r="AP113" s="391"/>
      <c r="AQ113" s="391"/>
      <c r="AR113" s="391"/>
      <c r="AS113" s="391"/>
      <c r="AT113" s="9"/>
      <c r="AU113" s="9"/>
      <c r="AV113" s="9"/>
      <c r="AW113" s="9"/>
      <c r="AX113" s="9"/>
      <c r="AY113" s="9"/>
      <c r="AZ113" s="9"/>
      <c r="BA113" s="138"/>
      <c r="BB113" s="9">
        <v>0</v>
      </c>
      <c r="BC113" s="9">
        <v>0</v>
      </c>
      <c r="BD113" s="9">
        <v>0</v>
      </c>
      <c r="BE113" s="9">
        <v>0</v>
      </c>
      <c r="BF113" s="9">
        <f t="shared" ref="BF113:BM113" si="46">BF62</f>
        <v>0</v>
      </c>
      <c r="BG113" s="9">
        <f t="shared" si="46"/>
        <v>0</v>
      </c>
      <c r="BH113" s="9">
        <f t="shared" si="46"/>
        <v>0</v>
      </c>
      <c r="BI113" s="9">
        <f t="shared" si="46"/>
        <v>0</v>
      </c>
      <c r="BJ113" s="9">
        <f t="shared" si="46"/>
        <v>0</v>
      </c>
      <c r="BK113" s="9">
        <f t="shared" si="46"/>
        <v>0</v>
      </c>
      <c r="BL113" s="9">
        <f t="shared" si="46"/>
        <v>0</v>
      </c>
      <c r="BM113" s="9">
        <f t="shared" si="46"/>
        <v>0</v>
      </c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90"/>
      <c r="AP114" s="391"/>
      <c r="AQ114" s="391"/>
      <c r="AR114" s="391"/>
      <c r="AS114" s="391"/>
      <c r="AT114" s="9"/>
      <c r="AU114" s="9">
        <f t="shared" ref="AU114:BA114" si="47">AU93</f>
        <v>0</v>
      </c>
      <c r="AV114" s="9">
        <f t="shared" si="47"/>
        <v>0</v>
      </c>
      <c r="AW114" s="9">
        <f t="shared" si="47"/>
        <v>0</v>
      </c>
      <c r="AX114" s="9">
        <f t="shared" si="47"/>
        <v>0</v>
      </c>
      <c r="AY114" s="9">
        <f t="shared" si="47"/>
        <v>0</v>
      </c>
      <c r="AZ114" s="9">
        <f t="shared" si="47"/>
        <v>0</v>
      </c>
      <c r="BA114" s="138">
        <f t="shared" si="47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48">BF93</f>
        <v>0</v>
      </c>
      <c r="BG114" s="9">
        <f t="shared" si="48"/>
        <v>0</v>
      </c>
      <c r="BH114" s="9">
        <f t="shared" si="48"/>
        <v>0</v>
      </c>
      <c r="BI114" s="9">
        <f t="shared" si="48"/>
        <v>0</v>
      </c>
      <c r="BJ114" s="9">
        <f t="shared" si="48"/>
        <v>0</v>
      </c>
      <c r="BK114" s="9">
        <f t="shared" si="48"/>
        <v>0</v>
      </c>
      <c r="BL114" s="9">
        <f t="shared" si="48"/>
        <v>0</v>
      </c>
      <c r="BM114" s="9">
        <f t="shared" si="48"/>
        <v>0</v>
      </c>
      <c r="BN114" s="138">
        <f t="shared" si="48"/>
        <v>0</v>
      </c>
      <c r="BO114" s="58">
        <f t="shared" si="48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404"/>
      <c r="AP115" s="405"/>
      <c r="AQ115" s="405"/>
      <c r="AR115" s="405"/>
      <c r="AS115" s="405"/>
      <c r="AT115" s="73"/>
      <c r="AU115" s="73">
        <f t="shared" ref="AU115:BA115" si="49">SUM(AU112:AU114)</f>
        <v>0</v>
      </c>
      <c r="AV115" s="73">
        <f t="shared" si="49"/>
        <v>0</v>
      </c>
      <c r="AW115" s="73">
        <f t="shared" si="49"/>
        <v>0</v>
      </c>
      <c r="AX115" s="73">
        <f t="shared" si="49"/>
        <v>0</v>
      </c>
      <c r="AY115" s="73">
        <f t="shared" si="49"/>
        <v>0</v>
      </c>
      <c r="AZ115" s="73">
        <f t="shared" si="49"/>
        <v>0</v>
      </c>
      <c r="BA115" s="249">
        <f t="shared" si="49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50">SUM(BF112:BF114)</f>
        <v>0</v>
      </c>
      <c r="BG115" s="73">
        <f t="shared" si="50"/>
        <v>0</v>
      </c>
      <c r="BH115" s="73">
        <f t="shared" si="50"/>
        <v>0</v>
      </c>
      <c r="BI115" s="73">
        <f t="shared" si="50"/>
        <v>0</v>
      </c>
      <c r="BJ115" s="73">
        <f t="shared" si="50"/>
        <v>0</v>
      </c>
      <c r="BK115" s="73">
        <f t="shared" si="50"/>
        <v>0</v>
      </c>
      <c r="BL115" s="73">
        <f t="shared" si="50"/>
        <v>0</v>
      </c>
      <c r="BM115" s="73">
        <f t="shared" si="50"/>
        <v>0</v>
      </c>
      <c r="BN115" s="249">
        <f t="shared" si="50"/>
        <v>0</v>
      </c>
      <c r="BO115" s="268">
        <f t="shared" si="50"/>
        <v>0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406"/>
      <c r="AP116" s="407"/>
      <c r="AQ116" s="407"/>
      <c r="AR116" s="407"/>
      <c r="AS116" s="407"/>
      <c r="AT116" s="251"/>
      <c r="AU116" s="251">
        <f t="shared" ref="AU116:BO116" si="51">AU115+AU111</f>
        <v>27712</v>
      </c>
      <c r="AV116" s="251">
        <f t="shared" si="51"/>
        <v>12431</v>
      </c>
      <c r="AW116" s="251">
        <f t="shared" si="51"/>
        <v>11954</v>
      </c>
      <c r="AX116" s="251">
        <f t="shared" si="51"/>
        <v>23502</v>
      </c>
      <c r="AY116" s="251">
        <f t="shared" si="51"/>
        <v>17042</v>
      </c>
      <c r="AZ116" s="251">
        <f t="shared" si="51"/>
        <v>19139</v>
      </c>
      <c r="BA116" s="255">
        <f t="shared" si="51"/>
        <v>111780</v>
      </c>
      <c r="BB116" s="251">
        <v>31951</v>
      </c>
      <c r="BC116" s="251">
        <v>21901</v>
      </c>
      <c r="BD116" s="251">
        <v>17243</v>
      </c>
      <c r="BE116" s="251">
        <v>27221</v>
      </c>
      <c r="BF116" s="251">
        <f t="shared" si="51"/>
        <v>17965</v>
      </c>
      <c r="BG116" s="251">
        <f t="shared" si="51"/>
        <v>13256</v>
      </c>
      <c r="BH116" s="251">
        <f t="shared" si="51"/>
        <v>25912</v>
      </c>
      <c r="BI116" s="251">
        <f t="shared" si="51"/>
        <v>12431</v>
      </c>
      <c r="BJ116" s="251">
        <f t="shared" si="51"/>
        <v>11954</v>
      </c>
      <c r="BK116" s="251">
        <f t="shared" si="51"/>
        <v>21702</v>
      </c>
      <c r="BL116" s="251">
        <f t="shared" si="51"/>
        <v>17042</v>
      </c>
      <c r="BM116" s="251">
        <f t="shared" si="51"/>
        <v>19139</v>
      </c>
      <c r="BN116" s="255">
        <f t="shared" si="51"/>
        <v>237717</v>
      </c>
      <c r="BO116" s="269">
        <f t="shared" si="51"/>
        <v>237717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364"/>
      <c r="AP117" s="391"/>
      <c r="AQ117" s="391"/>
      <c r="AR117" s="391"/>
      <c r="AS117" s="391"/>
      <c r="AT117" s="322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 t="e">
        <f>#REF!+#REF!+#REF!</f>
        <v>#REF!</v>
      </c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362"/>
      <c r="AP118" s="283"/>
      <c r="AQ118" s="283"/>
      <c r="AR118" s="283"/>
      <c r="AS118" s="283"/>
      <c r="AT118" s="39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>
        <f>BJ99</f>
        <v>0</v>
      </c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22</v>
      </c>
      <c r="AV119" s="280">
        <f>AU119</f>
        <v>22</v>
      </c>
      <c r="AW119" s="280">
        <f>AV119</f>
        <v>22</v>
      </c>
      <c r="AX119" s="280">
        <f t="shared" ref="AX119:AZ119" si="52">AW119</f>
        <v>22</v>
      </c>
      <c r="AY119" s="280">
        <f t="shared" si="52"/>
        <v>22</v>
      </c>
      <c r="AZ119" s="280">
        <f t="shared" si="52"/>
        <v>22</v>
      </c>
      <c r="BA119" s="259"/>
      <c r="BB119" s="280">
        <v>22</v>
      </c>
      <c r="BC119" s="280">
        <v>22</v>
      </c>
      <c r="BD119" s="280">
        <v>22</v>
      </c>
      <c r="BE119" s="280">
        <v>22</v>
      </c>
      <c r="BF119" s="280">
        <f t="shared" ref="BF119:BM119" si="53">BE119</f>
        <v>22</v>
      </c>
      <c r="BG119" s="280">
        <f t="shared" si="53"/>
        <v>22</v>
      </c>
      <c r="BH119" s="280">
        <f t="shared" si="53"/>
        <v>22</v>
      </c>
      <c r="BI119" s="280">
        <f t="shared" si="53"/>
        <v>22</v>
      </c>
      <c r="BJ119" s="280">
        <f t="shared" si="53"/>
        <v>22</v>
      </c>
      <c r="BK119" s="280">
        <f t="shared" si="53"/>
        <v>22</v>
      </c>
      <c r="BL119" s="280">
        <f t="shared" si="53"/>
        <v>22</v>
      </c>
      <c r="BM119" s="280">
        <f t="shared" si="53"/>
        <v>22</v>
      </c>
      <c r="BN119" s="259"/>
      <c r="BO119" s="343">
        <f>BM119</f>
        <v>22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17206</v>
      </c>
      <c r="AU120" s="107">
        <v>10120</v>
      </c>
      <c r="AV120" s="39">
        <f>ROUND(AW108/30*AV119,0)</f>
        <v>8766</v>
      </c>
      <c r="AW120" s="39">
        <f>ROUND(AX108/30*AW119,0)</f>
        <v>17235</v>
      </c>
      <c r="AX120" s="39">
        <f>ROUND(AY108/30*AX119,0)</f>
        <v>12497</v>
      </c>
      <c r="AY120" s="39">
        <f>ROUND(AZ108/30*AY119,0)</f>
        <v>14035</v>
      </c>
      <c r="AZ120" s="39">
        <f>ROUND(BB108/30*AZ119,0)</f>
        <v>23431</v>
      </c>
      <c r="BA120" s="215"/>
      <c r="BB120" s="346">
        <v>16061</v>
      </c>
      <c r="BC120" s="346">
        <v>12645</v>
      </c>
      <c r="BD120" s="346">
        <v>19962</v>
      </c>
      <c r="BE120" s="346">
        <v>13174</v>
      </c>
      <c r="BF120" s="346">
        <f t="shared" ref="BF120:BL120" si="54">ROUND(BG108/30*BF119,0)</f>
        <v>9721</v>
      </c>
      <c r="BG120" s="346">
        <f t="shared" si="54"/>
        <v>19002</v>
      </c>
      <c r="BH120" s="346">
        <f t="shared" si="54"/>
        <v>9116</v>
      </c>
      <c r="BI120" s="346">
        <f t="shared" si="54"/>
        <v>8766</v>
      </c>
      <c r="BJ120" s="346">
        <f t="shared" si="54"/>
        <v>15915</v>
      </c>
      <c r="BK120" s="346">
        <f t="shared" si="54"/>
        <v>12497</v>
      </c>
      <c r="BL120" s="346">
        <f t="shared" si="54"/>
        <v>14035</v>
      </c>
      <c r="BM120" s="57">
        <f>ROUND(BO108*0.11/30*BM119,0)</f>
        <v>19176</v>
      </c>
      <c r="BN120" s="215"/>
      <c r="BO120" s="141">
        <v>19176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55">ROUND(BG110/30*BF119,0)</f>
        <v>0</v>
      </c>
      <c r="BG121" s="57">
        <f t="shared" si="55"/>
        <v>0</v>
      </c>
      <c r="BH121" s="57">
        <f t="shared" si="55"/>
        <v>0</v>
      </c>
      <c r="BI121" s="57">
        <f t="shared" si="55"/>
        <v>0</v>
      </c>
      <c r="BJ121" s="57">
        <f t="shared" si="55"/>
        <v>0</v>
      </c>
      <c r="BK121" s="57">
        <f t="shared" si="55"/>
        <v>0</v>
      </c>
      <c r="BL121" s="57">
        <f t="shared" si="55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-17206</v>
      </c>
      <c r="AV122" s="57">
        <f t="shared" ref="AV122:AZ123" si="56">-AU120</f>
        <v>-10120</v>
      </c>
      <c r="AW122" s="57">
        <f t="shared" si="56"/>
        <v>-8766</v>
      </c>
      <c r="AX122" s="57">
        <f t="shared" si="56"/>
        <v>-17235</v>
      </c>
      <c r="AY122" s="57">
        <f t="shared" si="56"/>
        <v>-12497</v>
      </c>
      <c r="AZ122" s="57">
        <f t="shared" si="56"/>
        <v>-14035</v>
      </c>
      <c r="BA122" s="215"/>
      <c r="BB122" s="57">
        <v>-23431</v>
      </c>
      <c r="BC122" s="57">
        <v>-16061</v>
      </c>
      <c r="BD122" s="57">
        <v>-12645</v>
      </c>
      <c r="BE122" s="57">
        <v>-19962</v>
      </c>
      <c r="BF122" s="57">
        <f t="shared" ref="BF122:BM123" si="57">-BE120</f>
        <v>-13174</v>
      </c>
      <c r="BG122" s="57">
        <f t="shared" si="57"/>
        <v>-9721</v>
      </c>
      <c r="BH122" s="57">
        <f t="shared" si="57"/>
        <v>-19002</v>
      </c>
      <c r="BI122" s="57">
        <f t="shared" si="57"/>
        <v>-9116</v>
      </c>
      <c r="BJ122" s="57">
        <f t="shared" si="57"/>
        <v>-8766</v>
      </c>
      <c r="BK122" s="57">
        <f t="shared" si="57"/>
        <v>-15915</v>
      </c>
      <c r="BL122" s="57">
        <f t="shared" si="57"/>
        <v>-12497</v>
      </c>
      <c r="BM122" s="57">
        <f t="shared" si="57"/>
        <v>-14035</v>
      </c>
      <c r="BN122" s="215"/>
      <c r="BO122" s="141">
        <f>-BM120</f>
        <v>-19176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56"/>
        <v>0</v>
      </c>
      <c r="AW123" s="57">
        <f t="shared" si="56"/>
        <v>0</v>
      </c>
      <c r="AX123" s="57">
        <f t="shared" si="56"/>
        <v>0</v>
      </c>
      <c r="AY123" s="57">
        <f t="shared" si="56"/>
        <v>0</v>
      </c>
      <c r="AZ123" s="57">
        <f t="shared" si="56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57"/>
        <v>0</v>
      </c>
      <c r="BG123" s="57">
        <f t="shared" si="57"/>
        <v>0</v>
      </c>
      <c r="BH123" s="57">
        <f t="shared" si="57"/>
        <v>0</v>
      </c>
      <c r="BI123" s="57">
        <f t="shared" si="57"/>
        <v>0</v>
      </c>
      <c r="BJ123" s="57">
        <f t="shared" si="57"/>
        <v>0</v>
      </c>
      <c r="BK123" s="57">
        <f t="shared" si="57"/>
        <v>0</v>
      </c>
      <c r="BL123" s="57">
        <f t="shared" si="57"/>
        <v>0</v>
      </c>
      <c r="BM123" s="57">
        <f t="shared" si="57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-7086</v>
      </c>
      <c r="AV124" s="344">
        <f t="shared" ref="AV124:AZ124" si="58">SUM(AV120:AV123)</f>
        <v>-1354</v>
      </c>
      <c r="AW124" s="344">
        <f t="shared" si="58"/>
        <v>8469</v>
      </c>
      <c r="AX124" s="344">
        <f t="shared" si="58"/>
        <v>-4738</v>
      </c>
      <c r="AY124" s="344">
        <f t="shared" si="58"/>
        <v>1538</v>
      </c>
      <c r="AZ124" s="344">
        <f t="shared" si="58"/>
        <v>9396</v>
      </c>
      <c r="BA124" s="345"/>
      <c r="BB124" s="344">
        <v>-7370</v>
      </c>
      <c r="BC124" s="344">
        <v>-3416</v>
      </c>
      <c r="BD124" s="344">
        <v>7317</v>
      </c>
      <c r="BE124" s="344">
        <v>-6788</v>
      </c>
      <c r="BF124" s="344">
        <f t="shared" ref="BF124:BO124" si="59">SUM(BF120:BF123)</f>
        <v>-3453</v>
      </c>
      <c r="BG124" s="344">
        <f t="shared" si="59"/>
        <v>9281</v>
      </c>
      <c r="BH124" s="344">
        <f t="shared" si="59"/>
        <v>-9886</v>
      </c>
      <c r="BI124" s="344">
        <f t="shared" si="59"/>
        <v>-350</v>
      </c>
      <c r="BJ124" s="344">
        <f t="shared" si="59"/>
        <v>7149</v>
      </c>
      <c r="BK124" s="344">
        <f t="shared" si="59"/>
        <v>-3418</v>
      </c>
      <c r="BL124" s="344">
        <f t="shared" si="59"/>
        <v>1538</v>
      </c>
      <c r="BM124" s="344">
        <f t="shared" si="59"/>
        <v>5141</v>
      </c>
      <c r="BN124" s="345"/>
      <c r="BO124" s="272">
        <f t="shared" si="59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283"/>
      <c r="AP131" s="283"/>
      <c r="AQ131" s="283"/>
      <c r="AR131" s="283"/>
      <c r="AS131" s="283"/>
      <c r="AT131" s="276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283"/>
      <c r="AP132" s="283"/>
      <c r="AQ132" s="283"/>
      <c r="AR132" s="283"/>
      <c r="AS132" s="283"/>
      <c r="AT132" s="66">
        <f>AT111</f>
        <v>0</v>
      </c>
      <c r="AU132" s="66">
        <f t="shared" ref="AU132:AZ132" si="60">AU111+AU124</f>
        <v>20626</v>
      </c>
      <c r="AV132" s="66">
        <f t="shared" si="60"/>
        <v>11077</v>
      </c>
      <c r="AW132" s="66">
        <f t="shared" si="60"/>
        <v>20423</v>
      </c>
      <c r="AX132" s="66">
        <f t="shared" si="60"/>
        <v>18764</v>
      </c>
      <c r="AY132" s="66">
        <f t="shared" si="60"/>
        <v>18580</v>
      </c>
      <c r="AZ132" s="66">
        <f t="shared" si="60"/>
        <v>28535</v>
      </c>
      <c r="BA132" s="216">
        <f>SUM(AT132:AZ132)</f>
        <v>118005</v>
      </c>
      <c r="BB132" s="66">
        <v>24581</v>
      </c>
      <c r="BC132" s="66">
        <v>18485</v>
      </c>
      <c r="BD132" s="66">
        <v>24560</v>
      </c>
      <c r="BE132" s="66">
        <v>20433</v>
      </c>
      <c r="BF132" s="66">
        <f t="shared" ref="BF132:BO132" si="61">BF111+BF124</f>
        <v>14512</v>
      </c>
      <c r="BG132" s="66">
        <f t="shared" si="61"/>
        <v>22537</v>
      </c>
      <c r="BH132" s="66">
        <f t="shared" si="61"/>
        <v>16026</v>
      </c>
      <c r="BI132" s="66">
        <f t="shared" si="61"/>
        <v>12081</v>
      </c>
      <c r="BJ132" s="66">
        <f t="shared" si="61"/>
        <v>19103</v>
      </c>
      <c r="BK132" s="66">
        <f t="shared" si="61"/>
        <v>18284</v>
      </c>
      <c r="BL132" s="66">
        <f t="shared" si="61"/>
        <v>18580</v>
      </c>
      <c r="BM132" s="66">
        <f t="shared" si="61"/>
        <v>24280</v>
      </c>
      <c r="BN132" s="216">
        <f t="shared" si="61"/>
        <v>237717</v>
      </c>
      <c r="BO132" s="185">
        <f t="shared" si="61"/>
        <v>237717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403"/>
      <c r="AP133" s="403"/>
      <c r="AQ133" s="403"/>
      <c r="AR133" s="403"/>
      <c r="AS133" s="403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O133"/>
  <sheetViews>
    <sheetView zoomScale="80" zoomScaleNormal="80" workbookViewId="0">
      <pane xSplit="1" ySplit="6" topLeftCell="N25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2.42578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2.42578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2.42578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20.1406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1" width="14.85546875" hidden="1" customWidth="1" outlineLevel="1"/>
    <col min="62" max="62" width="15.71093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7.7109375" style="3" bestFit="1" customWidth="1" collapsed="1"/>
    <col min="67" max="67" width="16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113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/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Customers!E62</f>
        <v>38</v>
      </c>
      <c r="AV7" s="109">
        <f>Customers!F62</f>
        <v>38</v>
      </c>
      <c r="AW7" s="109">
        <f>Customers!G62</f>
        <v>38</v>
      </c>
      <c r="AX7" s="109">
        <f>Customers!H62</f>
        <v>38</v>
      </c>
      <c r="AY7" s="109">
        <f>Customers!I62</f>
        <v>38</v>
      </c>
      <c r="AZ7" s="109">
        <f>Customers!J62</f>
        <v>38</v>
      </c>
      <c r="BA7" s="210">
        <f>IFERROR(ROUND(AVERAGE(AO7:AZ7),0),0)</f>
        <v>38</v>
      </c>
      <c r="BB7" s="124">
        <v>38</v>
      </c>
      <c r="BC7" s="38">
        <v>38</v>
      </c>
      <c r="BD7" s="38">
        <v>38</v>
      </c>
      <c r="BE7" s="38">
        <v>38</v>
      </c>
      <c r="BF7" s="38">
        <f t="shared" ref="BF7:BM7" si="0">BE7</f>
        <v>38</v>
      </c>
      <c r="BG7" s="38">
        <f t="shared" si="0"/>
        <v>38</v>
      </c>
      <c r="BH7" s="38">
        <f t="shared" si="0"/>
        <v>38</v>
      </c>
      <c r="BI7" s="38">
        <f t="shared" si="0"/>
        <v>38</v>
      </c>
      <c r="BJ7" s="38">
        <f t="shared" si="0"/>
        <v>38</v>
      </c>
      <c r="BK7" s="38">
        <f t="shared" si="0"/>
        <v>38</v>
      </c>
      <c r="BL7" s="38">
        <f t="shared" si="0"/>
        <v>38</v>
      </c>
      <c r="BM7" s="38">
        <f t="shared" si="0"/>
        <v>38</v>
      </c>
      <c r="BN7" s="210">
        <f>IFERROR(ROUND(AVERAGE(BB7:BM7),0),0)</f>
        <v>38</v>
      </c>
      <c r="BO7" s="143">
        <f>Customers!L62</f>
        <v>38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16072</v>
      </c>
      <c r="AV8" s="38">
        <f>ROUND(AV$11*'kWh Blocks by Rate Category'!D8,0)</f>
        <v>15469</v>
      </c>
      <c r="AW8" s="38">
        <f>ROUND(AW$11*'kWh Blocks by Rate Category'!E8,0)</f>
        <v>15592</v>
      </c>
      <c r="AX8" s="38">
        <f>ROUND(AX$11*'kWh Blocks by Rate Category'!F8,0)</f>
        <v>16844</v>
      </c>
      <c r="AY8" s="38">
        <f>ROUND(AY$11*'kWh Blocks by Rate Category'!G8,0)</f>
        <v>18396</v>
      </c>
      <c r="AZ8" s="38">
        <f>ROUND(AZ$11*'kWh Blocks by Rate Category'!H8,0)</f>
        <v>19525</v>
      </c>
      <c r="BA8" s="210">
        <f>SUM(AO8:AZ8)</f>
        <v>101898</v>
      </c>
      <c r="BB8" s="38">
        <v>26184</v>
      </c>
      <c r="BC8" s="38">
        <v>22398</v>
      </c>
      <c r="BD8" s="38">
        <v>20934</v>
      </c>
      <c r="BE8" s="38">
        <v>18786</v>
      </c>
      <c r="BF8" s="38">
        <f>ROUND(BF$11*'kWh Blocks by Rate Category'!N8,0)</f>
        <v>16520</v>
      </c>
      <c r="BG8" s="38">
        <f>ROUND(BG$11*'kWh Blocks by Rate Category'!O8,0)</f>
        <v>17192</v>
      </c>
      <c r="BH8" s="38">
        <f>ROUND(BH$11*'kWh Blocks by Rate Category'!P8,0)</f>
        <v>16072</v>
      </c>
      <c r="BI8" s="38">
        <f>ROUND(BI$11*'kWh Blocks by Rate Category'!Q8,0)</f>
        <v>15469</v>
      </c>
      <c r="BJ8" s="38">
        <f>ROUND(BJ$11*'kWh Blocks by Rate Category'!R8,0)</f>
        <v>15592</v>
      </c>
      <c r="BK8" s="38">
        <f>ROUND(BK$11*'kWh Blocks by Rate Category'!S8,0)</f>
        <v>16844</v>
      </c>
      <c r="BL8" s="38">
        <f>ROUND(BL$11*'kWh Blocks by Rate Category'!T8,0)</f>
        <v>18396</v>
      </c>
      <c r="BM8" s="38">
        <f>ROUND(BM$11*'kWh Blocks by Rate Category'!U8,0)</f>
        <v>19525</v>
      </c>
      <c r="BN8" s="210">
        <f>SUM(BB8:BM8)</f>
        <v>223912</v>
      </c>
      <c r="BO8" s="143">
        <f>IFERROR(ROUND((BN8/BN$11)*BO$11,0),0)</f>
        <v>223912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8564</v>
      </c>
      <c r="AV9" s="38">
        <f>ROUND(AV$11*'kWh Blocks by Rate Category'!D9,0)</f>
        <v>8243</v>
      </c>
      <c r="AW9" s="38">
        <f>ROUND(AW$11*'kWh Blocks by Rate Category'!E9,0)</f>
        <v>8308</v>
      </c>
      <c r="AX9" s="38">
        <f>ROUND(AX$11*'kWh Blocks by Rate Category'!F9,0)</f>
        <v>8975</v>
      </c>
      <c r="AY9" s="38">
        <f>ROUND(AY$11*'kWh Blocks by Rate Category'!G9,0)</f>
        <v>9802</v>
      </c>
      <c r="AZ9" s="38">
        <f>ROUND(AZ$11*'kWh Blocks by Rate Category'!H9,0)</f>
        <v>10404</v>
      </c>
      <c r="BA9" s="210">
        <f>SUM(AO9:AZ9)</f>
        <v>54296</v>
      </c>
      <c r="BB9" s="38">
        <v>13952</v>
      </c>
      <c r="BC9" s="38">
        <v>11935</v>
      </c>
      <c r="BD9" s="38">
        <v>11155</v>
      </c>
      <c r="BE9" s="38">
        <v>10010</v>
      </c>
      <c r="BF9" s="38">
        <f>ROUND(BF$11*'kWh Blocks by Rate Category'!N9,0)</f>
        <v>8803</v>
      </c>
      <c r="BG9" s="38">
        <f>ROUND(BG$11*'kWh Blocks by Rate Category'!O9,0)</f>
        <v>9161</v>
      </c>
      <c r="BH9" s="38">
        <f>ROUND(BH$11*'kWh Blocks by Rate Category'!P9,0)</f>
        <v>8564</v>
      </c>
      <c r="BI9" s="38">
        <f>ROUND(BI$11*'kWh Blocks by Rate Category'!Q9,0)</f>
        <v>8243</v>
      </c>
      <c r="BJ9" s="38">
        <f>ROUND(BJ$11*'kWh Blocks by Rate Category'!R9,0)</f>
        <v>8308</v>
      </c>
      <c r="BK9" s="38">
        <f>ROUND(BK$11*'kWh Blocks by Rate Category'!S9,0)</f>
        <v>8975</v>
      </c>
      <c r="BL9" s="38">
        <f>ROUND(BL$11*'kWh Blocks by Rate Category'!T9,0)</f>
        <v>9802</v>
      </c>
      <c r="BM9" s="38">
        <f>ROUND(BM$11*'kWh Blocks by Rate Category'!U9,0)</f>
        <v>10404</v>
      </c>
      <c r="BN9" s="210">
        <f>SUM(BB9:BM9)</f>
        <v>119312</v>
      </c>
      <c r="BO9" s="143">
        <f>IFERROR(ROUND((BN9/BN$11)*BO$11,0),0)</f>
        <v>119312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1633</v>
      </c>
      <c r="AV10" s="38">
        <f>ROUND(AV$11*'kWh Blocks by Rate Category'!D10,0)</f>
        <v>1572</v>
      </c>
      <c r="AW10" s="38">
        <f>ROUND(AW$11*'kWh Blocks by Rate Category'!E10,0)</f>
        <v>1584</v>
      </c>
      <c r="AX10" s="38">
        <f>ROUND(AX$11*'kWh Blocks by Rate Category'!F10,0)</f>
        <v>1711</v>
      </c>
      <c r="AY10" s="38">
        <f>ROUND(AY$11*'kWh Blocks by Rate Category'!G10,0)+1</f>
        <v>1870</v>
      </c>
      <c r="AZ10" s="38">
        <f>ROUND(AZ$11*'kWh Blocks by Rate Category'!H10,0)</f>
        <v>1984</v>
      </c>
      <c r="BA10" s="210">
        <f>SUM(AO10:AZ10)</f>
        <v>10354</v>
      </c>
      <c r="BB10" s="38">
        <v>2660</v>
      </c>
      <c r="BC10" s="38">
        <v>2276</v>
      </c>
      <c r="BD10" s="38">
        <v>2127</v>
      </c>
      <c r="BE10" s="38">
        <v>1909</v>
      </c>
      <c r="BF10" s="38">
        <f>ROUND(BF$11*'kWh Blocks by Rate Category'!N10,0)</f>
        <v>1678</v>
      </c>
      <c r="BG10" s="38">
        <f>ROUND(BG$11*'kWh Blocks by Rate Category'!O10,0)</f>
        <v>1747</v>
      </c>
      <c r="BH10" s="38">
        <f>ROUND(BH$11*'kWh Blocks by Rate Category'!P10,0)</f>
        <v>1633</v>
      </c>
      <c r="BI10" s="38">
        <f>ROUND(BI$11*'kWh Blocks by Rate Category'!Q10,0)</f>
        <v>1572</v>
      </c>
      <c r="BJ10" s="38">
        <f>ROUND(BJ$11*'kWh Blocks by Rate Category'!R10,0)</f>
        <v>1584</v>
      </c>
      <c r="BK10" s="38">
        <f>ROUND(BK$11*'kWh Blocks by Rate Category'!S10,0)</f>
        <v>1711</v>
      </c>
      <c r="BL10" s="38">
        <f>ROUND(BL$11*'kWh Blocks by Rate Category'!T10,0)</f>
        <v>1869</v>
      </c>
      <c r="BM10" s="38">
        <f>ROUND(BM$11*'kWh Blocks by Rate Category'!U10,0)</f>
        <v>1984</v>
      </c>
      <c r="BN10" s="210">
        <f>SUM(BB10:BM10)</f>
        <v>22750</v>
      </c>
      <c r="BO10" s="143">
        <f>IFERROR(ROUND((BN10/BN$11)*BO$11,0),0)</f>
        <v>22750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26269</v>
      </c>
      <c r="AV11" s="64">
        <f t="shared" si="1"/>
        <v>25283</v>
      </c>
      <c r="AW11" s="64">
        <f t="shared" si="1"/>
        <v>25484</v>
      </c>
      <c r="AX11" s="64">
        <f t="shared" si="1"/>
        <v>27531</v>
      </c>
      <c r="AY11" s="64">
        <f t="shared" si="1"/>
        <v>30067</v>
      </c>
      <c r="AZ11" s="64">
        <f t="shared" si="1"/>
        <v>31912</v>
      </c>
      <c r="BA11" s="196">
        <f>SUM(AT11:AZ11)</f>
        <v>166546</v>
      </c>
      <c r="BB11" s="64">
        <v>42796</v>
      </c>
      <c r="BC11" s="64">
        <v>36609</v>
      </c>
      <c r="BD11" s="64">
        <v>34216</v>
      </c>
      <c r="BE11" s="64">
        <v>30705</v>
      </c>
      <c r="BF11" s="64">
        <f t="shared" ref="BF11:BM11" si="2">IFERROR(ROUND(BF12*BF7,0),0)</f>
        <v>27001</v>
      </c>
      <c r="BG11" s="64">
        <f t="shared" si="2"/>
        <v>28100</v>
      </c>
      <c r="BH11" s="64">
        <f t="shared" si="2"/>
        <v>26269</v>
      </c>
      <c r="BI11" s="64">
        <f t="shared" si="2"/>
        <v>25283</v>
      </c>
      <c r="BJ11" s="64">
        <f t="shared" si="2"/>
        <v>25484</v>
      </c>
      <c r="BK11" s="64">
        <f t="shared" si="2"/>
        <v>27531</v>
      </c>
      <c r="BL11" s="64">
        <f t="shared" si="2"/>
        <v>30067</v>
      </c>
      <c r="BM11" s="64">
        <f t="shared" si="2"/>
        <v>31912</v>
      </c>
      <c r="BN11" s="196">
        <f>SUM(BB11:BM11)</f>
        <v>365973</v>
      </c>
      <c r="BO11" s="147">
        <f>ROUND(BO7*BO12,0)</f>
        <v>365973</v>
      </c>
    </row>
    <row r="12" spans="1:67" ht="15" thickTop="1">
      <c r="A12" s="374" t="s">
        <v>54</v>
      </c>
      <c r="B12" s="84">
        <f>IF('kWh_Streetlight Data'!C183=0,"",'kWh_Streetlight Data'!C183)</f>
        <v>1141.2162162162163</v>
      </c>
      <c r="C12" s="108">
        <f>IF('kWh_Streetlight Data'!D183=0,"",'kWh_Streetlight Data'!D183)</f>
        <v>871.76315789473688</v>
      </c>
      <c r="D12" s="108">
        <f>IF('kWh_Streetlight Data'!E183=0,"",'kWh_Streetlight Data'!E183)</f>
        <v>875.97222222222217</v>
      </c>
      <c r="E12" s="108">
        <f>IF('kWh_Streetlight Data'!F183=0,"",'kWh_Streetlight Data'!F183)</f>
        <v>809.55555555555554</v>
      </c>
      <c r="F12" s="108">
        <f>IF('kWh_Streetlight Data'!G183=0,"",'kWh_Streetlight Data'!G183)</f>
        <v>659.48571428571427</v>
      </c>
      <c r="G12" s="108">
        <f>IF('kWh_Streetlight Data'!H183=0,"",'kWh_Streetlight Data'!H183)</f>
        <v>652.94285714285718</v>
      </c>
      <c r="H12" s="108">
        <f>IF('kWh_Streetlight Data'!I183=0,"",'kWh_Streetlight Data'!I183)</f>
        <v>677.2285714285714</v>
      </c>
      <c r="I12" s="108">
        <f>IF('kWh_Streetlight Data'!J183=0,"",'kWh_Streetlight Data'!J183)</f>
        <v>708.14285714285711</v>
      </c>
      <c r="J12" s="108">
        <f>IF('kWh_Streetlight Data'!K183=0,"",'kWh_Streetlight Data'!K183)</f>
        <v>711.08571428571429</v>
      </c>
      <c r="K12" s="108">
        <f>IF('kWh_Streetlight Data'!L183=0,"",'kWh_Streetlight Data'!L183)</f>
        <v>713.02702702702697</v>
      </c>
      <c r="L12" s="108">
        <f>IF('kWh_Streetlight Data'!M183=0,"",'kWh_Streetlight Data'!M183)</f>
        <v>767.64864864864865</v>
      </c>
      <c r="M12" s="108">
        <f>IF('kWh_Streetlight Data'!N183=0,"",'kWh_Streetlight Data'!N183)</f>
        <v>870.38888888888891</v>
      </c>
      <c r="N12" s="424">
        <f>IF('kWh_Streetlight Data'!O183=0,"",'kWh_Streetlight Data'!O183)</f>
        <v>790.41898148148152</v>
      </c>
      <c r="O12" s="84">
        <f>IF('kWh_Streetlight Data'!P183=0,"",'kWh_Streetlight Data'!P183)</f>
        <v>1131.75</v>
      </c>
      <c r="P12" s="108">
        <f>IF('kWh_Streetlight Data'!Q183=0,"",'kWh_Streetlight Data'!Q183)</f>
        <v>1239.9722222222222</v>
      </c>
      <c r="Q12" s="108">
        <f>IF('kWh_Streetlight Data'!R183=0,"",'kWh_Streetlight Data'!R183)</f>
        <v>988.24324324324323</v>
      </c>
      <c r="R12" s="108">
        <f>IF('kWh_Streetlight Data'!S183=0,"",'kWh_Streetlight Data'!S183)</f>
        <v>780.21621621621625</v>
      </c>
      <c r="S12" s="108">
        <f>IF('kWh_Streetlight Data'!T183=0,"",'kWh_Streetlight Data'!T183)</f>
        <v>742.69444444444446</v>
      </c>
      <c r="T12" s="108">
        <f>IF('kWh_Streetlight Data'!U183=0,"",'kWh_Streetlight Data'!U183)</f>
        <v>818.63888888888891</v>
      </c>
      <c r="U12" s="108">
        <f>IF('kWh_Streetlight Data'!V183=0,"",'kWh_Streetlight Data'!V183)</f>
        <v>626.08333333333337</v>
      </c>
      <c r="V12" s="108">
        <f>IF('kWh_Streetlight Data'!W183=0,"",'kWh_Streetlight Data'!W183)</f>
        <v>678.28571428571433</v>
      </c>
      <c r="W12" s="108">
        <f>IF('kWh_Streetlight Data'!X183=0,"",'kWh_Streetlight Data'!X183)</f>
        <v>614.16216216216219</v>
      </c>
      <c r="X12" s="108">
        <f>IF('kWh_Streetlight Data'!Y183=0,"",'kWh_Streetlight Data'!Y183)</f>
        <v>609.25</v>
      </c>
      <c r="Y12" s="108">
        <f>IF('kWh_Streetlight Data'!Z183=0,"",'kWh_Streetlight Data'!Z183)</f>
        <v>857.10810810810813</v>
      </c>
      <c r="Z12" s="108">
        <f>IF('kWh_Streetlight Data'!AA183=0,"",'kWh_Streetlight Data'!AA183)</f>
        <v>845.08333333333337</v>
      </c>
      <c r="AA12" s="424">
        <f>IF('kWh_Streetlight Data'!AB183=0,"",'kWh_Streetlight Data'!AB183)</f>
        <v>827.80459770114942</v>
      </c>
      <c r="AB12" s="129">
        <f>IF('kWh_Streetlight Data'!AC183=0,"",'kWh_Streetlight Data'!AC183)</f>
        <v>1105.6756756756756</v>
      </c>
      <c r="AC12" s="130">
        <f>IF('kWh_Streetlight Data'!AD183=0,"",'kWh_Streetlight Data'!AD183)</f>
        <v>778.48648648648646</v>
      </c>
      <c r="AD12" s="130">
        <f>IF('kWh_Streetlight Data'!AE183=0,"",'kWh_Streetlight Data'!AE183)</f>
        <v>837.08108108108104</v>
      </c>
      <c r="AE12" s="130">
        <f>IF('kWh_Streetlight Data'!AF183=0,"",'kWh_Streetlight Data'!AF183)</f>
        <v>834.34210526315792</v>
      </c>
      <c r="AF12" s="130">
        <f>IF('kWh_Streetlight Data'!AG183=0,"",'kWh_Streetlight Data'!AG183)</f>
        <v>729.48717948717945</v>
      </c>
      <c r="AG12" s="130">
        <f>IF('kWh_Streetlight Data'!AH183=0,"",'kWh_Streetlight Data'!AH183)</f>
        <v>746.81578947368416</v>
      </c>
      <c r="AH12" s="130">
        <f>IF('kWh_Streetlight Data'!AI183=0,"",'kWh_Streetlight Data'!AI183)</f>
        <v>770.57894736842104</v>
      </c>
      <c r="AI12" s="130">
        <f>IF('kWh_Streetlight Data'!AJ183=0,"",'kWh_Streetlight Data'!AJ183)</f>
        <v>609.625</v>
      </c>
      <c r="AJ12" s="130">
        <f>IF('kWh_Streetlight Data'!AK183=0,"",'kWh_Streetlight Data'!AK183)</f>
        <v>686.68421052631584</v>
      </c>
      <c r="AK12" s="130">
        <f>IF('kWh_Streetlight Data'!AL183=0,"",'kWh_Streetlight Data'!AL183)</f>
        <v>851.21052631578948</v>
      </c>
      <c r="AL12" s="130">
        <f>IF('kWh_Streetlight Data'!AM183=0,"",'kWh_Streetlight Data'!AM183)</f>
        <v>748.92105263157896</v>
      </c>
      <c r="AM12" s="130">
        <f>IF('kWh_Streetlight Data'!AN183=0,"",'kWh_Streetlight Data'!AN183)</f>
        <v>803.9</v>
      </c>
      <c r="AN12" s="426">
        <f>IF('kWh_Streetlight Data'!AO183=0,"",'kWh_Streetlight Data'!AO183)</f>
        <v>790.26637554585147</v>
      </c>
      <c r="AO12" s="34"/>
      <c r="AP12" s="35"/>
      <c r="AQ12" s="35"/>
      <c r="AR12" s="35"/>
      <c r="AS12" s="35"/>
      <c r="AT12" s="17"/>
      <c r="AU12" s="17">
        <f t="shared" ref="AU12:AZ12" si="3">IFERROR(AVERAGE(AH12,U12,H12),0)</f>
        <v>691.29695071010849</v>
      </c>
      <c r="AV12" s="17">
        <f t="shared" si="3"/>
        <v>665.35119047619048</v>
      </c>
      <c r="AW12" s="17">
        <f t="shared" si="3"/>
        <v>670.64402899139748</v>
      </c>
      <c r="AX12" s="17">
        <f t="shared" si="3"/>
        <v>724.49585111427223</v>
      </c>
      <c r="AY12" s="17">
        <f t="shared" si="3"/>
        <v>791.22593646277858</v>
      </c>
      <c r="AZ12" s="17">
        <f t="shared" si="3"/>
        <v>839.79074074074072</v>
      </c>
      <c r="BA12" s="211"/>
      <c r="BB12" s="17">
        <v>1126.2139639639638</v>
      </c>
      <c r="BC12" s="17">
        <v>963.40728886781528</v>
      </c>
      <c r="BD12" s="17">
        <v>900.43218218218226</v>
      </c>
      <c r="BE12" s="17">
        <v>808.03795901164324</v>
      </c>
      <c r="BF12" s="17">
        <f>IFERROR(AVERAGE(F12,S12,AF12),0)</f>
        <v>710.5557794057795</v>
      </c>
      <c r="BG12" s="17">
        <f t="shared" ref="BG12:BM12" si="4">IFERROR(AVERAGE(G12,T12,AG12),0)</f>
        <v>739.46584516847679</v>
      </c>
      <c r="BH12" s="17">
        <f t="shared" si="4"/>
        <v>691.29695071010849</v>
      </c>
      <c r="BI12" s="17">
        <f t="shared" si="4"/>
        <v>665.35119047619048</v>
      </c>
      <c r="BJ12" s="17">
        <f t="shared" si="4"/>
        <v>670.64402899139748</v>
      </c>
      <c r="BK12" s="17">
        <f t="shared" si="4"/>
        <v>724.49585111427223</v>
      </c>
      <c r="BL12" s="17">
        <f t="shared" si="4"/>
        <v>791.22593646277858</v>
      </c>
      <c r="BM12" s="9">
        <f t="shared" si="4"/>
        <v>839.79074074074072</v>
      </c>
      <c r="BN12" s="211">
        <f>IFERROR(BN11/SUM(BB7:BM7)*12,0)</f>
        <v>9630.8684210526317</v>
      </c>
      <c r="BO12" s="20">
        <f>BN12</f>
        <v>9630.8684210526317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/>
      <c r="BD13" s="39"/>
      <c r="BE13" s="39"/>
      <c r="BF13" s="39"/>
      <c r="BG13" s="39"/>
      <c r="BH13" s="39"/>
      <c r="BI13" s="39"/>
      <c r="BJ13" s="39"/>
      <c r="BK13" s="39"/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09">
        <f>Customers!E63</f>
        <v>18</v>
      </c>
      <c r="AV22" s="109">
        <f>Customers!F63</f>
        <v>18</v>
      </c>
      <c r="AW22" s="109">
        <f>Customers!G63</f>
        <v>18</v>
      </c>
      <c r="AX22" s="109">
        <f>Customers!H63</f>
        <v>18</v>
      </c>
      <c r="AY22" s="109">
        <f>Customers!I63</f>
        <v>18</v>
      </c>
      <c r="AZ22" s="109">
        <f>Customers!J63</f>
        <v>18</v>
      </c>
      <c r="BA22" s="210">
        <f>AZ22</f>
        <v>18</v>
      </c>
      <c r="BB22" s="124">
        <v>18</v>
      </c>
      <c r="BC22" s="38">
        <v>18</v>
      </c>
      <c r="BD22" s="38">
        <v>18</v>
      </c>
      <c r="BE22" s="38">
        <v>18</v>
      </c>
      <c r="BF22" s="38">
        <f t="shared" ref="BF22:BM22" si="5">BE22</f>
        <v>18</v>
      </c>
      <c r="BG22" s="38">
        <f t="shared" si="5"/>
        <v>18</v>
      </c>
      <c r="BH22" s="38">
        <f t="shared" si="5"/>
        <v>18</v>
      </c>
      <c r="BI22" s="38">
        <f t="shared" si="5"/>
        <v>18</v>
      </c>
      <c r="BJ22" s="38">
        <f t="shared" si="5"/>
        <v>18</v>
      </c>
      <c r="BK22" s="38">
        <f t="shared" si="5"/>
        <v>18</v>
      </c>
      <c r="BL22" s="38">
        <f t="shared" si="5"/>
        <v>18</v>
      </c>
      <c r="BM22" s="38">
        <f t="shared" si="5"/>
        <v>18</v>
      </c>
      <c r="BN22" s="210">
        <f>IFERROR(ROUND(AVERAGE(BB22:BM22),0),0)</f>
        <v>18</v>
      </c>
      <c r="BO22" s="90">
        <f>Customers!L63</f>
        <v>18</v>
      </c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>
        <f>ROUND(AU$26*'kWh Blocks by Rate Category'!C22,0)</f>
        <v>5824</v>
      </c>
      <c r="AV23" s="38"/>
      <c r="AW23" s="38"/>
      <c r="AX23" s="38">
        <f>ROUND(AX$26*'kWh Blocks by Rate Category'!F22,0)</f>
        <v>7367</v>
      </c>
      <c r="AY23" s="38"/>
      <c r="AZ23" s="38"/>
      <c r="BA23" s="210">
        <f>SUM(AO23:AZ23)</f>
        <v>13191</v>
      </c>
      <c r="BB23" s="38">
        <v>7532</v>
      </c>
      <c r="BC23" s="38"/>
      <c r="BD23" s="38"/>
      <c r="BE23" s="38">
        <v>8060</v>
      </c>
      <c r="BF23" s="38"/>
      <c r="BG23" s="38"/>
      <c r="BH23" s="38">
        <f>ROUND(BH$26*'kWh Blocks by Rate Category'!P22,0)</f>
        <v>5824</v>
      </c>
      <c r="BI23" s="38"/>
      <c r="BJ23" s="38"/>
      <c r="BK23" s="38">
        <f>ROUND(BK$26*'kWh Blocks by Rate Category'!S22,0)</f>
        <v>7367</v>
      </c>
      <c r="BL23" s="38">
        <f t="shared" ref="BL23:BM25" si="6">IFERROR(ROUND((Y23/Y$26)*BL$26,0),0)</f>
        <v>0</v>
      </c>
      <c r="BM23" s="38">
        <f t="shared" si="6"/>
        <v>0</v>
      </c>
      <c r="BN23" s="210">
        <f>SUM(BB23:BM23)</f>
        <v>28783</v>
      </c>
      <c r="BO23" s="90">
        <f>IFERROR(ROUND((BN23/BN$26)*BO$26,0),0)</f>
        <v>28783</v>
      </c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>
        <f>ROUND(AU$26*'kWh Blocks by Rate Category'!C23,0)</f>
        <v>1972</v>
      </c>
      <c r="AV24" s="38"/>
      <c r="AW24" s="38"/>
      <c r="AX24" s="38">
        <f>ROUND(AX$26*'kWh Blocks by Rate Category'!F23,0)</f>
        <v>2495</v>
      </c>
      <c r="AY24" s="38"/>
      <c r="AZ24" s="38"/>
      <c r="BA24" s="210">
        <f>SUM(AO24:AZ24)</f>
        <v>4467</v>
      </c>
      <c r="BB24" s="38">
        <v>2551</v>
      </c>
      <c r="BC24" s="38"/>
      <c r="BD24" s="38"/>
      <c r="BE24" s="38">
        <v>2730</v>
      </c>
      <c r="BF24" s="38"/>
      <c r="BG24" s="38"/>
      <c r="BH24" s="38">
        <f>ROUND(BH$26*'kWh Blocks by Rate Category'!P23,0)</f>
        <v>1972</v>
      </c>
      <c r="BI24" s="38"/>
      <c r="BJ24" s="38"/>
      <c r="BK24" s="38">
        <f>ROUND(BK$26*'kWh Blocks by Rate Category'!S23,0)</f>
        <v>2495</v>
      </c>
      <c r="BL24" s="38">
        <f t="shared" si="6"/>
        <v>0</v>
      </c>
      <c r="BM24" s="38">
        <f t="shared" si="6"/>
        <v>0</v>
      </c>
      <c r="BN24" s="210">
        <f>SUM(BB24:BM24)</f>
        <v>9748</v>
      </c>
      <c r="BO24" s="90">
        <f>IFERROR(ROUND((BN24/BN$26)*BO$26,0),0)</f>
        <v>9748</v>
      </c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78"/>
      <c r="AD25" s="178"/>
      <c r="AE25" s="178"/>
      <c r="AF25" s="178"/>
      <c r="AG25" s="178"/>
      <c r="AH25" s="63"/>
      <c r="AI25" s="63"/>
      <c r="AJ25" s="63"/>
      <c r="AK25" s="63"/>
      <c r="AL25" s="63"/>
      <c r="AM25" s="63"/>
      <c r="AN25" s="336"/>
      <c r="AO25" s="100"/>
      <c r="AP25" s="87"/>
      <c r="AQ25" s="87"/>
      <c r="AR25" s="87"/>
      <c r="AS25" s="87"/>
      <c r="AT25" s="39"/>
      <c r="AU25" s="38">
        <f>ROUND(AU$26*'kWh Blocks by Rate Category'!C24,0)</f>
        <v>1036</v>
      </c>
      <c r="AV25" s="38"/>
      <c r="AW25" s="38"/>
      <c r="AX25" s="38">
        <f>ROUND(AX$26*'kWh Blocks by Rate Category'!F24,0)</f>
        <v>1311</v>
      </c>
      <c r="AY25" s="38"/>
      <c r="AZ25" s="38"/>
      <c r="BA25" s="210">
        <f>SUM(AO25:AZ25)</f>
        <v>2347</v>
      </c>
      <c r="BB25" s="38">
        <v>1340</v>
      </c>
      <c r="BC25" s="38"/>
      <c r="BD25" s="38"/>
      <c r="BE25" s="38">
        <v>1434</v>
      </c>
      <c r="BF25" s="38"/>
      <c r="BG25" s="38"/>
      <c r="BH25" s="38">
        <f>ROUND(BH$26*'kWh Blocks by Rate Category'!P24,0)</f>
        <v>1036</v>
      </c>
      <c r="BI25" s="38"/>
      <c r="BJ25" s="38"/>
      <c r="BK25" s="38">
        <f>ROUND(BK$26*'kWh Blocks by Rate Category'!S24,0)</f>
        <v>1311</v>
      </c>
      <c r="BL25" s="38">
        <f t="shared" si="6"/>
        <v>0</v>
      </c>
      <c r="BM25" s="38">
        <f t="shared" si="6"/>
        <v>0</v>
      </c>
      <c r="BN25" s="210">
        <f>SUM(BB25:BM25)</f>
        <v>5121</v>
      </c>
      <c r="BO25" s="91">
        <f>IFERROR(ROUND((BN25/BN$26)*BO$26,0),0)</f>
        <v>5121</v>
      </c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>
        <f t="shared" ref="AU26" si="7">IFERROR(ROUND(AU27*AU22,0),0)</f>
        <v>8833</v>
      </c>
      <c r="AV26" s="64"/>
      <c r="AW26" s="64"/>
      <c r="AX26" s="64">
        <f t="shared" ref="AX26" si="8">IFERROR(ROUND(AX27*AX22,0),0)</f>
        <v>11173</v>
      </c>
      <c r="AY26" s="64"/>
      <c r="AZ26" s="64"/>
      <c r="BA26" s="196">
        <f>SUM(AO26:AZ26)</f>
        <v>20006</v>
      </c>
      <c r="BB26" s="64">
        <v>11423</v>
      </c>
      <c r="BC26" s="64"/>
      <c r="BD26" s="64"/>
      <c r="BE26" s="64">
        <v>12224</v>
      </c>
      <c r="BF26" s="64"/>
      <c r="BG26" s="64"/>
      <c r="BH26" s="64">
        <f>IFERROR(ROUND(BH27*BH22,0),0)</f>
        <v>8833</v>
      </c>
      <c r="BI26" s="64"/>
      <c r="BJ26" s="277"/>
      <c r="BK26" s="64">
        <f>IFERROR(ROUND(BK27*BK22,0),0)</f>
        <v>11173</v>
      </c>
      <c r="BL26" s="64">
        <f t="shared" ref="BL26:BM26" si="9">IFERROR(ROUND(BL27*BL22,0),0)</f>
        <v>0</v>
      </c>
      <c r="BM26" s="64">
        <f t="shared" si="9"/>
        <v>0</v>
      </c>
      <c r="BN26" s="196">
        <f>SUM(BB26:BM26)</f>
        <v>43653</v>
      </c>
      <c r="BO26" s="147">
        <f>ROUND(BO22*BO27,0)</f>
        <v>43653</v>
      </c>
    </row>
    <row r="27" spans="1:67" s="1" customFormat="1" ht="15" thickTop="1">
      <c r="A27" s="143" t="s">
        <v>54</v>
      </c>
      <c r="B27" s="84">
        <f>IF('kWh_Streetlight Data'!C184=0,"",'kWh_Streetlight Data'!C184)</f>
        <v>588.31578947368416</v>
      </c>
      <c r="C27" s="108" t="str">
        <f>IF('kWh_Streetlight Data'!D184=0,"",'kWh_Streetlight Data'!D184)</f>
        <v/>
      </c>
      <c r="D27" s="108" t="str">
        <f>IF('kWh_Streetlight Data'!E184=0,"",'kWh_Streetlight Data'!E184)</f>
        <v/>
      </c>
      <c r="E27" s="108">
        <f>IF('kWh_Streetlight Data'!F184=0,"",'kWh_Streetlight Data'!F184)</f>
        <v>664.07692307692309</v>
      </c>
      <c r="F27" s="108" t="str">
        <f>IF('kWh_Streetlight Data'!G184=0,"",'kWh_Streetlight Data'!G184)</f>
        <v/>
      </c>
      <c r="G27" s="108" t="str">
        <f>IF('kWh_Streetlight Data'!H184=0,"",'kWh_Streetlight Data'!H184)</f>
        <v/>
      </c>
      <c r="H27" s="108">
        <f>IF('kWh_Streetlight Data'!I184=0,"",'kWh_Streetlight Data'!I184)</f>
        <v>429.94444444444446</v>
      </c>
      <c r="I27" s="108" t="str">
        <f>IF('kWh_Streetlight Data'!J184=0,"",'kWh_Streetlight Data'!J184)</f>
        <v/>
      </c>
      <c r="J27" s="108" t="str">
        <f>IF('kWh_Streetlight Data'!K184=0,"",'kWh_Streetlight Data'!K184)</f>
        <v/>
      </c>
      <c r="K27" s="108">
        <f>IF('kWh_Streetlight Data'!L184=0,"",'kWh_Streetlight Data'!L184)</f>
        <v>582.19047619047615</v>
      </c>
      <c r="L27" s="108" t="str">
        <f>IF('kWh_Streetlight Data'!M184=0,"",'kWh_Streetlight Data'!M184)</f>
        <v/>
      </c>
      <c r="M27" s="108" t="str">
        <f>IF('kWh_Streetlight Data'!N184=0,"",'kWh_Streetlight Data'!N184)</f>
        <v/>
      </c>
      <c r="N27" s="424">
        <f>IF('kWh_Streetlight Data'!O184=0,"",'kWh_Streetlight Data'!O184)</f>
        <v>531.50666666666666</v>
      </c>
      <c r="O27" s="84">
        <f>IF('kWh_Streetlight Data'!P184=0,"",'kWh_Streetlight Data'!P184)</f>
        <v>713.70588235294122</v>
      </c>
      <c r="P27" s="108" t="str">
        <f>IF('kWh_Streetlight Data'!Q184=0,"",'kWh_Streetlight Data'!Q184)</f>
        <v/>
      </c>
      <c r="Q27" s="108" t="str">
        <f>IF('kWh_Streetlight Data'!R184=0,"",'kWh_Streetlight Data'!R184)</f>
        <v/>
      </c>
      <c r="R27" s="108">
        <f>IF('kWh_Streetlight Data'!S184=0,"",'kWh_Streetlight Data'!S184)</f>
        <v>653.5</v>
      </c>
      <c r="S27" s="108" t="str">
        <f>IF('kWh_Streetlight Data'!T184=0,"",'kWh_Streetlight Data'!T184)</f>
        <v/>
      </c>
      <c r="T27" s="108" t="str">
        <f>IF('kWh_Streetlight Data'!U184=0,"",'kWh_Streetlight Data'!U184)</f>
        <v/>
      </c>
      <c r="U27" s="108">
        <f>IF('kWh_Streetlight Data'!V184=0,"",'kWh_Streetlight Data'!V184)</f>
        <v>439.94117647058823</v>
      </c>
      <c r="V27" s="108" t="str">
        <f>IF('kWh_Streetlight Data'!W184=0,"",'kWh_Streetlight Data'!W184)</f>
        <v/>
      </c>
      <c r="W27" s="108" t="str">
        <f>IF('kWh_Streetlight Data'!X184=0,"",'kWh_Streetlight Data'!X184)</f>
        <v/>
      </c>
      <c r="X27" s="108">
        <f>IF('kWh_Streetlight Data'!Y184=0,"",'kWh_Streetlight Data'!Y184)</f>
        <v>628.31578947368416</v>
      </c>
      <c r="Y27" s="108" t="str">
        <f>IF('kWh_Streetlight Data'!Z184=0,"",'kWh_Streetlight Data'!Z184)</f>
        <v/>
      </c>
      <c r="Z27" s="108" t="str">
        <f>IF('kWh_Streetlight Data'!AA184=0,"",'kWh_Streetlight Data'!AA184)</f>
        <v/>
      </c>
      <c r="AA27" s="424">
        <f>IF('kWh_Streetlight Data'!AB184=0,"",'kWh_Streetlight Data'!AB184)</f>
        <v>608.71428571428567</v>
      </c>
      <c r="AB27" s="129">
        <f>IF('kWh_Streetlight Data'!AC184=0,"",'kWh_Streetlight Data'!AC184)</f>
        <v>601.875</v>
      </c>
      <c r="AC27" s="130" t="str">
        <f>IF('kWh_Streetlight Data'!AD184=0,"",'kWh_Streetlight Data'!AD184)</f>
        <v/>
      </c>
      <c r="AD27" s="130" t="str">
        <f>IF('kWh_Streetlight Data'!AE184=0,"",'kWh_Streetlight Data'!AE184)</f>
        <v/>
      </c>
      <c r="AE27" s="130">
        <f>IF('kWh_Streetlight Data'!AF184=0,"",'kWh_Streetlight Data'!AF184)</f>
        <v>719.78571428571433</v>
      </c>
      <c r="AF27" s="130" t="str">
        <f>IF('kWh_Streetlight Data'!AG184=0,"",'kWh_Streetlight Data'!AG184)</f>
        <v/>
      </c>
      <c r="AG27" s="130" t="str">
        <f>IF('kWh_Streetlight Data'!AH184=0,"",'kWh_Streetlight Data'!AH184)</f>
        <v/>
      </c>
      <c r="AH27" s="130">
        <f>IF('kWh_Streetlight Data'!AI184=0,"",'kWh_Streetlight Data'!AI184)</f>
        <v>602.25</v>
      </c>
      <c r="AI27" s="130" t="str">
        <f>IF('kWh_Streetlight Data'!AJ184=0,"",'kWh_Streetlight Data'!AJ184)</f>
        <v/>
      </c>
      <c r="AJ27" s="130" t="str">
        <f>IF('kWh_Streetlight Data'!AK184=0,"",'kWh_Streetlight Data'!AK184)</f>
        <v/>
      </c>
      <c r="AK27" s="130">
        <f>IF('kWh_Streetlight Data'!AL184=0,"",'kWh_Streetlight Data'!AL184)</f>
        <v>651.64705882352939</v>
      </c>
      <c r="AL27" s="130" t="str">
        <f>IF('kWh_Streetlight Data'!AM184=0,"",'kWh_Streetlight Data'!AM184)</f>
        <v/>
      </c>
      <c r="AM27" s="130" t="str">
        <f>IF('kWh_Streetlight Data'!AN184=0,"",'kWh_Streetlight Data'!AN184)</f>
        <v/>
      </c>
      <c r="AN27" s="426">
        <f>IF('kWh_Streetlight Data'!AO184=0,"",'kWh_Streetlight Data'!AO184)</f>
        <v>641.60317460317458</v>
      </c>
      <c r="AO27" s="100"/>
      <c r="AP27" s="87"/>
      <c r="AQ27" s="87"/>
      <c r="AR27" s="87"/>
      <c r="AS27" s="87"/>
      <c r="AT27" s="17"/>
      <c r="AU27" s="17">
        <f t="shared" ref="AU27" si="10">IFERROR(AVERAGE(AH27,U27,H27),0)</f>
        <v>490.71187363834423</v>
      </c>
      <c r="AV27" s="17"/>
      <c r="AW27" s="17"/>
      <c r="AX27" s="17">
        <f t="shared" ref="AX27" si="11">IFERROR(AVERAGE(AK27,X27,K27),0)</f>
        <v>620.71777482922982</v>
      </c>
      <c r="AY27" s="17"/>
      <c r="AZ27" s="17"/>
      <c r="BA27" s="211">
        <f>IFERROR(BA26/SUM(AO22:AZ22),0)</f>
        <v>185.24074074074073</v>
      </c>
      <c r="BB27" s="505">
        <v>634.6322239422085</v>
      </c>
      <c r="BC27" s="505"/>
      <c r="BD27" s="505"/>
      <c r="BE27" s="505">
        <v>679.12087912087918</v>
      </c>
      <c r="BF27" s="505"/>
      <c r="BG27" s="505"/>
      <c r="BH27" s="505">
        <f t="shared" ref="BH27:BK27" si="12">IFERROR(AVERAGE(H27,U27,AH27),0)</f>
        <v>490.71187363834423</v>
      </c>
      <c r="BI27" s="505"/>
      <c r="BJ27" s="505"/>
      <c r="BK27" s="505">
        <f t="shared" si="12"/>
        <v>620.71777482922982</v>
      </c>
      <c r="BL27" s="505"/>
      <c r="BM27" s="505"/>
      <c r="BN27" s="211">
        <f>IFERROR(BN26/SUM(BB22:BM22)*12,0)</f>
        <v>2425.166666666667</v>
      </c>
      <c r="BO27" s="20">
        <f>BN27</f>
        <v>2425.166666666667</v>
      </c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Customers!E64</f>
        <v>9</v>
      </c>
      <c r="AV29" s="109">
        <f>Customers!F64</f>
        <v>9</v>
      </c>
      <c r="AW29" s="109">
        <f>Customers!G64</f>
        <v>9</v>
      </c>
      <c r="AX29" s="109">
        <f>Customers!H64</f>
        <v>9</v>
      </c>
      <c r="AY29" s="109">
        <f>Customers!I64</f>
        <v>9</v>
      </c>
      <c r="AZ29" s="109">
        <f>Customers!J64</f>
        <v>9</v>
      </c>
      <c r="BA29" s="210">
        <f>AZ29</f>
        <v>9</v>
      </c>
      <c r="BB29" s="124">
        <v>9</v>
      </c>
      <c r="BC29" s="38">
        <v>9</v>
      </c>
      <c r="BD29" s="38">
        <v>9</v>
      </c>
      <c r="BE29" s="38">
        <v>9</v>
      </c>
      <c r="BF29" s="38">
        <f t="shared" ref="BF29:BM29" si="13">BE29</f>
        <v>9</v>
      </c>
      <c r="BG29" s="38">
        <f t="shared" si="13"/>
        <v>9</v>
      </c>
      <c r="BH29" s="38">
        <f t="shared" si="13"/>
        <v>9</v>
      </c>
      <c r="BI29" s="38">
        <f t="shared" si="13"/>
        <v>9</v>
      </c>
      <c r="BJ29" s="38">
        <f t="shared" si="13"/>
        <v>9</v>
      </c>
      <c r="BK29" s="38">
        <f t="shared" si="13"/>
        <v>9</v>
      </c>
      <c r="BL29" s="38">
        <f t="shared" si="13"/>
        <v>9</v>
      </c>
      <c r="BM29" s="38">
        <f t="shared" si="13"/>
        <v>9</v>
      </c>
      <c r="BN29" s="210">
        <f>IFERROR(ROUND(AVERAGE(BB29:BM29),0),0)</f>
        <v>9</v>
      </c>
      <c r="BO29" s="90">
        <f>Customers!L64</f>
        <v>9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>
        <f t="shared" ref="AU30:AZ30" si="14">AU33</f>
        <v>6228</v>
      </c>
      <c r="AV30" s="39">
        <f t="shared" si="14"/>
        <v>5758</v>
      </c>
      <c r="AW30" s="39">
        <f t="shared" si="14"/>
        <v>5592</v>
      </c>
      <c r="AX30" s="39">
        <f t="shared" si="14"/>
        <v>5780</v>
      </c>
      <c r="AY30" s="39">
        <f t="shared" si="14"/>
        <v>9142</v>
      </c>
      <c r="AZ30" s="39">
        <f t="shared" si="14"/>
        <v>11691</v>
      </c>
      <c r="BA30" s="210">
        <f>SUM(AO30:AZ30)</f>
        <v>44191</v>
      </c>
      <c r="BB30" s="38">
        <v>17993</v>
      </c>
      <c r="BC30" s="38">
        <v>17128</v>
      </c>
      <c r="BD30" s="38">
        <v>15453</v>
      </c>
      <c r="BE30" s="38">
        <v>11818</v>
      </c>
      <c r="BF30" s="38">
        <f t="shared" ref="BF30:BM30" si="15">BF33</f>
        <v>8497</v>
      </c>
      <c r="BG30" s="38">
        <f t="shared" si="15"/>
        <v>6861</v>
      </c>
      <c r="BH30" s="38">
        <f t="shared" si="15"/>
        <v>6228</v>
      </c>
      <c r="BI30" s="38">
        <f t="shared" si="15"/>
        <v>5758</v>
      </c>
      <c r="BJ30" s="38">
        <f t="shared" si="15"/>
        <v>5592</v>
      </c>
      <c r="BK30" s="38">
        <f t="shared" si="15"/>
        <v>5780</v>
      </c>
      <c r="BL30" s="38">
        <f t="shared" si="15"/>
        <v>9142</v>
      </c>
      <c r="BM30" s="38">
        <f t="shared" si="15"/>
        <v>11691</v>
      </c>
      <c r="BN30" s="210">
        <f>SUM(BB30:BM30)</f>
        <v>121941</v>
      </c>
      <c r="BO30" s="90">
        <f>IFERROR(ROUND((BN30/BN$33)*BO$33,0),0)</f>
        <v>121941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>
        <f>SUM(AO31:AZ31)</f>
        <v>0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210">
        <f>SUM(BB31:BM31)</f>
        <v>0</v>
      </c>
      <c r="BO31" s="90">
        <f t="shared" ref="BO31:BO32" si="16">IFERROR(ROUND((BN31/BN$33)*BO$33,0),0)</f>
        <v>0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>
        <f>SUM(AO32:AZ32)</f>
        <v>0</v>
      </c>
      <c r="BB32" s="56">
        <v>0</v>
      </c>
      <c r="BC32" s="56">
        <v>0</v>
      </c>
      <c r="BD32" s="56">
        <v>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56">
        <v>0</v>
      </c>
      <c r="BN32" s="210">
        <f>SUM(BB32:BM32)</f>
        <v>0</v>
      </c>
      <c r="BO32" s="90">
        <f t="shared" si="16"/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17">IFERROR(ROUND(AU34*AU29,0),0)</f>
        <v>6228</v>
      </c>
      <c r="AV33" s="64">
        <f t="shared" si="17"/>
        <v>5758</v>
      </c>
      <c r="AW33" s="64">
        <f t="shared" si="17"/>
        <v>5592</v>
      </c>
      <c r="AX33" s="64">
        <f t="shared" si="17"/>
        <v>5780</v>
      </c>
      <c r="AY33" s="64">
        <f t="shared" si="17"/>
        <v>9142</v>
      </c>
      <c r="AZ33" s="64">
        <f t="shared" si="17"/>
        <v>11691</v>
      </c>
      <c r="BA33" s="196">
        <f>SUM(AO33:AZ33)</f>
        <v>44191</v>
      </c>
      <c r="BB33" s="64">
        <v>17993</v>
      </c>
      <c r="BC33" s="64">
        <v>17128</v>
      </c>
      <c r="BD33" s="64">
        <v>15453</v>
      </c>
      <c r="BE33" s="64">
        <v>11818</v>
      </c>
      <c r="BF33" s="64">
        <f t="shared" ref="BF33:BM33" si="18">IFERROR(ROUND(BF34*BF29,0),0)</f>
        <v>8497</v>
      </c>
      <c r="BG33" s="64">
        <f t="shared" si="18"/>
        <v>6861</v>
      </c>
      <c r="BH33" s="64">
        <f t="shared" si="18"/>
        <v>6228</v>
      </c>
      <c r="BI33" s="64">
        <f t="shared" si="18"/>
        <v>5758</v>
      </c>
      <c r="BJ33" s="64">
        <f t="shared" si="18"/>
        <v>5592</v>
      </c>
      <c r="BK33" s="64">
        <f t="shared" si="18"/>
        <v>5780</v>
      </c>
      <c r="BL33" s="64">
        <f t="shared" si="18"/>
        <v>9142</v>
      </c>
      <c r="BM33" s="64">
        <f t="shared" si="18"/>
        <v>11691</v>
      </c>
      <c r="BN33" s="196">
        <f>SUM(BB33:BM33)</f>
        <v>121941</v>
      </c>
      <c r="BO33" s="147">
        <f>ROUND(BO29*BO34,0)</f>
        <v>121941</v>
      </c>
    </row>
    <row r="34" spans="1:67" ht="15.75" customHeight="1" thickTop="1">
      <c r="A34" s="374" t="s">
        <v>54</v>
      </c>
      <c r="B34" s="84">
        <f>IF('kWh_Streetlight Data'!C185=0,"",'kWh_Streetlight Data'!C185)</f>
        <v>2252</v>
      </c>
      <c r="C34" s="108">
        <f>IF('kWh_Streetlight Data'!D185=0,"",'kWh_Streetlight Data'!D185)</f>
        <v>1800.4444444444443</v>
      </c>
      <c r="D34" s="108">
        <f>IF('kWh_Streetlight Data'!E185=0,"",'kWh_Streetlight Data'!E185)</f>
        <v>1634.2222222222222</v>
      </c>
      <c r="E34" s="108">
        <f>IF('kWh_Streetlight Data'!F185=0,"",'kWh_Streetlight Data'!F185)</f>
        <v>1511.2222222222222</v>
      </c>
      <c r="F34" s="108">
        <f>IF('kWh_Streetlight Data'!G185=0,"",'kWh_Streetlight Data'!G185)</f>
        <v>1021.7777777777778</v>
      </c>
      <c r="G34" s="108">
        <f>IF('kWh_Streetlight Data'!H185=0,"",'kWh_Streetlight Data'!H185)</f>
        <v>723.11111111111109</v>
      </c>
      <c r="H34" s="108">
        <f>IF('kWh_Streetlight Data'!I185=0,"",'kWh_Streetlight Data'!I185)</f>
        <v>647.33333333333337</v>
      </c>
      <c r="I34" s="108">
        <f>IF('kWh_Streetlight Data'!J185=0,"",'kWh_Streetlight Data'!J185)</f>
        <v>634.33333333333337</v>
      </c>
      <c r="J34" s="108">
        <f>IF('kWh_Streetlight Data'!K185=0,"",'kWh_Streetlight Data'!K185)</f>
        <v>603.11111111111109</v>
      </c>
      <c r="K34" s="108">
        <f>IF('kWh_Streetlight Data'!L185=0,"",'kWh_Streetlight Data'!L185)</f>
        <v>663.22222222222217</v>
      </c>
      <c r="L34" s="108">
        <f>IF('kWh_Streetlight Data'!M185=0,"",'kWh_Streetlight Data'!M185)</f>
        <v>823</v>
      </c>
      <c r="M34" s="108">
        <f>IF('kWh_Streetlight Data'!N185=0,"",'kWh_Streetlight Data'!N185)</f>
        <v>1251.8888888888889</v>
      </c>
      <c r="N34" s="424">
        <f>IF('kWh_Streetlight Data'!O185=0,"",'kWh_Streetlight Data'!O185)</f>
        <v>1130.4722222222222</v>
      </c>
      <c r="O34" s="84">
        <f>IF('kWh_Streetlight Data'!P185=0,"",'kWh_Streetlight Data'!P185)</f>
        <v>1709.75</v>
      </c>
      <c r="P34" s="108">
        <f>IF('kWh_Streetlight Data'!Q185=0,"",'kWh_Streetlight Data'!Q185)</f>
        <v>2186.7777777777778</v>
      </c>
      <c r="Q34" s="108">
        <f>IF('kWh_Streetlight Data'!R185=0,"",'kWh_Streetlight Data'!R185)</f>
        <v>1624.8888888888889</v>
      </c>
      <c r="R34" s="108">
        <f>IF('kWh_Streetlight Data'!S185=0,"",'kWh_Streetlight Data'!S185)</f>
        <v>1055.5555555555557</v>
      </c>
      <c r="S34" s="108">
        <f>IF('kWh_Streetlight Data'!T185=0,"",'kWh_Streetlight Data'!T185)</f>
        <v>842.55555555555554</v>
      </c>
      <c r="T34" s="108">
        <f>IF('kWh_Streetlight Data'!U185=0,"",'kWh_Streetlight Data'!U185)</f>
        <v>725.33333333333337</v>
      </c>
      <c r="U34" s="108">
        <f>IF('kWh_Streetlight Data'!V185=0,"",'kWh_Streetlight Data'!V185)</f>
        <v>641.125</v>
      </c>
      <c r="V34" s="108">
        <f>IF('kWh_Streetlight Data'!W185=0,"",'kWh_Streetlight Data'!W185)</f>
        <v>552.88888888888891</v>
      </c>
      <c r="W34" s="108">
        <f>IF('kWh_Streetlight Data'!X185=0,"",'kWh_Streetlight Data'!X185)</f>
        <v>649.25</v>
      </c>
      <c r="X34" s="108">
        <f>IF('kWh_Streetlight Data'!Y185=0,"",'kWh_Streetlight Data'!Y185)</f>
        <v>539.77777777777783</v>
      </c>
      <c r="Y34" s="108">
        <f>IF('kWh_Streetlight Data'!Z185=0,"",'kWh_Streetlight Data'!Z185)</f>
        <v>1131.875</v>
      </c>
      <c r="Z34" s="108">
        <f>IF('kWh_Streetlight Data'!AA185=0,"",'kWh_Streetlight Data'!AA185)</f>
        <v>1459.5</v>
      </c>
      <c r="AA34" s="424">
        <f>IF('kWh_Streetlight Data'!AB185=0,"",'kWh_Streetlight Data'!AB185)</f>
        <v>1092.0582524271845</v>
      </c>
      <c r="AB34" s="129">
        <f>IF('kWh_Streetlight Data'!AC185=0,"",'kWh_Streetlight Data'!AC185)</f>
        <v>2035.75</v>
      </c>
      <c r="AC34" s="130">
        <f>IF('kWh_Streetlight Data'!AD185=0,"",'kWh_Streetlight Data'!AD185)</f>
        <v>1722</v>
      </c>
      <c r="AD34" s="130">
        <f>IF('kWh_Streetlight Data'!AE185=0,"",'kWh_Streetlight Data'!AE185)</f>
        <v>1891.8571428571429</v>
      </c>
      <c r="AE34" s="130">
        <f>IF('kWh_Streetlight Data'!AF185=0,"",'kWh_Streetlight Data'!AF185)</f>
        <v>1372.7142857142858</v>
      </c>
      <c r="AF34" s="130">
        <f>IF('kWh_Streetlight Data'!AG185=0,"",'kWh_Streetlight Data'!AG185)</f>
        <v>968</v>
      </c>
      <c r="AG34" s="130">
        <f>IF('kWh_Streetlight Data'!AH185=0,"",'kWh_Streetlight Data'!AH185)</f>
        <v>838.625</v>
      </c>
      <c r="AH34" s="130">
        <f>IF('kWh_Streetlight Data'!AI185=0,"",'kWh_Streetlight Data'!AI185)</f>
        <v>787.625</v>
      </c>
      <c r="AI34" s="130">
        <f>IF('kWh_Streetlight Data'!AJ185=0,"",'kWh_Streetlight Data'!AJ185)</f>
        <v>732</v>
      </c>
      <c r="AJ34" s="130">
        <f>IF('kWh_Streetlight Data'!AK185=0,"",'kWh_Streetlight Data'!AK185)</f>
        <v>611.66666666666663</v>
      </c>
      <c r="AK34" s="130">
        <f>IF('kWh_Streetlight Data'!AL185=0,"",'kWh_Streetlight Data'!AL185)</f>
        <v>723.66666666666663</v>
      </c>
      <c r="AL34" s="130">
        <f>IF('kWh_Streetlight Data'!AM185=0,"",'kWh_Streetlight Data'!AM185)</f>
        <v>1092.5714285714287</v>
      </c>
      <c r="AM34" s="130">
        <f>IF('kWh_Streetlight Data'!AN185=0,"",'kWh_Streetlight Data'!AN185)</f>
        <v>1185.5</v>
      </c>
      <c r="AN34" s="426">
        <f>IF('kWh_Streetlight Data'!AO185=0,"",'kWh_Streetlight Data'!AO185)</f>
        <v>1137.7872340425531</v>
      </c>
      <c r="AO34" s="43"/>
      <c r="AP34" s="40"/>
      <c r="AQ34" s="40"/>
      <c r="AR34" s="40"/>
      <c r="AS34" s="40"/>
      <c r="AT34" s="17"/>
      <c r="AU34" s="17">
        <f t="shared" ref="AU34" si="19">IFERROR(AVERAGE(AH34,U34,H34),0)</f>
        <v>692.02777777777783</v>
      </c>
      <c r="AV34" s="17">
        <f t="shared" ref="AV34" si="20">IFERROR(AVERAGE(AI34,V34,I34),0)</f>
        <v>639.74074074074076</v>
      </c>
      <c r="AW34" s="17">
        <f t="shared" ref="AW34" si="21">IFERROR(AVERAGE(AJ34,W34,J34),0)</f>
        <v>621.3425925925925</v>
      </c>
      <c r="AX34" s="17">
        <f t="shared" ref="AX34" si="22">IFERROR(AVERAGE(AK34,X34,K34),0)</f>
        <v>642.22222222222217</v>
      </c>
      <c r="AY34" s="17">
        <f t="shared" ref="AY34" si="23">IFERROR(AVERAGE(AL34,Y34,L34),0)</f>
        <v>1015.8154761904761</v>
      </c>
      <c r="AZ34" s="17">
        <f t="shared" ref="AZ34" si="24">IFERROR(AVERAGE(AM34,Z34,M34),0)</f>
        <v>1298.9629629629628</v>
      </c>
      <c r="BA34" s="211">
        <f>IFERROR(BA33/SUM(AO29:AZ29),0)</f>
        <v>818.35185185185185</v>
      </c>
      <c r="BB34" s="17">
        <v>1999.1666666666667</v>
      </c>
      <c r="BC34" s="17">
        <v>1903.0740740740741</v>
      </c>
      <c r="BD34" s="17">
        <v>1716.9894179894181</v>
      </c>
      <c r="BE34" s="17">
        <v>1313.1640211640213</v>
      </c>
      <c r="BF34" s="17">
        <f t="shared" ref="BF34:BM34" si="25">IFERROR(AVERAGE(F34,S34,AF34),0)</f>
        <v>944.1111111111112</v>
      </c>
      <c r="BG34" s="17">
        <f t="shared" si="25"/>
        <v>762.35648148148141</v>
      </c>
      <c r="BH34" s="17">
        <f t="shared" si="25"/>
        <v>692.02777777777783</v>
      </c>
      <c r="BI34" s="17">
        <f t="shared" si="25"/>
        <v>639.74074074074076</v>
      </c>
      <c r="BJ34" s="17">
        <f t="shared" si="25"/>
        <v>621.34259259259261</v>
      </c>
      <c r="BK34" s="17">
        <f t="shared" si="25"/>
        <v>642.22222222222217</v>
      </c>
      <c r="BL34" s="17">
        <f t="shared" si="25"/>
        <v>1015.8154761904761</v>
      </c>
      <c r="BM34" s="17">
        <f t="shared" si="25"/>
        <v>1298.9629629629628</v>
      </c>
      <c r="BN34" s="211">
        <f>IFERROR(BN33/SUM(BB29:BM29)*12,0)</f>
        <v>13549</v>
      </c>
      <c r="BO34" s="20">
        <f>BN34</f>
        <v>13549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9"/>
      <c r="AU43" s="124"/>
      <c r="AV43" s="124"/>
      <c r="AW43" s="124"/>
      <c r="AX43" s="124"/>
      <c r="AY43" s="124"/>
      <c r="AZ43" s="124"/>
      <c r="BA43" s="210"/>
      <c r="BB43" s="124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8"/>
      <c r="AV44" s="38"/>
      <c r="AW44" s="38"/>
      <c r="AX44" s="38"/>
      <c r="AY44" s="38"/>
      <c r="AZ44" s="38"/>
      <c r="BA44" s="210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84" t="str">
        <f>IF('kWh_Streetlight Data'!C186=0,"",'kWh_Streetlight Data'!C186)</f>
        <v/>
      </c>
      <c r="C48" s="130" t="str">
        <f>IF('kWh_Streetlight Data'!D186=0,"",'kWh_Streetlight Data'!D186)</f>
        <v/>
      </c>
      <c r="D48" s="130" t="str">
        <f>IF('kWh_Streetlight Data'!E186=0,"",'kWh_Streetlight Data'!E186)</f>
        <v/>
      </c>
      <c r="E48" s="130" t="str">
        <f>IF('kWh_Streetlight Data'!F186=0,"",'kWh_Streetlight Data'!F186)</f>
        <v/>
      </c>
      <c r="F48" s="130" t="str">
        <f>IF('kWh_Streetlight Data'!G186=0,"",'kWh_Streetlight Data'!G186)</f>
        <v/>
      </c>
      <c r="G48" s="130" t="str">
        <f>IF('kWh_Streetlight Data'!H186=0,"",'kWh_Streetlight Data'!H186)</f>
        <v/>
      </c>
      <c r="H48" s="130" t="str">
        <f>IF('kWh_Streetlight Data'!I186=0,"",'kWh_Streetlight Data'!I186)</f>
        <v/>
      </c>
      <c r="I48" s="130" t="str">
        <f>IF('kWh_Streetlight Data'!J186=0,"",'kWh_Streetlight Data'!J186)</f>
        <v/>
      </c>
      <c r="J48" s="130" t="str">
        <f>IF('kWh_Streetlight Data'!K186=0,"",'kWh_Streetlight Data'!K186)</f>
        <v/>
      </c>
      <c r="K48" s="130" t="str">
        <f>IF('kWh_Streetlight Data'!L186=0,"",'kWh_Streetlight Data'!L186)</f>
        <v/>
      </c>
      <c r="L48" s="130" t="str">
        <f>IF('kWh_Streetlight Data'!M186=0,"",'kWh_Streetlight Data'!M186)</f>
        <v/>
      </c>
      <c r="M48" s="130" t="str">
        <f>IF('kWh_Streetlight Data'!N186=0,"",'kWh_Streetlight Data'!N186)</f>
        <v/>
      </c>
      <c r="N48" s="424" t="str">
        <f>IF('kWh_Streetlight Data'!O186=0,"",'kWh_Streetlight Data'!O186)</f>
        <v/>
      </c>
      <c r="O48" s="129" t="str">
        <f>IF('kWh_Streetlight Data'!P186=0,"",'kWh_Streetlight Data'!P186)</f>
        <v/>
      </c>
      <c r="P48" s="130" t="str">
        <f>IF('kWh_Streetlight Data'!Q186=0,"",'kWh_Streetlight Data'!Q186)</f>
        <v/>
      </c>
      <c r="Q48" s="130" t="str">
        <f>IF('kWh_Streetlight Data'!R186=0,"",'kWh_Streetlight Data'!R186)</f>
        <v/>
      </c>
      <c r="R48" s="130" t="str">
        <f>IF('kWh_Streetlight Data'!S186=0,"",'kWh_Streetlight Data'!S186)</f>
        <v/>
      </c>
      <c r="S48" s="130" t="str">
        <f>IF('kWh_Streetlight Data'!T186=0,"",'kWh_Streetlight Data'!T186)</f>
        <v/>
      </c>
      <c r="T48" s="130" t="str">
        <f>IF('kWh_Streetlight Data'!U186=0,"",'kWh_Streetlight Data'!U186)</f>
        <v/>
      </c>
      <c r="U48" s="130" t="str">
        <f>IF('kWh_Streetlight Data'!V186=0,"",'kWh_Streetlight Data'!V186)</f>
        <v/>
      </c>
      <c r="V48" s="130" t="str">
        <f>IF('kWh_Streetlight Data'!W186=0,"",'kWh_Streetlight Data'!W186)</f>
        <v/>
      </c>
      <c r="W48" s="130" t="str">
        <f>IF('kWh_Streetlight Data'!X186=0,"",'kWh_Streetlight Data'!X186)</f>
        <v/>
      </c>
      <c r="X48" s="130" t="str">
        <f>IF('kWh_Streetlight Data'!Y186=0,"",'kWh_Streetlight Data'!Y186)</f>
        <v/>
      </c>
      <c r="Y48" s="130" t="str">
        <f>IF('kWh_Streetlight Data'!Z186=0,"",'kWh_Streetlight Data'!Z186)</f>
        <v/>
      </c>
      <c r="Z48" s="130" t="str">
        <f>IF('kWh_Streetlight Data'!AA186=0,"",'kWh_Streetlight Data'!AA186)</f>
        <v/>
      </c>
      <c r="AA48" s="424" t="str">
        <f>IF('kWh_Streetlight Data'!AB186=0,"",'kWh_Streetlight Data'!AB186)</f>
        <v/>
      </c>
      <c r="AB48" s="129" t="str">
        <f>IF('kWh_Streetlight Data'!AC186=0,"",'kWh_Streetlight Data'!AC186)</f>
        <v/>
      </c>
      <c r="AC48" s="130" t="str">
        <f>IF('kWh_Streetlight Data'!AD186=0,"",'kWh_Streetlight Data'!AD186)</f>
        <v/>
      </c>
      <c r="AD48" s="130" t="str">
        <f>IF('kWh_Streetlight Data'!AE186=0,"",'kWh_Streetlight Data'!AE186)</f>
        <v/>
      </c>
      <c r="AE48" s="130" t="str">
        <f>IF('kWh_Streetlight Data'!AF186=0,"",'kWh_Streetlight Data'!AF186)</f>
        <v/>
      </c>
      <c r="AF48" s="130" t="str">
        <f>IF('kWh_Streetlight Data'!AG186=0,"",'kWh_Streetlight Data'!AG186)</f>
        <v/>
      </c>
      <c r="AG48" s="130" t="str">
        <f>IF('kWh_Streetlight Data'!AH186=0,"",'kWh_Streetlight Data'!AH186)</f>
        <v/>
      </c>
      <c r="AH48" s="130" t="str">
        <f>IF('kWh_Streetlight Data'!AI186=0,"",'kWh_Streetlight Data'!AI186)</f>
        <v/>
      </c>
      <c r="AI48" s="130" t="str">
        <f>IF('kWh_Streetlight Data'!AJ186=0,"",'kWh_Streetlight Data'!AJ186)</f>
        <v/>
      </c>
      <c r="AJ48" s="130" t="str">
        <f>IF('kWh_Streetlight Data'!AK186=0,"",'kWh_Streetlight Data'!AK186)</f>
        <v/>
      </c>
      <c r="AK48" s="130" t="str">
        <f>IF('kWh_Streetlight Data'!AL186=0,"",'kWh_Streetlight Data'!AL186)</f>
        <v/>
      </c>
      <c r="AL48" s="130" t="str">
        <f>IF('kWh_Streetlight Data'!AM186=0,"",'kWh_Streetlight Data'!AM186)</f>
        <v/>
      </c>
      <c r="AM48" s="130" t="str">
        <f>IF('kWh_Streetlight Data'!AN186=0,"",'kWh_Streetlight Data'!AN186)</f>
        <v/>
      </c>
      <c r="AN48" s="426" t="str">
        <f>IF('kWh_Streetlight Data'!AO186=0,"",'kWh_Streetlight Data'!AO186)</f>
        <v/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9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9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9"/>
      <c r="AU57" s="145"/>
      <c r="AV57" s="145"/>
      <c r="AW57" s="145"/>
      <c r="AX57" s="145"/>
      <c r="AY57" s="145"/>
      <c r="AZ57" s="145"/>
      <c r="BA57" s="204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04"/>
      <c r="BO57" s="92"/>
    </row>
    <row r="58" spans="1:67" ht="15.75" customHeight="1" thickBot="1">
      <c r="A58" s="201" t="s">
        <v>30</v>
      </c>
      <c r="B58" s="113" t="str">
        <f>IF('kWh_Streetlight Data'!C246=0,"",'kWh_Streetlight Data'!C246)</f>
        <v/>
      </c>
      <c r="C58" s="114" t="str">
        <f>IF('kWh_Streetlight Data'!D246=0,"",'kWh_Streetlight Data'!D246)</f>
        <v/>
      </c>
      <c r="D58" s="114" t="str">
        <f>IF('kWh_Streetlight Data'!E246=0,"",'kWh_Streetlight Data'!E246)</f>
        <v/>
      </c>
      <c r="E58" s="114" t="str">
        <f>IF('kWh_Streetlight Data'!F246=0,"",'kWh_Streetlight Data'!F246)</f>
        <v/>
      </c>
      <c r="F58" s="114" t="str">
        <f>IF('kWh_Streetlight Data'!G246=0,"",'kWh_Streetlight Data'!G246)</f>
        <v/>
      </c>
      <c r="G58" s="114" t="str">
        <f>IF('kWh_Streetlight Data'!H246=0,"",'kWh_Streetlight Data'!H246)</f>
        <v/>
      </c>
      <c r="H58" s="114" t="str">
        <f>IF('kWh_Streetlight Data'!I246=0,"",'kWh_Streetlight Data'!I246)</f>
        <v/>
      </c>
      <c r="I58" s="114" t="str">
        <f>IF('kWh_Streetlight Data'!J246=0,"",'kWh_Streetlight Data'!J246)</f>
        <v/>
      </c>
      <c r="J58" s="114" t="str">
        <f>IF('kWh_Streetlight Data'!K246=0,"",'kWh_Streetlight Data'!K246)</f>
        <v/>
      </c>
      <c r="K58" s="114" t="str">
        <f>IF('kWh_Streetlight Data'!L246=0,"",'kWh_Streetlight Data'!L246)</f>
        <v/>
      </c>
      <c r="L58" s="114" t="str">
        <f>IF('kWh_Streetlight Data'!M246=0,"",'kWh_Streetlight Data'!M246)</f>
        <v/>
      </c>
      <c r="M58" s="114" t="str">
        <f>IF('kWh_Streetlight Data'!N246=0,"",'kWh_Streetlight Data'!N246)</f>
        <v/>
      </c>
      <c r="N58" s="459" t="str">
        <f>IF('kWh_Streetlight Data'!O246=0,"",'kWh_Streetlight Data'!O246)</f>
        <v/>
      </c>
      <c r="O58" s="113" t="str">
        <f>IF('kWh_Streetlight Data'!P246=0,"",'kWh_Streetlight Data'!P246)</f>
        <v/>
      </c>
      <c r="P58" s="114" t="str">
        <f>IF('kWh_Streetlight Data'!Q246=0,"",'kWh_Streetlight Data'!Q246)</f>
        <v/>
      </c>
      <c r="Q58" s="114" t="str">
        <f>IF('kWh_Streetlight Data'!R246=0,"",'kWh_Streetlight Data'!R246)</f>
        <v/>
      </c>
      <c r="R58" s="114" t="str">
        <f>IF('kWh_Streetlight Data'!S246=0,"",'kWh_Streetlight Data'!S246)</f>
        <v/>
      </c>
      <c r="S58" s="114" t="str">
        <f>IF('kWh_Streetlight Data'!T246=0,"",'kWh_Streetlight Data'!T246)</f>
        <v/>
      </c>
      <c r="T58" s="114" t="str">
        <f>IF('kWh_Streetlight Data'!U246=0,"",'kWh_Streetlight Data'!U246)</f>
        <v/>
      </c>
      <c r="U58" s="114" t="str">
        <f>IF('kWh_Streetlight Data'!V246=0,"",'kWh_Streetlight Data'!V246)</f>
        <v/>
      </c>
      <c r="V58" s="114" t="str">
        <f>IF('kWh_Streetlight Data'!W246=0,"",'kWh_Streetlight Data'!W246)</f>
        <v/>
      </c>
      <c r="W58" s="114" t="str">
        <f>IF('kWh_Streetlight Data'!X246=0,"",'kWh_Streetlight Data'!X246)</f>
        <v/>
      </c>
      <c r="X58" s="114" t="str">
        <f>IF('kWh_Streetlight Data'!Y246=0,"",'kWh_Streetlight Data'!Y246)</f>
        <v/>
      </c>
      <c r="Y58" s="114" t="str">
        <f>IF('kWh_Streetlight Data'!Z246=0,"",'kWh_Streetlight Data'!Z246)</f>
        <v/>
      </c>
      <c r="Z58" s="114" t="str">
        <f>IF('kWh_Streetlight Data'!AA246=0,"",'kWh_Streetlight Data'!AA246)</f>
        <v/>
      </c>
      <c r="AA58" s="459" t="str">
        <f>IF('kWh_Streetlight Data'!AB246=0,"",'kWh_Streetlight Data'!AB246)</f>
        <v/>
      </c>
      <c r="AB58" s="240" t="str">
        <f>IF('kWh_Streetlight Data'!AC246=0,"",'kWh_Streetlight Data'!AC246)</f>
        <v/>
      </c>
      <c r="AC58" s="117" t="str">
        <f>IF('kWh_Streetlight Data'!AD246=0,"",'kWh_Streetlight Data'!AD246)</f>
        <v/>
      </c>
      <c r="AD58" s="117" t="str">
        <f>IF('kWh_Streetlight Data'!AE246=0,"",'kWh_Streetlight Data'!AE246)</f>
        <v/>
      </c>
      <c r="AE58" s="117" t="str">
        <f>IF('kWh_Streetlight Data'!AF246=0,"",'kWh_Streetlight Data'!AF246)</f>
        <v/>
      </c>
      <c r="AF58" s="117" t="str">
        <f>IF('kWh_Streetlight Data'!AG246=0,"",'kWh_Streetlight Data'!AG246)</f>
        <v/>
      </c>
      <c r="AG58" s="117" t="str">
        <f>IF('kWh_Streetlight Data'!AH246=0,"",'kWh_Streetlight Data'!AH246)</f>
        <v/>
      </c>
      <c r="AH58" s="117" t="str">
        <f>IF('kWh_Streetlight Data'!AI246=0,"",'kWh_Streetlight Data'!AI246)</f>
        <v/>
      </c>
      <c r="AI58" s="117" t="str">
        <f>IF('kWh_Streetlight Data'!AJ246=0,"",'kWh_Streetlight Data'!AJ246)</f>
        <v/>
      </c>
      <c r="AJ58" s="117" t="str">
        <f>IF('kWh_Streetlight Data'!AK246=0,"",'kWh_Streetlight Data'!AK246)</f>
        <v/>
      </c>
      <c r="AK58" s="117" t="str">
        <f>IF('kWh_Streetlight Data'!AL246=0,"",'kWh_Streetlight Data'!AL246)</f>
        <v/>
      </c>
      <c r="AL58" s="117" t="str">
        <f>IF('kWh_Streetlight Data'!AM246=0,"",'kWh_Streetlight Data'!AM246)</f>
        <v/>
      </c>
      <c r="AM58" s="117" t="str">
        <f>IF('kWh_Streetlight Data'!AN246=0,"",'kWh_Streetlight Data'!AN246)</f>
        <v/>
      </c>
      <c r="AN58" s="464" t="str">
        <f>IF('kWh_Streetlight Data'!AO246=0,"",'kWh_Streetlight Data'!AO246)</f>
        <v/>
      </c>
      <c r="AO58" s="151"/>
      <c r="AP58" s="152"/>
      <c r="AQ58" s="152"/>
      <c r="AR58" s="152"/>
      <c r="AS58" s="152"/>
      <c r="AT58" s="64"/>
      <c r="AU58" s="160"/>
      <c r="AV58" s="160"/>
      <c r="AW58" s="160"/>
      <c r="AX58" s="160"/>
      <c r="AY58" s="160"/>
      <c r="AZ58" s="160"/>
      <c r="BA58" s="213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213"/>
      <c r="BO58" s="161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2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61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84" t="str">
        <f>IF('kWh_Streetlight Data'!C187=0,"",'kWh_Streetlight Data'!C187)</f>
        <v/>
      </c>
      <c r="C69" s="130" t="str">
        <f>IF('kWh_Streetlight Data'!D187=0,"",'kWh_Streetlight Data'!D187)</f>
        <v/>
      </c>
      <c r="D69" s="130" t="str">
        <f>IF('kWh_Streetlight Data'!E187=0,"",'kWh_Streetlight Data'!E187)</f>
        <v/>
      </c>
      <c r="E69" s="130" t="str">
        <f>IF('kWh_Streetlight Data'!F187=0,"",'kWh_Streetlight Data'!F187)</f>
        <v/>
      </c>
      <c r="F69" s="130" t="str">
        <f>IF('kWh_Streetlight Data'!G187=0,"",'kWh_Streetlight Data'!G187)</f>
        <v/>
      </c>
      <c r="G69" s="130" t="str">
        <f>IF('kWh_Streetlight Data'!H187=0,"",'kWh_Streetlight Data'!H187)</f>
        <v/>
      </c>
      <c r="H69" s="130" t="str">
        <f>IF('kWh_Streetlight Data'!I187=0,"",'kWh_Streetlight Data'!I187)</f>
        <v/>
      </c>
      <c r="I69" s="130" t="str">
        <f>IF('kWh_Streetlight Data'!J187=0,"",'kWh_Streetlight Data'!J187)</f>
        <v/>
      </c>
      <c r="J69" s="130" t="str">
        <f>IF('kWh_Streetlight Data'!K187=0,"",'kWh_Streetlight Data'!K187)</f>
        <v/>
      </c>
      <c r="K69" s="130" t="str">
        <f>IF('kWh_Streetlight Data'!L187=0,"",'kWh_Streetlight Data'!L187)</f>
        <v/>
      </c>
      <c r="L69" s="130" t="str">
        <f>IF('kWh_Streetlight Data'!M187=0,"",'kWh_Streetlight Data'!M187)</f>
        <v/>
      </c>
      <c r="M69" s="130" t="str">
        <f>IF('kWh_Streetlight Data'!N187=0,"",'kWh_Streetlight Data'!N187)</f>
        <v/>
      </c>
      <c r="N69" s="424" t="str">
        <f>IF('kWh_Streetlight Data'!O187=0,"",'kWh_Streetlight Data'!O187)</f>
        <v/>
      </c>
      <c r="O69" s="84" t="str">
        <f>IF('kWh_Streetlight Data'!P187=0,"",'kWh_Streetlight Data'!P187)</f>
        <v/>
      </c>
      <c r="P69" s="108" t="str">
        <f>IF('kWh_Streetlight Data'!Q187=0,"",'kWh_Streetlight Data'!Q187)</f>
        <v/>
      </c>
      <c r="Q69" s="108" t="str">
        <f>IF('kWh_Streetlight Data'!R187=0,"",'kWh_Streetlight Data'!R187)</f>
        <v/>
      </c>
      <c r="R69" s="108" t="str">
        <f>IF('kWh_Streetlight Data'!S187=0,"",'kWh_Streetlight Data'!S187)</f>
        <v/>
      </c>
      <c r="S69" s="108" t="str">
        <f>IF('kWh_Streetlight Data'!T187=0,"",'kWh_Streetlight Data'!T187)</f>
        <v/>
      </c>
      <c r="T69" s="108" t="str">
        <f>IF('kWh_Streetlight Data'!U187=0,"",'kWh_Streetlight Data'!U187)</f>
        <v/>
      </c>
      <c r="U69" s="108" t="str">
        <f>IF('kWh_Streetlight Data'!V187=0,"",'kWh_Streetlight Data'!V187)</f>
        <v/>
      </c>
      <c r="V69" s="108" t="str">
        <f>IF('kWh_Streetlight Data'!W187=0,"",'kWh_Streetlight Data'!W187)</f>
        <v/>
      </c>
      <c r="W69" s="108" t="str">
        <f>IF('kWh_Streetlight Data'!X187=0,"",'kWh_Streetlight Data'!X187)</f>
        <v/>
      </c>
      <c r="X69" s="108" t="str">
        <f>IF('kWh_Streetlight Data'!Y187=0,"",'kWh_Streetlight Data'!Y187)</f>
        <v/>
      </c>
      <c r="Y69" s="108" t="str">
        <f>IF('kWh_Streetlight Data'!Z187=0,"",'kWh_Streetlight Data'!Z187)</f>
        <v/>
      </c>
      <c r="Z69" s="108" t="str">
        <f>IF('kWh_Streetlight Data'!AA187=0,"",'kWh_Streetlight Data'!AA187)</f>
        <v/>
      </c>
      <c r="AA69" s="424" t="str">
        <f>IF('kWh_Streetlight Data'!AB187=0,"",'kWh_Streetlight Data'!AB187)</f>
        <v/>
      </c>
      <c r="AB69" s="84" t="str">
        <f>IF('kWh_Streetlight Data'!AC187=0,"",'kWh_Streetlight Data'!AC187)</f>
        <v/>
      </c>
      <c r="AC69" s="108" t="str">
        <f>IF('kWh_Streetlight Data'!AD187=0,"",'kWh_Streetlight Data'!AD187)</f>
        <v/>
      </c>
      <c r="AD69" s="108" t="str">
        <f>IF('kWh_Streetlight Data'!AE187=0,"",'kWh_Streetlight Data'!AE187)</f>
        <v/>
      </c>
      <c r="AE69" s="108" t="str">
        <f>IF('kWh_Streetlight Data'!AF187=0,"",'kWh_Streetlight Data'!AF187)</f>
        <v/>
      </c>
      <c r="AF69" s="108" t="str">
        <f>IF('kWh_Streetlight Data'!AG187=0,"",'kWh_Streetlight Data'!AG187)</f>
        <v/>
      </c>
      <c r="AG69" s="108" t="str">
        <f>IF('kWh_Streetlight Data'!AH187=0,"",'kWh_Streetlight Data'!AH187)</f>
        <v/>
      </c>
      <c r="AH69" s="130" t="str">
        <f>IF('kWh_Streetlight Data'!AI187=0,"",'kWh_Streetlight Data'!AI187)</f>
        <v/>
      </c>
      <c r="AI69" s="130" t="str">
        <f>IF('kWh_Streetlight Data'!AJ187=0,"",'kWh_Streetlight Data'!AJ187)</f>
        <v/>
      </c>
      <c r="AJ69" s="130" t="str">
        <f>IF('kWh_Streetlight Data'!AK187=0,"",'kWh_Streetlight Data'!AK187)</f>
        <v/>
      </c>
      <c r="AK69" s="130" t="str">
        <f>IF('kWh_Streetlight Data'!AL187=0,"",'kWh_Streetlight Data'!AL187)</f>
        <v/>
      </c>
      <c r="AL69" s="130" t="str">
        <f>IF('kWh_Streetlight Data'!AM187=0,"",'kWh_Streetlight Data'!AM187)</f>
        <v/>
      </c>
      <c r="AM69" s="130" t="str">
        <f>IF('kWh_Streetlight Data'!AN187=0,"",'kWh_Streetlight Data'!AN187)</f>
        <v/>
      </c>
      <c r="AN69" s="424" t="str">
        <f>IF('kWh_Streetlight Data'!AO187=0,"",'kWh_Streetlight Data'!AO187)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8"/>
      <c r="AV75" s="38"/>
      <c r="AW75" s="38"/>
      <c r="AX75" s="38"/>
      <c r="AY75" s="38"/>
      <c r="AZ75" s="38"/>
      <c r="BA75" s="210"/>
      <c r="BB75" s="124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143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/>
      <c r="AV76" s="38"/>
      <c r="AW76" s="38"/>
      <c r="AX76" s="38"/>
      <c r="AY76" s="38"/>
      <c r="AZ76" s="38"/>
      <c r="BA76" s="210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143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/>
      <c r="AV77" s="38"/>
      <c r="AW77" s="38"/>
      <c r="AX77" s="38"/>
      <c r="AY77" s="38"/>
      <c r="AZ77" s="38"/>
      <c r="BA77" s="210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143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 t="str">
        <f>IF('kWh_Streetlight Data'!C188=0,"",'kWh_Streetlight Data'!C188)</f>
        <v/>
      </c>
      <c r="C79" s="108" t="str">
        <f>IF('kWh_Streetlight Data'!D188=0,"",'kWh_Streetlight Data'!D188)</f>
        <v/>
      </c>
      <c r="D79" s="108" t="str">
        <f>IF('kWh_Streetlight Data'!E188=0,"",'kWh_Streetlight Data'!E188)</f>
        <v/>
      </c>
      <c r="E79" s="108" t="str">
        <f>IF('kWh_Streetlight Data'!F188=0,"",'kWh_Streetlight Data'!F188)</f>
        <v/>
      </c>
      <c r="F79" s="108" t="str">
        <f>IF('kWh_Streetlight Data'!G188=0,"",'kWh_Streetlight Data'!G188)</f>
        <v/>
      </c>
      <c r="G79" s="108" t="str">
        <f>IF('kWh_Streetlight Data'!H188=0,"",'kWh_Streetlight Data'!H188)</f>
        <v/>
      </c>
      <c r="H79" s="108" t="str">
        <f>IF('kWh_Streetlight Data'!I188=0,"",'kWh_Streetlight Data'!I188)</f>
        <v/>
      </c>
      <c r="I79" s="108" t="str">
        <f>IF('kWh_Streetlight Data'!J188=0,"",'kWh_Streetlight Data'!J188)</f>
        <v/>
      </c>
      <c r="J79" s="108" t="str">
        <f>IF('kWh_Streetlight Data'!K188=0,"",'kWh_Streetlight Data'!K188)</f>
        <v/>
      </c>
      <c r="K79" s="108" t="str">
        <f>IF('kWh_Streetlight Data'!L188=0,"",'kWh_Streetlight Data'!L188)</f>
        <v/>
      </c>
      <c r="L79" s="108" t="str">
        <f>IF('kWh_Streetlight Data'!M188=0,"",'kWh_Streetlight Data'!M188)</f>
        <v/>
      </c>
      <c r="M79" s="108" t="str">
        <f>IF('kWh_Streetlight Data'!N188=0,"",'kWh_Streetlight Data'!N188)</f>
        <v/>
      </c>
      <c r="N79" s="424" t="str">
        <f>IF('kWh_Streetlight Data'!O188=0,"",'kWh_Streetlight Data'!O188)</f>
        <v/>
      </c>
      <c r="O79" s="84" t="str">
        <f>IF('kWh_Streetlight Data'!P188=0,"",'kWh_Streetlight Data'!P188)</f>
        <v/>
      </c>
      <c r="P79" s="108" t="str">
        <f>IF('kWh_Streetlight Data'!Q188=0,"",'kWh_Streetlight Data'!Q188)</f>
        <v/>
      </c>
      <c r="Q79" s="108" t="str">
        <f>IF('kWh_Streetlight Data'!R188=0,"",'kWh_Streetlight Data'!R188)</f>
        <v/>
      </c>
      <c r="R79" s="108" t="str">
        <f>IF('kWh_Streetlight Data'!S188=0,"",'kWh_Streetlight Data'!S188)</f>
        <v/>
      </c>
      <c r="S79" s="108" t="str">
        <f>IF('kWh_Streetlight Data'!T188=0,"",'kWh_Streetlight Data'!T188)</f>
        <v/>
      </c>
      <c r="T79" s="108" t="str">
        <f>IF('kWh_Streetlight Data'!U188=0,"",'kWh_Streetlight Data'!U188)</f>
        <v/>
      </c>
      <c r="U79" s="108" t="str">
        <f>IF('kWh_Streetlight Data'!V188=0,"",'kWh_Streetlight Data'!V188)</f>
        <v/>
      </c>
      <c r="V79" s="108" t="str">
        <f>IF('kWh_Streetlight Data'!W188=0,"",'kWh_Streetlight Data'!W188)</f>
        <v/>
      </c>
      <c r="W79" s="108" t="str">
        <f>IF('kWh_Streetlight Data'!X188=0,"",'kWh_Streetlight Data'!X188)</f>
        <v/>
      </c>
      <c r="X79" s="108" t="str">
        <f>IF('kWh_Streetlight Data'!Y188=0,"",'kWh_Streetlight Data'!Y188)</f>
        <v/>
      </c>
      <c r="Y79" s="108" t="str">
        <f>IF('kWh_Streetlight Data'!Z188=0,"",'kWh_Streetlight Data'!Z188)</f>
        <v/>
      </c>
      <c r="Z79" s="108" t="str">
        <f>IF('kWh_Streetlight Data'!AA188=0,"",'kWh_Streetlight Data'!AA188)</f>
        <v/>
      </c>
      <c r="AA79" s="424" t="str">
        <f>IF('kWh_Streetlight Data'!AB188=0,"",'kWh_Streetlight Data'!AB188)</f>
        <v/>
      </c>
      <c r="AB79" s="129" t="str">
        <f>IF('kWh_Streetlight Data'!AC188=0,"",'kWh_Streetlight Data'!AC188)</f>
        <v/>
      </c>
      <c r="AC79" s="130" t="str">
        <f>IF('kWh_Streetlight Data'!AD188=0,"",'kWh_Streetlight Data'!AD188)</f>
        <v/>
      </c>
      <c r="AD79" s="130" t="str">
        <f>IF('kWh_Streetlight Data'!AE188=0,"",'kWh_Streetlight Data'!AE188)</f>
        <v/>
      </c>
      <c r="AE79" s="130" t="str">
        <f>IF('kWh_Streetlight Data'!AF188=0,"",'kWh_Streetlight Data'!AF188)</f>
        <v/>
      </c>
      <c r="AF79" s="130" t="str">
        <f>IF('kWh_Streetlight Data'!AG188=0,"",'kWh_Streetlight Data'!AG188)</f>
        <v/>
      </c>
      <c r="AG79" s="130" t="str">
        <f>IF('kWh_Streetlight Data'!AH188=0,"",'kWh_Streetlight Data'!AH188)</f>
        <v/>
      </c>
      <c r="AH79" s="108" t="str">
        <f>IF('kWh_Streetlight Data'!AI188=0,"",'kWh_Streetlight Data'!AI188)</f>
        <v/>
      </c>
      <c r="AI79" s="108" t="str">
        <f>IF('kWh_Streetlight Data'!AJ188=0,"",'kWh_Streetlight Data'!AJ188)</f>
        <v/>
      </c>
      <c r="AJ79" s="108" t="str">
        <f>IF('kWh_Streetlight Data'!AK188=0,"",'kWh_Streetlight Data'!AK188)</f>
        <v/>
      </c>
      <c r="AK79" s="108" t="str">
        <f>IF('kWh_Streetlight Data'!AL188=0,"",'kWh_Streetlight Data'!AL188)</f>
        <v/>
      </c>
      <c r="AL79" s="108" t="str">
        <f>IF('kWh_Streetlight Data'!AM188=0,"",'kWh_Streetlight Data'!AM188)</f>
        <v/>
      </c>
      <c r="AM79" s="108" t="str">
        <f>IF('kWh_Streetlight Data'!AN188=0,"",'kWh_Streetlight Data'!AN188)</f>
        <v/>
      </c>
      <c r="AN79" s="424" t="str">
        <f>IF('kWh_Streetlight Data'!AO188=0,"",'kWh_Streetlight Data'!AO188)</f>
        <v/>
      </c>
      <c r="AO79" s="34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Data'!C189=0,"",'kWh_Streetlight Data'!C189)</f>
        <v/>
      </c>
      <c r="C83" s="108" t="str">
        <f>IF('kWh_Streetlight Data'!D189=0,"",'kWh_Streetlight Data'!D189)</f>
        <v/>
      </c>
      <c r="D83" s="108" t="str">
        <f>IF('kWh_Streetlight Data'!E189=0,"",'kWh_Streetlight Data'!E189)</f>
        <v/>
      </c>
      <c r="E83" s="108" t="str">
        <f>IF('kWh_Streetlight Data'!F189=0,"",'kWh_Streetlight Data'!F189)</f>
        <v/>
      </c>
      <c r="F83" s="108" t="str">
        <f>IF('kWh_Streetlight Data'!G189=0,"",'kWh_Streetlight Data'!G189)</f>
        <v/>
      </c>
      <c r="G83" s="108" t="str">
        <f>IF('kWh_Streetlight Data'!H189=0,"",'kWh_Streetlight Data'!H189)</f>
        <v/>
      </c>
      <c r="H83" s="108" t="str">
        <f>IF('kWh_Streetlight Data'!I189=0,"",'kWh_Streetlight Data'!I189)</f>
        <v/>
      </c>
      <c r="I83" s="108" t="str">
        <f>IF('kWh_Streetlight Data'!J189=0,"",'kWh_Streetlight Data'!J189)</f>
        <v/>
      </c>
      <c r="J83" s="108" t="str">
        <f>IF('kWh_Streetlight Data'!K189=0,"",'kWh_Streetlight Data'!K189)</f>
        <v/>
      </c>
      <c r="K83" s="108" t="str">
        <f>IF('kWh_Streetlight Data'!L189=0,"",'kWh_Streetlight Data'!L189)</f>
        <v/>
      </c>
      <c r="L83" s="108" t="str">
        <f>IF('kWh_Streetlight Data'!M189=0,"",'kWh_Streetlight Data'!M189)</f>
        <v/>
      </c>
      <c r="M83" s="108" t="str">
        <f>IF('kWh_Streetlight Data'!N189=0,"",'kWh_Streetlight Data'!N189)</f>
        <v/>
      </c>
      <c r="N83" s="424" t="str">
        <f>IF('kWh_Streetlight Data'!O189=0,"",'kWh_Streetlight Data'!O189)</f>
        <v/>
      </c>
      <c r="O83" s="84" t="str">
        <f>IF('kWh_Streetlight Data'!P189=0,"",'kWh_Streetlight Data'!P189)</f>
        <v/>
      </c>
      <c r="P83" s="108" t="str">
        <f>IF('kWh_Streetlight Data'!Q189=0,"",'kWh_Streetlight Data'!Q189)</f>
        <v/>
      </c>
      <c r="Q83" s="108" t="str">
        <f>IF('kWh_Streetlight Data'!R189=0,"",'kWh_Streetlight Data'!R189)</f>
        <v/>
      </c>
      <c r="R83" s="108" t="str">
        <f>IF('kWh_Streetlight Data'!S189=0,"",'kWh_Streetlight Data'!S189)</f>
        <v/>
      </c>
      <c r="S83" s="108" t="str">
        <f>IF('kWh_Streetlight Data'!T189=0,"",'kWh_Streetlight Data'!T189)</f>
        <v/>
      </c>
      <c r="T83" s="108" t="str">
        <f>IF('kWh_Streetlight Data'!U189=0,"",'kWh_Streetlight Data'!U189)</f>
        <v/>
      </c>
      <c r="U83" s="108" t="str">
        <f>IF('kWh_Streetlight Data'!V189=0,"",'kWh_Streetlight Data'!V189)</f>
        <v/>
      </c>
      <c r="V83" s="108" t="str">
        <f>IF('kWh_Streetlight Data'!W189=0,"",'kWh_Streetlight Data'!W189)</f>
        <v/>
      </c>
      <c r="W83" s="108" t="str">
        <f>IF('kWh_Streetlight Data'!X189=0,"",'kWh_Streetlight Data'!X189)</f>
        <v/>
      </c>
      <c r="X83" s="108" t="str">
        <f>IF('kWh_Streetlight Data'!Y189=0,"",'kWh_Streetlight Data'!Y189)</f>
        <v/>
      </c>
      <c r="Y83" s="108" t="str">
        <f>IF('kWh_Streetlight Data'!Z189=0,"",'kWh_Streetlight Data'!Z189)</f>
        <v/>
      </c>
      <c r="Z83" s="108" t="str">
        <f>IF('kWh_Streetlight Data'!AA189=0,"",'kWh_Streetlight Data'!AA189)</f>
        <v/>
      </c>
      <c r="AA83" s="424" t="str">
        <f>IF('kWh_Streetlight Data'!AB189=0,"",'kWh_Streetlight Data'!AB189)</f>
        <v/>
      </c>
      <c r="AB83" s="442" t="str">
        <f>IF('kWh_Streetlight Data'!AC189=0,"",'kWh_Streetlight Data'!AC189)</f>
        <v/>
      </c>
      <c r="AC83" s="443" t="str">
        <f>IF('kWh_Streetlight Data'!AD189=0,"",'kWh_Streetlight Data'!AD189)</f>
        <v/>
      </c>
      <c r="AD83" s="443" t="str">
        <f>IF('kWh_Streetlight Data'!AE189=0,"",'kWh_Streetlight Data'!AE189)</f>
        <v/>
      </c>
      <c r="AE83" s="443" t="str">
        <f>IF('kWh_Streetlight Data'!AF189=0,"",'kWh_Streetlight Data'!AF189)</f>
        <v/>
      </c>
      <c r="AF83" s="443" t="str">
        <f>IF('kWh_Streetlight Data'!AG189=0,"",'kWh_Streetlight Data'!AG189)</f>
        <v/>
      </c>
      <c r="AG83" s="443" t="str">
        <f>IF('kWh_Streetlight Data'!AH189=0,"",'kWh_Streetlight Data'!AH189)</f>
        <v/>
      </c>
      <c r="AH83" s="108" t="str">
        <f>IF('kWh_Streetlight Data'!AI189=0,"",'kWh_Streetlight Data'!AI189)</f>
        <v/>
      </c>
      <c r="AI83" s="108" t="str">
        <f>IF('kWh_Streetlight Data'!AJ189=0,"",'kWh_Streetlight Data'!AJ189)</f>
        <v/>
      </c>
      <c r="AJ83" s="108" t="str">
        <f>IF('kWh_Streetlight Data'!AK189=0,"",'kWh_Streetlight Data'!AK189)</f>
        <v/>
      </c>
      <c r="AK83" s="108" t="str">
        <f>IF('kWh_Streetlight Data'!AL189=0,"",'kWh_Streetlight Data'!AL189)</f>
        <v/>
      </c>
      <c r="AL83" s="108" t="str">
        <f>IF('kWh_Streetlight Data'!AM189=0,"",'kWh_Streetlight Data'!AM189)</f>
        <v/>
      </c>
      <c r="AM83" s="108" t="str">
        <f>IF('kWh_Streetlight Data'!AN189=0,"",'kWh_Streetlight Data'!AN189)</f>
        <v/>
      </c>
      <c r="AN83" s="424" t="str">
        <f>IF('kWh_Streetlight Data'!AO189=0,"",'kWh_Streetlight Data'!AO189)</f>
        <v/>
      </c>
      <c r="AO83" s="34"/>
      <c r="AP83" s="35"/>
      <c r="AQ83" s="35"/>
      <c r="AR83" s="35"/>
      <c r="AS83" s="35"/>
      <c r="AT83" s="17"/>
      <c r="AU83" s="17"/>
      <c r="AV83" s="17"/>
      <c r="AW83" s="17"/>
      <c r="AX83" s="17"/>
      <c r="AY83" s="17"/>
      <c r="AZ83" s="17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8"/>
      <c r="AV86" s="38"/>
      <c r="AW86" s="38"/>
      <c r="AX86" s="38"/>
      <c r="AY86" s="38"/>
      <c r="AZ86" s="38"/>
      <c r="BA86" s="210"/>
      <c r="BB86" s="124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143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/>
      <c r="AV87" s="160"/>
      <c r="AW87" s="160"/>
      <c r="AX87" s="160"/>
      <c r="AY87" s="160"/>
      <c r="AZ87" s="160"/>
      <c r="BA87" s="196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144"/>
    </row>
    <row r="88" spans="1:67" ht="15.75" customHeight="1" thickTop="1">
      <c r="A88" s="374" t="s">
        <v>54</v>
      </c>
      <c r="B88" s="84" t="str">
        <f>IF('kWh_Streetlight Data'!C190=0,"",'kWh_Streetlight Data'!C190)</f>
        <v/>
      </c>
      <c r="C88" s="108" t="str">
        <f>IF('kWh_Streetlight Data'!D190=0,"",'kWh_Streetlight Data'!D190)</f>
        <v/>
      </c>
      <c r="D88" s="108" t="str">
        <f>IF('kWh_Streetlight Data'!E190=0,"",'kWh_Streetlight Data'!E190)</f>
        <v/>
      </c>
      <c r="E88" s="108" t="str">
        <f>IF('kWh_Streetlight Data'!F190=0,"",'kWh_Streetlight Data'!F190)</f>
        <v/>
      </c>
      <c r="F88" s="108" t="str">
        <f>IF('kWh_Streetlight Data'!G190=0,"",'kWh_Streetlight Data'!G190)</f>
        <v/>
      </c>
      <c r="G88" s="108" t="str">
        <f>IF('kWh_Streetlight Data'!H190=0,"",'kWh_Streetlight Data'!H190)</f>
        <v/>
      </c>
      <c r="H88" s="108" t="str">
        <f>IF('kWh_Streetlight Data'!I190=0,"",'kWh_Streetlight Data'!I190)</f>
        <v/>
      </c>
      <c r="I88" s="108" t="str">
        <f>IF('kWh_Streetlight Data'!J190=0,"",'kWh_Streetlight Data'!J190)</f>
        <v/>
      </c>
      <c r="J88" s="108" t="str">
        <f>IF('kWh_Streetlight Data'!K190=0,"",'kWh_Streetlight Data'!K190)</f>
        <v/>
      </c>
      <c r="K88" s="108" t="str">
        <f>IF('kWh_Streetlight Data'!L190=0,"",'kWh_Streetlight Data'!L190)</f>
        <v/>
      </c>
      <c r="L88" s="108" t="str">
        <f>IF('kWh_Streetlight Data'!M190=0,"",'kWh_Streetlight Data'!M190)</f>
        <v/>
      </c>
      <c r="M88" s="108" t="str">
        <f>IF('kWh_Streetlight Data'!N190=0,"",'kWh_Streetlight Data'!N190)</f>
        <v/>
      </c>
      <c r="N88" s="424" t="str">
        <f>IF('kWh_Streetlight Data'!O190=0,"",'kWh_Streetlight Data'!O190)</f>
        <v/>
      </c>
      <c r="O88" s="84" t="str">
        <f>IF('kWh_Streetlight Data'!P190=0,"",'kWh_Streetlight Data'!P190)</f>
        <v/>
      </c>
      <c r="P88" s="108" t="str">
        <f>IF('kWh_Streetlight Data'!Q190=0,"",'kWh_Streetlight Data'!Q190)</f>
        <v/>
      </c>
      <c r="Q88" s="108" t="str">
        <f>IF('kWh_Streetlight Data'!R190=0,"",'kWh_Streetlight Data'!R190)</f>
        <v/>
      </c>
      <c r="R88" s="108" t="str">
        <f>IF('kWh_Streetlight Data'!S190=0,"",'kWh_Streetlight Data'!S190)</f>
        <v/>
      </c>
      <c r="S88" s="108" t="str">
        <f>IF('kWh_Streetlight Data'!T190=0,"",'kWh_Streetlight Data'!T190)</f>
        <v/>
      </c>
      <c r="T88" s="108" t="str">
        <f>IF('kWh_Streetlight Data'!U190=0,"",'kWh_Streetlight Data'!U190)</f>
        <v/>
      </c>
      <c r="U88" s="108" t="str">
        <f>IF('kWh_Streetlight Data'!V190=0,"",'kWh_Streetlight Data'!V190)</f>
        <v/>
      </c>
      <c r="V88" s="108" t="str">
        <f>IF('kWh_Streetlight Data'!W190=0,"",'kWh_Streetlight Data'!W190)</f>
        <v/>
      </c>
      <c r="W88" s="108" t="str">
        <f>IF('kWh_Streetlight Data'!X190=0,"",'kWh_Streetlight Data'!X190)</f>
        <v/>
      </c>
      <c r="X88" s="108" t="str">
        <f>IF('kWh_Streetlight Data'!Y190=0,"",'kWh_Streetlight Data'!Y190)</f>
        <v/>
      </c>
      <c r="Y88" s="108" t="str">
        <f>IF('kWh_Streetlight Data'!Z190=0,"",'kWh_Streetlight Data'!Z190)</f>
        <v/>
      </c>
      <c r="Z88" s="108" t="str">
        <f>IF('kWh_Streetlight Data'!AA190=0,"",'kWh_Streetlight Data'!AA190)</f>
        <v/>
      </c>
      <c r="AA88" s="426" t="str">
        <f>IF('kWh_Streetlight Data'!AB190=0,"",'kWh_Streetlight Data'!AB190)</f>
        <v/>
      </c>
      <c r="AB88" s="442" t="str">
        <f>IF('kWh_Streetlight Data'!AC190=0,"",'kWh_Streetlight Data'!AC190)</f>
        <v/>
      </c>
      <c r="AC88" s="443" t="str">
        <f>IF('kWh_Streetlight Data'!AD190=0,"",'kWh_Streetlight Data'!AD190)</f>
        <v/>
      </c>
      <c r="AD88" s="443" t="str">
        <f>IF('kWh_Streetlight Data'!AE190=0,"",'kWh_Streetlight Data'!AE190)</f>
        <v/>
      </c>
      <c r="AE88" s="443" t="str">
        <f>IF('kWh_Streetlight Data'!AF190=0,"",'kWh_Streetlight Data'!AF190)</f>
        <v/>
      </c>
      <c r="AF88" s="443" t="str">
        <f>IF('kWh_Streetlight Data'!AG190=0,"",'kWh_Streetlight Data'!AG190)</f>
        <v/>
      </c>
      <c r="AG88" s="443" t="str">
        <f>IF('kWh_Streetlight Data'!AH190=0,"",'kWh_Streetlight Data'!AH190)</f>
        <v/>
      </c>
      <c r="AH88" s="108" t="str">
        <f>IF('kWh_Streetlight Data'!AI190=0,"",'kWh_Streetlight Data'!AI190)</f>
        <v/>
      </c>
      <c r="AI88" s="108" t="str">
        <f>IF('kWh_Streetlight Data'!AJ190=0,"",'kWh_Streetlight Data'!AJ190)</f>
        <v/>
      </c>
      <c r="AJ88" s="108" t="str">
        <f>IF('kWh_Streetlight Data'!AK190=0,"",'kWh_Streetlight Data'!AK190)</f>
        <v/>
      </c>
      <c r="AK88" s="108" t="str">
        <f>IF('kWh_Streetlight Data'!AL190=0,"",'kWh_Streetlight Data'!AL190)</f>
        <v/>
      </c>
      <c r="AL88" s="108" t="str">
        <f>IF('kWh_Streetlight Data'!AM190=0,"",'kWh_Streetlight Data'!AM190)</f>
        <v/>
      </c>
      <c r="AM88" s="108" t="str">
        <f>IF('kWh_Streetlight Data'!AN190=0,"",'kWh_Streetlight Data'!AN190)</f>
        <v/>
      </c>
      <c r="AN88" s="424" t="str">
        <f>IF('kWh_Streetlight Data'!AO190=0,"",'kWh_Streetlight Data'!AO190)</f>
        <v/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/>
      <c r="AV89" s="126"/>
      <c r="AW89" s="126"/>
      <c r="AX89" s="126"/>
      <c r="AY89" s="126"/>
      <c r="AZ89" s="126"/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Data'!C191=0,"",'kWh_Streetlight Data'!C191)</f>
        <v/>
      </c>
      <c r="C94" s="108" t="str">
        <f>IF('kWh_Streetlight Data'!D191=0,"",'kWh_Streetlight Data'!D191)</f>
        <v/>
      </c>
      <c r="D94" s="108" t="str">
        <f>IF('kWh_Streetlight Data'!E191=0,"",'kWh_Streetlight Data'!E191)</f>
        <v/>
      </c>
      <c r="E94" s="108" t="str">
        <f>IF('kWh_Streetlight Data'!F191=0,"",'kWh_Streetlight Data'!F191)</f>
        <v/>
      </c>
      <c r="F94" s="108" t="str">
        <f>IF('kWh_Streetlight Data'!G191=0,"",'kWh_Streetlight Data'!G191)</f>
        <v/>
      </c>
      <c r="G94" s="108" t="str">
        <f>IF('kWh_Streetlight Data'!H191=0,"",'kWh_Streetlight Data'!H191)</f>
        <v/>
      </c>
      <c r="H94" s="108" t="str">
        <f>IF('kWh_Streetlight Data'!I191=0,"",'kWh_Streetlight Data'!I191)</f>
        <v/>
      </c>
      <c r="I94" s="108" t="str">
        <f>IF('kWh_Streetlight Data'!J191=0,"",'kWh_Streetlight Data'!J191)</f>
        <v/>
      </c>
      <c r="J94" s="108" t="str">
        <f>IF('kWh_Streetlight Data'!K191=0,"",'kWh_Streetlight Data'!K191)</f>
        <v/>
      </c>
      <c r="K94" s="108" t="str">
        <f>IF('kWh_Streetlight Data'!L191=0,"",'kWh_Streetlight Data'!L191)</f>
        <v/>
      </c>
      <c r="L94" s="130" t="str">
        <f>IF('kWh_Streetlight Data'!M191=0,"",'kWh_Streetlight Data'!M191)</f>
        <v/>
      </c>
      <c r="M94" s="130" t="str">
        <f>IF('kWh_Streetlight Data'!N191=0,"",'kWh_Streetlight Data'!N191)</f>
        <v/>
      </c>
      <c r="N94" s="425" t="str">
        <f>IF('kWh_Streetlight Data'!O191=0,"",'kWh_Streetlight Data'!O191)</f>
        <v/>
      </c>
      <c r="O94" s="84" t="str">
        <f>IF('kWh_Streetlight Data'!P191=0,"",'kWh_Streetlight Data'!P191)</f>
        <v/>
      </c>
      <c r="P94" s="108" t="str">
        <f>IF('kWh_Streetlight Data'!Q191=0,"",'kWh_Streetlight Data'!Q191)</f>
        <v/>
      </c>
      <c r="Q94" s="108" t="str">
        <f>IF('kWh_Streetlight Data'!R191=0,"",'kWh_Streetlight Data'!R191)</f>
        <v/>
      </c>
      <c r="R94" s="108" t="str">
        <f>IF('kWh_Streetlight Data'!S191=0,"",'kWh_Streetlight Data'!S191)</f>
        <v/>
      </c>
      <c r="S94" s="108" t="str">
        <f>IF('kWh_Streetlight Data'!T191=0,"",'kWh_Streetlight Data'!T191)</f>
        <v/>
      </c>
      <c r="T94" s="108" t="str">
        <f>IF('kWh_Streetlight Data'!U191=0,"",'kWh_Streetlight Data'!U191)</f>
        <v/>
      </c>
      <c r="U94" s="108" t="str">
        <f>IF('kWh_Streetlight Data'!V191=0,"",'kWh_Streetlight Data'!V191)</f>
        <v/>
      </c>
      <c r="V94" s="108" t="str">
        <f>IF('kWh_Streetlight Data'!W191=0,"",'kWh_Streetlight Data'!W191)</f>
        <v/>
      </c>
      <c r="W94" s="108" t="str">
        <f>IF('kWh_Streetlight Data'!X191=0,"",'kWh_Streetlight Data'!X191)</f>
        <v/>
      </c>
      <c r="X94" s="108" t="str">
        <f>IF('kWh_Streetlight Data'!Y191=0,"",'kWh_Streetlight Data'!Y191)</f>
        <v/>
      </c>
      <c r="Y94" s="108" t="str">
        <f>IF('kWh_Streetlight Data'!Z191=0,"",'kWh_Streetlight Data'!Z191)</f>
        <v/>
      </c>
      <c r="Z94" s="108" t="str">
        <f>IF('kWh_Streetlight Data'!AA191=0,"",'kWh_Streetlight Data'!AA191)</f>
        <v/>
      </c>
      <c r="AA94" s="426" t="str">
        <f>IF('kWh_Streetlight Data'!AB191=0,"",'kWh_Streetlight Data'!AB191)</f>
        <v/>
      </c>
      <c r="AB94" s="84" t="str">
        <f>IF('kWh_Streetlight Data'!AC191=0,"",'kWh_Streetlight Data'!AC191)</f>
        <v/>
      </c>
      <c r="AC94" s="108" t="str">
        <f>IF('kWh_Streetlight Data'!AD191=0,"",'kWh_Streetlight Data'!AD191)</f>
        <v/>
      </c>
      <c r="AD94" s="108" t="str">
        <f>IF('kWh_Streetlight Data'!AE191=0,"",'kWh_Streetlight Data'!AE191)</f>
        <v/>
      </c>
      <c r="AE94" s="108" t="str">
        <f>IF('kWh_Streetlight Data'!AF191=0,"",'kWh_Streetlight Data'!AF191)</f>
        <v/>
      </c>
      <c r="AF94" s="108" t="str">
        <f>IF('kWh_Streetlight Data'!AG191=0,"",'kWh_Streetlight Data'!AG191)</f>
        <v/>
      </c>
      <c r="AG94" s="108" t="str">
        <f>IF('kWh_Streetlight Data'!AH191=0,"",'kWh_Streetlight Data'!AH191)</f>
        <v/>
      </c>
      <c r="AH94" s="108" t="str">
        <f>IF('kWh_Streetlight Data'!AI191=0,"",'kWh_Streetlight Data'!AI191)</f>
        <v/>
      </c>
      <c r="AI94" s="108" t="str">
        <f>IF('kWh_Streetlight Data'!AJ191=0,"",'kWh_Streetlight Data'!AJ191)</f>
        <v/>
      </c>
      <c r="AJ94" s="108" t="str">
        <f>IF('kWh_Streetlight Data'!AK191=0,"",'kWh_Streetlight Data'!AK191)</f>
        <v/>
      </c>
      <c r="AK94" s="108" t="str">
        <f>IF('kWh_Streetlight Data'!AL191=0,"",'kWh_Streetlight Data'!AL191)</f>
        <v/>
      </c>
      <c r="AL94" s="108" t="str">
        <f>IF('kWh_Streetlight Data'!AM191=0,"",'kWh_Streetlight Data'!AM191)</f>
        <v/>
      </c>
      <c r="AM94" s="108" t="str">
        <f>IF('kWh_Streetlight Data'!AN191=0,"",'kWh_Streetlight Data'!AN191)</f>
        <v/>
      </c>
      <c r="AN94" s="424" t="str">
        <f>IF('kWh_Streetlight Data'!AO191=0,"",'kWh_Streetlight Data'!AO191)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AZ98" si="26">AU7+AU22+AU29+AU43</f>
        <v>65</v>
      </c>
      <c r="AV98" s="9">
        <f t="shared" si="26"/>
        <v>65</v>
      </c>
      <c r="AW98" s="9">
        <f t="shared" si="26"/>
        <v>65</v>
      </c>
      <c r="AX98" s="9">
        <f t="shared" si="26"/>
        <v>65</v>
      </c>
      <c r="AY98" s="9">
        <f t="shared" si="26"/>
        <v>65</v>
      </c>
      <c r="AZ98" s="9">
        <f t="shared" si="26"/>
        <v>65</v>
      </c>
      <c r="BA98" s="138">
        <f>AZ98</f>
        <v>65</v>
      </c>
      <c r="BB98" s="9">
        <v>65</v>
      </c>
      <c r="BC98" s="9">
        <v>65</v>
      </c>
      <c r="BD98" s="9">
        <v>65</v>
      </c>
      <c r="BE98" s="9">
        <v>65</v>
      </c>
      <c r="BF98" s="9">
        <f t="shared" ref="BF98:BO98" si="27">BF7+BF22+BF29+BF43</f>
        <v>65</v>
      </c>
      <c r="BG98" s="9">
        <f t="shared" si="27"/>
        <v>65</v>
      </c>
      <c r="BH98" s="9">
        <f t="shared" si="27"/>
        <v>65</v>
      </c>
      <c r="BI98" s="9">
        <f t="shared" si="27"/>
        <v>65</v>
      </c>
      <c r="BJ98" s="9">
        <f t="shared" si="27"/>
        <v>65</v>
      </c>
      <c r="BK98" s="9">
        <f t="shared" si="27"/>
        <v>65</v>
      </c>
      <c r="BL98" s="9">
        <f t="shared" si="27"/>
        <v>65</v>
      </c>
      <c r="BM98" s="9">
        <f t="shared" si="27"/>
        <v>65</v>
      </c>
      <c r="BN98" s="138">
        <f t="shared" si="27"/>
        <v>65</v>
      </c>
      <c r="BO98" s="58">
        <f t="shared" si="27"/>
        <v>65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AZ99" si="28">AU57</f>
        <v>0</v>
      </c>
      <c r="AV99" s="9">
        <f t="shared" si="28"/>
        <v>0</v>
      </c>
      <c r="AW99" s="9">
        <f t="shared" si="28"/>
        <v>0</v>
      </c>
      <c r="AX99" s="9">
        <f t="shared" si="28"/>
        <v>0</v>
      </c>
      <c r="AY99" s="9">
        <f t="shared" si="28"/>
        <v>0</v>
      </c>
      <c r="AZ99" s="9">
        <f t="shared" si="28"/>
        <v>0</v>
      </c>
      <c r="BA99" s="138">
        <f>AZ99</f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29">BF57</f>
        <v>0</v>
      </c>
      <c r="BG99" s="9">
        <f t="shared" si="29"/>
        <v>0</v>
      </c>
      <c r="BH99" s="9">
        <f t="shared" si="29"/>
        <v>0</v>
      </c>
      <c r="BI99" s="9">
        <f t="shared" si="29"/>
        <v>0</v>
      </c>
      <c r="BJ99" s="9">
        <f t="shared" si="29"/>
        <v>0</v>
      </c>
      <c r="BK99" s="9">
        <f t="shared" si="29"/>
        <v>0</v>
      </c>
      <c r="BL99" s="9">
        <f t="shared" si="29"/>
        <v>0</v>
      </c>
      <c r="BM99" s="9">
        <f t="shared" si="29"/>
        <v>0</v>
      </c>
      <c r="BN99" s="138">
        <f t="shared" si="29"/>
        <v>0</v>
      </c>
      <c r="BO99" s="58">
        <f t="shared" si="29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AZ100" si="30">AU65+AU75+AU81+AU86</f>
        <v>0</v>
      </c>
      <c r="AV100" s="9">
        <f t="shared" si="30"/>
        <v>0</v>
      </c>
      <c r="AW100" s="9">
        <f t="shared" si="30"/>
        <v>0</v>
      </c>
      <c r="AX100" s="9">
        <f t="shared" si="30"/>
        <v>0</v>
      </c>
      <c r="AY100" s="9">
        <f t="shared" si="30"/>
        <v>0</v>
      </c>
      <c r="AZ100" s="9">
        <f t="shared" si="30"/>
        <v>0</v>
      </c>
      <c r="BA100" s="138">
        <f>AZ100</f>
        <v>0</v>
      </c>
      <c r="BB100" s="9">
        <v>0</v>
      </c>
      <c r="BC100" s="9"/>
      <c r="BD100" s="9"/>
      <c r="BE100" s="9"/>
      <c r="BF100" s="9"/>
      <c r="BG100" s="9"/>
      <c r="BH100" s="9"/>
      <c r="BI100" s="9"/>
      <c r="BJ100" s="9"/>
      <c r="BK100" s="9">
        <f>BK65+BK75+BK81+BK86</f>
        <v>0</v>
      </c>
      <c r="BL100" s="9">
        <f>BL65+BL75+BL81+BL86</f>
        <v>0</v>
      </c>
      <c r="BM100" s="9">
        <f>BM65+BM75+BM81+BM86</f>
        <v>0</v>
      </c>
      <c r="BN100" s="138">
        <f>BN65+BN75+BN81+BN86</f>
        <v>0</v>
      </c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31">SUM(AU98:AU100)</f>
        <v>65</v>
      </c>
      <c r="AV101" s="73">
        <f t="shared" si="31"/>
        <v>65</v>
      </c>
      <c r="AW101" s="73">
        <f t="shared" si="31"/>
        <v>65</v>
      </c>
      <c r="AX101" s="73">
        <f t="shared" si="31"/>
        <v>65</v>
      </c>
      <c r="AY101" s="73">
        <f t="shared" si="31"/>
        <v>65</v>
      </c>
      <c r="AZ101" s="73">
        <f t="shared" si="31"/>
        <v>65</v>
      </c>
      <c r="BA101" s="249">
        <f t="shared" si="31"/>
        <v>65</v>
      </c>
      <c r="BB101" s="73">
        <v>65</v>
      </c>
      <c r="BC101" s="73">
        <v>65</v>
      </c>
      <c r="BD101" s="73">
        <v>65</v>
      </c>
      <c r="BE101" s="73">
        <v>65</v>
      </c>
      <c r="BF101" s="73">
        <f t="shared" ref="BF101:BO101" si="32">SUM(BF98:BF100)</f>
        <v>65</v>
      </c>
      <c r="BG101" s="73">
        <f t="shared" si="32"/>
        <v>65</v>
      </c>
      <c r="BH101" s="73">
        <f t="shared" si="32"/>
        <v>65</v>
      </c>
      <c r="BI101" s="73">
        <f t="shared" si="32"/>
        <v>65</v>
      </c>
      <c r="BJ101" s="73">
        <f t="shared" si="32"/>
        <v>65</v>
      </c>
      <c r="BK101" s="73">
        <f t="shared" si="32"/>
        <v>65</v>
      </c>
      <c r="BL101" s="73">
        <f t="shared" si="32"/>
        <v>65</v>
      </c>
      <c r="BM101" s="73">
        <f t="shared" si="32"/>
        <v>65</v>
      </c>
      <c r="BN101" s="249">
        <f t="shared" si="32"/>
        <v>65</v>
      </c>
      <c r="BO101" s="268">
        <f t="shared" si="32"/>
        <v>65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337">
        <v>0</v>
      </c>
      <c r="BC102" s="337">
        <v>0</v>
      </c>
      <c r="BD102" s="337">
        <v>0</v>
      </c>
      <c r="BE102" s="337">
        <v>0</v>
      </c>
      <c r="BF102" s="337">
        <f t="shared" ref="BF102:BO102" si="33">BF15+BF36+BF50</f>
        <v>0</v>
      </c>
      <c r="BG102" s="337">
        <f t="shared" si="33"/>
        <v>0</v>
      </c>
      <c r="BH102" s="337">
        <f t="shared" si="33"/>
        <v>0</v>
      </c>
      <c r="BI102" s="337">
        <f t="shared" si="33"/>
        <v>0</v>
      </c>
      <c r="BJ102" s="337">
        <f t="shared" si="33"/>
        <v>0</v>
      </c>
      <c r="BK102" s="337">
        <f t="shared" si="33"/>
        <v>0</v>
      </c>
      <c r="BL102" s="337">
        <f t="shared" si="33"/>
        <v>0</v>
      </c>
      <c r="BM102" s="337">
        <f t="shared" si="33"/>
        <v>0</v>
      </c>
      <c r="BN102" s="138">
        <f t="shared" si="33"/>
        <v>0</v>
      </c>
      <c r="BO102" s="266">
        <f t="shared" si="33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>
        <v>0</v>
      </c>
      <c r="BC103" s="9">
        <v>0</v>
      </c>
      <c r="BD103" s="9">
        <v>0</v>
      </c>
      <c r="BE103" s="9">
        <v>0</v>
      </c>
      <c r="BF103" s="9">
        <f t="shared" ref="BF103:BM103" si="34">BF61</f>
        <v>0</v>
      </c>
      <c r="BG103" s="9">
        <f t="shared" si="34"/>
        <v>0</v>
      </c>
      <c r="BH103" s="9">
        <f t="shared" si="34"/>
        <v>0</v>
      </c>
      <c r="BI103" s="9">
        <f t="shared" si="34"/>
        <v>0</v>
      </c>
      <c r="BJ103" s="9">
        <f t="shared" si="34"/>
        <v>0</v>
      </c>
      <c r="BK103" s="9">
        <f t="shared" si="34"/>
        <v>0</v>
      </c>
      <c r="BL103" s="9">
        <f t="shared" si="34"/>
        <v>0</v>
      </c>
      <c r="BM103" s="9">
        <f t="shared" si="34"/>
        <v>0</v>
      </c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AZ104" si="35">AU92</f>
        <v>0</v>
      </c>
      <c r="AV104" s="9">
        <f t="shared" si="35"/>
        <v>0</v>
      </c>
      <c r="AW104" s="9">
        <f t="shared" si="35"/>
        <v>0</v>
      </c>
      <c r="AX104" s="9">
        <f t="shared" si="35"/>
        <v>0</v>
      </c>
      <c r="AY104" s="9">
        <f t="shared" si="35"/>
        <v>0</v>
      </c>
      <c r="AZ104" s="9">
        <f t="shared" si="35"/>
        <v>0</v>
      </c>
      <c r="BA104" s="138"/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36">BF92</f>
        <v>0</v>
      </c>
      <c r="BG104" s="9">
        <f t="shared" si="36"/>
        <v>0</v>
      </c>
      <c r="BH104" s="9">
        <f t="shared" si="36"/>
        <v>0</v>
      </c>
      <c r="BI104" s="9">
        <f t="shared" si="36"/>
        <v>0</v>
      </c>
      <c r="BJ104" s="9">
        <f t="shared" si="36"/>
        <v>0</v>
      </c>
      <c r="BK104" s="9">
        <f t="shared" si="36"/>
        <v>0</v>
      </c>
      <c r="BL104" s="9">
        <f t="shared" si="36"/>
        <v>0</v>
      </c>
      <c r="BM104" s="9">
        <f t="shared" si="36"/>
        <v>0</v>
      </c>
      <c r="BN104" s="138">
        <f t="shared" si="36"/>
        <v>0</v>
      </c>
      <c r="BO104" s="58">
        <f t="shared" si="36"/>
        <v>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37">SUM(AU102:AU104)</f>
        <v>0</v>
      </c>
      <c r="AV105" s="73">
        <f t="shared" si="37"/>
        <v>0</v>
      </c>
      <c r="AW105" s="73">
        <f t="shared" si="37"/>
        <v>0</v>
      </c>
      <c r="AX105" s="73">
        <f t="shared" si="37"/>
        <v>0</v>
      </c>
      <c r="AY105" s="73">
        <f t="shared" si="37"/>
        <v>0</v>
      </c>
      <c r="AZ105" s="73">
        <f t="shared" si="37"/>
        <v>0</v>
      </c>
      <c r="BA105" s="249">
        <f t="shared" si="37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38">SUM(BF102:BF104)</f>
        <v>0</v>
      </c>
      <c r="BG105" s="73">
        <f t="shared" si="38"/>
        <v>0</v>
      </c>
      <c r="BH105" s="73">
        <f t="shared" si="38"/>
        <v>0</v>
      </c>
      <c r="BI105" s="73">
        <f t="shared" si="38"/>
        <v>0</v>
      </c>
      <c r="BJ105" s="73">
        <f t="shared" si="38"/>
        <v>0</v>
      </c>
      <c r="BK105" s="73">
        <f t="shared" si="38"/>
        <v>0</v>
      </c>
      <c r="BL105" s="73">
        <f t="shared" si="38"/>
        <v>0</v>
      </c>
      <c r="BM105" s="73">
        <f t="shared" si="38"/>
        <v>0</v>
      </c>
      <c r="BN105" s="249">
        <f t="shared" si="38"/>
        <v>0</v>
      </c>
      <c r="BO105" s="268">
        <f t="shared" si="38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39">AU105+AU101</f>
        <v>65</v>
      </c>
      <c r="AV106" s="251">
        <f t="shared" si="39"/>
        <v>65</v>
      </c>
      <c r="AW106" s="251">
        <f t="shared" si="39"/>
        <v>65</v>
      </c>
      <c r="AX106" s="251">
        <f t="shared" si="39"/>
        <v>65</v>
      </c>
      <c r="AY106" s="251">
        <f t="shared" si="39"/>
        <v>65</v>
      </c>
      <c r="AZ106" s="251">
        <f t="shared" si="39"/>
        <v>65</v>
      </c>
      <c r="BA106" s="255">
        <f t="shared" si="39"/>
        <v>65</v>
      </c>
      <c r="BB106" s="251">
        <v>65</v>
      </c>
      <c r="BC106" s="251">
        <v>65</v>
      </c>
      <c r="BD106" s="251">
        <v>65</v>
      </c>
      <c r="BE106" s="251">
        <v>65</v>
      </c>
      <c r="BF106" s="251">
        <f t="shared" si="39"/>
        <v>65</v>
      </c>
      <c r="BG106" s="251">
        <f t="shared" si="39"/>
        <v>65</v>
      </c>
      <c r="BH106" s="251">
        <f t="shared" si="39"/>
        <v>65</v>
      </c>
      <c r="BI106" s="251">
        <f t="shared" si="39"/>
        <v>65</v>
      </c>
      <c r="BJ106" s="251">
        <f t="shared" si="39"/>
        <v>65</v>
      </c>
      <c r="BK106" s="251">
        <f t="shared" si="39"/>
        <v>65</v>
      </c>
      <c r="BL106" s="251">
        <f t="shared" si="39"/>
        <v>65</v>
      </c>
      <c r="BM106" s="251">
        <f t="shared" si="39"/>
        <v>65</v>
      </c>
      <c r="BN106" s="255">
        <f t="shared" si="39"/>
        <v>65</v>
      </c>
      <c r="BO106" s="269">
        <f t="shared" si="39"/>
        <v>65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0">AU11+AU26+AU33+AU47</f>
        <v>41330</v>
      </c>
      <c r="AV108" s="9">
        <f t="shared" si="40"/>
        <v>31041</v>
      </c>
      <c r="AW108" s="9">
        <f t="shared" si="40"/>
        <v>31076</v>
      </c>
      <c r="AX108" s="9">
        <f t="shared" si="40"/>
        <v>44484</v>
      </c>
      <c r="AY108" s="9">
        <f t="shared" si="40"/>
        <v>39209</v>
      </c>
      <c r="AZ108" s="9">
        <f t="shared" si="40"/>
        <v>43603</v>
      </c>
      <c r="BA108" s="138">
        <f t="shared" si="40"/>
        <v>230743</v>
      </c>
      <c r="BB108" s="9">
        <v>72212</v>
      </c>
      <c r="BC108" s="9">
        <v>53737</v>
      </c>
      <c r="BD108" s="9">
        <v>49669</v>
      </c>
      <c r="BE108" s="9">
        <v>54747</v>
      </c>
      <c r="BF108" s="9">
        <f t="shared" ref="BF108:BO108" si="41">BF11+BF26+BF33+BF47</f>
        <v>35498</v>
      </c>
      <c r="BG108" s="9">
        <f t="shared" si="41"/>
        <v>34961</v>
      </c>
      <c r="BH108" s="9">
        <f t="shared" si="41"/>
        <v>41330</v>
      </c>
      <c r="BI108" s="9">
        <f t="shared" si="41"/>
        <v>31041</v>
      </c>
      <c r="BJ108" s="9">
        <f t="shared" si="41"/>
        <v>31076</v>
      </c>
      <c r="BK108" s="9">
        <f t="shared" si="41"/>
        <v>44484</v>
      </c>
      <c r="BL108" s="9">
        <f t="shared" si="41"/>
        <v>39209</v>
      </c>
      <c r="BM108" s="9">
        <f t="shared" si="41"/>
        <v>43603</v>
      </c>
      <c r="BN108" s="138">
        <f t="shared" si="41"/>
        <v>531567</v>
      </c>
      <c r="BO108" s="58">
        <f t="shared" si="41"/>
        <v>531567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42">AU58</f>
        <v>0</v>
      </c>
      <c r="AV109" s="9">
        <f t="shared" si="42"/>
        <v>0</v>
      </c>
      <c r="AW109" s="9">
        <f t="shared" si="42"/>
        <v>0</v>
      </c>
      <c r="AX109" s="9">
        <f t="shared" si="42"/>
        <v>0</v>
      </c>
      <c r="AY109" s="9">
        <f t="shared" si="42"/>
        <v>0</v>
      </c>
      <c r="AZ109" s="9">
        <f t="shared" si="42"/>
        <v>0</v>
      </c>
      <c r="BA109" s="138">
        <f t="shared" si="42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43">BF58</f>
        <v>0</v>
      </c>
      <c r="BG109" s="9">
        <f t="shared" si="43"/>
        <v>0</v>
      </c>
      <c r="BH109" s="9">
        <f t="shared" si="43"/>
        <v>0</v>
      </c>
      <c r="BI109" s="9">
        <f t="shared" si="43"/>
        <v>0</v>
      </c>
      <c r="BJ109" s="9">
        <f t="shared" si="43"/>
        <v>0</v>
      </c>
      <c r="BK109" s="9">
        <f t="shared" si="43"/>
        <v>0</v>
      </c>
      <c r="BL109" s="9">
        <f t="shared" si="43"/>
        <v>0</v>
      </c>
      <c r="BM109" s="9">
        <f t="shared" si="43"/>
        <v>0</v>
      </c>
      <c r="BN109" s="138">
        <f t="shared" si="43"/>
        <v>0</v>
      </c>
      <c r="BO109" s="58">
        <f t="shared" si="43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44">AU68+AU78+AU82+AU87</f>
        <v>0</v>
      </c>
      <c r="AV110" s="9">
        <f t="shared" si="44"/>
        <v>0</v>
      </c>
      <c r="AW110" s="9">
        <f t="shared" si="44"/>
        <v>0</v>
      </c>
      <c r="AX110" s="9">
        <f t="shared" si="44"/>
        <v>0</v>
      </c>
      <c r="AY110" s="9">
        <f t="shared" si="44"/>
        <v>0</v>
      </c>
      <c r="AZ110" s="9">
        <f t="shared" si="44"/>
        <v>0</v>
      </c>
      <c r="BA110" s="138">
        <f t="shared" si="44"/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f t="shared" ref="BF110:BO110" si="45">BF68+BF78+BF82+BF87</f>
        <v>0</v>
      </c>
      <c r="BG110" s="9">
        <f t="shared" si="45"/>
        <v>0</v>
      </c>
      <c r="BH110" s="9">
        <f t="shared" si="45"/>
        <v>0</v>
      </c>
      <c r="BI110" s="9">
        <f t="shared" si="45"/>
        <v>0</v>
      </c>
      <c r="BJ110" s="9">
        <f t="shared" si="45"/>
        <v>0</v>
      </c>
      <c r="BK110" s="9">
        <f t="shared" si="45"/>
        <v>0</v>
      </c>
      <c r="BL110" s="9">
        <f t="shared" si="45"/>
        <v>0</v>
      </c>
      <c r="BM110" s="9">
        <f t="shared" si="45"/>
        <v>0</v>
      </c>
      <c r="BN110" s="138">
        <f t="shared" si="45"/>
        <v>0</v>
      </c>
      <c r="BO110" s="58">
        <f t="shared" si="45"/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O111" si="46">SUM(AU108:AU110)</f>
        <v>41330</v>
      </c>
      <c r="AV111" s="73">
        <f t="shared" si="46"/>
        <v>31041</v>
      </c>
      <c r="AW111" s="73">
        <f t="shared" si="46"/>
        <v>31076</v>
      </c>
      <c r="AX111" s="73">
        <f t="shared" si="46"/>
        <v>44484</v>
      </c>
      <c r="AY111" s="73">
        <f t="shared" si="46"/>
        <v>39209</v>
      </c>
      <c r="AZ111" s="73">
        <f t="shared" si="46"/>
        <v>43603</v>
      </c>
      <c r="BA111" s="249">
        <f t="shared" si="46"/>
        <v>230743</v>
      </c>
      <c r="BB111" s="73">
        <v>72212</v>
      </c>
      <c r="BC111" s="73">
        <v>53737</v>
      </c>
      <c r="BD111" s="73">
        <v>49669</v>
      </c>
      <c r="BE111" s="73">
        <v>54747</v>
      </c>
      <c r="BF111" s="73">
        <f t="shared" si="46"/>
        <v>35498</v>
      </c>
      <c r="BG111" s="73">
        <f t="shared" si="46"/>
        <v>34961</v>
      </c>
      <c r="BH111" s="73">
        <f t="shared" si="46"/>
        <v>41330</v>
      </c>
      <c r="BI111" s="73">
        <f t="shared" si="46"/>
        <v>31041</v>
      </c>
      <c r="BJ111" s="73">
        <f t="shared" si="46"/>
        <v>31076</v>
      </c>
      <c r="BK111" s="73">
        <f t="shared" si="46"/>
        <v>44484</v>
      </c>
      <c r="BL111" s="73">
        <f t="shared" si="46"/>
        <v>39209</v>
      </c>
      <c r="BM111" s="73">
        <f t="shared" si="46"/>
        <v>43603</v>
      </c>
      <c r="BN111" s="249">
        <f t="shared" si="46"/>
        <v>531567</v>
      </c>
      <c r="BO111" s="268">
        <f t="shared" si="46"/>
        <v>531567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>
        <f>BA19+BA40+BA54</f>
        <v>0</v>
      </c>
      <c r="BB112" s="337">
        <v>0</v>
      </c>
      <c r="BC112" s="337">
        <v>0</v>
      </c>
      <c r="BD112" s="337">
        <v>0</v>
      </c>
      <c r="BE112" s="337">
        <v>0</v>
      </c>
      <c r="BF112" s="337">
        <f t="shared" ref="BF112:BO112" si="47">BF19+BF40+BF54</f>
        <v>0</v>
      </c>
      <c r="BG112" s="337">
        <f t="shared" si="47"/>
        <v>0</v>
      </c>
      <c r="BH112" s="337">
        <f t="shared" si="47"/>
        <v>0</v>
      </c>
      <c r="BI112" s="337">
        <f t="shared" si="47"/>
        <v>0</v>
      </c>
      <c r="BJ112" s="337">
        <f t="shared" si="47"/>
        <v>0</v>
      </c>
      <c r="BK112" s="337">
        <f t="shared" si="47"/>
        <v>0</v>
      </c>
      <c r="BL112" s="337">
        <f t="shared" si="47"/>
        <v>0</v>
      </c>
      <c r="BM112" s="337">
        <f t="shared" si="47"/>
        <v>0</v>
      </c>
      <c r="BN112" s="138">
        <f t="shared" si="47"/>
        <v>0</v>
      </c>
      <c r="BO112" s="58">
        <f t="shared" si="47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>
        <v>0</v>
      </c>
      <c r="BC113" s="9">
        <v>0</v>
      </c>
      <c r="BD113" s="9">
        <v>0</v>
      </c>
      <c r="BE113" s="9">
        <v>0</v>
      </c>
      <c r="BF113" s="9">
        <f t="shared" ref="BF113:BM113" si="48">BF62</f>
        <v>0</v>
      </c>
      <c r="BG113" s="9">
        <f t="shared" si="48"/>
        <v>0</v>
      </c>
      <c r="BH113" s="9">
        <f t="shared" si="48"/>
        <v>0</v>
      </c>
      <c r="BI113" s="9">
        <f t="shared" si="48"/>
        <v>0</v>
      </c>
      <c r="BJ113" s="9">
        <f t="shared" si="48"/>
        <v>0</v>
      </c>
      <c r="BK113" s="9">
        <f t="shared" si="48"/>
        <v>0</v>
      </c>
      <c r="BL113" s="9">
        <f t="shared" si="48"/>
        <v>0</v>
      </c>
      <c r="BM113" s="9">
        <f t="shared" si="48"/>
        <v>0</v>
      </c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49">AU93</f>
        <v>0</v>
      </c>
      <c r="AV114" s="9">
        <f t="shared" si="49"/>
        <v>0</v>
      </c>
      <c r="AW114" s="9">
        <f t="shared" si="49"/>
        <v>0</v>
      </c>
      <c r="AX114" s="9">
        <f t="shared" si="49"/>
        <v>0</v>
      </c>
      <c r="AY114" s="9">
        <f t="shared" si="49"/>
        <v>0</v>
      </c>
      <c r="AZ114" s="9">
        <f t="shared" si="49"/>
        <v>0</v>
      </c>
      <c r="BA114" s="138">
        <f t="shared" si="49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50">BF93</f>
        <v>0</v>
      </c>
      <c r="BG114" s="9">
        <f t="shared" si="50"/>
        <v>0</v>
      </c>
      <c r="BH114" s="9">
        <f t="shared" si="50"/>
        <v>0</v>
      </c>
      <c r="BI114" s="9">
        <f t="shared" si="50"/>
        <v>0</v>
      </c>
      <c r="BJ114" s="9">
        <f t="shared" si="50"/>
        <v>0</v>
      </c>
      <c r="BK114" s="9">
        <f t="shared" si="50"/>
        <v>0</v>
      </c>
      <c r="BL114" s="9">
        <f t="shared" si="50"/>
        <v>0</v>
      </c>
      <c r="BM114" s="9">
        <f t="shared" si="50"/>
        <v>0</v>
      </c>
      <c r="BN114" s="138">
        <f t="shared" si="50"/>
        <v>0</v>
      </c>
      <c r="BO114" s="58">
        <f t="shared" si="50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51">SUM(AU112:AU114)</f>
        <v>0</v>
      </c>
      <c r="AV115" s="73">
        <f t="shared" si="51"/>
        <v>0</v>
      </c>
      <c r="AW115" s="73">
        <f t="shared" si="51"/>
        <v>0</v>
      </c>
      <c r="AX115" s="73">
        <f t="shared" si="51"/>
        <v>0</v>
      </c>
      <c r="AY115" s="73">
        <f t="shared" si="51"/>
        <v>0</v>
      </c>
      <c r="AZ115" s="73">
        <f t="shared" si="51"/>
        <v>0</v>
      </c>
      <c r="BA115" s="249">
        <f t="shared" si="51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52">SUM(BF112:BF114)</f>
        <v>0</v>
      </c>
      <c r="BG115" s="73">
        <f t="shared" si="52"/>
        <v>0</v>
      </c>
      <c r="BH115" s="73">
        <f t="shared" si="52"/>
        <v>0</v>
      </c>
      <c r="BI115" s="73">
        <f t="shared" si="52"/>
        <v>0</v>
      </c>
      <c r="BJ115" s="73">
        <f t="shared" si="52"/>
        <v>0</v>
      </c>
      <c r="BK115" s="73">
        <f t="shared" si="52"/>
        <v>0</v>
      </c>
      <c r="BL115" s="73">
        <f t="shared" si="52"/>
        <v>0</v>
      </c>
      <c r="BM115" s="73">
        <f t="shared" si="52"/>
        <v>0</v>
      </c>
      <c r="BN115" s="249">
        <f t="shared" si="52"/>
        <v>0</v>
      </c>
      <c r="BO115" s="268">
        <f t="shared" si="52"/>
        <v>0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53">AU115+AU111</f>
        <v>41330</v>
      </c>
      <c r="AV116" s="251">
        <f t="shared" si="53"/>
        <v>31041</v>
      </c>
      <c r="AW116" s="251">
        <f t="shared" si="53"/>
        <v>31076</v>
      </c>
      <c r="AX116" s="251">
        <f t="shared" si="53"/>
        <v>44484</v>
      </c>
      <c r="AY116" s="251">
        <f t="shared" si="53"/>
        <v>39209</v>
      </c>
      <c r="AZ116" s="251">
        <f t="shared" si="53"/>
        <v>43603</v>
      </c>
      <c r="BA116" s="255">
        <f t="shared" si="53"/>
        <v>230743</v>
      </c>
      <c r="BB116" s="251">
        <v>72212</v>
      </c>
      <c r="BC116" s="251">
        <v>53737</v>
      </c>
      <c r="BD116" s="251">
        <v>49669</v>
      </c>
      <c r="BE116" s="251">
        <v>54747</v>
      </c>
      <c r="BF116" s="251">
        <f t="shared" si="53"/>
        <v>35498</v>
      </c>
      <c r="BG116" s="251">
        <f t="shared" si="53"/>
        <v>34961</v>
      </c>
      <c r="BH116" s="251">
        <f t="shared" si="53"/>
        <v>41330</v>
      </c>
      <c r="BI116" s="251">
        <f t="shared" si="53"/>
        <v>31041</v>
      </c>
      <c r="BJ116" s="251">
        <f t="shared" si="53"/>
        <v>31076</v>
      </c>
      <c r="BK116" s="251">
        <f t="shared" si="53"/>
        <v>44484</v>
      </c>
      <c r="BL116" s="251">
        <f t="shared" si="53"/>
        <v>39209</v>
      </c>
      <c r="BM116" s="251">
        <f t="shared" si="53"/>
        <v>43603</v>
      </c>
      <c r="BN116" s="255">
        <f t="shared" si="53"/>
        <v>531567</v>
      </c>
      <c r="BO116" s="269">
        <f t="shared" si="53"/>
        <v>531567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 t="e">
        <f>#REF!+#REF!+#REF!</f>
        <v>#REF!</v>
      </c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>
        <f>BJ99</f>
        <v>0</v>
      </c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22</v>
      </c>
      <c r="AV119" s="280">
        <f>AU119</f>
        <v>22</v>
      </c>
      <c r="AW119" s="280">
        <f>AV119</f>
        <v>22</v>
      </c>
      <c r="AX119" s="280">
        <f t="shared" ref="AX119:AZ119" si="54">AW119</f>
        <v>22</v>
      </c>
      <c r="AY119" s="280">
        <f t="shared" si="54"/>
        <v>22</v>
      </c>
      <c r="AZ119" s="280">
        <f t="shared" si="54"/>
        <v>22</v>
      </c>
      <c r="BA119" s="259"/>
      <c r="BB119" s="280">
        <v>22</v>
      </c>
      <c r="BC119" s="280">
        <v>22</v>
      </c>
      <c r="BD119" s="280">
        <v>22</v>
      </c>
      <c r="BE119" s="280">
        <v>22</v>
      </c>
      <c r="BF119" s="280">
        <f t="shared" ref="BF119:BM119" si="55">BE119</f>
        <v>22</v>
      </c>
      <c r="BG119" s="280">
        <f t="shared" si="55"/>
        <v>22</v>
      </c>
      <c r="BH119" s="280">
        <f t="shared" si="55"/>
        <v>22</v>
      </c>
      <c r="BI119" s="280">
        <f t="shared" si="55"/>
        <v>22</v>
      </c>
      <c r="BJ119" s="280">
        <f t="shared" si="55"/>
        <v>22</v>
      </c>
      <c r="BK119" s="280">
        <f t="shared" si="55"/>
        <v>22</v>
      </c>
      <c r="BL119" s="280">
        <f t="shared" si="55"/>
        <v>22</v>
      </c>
      <c r="BM119" s="280">
        <f t="shared" si="55"/>
        <v>22</v>
      </c>
      <c r="BN119" s="259"/>
      <c r="BO119" s="343">
        <f>BM119</f>
        <v>22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29066</v>
      </c>
      <c r="AU120" s="107">
        <v>23184</v>
      </c>
      <c r="AV120" s="39">
        <f>ROUND(AW108/30*AV119,0)</f>
        <v>22789</v>
      </c>
      <c r="AW120" s="39">
        <f>ROUND(AX108/30*AW119,0)</f>
        <v>32622</v>
      </c>
      <c r="AX120" s="39">
        <f>ROUND(AY108/30*AX119,0)</f>
        <v>28753</v>
      </c>
      <c r="AY120" s="39">
        <f>ROUND(AZ108/30*AY119,0)</f>
        <v>31976</v>
      </c>
      <c r="AZ120" s="39">
        <f>ROUND(BB108/30*AZ119,0)</f>
        <v>52955</v>
      </c>
      <c r="BA120" s="215"/>
      <c r="BB120" s="346">
        <v>39407</v>
      </c>
      <c r="BC120" s="346">
        <v>36424</v>
      </c>
      <c r="BD120" s="346">
        <v>40148</v>
      </c>
      <c r="BE120" s="346">
        <v>26032</v>
      </c>
      <c r="BF120" s="346">
        <f t="shared" ref="BF120:BL120" si="56">ROUND(BG108/30*BF119,0)</f>
        <v>25638</v>
      </c>
      <c r="BG120" s="346">
        <f t="shared" si="56"/>
        <v>30309</v>
      </c>
      <c r="BH120" s="346">
        <f t="shared" si="56"/>
        <v>22763</v>
      </c>
      <c r="BI120" s="346">
        <f t="shared" si="56"/>
        <v>22789</v>
      </c>
      <c r="BJ120" s="346">
        <f t="shared" si="56"/>
        <v>32622</v>
      </c>
      <c r="BK120" s="346">
        <f t="shared" si="56"/>
        <v>28753</v>
      </c>
      <c r="BL120" s="346">
        <f t="shared" si="56"/>
        <v>31976</v>
      </c>
      <c r="BM120" s="57">
        <f>ROUND(BO108*0.11/30*BM119,0)</f>
        <v>42880</v>
      </c>
      <c r="BN120" s="215"/>
      <c r="BO120" s="141">
        <v>42880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57">ROUND(BG110/30*BF119,0)</f>
        <v>0</v>
      </c>
      <c r="BG121" s="57">
        <f t="shared" si="57"/>
        <v>0</v>
      </c>
      <c r="BH121" s="57">
        <f t="shared" si="57"/>
        <v>0</v>
      </c>
      <c r="BI121" s="57">
        <f t="shared" si="57"/>
        <v>0</v>
      </c>
      <c r="BJ121" s="57">
        <f t="shared" si="57"/>
        <v>0</v>
      </c>
      <c r="BK121" s="57">
        <f t="shared" si="57"/>
        <v>0</v>
      </c>
      <c r="BL121" s="57">
        <f t="shared" si="57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-29066</v>
      </c>
      <c r="AV122" s="57">
        <f t="shared" ref="AV122:AZ123" si="58">-AU120</f>
        <v>-23184</v>
      </c>
      <c r="AW122" s="57">
        <f t="shared" si="58"/>
        <v>-22789</v>
      </c>
      <c r="AX122" s="57">
        <f t="shared" si="58"/>
        <v>-32622</v>
      </c>
      <c r="AY122" s="57">
        <f t="shared" si="58"/>
        <v>-28753</v>
      </c>
      <c r="AZ122" s="57">
        <f t="shared" si="58"/>
        <v>-31976</v>
      </c>
      <c r="BA122" s="215"/>
      <c r="BB122" s="57">
        <v>-52955</v>
      </c>
      <c r="BC122" s="57">
        <v>-39407</v>
      </c>
      <c r="BD122" s="57">
        <v>-36424</v>
      </c>
      <c r="BE122" s="57">
        <v>-40148</v>
      </c>
      <c r="BF122" s="57">
        <f t="shared" ref="BF122:BM123" si="59">-BE120</f>
        <v>-26032</v>
      </c>
      <c r="BG122" s="57">
        <f t="shared" si="59"/>
        <v>-25638</v>
      </c>
      <c r="BH122" s="57">
        <f t="shared" si="59"/>
        <v>-30309</v>
      </c>
      <c r="BI122" s="57">
        <f t="shared" si="59"/>
        <v>-22763</v>
      </c>
      <c r="BJ122" s="57">
        <f t="shared" si="59"/>
        <v>-22789</v>
      </c>
      <c r="BK122" s="57">
        <f t="shared" si="59"/>
        <v>-32622</v>
      </c>
      <c r="BL122" s="57">
        <f t="shared" si="59"/>
        <v>-28753</v>
      </c>
      <c r="BM122" s="57">
        <f t="shared" si="59"/>
        <v>-31976</v>
      </c>
      <c r="BN122" s="215"/>
      <c r="BO122" s="141">
        <f>-BM120</f>
        <v>-42880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58"/>
        <v>0</v>
      </c>
      <c r="AW123" s="57">
        <f t="shared" si="58"/>
        <v>0</v>
      </c>
      <c r="AX123" s="57">
        <f t="shared" si="58"/>
        <v>0</v>
      </c>
      <c r="AY123" s="57">
        <f t="shared" si="58"/>
        <v>0</v>
      </c>
      <c r="AZ123" s="57">
        <f t="shared" si="58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59"/>
        <v>0</v>
      </c>
      <c r="BG123" s="57">
        <f t="shared" si="59"/>
        <v>0</v>
      </c>
      <c r="BH123" s="57">
        <f t="shared" si="59"/>
        <v>0</v>
      </c>
      <c r="BI123" s="57">
        <f t="shared" si="59"/>
        <v>0</v>
      </c>
      <c r="BJ123" s="57">
        <f t="shared" si="59"/>
        <v>0</v>
      </c>
      <c r="BK123" s="57">
        <f t="shared" si="59"/>
        <v>0</v>
      </c>
      <c r="BL123" s="57">
        <f t="shared" si="59"/>
        <v>0</v>
      </c>
      <c r="BM123" s="57">
        <f t="shared" si="59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-5882</v>
      </c>
      <c r="AV124" s="344">
        <f t="shared" ref="AV124:AZ124" si="60">SUM(AV120:AV123)</f>
        <v>-395</v>
      </c>
      <c r="AW124" s="344">
        <f t="shared" si="60"/>
        <v>9833</v>
      </c>
      <c r="AX124" s="344">
        <f t="shared" si="60"/>
        <v>-3869</v>
      </c>
      <c r="AY124" s="344">
        <f t="shared" si="60"/>
        <v>3223</v>
      </c>
      <c r="AZ124" s="344">
        <f t="shared" si="60"/>
        <v>20979</v>
      </c>
      <c r="BA124" s="345"/>
      <c r="BB124" s="344">
        <v>-13548</v>
      </c>
      <c r="BC124" s="344">
        <v>-2983</v>
      </c>
      <c r="BD124" s="344">
        <v>3724</v>
      </c>
      <c r="BE124" s="344">
        <v>-14116</v>
      </c>
      <c r="BF124" s="344">
        <f t="shared" ref="BF124:BO124" si="61">SUM(BF120:BF123)</f>
        <v>-394</v>
      </c>
      <c r="BG124" s="344">
        <f t="shared" si="61"/>
        <v>4671</v>
      </c>
      <c r="BH124" s="344">
        <f t="shared" si="61"/>
        <v>-7546</v>
      </c>
      <c r="BI124" s="344">
        <f t="shared" si="61"/>
        <v>26</v>
      </c>
      <c r="BJ124" s="344">
        <f t="shared" si="61"/>
        <v>9833</v>
      </c>
      <c r="BK124" s="344">
        <f t="shared" si="61"/>
        <v>-3869</v>
      </c>
      <c r="BL124" s="344">
        <f t="shared" si="61"/>
        <v>3223</v>
      </c>
      <c r="BM124" s="344">
        <f t="shared" si="61"/>
        <v>10904</v>
      </c>
      <c r="BN124" s="345"/>
      <c r="BO124" s="272">
        <f t="shared" si="61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62">AU111+AU124</f>
        <v>35448</v>
      </c>
      <c r="AV132" s="66">
        <f t="shared" si="62"/>
        <v>30646</v>
      </c>
      <c r="AW132" s="66">
        <f t="shared" si="62"/>
        <v>40909</v>
      </c>
      <c r="AX132" s="66">
        <f t="shared" si="62"/>
        <v>40615</v>
      </c>
      <c r="AY132" s="66">
        <f t="shared" si="62"/>
        <v>42432</v>
      </c>
      <c r="AZ132" s="66">
        <f t="shared" si="62"/>
        <v>64582</v>
      </c>
      <c r="BA132" s="216">
        <f>SUM(AT132:AZ132)</f>
        <v>254632</v>
      </c>
      <c r="BB132" s="66">
        <v>58664</v>
      </c>
      <c r="BC132" s="66">
        <v>50754</v>
      </c>
      <c r="BD132" s="66">
        <v>53393</v>
      </c>
      <c r="BE132" s="66">
        <v>40631</v>
      </c>
      <c r="BF132" s="66">
        <f t="shared" ref="BF132:BO132" si="63">BF111+BF124</f>
        <v>35104</v>
      </c>
      <c r="BG132" s="66">
        <f t="shared" si="63"/>
        <v>39632</v>
      </c>
      <c r="BH132" s="66">
        <f t="shared" si="63"/>
        <v>33784</v>
      </c>
      <c r="BI132" s="66">
        <f t="shared" si="63"/>
        <v>31067</v>
      </c>
      <c r="BJ132" s="66">
        <f t="shared" si="63"/>
        <v>40909</v>
      </c>
      <c r="BK132" s="66">
        <f t="shared" si="63"/>
        <v>40615</v>
      </c>
      <c r="BL132" s="66">
        <f t="shared" si="63"/>
        <v>42432</v>
      </c>
      <c r="BM132" s="66">
        <f t="shared" si="63"/>
        <v>54507</v>
      </c>
      <c r="BN132" s="216">
        <f t="shared" si="63"/>
        <v>531567</v>
      </c>
      <c r="BO132" s="185">
        <f t="shared" si="63"/>
        <v>531567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B176"/>
  <sheetViews>
    <sheetView zoomScale="80" zoomScaleNormal="80" workbookViewId="0">
      <pane xSplit="1" ySplit="5" topLeftCell="N6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7" width="13.5703125" hidden="1" customWidth="1" outlineLevel="1"/>
    <col min="8" max="8" width="13.140625" hidden="1" customWidth="1" outlineLevel="1"/>
    <col min="9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9.4257812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5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3.85546875" style="3" bestFit="1" customWidth="1" collapsed="1"/>
    <col min="67" max="67" width="15.140625" bestFit="1" customWidth="1"/>
  </cols>
  <sheetData>
    <row r="1" spans="1:78">
      <c r="A1" s="198" t="s">
        <v>0</v>
      </c>
    </row>
    <row r="2" spans="1:78" ht="15" thickBot="1">
      <c r="A2" s="198" t="s">
        <v>204</v>
      </c>
      <c r="AS2" s="37"/>
      <c r="BF2" s="37" t="s">
        <v>205</v>
      </c>
      <c r="BO2" s="134"/>
    </row>
    <row r="3" spans="1:78" ht="15" thickBot="1">
      <c r="A3" s="198" t="s">
        <v>121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78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78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78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78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8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336"/>
      <c r="AO7" s="150"/>
      <c r="AP7" s="87"/>
      <c r="AQ7" s="87"/>
      <c r="AR7" s="87"/>
      <c r="AS7" s="87"/>
      <c r="AT7" s="39"/>
      <c r="AU7" s="109">
        <f>Customers!E108</f>
        <v>104</v>
      </c>
      <c r="AV7" s="109">
        <f>Customers!F108</f>
        <v>104</v>
      </c>
      <c r="AW7" s="109">
        <f>Customers!G108</f>
        <v>107</v>
      </c>
      <c r="AX7" s="109">
        <f>Customers!H108</f>
        <v>107</v>
      </c>
      <c r="AY7" s="109">
        <f>Customers!I108</f>
        <v>107</v>
      </c>
      <c r="AZ7" s="109">
        <f>Customers!J108</f>
        <v>107</v>
      </c>
      <c r="BA7" s="210">
        <f>AZ7</f>
        <v>107</v>
      </c>
      <c r="BB7" s="124">
        <v>113</v>
      </c>
      <c r="BC7" s="38">
        <v>113</v>
      </c>
      <c r="BD7" s="38">
        <v>113</v>
      </c>
      <c r="BE7" s="38">
        <v>113</v>
      </c>
      <c r="BF7" s="38">
        <f t="shared" ref="BF7:BM7" si="0">BE7</f>
        <v>113</v>
      </c>
      <c r="BG7" s="38">
        <f t="shared" si="0"/>
        <v>113</v>
      </c>
      <c r="BH7" s="38">
        <f t="shared" si="0"/>
        <v>113</v>
      </c>
      <c r="BI7" s="38">
        <f t="shared" si="0"/>
        <v>113</v>
      </c>
      <c r="BJ7" s="38">
        <f t="shared" si="0"/>
        <v>113</v>
      </c>
      <c r="BK7" s="38">
        <f t="shared" si="0"/>
        <v>113</v>
      </c>
      <c r="BL7" s="38">
        <f t="shared" si="0"/>
        <v>113</v>
      </c>
      <c r="BM7" s="38">
        <f t="shared" si="0"/>
        <v>113</v>
      </c>
      <c r="BN7" s="210">
        <f>IFERROR(ROUND(AVERAGE(BB7:BM7),0),0)</f>
        <v>113</v>
      </c>
      <c r="BO7" s="55">
        <f>Customers!L108</f>
        <v>119</v>
      </c>
    </row>
    <row r="8" spans="1:78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78341</v>
      </c>
      <c r="AV8" s="38">
        <f>ROUND(AV$11*'kWh Blocks by Rate Category'!D8,0)</f>
        <v>68329</v>
      </c>
      <c r="AW8" s="38">
        <f>ROUND(AW$11*'kWh Blocks by Rate Category'!E8,0)</f>
        <v>71995</v>
      </c>
      <c r="AX8" s="38">
        <f>ROUND(AX$11*'kWh Blocks by Rate Category'!F8,0)</f>
        <v>72643</v>
      </c>
      <c r="AY8" s="38">
        <f>ROUND(AY$11*'kWh Blocks by Rate Category'!G8,0)</f>
        <v>96177</v>
      </c>
      <c r="AZ8" s="38">
        <f>ROUND(AZ$11*'kWh Blocks by Rate Category'!H8,0)</f>
        <v>88062</v>
      </c>
      <c r="BA8" s="210">
        <f>SUM(AO8:AZ8)</f>
        <v>475547</v>
      </c>
      <c r="BB8" s="38">
        <v>124438</v>
      </c>
      <c r="BC8" s="38">
        <v>121282</v>
      </c>
      <c r="BD8" s="38">
        <v>118963</v>
      </c>
      <c r="BE8" s="38">
        <v>106829</v>
      </c>
      <c r="BF8" s="38">
        <f>ROUND(BF$11*'kWh Blocks by Rate Category'!N8,0)</f>
        <v>92810</v>
      </c>
      <c r="BG8" s="38">
        <f>ROUND(BG$11*'kWh Blocks by Rate Category'!O8,0)</f>
        <v>72073</v>
      </c>
      <c r="BH8" s="38">
        <f>ROUND(BH$11*'kWh Blocks by Rate Category'!P8,0)</f>
        <v>85121</v>
      </c>
      <c r="BI8" s="38">
        <f>ROUND(BI$11*'kWh Blocks by Rate Category'!Q8,0)</f>
        <v>74243</v>
      </c>
      <c r="BJ8" s="38">
        <f>ROUND(BJ$11*'kWh Blocks by Rate Category'!R8,0)</f>
        <v>76032</v>
      </c>
      <c r="BK8" s="38">
        <f>ROUND(BK$11*'kWh Blocks by Rate Category'!S8,0)</f>
        <v>76717</v>
      </c>
      <c r="BL8" s="38">
        <f>ROUND(BL$11*'kWh Blocks by Rate Category'!T8,0)</f>
        <v>101570</v>
      </c>
      <c r="BM8" s="38">
        <f>ROUND(BM$11*'kWh Blocks by Rate Category'!U8,0)</f>
        <v>93000</v>
      </c>
      <c r="BN8" s="210">
        <f>SUM(BB8:BM8)</f>
        <v>1143078</v>
      </c>
      <c r="BO8" s="38">
        <f>ROUND(BO$11*'kWh Blocks by Rate Category'!W8,0)</f>
        <v>1203772</v>
      </c>
    </row>
    <row r="9" spans="1:78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41744</v>
      </c>
      <c r="AV9" s="38">
        <f>ROUND(AV$11*'kWh Blocks by Rate Category'!D9,0)</f>
        <v>36409</v>
      </c>
      <c r="AW9" s="38">
        <f>ROUND(AW$11*'kWh Blocks by Rate Category'!E9,0)</f>
        <v>38362</v>
      </c>
      <c r="AX9" s="38">
        <f>ROUND(AX$11*'kWh Blocks by Rate Category'!F9,0)</f>
        <v>38708</v>
      </c>
      <c r="AY9" s="38">
        <f>ROUND(AY$11*'kWh Blocks by Rate Category'!G9,0)</f>
        <v>51248</v>
      </c>
      <c r="AZ9" s="38">
        <f>ROUND(AZ$11*'kWh Blocks by Rate Category'!H9,0)</f>
        <v>46924</v>
      </c>
      <c r="BA9" s="210">
        <f>SUM(AO9:AZ9)</f>
        <v>253395</v>
      </c>
      <c r="BB9" s="38">
        <v>66307</v>
      </c>
      <c r="BC9" s="38">
        <v>64625</v>
      </c>
      <c r="BD9" s="38">
        <v>63390</v>
      </c>
      <c r="BE9" s="38">
        <v>56924</v>
      </c>
      <c r="BF9" s="38">
        <f>ROUND(BF$11*'kWh Blocks by Rate Category'!N9,0)</f>
        <v>49454</v>
      </c>
      <c r="BG9" s="38">
        <f>ROUND(BG$11*'kWh Blocks by Rate Category'!O9,0)</f>
        <v>38404</v>
      </c>
      <c r="BH9" s="38">
        <f>ROUND(BH$11*'kWh Blocks by Rate Category'!P9,0)</f>
        <v>45357</v>
      </c>
      <c r="BI9" s="38">
        <f>ROUND(BI$11*'kWh Blocks by Rate Category'!Q9,0)</f>
        <v>39560</v>
      </c>
      <c r="BJ9" s="38">
        <f>ROUND(BJ$11*'kWh Blocks by Rate Category'!R9,0)</f>
        <v>40513</v>
      </c>
      <c r="BK9" s="38">
        <f>ROUND(BK$11*'kWh Blocks by Rate Category'!S9,0)</f>
        <v>40879</v>
      </c>
      <c r="BL9" s="38">
        <f>ROUND(BL$11*'kWh Blocks by Rate Category'!T9,0)</f>
        <v>54121</v>
      </c>
      <c r="BM9" s="38">
        <f>ROUND(BM$11*'kWh Blocks by Rate Category'!U9,0)</f>
        <v>49555</v>
      </c>
      <c r="BN9" s="210">
        <f>SUM(BB9:BM9)</f>
        <v>609089</v>
      </c>
      <c r="BO9" s="38">
        <f>ROUND(BO$11*'kWh Blocks by Rate Category'!W9,0)</f>
        <v>641429</v>
      </c>
    </row>
    <row r="10" spans="1:78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7960</v>
      </c>
      <c r="AV10" s="38">
        <f>ROUND(AV$11*'kWh Blocks by Rate Category'!D10,0)</f>
        <v>6942</v>
      </c>
      <c r="AW10" s="38">
        <f>ROUND(AW$11*'kWh Blocks by Rate Category'!E10,0)</f>
        <v>7315</v>
      </c>
      <c r="AX10" s="38">
        <f>ROUND(AX$11*'kWh Blocks by Rate Category'!F10,0)</f>
        <v>7381</v>
      </c>
      <c r="AY10" s="38">
        <f>ROUND(AY$11*'kWh Blocks by Rate Category'!G10,0)</f>
        <v>9772</v>
      </c>
      <c r="AZ10" s="38">
        <f>ROUND(AZ$11*'kWh Blocks by Rate Category'!H10,0)</f>
        <v>8947</v>
      </c>
      <c r="BA10" s="210">
        <f>SUM(AO10:AZ10)</f>
        <v>48317</v>
      </c>
      <c r="BB10" s="38">
        <v>12643</v>
      </c>
      <c r="BC10" s="38">
        <v>12323</v>
      </c>
      <c r="BD10" s="38">
        <v>12087</v>
      </c>
      <c r="BE10" s="38">
        <v>10854</v>
      </c>
      <c r="BF10" s="38">
        <f>ROUND(BF$11*'kWh Blocks by Rate Category'!N10,0)</f>
        <v>9430</v>
      </c>
      <c r="BG10" s="38">
        <f>ROUND(BG$11*'kWh Blocks by Rate Category'!O10,0)</f>
        <v>7323</v>
      </c>
      <c r="BH10" s="38">
        <f>ROUND(BH$11*'kWh Blocks by Rate Category'!P10,0)</f>
        <v>8648</v>
      </c>
      <c r="BI10" s="38">
        <f>ROUND(BI$11*'kWh Blocks by Rate Category'!Q10,0)</f>
        <v>7543</v>
      </c>
      <c r="BJ10" s="38">
        <f>ROUND(BJ$11*'kWh Blocks by Rate Category'!R10,0)</f>
        <v>7725</v>
      </c>
      <c r="BK10" s="38">
        <f>ROUND(BK$11*'kWh Blocks by Rate Category'!S10,0)</f>
        <v>7795</v>
      </c>
      <c r="BL10" s="38">
        <f>ROUND(BL$11*'kWh Blocks by Rate Category'!T10,0)</f>
        <v>10320</v>
      </c>
      <c r="BM10" s="38">
        <f>ROUND(BM$11*'kWh Blocks by Rate Category'!U10,0)</f>
        <v>9449</v>
      </c>
      <c r="BN10" s="210">
        <f>SUM(BB10:BM10)</f>
        <v>116140</v>
      </c>
      <c r="BO10" s="38">
        <f>ROUND(BO$11*'kWh Blocks by Rate Category'!W10,0)</f>
        <v>122306</v>
      </c>
    </row>
    <row r="11" spans="1:78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128045</v>
      </c>
      <c r="AV11" s="64">
        <f t="shared" si="1"/>
        <v>111681</v>
      </c>
      <c r="AW11" s="64">
        <f t="shared" si="1"/>
        <v>117672</v>
      </c>
      <c r="AX11" s="64">
        <f t="shared" si="1"/>
        <v>118732</v>
      </c>
      <c r="AY11" s="64">
        <f t="shared" si="1"/>
        <v>157196</v>
      </c>
      <c r="AZ11" s="64">
        <f t="shared" si="1"/>
        <v>143933</v>
      </c>
      <c r="BA11" s="196">
        <f>SUM(AO11:AZ11)</f>
        <v>777259</v>
      </c>
      <c r="BB11" s="64">
        <v>203388</v>
      </c>
      <c r="BC11" s="64">
        <v>198229</v>
      </c>
      <c r="BD11" s="64">
        <v>194440</v>
      </c>
      <c r="BE11" s="64">
        <v>174607</v>
      </c>
      <c r="BF11" s="64">
        <f t="shared" ref="BF11:BM11" si="2">IFERROR(ROUND(BF12*BF7,0),0)</f>
        <v>151694</v>
      </c>
      <c r="BG11" s="64">
        <f t="shared" si="2"/>
        <v>117800</v>
      </c>
      <c r="BH11" s="64">
        <f t="shared" si="2"/>
        <v>139126</v>
      </c>
      <c r="BI11" s="64">
        <f t="shared" si="2"/>
        <v>121346</v>
      </c>
      <c r="BJ11" s="64">
        <f t="shared" si="2"/>
        <v>124270</v>
      </c>
      <c r="BK11" s="64">
        <f t="shared" si="2"/>
        <v>125390</v>
      </c>
      <c r="BL11" s="64">
        <f t="shared" si="2"/>
        <v>166011</v>
      </c>
      <c r="BM11" s="64">
        <f t="shared" si="2"/>
        <v>152004</v>
      </c>
      <c r="BN11" s="196">
        <f>SUM(BB11:BM11)</f>
        <v>1868305</v>
      </c>
      <c r="BO11" s="147">
        <f>ROUND(BO7*BO12,0)</f>
        <v>1967507</v>
      </c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</row>
    <row r="12" spans="1:78" ht="15" thickTop="1">
      <c r="A12" s="374" t="s">
        <v>54</v>
      </c>
      <c r="B12" s="84">
        <f>IF('kWh_Streetlight Data'!C62=0,"",'kWh_Streetlight Data'!C62)</f>
        <v>1717.7380952380952</v>
      </c>
      <c r="C12" s="108">
        <f>IF('kWh_Streetlight Data'!D62=0,"",'kWh_Streetlight Data'!D62)</f>
        <v>1950.9587628865979</v>
      </c>
      <c r="D12" s="108">
        <f>IF('kWh_Streetlight Data'!E62=0,"",'kWh_Streetlight Data'!E62)</f>
        <v>1364.4555555555555</v>
      </c>
      <c r="E12" s="108">
        <f>IF('kWh_Streetlight Data'!F62=0,"",'kWh_Streetlight Data'!F62)</f>
        <v>1757.5</v>
      </c>
      <c r="F12" s="108">
        <f>IF('kWh_Streetlight Data'!G62=0,"",'kWh_Streetlight Data'!G62)</f>
        <v>1338.2127659574469</v>
      </c>
      <c r="G12" s="108">
        <f>IF('kWh_Streetlight Data'!H62=0,"",'kWh_Streetlight Data'!H62)</f>
        <v>1134.3978494623657</v>
      </c>
      <c r="H12" s="108">
        <f>IF('kWh_Streetlight Data'!I62=0,"",'kWh_Streetlight Data'!I62)</f>
        <v>1225.0217391304348</v>
      </c>
      <c r="I12" s="108">
        <f>IF('kWh_Streetlight Data'!J62=0,"",'kWh_Streetlight Data'!J62)</f>
        <v>1121.1630434782608</v>
      </c>
      <c r="J12" s="108">
        <f>IF('kWh_Streetlight Data'!K62=0,"",'kWh_Streetlight Data'!K62)</f>
        <v>1143.8556701030927</v>
      </c>
      <c r="K12" s="108">
        <f>IF('kWh_Streetlight Data'!L62=0,"",'kWh_Streetlight Data'!L62)</f>
        <v>939.25</v>
      </c>
      <c r="L12" s="108">
        <f>IF('kWh_Streetlight Data'!M62=0,"",'kWh_Streetlight Data'!M62)</f>
        <v>1449.0108695652175</v>
      </c>
      <c r="M12" s="108">
        <f>IF('kWh_Streetlight Data'!N62=0,"",'kWh_Streetlight Data'!N62)</f>
        <v>1343.5591397849462</v>
      </c>
      <c r="N12" s="424">
        <f>IF('kWh_Streetlight Data'!O62=0,"",'kWh_Streetlight Data'!O62)</f>
        <v>1365.5654867256637</v>
      </c>
      <c r="O12" s="84">
        <f>IF('kWh_Streetlight Data'!P62=0,"",'kWh_Streetlight Data'!P62)</f>
        <v>1859.3478260869565</v>
      </c>
      <c r="P12" s="108">
        <f>IF('kWh_Streetlight Data'!Q62=0,"",'kWh_Streetlight Data'!Q62)</f>
        <v>1496.0978260869565</v>
      </c>
      <c r="Q12" s="108">
        <f>IF('kWh_Streetlight Data'!R62=0,"",'kWh_Streetlight Data'!R62)</f>
        <v>2199.6521739130435</v>
      </c>
      <c r="R12" s="108">
        <f>IF('kWh_Streetlight Data'!S62=0,"",'kWh_Streetlight Data'!S62)</f>
        <v>1375.1521739130435</v>
      </c>
      <c r="S12" s="108">
        <f>IF('kWh_Streetlight Data'!T62=0,"",'kWh_Streetlight Data'!T62)</f>
        <v>1430.8695652173913</v>
      </c>
      <c r="T12" s="108">
        <f>IF('kWh_Streetlight Data'!U62=0,"",'kWh_Streetlight Data'!U62)</f>
        <v>1211.445652173913</v>
      </c>
      <c r="U12" s="108">
        <f>IF('kWh_Streetlight Data'!V62=0,"",'kWh_Streetlight Data'!V62)</f>
        <v>1320.7065217391305</v>
      </c>
      <c r="V12" s="108">
        <f>IF('kWh_Streetlight Data'!W62=0,"",'kWh_Streetlight Data'!W62)</f>
        <v>1058.8617021276596</v>
      </c>
      <c r="W12" s="108">
        <f>IF('kWh_Streetlight Data'!X62=0,"",'kWh_Streetlight Data'!X62)</f>
        <v>945.12631578947367</v>
      </c>
      <c r="X12" s="108">
        <f>IF('kWh_Streetlight Data'!Y62=0,"",'kWh_Streetlight Data'!Y62)</f>
        <v>1359.0306122448981</v>
      </c>
      <c r="Y12" s="108">
        <f>IF('kWh_Streetlight Data'!Z62=0,"",'kWh_Streetlight Data'!Z62)</f>
        <v>1518.1789473684209</v>
      </c>
      <c r="Z12" s="108">
        <f>IF('kWh_Streetlight Data'!AA62=0,"",'kWh_Streetlight Data'!AA62)</f>
        <v>1260.2857142857142</v>
      </c>
      <c r="AA12" s="424">
        <f>IF('kWh_Streetlight Data'!AB62=0,"",'kWh_Streetlight Data'!AB62)</f>
        <v>1416.7446619217083</v>
      </c>
      <c r="AB12" s="129">
        <f>IF('kWh_Streetlight Data'!AC62=0,"",'kWh_Streetlight Data'!AC62)</f>
        <v>1822.5957446808511</v>
      </c>
      <c r="AC12" s="130">
        <f>IF('kWh_Streetlight Data'!AD62=0,"",'kWh_Streetlight Data'!AD62)</f>
        <v>1815.6595744680851</v>
      </c>
      <c r="AD12" s="130">
        <f>IF('kWh_Streetlight Data'!AE62=0,"",'kWh_Streetlight Data'!AE62)</f>
        <v>1598.0198019801981</v>
      </c>
      <c r="AE12" s="130">
        <f>IF('kWh_Streetlight Data'!AF62=0,"",'kWh_Streetlight Data'!AF62)</f>
        <v>1502.9405940594058</v>
      </c>
      <c r="AF12" s="130">
        <f>IF('kWh_Streetlight Data'!AG62=0,"",'kWh_Streetlight Data'!AG62)</f>
        <v>1258.1944444444443</v>
      </c>
      <c r="AG12" s="130">
        <f>IF('kWh_Streetlight Data'!AH62=0,"",'kWh_Streetlight Data'!AH62)</f>
        <v>781.59504132231405</v>
      </c>
      <c r="AH12" s="130">
        <f>IF('kWh_Streetlight Data'!AI62=0,"",'kWh_Streetlight Data'!AI62)</f>
        <v>1147.878787878788</v>
      </c>
      <c r="AI12" s="130">
        <f>IF('kWh_Streetlight Data'!AJ62=0,"",'kWh_Streetlight Data'!AJ62)</f>
        <v>1041.5454545454545</v>
      </c>
      <c r="AJ12" s="130">
        <f>IF('kWh_Streetlight Data'!AK62=0,"",'kWh_Streetlight Data'!AK62)</f>
        <v>1210.2190476190476</v>
      </c>
      <c r="AK12" s="130">
        <f>IF('kWh_Streetlight Data'!AL62=0,"",'kWh_Streetlight Data'!AL62)</f>
        <v>1030.6603773584907</v>
      </c>
      <c r="AL12" s="130">
        <f>IF('kWh_Streetlight Data'!AM62=0,"",'kWh_Streetlight Data'!AM62)</f>
        <v>1440.1826923076924</v>
      </c>
      <c r="AM12" s="130">
        <f>IF('kWh_Streetlight Data'!AN62=0,"",'kWh_Streetlight Data'!AN62)</f>
        <v>1431.6538461538462</v>
      </c>
      <c r="AN12" s="426">
        <f>IF('kWh_Streetlight Data'!AO62=0,"",'kWh_Streetlight Data'!AO62)</f>
        <v>1324.7556634304208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1231.2023495827843</v>
      </c>
      <c r="AV12" s="9">
        <f t="shared" si="3"/>
        <v>1073.8567333837916</v>
      </c>
      <c r="AW12" s="9">
        <f t="shared" si="3"/>
        <v>1099.7336778372046</v>
      </c>
      <c r="AX12" s="9">
        <f t="shared" si="3"/>
        <v>1109.6469965344629</v>
      </c>
      <c r="AY12" s="9">
        <f t="shared" si="3"/>
        <v>1469.1241697471105</v>
      </c>
      <c r="AZ12" s="9">
        <f t="shared" si="3"/>
        <v>1345.1662334081689</v>
      </c>
      <c r="BA12" s="211"/>
      <c r="BB12" s="17">
        <v>1799.8938886686344</v>
      </c>
      <c r="BC12" s="17">
        <v>1754.2387211472133</v>
      </c>
      <c r="BD12" s="17">
        <v>1720.7091771495991</v>
      </c>
      <c r="BE12" s="17">
        <v>1545.1975893241497</v>
      </c>
      <c r="BF12" s="17">
        <f t="shared" ref="BF12:BM12" si="4">IFERROR(AVERAGE(F12,S12,AF12),0)</f>
        <v>1342.4255918730942</v>
      </c>
      <c r="BG12" s="17">
        <f t="shared" si="4"/>
        <v>1042.4795143195308</v>
      </c>
      <c r="BH12" s="17">
        <f t="shared" si="4"/>
        <v>1231.2023495827843</v>
      </c>
      <c r="BI12" s="17">
        <f t="shared" si="4"/>
        <v>1073.8567333837916</v>
      </c>
      <c r="BJ12" s="17">
        <f t="shared" si="4"/>
        <v>1099.7336778372048</v>
      </c>
      <c r="BK12" s="17">
        <f t="shared" si="4"/>
        <v>1109.6469965344629</v>
      </c>
      <c r="BL12" s="17">
        <f t="shared" si="4"/>
        <v>1469.1241697471103</v>
      </c>
      <c r="BM12" s="17">
        <f t="shared" si="4"/>
        <v>1345.1662334081689</v>
      </c>
      <c r="BN12" s="211">
        <f>IFERROR(BN11/SUM(BB7:BM7)*12,0)</f>
        <v>16533.672566371679</v>
      </c>
      <c r="BO12" s="20">
        <f>BN12</f>
        <v>16533.672566371679</v>
      </c>
    </row>
    <row r="13" spans="1:78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78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78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78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78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78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78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</row>
    <row r="20" spans="1:78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78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8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8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8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8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8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8" ht="15" thickTop="1">
      <c r="A27" s="374" t="s">
        <v>54</v>
      </c>
      <c r="B27" s="84" t="str">
        <f>IF('kWh_Streetlight Data'!C63=0,"",'kWh_Streetlight Data'!C63)</f>
        <v/>
      </c>
      <c r="C27" s="108" t="str">
        <f>IF('kWh_Streetlight Data'!D63=0,"",'kWh_Streetlight Data'!D63)</f>
        <v/>
      </c>
      <c r="D27" s="108" t="str">
        <f>IF('kWh_Streetlight Data'!E63=0,"",'kWh_Streetlight Data'!E63)</f>
        <v/>
      </c>
      <c r="E27" s="108" t="str">
        <f>IF('kWh_Streetlight Data'!F63=0,"",'kWh_Streetlight Data'!F63)</f>
        <v/>
      </c>
      <c r="F27" s="108" t="str">
        <f>IF('kWh_Streetlight Data'!G63=0,"",'kWh_Streetlight Data'!G63)</f>
        <v/>
      </c>
      <c r="G27" s="108" t="str">
        <f>IF('kWh_Streetlight Data'!H63=0,"",'kWh_Streetlight Data'!H63)</f>
        <v/>
      </c>
      <c r="H27" s="108" t="str">
        <f>IF('kWh_Streetlight Data'!I63=0,"",'kWh_Streetlight Data'!I63)</f>
        <v/>
      </c>
      <c r="I27" s="108" t="str">
        <f>IF('kWh_Streetlight Data'!J63=0,"",'kWh_Streetlight Data'!J63)</f>
        <v/>
      </c>
      <c r="J27" s="108" t="str">
        <f>IF('kWh_Streetlight Data'!K63=0,"",'kWh_Streetlight Data'!K63)</f>
        <v/>
      </c>
      <c r="K27" s="108" t="str">
        <f>IF('kWh_Streetlight Data'!L63=0,"",'kWh_Streetlight Data'!L63)</f>
        <v/>
      </c>
      <c r="L27" s="108" t="str">
        <f>IF('kWh_Streetlight Data'!M63=0,"",'kWh_Streetlight Data'!M63)</f>
        <v/>
      </c>
      <c r="M27" s="108" t="str">
        <f>IF('kWh_Streetlight Data'!N63=0,"",'kWh_Streetlight Data'!N63)</f>
        <v/>
      </c>
      <c r="N27" s="424" t="str">
        <f>IF('kWh_Streetlight Data'!O63=0,"",'kWh_Streetlight Data'!O63)</f>
        <v/>
      </c>
      <c r="O27" s="84" t="str">
        <f>IF('kWh_Streetlight Data'!P63=0,"",'kWh_Streetlight Data'!P63)</f>
        <v/>
      </c>
      <c r="P27" s="108" t="str">
        <f>IF('kWh_Streetlight Data'!Q63=0,"",'kWh_Streetlight Data'!Q63)</f>
        <v/>
      </c>
      <c r="Q27" s="108" t="str">
        <f>IF('kWh_Streetlight Data'!R63=0,"",'kWh_Streetlight Data'!R63)</f>
        <v/>
      </c>
      <c r="R27" s="108" t="str">
        <f>IF('kWh_Streetlight Data'!S63=0,"",'kWh_Streetlight Data'!S63)</f>
        <v/>
      </c>
      <c r="S27" s="108" t="str">
        <f>IF('kWh_Streetlight Data'!T63=0,"",'kWh_Streetlight Data'!T63)</f>
        <v/>
      </c>
      <c r="T27" s="108" t="str">
        <f>IF('kWh_Streetlight Data'!U63=0,"",'kWh_Streetlight Data'!U63)</f>
        <v/>
      </c>
      <c r="U27" s="108" t="str">
        <f>IF('kWh_Streetlight Data'!V63=0,"",'kWh_Streetlight Data'!V63)</f>
        <v/>
      </c>
      <c r="V27" s="108" t="str">
        <f>IF('kWh_Streetlight Data'!W63=0,"",'kWh_Streetlight Data'!W63)</f>
        <v/>
      </c>
      <c r="W27" s="108" t="str">
        <f>IF('kWh_Streetlight Data'!X63=0,"",'kWh_Streetlight Data'!X63)</f>
        <v/>
      </c>
      <c r="X27" s="108" t="str">
        <f>IF('kWh_Streetlight Data'!Y63=0,"",'kWh_Streetlight Data'!Y63)</f>
        <v/>
      </c>
      <c r="Y27" s="108" t="str">
        <f>IF('kWh_Streetlight Data'!Z63=0,"",'kWh_Streetlight Data'!Z63)</f>
        <v/>
      </c>
      <c r="Z27" s="108" t="str">
        <f>IF('kWh_Streetlight Data'!AA63=0,"",'kWh_Streetlight Data'!AA63)</f>
        <v/>
      </c>
      <c r="AA27" s="424" t="str">
        <f>IF('kWh_Streetlight Data'!AB63=0,"",'kWh_Streetlight Data'!AB63)</f>
        <v/>
      </c>
      <c r="AB27" s="129" t="str">
        <f>IF('kWh_Streetlight Data'!AC63=0,"",'kWh_Streetlight Data'!AC63)</f>
        <v/>
      </c>
      <c r="AC27" s="130" t="str">
        <f>IF('kWh_Streetlight Data'!AD63=0,"",'kWh_Streetlight Data'!AD63)</f>
        <v/>
      </c>
      <c r="AD27" s="130" t="str">
        <f>IF('kWh_Streetlight Data'!AE63=0,"",'kWh_Streetlight Data'!AE63)</f>
        <v/>
      </c>
      <c r="AE27" s="130" t="str">
        <f>IF('kWh_Streetlight Data'!AF63=0,"",'kWh_Streetlight Data'!AF63)</f>
        <v/>
      </c>
      <c r="AF27" s="130" t="str">
        <f>IF('kWh_Streetlight Data'!AG63=0,"",'kWh_Streetlight Data'!AG63)</f>
        <v/>
      </c>
      <c r="AG27" s="130" t="str">
        <f>IF('kWh_Streetlight Data'!AH63=0,"",'kWh_Streetlight Data'!AH63)</f>
        <v/>
      </c>
      <c r="AH27" s="108" t="str">
        <f>IF('kWh_Streetlight Data'!AI63=0,"",'kWh_Streetlight Data'!AI63)</f>
        <v/>
      </c>
      <c r="AI27" s="108" t="str">
        <f>IF('kWh_Streetlight Data'!AJ63=0,"",'kWh_Streetlight Data'!AJ63)</f>
        <v/>
      </c>
      <c r="AJ27" s="108" t="str">
        <f>IF('kWh_Streetlight Data'!AK63=0,"",'kWh_Streetlight Data'!AK63)</f>
        <v/>
      </c>
      <c r="AK27" s="108" t="str">
        <f>IF('kWh_Streetlight Data'!AL63=0,"",'kWh_Streetlight Data'!AL63)</f>
        <v/>
      </c>
      <c r="AL27" s="108" t="str">
        <f>IF('kWh_Streetlight Data'!AM63=0,"",'kWh_Streetlight Data'!AM63)</f>
        <v/>
      </c>
      <c r="AM27" s="108" t="str">
        <f>IF('kWh_Streetlight Data'!AN63=0,"",'kWh_Streetlight Data'!AN63)</f>
        <v/>
      </c>
      <c r="AN27" s="426" t="str">
        <f>IF('kWh_Streetlight Data'!AO63=0,"",'kWh_Streetlight Data'!AO63)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8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8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Customers!E110</f>
        <v>21</v>
      </c>
      <c r="AV29" s="109">
        <f>Customers!F110</f>
        <v>21</v>
      </c>
      <c r="AW29" s="109">
        <f>Customers!G110</f>
        <v>21</v>
      </c>
      <c r="AX29" s="109">
        <f>Customers!H110</f>
        <v>21</v>
      </c>
      <c r="AY29" s="109">
        <f>Customers!I110</f>
        <v>21</v>
      </c>
      <c r="AZ29" s="109">
        <f>Customers!J110</f>
        <v>21</v>
      </c>
      <c r="BA29" s="210">
        <f>AZ29</f>
        <v>21</v>
      </c>
      <c r="BB29" s="124">
        <v>21</v>
      </c>
      <c r="BC29" s="38">
        <v>21</v>
      </c>
      <c r="BD29" s="38">
        <v>21</v>
      </c>
      <c r="BE29" s="38">
        <v>21</v>
      </c>
      <c r="BF29" s="38">
        <f t="shared" ref="BF29:BM29" si="5">BE29</f>
        <v>21</v>
      </c>
      <c r="BG29" s="38">
        <f t="shared" si="5"/>
        <v>21</v>
      </c>
      <c r="BH29" s="38">
        <f t="shared" si="5"/>
        <v>21</v>
      </c>
      <c r="BI29" s="38">
        <f t="shared" si="5"/>
        <v>21</v>
      </c>
      <c r="BJ29" s="38">
        <f t="shared" si="5"/>
        <v>21</v>
      </c>
      <c r="BK29" s="38">
        <f t="shared" si="5"/>
        <v>21</v>
      </c>
      <c r="BL29" s="38">
        <f t="shared" si="5"/>
        <v>21</v>
      </c>
      <c r="BM29" s="38">
        <f t="shared" si="5"/>
        <v>21</v>
      </c>
      <c r="BN29" s="210">
        <f>IFERROR(ROUND(AVERAGE(BB29:BM29),0),0)</f>
        <v>21</v>
      </c>
      <c r="BO29" s="90">
        <f>BN29</f>
        <v>21</v>
      </c>
    </row>
    <row r="30" spans="1:78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8">
        <f>ROUND(AU$33*'kWh Blocks by Rate Category'!C29,0)</f>
        <v>30987</v>
      </c>
      <c r="AV30" s="38">
        <f>ROUND(AV$33*'kWh Blocks by Rate Category'!D29,0)</f>
        <v>27091</v>
      </c>
      <c r="AW30" s="38">
        <f>ROUND(AW$33*'kWh Blocks by Rate Category'!E29,0)</f>
        <v>28227</v>
      </c>
      <c r="AX30" s="38">
        <f>ROUND(AX$33*'kWh Blocks by Rate Category'!F29,0)</f>
        <v>29064</v>
      </c>
      <c r="AY30" s="38">
        <f>ROUND(AY$33*'kWh Blocks by Rate Category'!G29,0)</f>
        <v>37719</v>
      </c>
      <c r="AZ30" s="38">
        <f>ROUND(AZ$33*'kWh Blocks by Rate Category'!H29,0)</f>
        <v>30637</v>
      </c>
      <c r="BA30" s="210">
        <f>SUM(AO30:AZ30)</f>
        <v>183725</v>
      </c>
      <c r="BB30" s="38">
        <v>44269</v>
      </c>
      <c r="BC30" s="38">
        <v>47658</v>
      </c>
      <c r="BD30" s="38">
        <v>45481</v>
      </c>
      <c r="BE30" s="38">
        <v>37949</v>
      </c>
      <c r="BF30" s="38">
        <f>ROUND(BF$33*'kWh Blocks by Rate Category'!N29,0)</f>
        <v>32722</v>
      </c>
      <c r="BG30" s="38">
        <f>ROUND(BG$33*'kWh Blocks by Rate Category'!O29,0)</f>
        <v>27974</v>
      </c>
      <c r="BH30" s="38">
        <f>ROUND(BH$33*'kWh Blocks by Rate Category'!P29,0)</f>
        <v>30987</v>
      </c>
      <c r="BI30" s="38">
        <f>ROUND(BI$33*'kWh Blocks by Rate Category'!Q29,0)</f>
        <v>27091</v>
      </c>
      <c r="BJ30" s="38">
        <f>ROUND(BJ$33*'kWh Blocks by Rate Category'!R29,0)</f>
        <v>28227</v>
      </c>
      <c r="BK30" s="38">
        <f>ROUND(BK$33*'kWh Blocks by Rate Category'!S29,0)</f>
        <v>29064</v>
      </c>
      <c r="BL30" s="38">
        <f>ROUND(BL$33*'kWh Blocks by Rate Category'!T29,0)</f>
        <v>37719</v>
      </c>
      <c r="BM30" s="38">
        <f>ROUND(BM$33*'kWh Blocks by Rate Category'!U29,0)</f>
        <v>30637</v>
      </c>
      <c r="BN30" s="210">
        <f>SUM(BB30:BM30)</f>
        <v>419778</v>
      </c>
      <c r="BO30" s="38">
        <f>ROUND(BO$33*'kWh Blocks by Rate Category'!W29,0)</f>
        <v>419778</v>
      </c>
    </row>
    <row r="31" spans="1:78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8">
        <f>ROUND(AU$33*'kWh Blocks by Rate Category'!C30,0)</f>
        <v>2950</v>
      </c>
      <c r="AV31" s="38">
        <f>ROUND(AV$33*'kWh Blocks by Rate Category'!D30,0)</f>
        <v>2580</v>
      </c>
      <c r="AW31" s="38">
        <f>ROUND(AW$33*'kWh Blocks by Rate Category'!E30,0)</f>
        <v>2688</v>
      </c>
      <c r="AX31" s="38">
        <f>ROUND(AX$33*'kWh Blocks by Rate Category'!F30,0)</f>
        <v>2767</v>
      </c>
      <c r="AY31" s="38">
        <f>ROUND(AY$33*'kWh Blocks by Rate Category'!G30,0)</f>
        <v>3592</v>
      </c>
      <c r="AZ31" s="38">
        <f>ROUND(AZ$33*'kWh Blocks by Rate Category'!H30,0)</f>
        <v>2917</v>
      </c>
      <c r="BA31" s="210">
        <f>SUM(AO31:AZ31)</f>
        <v>17494</v>
      </c>
      <c r="BB31" s="38">
        <v>4215</v>
      </c>
      <c r="BC31" s="38">
        <v>4538</v>
      </c>
      <c r="BD31" s="38">
        <v>4331</v>
      </c>
      <c r="BE31" s="38">
        <v>3613</v>
      </c>
      <c r="BF31" s="38">
        <f>ROUND(BF$33*'kWh Blocks by Rate Category'!N30,0)</f>
        <v>3116</v>
      </c>
      <c r="BG31" s="38">
        <f>ROUND(BG$33*'kWh Blocks by Rate Category'!O30,0)</f>
        <v>2664</v>
      </c>
      <c r="BH31" s="38">
        <f>ROUND(BH$33*'kWh Blocks by Rate Category'!P30,0)</f>
        <v>2950</v>
      </c>
      <c r="BI31" s="38">
        <f>ROUND(BI$33*'kWh Blocks by Rate Category'!Q30,0)</f>
        <v>2580</v>
      </c>
      <c r="BJ31" s="38">
        <f>ROUND(BJ$33*'kWh Blocks by Rate Category'!R30,0)</f>
        <v>2688</v>
      </c>
      <c r="BK31" s="38">
        <f>ROUND(BK$33*'kWh Blocks by Rate Category'!S30,0)</f>
        <v>2767</v>
      </c>
      <c r="BL31" s="38">
        <f>ROUND(BL$33*'kWh Blocks by Rate Category'!T30,0)</f>
        <v>3592</v>
      </c>
      <c r="BM31" s="38">
        <f>ROUND(BM$33*'kWh Blocks by Rate Category'!U30,0)</f>
        <v>2917</v>
      </c>
      <c r="BN31" s="210">
        <f>SUM(BB31:BM31)</f>
        <v>39971</v>
      </c>
      <c r="BO31" s="38">
        <f>ROUND(BO$33*'kWh Blocks by Rate Category'!W30,0)</f>
        <v>39971</v>
      </c>
    </row>
    <row r="32" spans="1:78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8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33937</v>
      </c>
      <c r="AV33" s="64">
        <f t="shared" si="6"/>
        <v>29671</v>
      </c>
      <c r="AW33" s="64">
        <f t="shared" si="6"/>
        <v>30915</v>
      </c>
      <c r="AX33" s="64">
        <f t="shared" si="6"/>
        <v>31831</v>
      </c>
      <c r="AY33" s="64">
        <f t="shared" si="6"/>
        <v>41311</v>
      </c>
      <c r="AZ33" s="64">
        <f t="shared" si="6"/>
        <v>33554</v>
      </c>
      <c r="BA33" s="196">
        <f>SUM(AO33:AZ33)</f>
        <v>201219</v>
      </c>
      <c r="BB33" s="64">
        <v>48484</v>
      </c>
      <c r="BC33" s="64">
        <v>52196</v>
      </c>
      <c r="BD33" s="64">
        <v>49812</v>
      </c>
      <c r="BE33" s="64">
        <v>41562</v>
      </c>
      <c r="BF33" s="64">
        <f t="shared" ref="BF33:BM33" si="7">IFERROR(ROUND(BF34*BF29,0),0)</f>
        <v>35838</v>
      </c>
      <c r="BG33" s="64">
        <f t="shared" si="7"/>
        <v>30638</v>
      </c>
      <c r="BH33" s="64">
        <f t="shared" si="7"/>
        <v>33937</v>
      </c>
      <c r="BI33" s="64">
        <f t="shared" si="7"/>
        <v>29671</v>
      </c>
      <c r="BJ33" s="64">
        <f t="shared" si="7"/>
        <v>30915</v>
      </c>
      <c r="BK33" s="64">
        <f t="shared" si="7"/>
        <v>31831</v>
      </c>
      <c r="BL33" s="64">
        <f t="shared" si="7"/>
        <v>41311</v>
      </c>
      <c r="BM33" s="64">
        <f t="shared" si="7"/>
        <v>33554</v>
      </c>
      <c r="BN33" s="196">
        <f>SUM(BB33:BM33)</f>
        <v>459749</v>
      </c>
      <c r="BO33" s="147">
        <f>ROUND(BO29*BO34,0)</f>
        <v>459749</v>
      </c>
    </row>
    <row r="34" spans="1:78" ht="15.75" customHeight="1" thickTop="1">
      <c r="A34" s="374" t="s">
        <v>54</v>
      </c>
      <c r="B34" s="84">
        <f>IF('kWh_Streetlight Data'!C64=0,"",'kWh_Streetlight Data'!C64)</f>
        <v>2138.5714285714284</v>
      </c>
      <c r="C34" s="108">
        <f>IF('kWh_Streetlight Data'!D64=0,"",'kWh_Streetlight Data'!D64)</f>
        <v>3136</v>
      </c>
      <c r="D34" s="108">
        <f>IF('kWh_Streetlight Data'!E64=0,"",'kWh_Streetlight Data'!E64)</f>
        <v>1902.1904761904761</v>
      </c>
      <c r="E34" s="108">
        <f>IF('kWh_Streetlight Data'!F64=0,"",'kWh_Streetlight Data'!F64)</f>
        <v>2166.5714285714284</v>
      </c>
      <c r="F34" s="108">
        <f>IF('kWh_Streetlight Data'!G64=0,"",'kWh_Streetlight Data'!G64)</f>
        <v>1715.047619047619</v>
      </c>
      <c r="G34" s="108">
        <f>IF('kWh_Streetlight Data'!H64=0,"",'kWh_Streetlight Data'!H64)</f>
        <v>1534.047619047619</v>
      </c>
      <c r="H34" s="108">
        <f>IF('kWh_Streetlight Data'!I64=0,"",'kWh_Streetlight Data'!I64)</f>
        <v>1724</v>
      </c>
      <c r="I34" s="108">
        <f>IF('kWh_Streetlight Data'!J64=0,"",'kWh_Streetlight Data'!J64)</f>
        <v>1583.8095238095239</v>
      </c>
      <c r="J34" s="108">
        <f>IF('kWh_Streetlight Data'!K64=0,"",'kWh_Streetlight Data'!K64)</f>
        <v>1751.4</v>
      </c>
      <c r="K34" s="108">
        <f>IF('kWh_Streetlight Data'!L64=0,"",'kWh_Streetlight Data'!L64)</f>
        <v>1555.4761904761904</v>
      </c>
      <c r="L34" s="108">
        <f>IF('kWh_Streetlight Data'!M64=0,"",'kWh_Streetlight Data'!M64)</f>
        <v>1972.7619047619048</v>
      </c>
      <c r="M34" s="108">
        <f>IF('kWh_Streetlight Data'!N64=0,"",'kWh_Streetlight Data'!N64)</f>
        <v>1767.7619047619048</v>
      </c>
      <c r="N34" s="424">
        <f>IF('kWh_Streetlight Data'!O64=0,"",'kWh_Streetlight Data'!O64)</f>
        <v>1913.7</v>
      </c>
      <c r="O34" s="84">
        <f>IF('kWh_Streetlight Data'!P64=0,"",'kWh_Streetlight Data'!P64)</f>
        <v>2391.0476190476193</v>
      </c>
      <c r="P34" s="108">
        <f>IF('kWh_Streetlight Data'!Q64=0,"",'kWh_Streetlight Data'!Q64)</f>
        <v>2018.4285714285713</v>
      </c>
      <c r="Q34" s="108">
        <f>IF('kWh_Streetlight Data'!R64=0,"",'kWh_Streetlight Data'!R64)</f>
        <v>2974.9523809523807</v>
      </c>
      <c r="R34" s="108">
        <f>IF('kWh_Streetlight Data'!S64=0,"",'kWh_Streetlight Data'!S64)</f>
        <v>1729.3636363636363</v>
      </c>
      <c r="S34" s="108">
        <f>IF('kWh_Streetlight Data'!T64=0,"",'kWh_Streetlight Data'!T64)</f>
        <v>1903.8095238095239</v>
      </c>
      <c r="T34" s="108">
        <f>IF('kWh_Streetlight Data'!U64=0,"",'kWh_Streetlight Data'!U64)</f>
        <v>1474.1904761904761</v>
      </c>
      <c r="U34" s="108">
        <f>IF('kWh_Streetlight Data'!V64=0,"",'kWh_Streetlight Data'!V64)</f>
        <v>1692.6190476190477</v>
      </c>
      <c r="V34" s="108">
        <f>IF('kWh_Streetlight Data'!W64=0,"",'kWh_Streetlight Data'!W64)</f>
        <v>1303.0952380952381</v>
      </c>
      <c r="W34" s="108">
        <f>IF('kWh_Streetlight Data'!X64=0,"",'kWh_Streetlight Data'!X64)</f>
        <v>1343.3333333333333</v>
      </c>
      <c r="X34" s="108">
        <f>IF('kWh_Streetlight Data'!Y64=0,"",'kWh_Streetlight Data'!Y64)</f>
        <v>1813.4285714285713</v>
      </c>
      <c r="Y34" s="108">
        <f>IF('kWh_Streetlight Data'!Z64=0,"",'kWh_Streetlight Data'!Z64)</f>
        <v>2071.0952380952381</v>
      </c>
      <c r="Z34" s="108">
        <f>IF('kWh_Streetlight Data'!AA64=0,"",'kWh_Streetlight Data'!AA64)</f>
        <v>1138.6538461538462</v>
      </c>
      <c r="AA34" s="424">
        <f>IF('kWh_Streetlight Data'!AB64=0,"",'kWh_Streetlight Data'!AB64)</f>
        <v>1807.5852713178294</v>
      </c>
      <c r="AB34" s="129">
        <f>IF('kWh_Streetlight Data'!AC64=0,"",'kWh_Streetlight Data'!AC64)</f>
        <v>2396.6666666666665</v>
      </c>
      <c r="AC34" s="130">
        <f>IF('kWh_Streetlight Data'!AD64=0,"",'kWh_Streetlight Data'!AD64)</f>
        <v>2302.1428571428573</v>
      </c>
      <c r="AD34" s="130">
        <f>IF('kWh_Streetlight Data'!AE64=0,"",'kWh_Streetlight Data'!AE64)</f>
        <v>2238.8571428571427</v>
      </c>
      <c r="AE34" s="130">
        <f>IF('kWh_Streetlight Data'!AF64=0,"",'kWh_Streetlight Data'!AF64)</f>
        <v>2041.5238095238096</v>
      </c>
      <c r="AF34" s="130">
        <f>IF('kWh_Streetlight Data'!AG64=0,"",'kWh_Streetlight Data'!AG64)</f>
        <v>1500.88</v>
      </c>
      <c r="AG34" s="130">
        <f>IF('kWh_Streetlight Data'!AH64=0,"",'kWh_Streetlight Data'!AH64)</f>
        <v>1368.5714285714287</v>
      </c>
      <c r="AH34" s="130">
        <f>IF('kWh_Streetlight Data'!AI64=0,"",'kWh_Streetlight Data'!AI64)</f>
        <v>1431.5238095238096</v>
      </c>
      <c r="AI34" s="130">
        <f>IF('kWh_Streetlight Data'!AJ64=0,"",'kWh_Streetlight Data'!AJ64)</f>
        <v>1351.75</v>
      </c>
      <c r="AJ34" s="130">
        <f>IF('kWh_Streetlight Data'!AK64=0,"",'kWh_Streetlight Data'!AK64)</f>
        <v>1321.64</v>
      </c>
      <c r="AK34" s="130">
        <f>IF('kWh_Streetlight Data'!AL64=0,"",'kWh_Streetlight Data'!AL64)</f>
        <v>1178.409090909091</v>
      </c>
      <c r="AL34" s="130">
        <f>IF('kWh_Streetlight Data'!AM64=0,"",'kWh_Streetlight Data'!AM64)</f>
        <v>1857.7142857142858</v>
      </c>
      <c r="AM34" s="130">
        <f>IF('kWh_Streetlight Data'!AN64=0,"",'kWh_Streetlight Data'!AN64)</f>
        <v>1887.047619047619</v>
      </c>
      <c r="AN34" s="426">
        <f>IF('kWh_Streetlight Data'!AO64=0,"",'kWh_Streetlight Data'!AO64)</f>
        <v>1728.9538461538461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1616.047619047619</v>
      </c>
      <c r="AV34" s="9">
        <f t="shared" si="8"/>
        <v>1412.8849206349205</v>
      </c>
      <c r="AW34" s="9">
        <f t="shared" si="8"/>
        <v>1472.1244444444444</v>
      </c>
      <c r="AX34" s="9">
        <f t="shared" si="8"/>
        <v>1515.7712842712845</v>
      </c>
      <c r="AY34" s="9">
        <f t="shared" si="8"/>
        <v>1967.1904761904761</v>
      </c>
      <c r="AZ34" s="9">
        <f t="shared" si="8"/>
        <v>1597.8211233211232</v>
      </c>
      <c r="BA34" s="211"/>
      <c r="BB34" s="9">
        <v>2308.7619047619046</v>
      </c>
      <c r="BC34" s="17">
        <v>2485.5238095238096</v>
      </c>
      <c r="BD34" s="17">
        <v>2372</v>
      </c>
      <c r="BE34" s="17">
        <v>1979.1529581529583</v>
      </c>
      <c r="BF34" s="17">
        <f t="shared" ref="BF34" si="9">IFERROR(AVERAGE(F34,S34,AF34),0)</f>
        <v>1706.5790476190477</v>
      </c>
      <c r="BG34" s="17">
        <f t="shared" ref="BG34" si="10">IFERROR(AVERAGE(G34,T34,AG34),0)</f>
        <v>1458.936507936508</v>
      </c>
      <c r="BH34" s="17">
        <f t="shared" ref="BH34" si="11">IFERROR(AVERAGE(H34,U34,AH34),0)</f>
        <v>1616.047619047619</v>
      </c>
      <c r="BI34" s="17">
        <f t="shared" ref="BI34" si="12">IFERROR(AVERAGE(I34,V34,AI34),0)</f>
        <v>1412.8849206349205</v>
      </c>
      <c r="BJ34" s="17">
        <f t="shared" ref="BJ34" si="13">IFERROR(AVERAGE(J34,W34,AJ34),0)</f>
        <v>1472.1244444444446</v>
      </c>
      <c r="BK34" s="17">
        <f t="shared" ref="BK34" si="14">IFERROR(AVERAGE(K34,X34,AK34),0)</f>
        <v>1515.7712842712842</v>
      </c>
      <c r="BL34" s="17">
        <f t="shared" ref="BL34" si="15">IFERROR(AVERAGE(L34,Y34,AL34),0)</f>
        <v>1967.1904761904764</v>
      </c>
      <c r="BM34" s="9">
        <f t="shared" ref="BM34" si="16">IFERROR(AVERAGE(M34,Z34,AM34),0)</f>
        <v>1597.8211233211234</v>
      </c>
      <c r="BN34" s="211">
        <f>IFERROR(BN33/SUM(BB29:BM29)*12,0)</f>
        <v>21892.809523809527</v>
      </c>
      <c r="BO34" s="20">
        <f>BN34</f>
        <v>21892.809523809527</v>
      </c>
    </row>
    <row r="35" spans="1:78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78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78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78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78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78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</row>
    <row r="41" spans="1:78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78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8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9"/>
      <c r="AU43" s="124"/>
      <c r="AV43" s="124"/>
      <c r="AW43" s="124"/>
      <c r="AX43" s="124"/>
      <c r="AY43" s="124"/>
      <c r="AZ43" s="124"/>
      <c r="BA43" s="210"/>
      <c r="BB43" s="124">
        <v>0</v>
      </c>
      <c r="BC43" s="38">
        <v>0</v>
      </c>
      <c r="BD43" s="38">
        <v>0</v>
      </c>
      <c r="BE43" s="38">
        <v>0</v>
      </c>
      <c r="BF43" s="38">
        <f t="shared" ref="BF43:BM43" si="17">BE43</f>
        <v>0</v>
      </c>
      <c r="BG43" s="38">
        <f t="shared" si="17"/>
        <v>0</v>
      </c>
      <c r="BH43" s="38">
        <f t="shared" si="17"/>
        <v>0</v>
      </c>
      <c r="BI43" s="38">
        <f t="shared" si="17"/>
        <v>0</v>
      </c>
      <c r="BJ43" s="38">
        <f t="shared" si="17"/>
        <v>0</v>
      </c>
      <c r="BK43" s="38">
        <f t="shared" si="17"/>
        <v>0</v>
      </c>
      <c r="BL43" s="38">
        <f t="shared" si="17"/>
        <v>0</v>
      </c>
      <c r="BM43" s="38">
        <f t="shared" si="17"/>
        <v>0</v>
      </c>
      <c r="BN43" s="210">
        <f>IFERROR(ROUND(AVERAGE(BB43:BM43),0),0)</f>
        <v>0</v>
      </c>
      <c r="BO43" s="90">
        <f>Customers!L111</f>
        <v>0</v>
      </c>
    </row>
    <row r="44" spans="1:78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8"/>
      <c r="AV44" s="38"/>
      <c r="AW44" s="38"/>
      <c r="AX44" s="38"/>
      <c r="AY44" s="38"/>
      <c r="AZ44" s="38"/>
      <c r="BA44" s="210"/>
      <c r="BB44" s="38">
        <v>0</v>
      </c>
      <c r="BC44" s="38">
        <v>0</v>
      </c>
      <c r="BD44" s="38">
        <v>0</v>
      </c>
      <c r="BE44" s="38">
        <v>0</v>
      </c>
      <c r="BF44" s="38">
        <f>ROUND(BF$47*'kWh Blocks by Rate Category'!N43,0)</f>
        <v>0</v>
      </c>
      <c r="BG44" s="38">
        <f>ROUND(BG$47*'kWh Blocks by Rate Category'!O43,0)</f>
        <v>0</v>
      </c>
      <c r="BH44" s="38">
        <f>ROUND(BH$47*'kWh Blocks by Rate Category'!P43,0)</f>
        <v>0</v>
      </c>
      <c r="BI44" s="38">
        <f>ROUND(BI$47*'kWh Blocks by Rate Category'!Q43,0)</f>
        <v>0</v>
      </c>
      <c r="BJ44" s="38">
        <f>ROUND(BJ$47*'kWh Blocks by Rate Category'!R43,0)</f>
        <v>0</v>
      </c>
      <c r="BK44" s="38">
        <f>ROUND(BK$47*'kWh Blocks by Rate Category'!S43,0)</f>
        <v>0</v>
      </c>
      <c r="BL44" s="38">
        <f>ROUND(BL$47*'kWh Blocks by Rate Category'!T43,0)</f>
        <v>0</v>
      </c>
      <c r="BM44" s="38">
        <f>ROUND(BM$47*'kWh Blocks by Rate Category'!U43,0)</f>
        <v>0</v>
      </c>
      <c r="BN44" s="210">
        <f>SUM(BB44:BM44)</f>
        <v>0</v>
      </c>
      <c r="BO44" s="38">
        <f>ROUND(BO$47*'kWh Blocks by Rate Category'!W43,0)</f>
        <v>0</v>
      </c>
    </row>
    <row r="45" spans="1:78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/>
      <c r="BB45" s="38">
        <v>0</v>
      </c>
      <c r="BC45" s="38">
        <v>0</v>
      </c>
      <c r="BD45" s="38">
        <v>0</v>
      </c>
      <c r="BE45" s="38">
        <v>0</v>
      </c>
      <c r="BF45" s="38">
        <f>ROUND(BF$47*'kWh Blocks by Rate Category'!N44,0)</f>
        <v>0</v>
      </c>
      <c r="BG45" s="38">
        <f>ROUND(BG$47*'kWh Blocks by Rate Category'!O44,0)</f>
        <v>0</v>
      </c>
      <c r="BH45" s="38">
        <f>ROUND(BH$47*'kWh Blocks by Rate Category'!P44,0)</f>
        <v>0</v>
      </c>
      <c r="BI45" s="38">
        <f>ROUND(BI$47*'kWh Blocks by Rate Category'!Q44,0)</f>
        <v>0</v>
      </c>
      <c r="BJ45" s="38">
        <f>ROUND(BJ$47*'kWh Blocks by Rate Category'!R44,0)</f>
        <v>0</v>
      </c>
      <c r="BK45" s="38">
        <f>ROUND(BK$47*'kWh Blocks by Rate Category'!S44,0)</f>
        <v>0</v>
      </c>
      <c r="BL45" s="38">
        <f>ROUND(BL$47*'kWh Blocks by Rate Category'!T44,0)</f>
        <v>0</v>
      </c>
      <c r="BM45" s="38">
        <f>ROUND(BM$47*'kWh Blocks by Rate Category'!U44,0)</f>
        <v>0</v>
      </c>
      <c r="BN45" s="210">
        <f>SUM(BB45:BM45)</f>
        <v>0</v>
      </c>
      <c r="BO45" s="38">
        <f>ROUND(BO$47*'kWh Blocks by Rate Category'!W44,0)</f>
        <v>0</v>
      </c>
    </row>
    <row r="46" spans="1:78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/>
      <c r="BB46" s="38">
        <v>0</v>
      </c>
      <c r="BC46" s="38">
        <v>0</v>
      </c>
      <c r="BD46" s="38">
        <v>0</v>
      </c>
      <c r="BE46" s="38">
        <v>0</v>
      </c>
      <c r="BF46" s="38">
        <f>ROUND(BF$47*'kWh Blocks by Rate Category'!N45,0)</f>
        <v>0</v>
      </c>
      <c r="BG46" s="38">
        <f>ROUND(BG$47*'kWh Blocks by Rate Category'!O45,0)</f>
        <v>0</v>
      </c>
      <c r="BH46" s="38">
        <f>ROUND(BH$47*'kWh Blocks by Rate Category'!P45,0)</f>
        <v>0</v>
      </c>
      <c r="BI46" s="38">
        <f>ROUND(BI$47*'kWh Blocks by Rate Category'!Q45,0)</f>
        <v>0</v>
      </c>
      <c r="BJ46" s="38">
        <f>ROUND(BJ$47*'kWh Blocks by Rate Category'!R45,0)</f>
        <v>0</v>
      </c>
      <c r="BK46" s="38">
        <f>ROUND(BK$47*'kWh Blocks by Rate Category'!S45,0)</f>
        <v>0</v>
      </c>
      <c r="BL46" s="38">
        <f>ROUND(BL$47*'kWh Blocks by Rate Category'!T45,0)</f>
        <v>0</v>
      </c>
      <c r="BM46" s="38">
        <f>ROUND(BM$47*'kWh Blocks by Rate Category'!U45,0)</f>
        <v>0</v>
      </c>
      <c r="BN46" s="210">
        <f>SUM(BB46:BM46)</f>
        <v>0</v>
      </c>
      <c r="BO46" s="38">
        <f>ROUND(BO$47*'kWh Blocks by Rate Category'!W45,0)</f>
        <v>0</v>
      </c>
    </row>
    <row r="47" spans="1:78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>
        <v>0</v>
      </c>
      <c r="BC47" s="64">
        <v>0</v>
      </c>
      <c r="BD47" s="64">
        <v>0</v>
      </c>
      <c r="BE47" s="64">
        <v>0</v>
      </c>
      <c r="BF47" s="64">
        <f t="shared" ref="BF47:BM47" si="18">IFERROR(ROUND(BF48*BF43,0),0)</f>
        <v>0</v>
      </c>
      <c r="BG47" s="64">
        <f t="shared" si="18"/>
        <v>0</v>
      </c>
      <c r="BH47" s="64">
        <f t="shared" si="18"/>
        <v>0</v>
      </c>
      <c r="BI47" s="64">
        <f t="shared" si="18"/>
        <v>0</v>
      </c>
      <c r="BJ47" s="64">
        <f t="shared" si="18"/>
        <v>0</v>
      </c>
      <c r="BK47" s="64">
        <f t="shared" si="18"/>
        <v>0</v>
      </c>
      <c r="BL47" s="64">
        <f t="shared" si="18"/>
        <v>0</v>
      </c>
      <c r="BM47" s="64">
        <f t="shared" si="18"/>
        <v>0</v>
      </c>
      <c r="BN47" s="196">
        <f>SUM(BB47:BM47)</f>
        <v>0</v>
      </c>
      <c r="BO47" s="333">
        <f>ROUND(BO43*BO48,0)</f>
        <v>0</v>
      </c>
    </row>
    <row r="48" spans="1:78" ht="15.75" customHeight="1" thickTop="1">
      <c r="A48" s="374" t="s">
        <v>54</v>
      </c>
      <c r="B48" s="129" t="str">
        <f>IF('kWh_Streetlight Data'!C65=0,"",'kWh_Streetlight Data'!C65)</f>
        <v/>
      </c>
      <c r="C48" s="130" t="str">
        <f>IF('kWh_Streetlight Data'!D65=0,"",'kWh_Streetlight Data'!D65)</f>
        <v/>
      </c>
      <c r="D48" s="130" t="str">
        <f>IF('kWh_Streetlight Data'!E65=0,"",'kWh_Streetlight Data'!E65)</f>
        <v/>
      </c>
      <c r="E48" s="130" t="str">
        <f>IF('kWh_Streetlight Data'!F65=0,"",'kWh_Streetlight Data'!F65)</f>
        <v/>
      </c>
      <c r="F48" s="130" t="str">
        <f>IF('kWh_Streetlight Data'!G65=0,"",'kWh_Streetlight Data'!G65)</f>
        <v/>
      </c>
      <c r="G48" s="130" t="str">
        <f>IF('kWh_Streetlight Data'!H65=0,"",'kWh_Streetlight Data'!H65)</f>
        <v/>
      </c>
      <c r="H48" s="130" t="str">
        <f>IF('kWh_Streetlight Data'!I65=0,"",'kWh_Streetlight Data'!I65)</f>
        <v/>
      </c>
      <c r="I48" s="130" t="str">
        <f>IF('kWh_Streetlight Data'!J65=0,"",'kWh_Streetlight Data'!J65)</f>
        <v/>
      </c>
      <c r="J48" s="130" t="str">
        <f>IF('kWh_Streetlight Data'!K65=0,"",'kWh_Streetlight Data'!K65)</f>
        <v/>
      </c>
      <c r="K48" s="130" t="str">
        <f>IF('kWh_Streetlight Data'!L65=0,"",'kWh_Streetlight Data'!L65)</f>
        <v/>
      </c>
      <c r="L48" s="130" t="str">
        <f>IF('kWh_Streetlight Data'!M65=0,"",'kWh_Streetlight Data'!M65)</f>
        <v/>
      </c>
      <c r="M48" s="130" t="str">
        <f>IF('kWh_Streetlight Data'!N65=0,"",'kWh_Streetlight Data'!N65)</f>
        <v/>
      </c>
      <c r="N48" s="424" t="str">
        <f>IF('kWh_Streetlight Data'!O65=0,"",'kWh_Streetlight Data'!O65)</f>
        <v/>
      </c>
      <c r="O48" s="129" t="str">
        <f>IF('kWh_Streetlight Data'!P65=0,"",'kWh_Streetlight Data'!P65)</f>
        <v/>
      </c>
      <c r="P48" s="130" t="str">
        <f>IF('kWh_Streetlight Data'!Q65=0,"",'kWh_Streetlight Data'!Q65)</f>
        <v/>
      </c>
      <c r="Q48" s="130" t="str">
        <f>IF('kWh_Streetlight Data'!R65=0,"",'kWh_Streetlight Data'!R65)</f>
        <v/>
      </c>
      <c r="R48" s="130" t="str">
        <f>IF('kWh_Streetlight Data'!S65=0,"",'kWh_Streetlight Data'!S65)</f>
        <v/>
      </c>
      <c r="S48" s="130" t="str">
        <f>IF('kWh_Streetlight Data'!T65=0,"",'kWh_Streetlight Data'!T65)</f>
        <v/>
      </c>
      <c r="T48" s="130" t="str">
        <f>IF('kWh_Streetlight Data'!U65=0,"",'kWh_Streetlight Data'!U65)</f>
        <v/>
      </c>
      <c r="U48" s="130" t="str">
        <f>IF('kWh_Streetlight Data'!V65=0,"",'kWh_Streetlight Data'!V65)</f>
        <v/>
      </c>
      <c r="V48" s="130" t="str">
        <f>IF('kWh_Streetlight Data'!W65=0,"",'kWh_Streetlight Data'!W65)</f>
        <v/>
      </c>
      <c r="W48" s="130" t="str">
        <f>IF('kWh_Streetlight Data'!X65=0,"",'kWh_Streetlight Data'!X65)</f>
        <v/>
      </c>
      <c r="X48" s="130" t="str">
        <f>IF('kWh_Streetlight Data'!Y65=0,"",'kWh_Streetlight Data'!Y65)</f>
        <v/>
      </c>
      <c r="Y48" s="130" t="str">
        <f>IF('kWh_Streetlight Data'!Z65=0,"",'kWh_Streetlight Data'!Z65)</f>
        <v/>
      </c>
      <c r="Z48" s="130" t="str">
        <f>IF('kWh_Streetlight Data'!AA65=0,"",'kWh_Streetlight Data'!AA65)</f>
        <v/>
      </c>
      <c r="AA48" s="424" t="str">
        <f>IF('kWh_Streetlight Data'!AB65=0,"",'kWh_Streetlight Data'!AB65)</f>
        <v/>
      </c>
      <c r="AB48" s="129" t="str">
        <f>IF('kWh_Streetlight Data'!AC65=0,"",'kWh_Streetlight Data'!AC65)</f>
        <v/>
      </c>
      <c r="AC48" s="130" t="str">
        <f>IF('kWh_Streetlight Data'!AD65=0,"",'kWh_Streetlight Data'!AD65)</f>
        <v/>
      </c>
      <c r="AD48" s="130" t="str">
        <f>IF('kWh_Streetlight Data'!AE65=0,"",'kWh_Streetlight Data'!AE65)</f>
        <v/>
      </c>
      <c r="AE48" s="130" t="str">
        <f>IF('kWh_Streetlight Data'!AF65=0,"",'kWh_Streetlight Data'!AF65)</f>
        <v/>
      </c>
      <c r="AF48" s="130" t="str">
        <f>IF('kWh_Streetlight Data'!AG65=0,"",'kWh_Streetlight Data'!AG65)</f>
        <v/>
      </c>
      <c r="AG48" s="130" t="str">
        <f>IF('kWh_Streetlight Data'!AH65=0,"",'kWh_Streetlight Data'!AH65)</f>
        <v/>
      </c>
      <c r="AH48" s="130" t="str">
        <f>IF('kWh_Streetlight Data'!AI65=0,"",'kWh_Streetlight Data'!AI65)</f>
        <v/>
      </c>
      <c r="AI48" s="130" t="str">
        <f>IF('kWh_Streetlight Data'!AJ65=0,"",'kWh_Streetlight Data'!AJ65)</f>
        <v/>
      </c>
      <c r="AJ48" s="130" t="str">
        <f>IF('kWh_Streetlight Data'!AK65=0,"",'kWh_Streetlight Data'!AK65)</f>
        <v/>
      </c>
      <c r="AK48" s="130" t="str">
        <f>IF('kWh_Streetlight Data'!AL65=0,"",'kWh_Streetlight Data'!AL65)</f>
        <v/>
      </c>
      <c r="AL48" s="130" t="str">
        <f>IF('kWh_Streetlight Data'!AM65=0,"",'kWh_Streetlight Data'!AM65)</f>
        <v/>
      </c>
      <c r="AM48" s="130" t="str">
        <f>IF('kWh_Streetlight Data'!AN65=0,"",'kWh_Streetlight Data'!AN65)</f>
        <v/>
      </c>
      <c r="AN48" s="426" t="str">
        <f>IF('kWh_Streetlight Data'!AO65=0,"",'kWh_Streetlight Data'!AO65)</f>
        <v/>
      </c>
      <c r="AO48" s="43"/>
      <c r="AP48" s="40"/>
      <c r="AQ48" s="40"/>
      <c r="AR48" s="40"/>
      <c r="AS48" s="40"/>
      <c r="AT48" s="17"/>
      <c r="AU48" s="9"/>
      <c r="AV48" s="9"/>
      <c r="AW48" s="9"/>
      <c r="AX48" s="9"/>
      <c r="AY48" s="9"/>
      <c r="AZ48" s="9"/>
      <c r="BA48" s="211"/>
      <c r="BB48" s="9">
        <v>0</v>
      </c>
      <c r="BC48" s="17">
        <v>0</v>
      </c>
      <c r="BD48" s="17">
        <v>0</v>
      </c>
      <c r="BE48" s="17">
        <v>0</v>
      </c>
      <c r="BF48" s="17">
        <f t="shared" ref="BF48" si="19">IFERROR(AVERAGE(F48,S48,AF48),0)</f>
        <v>0</v>
      </c>
      <c r="BG48" s="17">
        <f t="shared" ref="BG48" si="20">IFERROR(AVERAGE(G48,T48,AG48),0)</f>
        <v>0</v>
      </c>
      <c r="BH48" s="17">
        <f t="shared" ref="BH48" si="21">IFERROR(AVERAGE(H48,U48,AH48),0)</f>
        <v>0</v>
      </c>
      <c r="BI48" s="17">
        <f t="shared" ref="BI48" si="22">IFERROR(AVERAGE(I48,V48,AI48),0)</f>
        <v>0</v>
      </c>
      <c r="BJ48" s="17">
        <f t="shared" ref="BJ48" si="23">IFERROR(AVERAGE(J48,W48,AJ48),0)</f>
        <v>0</v>
      </c>
      <c r="BK48" s="17">
        <f t="shared" ref="BK48" si="24">IFERROR(AVERAGE(K48,X48,AK48),0)</f>
        <v>0</v>
      </c>
      <c r="BL48" s="17">
        <f t="shared" ref="BL48" si="25">IFERROR(AVERAGE(L48,Y48,AL48),0)</f>
        <v>0</v>
      </c>
      <c r="BM48" s="9">
        <f t="shared" ref="BM48" si="26">IFERROR(AVERAGE(M48,Z48,AM48),0)</f>
        <v>0</v>
      </c>
      <c r="BN48" s="211">
        <f>IFERROR(BN47/BN43,0)</f>
        <v>0</v>
      </c>
      <c r="BO48" s="20">
        <f>BN48</f>
        <v>0</v>
      </c>
    </row>
    <row r="49" spans="1:8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8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8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8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8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8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</row>
    <row r="55" spans="1:8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8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8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>
        <f>Customers!E112</f>
        <v>1</v>
      </c>
      <c r="AV57" s="145">
        <f>Customers!F112</f>
        <v>1</v>
      </c>
      <c r="AW57" s="145">
        <f>Customers!G112</f>
        <v>1</v>
      </c>
      <c r="AX57" s="145">
        <f>Customers!H112</f>
        <v>1</v>
      </c>
      <c r="AY57" s="145">
        <f>Customers!I112</f>
        <v>1</v>
      </c>
      <c r="AZ57" s="145">
        <f>Customers!J112</f>
        <v>1</v>
      </c>
      <c r="BA57" s="204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M57" si="27">BE57</f>
        <v>1</v>
      </c>
      <c r="BG57" s="38">
        <f t="shared" si="27"/>
        <v>1</v>
      </c>
      <c r="BH57" s="38">
        <f t="shared" si="27"/>
        <v>1</v>
      </c>
      <c r="BI57" s="38">
        <f t="shared" si="27"/>
        <v>1</v>
      </c>
      <c r="BJ57" s="38">
        <f t="shared" si="27"/>
        <v>1</v>
      </c>
      <c r="BK57" s="38">
        <f t="shared" si="27"/>
        <v>1</v>
      </c>
      <c r="BL57" s="38">
        <f t="shared" si="27"/>
        <v>1</v>
      </c>
      <c r="BM57" s="38">
        <f t="shared" si="27"/>
        <v>1</v>
      </c>
      <c r="BN57" s="210">
        <f>IFERROR(ROUND(AVERAGE(BB57:BM57),0),0)</f>
        <v>1</v>
      </c>
      <c r="BO57" s="156">
        <f>Customers!L112</f>
        <v>1</v>
      </c>
    </row>
    <row r="58" spans="1:80" ht="15.75" customHeight="1" thickBot="1">
      <c r="A58" s="201" t="s">
        <v>30</v>
      </c>
      <c r="B58" s="78" t="str">
        <f>IF('kWh_Streetlight Data'!C235=0,"",'kWh_Streetlight Data'!C235)</f>
        <v/>
      </c>
      <c r="C58" s="114" t="str">
        <f>IF('kWh_Streetlight Data'!D235=0,"",'kWh_Streetlight Data'!D235)</f>
        <v/>
      </c>
      <c r="D58" s="114" t="str">
        <f>IF('kWh_Streetlight Data'!E235=0,"",'kWh_Streetlight Data'!E235)</f>
        <v/>
      </c>
      <c r="E58" s="114" t="str">
        <f>IF('kWh_Streetlight Data'!F235=0,"",'kWh_Streetlight Data'!F235)</f>
        <v/>
      </c>
      <c r="F58" s="114" t="str">
        <f>IF('kWh_Streetlight Data'!G235=0,"",'kWh_Streetlight Data'!G235)</f>
        <v/>
      </c>
      <c r="G58" s="114" t="str">
        <f>IF('kWh_Streetlight Data'!H235=0,"",'kWh_Streetlight Data'!H235)</f>
        <v/>
      </c>
      <c r="H58" s="114" t="str">
        <f>IF('kWh_Streetlight Data'!I235=0,"",'kWh_Streetlight Data'!I235)</f>
        <v/>
      </c>
      <c r="I58" s="114" t="str">
        <f>IF('kWh_Streetlight Data'!J235=0,"",'kWh_Streetlight Data'!J235)</f>
        <v/>
      </c>
      <c r="J58" s="114" t="str">
        <f>IF('kWh_Streetlight Data'!K235=0,"",'kWh_Streetlight Data'!K235)</f>
        <v/>
      </c>
      <c r="K58" s="114" t="str">
        <f>IF('kWh_Streetlight Data'!L235=0,"",'kWh_Streetlight Data'!L235)</f>
        <v/>
      </c>
      <c r="L58" s="114" t="str">
        <f>IF('kWh_Streetlight Data'!M235=0,"",'kWh_Streetlight Data'!M235)</f>
        <v/>
      </c>
      <c r="M58" s="114" t="str">
        <f>IF('kWh_Streetlight Data'!N235=0,"",'kWh_Streetlight Data'!N235)</f>
        <v/>
      </c>
      <c r="N58" s="459" t="str">
        <f>IF('kWh_Streetlight Data'!O235=0,"",'kWh_Streetlight Data'!O235)</f>
        <v/>
      </c>
      <c r="O58" s="113" t="str">
        <f>IF('kWh_Streetlight Data'!P235=0,"",'kWh_Streetlight Data'!P235)</f>
        <v/>
      </c>
      <c r="P58" s="114" t="str">
        <f>IF('kWh_Streetlight Data'!Q235=0,"",'kWh_Streetlight Data'!Q235)</f>
        <v/>
      </c>
      <c r="Q58" s="114" t="str">
        <f>IF('kWh_Streetlight Data'!R235=0,"",'kWh_Streetlight Data'!R235)</f>
        <v/>
      </c>
      <c r="R58" s="114" t="str">
        <f>IF('kWh_Streetlight Data'!S235=0,"",'kWh_Streetlight Data'!S235)</f>
        <v/>
      </c>
      <c r="S58" s="114" t="str">
        <f>IF('kWh_Streetlight Data'!T235=0,"",'kWh_Streetlight Data'!T235)</f>
        <v/>
      </c>
      <c r="T58" s="114" t="str">
        <f>IF('kWh_Streetlight Data'!U235=0,"",'kWh_Streetlight Data'!U235)</f>
        <v/>
      </c>
      <c r="U58" s="114" t="str">
        <f>IF('kWh_Streetlight Data'!V235=0,"",'kWh_Streetlight Data'!V235)</f>
        <v/>
      </c>
      <c r="V58" s="114" t="str">
        <f>IF('kWh_Streetlight Data'!W235=0,"",'kWh_Streetlight Data'!W235)</f>
        <v/>
      </c>
      <c r="W58" s="114" t="str">
        <f>IF('kWh_Streetlight Data'!X235=0,"",'kWh_Streetlight Data'!X235)</f>
        <v/>
      </c>
      <c r="X58" s="114" t="str">
        <f>IF('kWh_Streetlight Data'!Y235=0,"",'kWh_Streetlight Data'!Y235)</f>
        <v/>
      </c>
      <c r="Y58" s="114" t="str">
        <f>IF('kWh_Streetlight Data'!Z235=0,"",'kWh_Streetlight Data'!Z235)</f>
        <v/>
      </c>
      <c r="Z58" s="114" t="str">
        <f>IF('kWh_Streetlight Data'!AA235=0,"",'kWh_Streetlight Data'!AA235)</f>
        <v/>
      </c>
      <c r="AA58" s="459" t="str">
        <f>IF('kWh_Streetlight Data'!AB235=0,"",'kWh_Streetlight Data'!AB235)</f>
        <v/>
      </c>
      <c r="AB58" s="466">
        <f>IF('kWh_Streetlight Data'!AC235=0,"",'kWh_Streetlight Data'!AC235)</f>
        <v>224</v>
      </c>
      <c r="AC58" s="467">
        <f>IF('kWh_Streetlight Data'!AD235=0,"",'kWh_Streetlight Data'!AD235)</f>
        <v>224</v>
      </c>
      <c r="AD58" s="467">
        <f>IF('kWh_Streetlight Data'!AE235=0,"",'kWh_Streetlight Data'!AE235)</f>
        <v>224</v>
      </c>
      <c r="AE58" s="467">
        <f>IF('kWh_Streetlight Data'!AF235=0,"",'kWh_Streetlight Data'!AF235)</f>
        <v>224</v>
      </c>
      <c r="AF58" s="467">
        <f>IF('kWh_Streetlight Data'!AG235=0,"",'kWh_Streetlight Data'!AG235)</f>
        <v>224</v>
      </c>
      <c r="AG58" s="467">
        <f>IF('kWh_Streetlight Data'!AH235=0,"",'kWh_Streetlight Data'!AH235)</f>
        <v>224</v>
      </c>
      <c r="AH58" s="467">
        <f>IF('kWh_Streetlight Data'!AI235=0,"",'kWh_Streetlight Data'!AI235)</f>
        <v>224</v>
      </c>
      <c r="AI58" s="467">
        <f>IF('kWh_Streetlight Data'!AJ235=0,"",'kWh_Streetlight Data'!AJ235)</f>
        <v>224</v>
      </c>
      <c r="AJ58" s="467">
        <f>IF('kWh_Streetlight Data'!AK235=0,"",'kWh_Streetlight Data'!AK235)</f>
        <v>224</v>
      </c>
      <c r="AK58" s="467">
        <f>IF('kWh_Streetlight Data'!AL235=0,"",'kWh_Streetlight Data'!AL235)</f>
        <v>224</v>
      </c>
      <c r="AL58" s="467">
        <f>IF('kWh_Streetlight Data'!AM235=0,"",'kWh_Streetlight Data'!AM235)</f>
        <v>224</v>
      </c>
      <c r="AM58" s="468">
        <f>IF('kWh_Streetlight Data'!AN235=0,"",'kWh_Streetlight Data'!AN235)</f>
        <v>224</v>
      </c>
      <c r="AN58" s="465">
        <f>IF('kWh_Streetlight Data'!AO235=0,"",'kWh_Streetlight Data'!AO235)</f>
        <v>224</v>
      </c>
      <c r="AO58" s="151"/>
      <c r="AP58" s="152"/>
      <c r="AQ58" s="152"/>
      <c r="AR58" s="152"/>
      <c r="AS58" s="152"/>
      <c r="AT58" s="160"/>
      <c r="AU58" s="160">
        <f t="shared" ref="AU58" si="28">ROUND(AH58,0)</f>
        <v>224</v>
      </c>
      <c r="AV58" s="160">
        <f t="shared" ref="AV58" si="29">ROUND(AI58,0)</f>
        <v>224</v>
      </c>
      <c r="AW58" s="160">
        <f t="shared" ref="AW58" si="30">ROUND(AJ58,0)</f>
        <v>224</v>
      </c>
      <c r="AX58" s="160">
        <f t="shared" ref="AX58" si="31">ROUND(AK58,0)</f>
        <v>224</v>
      </c>
      <c r="AY58" s="160">
        <f t="shared" ref="AY58" si="32">ROUND(AL58,0)</f>
        <v>224</v>
      </c>
      <c r="AZ58" s="160">
        <f t="shared" ref="AZ58" si="33">ROUND(AM58,0)</f>
        <v>224</v>
      </c>
      <c r="BA58" s="213">
        <f>SUM(AT58:AZ58)</f>
        <v>1344</v>
      </c>
      <c r="BB58" s="160">
        <v>224</v>
      </c>
      <c r="BC58" s="160">
        <v>224</v>
      </c>
      <c r="BD58" s="160">
        <v>224</v>
      </c>
      <c r="BE58" s="160">
        <v>224</v>
      </c>
      <c r="BF58" s="160">
        <f t="shared" ref="BF58:BM58" si="34">BE58</f>
        <v>224</v>
      </c>
      <c r="BG58" s="160">
        <f t="shared" si="34"/>
        <v>224</v>
      </c>
      <c r="BH58" s="160">
        <f t="shared" si="34"/>
        <v>224</v>
      </c>
      <c r="BI58" s="160">
        <f t="shared" si="34"/>
        <v>224</v>
      </c>
      <c r="BJ58" s="160">
        <f t="shared" si="34"/>
        <v>224</v>
      </c>
      <c r="BK58" s="160">
        <f t="shared" si="34"/>
        <v>224</v>
      </c>
      <c r="BL58" s="160">
        <f t="shared" si="34"/>
        <v>224</v>
      </c>
      <c r="BM58" s="160">
        <f t="shared" si="34"/>
        <v>224</v>
      </c>
      <c r="BN58" s="213">
        <f>SUM(BB58:BM58)</f>
        <v>2688</v>
      </c>
      <c r="BO58" s="175">
        <f t="shared" ref="BO58" si="35">BN58</f>
        <v>2688</v>
      </c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2"/>
      <c r="CB58" s="31"/>
    </row>
    <row r="59" spans="1:8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8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8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8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8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8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80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80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80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80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80" ht="15.75" customHeight="1" thickTop="1">
      <c r="A69" s="374" t="s">
        <v>54</v>
      </c>
      <c r="B69" s="129" t="str">
        <f>IF('kWh_Streetlight Data'!C66=0,"",'kWh_Streetlight Data'!C66)</f>
        <v/>
      </c>
      <c r="C69" s="130" t="str">
        <f>IF('kWh_Streetlight Data'!D66=0,"",'kWh_Streetlight Data'!D66)</f>
        <v/>
      </c>
      <c r="D69" s="130" t="str">
        <f>IF('kWh_Streetlight Data'!E66=0,"",'kWh_Streetlight Data'!E66)</f>
        <v/>
      </c>
      <c r="E69" s="130" t="str">
        <f>IF('kWh_Streetlight Data'!F66=0,"",'kWh_Streetlight Data'!F66)</f>
        <v/>
      </c>
      <c r="F69" s="130" t="str">
        <f>IF('kWh_Streetlight Data'!G66=0,"",'kWh_Streetlight Data'!G66)</f>
        <v/>
      </c>
      <c r="G69" s="130" t="str">
        <f>IF('kWh_Streetlight Data'!H66=0,"",'kWh_Streetlight Data'!H66)</f>
        <v/>
      </c>
      <c r="H69" s="130" t="str">
        <f>IF('kWh_Streetlight Data'!I66=0,"",'kWh_Streetlight Data'!I66)</f>
        <v/>
      </c>
      <c r="I69" s="130" t="str">
        <f>IF('kWh_Streetlight Data'!J66=0,"",'kWh_Streetlight Data'!J66)</f>
        <v/>
      </c>
      <c r="J69" s="130" t="str">
        <f>IF('kWh_Streetlight Data'!K66=0,"",'kWh_Streetlight Data'!K66)</f>
        <v/>
      </c>
      <c r="K69" s="130" t="str">
        <f>IF('kWh_Streetlight Data'!L66=0,"",'kWh_Streetlight Data'!L66)</f>
        <v/>
      </c>
      <c r="L69" s="130" t="str">
        <f>IF('kWh_Streetlight Data'!M66=0,"",'kWh_Streetlight Data'!M66)</f>
        <v/>
      </c>
      <c r="M69" s="130" t="str">
        <f>IF('kWh_Streetlight Data'!N66=0,"",'kWh_Streetlight Data'!N66)</f>
        <v/>
      </c>
      <c r="N69" s="424" t="str">
        <f>IF('kWh_Streetlight Data'!O66=0,"",'kWh_Streetlight Data'!O66)</f>
        <v/>
      </c>
      <c r="O69" s="84" t="str">
        <f>IF('kWh_Streetlight Data'!P66=0,"",'kWh_Streetlight Data'!P66)</f>
        <v/>
      </c>
      <c r="P69" s="108" t="str">
        <f>IF('kWh_Streetlight Data'!Q66=0,"",'kWh_Streetlight Data'!Q66)</f>
        <v/>
      </c>
      <c r="Q69" s="108" t="str">
        <f>IF('kWh_Streetlight Data'!R66=0,"",'kWh_Streetlight Data'!R66)</f>
        <v/>
      </c>
      <c r="R69" s="108" t="str">
        <f>IF('kWh_Streetlight Data'!S66=0,"",'kWh_Streetlight Data'!S66)</f>
        <v/>
      </c>
      <c r="S69" s="108" t="str">
        <f>IF('kWh_Streetlight Data'!T66=0,"",'kWh_Streetlight Data'!T66)</f>
        <v/>
      </c>
      <c r="T69" s="108" t="str">
        <f>IF('kWh_Streetlight Data'!U66=0,"",'kWh_Streetlight Data'!U66)</f>
        <v/>
      </c>
      <c r="U69" s="108" t="str">
        <f>IF('kWh_Streetlight Data'!V66=0,"",'kWh_Streetlight Data'!V66)</f>
        <v/>
      </c>
      <c r="V69" s="108" t="str">
        <f>IF('kWh_Streetlight Data'!W66=0,"",'kWh_Streetlight Data'!W66)</f>
        <v/>
      </c>
      <c r="W69" s="108" t="str">
        <f>IF('kWh_Streetlight Data'!X66=0,"",'kWh_Streetlight Data'!X66)</f>
        <v/>
      </c>
      <c r="X69" s="108" t="str">
        <f>IF('kWh_Streetlight Data'!Y66=0,"",'kWh_Streetlight Data'!Y66)</f>
        <v/>
      </c>
      <c r="Y69" s="108" t="str">
        <f>IF('kWh_Streetlight Data'!Z66=0,"",'kWh_Streetlight Data'!Z66)</f>
        <v/>
      </c>
      <c r="Z69" s="108" t="str">
        <f>IF('kWh_Streetlight Data'!AA66=0,"",'kWh_Streetlight Data'!AA66)</f>
        <v/>
      </c>
      <c r="AA69" s="424" t="str">
        <f>IF('kWh_Streetlight Data'!AB66=0,"",'kWh_Streetlight Data'!AB66)</f>
        <v/>
      </c>
      <c r="AB69" s="84" t="str">
        <f>IF('kWh_Streetlight Data'!AC66=0,"",'kWh_Streetlight Data'!AC66)</f>
        <v/>
      </c>
      <c r="AC69" s="108" t="str">
        <f>IF('kWh_Streetlight Data'!AD66=0,"",'kWh_Streetlight Data'!AD66)</f>
        <v/>
      </c>
      <c r="AD69" s="108" t="str">
        <f>IF('kWh_Streetlight Data'!AE66=0,"",'kWh_Streetlight Data'!AE66)</f>
        <v/>
      </c>
      <c r="AE69" s="108" t="str">
        <f>IF('kWh_Streetlight Data'!AF66=0,"",'kWh_Streetlight Data'!AF66)</f>
        <v/>
      </c>
      <c r="AF69" s="108" t="str">
        <f>IF('kWh_Streetlight Data'!AG66=0,"",'kWh_Streetlight Data'!AG66)</f>
        <v/>
      </c>
      <c r="AG69" s="108" t="str">
        <f>IF('kWh_Streetlight Data'!AH66=0,"",'kWh_Streetlight Data'!AH66)</f>
        <v/>
      </c>
      <c r="AH69" s="130" t="str">
        <f>IF('kWh_Streetlight Data'!AI66=0,"",'kWh_Streetlight Data'!AI66)</f>
        <v/>
      </c>
      <c r="AI69" s="130" t="str">
        <f>IF('kWh_Streetlight Data'!AJ66=0,"",'kWh_Streetlight Data'!AJ66)</f>
        <v/>
      </c>
      <c r="AJ69" s="130" t="str">
        <f>IF('kWh_Streetlight Data'!AK66=0,"",'kWh_Streetlight Data'!AK66)</f>
        <v/>
      </c>
      <c r="AK69" s="130" t="str">
        <f>IF('kWh_Streetlight Data'!AL66=0,"",'kWh_Streetlight Data'!AL66)</f>
        <v/>
      </c>
      <c r="AL69" s="130" t="str">
        <f>IF('kWh_Streetlight Data'!AM66=0,"",'kWh_Streetlight Data'!AM66)</f>
        <v/>
      </c>
      <c r="AM69" s="130" t="str">
        <f>IF('kWh_Streetlight Data'!AN66=0,"",'kWh_Streetlight Data'!AN66)</f>
        <v/>
      </c>
      <c r="AN69" s="424" t="str">
        <f>IF('kWh_Streetlight Data'!AO66=0,"",'kWh_Streetlight Data'!AO66)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80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80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80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80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80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80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9">
        <f>Customers!E115</f>
        <v>11</v>
      </c>
      <c r="AV75" s="39">
        <f>Customers!F115</f>
        <v>11</v>
      </c>
      <c r="AW75" s="39">
        <f>Customers!G115</f>
        <v>11</v>
      </c>
      <c r="AX75" s="39">
        <f>Customers!H115</f>
        <v>11</v>
      </c>
      <c r="AY75" s="39">
        <f>Customers!I115</f>
        <v>11</v>
      </c>
      <c r="AZ75" s="39">
        <f>Customers!J115</f>
        <v>11</v>
      </c>
      <c r="BA75" s="210">
        <f>AZ75</f>
        <v>11</v>
      </c>
      <c r="BB75" s="124">
        <v>11</v>
      </c>
      <c r="BC75" s="38">
        <v>11</v>
      </c>
      <c r="BD75" s="38">
        <v>11</v>
      </c>
      <c r="BE75" s="38">
        <v>11</v>
      </c>
      <c r="BF75" s="38">
        <f t="shared" ref="BF75:BM75" si="36">BE75</f>
        <v>11</v>
      </c>
      <c r="BG75" s="38">
        <f t="shared" si="36"/>
        <v>11</v>
      </c>
      <c r="BH75" s="38">
        <f t="shared" si="36"/>
        <v>11</v>
      </c>
      <c r="BI75" s="38">
        <f t="shared" si="36"/>
        <v>11</v>
      </c>
      <c r="BJ75" s="38">
        <f t="shared" si="36"/>
        <v>11</v>
      </c>
      <c r="BK75" s="38">
        <f t="shared" si="36"/>
        <v>11</v>
      </c>
      <c r="BL75" s="38">
        <f t="shared" si="36"/>
        <v>11</v>
      </c>
      <c r="BM75" s="38">
        <f t="shared" si="36"/>
        <v>11</v>
      </c>
      <c r="BN75" s="210">
        <f>IFERROR(ROUND(AVERAGE(BB75:BM75),0),0)</f>
        <v>11</v>
      </c>
      <c r="BO75" s="55">
        <f>Customers!L115</f>
        <v>11</v>
      </c>
    </row>
    <row r="76" spans="1:80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>
        <f t="shared" ref="AU76:AZ76" si="37">IF(AU78&gt;(AU75*250),AU75*250,AU78)</f>
        <v>2750</v>
      </c>
      <c r="AV76" s="38">
        <f t="shared" si="37"/>
        <v>2750</v>
      </c>
      <c r="AW76" s="38">
        <f t="shared" si="37"/>
        <v>2750</v>
      </c>
      <c r="AX76" s="38">
        <f t="shared" si="37"/>
        <v>2750</v>
      </c>
      <c r="AY76" s="38">
        <f t="shared" si="37"/>
        <v>2750</v>
      </c>
      <c r="AZ76" s="38">
        <f t="shared" si="37"/>
        <v>2750</v>
      </c>
      <c r="BA76" s="210">
        <f>SUM(AO76:AZ76)</f>
        <v>16500</v>
      </c>
      <c r="BB76" s="38">
        <v>2750</v>
      </c>
      <c r="BC76" s="38">
        <v>2750</v>
      </c>
      <c r="BD76" s="38">
        <v>2750</v>
      </c>
      <c r="BE76" s="38">
        <v>2750</v>
      </c>
      <c r="BF76" s="38">
        <f t="shared" ref="BF76:BM76" si="38">IF(BF78&gt;(BF75*250),BF75*250,BF78)</f>
        <v>2750</v>
      </c>
      <c r="BG76" s="38">
        <f t="shared" si="38"/>
        <v>2750</v>
      </c>
      <c r="BH76" s="38">
        <f t="shared" si="38"/>
        <v>2750</v>
      </c>
      <c r="BI76" s="38">
        <f t="shared" si="38"/>
        <v>2750</v>
      </c>
      <c r="BJ76" s="38">
        <f t="shared" si="38"/>
        <v>2750</v>
      </c>
      <c r="BK76" s="38">
        <f t="shared" si="38"/>
        <v>2750</v>
      </c>
      <c r="BL76" s="38">
        <f t="shared" si="38"/>
        <v>2750</v>
      </c>
      <c r="BM76" s="38">
        <f t="shared" si="38"/>
        <v>2750</v>
      </c>
      <c r="BN76" s="210">
        <f>SUM(BB76:BM76)</f>
        <v>33000</v>
      </c>
      <c r="BO76" s="38">
        <f t="shared" ref="BO76" si="39">IF(BO78&gt;(BO75*250),BO75*250,BO78)</f>
        <v>2750</v>
      </c>
    </row>
    <row r="77" spans="1:80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>
        <f t="shared" ref="AU77:AZ77" si="40">ROUND(AU78-AU76,0)</f>
        <v>6178</v>
      </c>
      <c r="AV77" s="38">
        <f t="shared" si="40"/>
        <v>4569</v>
      </c>
      <c r="AW77" s="38">
        <f t="shared" si="40"/>
        <v>5790</v>
      </c>
      <c r="AX77" s="38">
        <f t="shared" si="40"/>
        <v>8677</v>
      </c>
      <c r="AY77" s="38">
        <f t="shared" si="40"/>
        <v>8702</v>
      </c>
      <c r="AZ77" s="38">
        <f t="shared" si="40"/>
        <v>10008</v>
      </c>
      <c r="BA77" s="210">
        <f>SUM(AO77:AZ77)</f>
        <v>43924</v>
      </c>
      <c r="BB77" s="38">
        <v>15336</v>
      </c>
      <c r="BC77" s="38">
        <v>17663</v>
      </c>
      <c r="BD77" s="38">
        <v>14771</v>
      </c>
      <c r="BE77" s="38">
        <v>12611</v>
      </c>
      <c r="BF77" s="38">
        <f t="shared" ref="BF77:BM77" si="41">ROUND(BF78-BF76,0)</f>
        <v>10225</v>
      </c>
      <c r="BG77" s="38">
        <f t="shared" si="41"/>
        <v>6297</v>
      </c>
      <c r="BH77" s="38">
        <f t="shared" si="41"/>
        <v>6178</v>
      </c>
      <c r="BI77" s="38">
        <f t="shared" si="41"/>
        <v>4569</v>
      </c>
      <c r="BJ77" s="38">
        <f t="shared" si="41"/>
        <v>5790</v>
      </c>
      <c r="BK77" s="38">
        <f t="shared" si="41"/>
        <v>8677</v>
      </c>
      <c r="BL77" s="38">
        <f t="shared" si="41"/>
        <v>8702</v>
      </c>
      <c r="BM77" s="38">
        <f t="shared" si="41"/>
        <v>10008</v>
      </c>
      <c r="BN77" s="210">
        <f>SUM(BB77:BM77)</f>
        <v>120827</v>
      </c>
      <c r="BO77" s="38">
        <f t="shared" ref="BO77" si="42">ROUND(BO78-BO76,0)</f>
        <v>151077</v>
      </c>
    </row>
    <row r="78" spans="1:80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43">IFERROR(ROUND(AU79*AU75,0),0)</f>
        <v>8928</v>
      </c>
      <c r="AV78" s="64">
        <f t="shared" si="43"/>
        <v>7319</v>
      </c>
      <c r="AW78" s="64">
        <f t="shared" si="43"/>
        <v>8540</v>
      </c>
      <c r="AX78" s="64">
        <f t="shared" si="43"/>
        <v>11427</v>
      </c>
      <c r="AY78" s="64">
        <f t="shared" si="43"/>
        <v>11452</v>
      </c>
      <c r="AZ78" s="64">
        <f t="shared" si="43"/>
        <v>12758</v>
      </c>
      <c r="BA78" s="196">
        <f>SUM(AO78:AZ78)</f>
        <v>60424</v>
      </c>
      <c r="BB78" s="64">
        <v>18086</v>
      </c>
      <c r="BC78" s="64">
        <v>20413</v>
      </c>
      <c r="BD78" s="64">
        <v>17521</v>
      </c>
      <c r="BE78" s="64">
        <v>15361</v>
      </c>
      <c r="BF78" s="64">
        <f t="shared" ref="BF78:BM78" si="44">IFERROR(ROUND(BF79*BF75,0),0)</f>
        <v>12975</v>
      </c>
      <c r="BG78" s="64">
        <f t="shared" si="44"/>
        <v>9047</v>
      </c>
      <c r="BH78" s="64">
        <f t="shared" si="44"/>
        <v>8928</v>
      </c>
      <c r="BI78" s="64">
        <f t="shared" si="44"/>
        <v>7319</v>
      </c>
      <c r="BJ78" s="64">
        <f t="shared" si="44"/>
        <v>8540</v>
      </c>
      <c r="BK78" s="64">
        <f t="shared" si="44"/>
        <v>11427</v>
      </c>
      <c r="BL78" s="64">
        <f t="shared" si="44"/>
        <v>11452</v>
      </c>
      <c r="BM78" s="64">
        <f t="shared" si="44"/>
        <v>12758</v>
      </c>
      <c r="BN78" s="196">
        <f>SUM(BB78:BM78)</f>
        <v>153827</v>
      </c>
      <c r="BO78" s="88">
        <f>ROUND(BO75*BO79,0)</f>
        <v>153827</v>
      </c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2"/>
      <c r="CB78" s="31"/>
    </row>
    <row r="79" spans="1:80" ht="15.75" customHeight="1" thickTop="1">
      <c r="A79" s="374" t="s">
        <v>54</v>
      </c>
      <c r="B79" s="84">
        <f>IF('kWh_Streetlight Data'!C67=0,"",'kWh_Streetlight Data'!C67)</f>
        <v>1644.8</v>
      </c>
      <c r="C79" s="108">
        <f>IF('kWh_Streetlight Data'!D67=0,"",'kWh_Streetlight Data'!D67)</f>
        <v>2377.1999999999998</v>
      </c>
      <c r="D79" s="108">
        <f>IF('kWh_Streetlight Data'!E67=0,"",'kWh_Streetlight Data'!E67)</f>
        <v>1343.3</v>
      </c>
      <c r="E79" s="108">
        <f>IF('kWh_Streetlight Data'!F67=0,"",'kWh_Streetlight Data'!F67)</f>
        <v>1655.8</v>
      </c>
      <c r="F79" s="108">
        <f>IF('kWh_Streetlight Data'!G67=0,"",'kWh_Streetlight Data'!G67)</f>
        <v>1053.0999999999999</v>
      </c>
      <c r="G79" s="108">
        <f>IF('kWh_Streetlight Data'!H67=0,"",'kWh_Streetlight Data'!H67)</f>
        <v>846.8</v>
      </c>
      <c r="H79" s="108">
        <f>IF('kWh_Streetlight Data'!I67=0,"",'kWh_Streetlight Data'!I67)</f>
        <v>754.4</v>
      </c>
      <c r="I79" s="108">
        <f>IF('kWh_Streetlight Data'!J67=0,"",'kWh_Streetlight Data'!J67)</f>
        <v>682.9</v>
      </c>
      <c r="J79" s="108">
        <f>IF('kWh_Streetlight Data'!K67=0,"",'kWh_Streetlight Data'!K67)</f>
        <v>778.6</v>
      </c>
      <c r="K79" s="108">
        <f>IF('kWh_Streetlight Data'!L67=0,"",'kWh_Streetlight Data'!L67)</f>
        <v>915.7</v>
      </c>
      <c r="L79" s="108">
        <f>IF('kWh_Streetlight Data'!M67=0,"",'kWh_Streetlight Data'!M67)</f>
        <v>1134.3636363636363</v>
      </c>
      <c r="M79" s="108">
        <f>IF('kWh_Streetlight Data'!N67=0,"",'kWh_Streetlight Data'!N67)</f>
        <v>1089.909090909091</v>
      </c>
      <c r="N79" s="424">
        <f>IF('kWh_Streetlight Data'!O67=0,"",'kWh_Streetlight Data'!O67)</f>
        <v>1188.467213114754</v>
      </c>
      <c r="O79" s="84">
        <f>IF('kWh_Streetlight Data'!P67=0,"",'kWh_Streetlight Data'!P67)</f>
        <v>1420.3636363636363</v>
      </c>
      <c r="P79" s="108">
        <f>IF('kWh_Streetlight Data'!Q67=0,"",'kWh_Streetlight Data'!Q67)</f>
        <v>1320.2727272727273</v>
      </c>
      <c r="Q79" s="108">
        <f>IF('kWh_Streetlight Data'!R67=0,"",'kWh_Streetlight Data'!R67)</f>
        <v>1847.5454545454545</v>
      </c>
      <c r="R79" s="108">
        <f>IF('kWh_Streetlight Data'!S67=0,"",'kWh_Streetlight Data'!S67)</f>
        <v>1222.090909090909</v>
      </c>
      <c r="S79" s="108">
        <f>IF('kWh_Streetlight Data'!T67=0,"",'kWh_Streetlight Data'!T67)</f>
        <v>1042.2727272727273</v>
      </c>
      <c r="T79" s="108">
        <f>IF('kWh_Streetlight Data'!U67=0,"",'kWh_Streetlight Data'!U67)</f>
        <v>780.72727272727275</v>
      </c>
      <c r="U79" s="108">
        <f>IF('kWh_Streetlight Data'!V67=0,"",'kWh_Streetlight Data'!V67)</f>
        <v>733.63636363636363</v>
      </c>
      <c r="V79" s="108">
        <f>IF('kWh_Streetlight Data'!W67=0,"",'kWh_Streetlight Data'!W67)</f>
        <v>641.4545454545455</v>
      </c>
      <c r="W79" s="108">
        <f>IF('kWh_Streetlight Data'!X67=0,"",'kWh_Streetlight Data'!X67)</f>
        <v>606.72727272727275</v>
      </c>
      <c r="X79" s="108">
        <f>IF('kWh_Streetlight Data'!Y67=0,"",'kWh_Streetlight Data'!Y67)</f>
        <v>1079</v>
      </c>
      <c r="Y79" s="108">
        <f>IF('kWh_Streetlight Data'!Z67=0,"",'kWh_Streetlight Data'!Z67)</f>
        <v>1206.909090909091</v>
      </c>
      <c r="Z79" s="108">
        <f>IF('kWh_Streetlight Data'!AA67=0,"",'kWh_Streetlight Data'!AA67)</f>
        <v>1052.5</v>
      </c>
      <c r="AA79" s="425">
        <f>IF('kWh_Streetlight Data'!AB67=0,"",'kWh_Streetlight Data'!AB67)</f>
        <v>1079.2556390977443</v>
      </c>
      <c r="AB79" s="129">
        <f>IF('kWh_Streetlight Data'!AC67=0,"",'kWh_Streetlight Data'!AC67)</f>
        <v>1867.4545454545455</v>
      </c>
      <c r="AC79" s="130">
        <f>IF('kWh_Streetlight Data'!AD67=0,"",'kWh_Streetlight Data'!AD67)</f>
        <v>1869.8181818181818</v>
      </c>
      <c r="AD79" s="130">
        <f>IF('kWh_Streetlight Data'!AE67=0,"",'kWh_Streetlight Data'!AE67)</f>
        <v>1587.5454545454545</v>
      </c>
      <c r="AE79" s="130">
        <f>IF('kWh_Streetlight Data'!AF67=0,"",'kWh_Streetlight Data'!AF67)</f>
        <v>1311.3636363636363</v>
      </c>
      <c r="AF79" s="130">
        <f>IF('kWh_Streetlight Data'!AG67=0,"",'kWh_Streetlight Data'!AG67)</f>
        <v>1443.3333333333333</v>
      </c>
      <c r="AG79" s="130">
        <f>IF('kWh_Streetlight Data'!AH67=0,"",'kWh_Streetlight Data'!AH67)</f>
        <v>839.90909090909088</v>
      </c>
      <c r="AH79" s="130">
        <f>IF('kWh_Streetlight Data'!AI67=0,"",'kWh_Streetlight Data'!AI67)</f>
        <v>946.90909090909088</v>
      </c>
      <c r="AI79" s="130">
        <f>IF('kWh_Streetlight Data'!AJ67=0,"",'kWh_Streetlight Data'!AJ67)</f>
        <v>671.81818181818187</v>
      </c>
      <c r="AJ79" s="130">
        <f>IF('kWh_Streetlight Data'!AK67=0,"",'kWh_Streetlight Data'!AK67)</f>
        <v>943.63636363636363</v>
      </c>
      <c r="AK79" s="130">
        <f>IF('kWh_Streetlight Data'!AL67=0,"",'kWh_Streetlight Data'!AL67)</f>
        <v>1121.6363636363637</v>
      </c>
      <c r="AL79" s="130">
        <f>IF('kWh_Streetlight Data'!AM67=0,"",'kWh_Streetlight Data'!AM67)</f>
        <v>782</v>
      </c>
      <c r="AM79" s="130">
        <f>IF('kWh_Streetlight Data'!AN67=0,"",'kWh_Streetlight Data'!AN67)</f>
        <v>1337.090909090909</v>
      </c>
      <c r="AN79" s="424">
        <f>IF('kWh_Streetlight Data'!AO67=0,"",'kWh_Streetlight Data'!AO67)</f>
        <v>1215.4671532846714</v>
      </c>
      <c r="AO79" s="34"/>
      <c r="AP79" s="35"/>
      <c r="AQ79" s="35"/>
      <c r="AR79" s="35"/>
      <c r="AS79" s="35"/>
      <c r="AT79" s="9"/>
      <c r="AU79" s="9">
        <f t="shared" ref="AU79:AZ79" si="45">IFERROR(AVERAGE(AH79,U79,H79),0)</f>
        <v>811.64848484848483</v>
      </c>
      <c r="AV79" s="9">
        <f t="shared" si="45"/>
        <v>665.39090909090919</v>
      </c>
      <c r="AW79" s="9">
        <f t="shared" si="45"/>
        <v>776.32121212121217</v>
      </c>
      <c r="AX79" s="9">
        <f t="shared" si="45"/>
        <v>1038.7787878787879</v>
      </c>
      <c r="AY79" s="9">
        <f t="shared" si="45"/>
        <v>1041.090909090909</v>
      </c>
      <c r="AZ79" s="9">
        <f t="shared" si="45"/>
        <v>1159.8333333333333</v>
      </c>
      <c r="BA79" s="211"/>
      <c r="BB79" s="9">
        <v>1644.2060606060604</v>
      </c>
      <c r="BC79" s="17">
        <v>1855.7636363636364</v>
      </c>
      <c r="BD79" s="17">
        <v>1592.7969696969697</v>
      </c>
      <c r="BE79" s="17">
        <v>1396.4181818181817</v>
      </c>
      <c r="BF79" s="17">
        <f t="shared" ref="BF79" si="46">IFERROR(AVERAGE(F79,S79,AF79),0)</f>
        <v>1179.5686868686869</v>
      </c>
      <c r="BG79" s="17">
        <f t="shared" ref="BG79" si="47">IFERROR(AVERAGE(G79,T79,AG79),0)</f>
        <v>822.4787878787879</v>
      </c>
      <c r="BH79" s="17">
        <f t="shared" ref="BH79" si="48">IFERROR(AVERAGE(H79,U79,AH79),0)</f>
        <v>811.64848484848483</v>
      </c>
      <c r="BI79" s="17">
        <f t="shared" ref="BI79" si="49">IFERROR(AVERAGE(I79,V79,AI79),0)</f>
        <v>665.39090909090919</v>
      </c>
      <c r="BJ79" s="17">
        <f t="shared" ref="BJ79" si="50">IFERROR(AVERAGE(J79,W79,AJ79),0)</f>
        <v>776.32121212121217</v>
      </c>
      <c r="BK79" s="17">
        <f t="shared" ref="BK79" si="51">IFERROR(AVERAGE(K79,X79,AK79),0)</f>
        <v>1038.7787878787879</v>
      </c>
      <c r="BL79" s="17">
        <f t="shared" ref="BL79" si="52">IFERROR(AVERAGE(L79,Y79,AL79),0)</f>
        <v>1041.090909090909</v>
      </c>
      <c r="BM79" s="9">
        <f t="shared" ref="BM79" si="53">IFERROR(AVERAGE(M79,Z79,AM79),0)</f>
        <v>1159.8333333333333</v>
      </c>
      <c r="BN79" s="211">
        <f>IFERROR(BN78/SUM(BB75:BM75)*12,0)</f>
        <v>13984.272727272726</v>
      </c>
      <c r="BO79" s="20">
        <f>BN79</f>
        <v>13984.272727272726</v>
      </c>
      <c r="BP79" s="234"/>
    </row>
    <row r="80" spans="1:80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Data'!C68=0,"",'kWh_Streetlight Data'!C68)</f>
        <v/>
      </c>
      <c r="C83" s="108" t="str">
        <f>IF('kWh_Streetlight Data'!D68=0,"",'kWh_Streetlight Data'!D68)</f>
        <v/>
      </c>
      <c r="D83" s="108" t="str">
        <f>IF('kWh_Streetlight Data'!E68=0,"",'kWh_Streetlight Data'!E68)</f>
        <v/>
      </c>
      <c r="E83" s="108" t="str">
        <f>IF('kWh_Streetlight Data'!F68=0,"",'kWh_Streetlight Data'!F68)</f>
        <v/>
      </c>
      <c r="F83" s="108" t="str">
        <f>IF('kWh_Streetlight Data'!G68=0,"",'kWh_Streetlight Data'!G68)</f>
        <v/>
      </c>
      <c r="G83" s="108" t="str">
        <f>IF('kWh_Streetlight Data'!H68=0,"",'kWh_Streetlight Data'!H68)</f>
        <v/>
      </c>
      <c r="H83" s="108" t="str">
        <f>IF('kWh_Streetlight Data'!I68=0,"",'kWh_Streetlight Data'!I68)</f>
        <v/>
      </c>
      <c r="I83" s="108" t="str">
        <f>IF('kWh_Streetlight Data'!J68=0,"",'kWh_Streetlight Data'!J68)</f>
        <v/>
      </c>
      <c r="J83" s="108" t="str">
        <f>IF('kWh_Streetlight Data'!K68=0,"",'kWh_Streetlight Data'!K68)</f>
        <v/>
      </c>
      <c r="K83" s="108" t="str">
        <f>IF('kWh_Streetlight Data'!L68=0,"",'kWh_Streetlight Data'!L68)</f>
        <v/>
      </c>
      <c r="L83" s="108" t="str">
        <f>IF('kWh_Streetlight Data'!M68=0,"",'kWh_Streetlight Data'!M68)</f>
        <v/>
      </c>
      <c r="M83" s="108" t="str">
        <f>IF('kWh_Streetlight Data'!N68=0,"",'kWh_Streetlight Data'!N68)</f>
        <v/>
      </c>
      <c r="N83" s="424" t="str">
        <f>IF('kWh_Streetlight Data'!O68=0,"",'kWh_Streetlight Data'!O68)</f>
        <v/>
      </c>
      <c r="O83" s="84" t="str">
        <f>IF('kWh_Streetlight Data'!P68=0,"",'kWh_Streetlight Data'!P68)</f>
        <v/>
      </c>
      <c r="P83" s="108" t="str">
        <f>IF('kWh_Streetlight Data'!Q68=0,"",'kWh_Streetlight Data'!Q68)</f>
        <v/>
      </c>
      <c r="Q83" s="108" t="str">
        <f>IF('kWh_Streetlight Data'!R68=0,"",'kWh_Streetlight Data'!R68)</f>
        <v/>
      </c>
      <c r="R83" s="108" t="str">
        <f>IF('kWh_Streetlight Data'!S68=0,"",'kWh_Streetlight Data'!S68)</f>
        <v/>
      </c>
      <c r="S83" s="108" t="str">
        <f>IF('kWh_Streetlight Data'!T68=0,"",'kWh_Streetlight Data'!T68)</f>
        <v/>
      </c>
      <c r="T83" s="108" t="str">
        <f>IF('kWh_Streetlight Data'!U68=0,"",'kWh_Streetlight Data'!U68)</f>
        <v/>
      </c>
      <c r="U83" s="108" t="str">
        <f>IF('kWh_Streetlight Data'!V68=0,"",'kWh_Streetlight Data'!V68)</f>
        <v/>
      </c>
      <c r="V83" s="108" t="str">
        <f>IF('kWh_Streetlight Data'!W68=0,"",'kWh_Streetlight Data'!W68)</f>
        <v/>
      </c>
      <c r="W83" s="108" t="str">
        <f>IF('kWh_Streetlight Data'!X68=0,"",'kWh_Streetlight Data'!X68)</f>
        <v/>
      </c>
      <c r="X83" s="108" t="str">
        <f>IF('kWh_Streetlight Data'!Y68=0,"",'kWh_Streetlight Data'!Y68)</f>
        <v/>
      </c>
      <c r="Y83" s="108" t="str">
        <f>IF('kWh_Streetlight Data'!Z68=0,"",'kWh_Streetlight Data'!Z68)</f>
        <v/>
      </c>
      <c r="Z83" s="108" t="str">
        <f>IF('kWh_Streetlight Data'!AA68=0,"",'kWh_Streetlight Data'!AA68)</f>
        <v/>
      </c>
      <c r="AA83" s="424" t="str">
        <f>IF('kWh_Streetlight Data'!AB68=0,"",'kWh_Streetlight Data'!AB68)</f>
        <v/>
      </c>
      <c r="AB83" s="442" t="str">
        <f>IF('kWh_Streetlight Data'!AC68=0,"",'kWh_Streetlight Data'!AC68)</f>
        <v/>
      </c>
      <c r="AC83" s="443" t="str">
        <f>IF('kWh_Streetlight Data'!AD68=0,"",'kWh_Streetlight Data'!AD68)</f>
        <v/>
      </c>
      <c r="AD83" s="443" t="str">
        <f>IF('kWh_Streetlight Data'!AE68=0,"",'kWh_Streetlight Data'!AE68)</f>
        <v/>
      </c>
      <c r="AE83" s="443" t="str">
        <f>IF('kWh_Streetlight Data'!AF68=0,"",'kWh_Streetlight Data'!AF68)</f>
        <v/>
      </c>
      <c r="AF83" s="443" t="str">
        <f>IF('kWh_Streetlight Data'!AG68=0,"",'kWh_Streetlight Data'!AG68)</f>
        <v/>
      </c>
      <c r="AG83" s="443" t="str">
        <f>IF('kWh_Streetlight Data'!AH68=0,"",'kWh_Streetlight Data'!AH68)</f>
        <v/>
      </c>
      <c r="AH83" s="108" t="str">
        <f>IF('kWh_Streetlight Data'!AI68=0,"",'kWh_Streetlight Data'!AI68)</f>
        <v/>
      </c>
      <c r="AI83" s="108" t="str">
        <f>IF('kWh_Streetlight Data'!AJ68=0,"",'kWh_Streetlight Data'!AJ68)</f>
        <v/>
      </c>
      <c r="AJ83" s="108" t="str">
        <f>IF('kWh_Streetlight Data'!AK68=0,"",'kWh_Streetlight Data'!AK68)</f>
        <v/>
      </c>
      <c r="AK83" s="108" t="str">
        <f>IF('kWh_Streetlight Data'!AL68=0,"",'kWh_Streetlight Data'!AL68)</f>
        <v/>
      </c>
      <c r="AL83" s="108" t="str">
        <f>IF('kWh_Streetlight Data'!AM68=0,"",'kWh_Streetlight Data'!AM68)</f>
        <v/>
      </c>
      <c r="AM83" s="108" t="str">
        <f>IF('kWh_Streetlight Data'!AN68=0,"",'kWh_Streetlight Data'!AN68)</f>
        <v/>
      </c>
      <c r="AN83" s="424" t="str">
        <f>IF('kWh_Streetlight Data'!AO68=0,"",'kWh_Streetlight Data'!AO68)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9">
        <f>Customers!E116</f>
        <v>22</v>
      </c>
      <c r="AV86" s="39">
        <f>Customers!F116</f>
        <v>22</v>
      </c>
      <c r="AW86" s="39">
        <f>Customers!G116</f>
        <v>22</v>
      </c>
      <c r="AX86" s="39">
        <f>Customers!H116</f>
        <v>22</v>
      </c>
      <c r="AY86" s="39">
        <f>Customers!I116</f>
        <v>22</v>
      </c>
      <c r="AZ86" s="39">
        <f>Customers!J116</f>
        <v>22</v>
      </c>
      <c r="BA86" s="210">
        <f>AZ86</f>
        <v>22</v>
      </c>
      <c r="BB86" s="124">
        <v>22</v>
      </c>
      <c r="BC86" s="38">
        <v>22</v>
      </c>
      <c r="BD86" s="38">
        <v>22</v>
      </c>
      <c r="BE86" s="38">
        <v>22</v>
      </c>
      <c r="BF86" s="38">
        <f t="shared" ref="BF86:BM86" si="54">BE86</f>
        <v>22</v>
      </c>
      <c r="BG86" s="38">
        <f t="shared" si="54"/>
        <v>22</v>
      </c>
      <c r="BH86" s="38">
        <f t="shared" si="54"/>
        <v>22</v>
      </c>
      <c r="BI86" s="38">
        <f t="shared" si="54"/>
        <v>22</v>
      </c>
      <c r="BJ86" s="38">
        <f t="shared" si="54"/>
        <v>22</v>
      </c>
      <c r="BK86" s="38">
        <f t="shared" si="54"/>
        <v>22</v>
      </c>
      <c r="BL86" s="38">
        <f t="shared" si="54"/>
        <v>22</v>
      </c>
      <c r="BM86" s="38">
        <f t="shared" si="54"/>
        <v>22</v>
      </c>
      <c r="BN86" s="210">
        <f>IFERROR(ROUND(AVERAGE(BB86:BM86),0),0)</f>
        <v>22</v>
      </c>
      <c r="BO86" s="143">
        <f>Customers!L116</f>
        <v>22</v>
      </c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>
        <f t="shared" ref="AU87:AZ87" si="55">IFERROR(ROUND(AU88*AU86,0),0)</f>
        <v>64914</v>
      </c>
      <c r="AV87" s="160">
        <f t="shared" si="55"/>
        <v>50864</v>
      </c>
      <c r="AW87" s="160">
        <f t="shared" si="55"/>
        <v>42206</v>
      </c>
      <c r="AX87" s="160">
        <f t="shared" si="55"/>
        <v>54294</v>
      </c>
      <c r="AY87" s="160">
        <f t="shared" si="55"/>
        <v>75508</v>
      </c>
      <c r="AZ87" s="160">
        <f t="shared" si="55"/>
        <v>67222</v>
      </c>
      <c r="BA87" s="196">
        <f>SUM(AO87:AZ87)</f>
        <v>355008</v>
      </c>
      <c r="BB87" s="160">
        <v>90022</v>
      </c>
      <c r="BC87" s="160">
        <v>95173</v>
      </c>
      <c r="BD87" s="160">
        <v>85891</v>
      </c>
      <c r="BE87" s="160">
        <v>77763</v>
      </c>
      <c r="BF87" s="160">
        <f t="shared" ref="BF87:BM87" si="56">IFERROR(ROUND(BF88*BF86,0),0)</f>
        <v>68312</v>
      </c>
      <c r="BG87" s="160">
        <f t="shared" si="56"/>
        <v>66201</v>
      </c>
      <c r="BH87" s="160">
        <f t="shared" si="56"/>
        <v>64914</v>
      </c>
      <c r="BI87" s="160">
        <f t="shared" si="56"/>
        <v>50864</v>
      </c>
      <c r="BJ87" s="160">
        <f t="shared" si="56"/>
        <v>42206</v>
      </c>
      <c r="BK87" s="160">
        <f t="shared" si="56"/>
        <v>54294</v>
      </c>
      <c r="BL87" s="160">
        <f t="shared" si="56"/>
        <v>75508</v>
      </c>
      <c r="BM87" s="160">
        <f t="shared" si="56"/>
        <v>67222</v>
      </c>
      <c r="BN87" s="196">
        <f>SUM(BB87:BM87)</f>
        <v>838370</v>
      </c>
      <c r="BO87" s="144">
        <f>IFERROR(ROUND(BO88*BO86,0),0)</f>
        <v>838370</v>
      </c>
    </row>
    <row r="88" spans="1:67" ht="15.75" customHeight="1" thickTop="1">
      <c r="A88" s="374" t="s">
        <v>54</v>
      </c>
      <c r="B88" s="84">
        <f>IF('kWh_Streetlight Data'!C69=0,"",'kWh_Streetlight Data'!C69)</f>
        <v>4207.909090909091</v>
      </c>
      <c r="C88" s="108">
        <f>IF('kWh_Streetlight Data'!D69=0,"",'kWh_Streetlight Data'!D69)</f>
        <v>4990</v>
      </c>
      <c r="D88" s="108">
        <f>IF('kWh_Streetlight Data'!E69=0,"",'kWh_Streetlight Data'!E69)</f>
        <v>3211.0434782608695</v>
      </c>
      <c r="E88" s="108">
        <f>IF('kWh_Streetlight Data'!F69=0,"",'kWh_Streetlight Data'!F69)</f>
        <v>4242.130434782609</v>
      </c>
      <c r="F88" s="108">
        <f>IF('kWh_Streetlight Data'!G69=0,"",'kWh_Streetlight Data'!G69)</f>
        <v>3216.521739130435</v>
      </c>
      <c r="G88" s="108">
        <f>IF('kWh_Streetlight Data'!H69=0,"",'kWh_Streetlight Data'!H69)</f>
        <v>2913.2608695652175</v>
      </c>
      <c r="H88" s="108">
        <f>IF('kWh_Streetlight Data'!I69=0,"",'kWh_Streetlight Data'!I69)</f>
        <v>3150.2380952380954</v>
      </c>
      <c r="I88" s="108">
        <f>IF('kWh_Streetlight Data'!J69=0,"",'kWh_Streetlight Data'!J69)</f>
        <v>2551.1428571428573</v>
      </c>
      <c r="J88" s="108">
        <f>IF('kWh_Streetlight Data'!K69=0,"",'kWh_Streetlight Data'!K69)</f>
        <v>2980.9</v>
      </c>
      <c r="K88" s="108">
        <f>IF('kWh_Streetlight Data'!L69=0,"",'kWh_Streetlight Data'!L69)</f>
        <v>2964.1428571428573</v>
      </c>
      <c r="L88" s="108">
        <f>IF('kWh_Streetlight Data'!M69=0,"",'kWh_Streetlight Data'!M69)</f>
        <v>3131.6190476190477</v>
      </c>
      <c r="M88" s="108">
        <f>IF('kWh_Streetlight Data'!N69=0,"",'kWh_Streetlight Data'!N69)</f>
        <v>3262.7272727272725</v>
      </c>
      <c r="N88" s="424">
        <f>IF('kWh_Streetlight Data'!O69=0,"",'kWh_Streetlight Data'!O69)</f>
        <v>3417.832699619772</v>
      </c>
      <c r="O88" s="84">
        <f>IF('kWh_Streetlight Data'!P69=0,"",'kWh_Streetlight Data'!P69)</f>
        <v>4678.7142857142853</v>
      </c>
      <c r="P88" s="108">
        <f>IF('kWh_Streetlight Data'!Q69=0,"",'kWh_Streetlight Data'!Q69)</f>
        <v>3657.4545454545455</v>
      </c>
      <c r="Q88" s="108">
        <f>IF('kWh_Streetlight Data'!R69=0,"",'kWh_Streetlight Data'!R69)</f>
        <v>4982.565217391304</v>
      </c>
      <c r="R88" s="108">
        <f>IF('kWh_Streetlight Data'!S69=0,"",'kWh_Streetlight Data'!S69)</f>
        <v>2896.6666666666665</v>
      </c>
      <c r="S88" s="108">
        <f>IF('kWh_Streetlight Data'!T69=0,"",'kWh_Streetlight Data'!T69)</f>
        <v>2893</v>
      </c>
      <c r="T88" s="108">
        <f>IF('kWh_Streetlight Data'!U69=0,"",'kWh_Streetlight Data'!U69)</f>
        <v>3291.695652173913</v>
      </c>
      <c r="U88" s="108">
        <f>IF('kWh_Streetlight Data'!V69=0,"",'kWh_Streetlight Data'!V69)</f>
        <v>3020.909090909091</v>
      </c>
      <c r="V88" s="108">
        <f>IF('kWh_Streetlight Data'!W69=0,"",'kWh_Streetlight Data'!W69)</f>
        <v>2585.782608695652</v>
      </c>
      <c r="W88" s="108">
        <f>IF('kWh_Streetlight Data'!X69=0,"",'kWh_Streetlight Data'!X69)</f>
        <v>1454.4285714285713</v>
      </c>
      <c r="X88" s="108">
        <f>IF('kWh_Streetlight Data'!Y69=0,"",'kWh_Streetlight Data'!Y69)</f>
        <v>2593.3703703703704</v>
      </c>
      <c r="Y88" s="108">
        <f>IF('kWh_Streetlight Data'!Z69=0,"",'kWh_Streetlight Data'!Z69)</f>
        <v>3553.7619047619046</v>
      </c>
      <c r="Z88" s="108">
        <f>IF('kWh_Streetlight Data'!AA69=0,"",'kWh_Streetlight Data'!AA69)</f>
        <v>3404.0833333333335</v>
      </c>
      <c r="AA88" s="426">
        <f>IF('kWh_Streetlight Data'!AB69=0,"",'kWh_Streetlight Data'!AB69)</f>
        <v>3240.5401459854015</v>
      </c>
      <c r="AB88" s="442">
        <f>IF('kWh_Streetlight Data'!AC69=0,"",'kWh_Streetlight Data'!AC69)</f>
        <v>3389.0454545454545</v>
      </c>
      <c r="AC88" s="443">
        <f>IF('kWh_Streetlight Data'!AD69=0,"",'kWh_Streetlight Data'!AD69)</f>
        <v>4330.739130434783</v>
      </c>
      <c r="AD88" s="443">
        <f>IF('kWh_Streetlight Data'!AE69=0,"",'kWh_Streetlight Data'!AE69)</f>
        <v>3518.8</v>
      </c>
      <c r="AE88" s="443">
        <f>IF('kWh_Streetlight Data'!AF69=0,"",'kWh_Streetlight Data'!AF69)</f>
        <v>3465.2380952380954</v>
      </c>
      <c r="AF88" s="443">
        <f>IF('kWh_Streetlight Data'!AG69=0,"",'kWh_Streetlight Data'!AG69)</f>
        <v>3205.7857142857142</v>
      </c>
      <c r="AG88" s="443">
        <f>IF('kWh_Streetlight Data'!AH69=0,"",'kWh_Streetlight Data'!AH69)</f>
        <v>2822.4583333333335</v>
      </c>
      <c r="AH88" s="443">
        <f>IF('kWh_Streetlight Data'!AI69=0,"",'kWh_Streetlight Data'!AI69)</f>
        <v>2680.7916666666665</v>
      </c>
      <c r="AI88" s="443">
        <f>IF('kWh_Streetlight Data'!AJ69=0,"",'kWh_Streetlight Data'!AJ69)</f>
        <v>1799.1304347826087</v>
      </c>
      <c r="AJ88" s="443">
        <f>IF('kWh_Streetlight Data'!AK69=0,"",'kWh_Streetlight Data'!AK69)</f>
        <v>1320.1</v>
      </c>
      <c r="AK88" s="443">
        <f>IF('kWh_Streetlight Data'!AL69=0,"",'kWh_Streetlight Data'!AL69)</f>
        <v>1846.2</v>
      </c>
      <c r="AL88" s="443">
        <f>IF('kWh_Streetlight Data'!AM69=0,"",'kWh_Streetlight Data'!AM69)</f>
        <v>3611.1538461538462</v>
      </c>
      <c r="AM88" s="443">
        <f>IF('kWh_Streetlight Data'!AN69=0,"",'kWh_Streetlight Data'!AN69)</f>
        <v>2499.782608695652</v>
      </c>
      <c r="AN88" s="424">
        <f>IF('kWh_Streetlight Data'!AO69=0,"",'kWh_Streetlight Data'!AO69)</f>
        <v>2876.0809859154929</v>
      </c>
      <c r="AO88" s="34"/>
      <c r="AP88" s="35"/>
      <c r="AQ88" s="35"/>
      <c r="AR88" s="35"/>
      <c r="AS88" s="35"/>
      <c r="AT88" s="9"/>
      <c r="AU88" s="9">
        <f t="shared" ref="AU88:AZ88" si="57">IFERROR(AVERAGE(AH88,U88,H88),0)</f>
        <v>2950.6462842712845</v>
      </c>
      <c r="AV88" s="9">
        <f t="shared" si="57"/>
        <v>2312.0186335403728</v>
      </c>
      <c r="AW88" s="9">
        <f t="shared" si="57"/>
        <v>1918.4761904761901</v>
      </c>
      <c r="AX88" s="9">
        <f t="shared" si="57"/>
        <v>2467.9044091710762</v>
      </c>
      <c r="AY88" s="9">
        <f t="shared" si="57"/>
        <v>3432.1782661782659</v>
      </c>
      <c r="AZ88" s="9">
        <f t="shared" si="57"/>
        <v>3055.5310715854193</v>
      </c>
      <c r="BA88" s="211"/>
      <c r="BB88" s="9">
        <v>4091.88961038961</v>
      </c>
      <c r="BC88" s="41">
        <v>4326.064558629776</v>
      </c>
      <c r="BD88" s="41">
        <v>3904.1362318840584</v>
      </c>
      <c r="BE88" s="41">
        <v>3534.6783988957905</v>
      </c>
      <c r="BF88" s="41">
        <f t="shared" ref="BF88" si="58">IFERROR(AVERAGE(F88,S88,AF88),0)</f>
        <v>3105.10248447205</v>
      </c>
      <c r="BG88" s="41">
        <f t="shared" ref="BG88" si="59">IFERROR(AVERAGE(G88,T88,AG88),0)</f>
        <v>3009.1382850241548</v>
      </c>
      <c r="BH88" s="41">
        <f t="shared" ref="BH88" si="60">IFERROR(AVERAGE(H88,U88,AH88),0)</f>
        <v>2950.6462842712845</v>
      </c>
      <c r="BI88" s="41">
        <f t="shared" ref="BI88" si="61">IFERROR(AVERAGE(I88,V88,AI88),0)</f>
        <v>2312.0186335403728</v>
      </c>
      <c r="BJ88" s="41">
        <f t="shared" ref="BJ88" si="62">IFERROR(AVERAGE(J88,W88,AJ88),0)</f>
        <v>1918.4761904761901</v>
      </c>
      <c r="BK88" s="41">
        <f t="shared" ref="BK88" si="63">IFERROR(AVERAGE(K88,X88,AK88),0)</f>
        <v>2467.9044091710757</v>
      </c>
      <c r="BL88" s="41">
        <f t="shared" ref="BL88" si="64">IFERROR(AVERAGE(L88,Y88,AL88),0)</f>
        <v>3432.1782661782659</v>
      </c>
      <c r="BM88" s="9">
        <f t="shared" ref="BM88" si="65">IFERROR(AVERAGE(M88,Z88,AM88),0)</f>
        <v>3055.5310715854193</v>
      </c>
      <c r="BN88" s="211">
        <f>IFERROR(BN87/SUM(BB86:BM86)*12,0)</f>
        <v>38107.727272727272</v>
      </c>
      <c r="BO88" s="20">
        <f>BN88</f>
        <v>38107.727272727272</v>
      </c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Data'!C70=0,"",'kWh_Streetlight Data'!C70)</f>
        <v/>
      </c>
      <c r="C94" s="108" t="str">
        <f>IF('kWh_Streetlight Data'!D70=0,"",'kWh_Streetlight Data'!D70)</f>
        <v/>
      </c>
      <c r="D94" s="108" t="str">
        <f>IF('kWh_Streetlight Data'!E70=0,"",'kWh_Streetlight Data'!E70)</f>
        <v/>
      </c>
      <c r="E94" s="108" t="str">
        <f>IF('kWh_Streetlight Data'!F70=0,"",'kWh_Streetlight Data'!F70)</f>
        <v/>
      </c>
      <c r="F94" s="108" t="str">
        <f>IF('kWh_Streetlight Data'!G70=0,"",'kWh_Streetlight Data'!G70)</f>
        <v/>
      </c>
      <c r="G94" s="108" t="str">
        <f>IF('kWh_Streetlight Data'!H70=0,"",'kWh_Streetlight Data'!H70)</f>
        <v/>
      </c>
      <c r="H94" s="108" t="str">
        <f>IF('kWh_Streetlight Data'!I70=0,"",'kWh_Streetlight Data'!I70)</f>
        <v/>
      </c>
      <c r="I94" s="108" t="str">
        <f>IF('kWh_Streetlight Data'!J70=0,"",'kWh_Streetlight Data'!J70)</f>
        <v/>
      </c>
      <c r="J94" s="108" t="str">
        <f>IF('kWh_Streetlight Data'!K70=0,"",'kWh_Streetlight Data'!K70)</f>
        <v/>
      </c>
      <c r="K94" s="108" t="str">
        <f>IF('kWh_Streetlight Data'!L70=0,"",'kWh_Streetlight Data'!L70)</f>
        <v/>
      </c>
      <c r="L94" s="130" t="str">
        <f>IF('kWh_Streetlight Data'!M70=0,"",'kWh_Streetlight Data'!M70)</f>
        <v/>
      </c>
      <c r="M94" s="130" t="str">
        <f>IF('kWh_Streetlight Data'!N70=0,"",'kWh_Streetlight Data'!N70)</f>
        <v/>
      </c>
      <c r="N94" s="425" t="str">
        <f>IF('kWh_Streetlight Data'!O70=0,"",'kWh_Streetlight Data'!O70)</f>
        <v/>
      </c>
      <c r="O94" s="84" t="str">
        <f>IF('kWh_Streetlight Data'!P70=0,"",'kWh_Streetlight Data'!P70)</f>
        <v/>
      </c>
      <c r="P94" s="108" t="str">
        <f>IF('kWh_Streetlight Data'!Q70=0,"",'kWh_Streetlight Data'!Q70)</f>
        <v/>
      </c>
      <c r="Q94" s="108" t="str">
        <f>IF('kWh_Streetlight Data'!R70=0,"",'kWh_Streetlight Data'!R70)</f>
        <v/>
      </c>
      <c r="R94" s="108" t="str">
        <f>IF('kWh_Streetlight Data'!S70=0,"",'kWh_Streetlight Data'!S70)</f>
        <v/>
      </c>
      <c r="S94" s="108" t="str">
        <f>IF('kWh_Streetlight Data'!T70=0,"",'kWh_Streetlight Data'!T70)</f>
        <v/>
      </c>
      <c r="T94" s="108" t="str">
        <f>IF('kWh_Streetlight Data'!U70=0,"",'kWh_Streetlight Data'!U70)</f>
        <v/>
      </c>
      <c r="U94" s="108" t="str">
        <f>IF('kWh_Streetlight Data'!V70=0,"",'kWh_Streetlight Data'!V70)</f>
        <v/>
      </c>
      <c r="V94" s="108" t="str">
        <f>IF('kWh_Streetlight Data'!W70=0,"",'kWh_Streetlight Data'!W70)</f>
        <v/>
      </c>
      <c r="W94" s="108" t="str">
        <f>IF('kWh_Streetlight Data'!X70=0,"",'kWh_Streetlight Data'!X70)</f>
        <v/>
      </c>
      <c r="X94" s="108" t="str">
        <f>IF('kWh_Streetlight Data'!Y70=0,"",'kWh_Streetlight Data'!Y70)</f>
        <v/>
      </c>
      <c r="Y94" s="108" t="str">
        <f>IF('kWh_Streetlight Data'!Z70=0,"",'kWh_Streetlight Data'!Z70)</f>
        <v/>
      </c>
      <c r="Z94" s="108" t="str">
        <f>IF('kWh_Streetlight Data'!AA70=0,"",'kWh_Streetlight Data'!AA70)</f>
        <v/>
      </c>
      <c r="AA94" s="426" t="str">
        <f>IF('kWh_Streetlight Data'!AB70=0,"",'kWh_Streetlight Data'!AB70)</f>
        <v/>
      </c>
      <c r="AB94" s="84" t="str">
        <f>IF('kWh_Streetlight Data'!AC70=0,"",'kWh_Streetlight Data'!AC70)</f>
        <v/>
      </c>
      <c r="AC94" s="108" t="str">
        <f>IF('kWh_Streetlight Data'!AD70=0,"",'kWh_Streetlight Data'!AD70)</f>
        <v/>
      </c>
      <c r="AD94" s="108" t="str">
        <f>IF('kWh_Streetlight Data'!AE70=0,"",'kWh_Streetlight Data'!AE70)</f>
        <v/>
      </c>
      <c r="AE94" s="108" t="str">
        <f>IF('kWh_Streetlight Data'!AF70=0,"",'kWh_Streetlight Data'!AF70)</f>
        <v/>
      </c>
      <c r="AF94" s="108" t="str">
        <f>IF('kWh_Streetlight Data'!AG70=0,"",'kWh_Streetlight Data'!AG70)</f>
        <v/>
      </c>
      <c r="AG94" s="108" t="str">
        <f>IF('kWh_Streetlight Data'!AH70=0,"",'kWh_Streetlight Data'!AH70)</f>
        <v/>
      </c>
      <c r="AH94" s="108" t="str">
        <f>IF('kWh_Streetlight Data'!AI70=0,"",'kWh_Streetlight Data'!AI70)</f>
        <v/>
      </c>
      <c r="AI94" s="108" t="str">
        <f>IF('kWh_Streetlight Data'!AJ70=0,"",'kWh_Streetlight Data'!AJ70)</f>
        <v/>
      </c>
      <c r="AJ94" s="108" t="str">
        <f>IF('kWh_Streetlight Data'!AK70=0,"",'kWh_Streetlight Data'!AK70)</f>
        <v/>
      </c>
      <c r="AK94" s="108" t="str">
        <f>IF('kWh_Streetlight Data'!AL70=0,"",'kWh_Streetlight Data'!AL70)</f>
        <v/>
      </c>
      <c r="AL94" s="108" t="str">
        <f>IF('kWh_Streetlight Data'!AM70=0,"",'kWh_Streetlight Data'!AM70)</f>
        <v/>
      </c>
      <c r="AM94" s="108" t="str">
        <f>IF('kWh_Streetlight Data'!AN70=0,"",'kWh_Streetlight Data'!AN70)</f>
        <v/>
      </c>
      <c r="AN94" s="424" t="str">
        <f>IF('kWh_Streetlight Data'!AO70=0,"",'kWh_Streetlight Data'!AO70)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66">AU7+AU22+AU29+AU43</f>
        <v>125</v>
      </c>
      <c r="AV98" s="9">
        <f t="shared" si="66"/>
        <v>125</v>
      </c>
      <c r="AW98" s="9">
        <f t="shared" si="66"/>
        <v>128</v>
      </c>
      <c r="AX98" s="9">
        <f t="shared" si="66"/>
        <v>128</v>
      </c>
      <c r="AY98" s="9">
        <f t="shared" si="66"/>
        <v>128</v>
      </c>
      <c r="AZ98" s="9">
        <f t="shared" si="66"/>
        <v>128</v>
      </c>
      <c r="BA98" s="138">
        <f t="shared" si="66"/>
        <v>128</v>
      </c>
      <c r="BB98" s="9">
        <v>134</v>
      </c>
      <c r="BC98" s="9">
        <v>134</v>
      </c>
      <c r="BD98" s="9">
        <v>134</v>
      </c>
      <c r="BE98" s="9">
        <v>134</v>
      </c>
      <c r="BF98" s="9">
        <f t="shared" ref="BF98:BO98" si="67">BF7+BF22+BF29+BF43</f>
        <v>134</v>
      </c>
      <c r="BG98" s="9">
        <f t="shared" si="67"/>
        <v>134</v>
      </c>
      <c r="BH98" s="9">
        <f t="shared" si="67"/>
        <v>134</v>
      </c>
      <c r="BI98" s="9">
        <f t="shared" si="67"/>
        <v>134</v>
      </c>
      <c r="BJ98" s="9">
        <f t="shared" si="67"/>
        <v>134</v>
      </c>
      <c r="BK98" s="9">
        <f t="shared" si="67"/>
        <v>134</v>
      </c>
      <c r="BL98" s="9">
        <f t="shared" si="67"/>
        <v>134</v>
      </c>
      <c r="BM98" s="9">
        <f t="shared" si="67"/>
        <v>134</v>
      </c>
      <c r="BN98" s="138">
        <f t="shared" si="67"/>
        <v>134</v>
      </c>
      <c r="BO98" s="58">
        <f t="shared" si="67"/>
        <v>140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68">AU57</f>
        <v>1</v>
      </c>
      <c r="AV99" s="9">
        <f t="shared" si="68"/>
        <v>1</v>
      </c>
      <c r="AW99" s="9">
        <f t="shared" si="68"/>
        <v>1</v>
      </c>
      <c r="AX99" s="9">
        <f t="shared" si="68"/>
        <v>1</v>
      </c>
      <c r="AY99" s="9">
        <f t="shared" si="68"/>
        <v>1</v>
      </c>
      <c r="AZ99" s="9">
        <f t="shared" si="68"/>
        <v>1</v>
      </c>
      <c r="BA99" s="138">
        <f t="shared" si="68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69">BF57</f>
        <v>1</v>
      </c>
      <c r="BG99" s="9">
        <f t="shared" si="69"/>
        <v>1</v>
      </c>
      <c r="BH99" s="9">
        <f t="shared" si="69"/>
        <v>1</v>
      </c>
      <c r="BI99" s="9">
        <f t="shared" si="69"/>
        <v>1</v>
      </c>
      <c r="BJ99" s="9">
        <f t="shared" si="69"/>
        <v>1</v>
      </c>
      <c r="BK99" s="9">
        <f t="shared" si="69"/>
        <v>1</v>
      </c>
      <c r="BL99" s="9">
        <f t="shared" si="69"/>
        <v>1</v>
      </c>
      <c r="BM99" s="9">
        <f t="shared" si="69"/>
        <v>1</v>
      </c>
      <c r="BN99" s="138">
        <f t="shared" si="69"/>
        <v>1</v>
      </c>
      <c r="BO99" s="58">
        <f t="shared" si="69"/>
        <v>1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>AU65+AU75+AU81+AU86+Customers!E117</f>
        <v>39</v>
      </c>
      <c r="AV100" s="9">
        <f>AV65+AV75+AV81+AV86+Customers!F117</f>
        <v>39</v>
      </c>
      <c r="AW100" s="9">
        <f>AW65+AW75+AW81+AW86+Customers!G117</f>
        <v>39</v>
      </c>
      <c r="AX100" s="9">
        <f>AX65+AX75+AX81+AX86+Customers!H117</f>
        <v>39</v>
      </c>
      <c r="AY100" s="9">
        <f>AY65+AY75+AY81+AY86+Customers!I117</f>
        <v>39</v>
      </c>
      <c r="AZ100" s="9">
        <f>AZ65+AZ75+AZ81+AZ86+Customers!J117</f>
        <v>39</v>
      </c>
      <c r="BA100" s="138">
        <f>BA65+BA75+BA81+BA86+Customers!J117</f>
        <v>39</v>
      </c>
      <c r="BB100" s="29">
        <v>39</v>
      </c>
      <c r="BC100" s="30">
        <v>39</v>
      </c>
      <c r="BD100" s="30">
        <v>39</v>
      </c>
      <c r="BE100" s="30">
        <v>39</v>
      </c>
      <c r="BF100" s="30">
        <f>BF65+BF75+BF81+BF86+Customers!$K$117</f>
        <v>39</v>
      </c>
      <c r="BG100" s="30">
        <f>BG65+BG75+BG81+BG86+Customers!$K$117</f>
        <v>39</v>
      </c>
      <c r="BH100" s="30">
        <f>BH65+BH75+BH81+BH86+Customers!$K$117</f>
        <v>39</v>
      </c>
      <c r="BI100" s="30">
        <f>BI65+BI75+BI81+BI86+Customers!$K$117</f>
        <v>39</v>
      </c>
      <c r="BJ100" s="30">
        <f>BJ65+BJ75+BJ81+BJ86+Customers!$K$117</f>
        <v>39</v>
      </c>
      <c r="BK100" s="30">
        <f>BK65+BK75+BK81+BK86+Customers!$K$117</f>
        <v>39</v>
      </c>
      <c r="BL100" s="30">
        <f>BL65+BL75+BL81+BL86+Customers!$K$117</f>
        <v>39</v>
      </c>
      <c r="BM100" s="351">
        <f>BM65+BM75+BM81+BM86+Customers!$K$117</f>
        <v>39</v>
      </c>
      <c r="BN100" s="351">
        <f>BN65+BN75+BN81+BN86+Customers!$K$117</f>
        <v>39</v>
      </c>
      <c r="BO100" s="351">
        <f>BO65+BO75+BO81+BO86+Customers!L117</f>
        <v>39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70">SUM(AU98:AU100)</f>
        <v>165</v>
      </c>
      <c r="AV101" s="73">
        <f t="shared" si="70"/>
        <v>165</v>
      </c>
      <c r="AW101" s="73">
        <f t="shared" si="70"/>
        <v>168</v>
      </c>
      <c r="AX101" s="73">
        <f t="shared" si="70"/>
        <v>168</v>
      </c>
      <c r="AY101" s="73">
        <f t="shared" si="70"/>
        <v>168</v>
      </c>
      <c r="AZ101" s="73">
        <f t="shared" si="70"/>
        <v>168</v>
      </c>
      <c r="BA101" s="249">
        <f t="shared" si="70"/>
        <v>168</v>
      </c>
      <c r="BB101" s="73">
        <v>174</v>
      </c>
      <c r="BC101" s="73">
        <v>174</v>
      </c>
      <c r="BD101" s="73">
        <v>174</v>
      </c>
      <c r="BE101" s="73">
        <v>174</v>
      </c>
      <c r="BF101" s="73">
        <f t="shared" ref="BF101" si="71">SUM(BF98:BF100)</f>
        <v>174</v>
      </c>
      <c r="BG101" s="73">
        <f t="shared" ref="BG101" si="72">SUM(BG98:BG100)</f>
        <v>174</v>
      </c>
      <c r="BH101" s="73">
        <f t="shared" ref="BH101" si="73">SUM(BH98:BH100)</f>
        <v>174</v>
      </c>
      <c r="BI101" s="73">
        <f t="shared" ref="BI101" si="74">SUM(BI98:BI100)</f>
        <v>174</v>
      </c>
      <c r="BJ101" s="73">
        <f t="shared" ref="BJ101" si="75">SUM(BJ98:BJ100)</f>
        <v>174</v>
      </c>
      <c r="BK101" s="73">
        <f t="shared" ref="BK101" si="76">SUM(BK98:BK100)</f>
        <v>174</v>
      </c>
      <c r="BL101" s="73">
        <f t="shared" ref="BL101" si="77">SUM(BL98:BL100)</f>
        <v>174</v>
      </c>
      <c r="BM101" s="73">
        <f t="shared" ref="BM101" si="78">SUM(BM98:BM100)</f>
        <v>174</v>
      </c>
      <c r="BN101" s="249">
        <f t="shared" ref="BN101" si="79">SUM(BN98:BN100)</f>
        <v>174</v>
      </c>
      <c r="BO101" s="268">
        <f t="shared" ref="BO101" si="80">SUM(BO98:BO100)</f>
        <v>180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81">AU15+AU36+AU50</f>
        <v>0</v>
      </c>
      <c r="AV102" s="9">
        <f t="shared" si="81"/>
        <v>0</v>
      </c>
      <c r="AW102" s="9">
        <f t="shared" si="81"/>
        <v>0</v>
      </c>
      <c r="AX102" s="9">
        <f t="shared" si="81"/>
        <v>0</v>
      </c>
      <c r="AY102" s="9">
        <f t="shared" si="81"/>
        <v>0</v>
      </c>
      <c r="AZ102" s="9">
        <f t="shared" si="81"/>
        <v>0</v>
      </c>
      <c r="BA102" s="138">
        <f t="shared" si="81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82">BF15+BF36+BF50</f>
        <v>0</v>
      </c>
      <c r="BG102" s="9">
        <f t="shared" si="82"/>
        <v>0</v>
      </c>
      <c r="BH102" s="9">
        <f t="shared" si="82"/>
        <v>0</v>
      </c>
      <c r="BI102" s="9">
        <f t="shared" si="82"/>
        <v>0</v>
      </c>
      <c r="BJ102" s="9">
        <f t="shared" si="82"/>
        <v>0</v>
      </c>
      <c r="BK102" s="9">
        <f t="shared" si="82"/>
        <v>0</v>
      </c>
      <c r="BL102" s="9">
        <f t="shared" si="82"/>
        <v>0</v>
      </c>
      <c r="BM102" s="9">
        <f t="shared" si="82"/>
        <v>0</v>
      </c>
      <c r="BN102" s="138">
        <f t="shared" si="82"/>
        <v>0</v>
      </c>
      <c r="BO102" s="266">
        <f t="shared" si="82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83">AU92</f>
        <v>0</v>
      </c>
      <c r="AV104" s="9">
        <f t="shared" si="83"/>
        <v>0</v>
      </c>
      <c r="AW104" s="9">
        <f t="shared" si="83"/>
        <v>0</v>
      </c>
      <c r="AX104" s="9">
        <f t="shared" si="83"/>
        <v>0</v>
      </c>
      <c r="AY104" s="9">
        <f t="shared" si="83"/>
        <v>0</v>
      </c>
      <c r="AZ104" s="9">
        <f t="shared" si="83"/>
        <v>0</v>
      </c>
      <c r="BA104" s="414">
        <f t="shared" si="83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84">BF92</f>
        <v>0</v>
      </c>
      <c r="BG104" s="9">
        <f t="shared" si="84"/>
        <v>0</v>
      </c>
      <c r="BH104" s="9">
        <f t="shared" si="84"/>
        <v>0</v>
      </c>
      <c r="BI104" s="9">
        <f t="shared" si="84"/>
        <v>0</v>
      </c>
      <c r="BJ104" s="9">
        <f t="shared" si="84"/>
        <v>0</v>
      </c>
      <c r="BK104" s="9">
        <f t="shared" si="84"/>
        <v>0</v>
      </c>
      <c r="BL104" s="9">
        <f t="shared" si="84"/>
        <v>0</v>
      </c>
      <c r="BM104" s="9">
        <f t="shared" si="84"/>
        <v>0</v>
      </c>
      <c r="BN104" s="138">
        <f t="shared" si="84"/>
        <v>0</v>
      </c>
      <c r="BO104" s="58">
        <f t="shared" si="84"/>
        <v>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85">SUM(AU102:AU104)</f>
        <v>0</v>
      </c>
      <c r="AV105" s="73">
        <f t="shared" si="85"/>
        <v>0</v>
      </c>
      <c r="AW105" s="73">
        <f t="shared" si="85"/>
        <v>0</v>
      </c>
      <c r="AX105" s="73">
        <f t="shared" si="85"/>
        <v>0</v>
      </c>
      <c r="AY105" s="73">
        <f t="shared" si="85"/>
        <v>0</v>
      </c>
      <c r="AZ105" s="73">
        <f t="shared" si="85"/>
        <v>0</v>
      </c>
      <c r="BA105" s="249">
        <f t="shared" si="8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" si="86">SUM(BF102:BF104)</f>
        <v>0</v>
      </c>
      <c r="BG105" s="73">
        <f t="shared" ref="BG105" si="87">SUM(BG102:BG104)</f>
        <v>0</v>
      </c>
      <c r="BH105" s="73">
        <f t="shared" ref="BH105" si="88">SUM(BH102:BH104)</f>
        <v>0</v>
      </c>
      <c r="BI105" s="73">
        <f t="shared" ref="BI105" si="89">SUM(BI102:BI104)</f>
        <v>0</v>
      </c>
      <c r="BJ105" s="73">
        <f t="shared" ref="BJ105" si="90">SUM(BJ102:BJ104)</f>
        <v>0</v>
      </c>
      <c r="BK105" s="73">
        <f t="shared" ref="BK105" si="91">SUM(BK102:BK104)</f>
        <v>0</v>
      </c>
      <c r="BL105" s="73">
        <f t="shared" ref="BL105" si="92">SUM(BL102:BL104)</f>
        <v>0</v>
      </c>
      <c r="BM105" s="73">
        <f t="shared" ref="BM105" si="93">SUM(BM102:BM104)</f>
        <v>0</v>
      </c>
      <c r="BN105" s="249">
        <f t="shared" ref="BN105" si="94">SUM(BN102:BN104)</f>
        <v>0</v>
      </c>
      <c r="BO105" s="268">
        <f t="shared" ref="BO105" si="95">SUM(BO102:BO104)</f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A106" si="96">AU105+AU101</f>
        <v>165</v>
      </c>
      <c r="AV106" s="251">
        <f t="shared" si="96"/>
        <v>165</v>
      </c>
      <c r="AW106" s="251">
        <f t="shared" si="96"/>
        <v>168</v>
      </c>
      <c r="AX106" s="251">
        <f t="shared" si="96"/>
        <v>168</v>
      </c>
      <c r="AY106" s="251">
        <f t="shared" si="96"/>
        <v>168</v>
      </c>
      <c r="AZ106" s="251">
        <f t="shared" si="96"/>
        <v>168</v>
      </c>
      <c r="BA106" s="255">
        <f t="shared" si="96"/>
        <v>168</v>
      </c>
      <c r="BB106" s="251">
        <v>174</v>
      </c>
      <c r="BC106" s="251">
        <v>174</v>
      </c>
      <c r="BD106" s="251">
        <v>174</v>
      </c>
      <c r="BE106" s="251">
        <v>174</v>
      </c>
      <c r="BF106" s="251">
        <f t="shared" ref="BF106" si="97">BF105+BF101</f>
        <v>174</v>
      </c>
      <c r="BG106" s="251">
        <f t="shared" ref="BG106" si="98">BG105+BG101</f>
        <v>174</v>
      </c>
      <c r="BH106" s="251">
        <f t="shared" ref="BH106" si="99">BH105+BH101</f>
        <v>174</v>
      </c>
      <c r="BI106" s="251">
        <f t="shared" ref="BI106" si="100">BI105+BI101</f>
        <v>174</v>
      </c>
      <c r="BJ106" s="251">
        <f t="shared" ref="BJ106" si="101">BJ105+BJ101</f>
        <v>174</v>
      </c>
      <c r="BK106" s="251">
        <f t="shared" ref="BK106" si="102">BK105+BK101</f>
        <v>174</v>
      </c>
      <c r="BL106" s="251">
        <f t="shared" ref="BL106" si="103">BL105+BL101</f>
        <v>174</v>
      </c>
      <c r="BM106" s="251">
        <f t="shared" ref="BM106" si="104">BM105+BM101</f>
        <v>174</v>
      </c>
      <c r="BN106" s="255">
        <f t="shared" ref="BN106:BO106" si="105">BN105+BN101</f>
        <v>174</v>
      </c>
      <c r="BO106" s="269">
        <f t="shared" si="105"/>
        <v>180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106">AU11+AU26+AU33+AU47</f>
        <v>161982</v>
      </c>
      <c r="AV108" s="9">
        <f t="shared" si="106"/>
        <v>141352</v>
      </c>
      <c r="AW108" s="9">
        <f t="shared" si="106"/>
        <v>148587</v>
      </c>
      <c r="AX108" s="9">
        <f t="shared" si="106"/>
        <v>150563</v>
      </c>
      <c r="AY108" s="9">
        <f t="shared" si="106"/>
        <v>198507</v>
      </c>
      <c r="AZ108" s="9">
        <f t="shared" si="106"/>
        <v>177487</v>
      </c>
      <c r="BA108" s="138">
        <f t="shared" si="106"/>
        <v>978478</v>
      </c>
      <c r="BB108" s="9">
        <v>251872</v>
      </c>
      <c r="BC108" s="9">
        <v>250425</v>
      </c>
      <c r="BD108" s="9">
        <v>244252</v>
      </c>
      <c r="BE108" s="9">
        <v>216169</v>
      </c>
      <c r="BF108" s="9">
        <f t="shared" ref="BF108:BO108" si="107">BF11+BF26+BF33+BF47</f>
        <v>187532</v>
      </c>
      <c r="BG108" s="9">
        <f t="shared" si="107"/>
        <v>148438</v>
      </c>
      <c r="BH108" s="9">
        <f t="shared" si="107"/>
        <v>173063</v>
      </c>
      <c r="BI108" s="9">
        <f t="shared" si="107"/>
        <v>151017</v>
      </c>
      <c r="BJ108" s="9">
        <f t="shared" si="107"/>
        <v>155185</v>
      </c>
      <c r="BK108" s="9">
        <f t="shared" si="107"/>
        <v>157221</v>
      </c>
      <c r="BL108" s="9">
        <f t="shared" si="107"/>
        <v>207322</v>
      </c>
      <c r="BM108" s="9">
        <f t="shared" si="107"/>
        <v>185558</v>
      </c>
      <c r="BN108" s="138">
        <f t="shared" si="107"/>
        <v>2328054</v>
      </c>
      <c r="BO108" s="58">
        <f t="shared" si="107"/>
        <v>2427256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108">AU58</f>
        <v>224</v>
      </c>
      <c r="AV109" s="9">
        <f t="shared" si="108"/>
        <v>224</v>
      </c>
      <c r="AW109" s="9">
        <f t="shared" si="108"/>
        <v>224</v>
      </c>
      <c r="AX109" s="9">
        <f t="shared" si="108"/>
        <v>224</v>
      </c>
      <c r="AY109" s="9">
        <f t="shared" si="108"/>
        <v>224</v>
      </c>
      <c r="AZ109" s="9">
        <f t="shared" si="108"/>
        <v>224</v>
      </c>
      <c r="BA109" s="138">
        <f t="shared" si="108"/>
        <v>1344</v>
      </c>
      <c r="BB109" s="9">
        <v>224</v>
      </c>
      <c r="BC109" s="9">
        <v>224</v>
      </c>
      <c r="BD109" s="9">
        <v>224</v>
      </c>
      <c r="BE109" s="9">
        <v>224</v>
      </c>
      <c r="BF109" s="9">
        <f t="shared" ref="BF109:BO109" si="109">BF58</f>
        <v>224</v>
      </c>
      <c r="BG109" s="9">
        <f t="shared" si="109"/>
        <v>224</v>
      </c>
      <c r="BH109" s="9">
        <f t="shared" si="109"/>
        <v>224</v>
      </c>
      <c r="BI109" s="9">
        <f t="shared" si="109"/>
        <v>224</v>
      </c>
      <c r="BJ109" s="9">
        <f t="shared" si="109"/>
        <v>224</v>
      </c>
      <c r="BK109" s="9">
        <f t="shared" si="109"/>
        <v>224</v>
      </c>
      <c r="BL109" s="9">
        <f t="shared" si="109"/>
        <v>224</v>
      </c>
      <c r="BM109" s="9">
        <f t="shared" si="109"/>
        <v>224</v>
      </c>
      <c r="BN109" s="138">
        <f t="shared" si="109"/>
        <v>2688</v>
      </c>
      <c r="BO109" s="58">
        <f t="shared" si="109"/>
        <v>2688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110">AU68+AU78+AU82+AU87</f>
        <v>73842</v>
      </c>
      <c r="AV110" s="9">
        <f t="shared" si="110"/>
        <v>58183</v>
      </c>
      <c r="AW110" s="9">
        <f t="shared" si="110"/>
        <v>50746</v>
      </c>
      <c r="AX110" s="9">
        <f t="shared" si="110"/>
        <v>65721</v>
      </c>
      <c r="AY110" s="9">
        <f t="shared" si="110"/>
        <v>86960</v>
      </c>
      <c r="AZ110" s="9">
        <f t="shared" si="110"/>
        <v>79980</v>
      </c>
      <c r="BA110" s="138">
        <f t="shared" si="110"/>
        <v>415432</v>
      </c>
      <c r="BB110" s="9">
        <v>108108</v>
      </c>
      <c r="BC110" s="9">
        <v>115586</v>
      </c>
      <c r="BD110" s="9">
        <v>103412</v>
      </c>
      <c r="BE110" s="9">
        <v>93124</v>
      </c>
      <c r="BF110" s="9">
        <f t="shared" ref="BF110:BO110" si="111">BF68+BF78+BF82+BF87</f>
        <v>81287</v>
      </c>
      <c r="BG110" s="9">
        <f t="shared" si="111"/>
        <v>75248</v>
      </c>
      <c r="BH110" s="9">
        <f t="shared" si="111"/>
        <v>73842</v>
      </c>
      <c r="BI110" s="9">
        <f t="shared" si="111"/>
        <v>58183</v>
      </c>
      <c r="BJ110" s="9">
        <f t="shared" si="111"/>
        <v>50746</v>
      </c>
      <c r="BK110" s="9">
        <f t="shared" si="111"/>
        <v>65721</v>
      </c>
      <c r="BL110" s="9">
        <f t="shared" si="111"/>
        <v>86960</v>
      </c>
      <c r="BM110" s="9">
        <f t="shared" si="111"/>
        <v>79980</v>
      </c>
      <c r="BN110" s="138">
        <f t="shared" si="111"/>
        <v>992197</v>
      </c>
      <c r="BO110" s="58">
        <f t="shared" si="111"/>
        <v>992197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112">SUM(AU108:AU110)</f>
        <v>236048</v>
      </c>
      <c r="AV111" s="73">
        <f t="shared" si="112"/>
        <v>199759</v>
      </c>
      <c r="AW111" s="73">
        <f t="shared" si="112"/>
        <v>199557</v>
      </c>
      <c r="AX111" s="73">
        <f t="shared" si="112"/>
        <v>216508</v>
      </c>
      <c r="AY111" s="73">
        <f t="shared" si="112"/>
        <v>285691</v>
      </c>
      <c r="AZ111" s="73">
        <f t="shared" si="112"/>
        <v>257691</v>
      </c>
      <c r="BA111" s="249">
        <f t="shared" si="112"/>
        <v>1395254</v>
      </c>
      <c r="BB111" s="73">
        <v>360204</v>
      </c>
      <c r="BC111" s="73">
        <v>366235</v>
      </c>
      <c r="BD111" s="73">
        <v>347888</v>
      </c>
      <c r="BE111" s="73">
        <v>309517</v>
      </c>
      <c r="BF111" s="73">
        <f t="shared" ref="BF111" si="113">SUM(BF108:BF110)</f>
        <v>269043</v>
      </c>
      <c r="BG111" s="73">
        <f t="shared" ref="BG111" si="114">SUM(BG108:BG110)</f>
        <v>223910</v>
      </c>
      <c r="BH111" s="73">
        <f t="shared" ref="BH111" si="115">SUM(BH108:BH110)</f>
        <v>247129</v>
      </c>
      <c r="BI111" s="73">
        <f t="shared" ref="BI111" si="116">SUM(BI108:BI110)</f>
        <v>209424</v>
      </c>
      <c r="BJ111" s="73">
        <f t="shared" ref="BJ111" si="117">SUM(BJ108:BJ110)</f>
        <v>206155</v>
      </c>
      <c r="BK111" s="73">
        <f t="shared" ref="BK111" si="118">SUM(BK108:BK110)</f>
        <v>223166</v>
      </c>
      <c r="BL111" s="73">
        <f t="shared" ref="BL111" si="119">SUM(BL108:BL110)</f>
        <v>294506</v>
      </c>
      <c r="BM111" s="73">
        <f t="shared" ref="BM111" si="120">SUM(BM108:BM110)</f>
        <v>265762</v>
      </c>
      <c r="BN111" s="249">
        <f t="shared" ref="BN111:BO111" si="121">SUM(BN108:BN110)</f>
        <v>3322939</v>
      </c>
      <c r="BO111" s="268">
        <f t="shared" si="121"/>
        <v>3422141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122">AU19+AU40+AU54</f>
        <v>0</v>
      </c>
      <c r="AV112" s="9">
        <f t="shared" si="122"/>
        <v>0</v>
      </c>
      <c r="AW112" s="9">
        <f t="shared" si="122"/>
        <v>0</v>
      </c>
      <c r="AX112" s="9">
        <f t="shared" si="122"/>
        <v>0</v>
      </c>
      <c r="AY112" s="9">
        <f t="shared" si="122"/>
        <v>0</v>
      </c>
      <c r="AZ112" s="9">
        <f t="shared" si="122"/>
        <v>0</v>
      </c>
      <c r="BA112" s="138">
        <f t="shared" si="122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123">BF19+BF40+BF54</f>
        <v>0</v>
      </c>
      <c r="BG112" s="9">
        <f t="shared" si="123"/>
        <v>0</v>
      </c>
      <c r="BH112" s="9">
        <f t="shared" si="123"/>
        <v>0</v>
      </c>
      <c r="BI112" s="9">
        <f t="shared" si="123"/>
        <v>0</v>
      </c>
      <c r="BJ112" s="9">
        <f t="shared" si="123"/>
        <v>0</v>
      </c>
      <c r="BK112" s="9">
        <f t="shared" si="123"/>
        <v>0</v>
      </c>
      <c r="BL112" s="9">
        <f t="shared" si="123"/>
        <v>0</v>
      </c>
      <c r="BM112" s="9">
        <f t="shared" si="123"/>
        <v>0</v>
      </c>
      <c r="BN112" s="138">
        <f t="shared" si="123"/>
        <v>0</v>
      </c>
      <c r="BO112" s="58">
        <f t="shared" si="123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124">AU93</f>
        <v>0</v>
      </c>
      <c r="AV114" s="9">
        <f t="shared" si="124"/>
        <v>0</v>
      </c>
      <c r="AW114" s="9">
        <f t="shared" si="124"/>
        <v>0</v>
      </c>
      <c r="AX114" s="9">
        <f t="shared" si="124"/>
        <v>0</v>
      </c>
      <c r="AY114" s="9">
        <f t="shared" si="124"/>
        <v>0</v>
      </c>
      <c r="AZ114" s="9">
        <f t="shared" si="124"/>
        <v>0</v>
      </c>
      <c r="BA114" s="138">
        <f t="shared" si="124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125">BF93</f>
        <v>0</v>
      </c>
      <c r="BG114" s="9">
        <f t="shared" si="125"/>
        <v>0</v>
      </c>
      <c r="BH114" s="9">
        <f t="shared" si="125"/>
        <v>0</v>
      </c>
      <c r="BI114" s="9">
        <f t="shared" si="125"/>
        <v>0</v>
      </c>
      <c r="BJ114" s="9">
        <f t="shared" si="125"/>
        <v>0</v>
      </c>
      <c r="BK114" s="9">
        <f t="shared" si="125"/>
        <v>0</v>
      </c>
      <c r="BL114" s="9">
        <f t="shared" si="125"/>
        <v>0</v>
      </c>
      <c r="BM114" s="9">
        <f t="shared" si="125"/>
        <v>0</v>
      </c>
      <c r="BN114" s="138">
        <f t="shared" si="125"/>
        <v>0</v>
      </c>
      <c r="BO114" s="58">
        <f t="shared" si="125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126">SUM(AU112:AU114)</f>
        <v>0</v>
      </c>
      <c r="AV115" s="73">
        <f t="shared" si="126"/>
        <v>0</v>
      </c>
      <c r="AW115" s="73">
        <f t="shared" si="126"/>
        <v>0</v>
      </c>
      <c r="AX115" s="73">
        <f t="shared" si="126"/>
        <v>0</v>
      </c>
      <c r="AY115" s="73">
        <f t="shared" si="126"/>
        <v>0</v>
      </c>
      <c r="AZ115" s="73">
        <f t="shared" si="126"/>
        <v>0</v>
      </c>
      <c r="BA115" s="249">
        <f t="shared" si="126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" si="127">SUM(BF112:BF114)</f>
        <v>0</v>
      </c>
      <c r="BG115" s="73">
        <f t="shared" ref="BG115" si="128">SUM(BG112:BG114)</f>
        <v>0</v>
      </c>
      <c r="BH115" s="73">
        <f t="shared" ref="BH115" si="129">SUM(BH112:BH114)</f>
        <v>0</v>
      </c>
      <c r="BI115" s="73">
        <f t="shared" ref="BI115" si="130">SUM(BI112:BI114)</f>
        <v>0</v>
      </c>
      <c r="BJ115" s="73">
        <f t="shared" ref="BJ115" si="131">SUM(BJ112:BJ114)</f>
        <v>0</v>
      </c>
      <c r="BK115" s="73">
        <f t="shared" ref="BK115" si="132">SUM(BK112:BK114)</f>
        <v>0</v>
      </c>
      <c r="BL115" s="73">
        <f t="shared" ref="BL115" si="133">SUM(BL112:BL114)</f>
        <v>0</v>
      </c>
      <c r="BM115" s="73">
        <f t="shared" ref="BM115" si="134">SUM(BM112:BM114)</f>
        <v>0</v>
      </c>
      <c r="BN115" s="249">
        <f t="shared" ref="BN115:BO115" si="135">SUM(BN112:BN114)</f>
        <v>0</v>
      </c>
      <c r="BO115" s="268">
        <f t="shared" si="135"/>
        <v>0</v>
      </c>
    </row>
    <row r="116" spans="1:67" s="3" customFormat="1" ht="15.75" customHeight="1" thickBot="1">
      <c r="A116" s="201" t="s">
        <v>86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A116" si="136">AU115+AU111</f>
        <v>236048</v>
      </c>
      <c r="AV116" s="251">
        <f t="shared" si="136"/>
        <v>199759</v>
      </c>
      <c r="AW116" s="251">
        <f t="shared" si="136"/>
        <v>199557</v>
      </c>
      <c r="AX116" s="251">
        <f t="shared" si="136"/>
        <v>216508</v>
      </c>
      <c r="AY116" s="251">
        <f t="shared" si="136"/>
        <v>285691</v>
      </c>
      <c r="AZ116" s="251">
        <f t="shared" si="136"/>
        <v>257691</v>
      </c>
      <c r="BA116" s="255">
        <f t="shared" si="136"/>
        <v>1395254</v>
      </c>
      <c r="BB116" s="251">
        <v>360204</v>
      </c>
      <c r="BC116" s="251">
        <v>366235</v>
      </c>
      <c r="BD116" s="251">
        <v>347888</v>
      </c>
      <c r="BE116" s="251">
        <v>309517</v>
      </c>
      <c r="BF116" s="251">
        <f t="shared" ref="BF116" si="137">BF115+BF111</f>
        <v>269043</v>
      </c>
      <c r="BG116" s="251">
        <f t="shared" ref="BG116" si="138">BG115+BG111</f>
        <v>223910</v>
      </c>
      <c r="BH116" s="251">
        <f t="shared" ref="BH116" si="139">BH115+BH111</f>
        <v>247129</v>
      </c>
      <c r="BI116" s="251">
        <f t="shared" ref="BI116" si="140">BI115+BI111</f>
        <v>209424</v>
      </c>
      <c r="BJ116" s="251">
        <f t="shared" ref="BJ116" si="141">BJ115+BJ111</f>
        <v>206155</v>
      </c>
      <c r="BK116" s="251">
        <f t="shared" ref="BK116" si="142">BK115+BK111</f>
        <v>223166</v>
      </c>
      <c r="BL116" s="251">
        <f t="shared" ref="BL116" si="143">BL115+BL111</f>
        <v>294506</v>
      </c>
      <c r="BM116" s="251">
        <f t="shared" ref="BM116" si="144">BM115+BM111</f>
        <v>265762</v>
      </c>
      <c r="BN116" s="255">
        <f t="shared" ref="BN116:BO116" si="145">BN115+BN111</f>
        <v>3322939</v>
      </c>
      <c r="BO116" s="269">
        <f t="shared" si="145"/>
        <v>3422141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13</v>
      </c>
      <c r="AV119" s="280">
        <f>AU119</f>
        <v>13</v>
      </c>
      <c r="AW119" s="280">
        <f>AV119</f>
        <v>13</v>
      </c>
      <c r="AX119" s="280">
        <f t="shared" ref="AX119:AZ119" si="146">AW119</f>
        <v>13</v>
      </c>
      <c r="AY119" s="280">
        <f t="shared" si="146"/>
        <v>13</v>
      </c>
      <c r="AZ119" s="280">
        <f t="shared" si="146"/>
        <v>13</v>
      </c>
      <c r="BA119" s="259"/>
      <c r="BB119" s="280">
        <v>13</v>
      </c>
      <c r="BC119" s="280">
        <v>13</v>
      </c>
      <c r="BD119" s="280">
        <v>13</v>
      </c>
      <c r="BE119" s="280">
        <v>13</v>
      </c>
      <c r="BF119" s="280">
        <f t="shared" ref="BF119:BM119" si="147">BE119</f>
        <v>13</v>
      </c>
      <c r="BG119" s="280">
        <f t="shared" si="147"/>
        <v>13</v>
      </c>
      <c r="BH119" s="280">
        <f t="shared" si="147"/>
        <v>13</v>
      </c>
      <c r="BI119" s="280">
        <f t="shared" si="147"/>
        <v>13</v>
      </c>
      <c r="BJ119" s="280">
        <f t="shared" si="147"/>
        <v>13</v>
      </c>
      <c r="BK119" s="280">
        <f t="shared" si="147"/>
        <v>13</v>
      </c>
      <c r="BL119" s="280">
        <f t="shared" si="147"/>
        <v>13</v>
      </c>
      <c r="BM119" s="280">
        <f t="shared" si="147"/>
        <v>13</v>
      </c>
      <c r="BN119" s="259"/>
      <c r="BO119" s="343">
        <f>BM119</f>
        <v>13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64748</v>
      </c>
      <c r="AU120" s="107">
        <v>53411.021159153635</v>
      </c>
      <c r="AV120" s="39">
        <f>ROUND(AW108/30*AV119,0)</f>
        <v>64388</v>
      </c>
      <c r="AW120" s="39">
        <f>ROUND(AX108/30*AW119,0)</f>
        <v>65244</v>
      </c>
      <c r="AX120" s="39">
        <f>ROUND(AY108/30*AX119,0)</f>
        <v>86020</v>
      </c>
      <c r="AY120" s="39">
        <f>ROUND(AZ108/30*AY119,0)</f>
        <v>76911</v>
      </c>
      <c r="AZ120" s="39">
        <f>ROUND(BB108/30*AZ119,0)</f>
        <v>109145</v>
      </c>
      <c r="BA120" s="215"/>
      <c r="BB120" s="346">
        <v>108518</v>
      </c>
      <c r="BC120" s="346">
        <v>105843</v>
      </c>
      <c r="BD120" s="346">
        <v>93673</v>
      </c>
      <c r="BE120" s="346">
        <v>81264</v>
      </c>
      <c r="BF120" s="346">
        <f t="shared" ref="BF120:BL120" si="148">ROUND(BG108/30*BF119,0)</f>
        <v>64323</v>
      </c>
      <c r="BG120" s="346">
        <f t="shared" si="148"/>
        <v>74994</v>
      </c>
      <c r="BH120" s="346">
        <f t="shared" si="148"/>
        <v>65441</v>
      </c>
      <c r="BI120" s="346">
        <f t="shared" si="148"/>
        <v>67247</v>
      </c>
      <c r="BJ120" s="346">
        <f t="shared" si="148"/>
        <v>68129</v>
      </c>
      <c r="BK120" s="346">
        <f t="shared" si="148"/>
        <v>89840</v>
      </c>
      <c r="BL120" s="346">
        <f t="shared" si="148"/>
        <v>80408</v>
      </c>
      <c r="BM120" s="57">
        <f>ROUND(BO108*0.11/30*BM119,0)</f>
        <v>115699</v>
      </c>
      <c r="BN120" s="215"/>
      <c r="BO120" s="141">
        <v>120428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36572</v>
      </c>
      <c r="AU121" s="107">
        <v>29091</v>
      </c>
      <c r="AV121" s="39">
        <f>ROUND(AW110/30*AV119,0)</f>
        <v>21990</v>
      </c>
      <c r="AW121" s="39">
        <f>ROUND(AX110/30*AW119,0)</f>
        <v>28479</v>
      </c>
      <c r="AX121" s="39">
        <f>ROUND(AY110/30*AX119,0)</f>
        <v>37683</v>
      </c>
      <c r="AY121" s="39">
        <f>ROUND(AZ110/30*AY119,0)</f>
        <v>34658</v>
      </c>
      <c r="AZ121" s="39">
        <f>ROUND(BB110/30*AZ119,0)</f>
        <v>46847</v>
      </c>
      <c r="BA121" s="215"/>
      <c r="BB121" s="57">
        <v>50087</v>
      </c>
      <c r="BC121" s="57">
        <v>44812</v>
      </c>
      <c r="BD121" s="57">
        <v>40354</v>
      </c>
      <c r="BE121" s="57">
        <v>35224</v>
      </c>
      <c r="BF121" s="57">
        <f t="shared" ref="BF121:BL121" si="149">ROUND(BG110/30*BF119,0)</f>
        <v>32607</v>
      </c>
      <c r="BG121" s="57">
        <f t="shared" si="149"/>
        <v>31998</v>
      </c>
      <c r="BH121" s="57">
        <f t="shared" si="149"/>
        <v>25213</v>
      </c>
      <c r="BI121" s="57">
        <f t="shared" si="149"/>
        <v>21990</v>
      </c>
      <c r="BJ121" s="57">
        <f t="shared" si="149"/>
        <v>28479</v>
      </c>
      <c r="BK121" s="57">
        <f t="shared" si="149"/>
        <v>37683</v>
      </c>
      <c r="BL121" s="57">
        <f t="shared" si="149"/>
        <v>34658</v>
      </c>
      <c r="BM121" s="57">
        <f>ROUND(BO110*0.11/30*BM119,0)</f>
        <v>47295</v>
      </c>
      <c r="BN121" s="215"/>
      <c r="BO121" s="141">
        <v>47295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-64748</v>
      </c>
      <c r="AV122" s="57">
        <f t="shared" ref="AV122:AZ123" si="150">-AU120</f>
        <v>-53411.021159153635</v>
      </c>
      <c r="AW122" s="57">
        <f t="shared" si="150"/>
        <v>-64388</v>
      </c>
      <c r="AX122" s="57">
        <f t="shared" si="150"/>
        <v>-65244</v>
      </c>
      <c r="AY122" s="57">
        <f t="shared" si="150"/>
        <v>-86020</v>
      </c>
      <c r="AZ122" s="57">
        <f t="shared" si="150"/>
        <v>-76911</v>
      </c>
      <c r="BA122" s="215"/>
      <c r="BB122" s="57">
        <v>-109145</v>
      </c>
      <c r="BC122" s="57">
        <v>-108518</v>
      </c>
      <c r="BD122" s="57">
        <v>-105843</v>
      </c>
      <c r="BE122" s="57">
        <v>-93673</v>
      </c>
      <c r="BF122" s="57">
        <f t="shared" ref="BF122:BM123" si="151">-BE120</f>
        <v>-81264</v>
      </c>
      <c r="BG122" s="57">
        <f t="shared" si="151"/>
        <v>-64323</v>
      </c>
      <c r="BH122" s="57">
        <f t="shared" si="151"/>
        <v>-74994</v>
      </c>
      <c r="BI122" s="57">
        <f t="shared" si="151"/>
        <v>-65441</v>
      </c>
      <c r="BJ122" s="57">
        <f t="shared" si="151"/>
        <v>-67247</v>
      </c>
      <c r="BK122" s="57">
        <f t="shared" si="151"/>
        <v>-68129</v>
      </c>
      <c r="BL122" s="57">
        <f t="shared" si="151"/>
        <v>-89840</v>
      </c>
      <c r="BM122" s="57">
        <f t="shared" si="151"/>
        <v>-80408</v>
      </c>
      <c r="BN122" s="215"/>
      <c r="BO122" s="141">
        <f>-BM120</f>
        <v>-115699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-36572</v>
      </c>
      <c r="AV123" s="57">
        <f t="shared" si="150"/>
        <v>-29091</v>
      </c>
      <c r="AW123" s="57">
        <f t="shared" si="150"/>
        <v>-21990</v>
      </c>
      <c r="AX123" s="57">
        <f t="shared" si="150"/>
        <v>-28479</v>
      </c>
      <c r="AY123" s="57">
        <f t="shared" si="150"/>
        <v>-37683</v>
      </c>
      <c r="AZ123" s="57">
        <f t="shared" si="150"/>
        <v>-34658</v>
      </c>
      <c r="BA123" s="215"/>
      <c r="BB123" s="57">
        <v>-46847</v>
      </c>
      <c r="BC123" s="57">
        <v>-50087</v>
      </c>
      <c r="BD123" s="57">
        <v>-44812</v>
      </c>
      <c r="BE123" s="57">
        <v>-40354</v>
      </c>
      <c r="BF123" s="57">
        <f t="shared" si="151"/>
        <v>-35224</v>
      </c>
      <c r="BG123" s="57">
        <f t="shared" si="151"/>
        <v>-32607</v>
      </c>
      <c r="BH123" s="57">
        <f t="shared" si="151"/>
        <v>-31998</v>
      </c>
      <c r="BI123" s="57">
        <f t="shared" si="151"/>
        <v>-25213</v>
      </c>
      <c r="BJ123" s="57">
        <f t="shared" si="151"/>
        <v>-21990</v>
      </c>
      <c r="BK123" s="57">
        <f t="shared" si="151"/>
        <v>-28479</v>
      </c>
      <c r="BL123" s="57">
        <f t="shared" si="151"/>
        <v>-37683</v>
      </c>
      <c r="BM123" s="57">
        <f t="shared" si="151"/>
        <v>-34658</v>
      </c>
      <c r="BN123" s="215"/>
      <c r="BO123" s="141">
        <f>-BM121</f>
        <v>-47295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-18817.978840846365</v>
      </c>
      <c r="AV124" s="344">
        <f t="shared" ref="AV124:AZ124" si="152">SUM(AV120:AV123)</f>
        <v>3875.9788408463646</v>
      </c>
      <c r="AW124" s="344">
        <f t="shared" si="152"/>
        <v>7345</v>
      </c>
      <c r="AX124" s="344">
        <f t="shared" si="152"/>
        <v>29980</v>
      </c>
      <c r="AY124" s="344">
        <f t="shared" si="152"/>
        <v>-12134</v>
      </c>
      <c r="AZ124" s="344">
        <f t="shared" si="152"/>
        <v>44423</v>
      </c>
      <c r="BA124" s="345"/>
      <c r="BB124" s="344">
        <v>2613</v>
      </c>
      <c r="BC124" s="344">
        <v>-7950</v>
      </c>
      <c r="BD124" s="344">
        <v>-16628</v>
      </c>
      <c r="BE124" s="344">
        <v>-17539</v>
      </c>
      <c r="BF124" s="344">
        <f t="shared" ref="BF124:BO124" si="153">SUM(BF120:BF123)</f>
        <v>-19558</v>
      </c>
      <c r="BG124" s="344">
        <f t="shared" si="153"/>
        <v>10062</v>
      </c>
      <c r="BH124" s="344">
        <f t="shared" si="153"/>
        <v>-16338</v>
      </c>
      <c r="BI124" s="344">
        <f t="shared" si="153"/>
        <v>-1417</v>
      </c>
      <c r="BJ124" s="344">
        <f t="shared" si="153"/>
        <v>7371</v>
      </c>
      <c r="BK124" s="344">
        <f t="shared" si="153"/>
        <v>30915</v>
      </c>
      <c r="BL124" s="344">
        <f t="shared" si="153"/>
        <v>-12457</v>
      </c>
      <c r="BM124" s="344">
        <f t="shared" si="153"/>
        <v>47928</v>
      </c>
      <c r="BN124" s="345"/>
      <c r="BO124" s="272">
        <f t="shared" si="153"/>
        <v>4729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54">AU111+AU124</f>
        <v>217230.02115915364</v>
      </c>
      <c r="AV132" s="66">
        <f t="shared" si="154"/>
        <v>203634.97884084636</v>
      </c>
      <c r="AW132" s="66">
        <f t="shared" si="154"/>
        <v>206902</v>
      </c>
      <c r="AX132" s="66">
        <f t="shared" si="154"/>
        <v>246488</v>
      </c>
      <c r="AY132" s="66">
        <f t="shared" si="154"/>
        <v>273557</v>
      </c>
      <c r="AZ132" s="66">
        <f t="shared" si="154"/>
        <v>302114</v>
      </c>
      <c r="BA132" s="216">
        <f>SUM(AT132:AZ132)</f>
        <v>1449926</v>
      </c>
      <c r="BB132" s="66">
        <v>362817</v>
      </c>
      <c r="BC132" s="66">
        <v>358285</v>
      </c>
      <c r="BD132" s="66">
        <v>331260</v>
      </c>
      <c r="BE132" s="66">
        <v>291978</v>
      </c>
      <c r="BF132" s="66">
        <f t="shared" ref="BF132:BO132" si="155">BF111+BF124</f>
        <v>249485</v>
      </c>
      <c r="BG132" s="66">
        <f t="shared" si="155"/>
        <v>233972</v>
      </c>
      <c r="BH132" s="66">
        <f t="shared" si="155"/>
        <v>230791</v>
      </c>
      <c r="BI132" s="66">
        <f t="shared" si="155"/>
        <v>208007</v>
      </c>
      <c r="BJ132" s="66">
        <f t="shared" si="155"/>
        <v>213526</v>
      </c>
      <c r="BK132" s="66">
        <f t="shared" si="155"/>
        <v>254081</v>
      </c>
      <c r="BL132" s="66">
        <f t="shared" si="155"/>
        <v>282049</v>
      </c>
      <c r="BM132" s="66">
        <f t="shared" si="155"/>
        <v>313690</v>
      </c>
      <c r="BN132" s="216">
        <f t="shared" si="155"/>
        <v>3322939</v>
      </c>
      <c r="BO132" s="185">
        <f t="shared" si="155"/>
        <v>3426870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  <row r="134" spans="1:67">
      <c r="AN134" s="3"/>
    </row>
    <row r="135" spans="1:67">
      <c r="AN135" s="3"/>
    </row>
    <row r="136" spans="1:67">
      <c r="AN136" s="3"/>
    </row>
    <row r="137" spans="1:67">
      <c r="AN137" s="3"/>
    </row>
    <row r="138" spans="1:67">
      <c r="AN138" s="3"/>
    </row>
    <row r="139" spans="1:67">
      <c r="AN139" s="3"/>
    </row>
    <row r="140" spans="1:67">
      <c r="AN140" s="3"/>
    </row>
    <row r="141" spans="1:67">
      <c r="AN141" s="3"/>
    </row>
    <row r="142" spans="1:67">
      <c r="AN142" s="3"/>
    </row>
    <row r="143" spans="1:67">
      <c r="AN143" s="3"/>
    </row>
    <row r="144" spans="1:67">
      <c r="AN144" s="3"/>
    </row>
    <row r="145" spans="40:40">
      <c r="AN145" s="3"/>
    </row>
    <row r="146" spans="40:40">
      <c r="AN146" s="3"/>
    </row>
    <row r="147" spans="40:40">
      <c r="AN147" s="3"/>
    </row>
    <row r="148" spans="40:40">
      <c r="AN148" s="3"/>
    </row>
    <row r="149" spans="40:40">
      <c r="AN149" s="3"/>
    </row>
    <row r="150" spans="40:40">
      <c r="AN150" s="3"/>
    </row>
    <row r="151" spans="40:40">
      <c r="AN151" s="3"/>
    </row>
    <row r="152" spans="40:40">
      <c r="AN152" s="3"/>
    </row>
    <row r="153" spans="40:40">
      <c r="AN153" s="3"/>
    </row>
    <row r="154" spans="40:40">
      <c r="AN154" s="3"/>
    </row>
    <row r="155" spans="40:40">
      <c r="AN155" s="3"/>
    </row>
    <row r="156" spans="40:40">
      <c r="AN156" s="3"/>
    </row>
    <row r="157" spans="40:40">
      <c r="AN157" s="3"/>
    </row>
    <row r="158" spans="40:40">
      <c r="AN158" s="3"/>
    </row>
    <row r="159" spans="40:40">
      <c r="AN159" s="3"/>
    </row>
    <row r="160" spans="40:40">
      <c r="AN160" s="3"/>
    </row>
    <row r="161" spans="40:40">
      <c r="AN161" s="3"/>
    </row>
    <row r="162" spans="40:40">
      <c r="AN162" s="3"/>
    </row>
    <row r="163" spans="40:40">
      <c r="AN163" s="3"/>
    </row>
    <row r="164" spans="40:40">
      <c r="AN164" s="3"/>
    </row>
    <row r="165" spans="40:40">
      <c r="AN165" s="3"/>
    </row>
    <row r="166" spans="40:40">
      <c r="AN166" s="3"/>
    </row>
    <row r="167" spans="40:40">
      <c r="AN167" s="3"/>
    </row>
    <row r="168" spans="40:40">
      <c r="AN168" s="3"/>
    </row>
    <row r="169" spans="40:40">
      <c r="AN169" s="3"/>
    </row>
    <row r="170" spans="40:40">
      <c r="AN170" s="3"/>
    </row>
    <row r="171" spans="40:40">
      <c r="AN171" s="3"/>
    </row>
    <row r="172" spans="40:40">
      <c r="AN172" s="3"/>
    </row>
    <row r="173" spans="40:40">
      <c r="AN173" s="3"/>
    </row>
    <row r="174" spans="40:40">
      <c r="AN174" s="3"/>
    </row>
    <row r="175" spans="40:40">
      <c r="AN175" s="3"/>
    </row>
    <row r="176" spans="40:40">
      <c r="AN176" s="3"/>
    </row>
  </sheetData>
  <conditionalFormatting sqref="BN11">
    <cfRule type="cellIs" dxfId="94" priority="22" operator="lessThan">
      <formula>0</formula>
    </cfRule>
  </conditionalFormatting>
  <conditionalFormatting sqref="CB58">
    <cfRule type="cellIs" dxfId="93" priority="21" operator="lessThan">
      <formula>0</formula>
    </cfRule>
  </conditionalFormatting>
  <conditionalFormatting sqref="BN58">
    <cfRule type="cellIs" dxfId="92" priority="17" operator="lessThan">
      <formula>0</formula>
    </cfRule>
  </conditionalFormatting>
  <conditionalFormatting sqref="CB78">
    <cfRule type="cellIs" dxfId="91" priority="16" operator="lessThan">
      <formula>0</formula>
    </cfRule>
  </conditionalFormatting>
  <conditionalFormatting sqref="BN78">
    <cfRule type="cellIs" dxfId="90" priority="12" operator="lessThan">
      <formula>0</formula>
    </cfRule>
  </conditionalFormatting>
  <conditionalFormatting sqref="BN19">
    <cfRule type="cellIs" dxfId="89" priority="11" operator="lessThan">
      <formula>0</formula>
    </cfRule>
  </conditionalFormatting>
  <conditionalFormatting sqref="BN40">
    <cfRule type="cellIs" dxfId="88" priority="10" operator="lessThan">
      <formula>0</formula>
    </cfRule>
  </conditionalFormatting>
  <conditionalFormatting sqref="BN54">
    <cfRule type="cellIs" dxfId="87" priority="9" operator="lessThan">
      <formula>0</formula>
    </cfRule>
  </conditionalFormatting>
  <conditionalFormatting sqref="BN62">
    <cfRule type="cellIs" dxfId="86" priority="8" operator="lessThan">
      <formula>0</formula>
    </cfRule>
  </conditionalFormatting>
  <conditionalFormatting sqref="BA11">
    <cfRule type="cellIs" dxfId="85" priority="7" operator="lessThan">
      <formula>0</formula>
    </cfRule>
  </conditionalFormatting>
  <conditionalFormatting sqref="BA58">
    <cfRule type="cellIs" dxfId="84" priority="6" operator="lessThan">
      <formula>0</formula>
    </cfRule>
  </conditionalFormatting>
  <conditionalFormatting sqref="BA78">
    <cfRule type="cellIs" dxfId="83" priority="5" operator="lessThan">
      <formula>0</formula>
    </cfRule>
  </conditionalFormatting>
  <conditionalFormatting sqref="BA19">
    <cfRule type="cellIs" dxfId="82" priority="4" operator="lessThan">
      <formula>0</formula>
    </cfRule>
  </conditionalFormatting>
  <conditionalFormatting sqref="BA40">
    <cfRule type="cellIs" dxfId="81" priority="3" operator="lessThan">
      <formula>0</formula>
    </cfRule>
  </conditionalFormatting>
  <conditionalFormatting sqref="BA54">
    <cfRule type="cellIs" dxfId="80" priority="2" operator="lessThan">
      <formula>0</formula>
    </cfRule>
  </conditionalFormatting>
  <conditionalFormatting sqref="BA62">
    <cfRule type="cellIs" dxfId="79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ignoredErrors>
    <ignoredError sqref="BN5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O133"/>
  <sheetViews>
    <sheetView zoomScale="80" zoomScaleNormal="80" workbookViewId="0">
      <pane xSplit="1" ySplit="5" topLeftCell="N6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1" width="13.5703125" hidden="1" customWidth="1" outlineLevel="1"/>
    <col min="22" max="22" width="13.1406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10.5703125" hidden="1" customWidth="1" outlineLevel="1"/>
    <col min="35" max="35" width="13.1406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5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3.85546875" style="3" bestFit="1" customWidth="1" collapsed="1"/>
    <col min="67" max="67" width="15.140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128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Customers!E142</f>
        <v>80</v>
      </c>
      <c r="AV7" s="124">
        <f>Customers!F142</f>
        <v>80</v>
      </c>
      <c r="AW7" s="124">
        <f>Customers!G142</f>
        <v>80</v>
      </c>
      <c r="AX7" s="124">
        <f>Customers!H142</f>
        <v>80</v>
      </c>
      <c r="AY7" s="124">
        <f>Customers!I142</f>
        <v>80</v>
      </c>
      <c r="AZ7" s="124">
        <f>Customers!J142</f>
        <v>80</v>
      </c>
      <c r="BA7" s="210">
        <f>AZ7</f>
        <v>80</v>
      </c>
      <c r="BB7" s="124">
        <v>80</v>
      </c>
      <c r="BC7" s="38">
        <v>80</v>
      </c>
      <c r="BD7" s="38">
        <v>80</v>
      </c>
      <c r="BE7" s="38">
        <v>80</v>
      </c>
      <c r="BF7" s="38">
        <f t="shared" ref="BF7:BM7" si="0">BE7</f>
        <v>80</v>
      </c>
      <c r="BG7" s="38">
        <f t="shared" si="0"/>
        <v>80</v>
      </c>
      <c r="BH7" s="38">
        <f t="shared" si="0"/>
        <v>80</v>
      </c>
      <c r="BI7" s="38">
        <f t="shared" si="0"/>
        <v>80</v>
      </c>
      <c r="BJ7" s="38">
        <f t="shared" si="0"/>
        <v>80</v>
      </c>
      <c r="BK7" s="38">
        <f t="shared" si="0"/>
        <v>80</v>
      </c>
      <c r="BL7" s="38">
        <f t="shared" si="0"/>
        <v>80</v>
      </c>
      <c r="BM7" s="38">
        <f t="shared" si="0"/>
        <v>80</v>
      </c>
      <c r="BN7" s="210">
        <f>IFERROR(ROUND(AVERAGE(BB7:BM7),0),0)</f>
        <v>80</v>
      </c>
      <c r="BO7" s="55">
        <f>Customers!L142</f>
        <v>80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39332</v>
      </c>
      <c r="AV8" s="38">
        <f>ROUND(AV$11*'kWh Blocks by Rate Category'!D8,0)</f>
        <v>38516</v>
      </c>
      <c r="AW8" s="38">
        <f>ROUND(AW$11*'kWh Blocks by Rate Category'!E8,0)</f>
        <v>33002</v>
      </c>
      <c r="AX8" s="38">
        <f>ROUND(AX$11*'kWh Blocks by Rate Category'!F8,0)</f>
        <v>61183</v>
      </c>
      <c r="AY8" s="38">
        <f>ROUND(AY$11*'kWh Blocks by Rate Category'!G8,0)</f>
        <v>65651</v>
      </c>
      <c r="AZ8" s="38">
        <f>ROUND(AZ$11*'kWh Blocks by Rate Category'!H8,0)</f>
        <v>80004</v>
      </c>
      <c r="BA8" s="210">
        <f>SUM(AO8:AZ8)</f>
        <v>317688</v>
      </c>
      <c r="BB8" s="38">
        <v>121819</v>
      </c>
      <c r="BC8" s="38">
        <v>78292</v>
      </c>
      <c r="BD8" s="38">
        <v>92875</v>
      </c>
      <c r="BE8" s="38">
        <v>85728</v>
      </c>
      <c r="BF8" s="38">
        <f>ROUND(BF$11*'kWh Blocks by Rate Category'!N8,0)</f>
        <v>62297</v>
      </c>
      <c r="BG8" s="38">
        <f>ROUND(BG$11*'kWh Blocks by Rate Category'!O8,0)</f>
        <v>53640</v>
      </c>
      <c r="BH8" s="38">
        <f>ROUND(BH$11*'kWh Blocks by Rate Category'!P8,0)</f>
        <v>39332</v>
      </c>
      <c r="BI8" s="38">
        <f>ROUND(BI$11*'kWh Blocks by Rate Category'!Q8,0)</f>
        <v>38516</v>
      </c>
      <c r="BJ8" s="38">
        <f>ROUND(BJ$11*'kWh Blocks by Rate Category'!R8,0)</f>
        <v>33002</v>
      </c>
      <c r="BK8" s="38">
        <f>ROUND(BK$11*'kWh Blocks by Rate Category'!S8,0)</f>
        <v>61183</v>
      </c>
      <c r="BL8" s="38">
        <f>ROUND(BL$11*'kWh Blocks by Rate Category'!T8,0)</f>
        <v>65651</v>
      </c>
      <c r="BM8" s="38">
        <f>ROUND(BM$11*'kWh Blocks by Rate Category'!U8,0)</f>
        <v>80004</v>
      </c>
      <c r="BN8" s="210">
        <f>SUM(BB8:BM8)</f>
        <v>812339</v>
      </c>
      <c r="BO8" s="38">
        <f>ROUND(BO$11*'kWh Blocks by Rate Category'!W8,0)</f>
        <v>812341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20958</v>
      </c>
      <c r="AV9" s="38">
        <f>ROUND(AV$11*'kWh Blocks by Rate Category'!D9,0)</f>
        <v>20523</v>
      </c>
      <c r="AW9" s="38">
        <f>ROUND(AW$11*'kWh Blocks by Rate Category'!E9,0)</f>
        <v>17585</v>
      </c>
      <c r="AX9" s="38">
        <f>ROUND(AX$11*'kWh Blocks by Rate Category'!F9,0)</f>
        <v>32601</v>
      </c>
      <c r="AY9" s="38">
        <f>ROUND(AY$11*'kWh Blocks by Rate Category'!G9,0)</f>
        <v>34982</v>
      </c>
      <c r="AZ9" s="38">
        <f>ROUND(AZ$11*'kWh Blocks by Rate Category'!H9,0)</f>
        <v>42630</v>
      </c>
      <c r="BA9" s="210">
        <f>SUM(AO9:AZ9)</f>
        <v>169279</v>
      </c>
      <c r="BB9" s="38">
        <v>64911</v>
      </c>
      <c r="BC9" s="38">
        <v>41718</v>
      </c>
      <c r="BD9" s="38">
        <v>49488</v>
      </c>
      <c r="BE9" s="38">
        <v>45680</v>
      </c>
      <c r="BF9" s="38">
        <f>ROUND(BF$11*'kWh Blocks by Rate Category'!N9,0)</f>
        <v>33195</v>
      </c>
      <c r="BG9" s="38">
        <f>ROUND(BG$11*'kWh Blocks by Rate Category'!O9,0)</f>
        <v>28582</v>
      </c>
      <c r="BH9" s="38">
        <f>ROUND(BH$11*'kWh Blocks by Rate Category'!P9,0)</f>
        <v>20958</v>
      </c>
      <c r="BI9" s="38">
        <f>ROUND(BI$11*'kWh Blocks by Rate Category'!Q9,0)</f>
        <v>20523</v>
      </c>
      <c r="BJ9" s="38">
        <f>ROUND(BJ$11*'kWh Blocks by Rate Category'!R9,0)</f>
        <v>17585</v>
      </c>
      <c r="BK9" s="38">
        <f>ROUND(BK$11*'kWh Blocks by Rate Category'!S9,0)</f>
        <v>32601</v>
      </c>
      <c r="BL9" s="38">
        <f>ROUND(BL$11*'kWh Blocks by Rate Category'!T9,0)</f>
        <v>34982</v>
      </c>
      <c r="BM9" s="38">
        <f>ROUND(BM$11*'kWh Blocks by Rate Category'!U9,0)</f>
        <v>42630</v>
      </c>
      <c r="BN9" s="210">
        <f>SUM(BB9:BM9)</f>
        <v>432853</v>
      </c>
      <c r="BO9" s="38">
        <f>ROUND(BO$11*'kWh Blocks by Rate Category'!W9,0)</f>
        <v>432855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3996</v>
      </c>
      <c r="AV10" s="38">
        <f>ROUND(AV$11*'kWh Blocks by Rate Category'!D10,0)</f>
        <v>3913</v>
      </c>
      <c r="AW10" s="38">
        <f>ROUND(AW$11*'kWh Blocks by Rate Category'!E10,0)</f>
        <v>3353</v>
      </c>
      <c r="AX10" s="38">
        <f>ROUND(AX$11*'kWh Blocks by Rate Category'!F10,0)</f>
        <v>6216</v>
      </c>
      <c r="AY10" s="38">
        <f>ROUND(AY$11*'kWh Blocks by Rate Category'!G10,0)</f>
        <v>6670</v>
      </c>
      <c r="AZ10" s="38">
        <f>ROUND(AZ$11*'kWh Blocks by Rate Category'!H10,0)</f>
        <v>8129</v>
      </c>
      <c r="BA10" s="210">
        <f>SUM(AO10:AZ10)</f>
        <v>32277</v>
      </c>
      <c r="BB10" s="38">
        <v>12377</v>
      </c>
      <c r="BC10" s="38">
        <v>7955</v>
      </c>
      <c r="BD10" s="38">
        <v>9436</v>
      </c>
      <c r="BE10" s="38">
        <v>8710</v>
      </c>
      <c r="BF10" s="38">
        <f>ROUND(BF$11*'kWh Blocks by Rate Category'!N10,0)</f>
        <v>6330</v>
      </c>
      <c r="BG10" s="38">
        <f>ROUND(BG$11*'kWh Blocks by Rate Category'!O10,0)</f>
        <v>5450</v>
      </c>
      <c r="BH10" s="38">
        <f>ROUND(BH$11*'kWh Blocks by Rate Category'!P10,0)</f>
        <v>3996</v>
      </c>
      <c r="BI10" s="38">
        <f>ROUND(BI$11*'kWh Blocks by Rate Category'!Q10,0)</f>
        <v>3913</v>
      </c>
      <c r="BJ10" s="38">
        <f>ROUND(BJ$11*'kWh Blocks by Rate Category'!R10,0)</f>
        <v>3353</v>
      </c>
      <c r="BK10" s="38">
        <f>ROUND(BK$11*'kWh Blocks by Rate Category'!S10,0)</f>
        <v>6216</v>
      </c>
      <c r="BL10" s="38">
        <f>ROUND(BL$11*'kWh Blocks by Rate Category'!T10,0)</f>
        <v>6670</v>
      </c>
      <c r="BM10" s="38">
        <f>ROUND(BM$11*'kWh Blocks by Rate Category'!U10,0)</f>
        <v>8129</v>
      </c>
      <c r="BN10" s="210">
        <f>SUM(BB10:BM10)</f>
        <v>82535</v>
      </c>
      <c r="BO10" s="38">
        <f>ROUND(BO$11*'kWh Blocks by Rate Category'!W10,0)</f>
        <v>82536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64287</v>
      </c>
      <c r="AV11" s="64">
        <f t="shared" si="1"/>
        <v>62952</v>
      </c>
      <c r="AW11" s="64">
        <f t="shared" si="1"/>
        <v>53941</v>
      </c>
      <c r="AX11" s="64">
        <f t="shared" si="1"/>
        <v>100001</v>
      </c>
      <c r="AY11" s="64">
        <f t="shared" si="1"/>
        <v>107304</v>
      </c>
      <c r="AZ11" s="64">
        <f t="shared" si="1"/>
        <v>130763</v>
      </c>
      <c r="BA11" s="196">
        <f>SUM(AO11:AZ11)</f>
        <v>519248</v>
      </c>
      <c r="BB11" s="64">
        <v>199108</v>
      </c>
      <c r="BC11" s="64">
        <v>127965</v>
      </c>
      <c r="BD11" s="64">
        <v>151800</v>
      </c>
      <c r="BE11" s="64">
        <v>140118</v>
      </c>
      <c r="BF11" s="64">
        <f t="shared" ref="BF11:BM11" si="2">IFERROR(ROUND(BF12*BF7,0),0)</f>
        <v>101821</v>
      </c>
      <c r="BG11" s="64">
        <f t="shared" si="2"/>
        <v>87672</v>
      </c>
      <c r="BH11" s="64">
        <f t="shared" si="2"/>
        <v>64287</v>
      </c>
      <c r="BI11" s="64">
        <f t="shared" si="2"/>
        <v>62952</v>
      </c>
      <c r="BJ11" s="64">
        <f t="shared" si="2"/>
        <v>53941</v>
      </c>
      <c r="BK11" s="64">
        <f t="shared" si="2"/>
        <v>100001</v>
      </c>
      <c r="BL11" s="64">
        <f t="shared" si="2"/>
        <v>107304</v>
      </c>
      <c r="BM11" s="64">
        <f t="shared" si="2"/>
        <v>130763</v>
      </c>
      <c r="BN11" s="196">
        <f>SUM(BB11:BM11)</f>
        <v>1327732</v>
      </c>
      <c r="BO11" s="147">
        <f>ROUND(BO7*BO12,0)</f>
        <v>1327732</v>
      </c>
    </row>
    <row r="12" spans="1:67" ht="15" thickTop="1">
      <c r="A12" s="374" t="s">
        <v>54</v>
      </c>
      <c r="B12" s="84">
        <f>IF('kWh_Streetlight Data'!C117=0,"",'kWh_Streetlight Data'!C117)</f>
        <v>2198.014492753623</v>
      </c>
      <c r="C12" s="108">
        <f>IF('kWh_Streetlight Data'!D117=0,"",'kWh_Streetlight Data'!D117)</f>
        <v>1655.8513513513512</v>
      </c>
      <c r="D12" s="108">
        <f>IF('kWh_Streetlight Data'!E117=0,"",'kWh_Streetlight Data'!E117)</f>
        <v>1769.75</v>
      </c>
      <c r="E12" s="108">
        <f>IF('kWh_Streetlight Data'!F117=0,"",'kWh_Streetlight Data'!F117)</f>
        <v>1619.6046511627908</v>
      </c>
      <c r="F12" s="108">
        <f>IF('kWh_Streetlight Data'!G117=0,"",'kWh_Streetlight Data'!G117)</f>
        <v>1210.68</v>
      </c>
      <c r="G12" s="108">
        <f>IF('kWh_Streetlight Data'!H117=0,"",'kWh_Streetlight Data'!H117)</f>
        <v>1342</v>
      </c>
      <c r="H12" s="108">
        <f>IF('kWh_Streetlight Data'!I117=0,"",'kWh_Streetlight Data'!I117)</f>
        <v>855.25974025974028</v>
      </c>
      <c r="I12" s="108">
        <f>IF('kWh_Streetlight Data'!J117=0,"",'kWh_Streetlight Data'!J117)</f>
        <v>747.57894736842104</v>
      </c>
      <c r="J12" s="108">
        <f>IF('kWh_Streetlight Data'!K117=0,"",'kWh_Streetlight Data'!K117)</f>
        <v>526.90804597701151</v>
      </c>
      <c r="K12" s="108">
        <f>IF('kWh_Streetlight Data'!L117=0,"",'kWh_Streetlight Data'!L117)</f>
        <v>1388.1315789473683</v>
      </c>
      <c r="L12" s="108">
        <f>IF('kWh_Streetlight Data'!M117=0,"",'kWh_Streetlight Data'!M117)</f>
        <v>1306.5</v>
      </c>
      <c r="M12" s="108">
        <f>IF('kWh_Streetlight Data'!N117=0,"",'kWh_Streetlight Data'!N117)</f>
        <v>623.79999999999995</v>
      </c>
      <c r="N12" s="424">
        <f>IF('kWh_Streetlight Data'!O117=0,"",'kWh_Streetlight Data'!O117)</f>
        <v>1309.9545983701978</v>
      </c>
      <c r="O12" s="84">
        <f>IF('kWh_Streetlight Data'!P117=0,"",'kWh_Streetlight Data'!P117)</f>
        <v>2779.6794871794873</v>
      </c>
      <c r="P12" s="108">
        <f>IF('kWh_Streetlight Data'!Q117=0,"",'kWh_Streetlight Data'!Q117)</f>
        <v>744.4</v>
      </c>
      <c r="Q12" s="108">
        <f>IF('kWh_Streetlight Data'!R117=0,"",'kWh_Streetlight Data'!R117)</f>
        <v>2025.25</v>
      </c>
      <c r="R12" s="108">
        <f>IF('kWh_Streetlight Data'!S117=0,"",'kWh_Streetlight Data'!S117)</f>
        <v>1718.9431818181818</v>
      </c>
      <c r="S12" s="108">
        <f>IF('kWh_Streetlight Data'!T117=0,"",'kWh_Streetlight Data'!T117)</f>
        <v>795.91176470588232</v>
      </c>
      <c r="T12" s="108">
        <f>IF('kWh_Streetlight Data'!U117=0,"",'kWh_Streetlight Data'!U117)</f>
        <v>761.30379746835445</v>
      </c>
      <c r="U12" s="108">
        <f>IF('kWh_Streetlight Data'!V117=0,"",'kWh_Streetlight Data'!V117)</f>
        <v>819.97500000000002</v>
      </c>
      <c r="V12" s="108">
        <f>IF('kWh_Streetlight Data'!W117=0,"",'kWh_Streetlight Data'!W117)</f>
        <v>726.53750000000002</v>
      </c>
      <c r="W12" s="108">
        <f>IF('kWh_Streetlight Data'!X117=0,"",'kWh_Streetlight Data'!X117)</f>
        <v>743.52380952380952</v>
      </c>
      <c r="X12" s="108">
        <f>IF('kWh_Streetlight Data'!Y117=0,"",'kWh_Streetlight Data'!Y117)</f>
        <v>1169.9230769230769</v>
      </c>
      <c r="Y12" s="108">
        <f>IF('kWh_Streetlight Data'!Z117=0,"",'kWh_Streetlight Data'!Z117)</f>
        <v>1393.5897435897436</v>
      </c>
      <c r="Z12" s="108">
        <f>IF('kWh_Streetlight Data'!AA117=0,"",'kWh_Streetlight Data'!AA117)</f>
        <v>2108.6538461538462</v>
      </c>
      <c r="AA12" s="424">
        <f>IF('kWh_Streetlight Data'!AB117=0,"",'kWh_Streetlight Data'!AB117)</f>
        <v>1379.7825651302605</v>
      </c>
      <c r="AB12" s="129" t="str">
        <f>IF('kWh_Streetlight Data'!AC117=0,"",'kWh_Streetlight Data'!AC117)</f>
        <v/>
      </c>
      <c r="AC12" s="130">
        <f>IF('kWh_Streetlight Data'!AD117=0,"",'kWh_Streetlight Data'!AD117)</f>
        <v>2398.4220779220777</v>
      </c>
      <c r="AD12" s="130" t="str">
        <f>IF('kWh_Streetlight Data'!AE117=0,"",'kWh_Streetlight Data'!AE117)</f>
        <v/>
      </c>
      <c r="AE12" s="130">
        <f>IF('kWh_Streetlight Data'!AF117=0,"",'kWh_Streetlight Data'!AF117)</f>
        <v>1915.867469879518</v>
      </c>
      <c r="AF12" s="130">
        <f>IF('kWh_Streetlight Data'!AG117=0,"",'kWh_Streetlight Data'!AG117)</f>
        <v>1811.6777777777777</v>
      </c>
      <c r="AG12" s="130">
        <f>IF('kWh_Streetlight Data'!AH117=0,"",'kWh_Streetlight Data'!AH117)</f>
        <v>1184.3860759493671</v>
      </c>
      <c r="AH12" s="130">
        <f>IF('kWh_Streetlight Data'!AI117=0,"",'kWh_Streetlight Data'!AI117)</f>
        <v>735.53571428571433</v>
      </c>
      <c r="AI12" s="130">
        <f>IF('kWh_Streetlight Data'!AJ117=0,"",'kWh_Streetlight Data'!AJ117)</f>
        <v>886.57352941176475</v>
      </c>
      <c r="AJ12" s="130">
        <f>IF('kWh_Streetlight Data'!AK117=0,"",'kWh_Streetlight Data'!AK117)</f>
        <v>752.34375</v>
      </c>
      <c r="AK12" s="130">
        <f>IF('kWh_Streetlight Data'!AL117=0,"",'kWh_Streetlight Data'!AL117)</f>
        <v>1192</v>
      </c>
      <c r="AL12" s="130">
        <f>IF('kWh_Streetlight Data'!AM117=0,"",'kWh_Streetlight Data'!AM117)</f>
        <v>1323.8265306122448</v>
      </c>
      <c r="AM12" s="130">
        <f>IF('kWh_Streetlight Data'!AN117=0,"",'kWh_Streetlight Data'!AN117)</f>
        <v>2171.1558441558441</v>
      </c>
      <c r="AN12" s="426">
        <f>IF('kWh_Streetlight Data'!AO117=0,"",'kWh_Streetlight Data'!AO117)</f>
        <v>1483.2188449848024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803.59015151515143</v>
      </c>
      <c r="AV12" s="9">
        <f t="shared" si="3"/>
        <v>786.89665892672872</v>
      </c>
      <c r="AW12" s="9">
        <f t="shared" si="3"/>
        <v>674.25853516694042</v>
      </c>
      <c r="AX12" s="9">
        <f t="shared" si="3"/>
        <v>1250.0182186234817</v>
      </c>
      <c r="AY12" s="9">
        <f t="shared" si="3"/>
        <v>1341.3054247339962</v>
      </c>
      <c r="AZ12" s="9">
        <f t="shared" si="3"/>
        <v>1634.5365634365635</v>
      </c>
      <c r="BA12" s="211"/>
      <c r="BB12" s="17">
        <v>2488.8469899665552</v>
      </c>
      <c r="BC12" s="17">
        <v>1599.5578097578098</v>
      </c>
      <c r="BD12" s="17">
        <v>1897.5</v>
      </c>
      <c r="BE12" s="17">
        <v>1751.4717676201635</v>
      </c>
      <c r="BF12" s="17">
        <f t="shared" ref="BF12:BM12" si="4">IFERROR(AVERAGE(F12,S12,AF12),0)</f>
        <v>1272.7565141612201</v>
      </c>
      <c r="BG12" s="17">
        <f t="shared" si="4"/>
        <v>1095.8966244725736</v>
      </c>
      <c r="BH12" s="17">
        <f t="shared" si="4"/>
        <v>803.59015151515143</v>
      </c>
      <c r="BI12" s="17">
        <f t="shared" si="4"/>
        <v>786.89665892672872</v>
      </c>
      <c r="BJ12" s="17">
        <f t="shared" si="4"/>
        <v>674.25853516694031</v>
      </c>
      <c r="BK12" s="17">
        <f t="shared" si="4"/>
        <v>1250.0182186234817</v>
      </c>
      <c r="BL12" s="17">
        <f t="shared" si="4"/>
        <v>1341.3054247339962</v>
      </c>
      <c r="BM12" s="17">
        <f t="shared" si="4"/>
        <v>1634.5365634365633</v>
      </c>
      <c r="BN12" s="211">
        <f>IFERROR(BN11/SUM(BB7:BM7)*12,0)</f>
        <v>16596.649999999998</v>
      </c>
      <c r="BO12" s="20">
        <f>BN12</f>
        <v>16596.649999999998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Data'!C118=0,"",'kWh_Streetlight Data'!C118)</f>
        <v/>
      </c>
      <c r="C27" s="108" t="str">
        <f>IF('kWh_Streetlight Data'!D118=0,"",'kWh_Streetlight Data'!D118)</f>
        <v/>
      </c>
      <c r="D27" s="108" t="str">
        <f>IF('kWh_Streetlight Data'!E118=0,"",'kWh_Streetlight Data'!E118)</f>
        <v/>
      </c>
      <c r="E27" s="108" t="str">
        <f>IF('kWh_Streetlight Data'!F118=0,"",'kWh_Streetlight Data'!F118)</f>
        <v/>
      </c>
      <c r="F27" s="108" t="str">
        <f>IF('kWh_Streetlight Data'!G118=0,"",'kWh_Streetlight Data'!G118)</f>
        <v/>
      </c>
      <c r="G27" s="108" t="str">
        <f>IF('kWh_Streetlight Data'!H118=0,"",'kWh_Streetlight Data'!H118)</f>
        <v/>
      </c>
      <c r="H27" s="108" t="str">
        <f>IF('kWh_Streetlight Data'!I118=0,"",'kWh_Streetlight Data'!I118)</f>
        <v/>
      </c>
      <c r="I27" s="108" t="str">
        <f>IF('kWh_Streetlight Data'!J118=0,"",'kWh_Streetlight Data'!J118)</f>
        <v/>
      </c>
      <c r="J27" s="108" t="str">
        <f>IF('kWh_Streetlight Data'!K118=0,"",'kWh_Streetlight Data'!K118)</f>
        <v/>
      </c>
      <c r="K27" s="108" t="str">
        <f>IF('kWh_Streetlight Data'!L118=0,"",'kWh_Streetlight Data'!L118)</f>
        <v/>
      </c>
      <c r="L27" s="108" t="str">
        <f>IF('kWh_Streetlight Data'!M118=0,"",'kWh_Streetlight Data'!M118)</f>
        <v/>
      </c>
      <c r="M27" s="108" t="str">
        <f>IF('kWh_Streetlight Data'!N118=0,"",'kWh_Streetlight Data'!N118)</f>
        <v/>
      </c>
      <c r="N27" s="424" t="str">
        <f>IF('kWh_Streetlight Data'!O118=0,"",'kWh_Streetlight Data'!O118)</f>
        <v/>
      </c>
      <c r="O27" s="84" t="str">
        <f>IF('kWh_Streetlight Data'!P118=0,"",'kWh_Streetlight Data'!P118)</f>
        <v/>
      </c>
      <c r="P27" s="108" t="str">
        <f>IF('kWh_Streetlight Data'!Q118=0,"",'kWh_Streetlight Data'!Q118)</f>
        <v/>
      </c>
      <c r="Q27" s="108" t="str">
        <f>IF('kWh_Streetlight Data'!R118=0,"",'kWh_Streetlight Data'!R118)</f>
        <v/>
      </c>
      <c r="R27" s="108" t="str">
        <f>IF('kWh_Streetlight Data'!S118=0,"",'kWh_Streetlight Data'!S118)</f>
        <v/>
      </c>
      <c r="S27" s="108" t="str">
        <f>IF('kWh_Streetlight Data'!T118=0,"",'kWh_Streetlight Data'!T118)</f>
        <v/>
      </c>
      <c r="T27" s="108" t="str">
        <f>IF('kWh_Streetlight Data'!U118=0,"",'kWh_Streetlight Data'!U118)</f>
        <v/>
      </c>
      <c r="U27" s="108" t="str">
        <f>IF('kWh_Streetlight Data'!V118=0,"",'kWh_Streetlight Data'!V118)</f>
        <v/>
      </c>
      <c r="V27" s="108" t="str">
        <f>IF('kWh_Streetlight Data'!W118=0,"",'kWh_Streetlight Data'!W118)</f>
        <v/>
      </c>
      <c r="W27" s="108" t="str">
        <f>IF('kWh_Streetlight Data'!X118=0,"",'kWh_Streetlight Data'!X118)</f>
        <v/>
      </c>
      <c r="X27" s="108" t="str">
        <f>IF('kWh_Streetlight Data'!Y118=0,"",'kWh_Streetlight Data'!Y118)</f>
        <v/>
      </c>
      <c r="Y27" s="108" t="str">
        <f>IF('kWh_Streetlight Data'!Z118=0,"",'kWh_Streetlight Data'!Z118)</f>
        <v/>
      </c>
      <c r="Z27" s="108" t="str">
        <f>IF('kWh_Streetlight Data'!AA118=0,"",'kWh_Streetlight Data'!AA118)</f>
        <v/>
      </c>
      <c r="AA27" s="424" t="str">
        <f>IF('kWh_Streetlight Data'!AB118=0,"",'kWh_Streetlight Data'!AB118)</f>
        <v/>
      </c>
      <c r="AB27" s="129" t="str">
        <f>IF('kWh_Streetlight Data'!AC118=0,"",'kWh_Streetlight Data'!AC118)</f>
        <v/>
      </c>
      <c r="AC27" s="130" t="str">
        <f>IF('kWh_Streetlight Data'!AD118=0,"",'kWh_Streetlight Data'!AD118)</f>
        <v/>
      </c>
      <c r="AD27" s="130" t="str">
        <f>IF('kWh_Streetlight Data'!AE118=0,"",'kWh_Streetlight Data'!AE118)</f>
        <v/>
      </c>
      <c r="AE27" s="130" t="str">
        <f>IF('kWh_Streetlight Data'!AF118=0,"",'kWh_Streetlight Data'!AF118)</f>
        <v/>
      </c>
      <c r="AF27" s="130" t="str">
        <f>IF('kWh_Streetlight Data'!AG118=0,"",'kWh_Streetlight Data'!AG118)</f>
        <v/>
      </c>
      <c r="AG27" s="130" t="str">
        <f>IF('kWh_Streetlight Data'!AH118=0,"",'kWh_Streetlight Data'!AH118)</f>
        <v/>
      </c>
      <c r="AH27" s="108" t="str">
        <f>IF('kWh_Streetlight Data'!AI118=0,"",'kWh_Streetlight Data'!AI118)</f>
        <v/>
      </c>
      <c r="AI27" s="108" t="str">
        <f>IF('kWh_Streetlight Data'!AJ118=0,"",'kWh_Streetlight Data'!AJ118)</f>
        <v/>
      </c>
      <c r="AJ27" s="108" t="str">
        <f>IF('kWh_Streetlight Data'!AK118=0,"",'kWh_Streetlight Data'!AK118)</f>
        <v/>
      </c>
      <c r="AK27" s="108" t="str">
        <f>IF('kWh_Streetlight Data'!AL118=0,"",'kWh_Streetlight Data'!AL118)</f>
        <v/>
      </c>
      <c r="AL27" s="108" t="str">
        <f>IF('kWh_Streetlight Data'!AM118=0,"",'kWh_Streetlight Data'!AM118)</f>
        <v/>
      </c>
      <c r="AM27" s="108" t="str">
        <f>IF('kWh_Streetlight Data'!AN118=0,"",'kWh_Streetlight Data'!AN118)</f>
        <v/>
      </c>
      <c r="AN27" s="426" t="str">
        <f>IF('kWh_Streetlight Data'!AO118=0,"",'kWh_Streetlight Data'!AO118)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303"/>
      <c r="AN29" s="336"/>
      <c r="AO29" s="150"/>
      <c r="AP29" s="87"/>
      <c r="AQ29" s="87"/>
      <c r="AR29" s="87"/>
      <c r="AS29" s="87"/>
      <c r="AT29" s="38"/>
      <c r="AU29" s="124">
        <f>Customers!E144</f>
        <v>9</v>
      </c>
      <c r="AV29" s="124">
        <f>Customers!F144</f>
        <v>9</v>
      </c>
      <c r="AW29" s="124">
        <f>Customers!G144</f>
        <v>9</v>
      </c>
      <c r="AX29" s="124">
        <f>Customers!H144</f>
        <v>9</v>
      </c>
      <c r="AY29" s="124">
        <f>Customers!I144</f>
        <v>9</v>
      </c>
      <c r="AZ29" s="124">
        <f>Customers!J144</f>
        <v>9</v>
      </c>
      <c r="BA29" s="210">
        <f>AZ29</f>
        <v>9</v>
      </c>
      <c r="BB29" s="124">
        <v>9</v>
      </c>
      <c r="BC29" s="38">
        <v>9</v>
      </c>
      <c r="BD29" s="38">
        <v>9</v>
      </c>
      <c r="BE29" s="38">
        <v>9</v>
      </c>
      <c r="BF29" s="38">
        <f t="shared" ref="BF29:BM29" si="5">BE29</f>
        <v>9</v>
      </c>
      <c r="BG29" s="38">
        <f t="shared" si="5"/>
        <v>9</v>
      </c>
      <c r="BH29" s="38">
        <f t="shared" si="5"/>
        <v>9</v>
      </c>
      <c r="BI29" s="38">
        <f t="shared" si="5"/>
        <v>9</v>
      </c>
      <c r="BJ29" s="38">
        <f t="shared" si="5"/>
        <v>9</v>
      </c>
      <c r="BK29" s="38">
        <f t="shared" si="5"/>
        <v>9</v>
      </c>
      <c r="BL29" s="38">
        <f t="shared" si="5"/>
        <v>9</v>
      </c>
      <c r="BM29" s="38">
        <f t="shared" si="5"/>
        <v>9</v>
      </c>
      <c r="BN29" s="210">
        <f>IFERROR(ROUND(AVERAGE(BB29:BM29),0),0)</f>
        <v>9</v>
      </c>
      <c r="BO29" s="90">
        <f>Customers!L144</f>
        <v>9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20491</v>
      </c>
      <c r="AV30" s="38">
        <f>ROUND(AV$33*'kWh Blocks by Rate Category'!D29,0)</f>
        <v>17337</v>
      </c>
      <c r="AW30" s="38">
        <f>ROUND(AW$33*'kWh Blocks by Rate Category'!E29,0)</f>
        <v>19915</v>
      </c>
      <c r="AX30" s="38">
        <f>ROUND(AX$33*'kWh Blocks by Rate Category'!F29,0)</f>
        <v>23795</v>
      </c>
      <c r="AY30" s="38">
        <f>ROUND(AY$33*'kWh Blocks by Rate Category'!G29,0)</f>
        <v>26320</v>
      </c>
      <c r="AZ30" s="38">
        <f>ROUND(AZ$33*'kWh Blocks by Rate Category'!H29,0)</f>
        <v>34979</v>
      </c>
      <c r="BA30" s="210">
        <f>SUM(AO30:AZ30)</f>
        <v>142837</v>
      </c>
      <c r="BB30" s="38">
        <v>53004</v>
      </c>
      <c r="BC30" s="38">
        <v>45894</v>
      </c>
      <c r="BD30" s="38">
        <v>38423</v>
      </c>
      <c r="BE30" s="38">
        <v>33419</v>
      </c>
      <c r="BF30" s="38">
        <f>ROUND(BF$33*'kWh Blocks by Rate Category'!N29,0)</f>
        <v>32027</v>
      </c>
      <c r="BG30" s="38">
        <f>ROUND(BG$33*'kWh Blocks by Rate Category'!O29,0)</f>
        <v>19790</v>
      </c>
      <c r="BH30" s="38">
        <f>ROUND(BH$33*'kWh Blocks by Rate Category'!P29,0)</f>
        <v>20491</v>
      </c>
      <c r="BI30" s="38">
        <f>ROUND(BI$33*'kWh Blocks by Rate Category'!Q29,0)</f>
        <v>17337</v>
      </c>
      <c r="BJ30" s="38">
        <f>ROUND(BJ$33*'kWh Blocks by Rate Category'!R29,0)</f>
        <v>19915</v>
      </c>
      <c r="BK30" s="38">
        <f>ROUND(BK$33*'kWh Blocks by Rate Category'!S29,0)</f>
        <v>23795</v>
      </c>
      <c r="BL30" s="38">
        <f>ROUND(BL$33*'kWh Blocks by Rate Category'!T29,0)</f>
        <v>26320</v>
      </c>
      <c r="BM30" s="38">
        <f>ROUND(BM$33*'kWh Blocks by Rate Category'!U29,0)</f>
        <v>34979</v>
      </c>
      <c r="BN30" s="210">
        <f>SUM(BB30:BM30)</f>
        <v>365394</v>
      </c>
      <c r="BO30" s="38">
        <f>ROUND(BO$33*'kWh Blocks by Rate Category'!W29,0)</f>
        <v>365395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1951</v>
      </c>
      <c r="AV31" s="38">
        <f>ROUND(AV$33*'kWh Blocks by Rate Category'!D30,0)</f>
        <v>1651</v>
      </c>
      <c r="AW31" s="38">
        <f>ROUND(AW$33*'kWh Blocks by Rate Category'!E30,0)</f>
        <v>1896</v>
      </c>
      <c r="AX31" s="38">
        <f>ROUND(AX$33*'kWh Blocks by Rate Category'!F30,0)</f>
        <v>2266</v>
      </c>
      <c r="AY31" s="38">
        <f>ROUND(AY$33*'kWh Blocks by Rate Category'!G30,0)</f>
        <v>2506</v>
      </c>
      <c r="AZ31" s="38">
        <f>ROUND(AZ$33*'kWh Blocks by Rate Category'!H30,0)</f>
        <v>3331</v>
      </c>
      <c r="BA31" s="210">
        <f>SUM(AO31:AZ31)</f>
        <v>13601</v>
      </c>
      <c r="BB31" s="38">
        <v>5047</v>
      </c>
      <c r="BC31" s="38">
        <v>4370</v>
      </c>
      <c r="BD31" s="38">
        <v>3659</v>
      </c>
      <c r="BE31" s="38">
        <v>3182</v>
      </c>
      <c r="BF31" s="38">
        <f>ROUND(BF$33*'kWh Blocks by Rate Category'!N30,0)</f>
        <v>3050</v>
      </c>
      <c r="BG31" s="38">
        <f>ROUND(BG$33*'kWh Blocks by Rate Category'!O30,0)</f>
        <v>1884</v>
      </c>
      <c r="BH31" s="38">
        <f>ROUND(BH$33*'kWh Blocks by Rate Category'!P30,0)</f>
        <v>1951</v>
      </c>
      <c r="BI31" s="38">
        <f>ROUND(BI$33*'kWh Blocks by Rate Category'!Q30,0)</f>
        <v>1651</v>
      </c>
      <c r="BJ31" s="38">
        <f>ROUND(BJ$33*'kWh Blocks by Rate Category'!R30,0)</f>
        <v>1896</v>
      </c>
      <c r="BK31" s="38">
        <f>ROUND(BK$33*'kWh Blocks by Rate Category'!S30,0)</f>
        <v>2266</v>
      </c>
      <c r="BL31" s="38">
        <f>ROUND(BL$33*'kWh Blocks by Rate Category'!T30,0)</f>
        <v>2506</v>
      </c>
      <c r="BM31" s="38">
        <f>ROUND(BM$33*'kWh Blocks by Rate Category'!U30,0)</f>
        <v>3331</v>
      </c>
      <c r="BN31" s="210">
        <f>SUM(BB31:BM31)</f>
        <v>34793</v>
      </c>
      <c r="BO31" s="38">
        <f>ROUND(BO$33*'kWh Blocks by Rate Category'!W30,0)</f>
        <v>34792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22442</v>
      </c>
      <c r="AV33" s="64">
        <f t="shared" si="6"/>
        <v>18988</v>
      </c>
      <c r="AW33" s="64">
        <f t="shared" si="6"/>
        <v>21811</v>
      </c>
      <c r="AX33" s="64">
        <f t="shared" si="6"/>
        <v>26061</v>
      </c>
      <c r="AY33" s="64">
        <f t="shared" si="6"/>
        <v>28826</v>
      </c>
      <c r="AZ33" s="64">
        <f t="shared" si="6"/>
        <v>38310</v>
      </c>
      <c r="BA33" s="196">
        <f>SUM(AO33:AZ33)</f>
        <v>156438</v>
      </c>
      <c r="BB33" s="64">
        <v>58051</v>
      </c>
      <c r="BC33" s="64">
        <v>50264</v>
      </c>
      <c r="BD33" s="64">
        <v>42082</v>
      </c>
      <c r="BE33" s="64">
        <v>36601</v>
      </c>
      <c r="BF33" s="64">
        <f t="shared" ref="BF33:BM33" si="7">IFERROR(ROUND(BF34*BF29,0),0)</f>
        <v>35077</v>
      </c>
      <c r="BG33" s="64">
        <f t="shared" si="7"/>
        <v>21674</v>
      </c>
      <c r="BH33" s="64">
        <f t="shared" si="7"/>
        <v>22442</v>
      </c>
      <c r="BI33" s="64">
        <f t="shared" si="7"/>
        <v>18988</v>
      </c>
      <c r="BJ33" s="64">
        <f t="shared" si="7"/>
        <v>21811</v>
      </c>
      <c r="BK33" s="64">
        <f t="shared" si="7"/>
        <v>26061</v>
      </c>
      <c r="BL33" s="64">
        <f t="shared" si="7"/>
        <v>28826</v>
      </c>
      <c r="BM33" s="64">
        <f t="shared" si="7"/>
        <v>38310</v>
      </c>
      <c r="BN33" s="196">
        <f>SUM(BB33:BM33)</f>
        <v>400187</v>
      </c>
      <c r="BO33" s="147">
        <f>ROUND(BO29*BO34,0)</f>
        <v>400187</v>
      </c>
    </row>
    <row r="34" spans="1:67" ht="15.75" customHeight="1" thickTop="1">
      <c r="A34" s="374" t="s">
        <v>54</v>
      </c>
      <c r="B34" s="84">
        <f>IF('kWh_Streetlight Data'!C119=0,"",'kWh_Streetlight Data'!C119)</f>
        <v>6802.666666666667</v>
      </c>
      <c r="C34" s="108">
        <f>IF('kWh_Streetlight Data'!D119=0,"",'kWh_Streetlight Data'!D119)</f>
        <v>5048.875</v>
      </c>
      <c r="D34" s="108">
        <f>IF('kWh_Streetlight Data'!E119=0,"",'kWh_Streetlight Data'!E119)</f>
        <v>3915</v>
      </c>
      <c r="E34" s="108">
        <f>IF('kWh_Streetlight Data'!F119=0,"",'kWh_Streetlight Data'!F119)</f>
        <v>4334</v>
      </c>
      <c r="F34" s="108">
        <f>IF('kWh_Streetlight Data'!G119=0,"",'kWh_Streetlight Data'!G119)</f>
        <v>3715.0769230769229</v>
      </c>
      <c r="G34" s="108">
        <f>IF('kWh_Streetlight Data'!H119=0,"",'kWh_Streetlight Data'!H119)</f>
        <v>2721.9</v>
      </c>
      <c r="H34" s="108">
        <f>IF('kWh_Streetlight Data'!I119=0,"",'kWh_Streetlight Data'!I119)</f>
        <v>3133.6666666666665</v>
      </c>
      <c r="I34" s="108">
        <f>IF('kWh_Streetlight Data'!J119=0,"",'kWh_Streetlight Data'!J119)</f>
        <v>1927.625</v>
      </c>
      <c r="J34" s="108">
        <f>IF('kWh_Streetlight Data'!K119=0,"",'kWh_Streetlight Data'!K119)</f>
        <v>2711.3</v>
      </c>
      <c r="K34" s="108">
        <f>IF('kWh_Streetlight Data'!L119=0,"",'kWh_Streetlight Data'!L119)</f>
        <v>4150.5</v>
      </c>
      <c r="L34" s="108">
        <f>IF('kWh_Streetlight Data'!M119=0,"",'kWh_Streetlight Data'!M119)</f>
        <v>3143.1</v>
      </c>
      <c r="M34" s="108" t="str">
        <f>IF('kWh_Streetlight Data'!N119=0,"",'kWh_Streetlight Data'!N119)</f>
        <v/>
      </c>
      <c r="N34" s="424">
        <f>IF('kWh_Streetlight Data'!O119=0,"",'kWh_Streetlight Data'!O119)</f>
        <v>3747.4653465346537</v>
      </c>
      <c r="O34" s="84">
        <f>IF('kWh_Streetlight Data'!P119=0,"",'kWh_Streetlight Data'!P119)</f>
        <v>6097.4444444444443</v>
      </c>
      <c r="P34" s="108" t="str">
        <f>IF('kWh_Streetlight Data'!Q119=0,"",'kWh_Streetlight Data'!Q119)</f>
        <v/>
      </c>
      <c r="Q34" s="108">
        <f>IF('kWh_Streetlight Data'!R119=0,"",'kWh_Streetlight Data'!R119)</f>
        <v>5436.4444444444443</v>
      </c>
      <c r="R34" s="108">
        <f>IF('kWh_Streetlight Data'!S119=0,"",'kWh_Streetlight Data'!S119)</f>
        <v>4105.5789473684208</v>
      </c>
      <c r="S34" s="108">
        <f>IF('kWh_Streetlight Data'!T119=0,"",'kWh_Streetlight Data'!T119)</f>
        <v>2455.1111111111113</v>
      </c>
      <c r="T34" s="108">
        <f>IF('kWh_Streetlight Data'!U119=0,"",'kWh_Streetlight Data'!U119)</f>
        <v>2081.6666666666665</v>
      </c>
      <c r="U34" s="108">
        <f>IF('kWh_Streetlight Data'!V119=0,"",'kWh_Streetlight Data'!V119)</f>
        <v>2564.4444444444443</v>
      </c>
      <c r="V34" s="108">
        <f>IF('kWh_Streetlight Data'!W119=0,"",'kWh_Streetlight Data'!W119)</f>
        <v>2473.2222222222222</v>
      </c>
      <c r="W34" s="108">
        <f>IF('kWh_Streetlight Data'!X119=0,"",'kWh_Streetlight Data'!X119)</f>
        <v>2281</v>
      </c>
      <c r="X34" s="108">
        <f>IF('kWh_Streetlight Data'!Y119=0,"",'kWh_Streetlight Data'!Y119)</f>
        <v>2160.2222222222222</v>
      </c>
      <c r="Y34" s="108">
        <f>IF('kWh_Streetlight Data'!Z119=0,"",'kWh_Streetlight Data'!Z119)</f>
        <v>3387.4444444444443</v>
      </c>
      <c r="Z34" s="108">
        <f>IF('kWh_Streetlight Data'!AA119=0,"",'kWh_Streetlight Data'!AA119)</f>
        <v>3582.6666666666665</v>
      </c>
      <c r="AA34" s="424">
        <f>IF('kWh_Streetlight Data'!AB119=0,"",'kWh_Streetlight Data'!AB119)</f>
        <v>3400.7614678899081</v>
      </c>
      <c r="AB34" s="129" t="str">
        <f>IF('kWh_Streetlight Data'!AC119=0,"",'kWh_Streetlight Data'!AC119)</f>
        <v/>
      </c>
      <c r="AC34" s="130">
        <f>IF('kWh_Streetlight Data'!AD119=0,"",'kWh_Streetlight Data'!AD119)</f>
        <v>6120.8888888888887</v>
      </c>
      <c r="AD34" s="130" t="str">
        <f>IF('kWh_Streetlight Data'!AE119=0,"",'kWh_Streetlight Data'!AE119)</f>
        <v/>
      </c>
      <c r="AE34" s="130">
        <f>IF('kWh_Streetlight Data'!AF119=0,"",'kWh_Streetlight Data'!AF119)</f>
        <v>3760.8888888888887</v>
      </c>
      <c r="AF34" s="130">
        <f>IF('kWh_Streetlight Data'!AG119=0,"",'kWh_Streetlight Data'!AG119)</f>
        <v>5522</v>
      </c>
      <c r="AG34" s="130">
        <f>IF('kWh_Streetlight Data'!AH119=0,"",'kWh_Streetlight Data'!AH119)</f>
        <v>2421</v>
      </c>
      <c r="AH34" s="130">
        <f>IF('kWh_Streetlight Data'!AI119=0,"",'kWh_Streetlight Data'!AI119)</f>
        <v>1782.4444444444443</v>
      </c>
      <c r="AI34" s="130">
        <f>IF('kWh_Streetlight Data'!AJ119=0,"",'kWh_Streetlight Data'!AJ119)</f>
        <v>1928.3333333333333</v>
      </c>
      <c r="AJ34" s="130">
        <f>IF('kWh_Streetlight Data'!AK119=0,"",'kWh_Streetlight Data'!AK119)</f>
        <v>2277.8888888888887</v>
      </c>
      <c r="AK34" s="130">
        <f>IF('kWh_Streetlight Data'!AL119=0,"",'kWh_Streetlight Data'!AL119)</f>
        <v>2376.1111111111113</v>
      </c>
      <c r="AL34" s="130">
        <f>IF('kWh_Streetlight Data'!AM119=0,"",'kWh_Streetlight Data'!AM119)</f>
        <v>3078.2222222222222</v>
      </c>
      <c r="AM34" s="130">
        <f>IF('kWh_Streetlight Data'!AN119=0,"",'kWh_Streetlight Data'!AN119)</f>
        <v>4930.5555555555557</v>
      </c>
      <c r="AN34" s="426">
        <f>IF('kWh_Streetlight Data'!AO119=0,"",'kWh_Streetlight Data'!AO119)</f>
        <v>3561.6851851851852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2493.5185185185182</v>
      </c>
      <c r="AV34" s="9">
        <f t="shared" si="8"/>
        <v>2109.7268518518517</v>
      </c>
      <c r="AW34" s="9">
        <f t="shared" si="8"/>
        <v>2423.3962962962964</v>
      </c>
      <c r="AX34" s="9">
        <f t="shared" si="8"/>
        <v>2895.6111111111113</v>
      </c>
      <c r="AY34" s="9">
        <f t="shared" si="8"/>
        <v>3202.922222222222</v>
      </c>
      <c r="AZ34" s="9">
        <f t="shared" si="8"/>
        <v>4256.6111111111113</v>
      </c>
      <c r="BA34" s="211"/>
      <c r="BB34" s="9">
        <v>6450.0555555555557</v>
      </c>
      <c r="BC34" s="17">
        <v>5584.8819444444443</v>
      </c>
      <c r="BD34" s="17">
        <v>4675.7222222222226</v>
      </c>
      <c r="BE34" s="17">
        <v>4066.8226120857694</v>
      </c>
      <c r="BF34" s="17">
        <f t="shared" ref="BF34:BM34" si="9">IFERROR(AVERAGE(F34,S34,AF34),0)</f>
        <v>3897.3960113960115</v>
      </c>
      <c r="BG34" s="17">
        <f t="shared" si="9"/>
        <v>2408.1888888888889</v>
      </c>
      <c r="BH34" s="17">
        <f t="shared" si="9"/>
        <v>2493.5185185185187</v>
      </c>
      <c r="BI34" s="17">
        <f t="shared" si="9"/>
        <v>2109.7268518518517</v>
      </c>
      <c r="BJ34" s="17">
        <f t="shared" si="9"/>
        <v>2423.3962962962964</v>
      </c>
      <c r="BK34" s="17">
        <f t="shared" si="9"/>
        <v>2895.6111111111113</v>
      </c>
      <c r="BL34" s="17">
        <f t="shared" si="9"/>
        <v>3202.922222222222</v>
      </c>
      <c r="BM34" s="9">
        <f t="shared" si="9"/>
        <v>4256.6111111111113</v>
      </c>
      <c r="BN34" s="211">
        <f>IFERROR(BN33/SUM(BB29:BM29)*12,0)</f>
        <v>44465.222222222219</v>
      </c>
      <c r="BO34" s="20">
        <f>BN34</f>
        <v>44465.222222222219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Customers!E145</f>
        <v>3</v>
      </c>
      <c r="AV43" s="124">
        <f>Customers!F145</f>
        <v>3</v>
      </c>
      <c r="AW43" s="124">
        <f>Customers!G145</f>
        <v>3</v>
      </c>
      <c r="AX43" s="124">
        <f>Customers!H145</f>
        <v>3</v>
      </c>
      <c r="AY43" s="124">
        <f>Customers!I145</f>
        <v>3</v>
      </c>
      <c r="AZ43" s="124">
        <f>Customers!J145</f>
        <v>3</v>
      </c>
      <c r="BA43" s="210">
        <f>AZ43</f>
        <v>3</v>
      </c>
      <c r="BB43" s="124">
        <v>3</v>
      </c>
      <c r="BC43" s="38">
        <v>3</v>
      </c>
      <c r="BD43" s="38">
        <v>3</v>
      </c>
      <c r="BE43" s="38">
        <v>3</v>
      </c>
      <c r="BF43" s="38">
        <f t="shared" ref="BF43:BM43" si="10">BE43</f>
        <v>3</v>
      </c>
      <c r="BG43" s="38">
        <f t="shared" si="10"/>
        <v>3</v>
      </c>
      <c r="BH43" s="38">
        <f t="shared" si="10"/>
        <v>3</v>
      </c>
      <c r="BI43" s="38">
        <f t="shared" si="10"/>
        <v>3</v>
      </c>
      <c r="BJ43" s="38">
        <f t="shared" si="10"/>
        <v>3</v>
      </c>
      <c r="BK43" s="38">
        <f t="shared" si="10"/>
        <v>3</v>
      </c>
      <c r="BL43" s="38">
        <f t="shared" si="10"/>
        <v>3</v>
      </c>
      <c r="BM43" s="38">
        <f t="shared" si="10"/>
        <v>3</v>
      </c>
      <c r="BN43" s="210">
        <f>IFERROR(ROUND(AVERAGE(BB43:BM43),0),0)</f>
        <v>3</v>
      </c>
      <c r="BO43" s="90">
        <f>Customers!L145</f>
        <v>3</v>
      </c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20483</v>
      </c>
      <c r="AV44" s="38">
        <f t="shared" ref="AV44:AZ44" si="11">AV47</f>
        <v>20653</v>
      </c>
      <c r="AW44" s="38">
        <f t="shared" si="11"/>
        <v>18340</v>
      </c>
      <c r="AX44" s="38">
        <f t="shared" si="11"/>
        <v>25527</v>
      </c>
      <c r="AY44" s="38">
        <f t="shared" si="11"/>
        <v>26280</v>
      </c>
      <c r="AZ44" s="38">
        <f t="shared" si="11"/>
        <v>29030</v>
      </c>
      <c r="BA44" s="210">
        <f>SUM(AO44:AZ44)</f>
        <v>140313</v>
      </c>
      <c r="BB44" s="38">
        <v>35675</v>
      </c>
      <c r="BC44" s="38">
        <v>24182</v>
      </c>
      <c r="BD44" s="38">
        <v>25182</v>
      </c>
      <c r="BE44" s="38">
        <v>23733</v>
      </c>
      <c r="BF44" s="38">
        <f>ROUND(BF$47*'kWh Blocks by Rate Category'!N43,0)</f>
        <v>18953</v>
      </c>
      <c r="BG44" s="38">
        <f>ROUND(BG$47*'kWh Blocks by Rate Category'!O43,0)</f>
        <v>16452</v>
      </c>
      <c r="BH44" s="38">
        <f>ROUND(BH$47*'kWh Blocks by Rate Category'!P43,0)</f>
        <v>18291</v>
      </c>
      <c r="BI44" s="38">
        <f>ROUND(BI$47*'kWh Blocks by Rate Category'!Q43,0)</f>
        <v>18443</v>
      </c>
      <c r="BJ44" s="38">
        <f>ROUND(BJ$47*'kWh Blocks by Rate Category'!R43,0)</f>
        <v>16377</v>
      </c>
      <c r="BK44" s="38">
        <f>ROUND(BK$47*'kWh Blocks by Rate Category'!S43,0)</f>
        <v>22795</v>
      </c>
      <c r="BL44" s="38">
        <f>ROUND(BL$47*'kWh Blocks by Rate Category'!T43,0)</f>
        <v>23468</v>
      </c>
      <c r="BM44" s="38">
        <f>ROUND(BM$47*'kWh Blocks by Rate Category'!U43,0)</f>
        <v>25924</v>
      </c>
      <c r="BN44" s="210">
        <f>SUM(BB44:BM44)</f>
        <v>269475</v>
      </c>
      <c r="BO44" s="38">
        <f>ROUND(BO$47*'kWh Blocks by Rate Category'!W43,0)</f>
        <v>269476</v>
      </c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3035</v>
      </c>
      <c r="BC45" s="38">
        <v>2058</v>
      </c>
      <c r="BD45" s="38">
        <v>2143</v>
      </c>
      <c r="BE45" s="38">
        <v>2019</v>
      </c>
      <c r="BF45" s="38">
        <f>ROUND(BF$47*'kWh Blocks by Rate Category'!N44,0)</f>
        <v>1613</v>
      </c>
      <c r="BG45" s="38">
        <f>ROUND(BG$47*'kWh Blocks by Rate Category'!O44,0)</f>
        <v>1400</v>
      </c>
      <c r="BH45" s="38">
        <f>ROUND(BH$47*'kWh Blocks by Rate Category'!P44,0)</f>
        <v>1556</v>
      </c>
      <c r="BI45" s="38">
        <f>ROUND(BI$47*'kWh Blocks by Rate Category'!Q44,0)</f>
        <v>1569</v>
      </c>
      <c r="BJ45" s="38">
        <f>ROUND(BJ$47*'kWh Blocks by Rate Category'!R44,0)</f>
        <v>1394</v>
      </c>
      <c r="BK45" s="38">
        <f>ROUND(BK$47*'kWh Blocks by Rate Category'!S44,0)</f>
        <v>1940</v>
      </c>
      <c r="BL45" s="38">
        <f>ROUND(BL$47*'kWh Blocks by Rate Category'!T44,0)</f>
        <v>1997</v>
      </c>
      <c r="BM45" s="38">
        <f>ROUND(BM$47*'kWh Blocks by Rate Category'!U44,0)</f>
        <v>2206</v>
      </c>
      <c r="BN45" s="210">
        <f>SUM(BB45:BM45)</f>
        <v>22930</v>
      </c>
      <c r="BO45" s="38">
        <f>ROUND(BO$47*'kWh Blocks by Rate Category'!W44,0)</f>
        <v>22929</v>
      </c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7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1239</v>
      </c>
      <c r="BC46" s="38">
        <v>840</v>
      </c>
      <c r="BD46" s="38">
        <v>875</v>
      </c>
      <c r="BE46" s="38">
        <v>825</v>
      </c>
      <c r="BF46" s="38">
        <f>ROUND(BF$47*'kWh Blocks by Rate Category'!N45,0)</f>
        <v>658</v>
      </c>
      <c r="BG46" s="38">
        <f>ROUND(BG$47*'kWh Blocks by Rate Category'!O45,0)</f>
        <v>572</v>
      </c>
      <c r="BH46" s="38">
        <f>ROUND(BH$47*'kWh Blocks by Rate Category'!P45,0)</f>
        <v>635</v>
      </c>
      <c r="BI46" s="38">
        <f>ROUND(BI$47*'kWh Blocks by Rate Category'!Q45,0)</f>
        <v>641</v>
      </c>
      <c r="BJ46" s="38">
        <f>ROUND(BJ$47*'kWh Blocks by Rate Category'!R45,0)</f>
        <v>569</v>
      </c>
      <c r="BK46" s="38">
        <f>ROUND(BK$47*'kWh Blocks by Rate Category'!S45,0)</f>
        <v>792</v>
      </c>
      <c r="BL46" s="38">
        <f>ROUND(BL$47*'kWh Blocks by Rate Category'!T45,0)</f>
        <v>815</v>
      </c>
      <c r="BM46" s="38">
        <f>ROUND(BM$47*'kWh Blocks by Rate Category'!U45,0)</f>
        <v>901</v>
      </c>
      <c r="BN46" s="210">
        <f>SUM(BB46:BM46)</f>
        <v>9362</v>
      </c>
      <c r="BO46" s="38">
        <f>ROUND(BO$47*'kWh Blocks by Rate Category'!W45,0)</f>
        <v>9362</v>
      </c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2">IFERROR(ROUND(AU48*AU43,0),0)</f>
        <v>20483</v>
      </c>
      <c r="AV47" s="64">
        <f t="shared" si="12"/>
        <v>20653</v>
      </c>
      <c r="AW47" s="64">
        <f t="shared" si="12"/>
        <v>18340</v>
      </c>
      <c r="AX47" s="64">
        <f t="shared" si="12"/>
        <v>25527</v>
      </c>
      <c r="AY47" s="64">
        <f t="shared" si="12"/>
        <v>26280</v>
      </c>
      <c r="AZ47" s="64">
        <f t="shared" si="12"/>
        <v>29030</v>
      </c>
      <c r="BA47" s="196">
        <f>SUM(AO47:AZ47)</f>
        <v>140313</v>
      </c>
      <c r="BB47" s="64">
        <v>39950</v>
      </c>
      <c r="BC47" s="64">
        <v>27080</v>
      </c>
      <c r="BD47" s="64">
        <v>28200</v>
      </c>
      <c r="BE47" s="64">
        <v>26577</v>
      </c>
      <c r="BF47" s="64">
        <f t="shared" ref="BF47:BM47" si="13">IFERROR(ROUND(BF48*BF43,0),0)</f>
        <v>21224</v>
      </c>
      <c r="BG47" s="64">
        <f t="shared" si="13"/>
        <v>18423</v>
      </c>
      <c r="BH47" s="64">
        <f t="shared" si="13"/>
        <v>20483</v>
      </c>
      <c r="BI47" s="64">
        <f t="shared" si="13"/>
        <v>20653</v>
      </c>
      <c r="BJ47" s="64">
        <f t="shared" si="13"/>
        <v>18340</v>
      </c>
      <c r="BK47" s="64">
        <f t="shared" si="13"/>
        <v>25527</v>
      </c>
      <c r="BL47" s="64">
        <f t="shared" si="13"/>
        <v>26280</v>
      </c>
      <c r="BM47" s="64">
        <f t="shared" si="13"/>
        <v>29030</v>
      </c>
      <c r="BN47" s="196">
        <f>SUM(BB47:BM47)</f>
        <v>301767</v>
      </c>
      <c r="BO47" s="333">
        <f>ROUND(BO43*BO48,0)</f>
        <v>301767</v>
      </c>
    </row>
    <row r="48" spans="1:67" ht="15.75" customHeight="1" thickTop="1">
      <c r="A48" s="374" t="s">
        <v>54</v>
      </c>
      <c r="B48" s="84">
        <f>IF('kWh_Streetlight Data'!C120=0,"",'kWh_Streetlight Data'!C120)</f>
        <v>12860</v>
      </c>
      <c r="C48" s="130">
        <f>IF('kWh_Streetlight Data'!D120=0,"",'kWh_Streetlight Data'!D120)</f>
        <v>9720</v>
      </c>
      <c r="D48" s="130">
        <f>IF('kWh_Streetlight Data'!E120=0,"",'kWh_Streetlight Data'!E120)</f>
        <v>10300</v>
      </c>
      <c r="E48" s="130">
        <f>IF('kWh_Streetlight Data'!F120=0,"",'kWh_Streetlight Data'!F120)</f>
        <v>10240</v>
      </c>
      <c r="F48" s="130">
        <f>IF('kWh_Streetlight Data'!G120=0,"",'kWh_Streetlight Data'!G120)</f>
        <v>5094.2857142857147</v>
      </c>
      <c r="G48" s="130">
        <f>IF('kWh_Streetlight Data'!H120=0,"",'kWh_Streetlight Data'!H120)</f>
        <v>6940</v>
      </c>
      <c r="H48" s="130">
        <f>IF('kWh_Streetlight Data'!I120=0,"",'kWh_Streetlight Data'!I120)</f>
        <v>9220</v>
      </c>
      <c r="I48" s="130">
        <f>IF('kWh_Streetlight Data'!J120=0,"",'kWh_Streetlight Data'!J120)</f>
        <v>6653.333333333333</v>
      </c>
      <c r="J48" s="130">
        <f>IF('kWh_Streetlight Data'!K120=0,"",'kWh_Streetlight Data'!K120)</f>
        <v>6646.666666666667</v>
      </c>
      <c r="K48" s="130">
        <f>IF('kWh_Streetlight Data'!L120=0,"",'kWh_Streetlight Data'!L120)</f>
        <v>8020</v>
      </c>
      <c r="L48" s="130">
        <f>IF('kWh_Streetlight Data'!M120=0,"",'kWh_Streetlight Data'!M120)</f>
        <v>7813.333333333333</v>
      </c>
      <c r="M48" s="130" t="str">
        <f>IF('kWh_Streetlight Data'!N120=0,"",'kWh_Streetlight Data'!N120)</f>
        <v/>
      </c>
      <c r="N48" s="424">
        <f>IF('kWh_Streetlight Data'!O120=0,"",'kWh_Streetlight Data'!O120)</f>
        <v>7811.515151515152</v>
      </c>
      <c r="O48" s="129">
        <f>IF('kWh_Streetlight Data'!P120=0,"",'kWh_Streetlight Data'!P120)</f>
        <v>13773.333333333334</v>
      </c>
      <c r="P48" s="130" t="str">
        <f>IF('kWh_Streetlight Data'!Q120=0,"",'kWh_Streetlight Data'!Q120)</f>
        <v/>
      </c>
      <c r="Q48" s="130">
        <f>IF('kWh_Streetlight Data'!R120=0,"",'kWh_Streetlight Data'!R120)</f>
        <v>8500</v>
      </c>
      <c r="R48" s="130">
        <f>IF('kWh_Streetlight Data'!S120=0,"",'kWh_Streetlight Data'!S120)</f>
        <v>9316.6666666666661</v>
      </c>
      <c r="S48" s="130">
        <f>IF('kWh_Streetlight Data'!T120=0,"",'kWh_Streetlight Data'!T120)</f>
        <v>9830</v>
      </c>
      <c r="T48" s="130">
        <f>IF('kWh_Streetlight Data'!U120=0,"",'kWh_Streetlight Data'!U120)</f>
        <v>7400</v>
      </c>
      <c r="U48" s="130">
        <f>IF('kWh_Streetlight Data'!V120=0,"",'kWh_Streetlight Data'!V120)</f>
        <v>7973.333333333333</v>
      </c>
      <c r="V48" s="130">
        <f>IF('kWh_Streetlight Data'!W120=0,"",'kWh_Streetlight Data'!W120)</f>
        <v>7753.333333333333</v>
      </c>
      <c r="W48" s="130">
        <f>IF('kWh_Streetlight Data'!X120=0,"",'kWh_Streetlight Data'!X120)</f>
        <v>7313.333333333333</v>
      </c>
      <c r="X48" s="130">
        <f>IF('kWh_Streetlight Data'!Y120=0,"",'kWh_Streetlight Data'!Y120)</f>
        <v>7806.666666666667</v>
      </c>
      <c r="Y48" s="130">
        <f>IF('kWh_Streetlight Data'!Z120=0,"",'kWh_Streetlight Data'!Z120)</f>
        <v>7166.666666666667</v>
      </c>
      <c r="Z48" s="130">
        <f>IF('kWh_Streetlight Data'!AA120=0,"",'kWh_Streetlight Data'!AA120)</f>
        <v>7213.333333333333</v>
      </c>
      <c r="AA48" s="424">
        <f>IF('kWh_Streetlight Data'!AB120=0,"",'kWh_Streetlight Data'!AB120)</f>
        <v>8646.4864864864867</v>
      </c>
      <c r="AB48" s="129" t="str">
        <f>IF('kWh_Streetlight Data'!AC120=0,"",'kWh_Streetlight Data'!AC120)</f>
        <v/>
      </c>
      <c r="AC48" s="130">
        <f>IF('kWh_Streetlight Data'!AD120=0,"",'kWh_Streetlight Data'!AD120)</f>
        <v>8333.3333333333339</v>
      </c>
      <c r="AD48" s="130" t="str">
        <f>IF('kWh_Streetlight Data'!AE120=0,"",'kWh_Streetlight Data'!AE120)</f>
        <v/>
      </c>
      <c r="AE48" s="130">
        <f>IF('kWh_Streetlight Data'!AF120=0,"",'kWh_Streetlight Data'!AF120)</f>
        <v>7020</v>
      </c>
      <c r="AF48" s="130">
        <f>IF('kWh_Streetlight Data'!AG120=0,"",'kWh_Streetlight Data'!AG120)</f>
        <v>6300</v>
      </c>
      <c r="AG48" s="130">
        <f>IF('kWh_Streetlight Data'!AH120=0,"",'kWh_Streetlight Data'!AH120)</f>
        <v>4082.5</v>
      </c>
      <c r="AH48" s="130">
        <f>IF('kWh_Streetlight Data'!AI120=0,"",'kWh_Streetlight Data'!AI120)</f>
        <v>3290</v>
      </c>
      <c r="AI48" s="130">
        <f>IF('kWh_Streetlight Data'!AJ120=0,"",'kWh_Streetlight Data'!AJ120)</f>
        <v>6246.666666666667</v>
      </c>
      <c r="AJ48" s="130">
        <f>IF('kWh_Streetlight Data'!AK120=0,"",'kWh_Streetlight Data'!AK120)</f>
        <v>4380</v>
      </c>
      <c r="AK48" s="130">
        <f>IF('kWh_Streetlight Data'!AL120=0,"",'kWh_Streetlight Data'!AL120)</f>
        <v>9700</v>
      </c>
      <c r="AL48" s="130">
        <f>IF('kWh_Streetlight Data'!AM120=0,"",'kWh_Streetlight Data'!AM120)</f>
        <v>11300</v>
      </c>
      <c r="AM48" s="130">
        <f>IF('kWh_Streetlight Data'!AN120=0,"",'kWh_Streetlight Data'!AN120)</f>
        <v>12140</v>
      </c>
      <c r="AN48" s="426">
        <f>IF('kWh_Streetlight Data'!AO120=0,"",'kWh_Streetlight Data'!AO120)</f>
        <v>5790.6976744186049</v>
      </c>
      <c r="AO48" s="43"/>
      <c r="AP48" s="40"/>
      <c r="AQ48" s="40"/>
      <c r="AR48" s="40"/>
      <c r="AS48" s="40"/>
      <c r="AT48" s="17"/>
      <c r="AU48" s="9">
        <f t="shared" ref="AU48:AZ48" si="14">IFERROR(AVERAGE(AH48,U48,H48),0)</f>
        <v>6827.7777777777774</v>
      </c>
      <c r="AV48" s="9">
        <f t="shared" si="14"/>
        <v>6884.4444444444443</v>
      </c>
      <c r="AW48" s="9">
        <f t="shared" si="14"/>
        <v>6113.333333333333</v>
      </c>
      <c r="AX48" s="9">
        <f t="shared" si="14"/>
        <v>8508.8888888888887</v>
      </c>
      <c r="AY48" s="9">
        <f t="shared" si="14"/>
        <v>8760</v>
      </c>
      <c r="AZ48" s="9">
        <f t="shared" si="14"/>
        <v>9676.6666666666661</v>
      </c>
      <c r="BA48" s="211"/>
      <c r="BB48" s="9">
        <v>13316.666666666668</v>
      </c>
      <c r="BC48" s="17">
        <v>9026.6666666666679</v>
      </c>
      <c r="BD48" s="17">
        <v>9400</v>
      </c>
      <c r="BE48" s="17">
        <v>8858.8888888888887</v>
      </c>
      <c r="BF48" s="17">
        <f t="shared" ref="BF48:BM48" si="15">IFERROR(AVERAGE(F48,S48,AF48),0)</f>
        <v>7074.7619047619046</v>
      </c>
      <c r="BG48" s="17">
        <f t="shared" si="15"/>
        <v>6140.833333333333</v>
      </c>
      <c r="BH48" s="17">
        <f t="shared" si="15"/>
        <v>6827.7777777777774</v>
      </c>
      <c r="BI48" s="17">
        <f t="shared" si="15"/>
        <v>6884.4444444444443</v>
      </c>
      <c r="BJ48" s="17">
        <f t="shared" si="15"/>
        <v>6113.333333333333</v>
      </c>
      <c r="BK48" s="17">
        <f t="shared" si="15"/>
        <v>8508.8888888888887</v>
      </c>
      <c r="BL48" s="17">
        <f t="shared" si="15"/>
        <v>8760</v>
      </c>
      <c r="BM48" s="9">
        <f t="shared" si="15"/>
        <v>9676.6666666666661</v>
      </c>
      <c r="BN48" s="211">
        <f>IFERROR(BN47/SUM(BB43:BM43)*12,0)</f>
        <v>100589</v>
      </c>
      <c r="BO48" s="20">
        <f>BN48</f>
        <v>100589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70"/>
      <c r="AP57" s="171"/>
      <c r="AQ57" s="171"/>
      <c r="AR57" s="171"/>
      <c r="AS57" s="171"/>
      <c r="AT57" s="56"/>
      <c r="AU57" s="162">
        <f>Customers!E146</f>
        <v>1</v>
      </c>
      <c r="AV57" s="162">
        <f>Customers!F146</f>
        <v>1</v>
      </c>
      <c r="AW57" s="162">
        <f>Customers!G146</f>
        <v>1</v>
      </c>
      <c r="AX57" s="162">
        <f>Customers!H146</f>
        <v>1</v>
      </c>
      <c r="AY57" s="162">
        <f>Customers!I146</f>
        <v>1</v>
      </c>
      <c r="AZ57" s="162">
        <f>Customers!J146</f>
        <v>1</v>
      </c>
      <c r="BA57" s="219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M57" si="16">BE57</f>
        <v>1</v>
      </c>
      <c r="BG57" s="38">
        <f t="shared" si="16"/>
        <v>1</v>
      </c>
      <c r="BH57" s="38">
        <f t="shared" si="16"/>
        <v>1</v>
      </c>
      <c r="BI57" s="38">
        <f t="shared" si="16"/>
        <v>1</v>
      </c>
      <c r="BJ57" s="38">
        <f t="shared" si="16"/>
        <v>1</v>
      </c>
      <c r="BK57" s="38">
        <f t="shared" si="16"/>
        <v>1</v>
      </c>
      <c r="BL57" s="38">
        <f t="shared" si="16"/>
        <v>1</v>
      </c>
      <c r="BM57" s="38">
        <f t="shared" si="16"/>
        <v>1</v>
      </c>
      <c r="BN57" s="210">
        <f>IFERROR(ROUND(AVERAGE(BB57:BM57),0),0)</f>
        <v>1</v>
      </c>
      <c r="BO57" s="156">
        <f>Customers!L146</f>
        <v>1</v>
      </c>
    </row>
    <row r="58" spans="1:67" ht="15.75" customHeight="1" thickBot="1">
      <c r="A58" s="201" t="s">
        <v>30</v>
      </c>
      <c r="B58" s="78" t="str">
        <f>IF('kWh_Streetlight Data'!C240=0,"",'kWh_Streetlight Data'!C240)</f>
        <v/>
      </c>
      <c r="C58" s="114" t="str">
        <f>IF('kWh_Streetlight Data'!D240=0,"",'kWh_Streetlight Data'!D240)</f>
        <v/>
      </c>
      <c r="D58" s="114" t="str">
        <f>IF('kWh_Streetlight Data'!E240=0,"",'kWh_Streetlight Data'!E240)</f>
        <v/>
      </c>
      <c r="E58" s="114" t="str">
        <f>IF('kWh_Streetlight Data'!F240=0,"",'kWh_Streetlight Data'!F240)</f>
        <v/>
      </c>
      <c r="F58" s="114" t="str">
        <f>IF('kWh_Streetlight Data'!G240=0,"",'kWh_Streetlight Data'!G240)</f>
        <v/>
      </c>
      <c r="G58" s="114" t="str">
        <f>IF('kWh_Streetlight Data'!H240=0,"",'kWh_Streetlight Data'!H240)</f>
        <v/>
      </c>
      <c r="H58" s="114" t="str">
        <f>IF('kWh_Streetlight Data'!I240=0,"",'kWh_Streetlight Data'!I240)</f>
        <v/>
      </c>
      <c r="I58" s="114" t="str">
        <f>IF('kWh_Streetlight Data'!J240=0,"",'kWh_Streetlight Data'!J240)</f>
        <v/>
      </c>
      <c r="J58" s="114" t="str">
        <f>IF('kWh_Streetlight Data'!K240=0,"",'kWh_Streetlight Data'!K240)</f>
        <v/>
      </c>
      <c r="K58" s="114" t="str">
        <f>IF('kWh_Streetlight Data'!L240=0,"",'kWh_Streetlight Data'!L240)</f>
        <v/>
      </c>
      <c r="L58" s="114" t="str">
        <f>IF('kWh_Streetlight Data'!M240=0,"",'kWh_Streetlight Data'!M240)</f>
        <v/>
      </c>
      <c r="M58" s="114" t="str">
        <f>IF('kWh_Streetlight Data'!N240=0,"",'kWh_Streetlight Data'!N240)</f>
        <v/>
      </c>
      <c r="N58" s="459" t="str">
        <f>IF('kWh_Streetlight Data'!O240=0,"",'kWh_Streetlight Data'!O240)</f>
        <v/>
      </c>
      <c r="O58" s="113" t="str">
        <f>IF('kWh_Streetlight Data'!P240=0,"",'kWh_Streetlight Data'!P240)</f>
        <v/>
      </c>
      <c r="P58" s="114" t="str">
        <f>IF('kWh_Streetlight Data'!Q240=0,"",'kWh_Streetlight Data'!Q240)</f>
        <v/>
      </c>
      <c r="Q58" s="114" t="str">
        <f>IF('kWh_Streetlight Data'!R240=0,"",'kWh_Streetlight Data'!R240)</f>
        <v/>
      </c>
      <c r="R58" s="114" t="str">
        <f>IF('kWh_Streetlight Data'!S240=0,"",'kWh_Streetlight Data'!S240)</f>
        <v/>
      </c>
      <c r="S58" s="114" t="str">
        <f>IF('kWh_Streetlight Data'!T240=0,"",'kWh_Streetlight Data'!T240)</f>
        <v/>
      </c>
      <c r="T58" s="114" t="str">
        <f>IF('kWh_Streetlight Data'!U240=0,"",'kWh_Streetlight Data'!U240)</f>
        <v/>
      </c>
      <c r="U58" s="114" t="str">
        <f>IF('kWh_Streetlight Data'!V240=0,"",'kWh_Streetlight Data'!V240)</f>
        <v/>
      </c>
      <c r="V58" s="114" t="str">
        <f>IF('kWh_Streetlight Data'!W240=0,"",'kWh_Streetlight Data'!W240)</f>
        <v/>
      </c>
      <c r="W58" s="114" t="str">
        <f>IF('kWh_Streetlight Data'!X240=0,"",'kWh_Streetlight Data'!X240)</f>
        <v/>
      </c>
      <c r="X58" s="114" t="str">
        <f>IF('kWh_Streetlight Data'!Y240=0,"",'kWh_Streetlight Data'!Y240)</f>
        <v/>
      </c>
      <c r="Y58" s="114" t="str">
        <f>IF('kWh_Streetlight Data'!Z240=0,"",'kWh_Streetlight Data'!Z240)</f>
        <v/>
      </c>
      <c r="Z58" s="114" t="str">
        <f>IF('kWh_Streetlight Data'!AA240=0,"",'kWh_Streetlight Data'!AA240)</f>
        <v/>
      </c>
      <c r="AA58" s="459" t="str">
        <f>IF('kWh_Streetlight Data'!AB240=0,"",'kWh_Streetlight Data'!AB240)</f>
        <v/>
      </c>
      <c r="AB58" s="240">
        <f>IF('kWh_Streetlight Data'!AC240=0,"",'kWh_Streetlight Data'!AC240)</f>
        <v>1368</v>
      </c>
      <c r="AC58" s="117">
        <f>IF('kWh_Streetlight Data'!AD240=0,"",'kWh_Streetlight Data'!AD240)</f>
        <v>1368</v>
      </c>
      <c r="AD58" s="117">
        <f>IF('kWh_Streetlight Data'!AE240=0,"",'kWh_Streetlight Data'!AE240)</f>
        <v>1368</v>
      </c>
      <c r="AE58" s="117">
        <f>IF('kWh_Streetlight Data'!AF240=0,"",'kWh_Streetlight Data'!AF240)</f>
        <v>1368</v>
      </c>
      <c r="AF58" s="117">
        <f>IF('kWh_Streetlight Data'!AG240=0,"",'kWh_Streetlight Data'!AG240)</f>
        <v>1368</v>
      </c>
      <c r="AG58" s="117">
        <f>IF('kWh_Streetlight Data'!AH240=0,"",'kWh_Streetlight Data'!AH240)</f>
        <v>1368</v>
      </c>
      <c r="AH58" s="117">
        <f>IF('kWh_Streetlight Data'!AI240=0,"",'kWh_Streetlight Data'!AI240)</f>
        <v>1368</v>
      </c>
      <c r="AI58" s="117">
        <f>IF('kWh_Streetlight Data'!AJ240=0,"",'kWh_Streetlight Data'!AJ240)</f>
        <v>1368</v>
      </c>
      <c r="AJ58" s="117">
        <f>IF('kWh_Streetlight Data'!AK240=0,"",'kWh_Streetlight Data'!AK240)</f>
        <v>1368</v>
      </c>
      <c r="AK58" s="117">
        <f>IF('kWh_Streetlight Data'!AL240=0,"",'kWh_Streetlight Data'!AL240)</f>
        <v>1368</v>
      </c>
      <c r="AL58" s="117">
        <f>IF('kWh_Streetlight Data'!AM240=0,"",'kWh_Streetlight Data'!AM240)</f>
        <v>1368</v>
      </c>
      <c r="AM58" s="117">
        <f>IF('kWh_Streetlight Data'!AN240=0,"",'kWh_Streetlight Data'!AN240)</f>
        <v>1368</v>
      </c>
      <c r="AN58" s="464">
        <f>IF('kWh_Streetlight Data'!AO240=0,"",'kWh_Streetlight Data'!AO240)</f>
        <v>1368</v>
      </c>
      <c r="AO58" s="151"/>
      <c r="AP58" s="152"/>
      <c r="AQ58" s="152"/>
      <c r="AR58" s="152"/>
      <c r="AS58" s="152"/>
      <c r="AT58" s="160"/>
      <c r="AU58" s="160">
        <f t="shared" ref="AU58:AZ58" si="17">ROUND(AH58,0)</f>
        <v>1368</v>
      </c>
      <c r="AV58" s="160">
        <f t="shared" si="17"/>
        <v>1368</v>
      </c>
      <c r="AW58" s="160">
        <f t="shared" si="17"/>
        <v>1368</v>
      </c>
      <c r="AX58" s="160">
        <f t="shared" si="17"/>
        <v>1368</v>
      </c>
      <c r="AY58" s="160">
        <f t="shared" si="17"/>
        <v>1368</v>
      </c>
      <c r="AZ58" s="160">
        <f t="shared" si="17"/>
        <v>1368</v>
      </c>
      <c r="BA58" s="213">
        <f>SUM(AT58:AZ58)</f>
        <v>8208</v>
      </c>
      <c r="BB58" s="160">
        <v>1368</v>
      </c>
      <c r="BC58" s="160">
        <v>1368</v>
      </c>
      <c r="BD58" s="160">
        <v>1368</v>
      </c>
      <c r="BE58" s="160">
        <v>1368</v>
      </c>
      <c r="BF58" s="160">
        <f t="shared" ref="BF58:BM58" si="18">BE58</f>
        <v>1368</v>
      </c>
      <c r="BG58" s="160">
        <f t="shared" si="18"/>
        <v>1368</v>
      </c>
      <c r="BH58" s="160">
        <f t="shared" si="18"/>
        <v>1368</v>
      </c>
      <c r="BI58" s="160">
        <f t="shared" si="18"/>
        <v>1368</v>
      </c>
      <c r="BJ58" s="160">
        <f t="shared" si="18"/>
        <v>1368</v>
      </c>
      <c r="BK58" s="160">
        <f t="shared" si="18"/>
        <v>1368</v>
      </c>
      <c r="BL58" s="160">
        <f t="shared" si="18"/>
        <v>1368</v>
      </c>
      <c r="BM58" s="160">
        <f t="shared" si="18"/>
        <v>1368</v>
      </c>
      <c r="BN58" s="213">
        <f>SUM(BB58:BM58)</f>
        <v>16416</v>
      </c>
      <c r="BO58" s="175">
        <f t="shared" ref="BO58" si="19">BN58</f>
        <v>16416</v>
      </c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70"/>
      <c r="AP61" s="171"/>
      <c r="AQ61" s="171"/>
      <c r="AR61" s="171"/>
      <c r="AS61" s="171"/>
      <c r="AT61" s="56"/>
      <c r="AU61" s="56"/>
      <c r="AV61" s="56"/>
      <c r="AW61" s="56"/>
      <c r="AX61" s="56"/>
      <c r="AY61" s="56"/>
      <c r="AZ61" s="56"/>
      <c r="BA61" s="219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84" t="str">
        <f>IF('kWh_Streetlight Data'!C121=0,"",'kWh_Streetlight Data'!C121)</f>
        <v/>
      </c>
      <c r="C69" s="130" t="str">
        <f>IF('kWh_Streetlight Data'!D121=0,"",'kWh_Streetlight Data'!D121)</f>
        <v/>
      </c>
      <c r="D69" s="130" t="str">
        <f>IF('kWh_Streetlight Data'!E121=0,"",'kWh_Streetlight Data'!E121)</f>
        <v/>
      </c>
      <c r="E69" s="130" t="str">
        <f>IF('kWh_Streetlight Data'!F121=0,"",'kWh_Streetlight Data'!F121)</f>
        <v/>
      </c>
      <c r="F69" s="130" t="str">
        <f>IF('kWh_Streetlight Data'!G121=0,"",'kWh_Streetlight Data'!G121)</f>
        <v/>
      </c>
      <c r="G69" s="130" t="str">
        <f>IF('kWh_Streetlight Data'!H121=0,"",'kWh_Streetlight Data'!H121)</f>
        <v/>
      </c>
      <c r="H69" s="130" t="str">
        <f>IF('kWh_Streetlight Data'!I121=0,"",'kWh_Streetlight Data'!I121)</f>
        <v/>
      </c>
      <c r="I69" s="130" t="str">
        <f>IF('kWh_Streetlight Data'!J121=0,"",'kWh_Streetlight Data'!J121)</f>
        <v/>
      </c>
      <c r="J69" s="130" t="str">
        <f>IF('kWh_Streetlight Data'!K121=0,"",'kWh_Streetlight Data'!K121)</f>
        <v/>
      </c>
      <c r="K69" s="130" t="str">
        <f>IF('kWh_Streetlight Data'!L121=0,"",'kWh_Streetlight Data'!L121)</f>
        <v/>
      </c>
      <c r="L69" s="130" t="str">
        <f>IF('kWh_Streetlight Data'!M121=0,"",'kWh_Streetlight Data'!M121)</f>
        <v/>
      </c>
      <c r="M69" s="130" t="str">
        <f>IF('kWh_Streetlight Data'!N121=0,"",'kWh_Streetlight Data'!N121)</f>
        <v/>
      </c>
      <c r="N69" s="424" t="str">
        <f>IF('kWh_Streetlight Data'!O121=0,"",'kWh_Streetlight Data'!O121)</f>
        <v/>
      </c>
      <c r="O69" s="84" t="str">
        <f>IF('kWh_Streetlight Data'!P121=0,"",'kWh_Streetlight Data'!P121)</f>
        <v/>
      </c>
      <c r="P69" s="108" t="str">
        <f>IF('kWh_Streetlight Data'!Q121=0,"",'kWh_Streetlight Data'!Q121)</f>
        <v/>
      </c>
      <c r="Q69" s="108" t="str">
        <f>IF('kWh_Streetlight Data'!R121=0,"",'kWh_Streetlight Data'!R121)</f>
        <v/>
      </c>
      <c r="R69" s="108" t="str">
        <f>IF('kWh_Streetlight Data'!S121=0,"",'kWh_Streetlight Data'!S121)</f>
        <v/>
      </c>
      <c r="S69" s="108" t="str">
        <f>IF('kWh_Streetlight Data'!T121=0,"",'kWh_Streetlight Data'!T121)</f>
        <v/>
      </c>
      <c r="T69" s="108" t="str">
        <f>IF('kWh_Streetlight Data'!U121=0,"",'kWh_Streetlight Data'!U121)</f>
        <v/>
      </c>
      <c r="U69" s="108" t="str">
        <f>IF('kWh_Streetlight Data'!V121=0,"",'kWh_Streetlight Data'!V121)</f>
        <v/>
      </c>
      <c r="V69" s="108" t="str">
        <f>IF('kWh_Streetlight Data'!W121=0,"",'kWh_Streetlight Data'!W121)</f>
        <v/>
      </c>
      <c r="W69" s="108" t="str">
        <f>IF('kWh_Streetlight Data'!X121=0,"",'kWh_Streetlight Data'!X121)</f>
        <v/>
      </c>
      <c r="X69" s="108" t="str">
        <f>IF('kWh_Streetlight Data'!Y121=0,"",'kWh_Streetlight Data'!Y121)</f>
        <v/>
      </c>
      <c r="Y69" s="108" t="str">
        <f>IF('kWh_Streetlight Data'!Z121=0,"",'kWh_Streetlight Data'!Z121)</f>
        <v/>
      </c>
      <c r="Z69" s="108" t="str">
        <f>IF('kWh_Streetlight Data'!AA121=0,"",'kWh_Streetlight Data'!AA121)</f>
        <v/>
      </c>
      <c r="AA69" s="424" t="str">
        <f>IF('kWh_Streetlight Data'!AB121=0,"",'kWh_Streetlight Data'!AB121)</f>
        <v/>
      </c>
      <c r="AB69" s="84" t="str">
        <f>IF('kWh_Streetlight Data'!AC121=0,"",'kWh_Streetlight Data'!AC121)</f>
        <v/>
      </c>
      <c r="AC69" s="108" t="str">
        <f>IF('kWh_Streetlight Data'!AD121=0,"",'kWh_Streetlight Data'!AD121)</f>
        <v/>
      </c>
      <c r="AD69" s="108" t="str">
        <f>IF('kWh_Streetlight Data'!AE121=0,"",'kWh_Streetlight Data'!AE121)</f>
        <v/>
      </c>
      <c r="AE69" s="108" t="str">
        <f>IF('kWh_Streetlight Data'!AF121=0,"",'kWh_Streetlight Data'!AF121)</f>
        <v/>
      </c>
      <c r="AF69" s="108" t="str">
        <f>IF('kWh_Streetlight Data'!AG121=0,"",'kWh_Streetlight Data'!AG121)</f>
        <v/>
      </c>
      <c r="AG69" s="108" t="str">
        <f>IF('kWh_Streetlight Data'!AH121=0,"",'kWh_Streetlight Data'!AH121)</f>
        <v/>
      </c>
      <c r="AH69" s="130" t="str">
        <f>IF('kWh_Streetlight Data'!AI121=0,"",'kWh_Streetlight Data'!AI121)</f>
        <v/>
      </c>
      <c r="AI69" s="130" t="str">
        <f>IF('kWh_Streetlight Data'!AJ121=0,"",'kWh_Streetlight Data'!AJ121)</f>
        <v/>
      </c>
      <c r="AJ69" s="130" t="str">
        <f>IF('kWh_Streetlight Data'!AK121=0,"",'kWh_Streetlight Data'!AK121)</f>
        <v/>
      </c>
      <c r="AK69" s="130" t="str">
        <f>IF('kWh_Streetlight Data'!AL121=0,"",'kWh_Streetlight Data'!AL121)</f>
        <v/>
      </c>
      <c r="AL69" s="130" t="str">
        <f>IF('kWh_Streetlight Data'!AM121=0,"",'kWh_Streetlight Data'!AM121)</f>
        <v/>
      </c>
      <c r="AM69" s="130" t="str">
        <f>IF('kWh_Streetlight Data'!AN121=0,"",'kWh_Streetlight Data'!AN121)</f>
        <v/>
      </c>
      <c r="AN69" s="424" t="str">
        <f>IF('kWh_Streetlight Data'!AO121=0,"",'kWh_Streetlight Data'!AO121)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Customers!E149</f>
        <v>8</v>
      </c>
      <c r="AV75" s="38">
        <f>Customers!F149</f>
        <v>8</v>
      </c>
      <c r="AW75" s="38">
        <f>Customers!G149</f>
        <v>8</v>
      </c>
      <c r="AX75" s="38">
        <f>Customers!H149</f>
        <v>8</v>
      </c>
      <c r="AY75" s="38">
        <f>Customers!I149</f>
        <v>8</v>
      </c>
      <c r="AZ75" s="38">
        <f>Customers!J149</f>
        <v>8</v>
      </c>
      <c r="BA75" s="210">
        <f>AZ75</f>
        <v>8</v>
      </c>
      <c r="BB75" s="124">
        <v>8</v>
      </c>
      <c r="BC75" s="38">
        <v>8</v>
      </c>
      <c r="BD75" s="38">
        <v>8</v>
      </c>
      <c r="BE75" s="38">
        <v>8</v>
      </c>
      <c r="BF75" s="38">
        <f t="shared" ref="BF75:BM75" si="20">BE75</f>
        <v>8</v>
      </c>
      <c r="BG75" s="38">
        <f t="shared" si="20"/>
        <v>8</v>
      </c>
      <c r="BH75" s="38">
        <f t="shared" si="20"/>
        <v>8</v>
      </c>
      <c r="BI75" s="38">
        <f t="shared" si="20"/>
        <v>8</v>
      </c>
      <c r="BJ75" s="38">
        <f t="shared" si="20"/>
        <v>8</v>
      </c>
      <c r="BK75" s="38">
        <f t="shared" si="20"/>
        <v>8</v>
      </c>
      <c r="BL75" s="38">
        <f t="shared" si="20"/>
        <v>8</v>
      </c>
      <c r="BM75" s="38">
        <f t="shared" si="20"/>
        <v>8</v>
      </c>
      <c r="BN75" s="210">
        <f>IFERROR(ROUND(AVERAGE(BB75:BM75),0),0)</f>
        <v>8</v>
      </c>
      <c r="BO75" s="55">
        <f>Customers!L149</f>
        <v>8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21">IF(AU78&gt;(AU75*250),AU75*250,AU78)</f>
        <v>2000</v>
      </c>
      <c r="AV76" s="38">
        <f t="shared" si="21"/>
        <v>2000</v>
      </c>
      <c r="AW76" s="38">
        <f t="shared" si="21"/>
        <v>2000</v>
      </c>
      <c r="AX76" s="38">
        <f t="shared" si="21"/>
        <v>2000</v>
      </c>
      <c r="AY76" s="38">
        <f t="shared" si="21"/>
        <v>2000</v>
      </c>
      <c r="AZ76" s="38">
        <f t="shared" si="21"/>
        <v>2000</v>
      </c>
      <c r="BA76" s="210">
        <f>SUM(AO76:AZ76)</f>
        <v>12000</v>
      </c>
      <c r="BB76" s="38">
        <v>2000</v>
      </c>
      <c r="BC76" s="38">
        <v>2000</v>
      </c>
      <c r="BD76" s="38">
        <v>2000</v>
      </c>
      <c r="BE76" s="38">
        <v>2000</v>
      </c>
      <c r="BF76" s="38">
        <f t="shared" ref="BF76:BO76" si="22">IF(BF78&gt;(BF75*250),BF75*250,BF78)</f>
        <v>2000</v>
      </c>
      <c r="BG76" s="38">
        <f t="shared" si="22"/>
        <v>2000</v>
      </c>
      <c r="BH76" s="38">
        <f t="shared" si="22"/>
        <v>2000</v>
      </c>
      <c r="BI76" s="38">
        <f t="shared" si="22"/>
        <v>2000</v>
      </c>
      <c r="BJ76" s="38">
        <f t="shared" si="22"/>
        <v>2000</v>
      </c>
      <c r="BK76" s="38">
        <f t="shared" si="22"/>
        <v>2000</v>
      </c>
      <c r="BL76" s="38">
        <f t="shared" si="22"/>
        <v>2000</v>
      </c>
      <c r="BM76" s="38">
        <f t="shared" si="22"/>
        <v>2000</v>
      </c>
      <c r="BN76" s="210">
        <f>SUM(BB76:BM76)</f>
        <v>24000</v>
      </c>
      <c r="BO76" s="38">
        <f t="shared" si="22"/>
        <v>2000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23">ROUND(AU78-AU76,0)</f>
        <v>1926</v>
      </c>
      <c r="AV77" s="38">
        <f t="shared" si="23"/>
        <v>1614</v>
      </c>
      <c r="AW77" s="38">
        <f t="shared" si="23"/>
        <v>2517</v>
      </c>
      <c r="AX77" s="38">
        <f t="shared" si="23"/>
        <v>4865</v>
      </c>
      <c r="AY77" s="38">
        <f t="shared" si="23"/>
        <v>4555</v>
      </c>
      <c r="AZ77" s="38">
        <f t="shared" si="23"/>
        <v>6881</v>
      </c>
      <c r="BA77" s="210">
        <f>SUM(AO77:AZ77)</f>
        <v>22358</v>
      </c>
      <c r="BB77" s="38">
        <v>10311</v>
      </c>
      <c r="BC77" s="38">
        <v>8209</v>
      </c>
      <c r="BD77" s="38">
        <v>6426</v>
      </c>
      <c r="BE77" s="38">
        <v>6041</v>
      </c>
      <c r="BF77" s="38">
        <f t="shared" ref="BF77:BM77" si="24">ROUND(BF78-BF76,0)</f>
        <v>3783</v>
      </c>
      <c r="BG77" s="38">
        <f t="shared" si="24"/>
        <v>3182</v>
      </c>
      <c r="BH77" s="38">
        <f t="shared" si="24"/>
        <v>1926</v>
      </c>
      <c r="BI77" s="38">
        <f t="shared" si="24"/>
        <v>1614</v>
      </c>
      <c r="BJ77" s="38">
        <f t="shared" si="24"/>
        <v>2517</v>
      </c>
      <c r="BK77" s="38">
        <f t="shared" si="24"/>
        <v>4865</v>
      </c>
      <c r="BL77" s="38">
        <f t="shared" si="24"/>
        <v>4555</v>
      </c>
      <c r="BM77" s="38">
        <f t="shared" si="24"/>
        <v>6881</v>
      </c>
      <c r="BN77" s="210">
        <f>SUM(BB77:BM77)</f>
        <v>60310</v>
      </c>
      <c r="BO77" s="38">
        <f t="shared" ref="BO77" si="25">ROUND(BO78-BO76,0)</f>
        <v>82310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26">IFERROR(ROUND(AU79*AU75,0),0)</f>
        <v>3926</v>
      </c>
      <c r="AV78" s="64">
        <f t="shared" si="26"/>
        <v>3614</v>
      </c>
      <c r="AW78" s="64">
        <f t="shared" si="26"/>
        <v>4517</v>
      </c>
      <c r="AX78" s="64">
        <f t="shared" si="26"/>
        <v>6865</v>
      </c>
      <c r="AY78" s="64">
        <f t="shared" si="26"/>
        <v>6555</v>
      </c>
      <c r="AZ78" s="64">
        <f t="shared" si="26"/>
        <v>8881</v>
      </c>
      <c r="BA78" s="196">
        <f>SUM(AO78:AZ78)</f>
        <v>34358</v>
      </c>
      <c r="BB78" s="64">
        <v>12311</v>
      </c>
      <c r="BC78" s="64">
        <v>10209</v>
      </c>
      <c r="BD78" s="64">
        <v>8426</v>
      </c>
      <c r="BE78" s="64">
        <v>8041</v>
      </c>
      <c r="BF78" s="64">
        <f t="shared" ref="BF78:BM78" si="27">IFERROR(ROUND(BF79*BF75,0),0)</f>
        <v>5783</v>
      </c>
      <c r="BG78" s="64">
        <f t="shared" si="27"/>
        <v>5182</v>
      </c>
      <c r="BH78" s="64">
        <f t="shared" si="27"/>
        <v>3926</v>
      </c>
      <c r="BI78" s="64">
        <f t="shared" si="27"/>
        <v>3614</v>
      </c>
      <c r="BJ78" s="64">
        <f t="shared" si="27"/>
        <v>4517</v>
      </c>
      <c r="BK78" s="64">
        <f t="shared" si="27"/>
        <v>6865</v>
      </c>
      <c r="BL78" s="64">
        <f t="shared" si="27"/>
        <v>6555</v>
      </c>
      <c r="BM78" s="64">
        <f t="shared" si="27"/>
        <v>8881</v>
      </c>
      <c r="BN78" s="196">
        <f>SUM(BB78:BM78)</f>
        <v>84310</v>
      </c>
      <c r="BO78" s="53">
        <f>ROUND(BO75*BO79,0)</f>
        <v>84310</v>
      </c>
    </row>
    <row r="79" spans="1:67" ht="15.75" customHeight="1" thickTop="1">
      <c r="A79" s="374" t="s">
        <v>54</v>
      </c>
      <c r="B79" s="84">
        <f>IF('kWh_Streetlight Data'!C122=0,"",'kWh_Streetlight Data'!C122)</f>
        <v>1250.5</v>
      </c>
      <c r="C79" s="108">
        <f>IF('kWh_Streetlight Data'!D122=0,"",'kWh_Streetlight Data'!D122)</f>
        <v>1137.625</v>
      </c>
      <c r="D79" s="108">
        <f>IF('kWh_Streetlight Data'!E122=0,"",'kWh_Streetlight Data'!E122)</f>
        <v>853.25</v>
      </c>
      <c r="E79" s="108">
        <f>IF('kWh_Streetlight Data'!F122=0,"",'kWh_Streetlight Data'!F122)</f>
        <v>1035.75</v>
      </c>
      <c r="F79" s="108">
        <f>IF('kWh_Streetlight Data'!G122=0,"",'kWh_Streetlight Data'!G122)</f>
        <v>780.5</v>
      </c>
      <c r="G79" s="108">
        <f>IF('kWh_Streetlight Data'!H122=0,"",'kWh_Streetlight Data'!H122)</f>
        <v>689.875</v>
      </c>
      <c r="H79" s="108">
        <f>IF('kWh_Streetlight Data'!I122=0,"",'kWh_Streetlight Data'!I122)</f>
        <v>470.875</v>
      </c>
      <c r="I79" s="108">
        <f>IF('kWh_Streetlight Data'!J122=0,"",'kWh_Streetlight Data'!J122)</f>
        <v>480.875</v>
      </c>
      <c r="J79" s="108">
        <f>IF('kWh_Streetlight Data'!K122=0,"",'kWh_Streetlight Data'!K122)</f>
        <v>555.875</v>
      </c>
      <c r="K79" s="108">
        <f>IF('kWh_Streetlight Data'!L122=0,"",'kWh_Streetlight Data'!L122)</f>
        <v>886</v>
      </c>
      <c r="L79" s="108">
        <f>IF('kWh_Streetlight Data'!M122=0,"",'kWh_Streetlight Data'!M122)</f>
        <v>1097.75</v>
      </c>
      <c r="M79" s="108" t="str">
        <f>IF('kWh_Streetlight Data'!N122=0,"",'kWh_Streetlight Data'!N122)</f>
        <v/>
      </c>
      <c r="N79" s="424">
        <f>IF('kWh_Streetlight Data'!O122=0,"",'kWh_Streetlight Data'!O122)</f>
        <v>839.89772727272725</v>
      </c>
      <c r="O79" s="84">
        <f>IF('kWh_Streetlight Data'!P122=0,"",'kWh_Streetlight Data'!P122)</f>
        <v>1827.25</v>
      </c>
      <c r="P79" s="108">
        <f>IF('kWh_Streetlight Data'!Q122=0,"",'kWh_Streetlight Data'!Q122)</f>
        <v>1522.125</v>
      </c>
      <c r="Q79" s="108">
        <f>IF('kWh_Streetlight Data'!R122=0,"",'kWh_Streetlight Data'!R122)</f>
        <v>1253.25</v>
      </c>
      <c r="R79" s="108">
        <f>IF('kWh_Streetlight Data'!S122=0,"",'kWh_Streetlight Data'!S122)</f>
        <v>723.66666666666663</v>
      </c>
      <c r="S79" s="108">
        <f>IF('kWh_Streetlight Data'!T122=0,"",'kWh_Streetlight Data'!T122)</f>
        <v>774.875</v>
      </c>
      <c r="T79" s="108">
        <f>IF('kWh_Streetlight Data'!U122=0,"",'kWh_Streetlight Data'!U122)</f>
        <v>611.75</v>
      </c>
      <c r="U79" s="108">
        <f>IF('kWh_Streetlight Data'!V122=0,"",'kWh_Streetlight Data'!V122)</f>
        <v>523.875</v>
      </c>
      <c r="V79" s="108">
        <f>IF('kWh_Streetlight Data'!W122=0,"",'kWh_Streetlight Data'!W122)</f>
        <v>496.625</v>
      </c>
      <c r="W79" s="108">
        <f>IF('kWh_Streetlight Data'!X122=0,"",'kWh_Streetlight Data'!X122)</f>
        <v>569.625</v>
      </c>
      <c r="X79" s="108">
        <f>IF('kWh_Streetlight Data'!Y122=0,"",'kWh_Streetlight Data'!Y122)</f>
        <v>771.75</v>
      </c>
      <c r="Y79" s="108">
        <f>IF('kWh_Streetlight Data'!Z122=0,"",'kWh_Streetlight Data'!Z122)</f>
        <v>605.14285714285711</v>
      </c>
      <c r="Z79" s="108">
        <f>IF('kWh_Streetlight Data'!AA122=0,"",'kWh_Streetlight Data'!AA122)</f>
        <v>1139.8888888888889</v>
      </c>
      <c r="AA79" s="424">
        <f>IF('kWh_Streetlight Data'!AB122=0,"",'kWh_Streetlight Data'!AB122)</f>
        <v>905.32989690721649</v>
      </c>
      <c r="AB79" s="129" t="str">
        <f>IF('kWh_Streetlight Data'!AC122=0,"",'kWh_Streetlight Data'!AC122)</f>
        <v/>
      </c>
      <c r="AC79" s="130">
        <f>IF('kWh_Streetlight Data'!AD122=0,"",'kWh_Streetlight Data'!AD122)</f>
        <v>1168.75</v>
      </c>
      <c r="AD79" s="130" t="str">
        <f>IF('kWh_Streetlight Data'!AE122=0,"",'kWh_Streetlight Data'!AE122)</f>
        <v/>
      </c>
      <c r="AE79" s="130">
        <f>IF('kWh_Streetlight Data'!AF122=0,"",'kWh_Streetlight Data'!AF122)</f>
        <v>1255.875</v>
      </c>
      <c r="AF79" s="130">
        <f>IF('kWh_Streetlight Data'!AG122=0,"",'kWh_Streetlight Data'!AG122)</f>
        <v>613.33333333333337</v>
      </c>
      <c r="AG79" s="130">
        <f>IF('kWh_Streetlight Data'!AH122=0,"",'kWh_Streetlight Data'!AH122)</f>
        <v>641.76470588235293</v>
      </c>
      <c r="AH79" s="130">
        <f>IF('kWh_Streetlight Data'!AI122=0,"",'kWh_Streetlight Data'!AI122)</f>
        <v>477.375</v>
      </c>
      <c r="AI79" s="130">
        <f>IF('kWh_Streetlight Data'!AJ122=0,"",'kWh_Streetlight Data'!AJ122)</f>
        <v>377.625</v>
      </c>
      <c r="AJ79" s="130">
        <f>IF('kWh_Streetlight Data'!AK122=0,"",'kWh_Streetlight Data'!AK122)</f>
        <v>568.5</v>
      </c>
      <c r="AK79" s="130">
        <f>IF('kWh_Streetlight Data'!AL122=0,"",'kWh_Streetlight Data'!AL122)</f>
        <v>916.5</v>
      </c>
      <c r="AL79" s="130">
        <f>IF('kWh_Streetlight Data'!AM122=0,"",'kWh_Streetlight Data'!AM122)</f>
        <v>755.125</v>
      </c>
      <c r="AM79" s="130">
        <f>IF('kWh_Streetlight Data'!AN122=0,"",'kWh_Streetlight Data'!AN122)</f>
        <v>1080.375</v>
      </c>
      <c r="AN79" s="424">
        <f>IF('kWh_Streetlight Data'!AO122=0,"",'kWh_Streetlight Data'!AO122)</f>
        <v>801.84693877551024</v>
      </c>
      <c r="AO79" s="34"/>
      <c r="AP79" s="35"/>
      <c r="AQ79" s="35"/>
      <c r="AR79" s="35"/>
      <c r="AS79" s="35"/>
      <c r="AT79" s="9"/>
      <c r="AU79" s="9">
        <f t="shared" ref="AU79:AZ79" si="28">IFERROR(AVERAGE(AH79,U79,H79),0)</f>
        <v>490.70833333333331</v>
      </c>
      <c r="AV79" s="9">
        <f t="shared" si="28"/>
        <v>451.70833333333331</v>
      </c>
      <c r="AW79" s="9">
        <f t="shared" si="28"/>
        <v>564.66666666666663</v>
      </c>
      <c r="AX79" s="9">
        <f t="shared" si="28"/>
        <v>858.08333333333337</v>
      </c>
      <c r="AY79" s="9">
        <f t="shared" si="28"/>
        <v>819.33928571428567</v>
      </c>
      <c r="AZ79" s="9">
        <f t="shared" si="28"/>
        <v>1110.1319444444443</v>
      </c>
      <c r="BA79" s="211"/>
      <c r="BB79" s="9">
        <v>1538.875</v>
      </c>
      <c r="BC79" s="17">
        <v>1276.1666666666667</v>
      </c>
      <c r="BD79" s="17">
        <v>1053.25</v>
      </c>
      <c r="BE79" s="17">
        <v>1005.0972222222222</v>
      </c>
      <c r="BF79" s="17">
        <f t="shared" ref="BF79:BM79" si="29">IFERROR(AVERAGE(F79,S79,AF79),0)</f>
        <v>722.90277777777783</v>
      </c>
      <c r="BG79" s="17">
        <f t="shared" si="29"/>
        <v>647.79656862745094</v>
      </c>
      <c r="BH79" s="17">
        <f t="shared" si="29"/>
        <v>490.70833333333331</v>
      </c>
      <c r="BI79" s="17">
        <f t="shared" si="29"/>
        <v>451.70833333333331</v>
      </c>
      <c r="BJ79" s="17">
        <f t="shared" si="29"/>
        <v>564.66666666666663</v>
      </c>
      <c r="BK79" s="17">
        <f t="shared" si="29"/>
        <v>858.08333333333337</v>
      </c>
      <c r="BL79" s="17">
        <f t="shared" si="29"/>
        <v>819.33928571428567</v>
      </c>
      <c r="BM79" s="9">
        <f t="shared" si="29"/>
        <v>1110.1319444444443</v>
      </c>
      <c r="BN79" s="211">
        <f>IFERROR(BN78/SUM(BB75:BM75)*12,0)</f>
        <v>10538.75</v>
      </c>
      <c r="BO79" s="20">
        <f>BN79</f>
        <v>10538.75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Data'!C123=0,"",'kWh_Streetlight Data'!C123)</f>
        <v/>
      </c>
      <c r="C83" s="108" t="str">
        <f>IF('kWh_Streetlight Data'!D123=0,"",'kWh_Streetlight Data'!D123)</f>
        <v/>
      </c>
      <c r="D83" s="108" t="str">
        <f>IF('kWh_Streetlight Data'!E123=0,"",'kWh_Streetlight Data'!E123)</f>
        <v/>
      </c>
      <c r="E83" s="108" t="str">
        <f>IF('kWh_Streetlight Data'!F123=0,"",'kWh_Streetlight Data'!F123)</f>
        <v/>
      </c>
      <c r="F83" s="108" t="str">
        <f>IF('kWh_Streetlight Data'!G123=0,"",'kWh_Streetlight Data'!G123)</f>
        <v/>
      </c>
      <c r="G83" s="108" t="str">
        <f>IF('kWh_Streetlight Data'!H123=0,"",'kWh_Streetlight Data'!H123)</f>
        <v/>
      </c>
      <c r="H83" s="108" t="str">
        <f>IF('kWh_Streetlight Data'!I123=0,"",'kWh_Streetlight Data'!I123)</f>
        <v/>
      </c>
      <c r="I83" s="108" t="str">
        <f>IF('kWh_Streetlight Data'!J123=0,"",'kWh_Streetlight Data'!J123)</f>
        <v/>
      </c>
      <c r="J83" s="108" t="str">
        <f>IF('kWh_Streetlight Data'!K123=0,"",'kWh_Streetlight Data'!K123)</f>
        <v/>
      </c>
      <c r="K83" s="108" t="str">
        <f>IF('kWh_Streetlight Data'!L123=0,"",'kWh_Streetlight Data'!L123)</f>
        <v/>
      </c>
      <c r="L83" s="108" t="str">
        <f>IF('kWh_Streetlight Data'!M123=0,"",'kWh_Streetlight Data'!M123)</f>
        <v/>
      </c>
      <c r="M83" s="108" t="str">
        <f>IF('kWh_Streetlight Data'!N123=0,"",'kWh_Streetlight Data'!N123)</f>
        <v/>
      </c>
      <c r="N83" s="424" t="str">
        <f>IF('kWh_Streetlight Data'!O123=0,"",'kWh_Streetlight Data'!O123)</f>
        <v/>
      </c>
      <c r="O83" s="84" t="str">
        <f>IF('kWh_Streetlight Data'!P123=0,"",'kWh_Streetlight Data'!P123)</f>
        <v/>
      </c>
      <c r="P83" s="108" t="str">
        <f>IF('kWh_Streetlight Data'!Q123=0,"",'kWh_Streetlight Data'!Q123)</f>
        <v/>
      </c>
      <c r="Q83" s="108" t="str">
        <f>IF('kWh_Streetlight Data'!R123=0,"",'kWh_Streetlight Data'!R123)</f>
        <v/>
      </c>
      <c r="R83" s="108" t="str">
        <f>IF('kWh_Streetlight Data'!S123=0,"",'kWh_Streetlight Data'!S123)</f>
        <v/>
      </c>
      <c r="S83" s="108" t="str">
        <f>IF('kWh_Streetlight Data'!T123=0,"",'kWh_Streetlight Data'!T123)</f>
        <v/>
      </c>
      <c r="T83" s="108" t="str">
        <f>IF('kWh_Streetlight Data'!U123=0,"",'kWh_Streetlight Data'!U123)</f>
        <v/>
      </c>
      <c r="U83" s="108" t="str">
        <f>IF('kWh_Streetlight Data'!V123=0,"",'kWh_Streetlight Data'!V123)</f>
        <v/>
      </c>
      <c r="V83" s="108" t="str">
        <f>IF('kWh_Streetlight Data'!W123=0,"",'kWh_Streetlight Data'!W123)</f>
        <v/>
      </c>
      <c r="W83" s="108" t="str">
        <f>IF('kWh_Streetlight Data'!X123=0,"",'kWh_Streetlight Data'!X123)</f>
        <v/>
      </c>
      <c r="X83" s="108" t="str">
        <f>IF('kWh_Streetlight Data'!Y123=0,"",'kWh_Streetlight Data'!Y123)</f>
        <v/>
      </c>
      <c r="Y83" s="108" t="str">
        <f>IF('kWh_Streetlight Data'!Z123=0,"",'kWh_Streetlight Data'!Z123)</f>
        <v/>
      </c>
      <c r="Z83" s="108" t="str">
        <f>IF('kWh_Streetlight Data'!AA123=0,"",'kWh_Streetlight Data'!AA123)</f>
        <v/>
      </c>
      <c r="AA83" s="424" t="str">
        <f>IF('kWh_Streetlight Data'!AB123=0,"",'kWh_Streetlight Data'!AB123)</f>
        <v/>
      </c>
      <c r="AB83" s="442" t="str">
        <f>IF('kWh_Streetlight Data'!AC123=0,"",'kWh_Streetlight Data'!AC123)</f>
        <v/>
      </c>
      <c r="AC83" s="443" t="str">
        <f>IF('kWh_Streetlight Data'!AD123=0,"",'kWh_Streetlight Data'!AD123)</f>
        <v/>
      </c>
      <c r="AD83" s="443" t="str">
        <f>IF('kWh_Streetlight Data'!AE123=0,"",'kWh_Streetlight Data'!AE123)</f>
        <v/>
      </c>
      <c r="AE83" s="443" t="str">
        <f>IF('kWh_Streetlight Data'!AF123=0,"",'kWh_Streetlight Data'!AF123)</f>
        <v/>
      </c>
      <c r="AF83" s="443" t="str">
        <f>IF('kWh_Streetlight Data'!AG123=0,"",'kWh_Streetlight Data'!AG123)</f>
        <v/>
      </c>
      <c r="AG83" s="443" t="str">
        <f>IF('kWh_Streetlight Data'!AH123=0,"",'kWh_Streetlight Data'!AH123)</f>
        <v/>
      </c>
      <c r="AH83" s="108" t="str">
        <f>IF('kWh_Streetlight Data'!AI123=0,"",'kWh_Streetlight Data'!AI123)</f>
        <v/>
      </c>
      <c r="AI83" s="108" t="str">
        <f>IF('kWh_Streetlight Data'!AJ123=0,"",'kWh_Streetlight Data'!AJ123)</f>
        <v/>
      </c>
      <c r="AJ83" s="108" t="str">
        <f>IF('kWh_Streetlight Data'!AK123=0,"",'kWh_Streetlight Data'!AK123)</f>
        <v/>
      </c>
      <c r="AK83" s="108" t="str">
        <f>IF('kWh_Streetlight Data'!AL123=0,"",'kWh_Streetlight Data'!AL123)</f>
        <v/>
      </c>
      <c r="AL83" s="108" t="str">
        <f>IF('kWh_Streetlight Data'!AM123=0,"",'kWh_Streetlight Data'!AM123)</f>
        <v/>
      </c>
      <c r="AM83" s="108" t="str">
        <f>IF('kWh_Streetlight Data'!AN123=0,"",'kWh_Streetlight Data'!AN123)</f>
        <v/>
      </c>
      <c r="AN83" s="424" t="str">
        <f>IF('kWh_Streetlight Data'!AO123=0,"",'kWh_Streetlight Data'!AO123)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Customers!E150</f>
        <v>12</v>
      </c>
      <c r="AV86" s="38">
        <f>Customers!F150</f>
        <v>12</v>
      </c>
      <c r="AW86" s="38">
        <f>Customers!G150</f>
        <v>12</v>
      </c>
      <c r="AX86" s="38">
        <f>Customers!H150</f>
        <v>13</v>
      </c>
      <c r="AY86" s="38">
        <f>Customers!I150</f>
        <v>13</v>
      </c>
      <c r="AZ86" s="38">
        <f>Customers!J150</f>
        <v>13</v>
      </c>
      <c r="BA86" s="210">
        <f>AZ86</f>
        <v>13</v>
      </c>
      <c r="BB86" s="124">
        <v>13</v>
      </c>
      <c r="BC86" s="38">
        <v>13</v>
      </c>
      <c r="BD86" s="38">
        <v>13</v>
      </c>
      <c r="BE86" s="38">
        <v>13</v>
      </c>
      <c r="BF86" s="38">
        <f t="shared" ref="BF86:BM86" si="30">BE86</f>
        <v>13</v>
      </c>
      <c r="BG86" s="38">
        <f t="shared" si="30"/>
        <v>13</v>
      </c>
      <c r="BH86" s="38">
        <f t="shared" si="30"/>
        <v>13</v>
      </c>
      <c r="BI86" s="38">
        <f t="shared" si="30"/>
        <v>13</v>
      </c>
      <c r="BJ86" s="38">
        <f t="shared" si="30"/>
        <v>13</v>
      </c>
      <c r="BK86" s="38">
        <f t="shared" si="30"/>
        <v>13</v>
      </c>
      <c r="BL86" s="38">
        <f t="shared" si="30"/>
        <v>13</v>
      </c>
      <c r="BM86" s="38">
        <f t="shared" si="30"/>
        <v>13</v>
      </c>
      <c r="BN86" s="210">
        <f>IFERROR(ROUND(AVERAGE(BB86:BM86),0),0)</f>
        <v>13</v>
      </c>
      <c r="BO86" s="143">
        <f>Customers!L150</f>
        <v>13</v>
      </c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31">IFERROR(ROUND(AU88*AU86,0),0)</f>
        <v>77149</v>
      </c>
      <c r="AV87" s="160">
        <f t="shared" si="31"/>
        <v>33986</v>
      </c>
      <c r="AW87" s="160">
        <f t="shared" si="31"/>
        <v>45986</v>
      </c>
      <c r="AX87" s="160">
        <f t="shared" si="31"/>
        <v>85595</v>
      </c>
      <c r="AY87" s="160">
        <f t="shared" si="31"/>
        <v>65931</v>
      </c>
      <c r="AZ87" s="160">
        <f t="shared" si="31"/>
        <v>100064</v>
      </c>
      <c r="BA87" s="196">
        <f>SUM(AO87:AZ87)</f>
        <v>408711</v>
      </c>
      <c r="BB87" s="160">
        <v>76349</v>
      </c>
      <c r="BC87" s="160">
        <v>82990</v>
      </c>
      <c r="BD87" s="160">
        <v>53661</v>
      </c>
      <c r="BE87" s="160">
        <v>61965</v>
      </c>
      <c r="BF87" s="160">
        <f t="shared" ref="BF87:BM87" si="32">IFERROR(ROUND(BF88*BF86,0),0)</f>
        <v>66982</v>
      </c>
      <c r="BG87" s="160">
        <f t="shared" si="32"/>
        <v>43054</v>
      </c>
      <c r="BH87" s="160">
        <f t="shared" si="32"/>
        <v>83578</v>
      </c>
      <c r="BI87" s="160">
        <f t="shared" si="32"/>
        <v>36818</v>
      </c>
      <c r="BJ87" s="160">
        <f t="shared" si="32"/>
        <v>49818</v>
      </c>
      <c r="BK87" s="160">
        <f t="shared" si="32"/>
        <v>85595</v>
      </c>
      <c r="BL87" s="160">
        <f t="shared" si="32"/>
        <v>65931</v>
      </c>
      <c r="BM87" s="160">
        <f t="shared" si="32"/>
        <v>100064</v>
      </c>
      <c r="BN87" s="196">
        <f>SUM(BB87:BM87)</f>
        <v>806805</v>
      </c>
      <c r="BO87" s="144">
        <f>IFERROR(ROUND(BO88*BO86,0),0)</f>
        <v>806805</v>
      </c>
    </row>
    <row r="88" spans="1:67" ht="15.75" customHeight="1" thickTop="1">
      <c r="A88" s="374" t="s">
        <v>54</v>
      </c>
      <c r="B88" s="84">
        <f>IF('kWh_Streetlight Data'!C124=0,"",'kWh_Streetlight Data'!C124)</f>
        <v>5123.625</v>
      </c>
      <c r="C88" s="108">
        <f>IF('kWh_Streetlight Data'!D124=0,"",'kWh_Streetlight Data'!D124)</f>
        <v>4082.25</v>
      </c>
      <c r="D88" s="108">
        <f>IF('kWh_Streetlight Data'!E124=0,"",'kWh_Streetlight Data'!E124)</f>
        <v>3460.8125</v>
      </c>
      <c r="E88" s="108">
        <f>IF('kWh_Streetlight Data'!F124=0,"",'kWh_Streetlight Data'!F124)</f>
        <v>3562.625</v>
      </c>
      <c r="F88" s="108">
        <f>IF('kWh_Streetlight Data'!G124=0,"",'kWh_Streetlight Data'!G124)</f>
        <v>321.68181818181819</v>
      </c>
      <c r="G88" s="108">
        <f>IF('kWh_Streetlight Data'!H124=0,"",'kWh_Streetlight Data'!H124)</f>
        <v>3240.9285714285716</v>
      </c>
      <c r="H88" s="108">
        <f>IF('kWh_Streetlight Data'!I124=0,"",'kWh_Streetlight Data'!I124)</f>
        <v>3302.4615384615386</v>
      </c>
      <c r="I88" s="108">
        <f>IF('kWh_Streetlight Data'!J124=0,"",'kWh_Streetlight Data'!J124)</f>
        <v>2699.7692307692309</v>
      </c>
      <c r="J88" s="108">
        <f>IF('kWh_Streetlight Data'!K124=0,"",'kWh_Streetlight Data'!K124)</f>
        <v>1891.8888888888889</v>
      </c>
      <c r="K88" s="108">
        <f>IF('kWh_Streetlight Data'!L124=0,"",'kWh_Streetlight Data'!L124)</f>
        <v>3692.7857142857142</v>
      </c>
      <c r="L88" s="108">
        <f>IF('kWh_Streetlight Data'!M124=0,"",'kWh_Streetlight Data'!M124)</f>
        <v>3828.5714285714284</v>
      </c>
      <c r="M88" s="108" t="str">
        <f>IF('kWh_Streetlight Data'!N124=0,"",'kWh_Streetlight Data'!N124)</f>
        <v/>
      </c>
      <c r="N88" s="424">
        <f>IF('kWh_Streetlight Data'!O124=0,"",'kWh_Streetlight Data'!O124)</f>
        <v>3078.4941860465115</v>
      </c>
      <c r="O88" s="84">
        <f>IF('kWh_Streetlight Data'!P124=0,"",'kWh_Streetlight Data'!P124)</f>
        <v>6622.4285714285716</v>
      </c>
      <c r="P88" s="108">
        <f>IF('kWh_Streetlight Data'!Q124=0,"",'kWh_Streetlight Data'!Q124)</f>
        <v>5601.4285714285716</v>
      </c>
      <c r="Q88" s="108">
        <f>IF('kWh_Streetlight Data'!R124=0,"",'kWh_Streetlight Data'!R124)</f>
        <v>4794.7333333333336</v>
      </c>
      <c r="R88" s="108">
        <f>IF('kWh_Streetlight Data'!S124=0,"",'kWh_Streetlight Data'!S124)</f>
        <v>3970.2</v>
      </c>
      <c r="S88" s="108">
        <f>IF('kWh_Streetlight Data'!T124=0,"",'kWh_Streetlight Data'!T124)</f>
        <v>3365.4666666666667</v>
      </c>
      <c r="T88" s="108">
        <f>IF('kWh_Streetlight Data'!U124=0,"",'kWh_Streetlight Data'!U124)</f>
        <v>3147</v>
      </c>
      <c r="U88" s="108">
        <f>IF('kWh_Streetlight Data'!V124=0,"",'kWh_Streetlight Data'!V124)</f>
        <v>2687.2666666666669</v>
      </c>
      <c r="V88" s="108">
        <f>IF('kWh_Streetlight Data'!W124=0,"",'kWh_Streetlight Data'!W124)</f>
        <v>3042.2</v>
      </c>
      <c r="W88" s="108">
        <f>IF('kWh_Streetlight Data'!X124=0,"",'kWh_Streetlight Data'!X124)</f>
        <v>2981.3333333333335</v>
      </c>
      <c r="X88" s="108">
        <f>IF('kWh_Streetlight Data'!Y124=0,"",'kWh_Streetlight Data'!Y124)</f>
        <v>9186.6</v>
      </c>
      <c r="Y88" s="108">
        <f>IF('kWh_Streetlight Data'!Z124=0,"",'kWh_Streetlight Data'!Z124)</f>
        <v>6520.2857142857147</v>
      </c>
      <c r="Z88" s="108">
        <f>IF('kWh_Streetlight Data'!AA124=0,"",'kWh_Streetlight Data'!AA124)</f>
        <v>9651.5</v>
      </c>
      <c r="AA88" s="426">
        <f>IF('kWh_Streetlight Data'!AB124=0,"",'kWh_Streetlight Data'!AB124)</f>
        <v>5033.666666666667</v>
      </c>
      <c r="AB88" s="442" t="str">
        <f>IF('kWh_Streetlight Data'!AC124=0,"",'kWh_Streetlight Data'!AC124)</f>
        <v/>
      </c>
      <c r="AC88" s="443">
        <f>IF('kWh_Streetlight Data'!AD124=0,"",'kWh_Streetlight Data'!AD124)</f>
        <v>9467.9166666666661</v>
      </c>
      <c r="AD88" s="443" t="str">
        <f>IF('kWh_Streetlight Data'!AE124=0,"",'kWh_Streetlight Data'!AE124)</f>
        <v/>
      </c>
      <c r="AE88" s="443">
        <f>IF('kWh_Streetlight Data'!AF124=0,"",'kWh_Streetlight Data'!AF124)</f>
        <v>6766.75</v>
      </c>
      <c r="AF88" s="443">
        <f>IF('kWh_Streetlight Data'!AG124=0,"",'kWh_Streetlight Data'!AG124)</f>
        <v>11770.153846153846</v>
      </c>
      <c r="AG88" s="443">
        <f>IF('kWh_Streetlight Data'!AH124=0,"",'kWh_Streetlight Data'!AH124)</f>
        <v>3547.5</v>
      </c>
      <c r="AH88" s="443">
        <f>IF('kWh_Streetlight Data'!AI124=0,"",'kWh_Streetlight Data'!AI124)</f>
        <v>13297.5</v>
      </c>
      <c r="AI88" s="443">
        <f>IF('kWh_Streetlight Data'!AJ124=0,"",'kWh_Streetlight Data'!AJ124)</f>
        <v>2754.4545454545455</v>
      </c>
      <c r="AJ88" s="443">
        <f>IF('kWh_Streetlight Data'!AK124=0,"",'kWh_Streetlight Data'!AK124)</f>
        <v>6623.2</v>
      </c>
      <c r="AK88" s="443">
        <f>IF('kWh_Streetlight Data'!AL124=0,"",'kWh_Streetlight Data'!AL124)</f>
        <v>6873.363636363636</v>
      </c>
      <c r="AL88" s="443">
        <f>IF('kWh_Streetlight Data'!AM124=0,"",'kWh_Streetlight Data'!AM124)</f>
        <v>4866</v>
      </c>
      <c r="AM88" s="443">
        <f>IF('kWh_Streetlight Data'!AN124=0,"",'kWh_Streetlight Data'!AN124)</f>
        <v>5742.894736842105</v>
      </c>
      <c r="AN88" s="424">
        <f>IF('kWh_Streetlight Data'!AO124=0,"",'kWh_Streetlight Data'!AO124)</f>
        <v>7194.394736842105</v>
      </c>
      <c r="AO88" s="34"/>
      <c r="AP88" s="35"/>
      <c r="AQ88" s="35"/>
      <c r="AR88" s="35"/>
      <c r="AS88" s="35"/>
      <c r="AT88" s="9"/>
      <c r="AU88" s="9">
        <f t="shared" ref="AU88:AZ88" si="33">IFERROR(AVERAGE(AH88,U88,H88),0)</f>
        <v>6429.0760683760682</v>
      </c>
      <c r="AV88" s="9">
        <f t="shared" si="33"/>
        <v>2832.1412587412583</v>
      </c>
      <c r="AW88" s="9">
        <f t="shared" si="33"/>
        <v>3832.1407407407405</v>
      </c>
      <c r="AX88" s="9">
        <f t="shared" si="33"/>
        <v>6584.2497835497843</v>
      </c>
      <c r="AY88" s="9">
        <f t="shared" si="33"/>
        <v>5071.6190476190468</v>
      </c>
      <c r="AZ88" s="9">
        <f t="shared" si="33"/>
        <v>7697.1973684210525</v>
      </c>
      <c r="BA88" s="211"/>
      <c r="BB88" s="9">
        <v>5873.0267857142862</v>
      </c>
      <c r="BC88" s="41">
        <v>6383.8650793650786</v>
      </c>
      <c r="BD88" s="41">
        <v>4127.7729166666668</v>
      </c>
      <c r="BE88" s="41">
        <v>4766.5250000000005</v>
      </c>
      <c r="BF88" s="41">
        <f t="shared" ref="BF88:BM88" si="34">IFERROR(AVERAGE(F88,S88,AF88),0)</f>
        <v>5152.4341103341103</v>
      </c>
      <c r="BG88" s="41">
        <f t="shared" si="34"/>
        <v>3311.8095238095243</v>
      </c>
      <c r="BH88" s="41">
        <f t="shared" si="34"/>
        <v>6429.0760683760682</v>
      </c>
      <c r="BI88" s="41">
        <f t="shared" si="34"/>
        <v>2832.1412587412592</v>
      </c>
      <c r="BJ88" s="41">
        <f t="shared" si="34"/>
        <v>3832.140740740741</v>
      </c>
      <c r="BK88" s="41">
        <f t="shared" si="34"/>
        <v>6584.2497835497825</v>
      </c>
      <c r="BL88" s="41">
        <f t="shared" si="34"/>
        <v>5071.6190476190477</v>
      </c>
      <c r="BM88" s="9">
        <f t="shared" si="34"/>
        <v>7697.1973684210525</v>
      </c>
      <c r="BN88" s="211">
        <f>IFERROR(BN87/SUM(BB86:BM86)*12,0)</f>
        <v>62061.923076923078</v>
      </c>
      <c r="BO88" s="20">
        <f>BN88</f>
        <v>62061.923076923078</v>
      </c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Data'!C125=0,"",'kWh_Streetlight Data'!C125)</f>
        <v/>
      </c>
      <c r="C94" s="108" t="str">
        <f>IF('kWh_Streetlight Data'!D125=0,"",'kWh_Streetlight Data'!D125)</f>
        <v/>
      </c>
      <c r="D94" s="108" t="str">
        <f>IF('kWh_Streetlight Data'!E125=0,"",'kWh_Streetlight Data'!E125)</f>
        <v/>
      </c>
      <c r="E94" s="108" t="str">
        <f>IF('kWh_Streetlight Data'!F125=0,"",'kWh_Streetlight Data'!F125)</f>
        <v/>
      </c>
      <c r="F94" s="108" t="str">
        <f>IF('kWh_Streetlight Data'!G125=0,"",'kWh_Streetlight Data'!G125)</f>
        <v/>
      </c>
      <c r="G94" s="108" t="str">
        <f>IF('kWh_Streetlight Data'!H125=0,"",'kWh_Streetlight Data'!H125)</f>
        <v/>
      </c>
      <c r="H94" s="108" t="str">
        <f>IF('kWh_Streetlight Data'!I125=0,"",'kWh_Streetlight Data'!I125)</f>
        <v/>
      </c>
      <c r="I94" s="108" t="str">
        <f>IF('kWh_Streetlight Data'!J125=0,"",'kWh_Streetlight Data'!J125)</f>
        <v/>
      </c>
      <c r="J94" s="108" t="str">
        <f>IF('kWh_Streetlight Data'!K125=0,"",'kWh_Streetlight Data'!K125)</f>
        <v/>
      </c>
      <c r="K94" s="108" t="str">
        <f>IF('kWh_Streetlight Data'!L125=0,"",'kWh_Streetlight Data'!L125)</f>
        <v/>
      </c>
      <c r="L94" s="130" t="str">
        <f>IF('kWh_Streetlight Data'!M125=0,"",'kWh_Streetlight Data'!M125)</f>
        <v/>
      </c>
      <c r="M94" s="130" t="str">
        <f>IF('kWh_Streetlight Data'!N125=0,"",'kWh_Streetlight Data'!N125)</f>
        <v/>
      </c>
      <c r="N94" s="425" t="str">
        <f>IF('kWh_Streetlight Data'!O125=0,"",'kWh_Streetlight Data'!O125)</f>
        <v/>
      </c>
      <c r="O94" s="84" t="str">
        <f>IF('kWh_Streetlight Data'!P125=0,"",'kWh_Streetlight Data'!P125)</f>
        <v/>
      </c>
      <c r="P94" s="108" t="str">
        <f>IF('kWh_Streetlight Data'!Q125=0,"",'kWh_Streetlight Data'!Q125)</f>
        <v/>
      </c>
      <c r="Q94" s="108" t="str">
        <f>IF('kWh_Streetlight Data'!R125=0,"",'kWh_Streetlight Data'!R125)</f>
        <v/>
      </c>
      <c r="R94" s="108" t="str">
        <f>IF('kWh_Streetlight Data'!S125=0,"",'kWh_Streetlight Data'!S125)</f>
        <v/>
      </c>
      <c r="S94" s="108" t="str">
        <f>IF('kWh_Streetlight Data'!T125=0,"",'kWh_Streetlight Data'!T125)</f>
        <v/>
      </c>
      <c r="T94" s="108" t="str">
        <f>IF('kWh_Streetlight Data'!U125=0,"",'kWh_Streetlight Data'!U125)</f>
        <v/>
      </c>
      <c r="U94" s="108" t="str">
        <f>IF('kWh_Streetlight Data'!V125=0,"",'kWh_Streetlight Data'!V125)</f>
        <v/>
      </c>
      <c r="V94" s="108" t="str">
        <f>IF('kWh_Streetlight Data'!W125=0,"",'kWh_Streetlight Data'!W125)</f>
        <v/>
      </c>
      <c r="W94" s="108" t="str">
        <f>IF('kWh_Streetlight Data'!X125=0,"",'kWh_Streetlight Data'!X125)</f>
        <v/>
      </c>
      <c r="X94" s="108" t="str">
        <f>IF('kWh_Streetlight Data'!Y125=0,"",'kWh_Streetlight Data'!Y125)</f>
        <v/>
      </c>
      <c r="Y94" s="108" t="str">
        <f>IF('kWh_Streetlight Data'!Z125=0,"",'kWh_Streetlight Data'!Z125)</f>
        <v/>
      </c>
      <c r="Z94" s="108" t="str">
        <f>IF('kWh_Streetlight Data'!AA125=0,"",'kWh_Streetlight Data'!AA125)</f>
        <v/>
      </c>
      <c r="AA94" s="426" t="str">
        <f>IF('kWh_Streetlight Data'!AB125=0,"",'kWh_Streetlight Data'!AB125)</f>
        <v/>
      </c>
      <c r="AB94" s="84" t="str">
        <f>IF('kWh_Streetlight Data'!AC125=0,"",'kWh_Streetlight Data'!AC125)</f>
        <v/>
      </c>
      <c r="AC94" s="108" t="str">
        <f>IF('kWh_Streetlight Data'!AD125=0,"",'kWh_Streetlight Data'!AD125)</f>
        <v/>
      </c>
      <c r="AD94" s="108" t="str">
        <f>IF('kWh_Streetlight Data'!AE125=0,"",'kWh_Streetlight Data'!AE125)</f>
        <v/>
      </c>
      <c r="AE94" s="108" t="str">
        <f>IF('kWh_Streetlight Data'!AF125=0,"",'kWh_Streetlight Data'!AF125)</f>
        <v/>
      </c>
      <c r="AF94" s="108" t="str">
        <f>IF('kWh_Streetlight Data'!AG125=0,"",'kWh_Streetlight Data'!AG125)</f>
        <v/>
      </c>
      <c r="AG94" s="108" t="str">
        <f>IF('kWh_Streetlight Data'!AH125=0,"",'kWh_Streetlight Data'!AH125)</f>
        <v/>
      </c>
      <c r="AH94" s="108" t="str">
        <f>IF('kWh_Streetlight Data'!AI125=0,"",'kWh_Streetlight Data'!AI125)</f>
        <v/>
      </c>
      <c r="AI94" s="108" t="str">
        <f>IF('kWh_Streetlight Data'!AJ125=0,"",'kWh_Streetlight Data'!AJ125)</f>
        <v/>
      </c>
      <c r="AJ94" s="108" t="str">
        <f>IF('kWh_Streetlight Data'!AK125=0,"",'kWh_Streetlight Data'!AK125)</f>
        <v/>
      </c>
      <c r="AK94" s="108" t="str">
        <f>IF('kWh_Streetlight Data'!AL125=0,"",'kWh_Streetlight Data'!AL125)</f>
        <v/>
      </c>
      <c r="AL94" s="108" t="str">
        <f>IF('kWh_Streetlight Data'!AM125=0,"",'kWh_Streetlight Data'!AM125)</f>
        <v/>
      </c>
      <c r="AM94" s="108" t="str">
        <f>IF('kWh_Streetlight Data'!AN125=0,"",'kWh_Streetlight Data'!AN125)</f>
        <v/>
      </c>
      <c r="AN94" s="424" t="str">
        <f>IF('kWh_Streetlight Data'!AO125=0,"",'kWh_Streetlight Data'!AO125)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35">AU7+AU22+AU29+AU43</f>
        <v>92</v>
      </c>
      <c r="AV98" s="9">
        <f t="shared" si="35"/>
        <v>92</v>
      </c>
      <c r="AW98" s="9">
        <f t="shared" si="35"/>
        <v>92</v>
      </c>
      <c r="AX98" s="9">
        <f t="shared" si="35"/>
        <v>92</v>
      </c>
      <c r="AY98" s="9">
        <f t="shared" si="35"/>
        <v>92</v>
      </c>
      <c r="AZ98" s="9">
        <f t="shared" si="35"/>
        <v>92</v>
      </c>
      <c r="BA98" s="138">
        <f t="shared" si="35"/>
        <v>92</v>
      </c>
      <c r="BB98" s="9">
        <v>92</v>
      </c>
      <c r="BC98" s="9">
        <v>92</v>
      </c>
      <c r="BD98" s="9">
        <v>92</v>
      </c>
      <c r="BE98" s="9">
        <v>92</v>
      </c>
      <c r="BF98" s="9">
        <f t="shared" ref="BF98:BO98" si="36">BF7+BF22+BF29+BF43</f>
        <v>92</v>
      </c>
      <c r="BG98" s="9">
        <f t="shared" si="36"/>
        <v>92</v>
      </c>
      <c r="BH98" s="9">
        <f t="shared" si="36"/>
        <v>92</v>
      </c>
      <c r="BI98" s="9">
        <f t="shared" si="36"/>
        <v>92</v>
      </c>
      <c r="BJ98" s="9">
        <f t="shared" si="36"/>
        <v>92</v>
      </c>
      <c r="BK98" s="9">
        <f t="shared" si="36"/>
        <v>92</v>
      </c>
      <c r="BL98" s="9">
        <f t="shared" si="36"/>
        <v>92</v>
      </c>
      <c r="BM98" s="9">
        <f t="shared" si="36"/>
        <v>92</v>
      </c>
      <c r="BN98" s="138">
        <f t="shared" si="36"/>
        <v>92</v>
      </c>
      <c r="BO98" s="58">
        <f t="shared" si="36"/>
        <v>92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37">AU57</f>
        <v>1</v>
      </c>
      <c r="AV99" s="9">
        <f t="shared" si="37"/>
        <v>1</v>
      </c>
      <c r="AW99" s="9">
        <f t="shared" si="37"/>
        <v>1</v>
      </c>
      <c r="AX99" s="9">
        <f t="shared" si="37"/>
        <v>1</v>
      </c>
      <c r="AY99" s="9">
        <f t="shared" si="37"/>
        <v>1</v>
      </c>
      <c r="AZ99" s="9">
        <f t="shared" si="37"/>
        <v>1</v>
      </c>
      <c r="BA99" s="138">
        <f t="shared" si="37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38">BF57</f>
        <v>1</v>
      </c>
      <c r="BG99" s="9">
        <f t="shared" si="38"/>
        <v>1</v>
      </c>
      <c r="BH99" s="9">
        <f t="shared" si="38"/>
        <v>1</v>
      </c>
      <c r="BI99" s="9">
        <f t="shared" si="38"/>
        <v>1</v>
      </c>
      <c r="BJ99" s="9">
        <f t="shared" si="38"/>
        <v>1</v>
      </c>
      <c r="BK99" s="9">
        <f t="shared" si="38"/>
        <v>1</v>
      </c>
      <c r="BL99" s="9">
        <f t="shared" si="38"/>
        <v>1</v>
      </c>
      <c r="BM99" s="9">
        <f t="shared" si="38"/>
        <v>1</v>
      </c>
      <c r="BN99" s="138">
        <f t="shared" si="38"/>
        <v>1</v>
      </c>
      <c r="BO99" s="58">
        <f t="shared" si="38"/>
        <v>1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39">AU65+AU75+AU81+AU86</f>
        <v>20</v>
      </c>
      <c r="AV100" s="9">
        <f t="shared" si="39"/>
        <v>20</v>
      </c>
      <c r="AW100" s="9">
        <f t="shared" si="39"/>
        <v>20</v>
      </c>
      <c r="AX100" s="9">
        <f t="shared" si="39"/>
        <v>21</v>
      </c>
      <c r="AY100" s="9">
        <f t="shared" si="39"/>
        <v>21</v>
      </c>
      <c r="AZ100" s="9">
        <f t="shared" si="39"/>
        <v>21</v>
      </c>
      <c r="BA100" s="138">
        <f t="shared" si="39"/>
        <v>21</v>
      </c>
      <c r="BB100" s="9">
        <v>21</v>
      </c>
      <c r="BC100" s="9">
        <v>21</v>
      </c>
      <c r="BD100" s="9">
        <v>21</v>
      </c>
      <c r="BE100" s="9">
        <v>21</v>
      </c>
      <c r="BF100" s="9">
        <f t="shared" ref="BF100:BO100" si="40">BF65+BF75+BF81+BF86</f>
        <v>21</v>
      </c>
      <c r="BG100" s="9">
        <f t="shared" si="40"/>
        <v>21</v>
      </c>
      <c r="BH100" s="9">
        <f t="shared" si="40"/>
        <v>21</v>
      </c>
      <c r="BI100" s="9">
        <f t="shared" si="40"/>
        <v>21</v>
      </c>
      <c r="BJ100" s="9">
        <f t="shared" si="40"/>
        <v>21</v>
      </c>
      <c r="BK100" s="9">
        <f t="shared" si="40"/>
        <v>21</v>
      </c>
      <c r="BL100" s="9">
        <f t="shared" si="40"/>
        <v>21</v>
      </c>
      <c r="BM100" s="9">
        <f t="shared" si="40"/>
        <v>21</v>
      </c>
      <c r="BN100" s="138">
        <f t="shared" si="40"/>
        <v>21</v>
      </c>
      <c r="BO100" s="58">
        <f t="shared" si="40"/>
        <v>21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41">SUM(AU98:AU100)</f>
        <v>113</v>
      </c>
      <c r="AV101" s="73">
        <f t="shared" si="41"/>
        <v>113</v>
      </c>
      <c r="AW101" s="73">
        <f t="shared" si="41"/>
        <v>113</v>
      </c>
      <c r="AX101" s="73">
        <f t="shared" si="41"/>
        <v>114</v>
      </c>
      <c r="AY101" s="73">
        <f t="shared" si="41"/>
        <v>114</v>
      </c>
      <c r="AZ101" s="73">
        <f t="shared" si="41"/>
        <v>114</v>
      </c>
      <c r="BA101" s="249">
        <f t="shared" si="41"/>
        <v>114</v>
      </c>
      <c r="BB101" s="73">
        <v>114</v>
      </c>
      <c r="BC101" s="73">
        <v>114</v>
      </c>
      <c r="BD101" s="73">
        <v>114</v>
      </c>
      <c r="BE101" s="73">
        <v>114</v>
      </c>
      <c r="BF101" s="73">
        <f t="shared" ref="BF101:BO101" si="42">SUM(BF98:BF100)</f>
        <v>114</v>
      </c>
      <c r="BG101" s="73">
        <f t="shared" si="42"/>
        <v>114</v>
      </c>
      <c r="BH101" s="73">
        <f t="shared" si="42"/>
        <v>114</v>
      </c>
      <c r="BI101" s="73">
        <f t="shared" si="42"/>
        <v>114</v>
      </c>
      <c r="BJ101" s="73">
        <f t="shared" si="42"/>
        <v>114</v>
      </c>
      <c r="BK101" s="73">
        <f t="shared" si="42"/>
        <v>114</v>
      </c>
      <c r="BL101" s="73">
        <f t="shared" si="42"/>
        <v>114</v>
      </c>
      <c r="BM101" s="73">
        <f t="shared" si="42"/>
        <v>114</v>
      </c>
      <c r="BN101" s="249">
        <f t="shared" si="42"/>
        <v>114</v>
      </c>
      <c r="BO101" s="268">
        <f t="shared" si="42"/>
        <v>114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43">AU15+AU36+AU50</f>
        <v>0</v>
      </c>
      <c r="AV102" s="9">
        <f t="shared" si="43"/>
        <v>0</v>
      </c>
      <c r="AW102" s="9">
        <f t="shared" si="43"/>
        <v>0</v>
      </c>
      <c r="AX102" s="9">
        <f t="shared" si="43"/>
        <v>0</v>
      </c>
      <c r="AY102" s="9">
        <f t="shared" si="43"/>
        <v>0</v>
      </c>
      <c r="AZ102" s="9">
        <f t="shared" si="43"/>
        <v>0</v>
      </c>
      <c r="BA102" s="138">
        <f t="shared" si="43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44">BF15+BF36+BF50</f>
        <v>0</v>
      </c>
      <c r="BG102" s="9">
        <f t="shared" si="44"/>
        <v>0</v>
      </c>
      <c r="BH102" s="9">
        <f t="shared" si="44"/>
        <v>0</v>
      </c>
      <c r="BI102" s="9">
        <f t="shared" si="44"/>
        <v>0</v>
      </c>
      <c r="BJ102" s="9">
        <f t="shared" si="44"/>
        <v>0</v>
      </c>
      <c r="BK102" s="9">
        <f t="shared" si="44"/>
        <v>0</v>
      </c>
      <c r="BL102" s="9">
        <f t="shared" si="44"/>
        <v>0</v>
      </c>
      <c r="BM102" s="9">
        <f t="shared" si="44"/>
        <v>0</v>
      </c>
      <c r="BN102" s="138">
        <f t="shared" si="44"/>
        <v>0</v>
      </c>
      <c r="BO102" s="266">
        <f t="shared" si="44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45">AU92</f>
        <v>0</v>
      </c>
      <c r="AV104" s="9">
        <f t="shared" si="45"/>
        <v>0</v>
      </c>
      <c r="AW104" s="9">
        <f t="shared" si="45"/>
        <v>0</v>
      </c>
      <c r="AX104" s="9">
        <f t="shared" si="45"/>
        <v>0</v>
      </c>
      <c r="AY104" s="9">
        <f t="shared" si="45"/>
        <v>0</v>
      </c>
      <c r="AZ104" s="9">
        <f t="shared" si="45"/>
        <v>0</v>
      </c>
      <c r="BA104" s="138">
        <f t="shared" si="45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46">BF92</f>
        <v>0</v>
      </c>
      <c r="BG104" s="9">
        <f t="shared" si="46"/>
        <v>0</v>
      </c>
      <c r="BH104" s="9">
        <f t="shared" si="46"/>
        <v>0</v>
      </c>
      <c r="BI104" s="9">
        <f t="shared" si="46"/>
        <v>0</v>
      </c>
      <c r="BJ104" s="9">
        <f t="shared" si="46"/>
        <v>0</v>
      </c>
      <c r="BK104" s="9">
        <f t="shared" si="46"/>
        <v>0</v>
      </c>
      <c r="BL104" s="9">
        <f t="shared" si="46"/>
        <v>0</v>
      </c>
      <c r="BM104" s="9">
        <f t="shared" si="46"/>
        <v>0</v>
      </c>
      <c r="BN104" s="138">
        <f t="shared" si="46"/>
        <v>0</v>
      </c>
      <c r="BO104" s="58">
        <f t="shared" si="46"/>
        <v>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47">SUM(AU102:AU104)</f>
        <v>0</v>
      </c>
      <c r="AV105" s="73">
        <f t="shared" si="47"/>
        <v>0</v>
      </c>
      <c r="AW105" s="73">
        <f t="shared" si="47"/>
        <v>0</v>
      </c>
      <c r="AX105" s="73">
        <f t="shared" si="47"/>
        <v>0</v>
      </c>
      <c r="AY105" s="73">
        <f t="shared" si="47"/>
        <v>0</v>
      </c>
      <c r="AZ105" s="73">
        <f t="shared" si="47"/>
        <v>0</v>
      </c>
      <c r="BA105" s="249">
        <f t="shared" si="47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48">SUM(BF102:BF104)</f>
        <v>0</v>
      </c>
      <c r="BG105" s="73">
        <f t="shared" si="48"/>
        <v>0</v>
      </c>
      <c r="BH105" s="73">
        <f t="shared" si="48"/>
        <v>0</v>
      </c>
      <c r="BI105" s="73">
        <f t="shared" si="48"/>
        <v>0</v>
      </c>
      <c r="BJ105" s="73">
        <f t="shared" si="48"/>
        <v>0</v>
      </c>
      <c r="BK105" s="73">
        <f t="shared" si="48"/>
        <v>0</v>
      </c>
      <c r="BL105" s="73">
        <f t="shared" si="48"/>
        <v>0</v>
      </c>
      <c r="BM105" s="73">
        <f t="shared" si="48"/>
        <v>0</v>
      </c>
      <c r="BN105" s="249">
        <f t="shared" si="48"/>
        <v>0</v>
      </c>
      <c r="BO105" s="268">
        <f t="shared" si="48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49">AU105+AU101</f>
        <v>113</v>
      </c>
      <c r="AV106" s="251">
        <f t="shared" si="49"/>
        <v>113</v>
      </c>
      <c r="AW106" s="251">
        <f t="shared" si="49"/>
        <v>113</v>
      </c>
      <c r="AX106" s="251">
        <f t="shared" si="49"/>
        <v>114</v>
      </c>
      <c r="AY106" s="251">
        <f t="shared" si="49"/>
        <v>114</v>
      </c>
      <c r="AZ106" s="251">
        <f t="shared" si="49"/>
        <v>114</v>
      </c>
      <c r="BA106" s="255">
        <f t="shared" si="49"/>
        <v>114</v>
      </c>
      <c r="BB106" s="251">
        <v>114</v>
      </c>
      <c r="BC106" s="251">
        <v>114</v>
      </c>
      <c r="BD106" s="251">
        <v>114</v>
      </c>
      <c r="BE106" s="251">
        <v>114</v>
      </c>
      <c r="BF106" s="251">
        <f t="shared" si="49"/>
        <v>114</v>
      </c>
      <c r="BG106" s="251">
        <f t="shared" si="49"/>
        <v>114</v>
      </c>
      <c r="BH106" s="251">
        <f t="shared" si="49"/>
        <v>114</v>
      </c>
      <c r="BI106" s="251">
        <f t="shared" si="49"/>
        <v>114</v>
      </c>
      <c r="BJ106" s="251">
        <f t="shared" si="49"/>
        <v>114</v>
      </c>
      <c r="BK106" s="251">
        <f t="shared" si="49"/>
        <v>114</v>
      </c>
      <c r="BL106" s="251">
        <f t="shared" si="49"/>
        <v>114</v>
      </c>
      <c r="BM106" s="251">
        <f t="shared" si="49"/>
        <v>114</v>
      </c>
      <c r="BN106" s="255">
        <f t="shared" si="49"/>
        <v>114</v>
      </c>
      <c r="BO106" s="269">
        <f t="shared" si="49"/>
        <v>114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50">AU11+AU26+AU33+AU47</f>
        <v>107212</v>
      </c>
      <c r="AV108" s="9">
        <f t="shared" si="50"/>
        <v>102593</v>
      </c>
      <c r="AW108" s="9">
        <f t="shared" si="50"/>
        <v>94092</v>
      </c>
      <c r="AX108" s="9">
        <f t="shared" si="50"/>
        <v>151589</v>
      </c>
      <c r="AY108" s="9">
        <f t="shared" si="50"/>
        <v>162410</v>
      </c>
      <c r="AZ108" s="9">
        <f t="shared" si="50"/>
        <v>198103</v>
      </c>
      <c r="BA108" s="138">
        <f t="shared" si="50"/>
        <v>815999</v>
      </c>
      <c r="BB108" s="9">
        <v>297109</v>
      </c>
      <c r="BC108" s="8">
        <v>205309</v>
      </c>
      <c r="BD108" s="9">
        <v>222082</v>
      </c>
      <c r="BE108" s="9">
        <v>203296</v>
      </c>
      <c r="BF108" s="9">
        <f t="shared" ref="BF108:BO108" si="51">BF11+BF26+BF33+BF47</f>
        <v>158122</v>
      </c>
      <c r="BG108" s="9">
        <f t="shared" si="51"/>
        <v>127769</v>
      </c>
      <c r="BH108" s="9">
        <f t="shared" si="51"/>
        <v>107212</v>
      </c>
      <c r="BI108" s="9">
        <f t="shared" si="51"/>
        <v>102593</v>
      </c>
      <c r="BJ108" s="9">
        <f t="shared" si="51"/>
        <v>94092</v>
      </c>
      <c r="BK108" s="9">
        <f t="shared" si="51"/>
        <v>151589</v>
      </c>
      <c r="BL108" s="9">
        <f t="shared" si="51"/>
        <v>162410</v>
      </c>
      <c r="BM108" s="9">
        <f t="shared" si="51"/>
        <v>198103</v>
      </c>
      <c r="BN108" s="138">
        <f t="shared" si="51"/>
        <v>2029686</v>
      </c>
      <c r="BO108" s="58">
        <f t="shared" si="51"/>
        <v>2029686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52">AU58</f>
        <v>1368</v>
      </c>
      <c r="AV109" s="9">
        <f t="shared" si="52"/>
        <v>1368</v>
      </c>
      <c r="AW109" s="9">
        <f t="shared" si="52"/>
        <v>1368</v>
      </c>
      <c r="AX109" s="9">
        <f t="shared" si="52"/>
        <v>1368</v>
      </c>
      <c r="AY109" s="9">
        <f t="shared" si="52"/>
        <v>1368</v>
      </c>
      <c r="AZ109" s="9">
        <f t="shared" si="52"/>
        <v>1368</v>
      </c>
      <c r="BA109" s="138">
        <f t="shared" si="52"/>
        <v>8208</v>
      </c>
      <c r="BB109" s="9">
        <v>1368</v>
      </c>
      <c r="BC109" s="8">
        <v>1368</v>
      </c>
      <c r="BD109" s="9">
        <v>1368</v>
      </c>
      <c r="BE109" s="9">
        <v>1368</v>
      </c>
      <c r="BF109" s="9">
        <f t="shared" ref="BF109:BO109" si="53">BF58</f>
        <v>1368</v>
      </c>
      <c r="BG109" s="9">
        <f t="shared" si="53"/>
        <v>1368</v>
      </c>
      <c r="BH109" s="9">
        <f t="shared" si="53"/>
        <v>1368</v>
      </c>
      <c r="BI109" s="9">
        <f t="shared" si="53"/>
        <v>1368</v>
      </c>
      <c r="BJ109" s="9">
        <f t="shared" si="53"/>
        <v>1368</v>
      </c>
      <c r="BK109" s="9">
        <f t="shared" si="53"/>
        <v>1368</v>
      </c>
      <c r="BL109" s="9">
        <f t="shared" si="53"/>
        <v>1368</v>
      </c>
      <c r="BM109" s="9">
        <f t="shared" si="53"/>
        <v>1368</v>
      </c>
      <c r="BN109" s="138">
        <f t="shared" si="53"/>
        <v>16416</v>
      </c>
      <c r="BO109" s="58">
        <f t="shared" si="53"/>
        <v>16416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54">AU68+AU78+AU82+AU87</f>
        <v>81075</v>
      </c>
      <c r="AV110" s="9">
        <f t="shared" si="54"/>
        <v>37600</v>
      </c>
      <c r="AW110" s="9">
        <f t="shared" si="54"/>
        <v>50503</v>
      </c>
      <c r="AX110" s="9">
        <f t="shared" si="54"/>
        <v>92460</v>
      </c>
      <c r="AY110" s="9">
        <f t="shared" si="54"/>
        <v>72486</v>
      </c>
      <c r="AZ110" s="9">
        <f t="shared" si="54"/>
        <v>108945</v>
      </c>
      <c r="BA110" s="138">
        <f t="shared" si="54"/>
        <v>443069</v>
      </c>
      <c r="BB110" s="9">
        <v>88660</v>
      </c>
      <c r="BC110" s="8">
        <v>93199</v>
      </c>
      <c r="BD110" s="9">
        <v>62087</v>
      </c>
      <c r="BE110" s="9">
        <v>70006</v>
      </c>
      <c r="BF110" s="9">
        <f t="shared" ref="BF110:BO110" si="55">BF68+BF78+BF82+BF87</f>
        <v>72765</v>
      </c>
      <c r="BG110" s="9">
        <f t="shared" si="55"/>
        <v>48236</v>
      </c>
      <c r="BH110" s="9">
        <f t="shared" si="55"/>
        <v>87504</v>
      </c>
      <c r="BI110" s="9">
        <f t="shared" si="55"/>
        <v>40432</v>
      </c>
      <c r="BJ110" s="9">
        <f t="shared" si="55"/>
        <v>54335</v>
      </c>
      <c r="BK110" s="9">
        <f t="shared" si="55"/>
        <v>92460</v>
      </c>
      <c r="BL110" s="9">
        <f t="shared" si="55"/>
        <v>72486</v>
      </c>
      <c r="BM110" s="9">
        <f t="shared" si="55"/>
        <v>108945</v>
      </c>
      <c r="BN110" s="138">
        <f t="shared" si="55"/>
        <v>891115</v>
      </c>
      <c r="BO110" s="58">
        <f t="shared" si="55"/>
        <v>891115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6">SUM(AU108:AU110)</f>
        <v>189655</v>
      </c>
      <c r="AV111" s="73">
        <f t="shared" si="56"/>
        <v>141561</v>
      </c>
      <c r="AW111" s="73">
        <f t="shared" si="56"/>
        <v>145963</v>
      </c>
      <c r="AX111" s="73">
        <f t="shared" si="56"/>
        <v>245417</v>
      </c>
      <c r="AY111" s="73">
        <f t="shared" si="56"/>
        <v>236264</v>
      </c>
      <c r="AZ111" s="73">
        <f t="shared" si="56"/>
        <v>308416</v>
      </c>
      <c r="BA111" s="249">
        <f t="shared" si="56"/>
        <v>1267276</v>
      </c>
      <c r="BB111" s="73">
        <v>387137</v>
      </c>
      <c r="BC111" s="246">
        <v>299876</v>
      </c>
      <c r="BD111" s="73">
        <v>285537</v>
      </c>
      <c r="BE111" s="73">
        <v>274670</v>
      </c>
      <c r="BF111" s="73">
        <f t="shared" ref="BF111:BO111" si="57">SUM(BF108:BF110)</f>
        <v>232255</v>
      </c>
      <c r="BG111" s="73">
        <f t="shared" si="57"/>
        <v>177373</v>
      </c>
      <c r="BH111" s="73">
        <f t="shared" si="57"/>
        <v>196084</v>
      </c>
      <c r="BI111" s="73">
        <f t="shared" si="57"/>
        <v>144393</v>
      </c>
      <c r="BJ111" s="73">
        <f t="shared" si="57"/>
        <v>149795</v>
      </c>
      <c r="BK111" s="73">
        <f t="shared" si="57"/>
        <v>245417</v>
      </c>
      <c r="BL111" s="73">
        <f t="shared" si="57"/>
        <v>236264</v>
      </c>
      <c r="BM111" s="73">
        <f t="shared" si="57"/>
        <v>308416</v>
      </c>
      <c r="BN111" s="249">
        <f t="shared" si="57"/>
        <v>2937217</v>
      </c>
      <c r="BO111" s="268">
        <f t="shared" si="57"/>
        <v>2937217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58">AU19+AU40+AU54</f>
        <v>0</v>
      </c>
      <c r="AV112" s="9">
        <f t="shared" si="58"/>
        <v>0</v>
      </c>
      <c r="AW112" s="9">
        <f t="shared" si="58"/>
        <v>0</v>
      </c>
      <c r="AX112" s="9">
        <f t="shared" si="58"/>
        <v>0</v>
      </c>
      <c r="AY112" s="9">
        <f t="shared" si="58"/>
        <v>0</v>
      </c>
      <c r="AZ112" s="9">
        <f t="shared" si="58"/>
        <v>0</v>
      </c>
      <c r="BA112" s="138">
        <f t="shared" si="58"/>
        <v>0</v>
      </c>
      <c r="BB112" s="9">
        <v>0</v>
      </c>
      <c r="BC112" s="8">
        <v>0</v>
      </c>
      <c r="BD112" s="9">
        <v>0</v>
      </c>
      <c r="BE112" s="9">
        <v>0</v>
      </c>
      <c r="BF112" s="9">
        <f t="shared" ref="BF112:BO112" si="59">BF19+BF40+BF54</f>
        <v>0</v>
      </c>
      <c r="BG112" s="9">
        <f t="shared" si="59"/>
        <v>0</v>
      </c>
      <c r="BH112" s="9">
        <f t="shared" si="59"/>
        <v>0</v>
      </c>
      <c r="BI112" s="9">
        <f t="shared" si="59"/>
        <v>0</v>
      </c>
      <c r="BJ112" s="9">
        <f t="shared" si="59"/>
        <v>0</v>
      </c>
      <c r="BK112" s="9">
        <f t="shared" si="59"/>
        <v>0</v>
      </c>
      <c r="BL112" s="9">
        <f t="shared" si="59"/>
        <v>0</v>
      </c>
      <c r="BM112" s="9">
        <f t="shared" si="59"/>
        <v>0</v>
      </c>
      <c r="BN112" s="138">
        <f t="shared" si="59"/>
        <v>0</v>
      </c>
      <c r="BO112" s="58">
        <f t="shared" si="59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8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60">AU93</f>
        <v>0</v>
      </c>
      <c r="AV114" s="9">
        <f t="shared" si="60"/>
        <v>0</v>
      </c>
      <c r="AW114" s="9">
        <f t="shared" si="60"/>
        <v>0</v>
      </c>
      <c r="AX114" s="9">
        <f t="shared" si="60"/>
        <v>0</v>
      </c>
      <c r="AY114" s="9">
        <f t="shared" si="60"/>
        <v>0</v>
      </c>
      <c r="AZ114" s="9">
        <f t="shared" si="60"/>
        <v>0</v>
      </c>
      <c r="BA114" s="138">
        <f t="shared" si="60"/>
        <v>0</v>
      </c>
      <c r="BB114" s="9">
        <v>0</v>
      </c>
      <c r="BC114" s="8">
        <v>0</v>
      </c>
      <c r="BD114" s="9">
        <v>0</v>
      </c>
      <c r="BE114" s="9">
        <v>0</v>
      </c>
      <c r="BF114" s="9">
        <f t="shared" ref="BF114:BO114" si="61">BF93</f>
        <v>0</v>
      </c>
      <c r="BG114" s="9">
        <f t="shared" si="61"/>
        <v>0</v>
      </c>
      <c r="BH114" s="9">
        <f t="shared" si="61"/>
        <v>0</v>
      </c>
      <c r="BI114" s="9">
        <f t="shared" si="61"/>
        <v>0</v>
      </c>
      <c r="BJ114" s="9">
        <f t="shared" si="61"/>
        <v>0</v>
      </c>
      <c r="BK114" s="9">
        <f t="shared" si="61"/>
        <v>0</v>
      </c>
      <c r="BL114" s="9">
        <f t="shared" si="61"/>
        <v>0</v>
      </c>
      <c r="BM114" s="9">
        <f t="shared" si="61"/>
        <v>0</v>
      </c>
      <c r="BN114" s="138">
        <f t="shared" si="61"/>
        <v>0</v>
      </c>
      <c r="BO114" s="58">
        <f t="shared" si="61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62">SUM(AU112:AU114)</f>
        <v>0</v>
      </c>
      <c r="AV115" s="73">
        <f t="shared" si="62"/>
        <v>0</v>
      </c>
      <c r="AW115" s="73">
        <f t="shared" si="62"/>
        <v>0</v>
      </c>
      <c r="AX115" s="73">
        <f t="shared" si="62"/>
        <v>0</v>
      </c>
      <c r="AY115" s="73">
        <f t="shared" si="62"/>
        <v>0</v>
      </c>
      <c r="AZ115" s="73">
        <f t="shared" si="62"/>
        <v>0</v>
      </c>
      <c r="BA115" s="249">
        <f t="shared" si="62"/>
        <v>0</v>
      </c>
      <c r="BB115" s="73">
        <v>0</v>
      </c>
      <c r="BC115" s="246">
        <v>0</v>
      </c>
      <c r="BD115" s="73">
        <v>0</v>
      </c>
      <c r="BE115" s="73">
        <v>0</v>
      </c>
      <c r="BF115" s="73">
        <f t="shared" ref="BF115:BO115" si="63">SUM(BF112:BF114)</f>
        <v>0</v>
      </c>
      <c r="BG115" s="73">
        <f t="shared" si="63"/>
        <v>0</v>
      </c>
      <c r="BH115" s="73">
        <f t="shared" si="63"/>
        <v>0</v>
      </c>
      <c r="BI115" s="73">
        <f t="shared" si="63"/>
        <v>0</v>
      </c>
      <c r="BJ115" s="73">
        <f t="shared" si="63"/>
        <v>0</v>
      </c>
      <c r="BK115" s="73">
        <f t="shared" si="63"/>
        <v>0</v>
      </c>
      <c r="BL115" s="73">
        <f t="shared" si="63"/>
        <v>0</v>
      </c>
      <c r="BM115" s="73">
        <f t="shared" si="63"/>
        <v>0</v>
      </c>
      <c r="BN115" s="249">
        <f t="shared" si="63"/>
        <v>0</v>
      </c>
      <c r="BO115" s="268">
        <f t="shared" si="63"/>
        <v>0</v>
      </c>
    </row>
    <row r="116" spans="1:67" s="3" customFormat="1" ht="15.75" customHeight="1" thickBot="1">
      <c r="A116" s="201" t="s">
        <v>86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64">AU115+AU111</f>
        <v>189655</v>
      </c>
      <c r="AV116" s="251">
        <f t="shared" si="64"/>
        <v>141561</v>
      </c>
      <c r="AW116" s="251">
        <f t="shared" si="64"/>
        <v>145963</v>
      </c>
      <c r="AX116" s="251">
        <f t="shared" si="64"/>
        <v>245417</v>
      </c>
      <c r="AY116" s="251">
        <f t="shared" si="64"/>
        <v>236264</v>
      </c>
      <c r="AZ116" s="251">
        <f t="shared" si="64"/>
        <v>308416</v>
      </c>
      <c r="BA116" s="255">
        <f t="shared" si="64"/>
        <v>1267276</v>
      </c>
      <c r="BB116" s="251">
        <v>387137</v>
      </c>
      <c r="BC116" s="250">
        <v>299876</v>
      </c>
      <c r="BD116" s="251">
        <v>285537</v>
      </c>
      <c r="BE116" s="251">
        <v>274670</v>
      </c>
      <c r="BF116" s="251">
        <f t="shared" si="64"/>
        <v>232255</v>
      </c>
      <c r="BG116" s="251">
        <f t="shared" si="64"/>
        <v>177373</v>
      </c>
      <c r="BH116" s="251">
        <f t="shared" si="64"/>
        <v>196084</v>
      </c>
      <c r="BI116" s="251">
        <f t="shared" si="64"/>
        <v>144393</v>
      </c>
      <c r="BJ116" s="251">
        <f t="shared" si="64"/>
        <v>149795</v>
      </c>
      <c r="BK116" s="251">
        <f t="shared" si="64"/>
        <v>245417</v>
      </c>
      <c r="BL116" s="251">
        <f t="shared" si="64"/>
        <v>236264</v>
      </c>
      <c r="BM116" s="251">
        <f t="shared" si="64"/>
        <v>308416</v>
      </c>
      <c r="BN116" s="255">
        <f t="shared" si="64"/>
        <v>2937217</v>
      </c>
      <c r="BO116" s="269">
        <f t="shared" si="64"/>
        <v>2937217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8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8</v>
      </c>
      <c r="AV119" s="280">
        <f>AU119</f>
        <v>8</v>
      </c>
      <c r="AW119" s="280">
        <f>AV119</f>
        <v>8</v>
      </c>
      <c r="AX119" s="280">
        <f t="shared" ref="AX119:AZ119" si="65">AW119</f>
        <v>8</v>
      </c>
      <c r="AY119" s="280">
        <f t="shared" si="65"/>
        <v>8</v>
      </c>
      <c r="AZ119" s="280">
        <f t="shared" si="65"/>
        <v>8</v>
      </c>
      <c r="BA119" s="259"/>
      <c r="BB119" s="280">
        <v>8</v>
      </c>
      <c r="BC119" s="280">
        <v>8</v>
      </c>
      <c r="BD119" s="280">
        <v>8</v>
      </c>
      <c r="BE119" s="280">
        <v>8</v>
      </c>
      <c r="BF119" s="280">
        <f t="shared" ref="BF119:BM119" si="66">BE119</f>
        <v>8</v>
      </c>
      <c r="BG119" s="280">
        <f t="shared" si="66"/>
        <v>8</v>
      </c>
      <c r="BH119" s="280">
        <f t="shared" si="66"/>
        <v>8</v>
      </c>
      <c r="BI119" s="280">
        <f t="shared" si="66"/>
        <v>8</v>
      </c>
      <c r="BJ119" s="280">
        <f t="shared" si="66"/>
        <v>8</v>
      </c>
      <c r="BK119" s="280">
        <f t="shared" si="66"/>
        <v>8</v>
      </c>
      <c r="BL119" s="280">
        <f t="shared" si="66"/>
        <v>8</v>
      </c>
      <c r="BM119" s="280">
        <f t="shared" si="66"/>
        <v>8</v>
      </c>
      <c r="BN119" s="259"/>
      <c r="BO119" s="343">
        <f>BM119</f>
        <v>8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55530</v>
      </c>
      <c r="AU120" s="107">
        <v>32354.197792088315</v>
      </c>
      <c r="AV120" s="39">
        <f>ROUND(AW108/30*AV119,0)</f>
        <v>25091</v>
      </c>
      <c r="AW120" s="39">
        <f>ROUND(AX108/30*AW119,0)</f>
        <v>40424</v>
      </c>
      <c r="AX120" s="39">
        <f>ROUND(AY108/30*AX119,0)</f>
        <v>43309</v>
      </c>
      <c r="AY120" s="39">
        <f>ROUND(AZ108/30*AY119,0)</f>
        <v>52827</v>
      </c>
      <c r="AZ120" s="39">
        <f>ROUND(BB108/30*AZ119,0)</f>
        <v>79229</v>
      </c>
      <c r="BA120" s="215"/>
      <c r="BB120" s="346">
        <v>54749</v>
      </c>
      <c r="BC120" s="346">
        <v>59222</v>
      </c>
      <c r="BD120" s="346">
        <v>54212</v>
      </c>
      <c r="BE120" s="346">
        <v>42166</v>
      </c>
      <c r="BF120" s="346">
        <f t="shared" ref="BF120:BL120" si="67">ROUND(BG108/30*BF119,0)</f>
        <v>34072</v>
      </c>
      <c r="BG120" s="346">
        <f t="shared" si="67"/>
        <v>28590</v>
      </c>
      <c r="BH120" s="346">
        <f t="shared" si="67"/>
        <v>27358</v>
      </c>
      <c r="BI120" s="346">
        <f t="shared" si="67"/>
        <v>25091</v>
      </c>
      <c r="BJ120" s="346">
        <f t="shared" si="67"/>
        <v>40424</v>
      </c>
      <c r="BK120" s="346">
        <f t="shared" si="67"/>
        <v>43309</v>
      </c>
      <c r="BL120" s="346">
        <f t="shared" si="67"/>
        <v>52827</v>
      </c>
      <c r="BM120" s="57">
        <f>ROUND(BO108*0.11/30*BM119,0)</f>
        <v>59537</v>
      </c>
      <c r="BN120" s="215"/>
      <c r="BO120" s="141">
        <v>59537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12499</v>
      </c>
      <c r="AU121" s="107">
        <v>12108</v>
      </c>
      <c r="AV121" s="39">
        <f>ROUND(AW110/30*AV119,0)</f>
        <v>13467</v>
      </c>
      <c r="AW121" s="39">
        <f>ROUND(AX110/30*AW119,0)</f>
        <v>24656</v>
      </c>
      <c r="AX121" s="39">
        <f>ROUND(AY110/30*AX119,0)</f>
        <v>19330</v>
      </c>
      <c r="AY121" s="39">
        <f>ROUND(AZ110/30*AY119,0)</f>
        <v>29052</v>
      </c>
      <c r="AZ121" s="39">
        <f>ROUND(BB110/30*AZ119,0)</f>
        <v>23643</v>
      </c>
      <c r="BA121" s="215"/>
      <c r="BB121" s="57">
        <v>24853</v>
      </c>
      <c r="BC121" s="57">
        <v>16557</v>
      </c>
      <c r="BD121" s="57">
        <v>18668</v>
      </c>
      <c r="BE121" s="57">
        <v>19404</v>
      </c>
      <c r="BF121" s="57">
        <f t="shared" ref="BF121:BL121" si="68">ROUND(BG110/30*BF119,0)</f>
        <v>12863</v>
      </c>
      <c r="BG121" s="57">
        <f t="shared" si="68"/>
        <v>23334</v>
      </c>
      <c r="BH121" s="57">
        <f t="shared" si="68"/>
        <v>10782</v>
      </c>
      <c r="BI121" s="57">
        <f t="shared" si="68"/>
        <v>14489</v>
      </c>
      <c r="BJ121" s="57">
        <f t="shared" si="68"/>
        <v>24656</v>
      </c>
      <c r="BK121" s="57">
        <f t="shared" si="68"/>
        <v>19330</v>
      </c>
      <c r="BL121" s="57">
        <f t="shared" si="68"/>
        <v>29052</v>
      </c>
      <c r="BM121" s="57">
        <f>ROUND(BO110*0.11/30*BM119,0)</f>
        <v>26139</v>
      </c>
      <c r="BN121" s="215"/>
      <c r="BO121" s="141">
        <v>26139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-55530</v>
      </c>
      <c r="AV122" s="57">
        <f t="shared" ref="AV122:AZ123" si="69">-AU120</f>
        <v>-32354.197792088315</v>
      </c>
      <c r="AW122" s="57">
        <f t="shared" si="69"/>
        <v>-25091</v>
      </c>
      <c r="AX122" s="57">
        <f t="shared" si="69"/>
        <v>-40424</v>
      </c>
      <c r="AY122" s="57">
        <f t="shared" si="69"/>
        <v>-43309</v>
      </c>
      <c r="AZ122" s="57">
        <f t="shared" si="69"/>
        <v>-52827</v>
      </c>
      <c r="BA122" s="215"/>
      <c r="BB122" s="57">
        <v>-79229</v>
      </c>
      <c r="BC122" s="57">
        <v>-54749</v>
      </c>
      <c r="BD122" s="57">
        <v>-59222</v>
      </c>
      <c r="BE122" s="57">
        <v>-54212</v>
      </c>
      <c r="BF122" s="57">
        <f t="shared" ref="BF122:BM123" si="70">-BE120</f>
        <v>-42166</v>
      </c>
      <c r="BG122" s="57">
        <f t="shared" si="70"/>
        <v>-34072</v>
      </c>
      <c r="BH122" s="57">
        <f t="shared" si="70"/>
        <v>-28590</v>
      </c>
      <c r="BI122" s="57">
        <f t="shared" si="70"/>
        <v>-27358</v>
      </c>
      <c r="BJ122" s="57">
        <f t="shared" si="70"/>
        <v>-25091</v>
      </c>
      <c r="BK122" s="57">
        <f t="shared" si="70"/>
        <v>-40424</v>
      </c>
      <c r="BL122" s="57">
        <f t="shared" si="70"/>
        <v>-43309</v>
      </c>
      <c r="BM122" s="57">
        <f t="shared" si="70"/>
        <v>-52827</v>
      </c>
      <c r="BN122" s="215"/>
      <c r="BO122" s="141">
        <f>-BM120</f>
        <v>-59537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-12499</v>
      </c>
      <c r="AV123" s="57">
        <f t="shared" si="69"/>
        <v>-12108</v>
      </c>
      <c r="AW123" s="57">
        <f t="shared" si="69"/>
        <v>-13467</v>
      </c>
      <c r="AX123" s="57">
        <f t="shared" si="69"/>
        <v>-24656</v>
      </c>
      <c r="AY123" s="57">
        <f t="shared" si="69"/>
        <v>-19330</v>
      </c>
      <c r="AZ123" s="57">
        <f t="shared" si="69"/>
        <v>-29052</v>
      </c>
      <c r="BA123" s="215"/>
      <c r="BB123" s="57">
        <v>-23643</v>
      </c>
      <c r="BC123" s="57">
        <v>-24853</v>
      </c>
      <c r="BD123" s="57">
        <v>-16557</v>
      </c>
      <c r="BE123" s="57">
        <v>-18668</v>
      </c>
      <c r="BF123" s="57">
        <f t="shared" si="70"/>
        <v>-19404</v>
      </c>
      <c r="BG123" s="57">
        <f t="shared" si="70"/>
        <v>-12863</v>
      </c>
      <c r="BH123" s="57">
        <f t="shared" si="70"/>
        <v>-23334</v>
      </c>
      <c r="BI123" s="57">
        <f t="shared" si="70"/>
        <v>-10782</v>
      </c>
      <c r="BJ123" s="57">
        <f t="shared" si="70"/>
        <v>-14489</v>
      </c>
      <c r="BK123" s="57">
        <f t="shared" si="70"/>
        <v>-24656</v>
      </c>
      <c r="BL123" s="57">
        <f t="shared" si="70"/>
        <v>-19330</v>
      </c>
      <c r="BM123" s="57">
        <f t="shared" si="70"/>
        <v>-29052</v>
      </c>
      <c r="BN123" s="215"/>
      <c r="BO123" s="141">
        <f>-BM121</f>
        <v>-26139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-23566.802207911685</v>
      </c>
      <c r="AV124" s="344">
        <f t="shared" ref="AV124:AZ124" si="71">SUM(AV120:AV123)</f>
        <v>-5904.1977920883146</v>
      </c>
      <c r="AW124" s="344">
        <f t="shared" si="71"/>
        <v>26522</v>
      </c>
      <c r="AX124" s="344">
        <f t="shared" si="71"/>
        <v>-2441</v>
      </c>
      <c r="AY124" s="344">
        <f t="shared" si="71"/>
        <v>19240</v>
      </c>
      <c r="AZ124" s="344">
        <f t="shared" si="71"/>
        <v>20993</v>
      </c>
      <c r="BA124" s="345"/>
      <c r="BB124" s="344">
        <v>-23270</v>
      </c>
      <c r="BC124" s="344">
        <v>-3823</v>
      </c>
      <c r="BD124" s="344">
        <v>-2899</v>
      </c>
      <c r="BE124" s="344">
        <v>-11310</v>
      </c>
      <c r="BF124" s="344">
        <f t="shared" ref="BF124:BO124" si="72">SUM(BF120:BF123)</f>
        <v>-14635</v>
      </c>
      <c r="BG124" s="344">
        <f t="shared" si="72"/>
        <v>4989</v>
      </c>
      <c r="BH124" s="344">
        <f t="shared" si="72"/>
        <v>-13784</v>
      </c>
      <c r="BI124" s="344">
        <f t="shared" si="72"/>
        <v>1440</v>
      </c>
      <c r="BJ124" s="344">
        <f t="shared" si="72"/>
        <v>25500</v>
      </c>
      <c r="BK124" s="344">
        <f t="shared" si="72"/>
        <v>-2441</v>
      </c>
      <c r="BL124" s="344">
        <f t="shared" si="72"/>
        <v>19240</v>
      </c>
      <c r="BM124" s="344">
        <f t="shared" si="72"/>
        <v>3797</v>
      </c>
      <c r="BN124" s="345"/>
      <c r="BO124" s="272">
        <f t="shared" si="72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73">AU111+AU124</f>
        <v>166088.19779208832</v>
      </c>
      <c r="AV132" s="66">
        <f t="shared" si="73"/>
        <v>135656.80220791168</v>
      </c>
      <c r="AW132" s="66">
        <f t="shared" si="73"/>
        <v>172485</v>
      </c>
      <c r="AX132" s="66">
        <f t="shared" si="73"/>
        <v>242976</v>
      </c>
      <c r="AY132" s="66">
        <f t="shared" si="73"/>
        <v>255504</v>
      </c>
      <c r="AZ132" s="66">
        <f t="shared" si="73"/>
        <v>329409</v>
      </c>
      <c r="BA132" s="216">
        <f>SUM(AT132:AZ132)</f>
        <v>1302119</v>
      </c>
      <c r="BB132" s="66">
        <v>363867</v>
      </c>
      <c r="BC132" s="66">
        <v>296053</v>
      </c>
      <c r="BD132" s="66">
        <v>282638</v>
      </c>
      <c r="BE132" s="66">
        <v>263360</v>
      </c>
      <c r="BF132" s="66">
        <f t="shared" ref="BF132:BO132" si="74">BF111+BF124</f>
        <v>217620</v>
      </c>
      <c r="BG132" s="66">
        <f t="shared" si="74"/>
        <v>182362</v>
      </c>
      <c r="BH132" s="66">
        <f t="shared" si="74"/>
        <v>182300</v>
      </c>
      <c r="BI132" s="66">
        <f t="shared" si="74"/>
        <v>145833</v>
      </c>
      <c r="BJ132" s="66">
        <f t="shared" si="74"/>
        <v>175295</v>
      </c>
      <c r="BK132" s="66">
        <f t="shared" si="74"/>
        <v>242976</v>
      </c>
      <c r="BL132" s="66">
        <f t="shared" si="74"/>
        <v>255504</v>
      </c>
      <c r="BM132" s="66">
        <f t="shared" si="74"/>
        <v>312213</v>
      </c>
      <c r="BN132" s="216">
        <f t="shared" si="74"/>
        <v>2937217</v>
      </c>
      <c r="BO132" s="185">
        <f t="shared" si="74"/>
        <v>2937217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78" priority="7" operator="lessThan">
      <formula>0</formula>
    </cfRule>
  </conditionalFormatting>
  <conditionalFormatting sqref="BN58">
    <cfRule type="cellIs" dxfId="77" priority="6" operator="lessThan">
      <formula>0</formula>
    </cfRule>
  </conditionalFormatting>
  <conditionalFormatting sqref="BN78">
    <cfRule type="cellIs" dxfId="76" priority="5" operator="lessThan">
      <formula>0</formula>
    </cfRule>
  </conditionalFormatting>
  <conditionalFormatting sqref="BN19">
    <cfRule type="cellIs" dxfId="75" priority="4" operator="lessThan">
      <formula>0</formula>
    </cfRule>
  </conditionalFormatting>
  <conditionalFormatting sqref="BN40">
    <cfRule type="cellIs" dxfId="74" priority="3" operator="lessThan">
      <formula>0</formula>
    </cfRule>
  </conditionalFormatting>
  <conditionalFormatting sqref="BN54">
    <cfRule type="cellIs" dxfId="73" priority="2" operator="lessThan">
      <formula>0</formula>
    </cfRule>
  </conditionalFormatting>
  <conditionalFormatting sqref="BN62">
    <cfRule type="cellIs" dxfId="72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B133"/>
  <sheetViews>
    <sheetView zoomScale="80" zoomScaleNormal="80" workbookViewId="0">
      <pane xSplit="1" ySplit="5" topLeftCell="N6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20.1406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1" width="14.85546875" hidden="1" customWidth="1" outlineLevel="1"/>
    <col min="62" max="62" width="15.71093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9.5703125" style="3" bestFit="1" customWidth="1" collapsed="1"/>
    <col min="67" max="67" width="18.140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130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Customers!E153</f>
        <v>78</v>
      </c>
      <c r="AV7" s="124">
        <f>Customers!F153</f>
        <v>78</v>
      </c>
      <c r="AW7" s="124">
        <f>Customers!G153</f>
        <v>78</v>
      </c>
      <c r="AX7" s="124">
        <f>Customers!H153</f>
        <v>78</v>
      </c>
      <c r="AY7" s="124">
        <f>Customers!I153</f>
        <v>78</v>
      </c>
      <c r="AZ7" s="124">
        <f>Customers!J153</f>
        <v>78</v>
      </c>
      <c r="BA7" s="210">
        <f>AZ7</f>
        <v>78</v>
      </c>
      <c r="BB7" s="124">
        <v>78</v>
      </c>
      <c r="BC7" s="38">
        <v>78</v>
      </c>
      <c r="BD7" s="38">
        <v>78</v>
      </c>
      <c r="BE7" s="38">
        <v>78</v>
      </c>
      <c r="BF7" s="38">
        <f t="shared" ref="BF7:BM7" si="0">BE7</f>
        <v>78</v>
      </c>
      <c r="BG7" s="38">
        <f t="shared" si="0"/>
        <v>78</v>
      </c>
      <c r="BH7" s="38">
        <f t="shared" si="0"/>
        <v>78</v>
      </c>
      <c r="BI7" s="38">
        <f t="shared" si="0"/>
        <v>78</v>
      </c>
      <c r="BJ7" s="38">
        <f t="shared" si="0"/>
        <v>78</v>
      </c>
      <c r="BK7" s="38">
        <f t="shared" si="0"/>
        <v>78</v>
      </c>
      <c r="BL7" s="38">
        <f t="shared" si="0"/>
        <v>78</v>
      </c>
      <c r="BM7" s="38">
        <f t="shared" si="0"/>
        <v>78</v>
      </c>
      <c r="BN7" s="210">
        <f>IFERROR(ROUND(AVERAGE(BB7:BM7),0),0)</f>
        <v>78</v>
      </c>
      <c r="BO7" s="55">
        <f>Customers!L153</f>
        <v>78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47308</v>
      </c>
      <c r="AV8" s="38">
        <f>ROUND(AV$11*'kWh Blocks by Rate Category'!D8,0)</f>
        <v>38019</v>
      </c>
      <c r="AW8" s="38">
        <f>ROUND(AW$11*'kWh Blocks by Rate Category'!E8,0)</f>
        <v>37425</v>
      </c>
      <c r="AX8" s="38">
        <f>ROUND(AX$11*'kWh Blocks by Rate Category'!F8,0)</f>
        <v>49116</v>
      </c>
      <c r="AY8" s="38">
        <f>ROUND(AY$11*'kWh Blocks by Rate Category'!G8,0)</f>
        <v>69337</v>
      </c>
      <c r="AZ8" s="38">
        <f>ROUND(AZ$11*'kWh Blocks by Rate Category'!H8,0)</f>
        <v>89360</v>
      </c>
      <c r="BA8" s="210">
        <f>SUM(AO8:AZ8)</f>
        <v>330565</v>
      </c>
      <c r="BB8" s="38">
        <v>107865</v>
      </c>
      <c r="BC8" s="38">
        <v>102666</v>
      </c>
      <c r="BD8" s="38">
        <v>97439</v>
      </c>
      <c r="BE8" s="38">
        <v>88862</v>
      </c>
      <c r="BF8" s="38">
        <f>ROUND(BF$11*'kWh Blocks by Rate Category'!N8,0)</f>
        <v>75283</v>
      </c>
      <c r="BG8" s="38">
        <f>ROUND(BG$11*'kWh Blocks by Rate Category'!O8,0)</f>
        <v>59323</v>
      </c>
      <c r="BH8" s="38">
        <f>ROUND(BH$11*'kWh Blocks by Rate Category'!P8,0)</f>
        <v>47308</v>
      </c>
      <c r="BI8" s="38">
        <f>ROUND(BI$11*'kWh Blocks by Rate Category'!Q8,0)</f>
        <v>38019</v>
      </c>
      <c r="BJ8" s="38">
        <f>ROUND(BJ$11*'kWh Blocks by Rate Category'!R8,0)</f>
        <v>37425</v>
      </c>
      <c r="BK8" s="38">
        <f>ROUND(BK$11*'kWh Blocks by Rate Category'!S8,0)</f>
        <v>49116</v>
      </c>
      <c r="BL8" s="38">
        <f>ROUND(BL$11*'kWh Blocks by Rate Category'!T8,0)</f>
        <v>69337</v>
      </c>
      <c r="BM8" s="38">
        <f>ROUND(BM$11*'kWh Blocks by Rate Category'!U8,0)</f>
        <v>89360</v>
      </c>
      <c r="BN8" s="210">
        <f>SUM(BB8:BM8)</f>
        <v>862003</v>
      </c>
      <c r="BO8" s="38">
        <f>ROUND(BO$11*'kWh Blocks by Rate Category'!W8,0)</f>
        <v>862001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25208</v>
      </c>
      <c r="AV9" s="38">
        <f>ROUND(AV$11*'kWh Blocks by Rate Category'!D9,0)</f>
        <v>20258</v>
      </c>
      <c r="AW9" s="38">
        <f>ROUND(AW$11*'kWh Blocks by Rate Category'!E9,0)</f>
        <v>19942</v>
      </c>
      <c r="AX9" s="38">
        <f>ROUND(AX$11*'kWh Blocks by Rate Category'!F9,0)</f>
        <v>26171</v>
      </c>
      <c r="AY9" s="38">
        <f>ROUND(AY$11*'kWh Blocks by Rate Category'!G9,0)</f>
        <v>36946</v>
      </c>
      <c r="AZ9" s="38">
        <f>ROUND(AZ$11*'kWh Blocks by Rate Category'!H9,0)</f>
        <v>47615</v>
      </c>
      <c r="BA9" s="210">
        <f>SUM(AO9:AZ9)</f>
        <v>176140</v>
      </c>
      <c r="BB9" s="38">
        <v>57476</v>
      </c>
      <c r="BC9" s="38">
        <v>54705</v>
      </c>
      <c r="BD9" s="38">
        <v>51920</v>
      </c>
      <c r="BE9" s="38">
        <v>47350</v>
      </c>
      <c r="BF9" s="38">
        <f>ROUND(BF$11*'kWh Blocks by Rate Category'!N9,0)</f>
        <v>40115</v>
      </c>
      <c r="BG9" s="38">
        <f>ROUND(BG$11*'kWh Blocks by Rate Category'!O9,0)</f>
        <v>31610</v>
      </c>
      <c r="BH9" s="38">
        <f>ROUND(BH$11*'kWh Blocks by Rate Category'!P9,0)</f>
        <v>25208</v>
      </c>
      <c r="BI9" s="38">
        <f>ROUND(BI$11*'kWh Blocks by Rate Category'!Q9,0)</f>
        <v>20258</v>
      </c>
      <c r="BJ9" s="38">
        <f>ROUND(BJ$11*'kWh Blocks by Rate Category'!R9,0)</f>
        <v>19942</v>
      </c>
      <c r="BK9" s="38">
        <f>ROUND(BK$11*'kWh Blocks by Rate Category'!S9,0)</f>
        <v>26171</v>
      </c>
      <c r="BL9" s="38">
        <f>ROUND(BL$11*'kWh Blocks by Rate Category'!T9,0)</f>
        <v>36946</v>
      </c>
      <c r="BM9" s="38">
        <f>ROUND(BM$11*'kWh Blocks by Rate Category'!U9,0)</f>
        <v>47615</v>
      </c>
      <c r="BN9" s="210">
        <f>SUM(BB9:BM9)</f>
        <v>459316</v>
      </c>
      <c r="BO9" s="38">
        <f>ROUND(BO$11*'kWh Blocks by Rate Category'!W9,0)</f>
        <v>459317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4807</v>
      </c>
      <c r="AV10" s="38">
        <f>ROUND(AV$11*'kWh Blocks by Rate Category'!D10,0)</f>
        <v>3863</v>
      </c>
      <c r="AW10" s="38">
        <f>ROUND(AW$11*'kWh Blocks by Rate Category'!E10,0)</f>
        <v>3803</v>
      </c>
      <c r="AX10" s="38">
        <f>ROUND(AX$11*'kWh Blocks by Rate Category'!F10,0)</f>
        <v>4990</v>
      </c>
      <c r="AY10" s="38">
        <f>ROUND(AY$11*'kWh Blocks by Rate Category'!G10,0)</f>
        <v>7045</v>
      </c>
      <c r="AZ10" s="38">
        <f>ROUND(AZ$11*'kWh Blocks by Rate Category'!H10,0)</f>
        <v>9079</v>
      </c>
      <c r="BA10" s="210">
        <f>SUM(AO10:AZ10)</f>
        <v>33587</v>
      </c>
      <c r="BB10" s="38">
        <v>10959</v>
      </c>
      <c r="BC10" s="38">
        <v>10431</v>
      </c>
      <c r="BD10" s="38">
        <v>9900</v>
      </c>
      <c r="BE10" s="38">
        <v>9029</v>
      </c>
      <c r="BF10" s="38">
        <f>ROUND(BF$11*'kWh Blocks by Rate Category'!N10,0)</f>
        <v>7649</v>
      </c>
      <c r="BG10" s="38">
        <f>ROUND(BG$11*'kWh Blocks by Rate Category'!O10,0)</f>
        <v>6027</v>
      </c>
      <c r="BH10" s="38">
        <f>ROUND(BH$11*'kWh Blocks by Rate Category'!P10,0)</f>
        <v>4807</v>
      </c>
      <c r="BI10" s="38">
        <f>ROUND(BI$11*'kWh Blocks by Rate Category'!Q10,0)</f>
        <v>3863</v>
      </c>
      <c r="BJ10" s="38">
        <f>ROUND(BJ$11*'kWh Blocks by Rate Category'!R10,0)</f>
        <v>3803</v>
      </c>
      <c r="BK10" s="38">
        <f>ROUND(BK$11*'kWh Blocks by Rate Category'!S10,0)</f>
        <v>4990</v>
      </c>
      <c r="BL10" s="38">
        <f>ROUND(BL$11*'kWh Blocks by Rate Category'!T10,0)</f>
        <v>7045</v>
      </c>
      <c r="BM10" s="38">
        <f>ROUND(BM$11*'kWh Blocks by Rate Category'!U10,0)</f>
        <v>9079</v>
      </c>
      <c r="BN10" s="210">
        <f>SUM(BB10:BM10)</f>
        <v>87582</v>
      </c>
      <c r="BO10" s="38">
        <f>ROUND(BO$11*'kWh Blocks by Rate Category'!W10,0)</f>
        <v>87582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77322</v>
      </c>
      <c r="AV11" s="64">
        <f t="shared" si="1"/>
        <v>62140</v>
      </c>
      <c r="AW11" s="64">
        <f t="shared" si="1"/>
        <v>61170</v>
      </c>
      <c r="AX11" s="64">
        <f t="shared" si="1"/>
        <v>80277</v>
      </c>
      <c r="AY11" s="64">
        <f t="shared" si="1"/>
        <v>113328</v>
      </c>
      <c r="AZ11" s="64">
        <f t="shared" si="1"/>
        <v>146054</v>
      </c>
      <c r="BA11" s="196">
        <f>SUM(AO11:AZ11)</f>
        <v>540291</v>
      </c>
      <c r="BB11" s="64">
        <v>176300</v>
      </c>
      <c r="BC11" s="64">
        <v>167802</v>
      </c>
      <c r="BD11" s="64">
        <v>159259</v>
      </c>
      <c r="BE11" s="64">
        <v>145241</v>
      </c>
      <c r="BF11" s="64">
        <f t="shared" ref="BF11:BM11" si="2">IFERROR(ROUND(BF12*BF7,0),0)</f>
        <v>123047</v>
      </c>
      <c r="BG11" s="64">
        <f t="shared" si="2"/>
        <v>96960</v>
      </c>
      <c r="BH11" s="64">
        <f t="shared" si="2"/>
        <v>77322</v>
      </c>
      <c r="BI11" s="64">
        <f t="shared" si="2"/>
        <v>62140</v>
      </c>
      <c r="BJ11" s="64">
        <f t="shared" si="2"/>
        <v>61170</v>
      </c>
      <c r="BK11" s="64">
        <f t="shared" si="2"/>
        <v>80277</v>
      </c>
      <c r="BL11" s="64">
        <f t="shared" si="2"/>
        <v>113328</v>
      </c>
      <c r="BM11" s="64">
        <f t="shared" si="2"/>
        <v>146054</v>
      </c>
      <c r="BN11" s="196">
        <f>SUM(BB11:BM11)</f>
        <v>1408900</v>
      </c>
      <c r="BO11" s="147">
        <f>ROUND(BO7*BO12,0)</f>
        <v>1408900</v>
      </c>
    </row>
    <row r="12" spans="1:67" ht="15" thickTop="1">
      <c r="A12" s="374" t="s">
        <v>54</v>
      </c>
      <c r="B12" s="84">
        <f>IF('kWh_Streetlight Data'!C128=0,"",'kWh_Streetlight Data'!C128)</f>
        <v>2068.6451612903224</v>
      </c>
      <c r="C12" s="108">
        <f>IF('kWh_Streetlight Data'!D128=0,"",'kWh_Streetlight Data'!D128)</f>
        <v>1981.9193548387098</v>
      </c>
      <c r="D12" s="108">
        <f>IF('kWh_Streetlight Data'!E128=0,"",'kWh_Streetlight Data'!E128)</f>
        <v>1828.5588235294117</v>
      </c>
      <c r="E12" s="108">
        <f>IF('kWh_Streetlight Data'!F128=0,"",'kWh_Streetlight Data'!F128)</f>
        <v>1945.090909090909</v>
      </c>
      <c r="F12" s="108">
        <f>IF('kWh_Streetlight Data'!G128=0,"",'kWh_Streetlight Data'!G128)</f>
        <v>1411.1940298507463</v>
      </c>
      <c r="G12" s="108">
        <f>IF('kWh_Streetlight Data'!H128=0,"",'kWh_Streetlight Data'!H128)</f>
        <v>903.19178082191786</v>
      </c>
      <c r="H12" s="108">
        <f>IF('kWh_Streetlight Data'!I128=0,"",'kWh_Streetlight Data'!I128)</f>
        <v>970.35135135135135</v>
      </c>
      <c r="I12" s="108">
        <f>IF('kWh_Streetlight Data'!J128=0,"",'kWh_Streetlight Data'!J128)</f>
        <v>802.88059701492534</v>
      </c>
      <c r="J12" s="108">
        <f>IF('kWh_Streetlight Data'!K128=0,"",'kWh_Streetlight Data'!K128)</f>
        <v>740.52777777777783</v>
      </c>
      <c r="K12" s="108">
        <f>IF('kWh_Streetlight Data'!L128=0,"",'kWh_Streetlight Data'!L128)</f>
        <v>902.97222222222217</v>
      </c>
      <c r="L12" s="108">
        <f>IF('kWh_Streetlight Data'!M128=0,"",'kWh_Streetlight Data'!M128)</f>
        <v>1483.5833333333333</v>
      </c>
      <c r="M12" s="108">
        <f>IF('kWh_Streetlight Data'!N128=0,"",'kWh_Streetlight Data'!N128)</f>
        <v>1761.0714285714287</v>
      </c>
      <c r="N12" s="424">
        <f>IF('kWh_Streetlight Data'!O128=0,"",'kWh_Streetlight Data'!O128)</f>
        <v>1379.830303030303</v>
      </c>
      <c r="O12" s="84">
        <f>IF('kWh_Streetlight Data'!P128=0,"",'kWh_Streetlight Data'!P128)</f>
        <v>2222.9852941176468</v>
      </c>
      <c r="P12" s="108">
        <f>IF('kWh_Streetlight Data'!Q128=0,"",'kWh_Streetlight Data'!Q128)</f>
        <v>2036.6712328767123</v>
      </c>
      <c r="Q12" s="108">
        <f>IF('kWh_Streetlight Data'!R128=0,"",'kWh_Streetlight Data'!R128)</f>
        <v>1992.925</v>
      </c>
      <c r="R12" s="108">
        <f>IF('kWh_Streetlight Data'!S128=0,"",'kWh_Streetlight Data'!S128)</f>
        <v>1793.0422535211267</v>
      </c>
      <c r="S12" s="108">
        <f>IF('kWh_Streetlight Data'!T128=0,"",'kWh_Streetlight Data'!T128)</f>
        <v>1493.8591549295775</v>
      </c>
      <c r="T12" s="108">
        <f>IF('kWh_Streetlight Data'!U128=0,"",'kWh_Streetlight Data'!U128)</f>
        <v>1257.4647887323943</v>
      </c>
      <c r="U12" s="108">
        <f>IF('kWh_Streetlight Data'!V128=0,"",'kWh_Streetlight Data'!V128)</f>
        <v>949.15942028985512</v>
      </c>
      <c r="V12" s="108">
        <f>IF('kWh_Streetlight Data'!W128=0,"",'kWh_Streetlight Data'!W128)</f>
        <v>809.35294117647061</v>
      </c>
      <c r="W12" s="108">
        <f>IF('kWh_Streetlight Data'!X128=0,"",'kWh_Streetlight Data'!X128)</f>
        <v>774.25333333333333</v>
      </c>
      <c r="X12" s="108">
        <f>IF('kWh_Streetlight Data'!Y128=0,"",'kWh_Streetlight Data'!Y128)</f>
        <v>1109.7042253521126</v>
      </c>
      <c r="Y12" s="108">
        <f>IF('kWh_Streetlight Data'!Z128=0,"",'kWh_Streetlight Data'!Z128)</f>
        <v>1208.2083333333333</v>
      </c>
      <c r="Z12" s="108">
        <f>IF('kWh_Streetlight Data'!AA128=0,"",'kWh_Streetlight Data'!AA128)</f>
        <v>1940.7183098591549</v>
      </c>
      <c r="AA12" s="424">
        <f>IF('kWh_Streetlight Data'!AB128=0,"",'kWh_Streetlight Data'!AB128)</f>
        <v>1469.8744186046511</v>
      </c>
      <c r="AB12" s="129">
        <f>IF('kWh_Streetlight Data'!AC128=0,"",'kWh_Streetlight Data'!AC128)</f>
        <v>2489.1267605633802</v>
      </c>
      <c r="AC12" s="130">
        <f>IF('kWh_Streetlight Data'!AD128=0,"",'kWh_Streetlight Data'!AD128)</f>
        <v>2435.3380281690143</v>
      </c>
      <c r="AD12" s="130">
        <f>IF('kWh_Streetlight Data'!AE128=0,"",'kWh_Streetlight Data'!AE128)</f>
        <v>2303.8732394366198</v>
      </c>
      <c r="AE12" s="130">
        <f>IF('kWh_Streetlight Data'!AF128=0,"",'kWh_Streetlight Data'!AF128)</f>
        <v>1848.0422535211267</v>
      </c>
      <c r="AF12" s="130">
        <f>IF('kWh_Streetlight Data'!AG128=0,"",'kWh_Streetlight Data'!AG128)</f>
        <v>1827.5138888888889</v>
      </c>
      <c r="AG12" s="130">
        <f>IF('kWh_Streetlight Data'!AH128=0,"",'kWh_Streetlight Data'!AH128)</f>
        <v>1568.5857142857142</v>
      </c>
      <c r="AH12" s="130">
        <f>IF('kWh_Streetlight Data'!AI128=0,"",'kWh_Streetlight Data'!AI128)</f>
        <v>1054.4027777777778</v>
      </c>
      <c r="AI12" s="130">
        <f>IF('kWh_Streetlight Data'!AJ128=0,"",'kWh_Streetlight Data'!AJ128)</f>
        <v>777.78260869565213</v>
      </c>
      <c r="AJ12" s="130">
        <f>IF('kWh_Streetlight Data'!AK128=0,"",'kWh_Streetlight Data'!AK128)</f>
        <v>837.90666666666664</v>
      </c>
      <c r="AK12" s="130">
        <f>IF('kWh_Streetlight Data'!AL128=0,"",'kWh_Streetlight Data'!AL128)</f>
        <v>1074.8873239436621</v>
      </c>
      <c r="AL12" s="130">
        <f>IF('kWh_Streetlight Data'!AM128=0,"",'kWh_Streetlight Data'!AM128)</f>
        <v>1666.96</v>
      </c>
      <c r="AM12" s="130">
        <f>IF('kWh_Streetlight Data'!AN128=0,"",'kWh_Streetlight Data'!AN128)</f>
        <v>1915.6527777777778</v>
      </c>
      <c r="AN12" s="426">
        <f>IF('kWh_Streetlight Data'!AO128=0,"",'kWh_Streetlight Data'!AO128)</f>
        <v>1648.253488372093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991.30451647299469</v>
      </c>
      <c r="AV12" s="9">
        <f t="shared" si="3"/>
        <v>796.67204896234944</v>
      </c>
      <c r="AW12" s="9">
        <f t="shared" si="3"/>
        <v>784.22925925925927</v>
      </c>
      <c r="AX12" s="9">
        <f t="shared" si="3"/>
        <v>1029.1879238393324</v>
      </c>
      <c r="AY12" s="9">
        <f t="shared" si="3"/>
        <v>1452.9172222222221</v>
      </c>
      <c r="AZ12" s="9">
        <f t="shared" si="3"/>
        <v>1872.4808387361206</v>
      </c>
      <c r="BA12" s="211"/>
      <c r="BB12" s="17">
        <v>2260.252405323783</v>
      </c>
      <c r="BC12" s="17">
        <v>2151.3095386281452</v>
      </c>
      <c r="BD12" s="17">
        <v>2041.785687655344</v>
      </c>
      <c r="BE12" s="17">
        <v>1862.0584720443874</v>
      </c>
      <c r="BF12" s="17">
        <f t="shared" ref="BF12:BM12" si="4">IFERROR(AVERAGE(F12,S12,AF12),0)</f>
        <v>1577.5223578897376</v>
      </c>
      <c r="BG12" s="17">
        <f t="shared" si="4"/>
        <v>1243.0807612800088</v>
      </c>
      <c r="BH12" s="17">
        <f t="shared" si="4"/>
        <v>991.30451647299469</v>
      </c>
      <c r="BI12" s="17">
        <f t="shared" si="4"/>
        <v>796.67204896234932</v>
      </c>
      <c r="BJ12" s="17">
        <f t="shared" si="4"/>
        <v>784.22925925925927</v>
      </c>
      <c r="BK12" s="17">
        <f t="shared" si="4"/>
        <v>1029.1879238393324</v>
      </c>
      <c r="BL12" s="17">
        <f t="shared" si="4"/>
        <v>1452.9172222222223</v>
      </c>
      <c r="BM12" s="17">
        <f t="shared" si="4"/>
        <v>1872.4808387361202</v>
      </c>
      <c r="BN12" s="211">
        <f>IFERROR(BN11/SUM(BB7:BM7)*12,0)</f>
        <v>18062.820512820512</v>
      </c>
      <c r="BO12" s="20">
        <f>BN12</f>
        <v>18062.820512820512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25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Data'!C129=0,"",'kWh_Streetlight Data'!C129)</f>
        <v/>
      </c>
      <c r="C27" s="108" t="str">
        <f>IF('kWh_Streetlight Data'!D129=0,"",'kWh_Streetlight Data'!D129)</f>
        <v/>
      </c>
      <c r="D27" s="108" t="str">
        <f>IF('kWh_Streetlight Data'!E129=0,"",'kWh_Streetlight Data'!E129)</f>
        <v/>
      </c>
      <c r="E27" s="108" t="str">
        <f>IF('kWh_Streetlight Data'!F129=0,"",'kWh_Streetlight Data'!F129)</f>
        <v/>
      </c>
      <c r="F27" s="108" t="str">
        <f>IF('kWh_Streetlight Data'!G129=0,"",'kWh_Streetlight Data'!G129)</f>
        <v/>
      </c>
      <c r="G27" s="108" t="str">
        <f>IF('kWh_Streetlight Data'!H129=0,"",'kWh_Streetlight Data'!H129)</f>
        <v/>
      </c>
      <c r="H27" s="108" t="str">
        <f>IF('kWh_Streetlight Data'!I129=0,"",'kWh_Streetlight Data'!I129)</f>
        <v/>
      </c>
      <c r="I27" s="108" t="str">
        <f>IF('kWh_Streetlight Data'!J129=0,"",'kWh_Streetlight Data'!J129)</f>
        <v/>
      </c>
      <c r="J27" s="108" t="str">
        <f>IF('kWh_Streetlight Data'!K129=0,"",'kWh_Streetlight Data'!K129)</f>
        <v/>
      </c>
      <c r="K27" s="108" t="str">
        <f>IF('kWh_Streetlight Data'!L129=0,"",'kWh_Streetlight Data'!L129)</f>
        <v/>
      </c>
      <c r="L27" s="108" t="str">
        <f>IF('kWh_Streetlight Data'!M129=0,"",'kWh_Streetlight Data'!M129)</f>
        <v/>
      </c>
      <c r="M27" s="108" t="str">
        <f>IF('kWh_Streetlight Data'!N129=0,"",'kWh_Streetlight Data'!N129)</f>
        <v/>
      </c>
      <c r="N27" s="424" t="str">
        <f>IF('kWh_Streetlight Data'!O129=0,"",'kWh_Streetlight Data'!O129)</f>
        <v/>
      </c>
      <c r="O27" s="84" t="str">
        <f>IF('kWh_Streetlight Data'!P129=0,"",'kWh_Streetlight Data'!P129)</f>
        <v/>
      </c>
      <c r="P27" s="108" t="str">
        <f>IF('kWh_Streetlight Data'!Q129=0,"",'kWh_Streetlight Data'!Q129)</f>
        <v/>
      </c>
      <c r="Q27" s="108" t="str">
        <f>IF('kWh_Streetlight Data'!R129=0,"",'kWh_Streetlight Data'!R129)</f>
        <v/>
      </c>
      <c r="R27" s="108" t="str">
        <f>IF('kWh_Streetlight Data'!S129=0,"",'kWh_Streetlight Data'!S129)</f>
        <v/>
      </c>
      <c r="S27" s="108" t="str">
        <f>IF('kWh_Streetlight Data'!T129=0,"",'kWh_Streetlight Data'!T129)</f>
        <v/>
      </c>
      <c r="T27" s="108" t="str">
        <f>IF('kWh_Streetlight Data'!U129=0,"",'kWh_Streetlight Data'!U129)</f>
        <v/>
      </c>
      <c r="U27" s="108" t="str">
        <f>IF('kWh_Streetlight Data'!V129=0,"",'kWh_Streetlight Data'!V129)</f>
        <v/>
      </c>
      <c r="V27" s="108" t="str">
        <f>IF('kWh_Streetlight Data'!W129=0,"",'kWh_Streetlight Data'!W129)</f>
        <v/>
      </c>
      <c r="W27" s="108" t="str">
        <f>IF('kWh_Streetlight Data'!X129=0,"",'kWh_Streetlight Data'!X129)</f>
        <v/>
      </c>
      <c r="X27" s="108" t="str">
        <f>IF('kWh_Streetlight Data'!Y129=0,"",'kWh_Streetlight Data'!Y129)</f>
        <v/>
      </c>
      <c r="Y27" s="108" t="str">
        <f>IF('kWh_Streetlight Data'!Z129=0,"",'kWh_Streetlight Data'!Z129)</f>
        <v/>
      </c>
      <c r="Z27" s="108" t="str">
        <f>IF('kWh_Streetlight Data'!AA129=0,"",'kWh_Streetlight Data'!AA129)</f>
        <v/>
      </c>
      <c r="AA27" s="424" t="str">
        <f>IF('kWh_Streetlight Data'!AB129=0,"",'kWh_Streetlight Data'!AB129)</f>
        <v/>
      </c>
      <c r="AB27" s="129" t="str">
        <f>IF('kWh_Streetlight Data'!AC129=0,"",'kWh_Streetlight Data'!AC129)</f>
        <v/>
      </c>
      <c r="AC27" s="130" t="str">
        <f>IF('kWh_Streetlight Data'!AD129=0,"",'kWh_Streetlight Data'!AD129)</f>
        <v/>
      </c>
      <c r="AD27" s="130" t="str">
        <f>IF('kWh_Streetlight Data'!AE129=0,"",'kWh_Streetlight Data'!AE129)</f>
        <v/>
      </c>
      <c r="AE27" s="130" t="str">
        <f>IF('kWh_Streetlight Data'!AF129=0,"",'kWh_Streetlight Data'!AF129)</f>
        <v/>
      </c>
      <c r="AF27" s="130" t="str">
        <f>IF('kWh_Streetlight Data'!AG129=0,"",'kWh_Streetlight Data'!AG129)</f>
        <v/>
      </c>
      <c r="AG27" s="130" t="str">
        <f>IF('kWh_Streetlight Data'!AH129=0,"",'kWh_Streetlight Data'!AH129)</f>
        <v/>
      </c>
      <c r="AH27" s="108" t="str">
        <f>IF('kWh_Streetlight Data'!AI129=0,"",'kWh_Streetlight Data'!AI129)</f>
        <v/>
      </c>
      <c r="AI27" s="108" t="str">
        <f>IF('kWh_Streetlight Data'!AJ129=0,"",'kWh_Streetlight Data'!AJ129)</f>
        <v/>
      </c>
      <c r="AJ27" s="108" t="str">
        <f>IF('kWh_Streetlight Data'!AK129=0,"",'kWh_Streetlight Data'!AK129)</f>
        <v/>
      </c>
      <c r="AK27" s="108" t="str">
        <f>IF('kWh_Streetlight Data'!AL129=0,"",'kWh_Streetlight Data'!AL129)</f>
        <v/>
      </c>
      <c r="AL27" s="108" t="str">
        <f>IF('kWh_Streetlight Data'!AM129=0,"",'kWh_Streetlight Data'!AM129)</f>
        <v/>
      </c>
      <c r="AM27" s="108" t="str">
        <f>IF('kWh_Streetlight Data'!AN129=0,"",'kWh_Streetlight Data'!AN129)</f>
        <v/>
      </c>
      <c r="AN27" s="426" t="str">
        <f>IF('kWh_Streetlight Data'!AO129=0,"",'kWh_Streetlight Data'!AO129)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Customers!E155</f>
        <v>8</v>
      </c>
      <c r="AV29" s="124">
        <f>Customers!F155</f>
        <v>8</v>
      </c>
      <c r="AW29" s="124">
        <f>Customers!G155</f>
        <v>8</v>
      </c>
      <c r="AX29" s="124">
        <f>Customers!H155</f>
        <v>8</v>
      </c>
      <c r="AY29" s="124">
        <f>Customers!I155</f>
        <v>8</v>
      </c>
      <c r="AZ29" s="124">
        <f>Customers!J155</f>
        <v>8</v>
      </c>
      <c r="BA29" s="210">
        <f>AZ29</f>
        <v>8</v>
      </c>
      <c r="BB29" s="124">
        <v>8</v>
      </c>
      <c r="BC29" s="38">
        <v>8</v>
      </c>
      <c r="BD29" s="38">
        <v>8</v>
      </c>
      <c r="BE29" s="38">
        <v>8</v>
      </c>
      <c r="BF29" s="38">
        <f t="shared" ref="BF29:BM29" si="5">BE29</f>
        <v>8</v>
      </c>
      <c r="BG29" s="38">
        <f t="shared" si="5"/>
        <v>8</v>
      </c>
      <c r="BH29" s="38">
        <f t="shared" si="5"/>
        <v>8</v>
      </c>
      <c r="BI29" s="38">
        <f t="shared" si="5"/>
        <v>8</v>
      </c>
      <c r="BJ29" s="38">
        <f t="shared" si="5"/>
        <v>8</v>
      </c>
      <c r="BK29" s="38">
        <f t="shared" si="5"/>
        <v>8</v>
      </c>
      <c r="BL29" s="38">
        <f t="shared" si="5"/>
        <v>8</v>
      </c>
      <c r="BM29" s="38">
        <f t="shared" si="5"/>
        <v>8</v>
      </c>
      <c r="BN29" s="210">
        <f>IFERROR(ROUND(AVERAGE(BB29:BM29),0),0)</f>
        <v>8</v>
      </c>
      <c r="BO29" s="90">
        <f>Customers!L155</f>
        <v>8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13856</v>
      </c>
      <c r="AV30" s="38">
        <f>ROUND(AV$33*'kWh Blocks by Rate Category'!D29,0)</f>
        <v>6194</v>
      </c>
      <c r="AW30" s="38">
        <f>ROUND(AW$33*'kWh Blocks by Rate Category'!E29,0)</f>
        <v>11169</v>
      </c>
      <c r="AX30" s="38">
        <f>ROUND(AX$33*'kWh Blocks by Rate Category'!F29,0)</f>
        <v>10781</v>
      </c>
      <c r="AY30" s="38">
        <f>ROUND(AY$33*'kWh Blocks by Rate Category'!G29,0)</f>
        <v>14992</v>
      </c>
      <c r="AZ30" s="38">
        <f>ROUND(AZ$33*'kWh Blocks by Rate Category'!H29,0)</f>
        <v>19917</v>
      </c>
      <c r="BA30" s="210">
        <f>SUM(AO30:AZ30)</f>
        <v>76909</v>
      </c>
      <c r="BB30" s="38">
        <v>26348</v>
      </c>
      <c r="BC30" s="38">
        <v>24259</v>
      </c>
      <c r="BD30" s="38">
        <v>26250</v>
      </c>
      <c r="BE30" s="38">
        <v>24449</v>
      </c>
      <c r="BF30" s="38">
        <f>ROUND(BF$33*'kWh Blocks by Rate Category'!N29,0)</f>
        <v>17340</v>
      </c>
      <c r="BG30" s="38">
        <f>ROUND(BG$33*'kWh Blocks by Rate Category'!O29,0)</f>
        <v>14227</v>
      </c>
      <c r="BH30" s="38">
        <f>ROUND(BH$33*'kWh Blocks by Rate Category'!P29,0)</f>
        <v>13856</v>
      </c>
      <c r="BI30" s="38">
        <f>ROUND(BI$33*'kWh Blocks by Rate Category'!Q29,0)</f>
        <v>6194</v>
      </c>
      <c r="BJ30" s="38">
        <f>ROUND(BJ$33*'kWh Blocks by Rate Category'!R29,0)</f>
        <v>11169</v>
      </c>
      <c r="BK30" s="38">
        <f>ROUND(BK$33*'kWh Blocks by Rate Category'!S29,0)</f>
        <v>10781</v>
      </c>
      <c r="BL30" s="38">
        <f>ROUND(BL$33*'kWh Blocks by Rate Category'!T29,0)</f>
        <v>14992</v>
      </c>
      <c r="BM30" s="38">
        <f>ROUND(BM$33*'kWh Blocks by Rate Category'!U29,0)</f>
        <v>19917</v>
      </c>
      <c r="BN30" s="210">
        <f>SUM(BB30:BM30)</f>
        <v>209782</v>
      </c>
      <c r="BO30" s="38">
        <f>ROUND(BO$33*'kWh Blocks by Rate Category'!W29,0)</f>
        <v>209782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1319</v>
      </c>
      <c r="AV31" s="38">
        <f>ROUND(AV$33*'kWh Blocks by Rate Category'!D30,0)</f>
        <v>590</v>
      </c>
      <c r="AW31" s="38">
        <f>ROUND(AW$33*'kWh Blocks by Rate Category'!E30,0)</f>
        <v>1063</v>
      </c>
      <c r="AX31" s="38">
        <f>ROUND(AX$33*'kWh Blocks by Rate Category'!F30,0)</f>
        <v>1027</v>
      </c>
      <c r="AY31" s="38">
        <f>ROUND(AY$33*'kWh Blocks by Rate Category'!G30,0)</f>
        <v>1427</v>
      </c>
      <c r="AZ31" s="38">
        <f>ROUND(AZ$33*'kWh Blocks by Rate Category'!H30,0)</f>
        <v>1897</v>
      </c>
      <c r="BA31" s="210">
        <f>SUM(AO31:AZ31)</f>
        <v>7323</v>
      </c>
      <c r="BB31" s="38">
        <v>2509</v>
      </c>
      <c r="BC31" s="38">
        <v>2310</v>
      </c>
      <c r="BD31" s="38">
        <v>2499</v>
      </c>
      <c r="BE31" s="38">
        <v>2328</v>
      </c>
      <c r="BF31" s="38">
        <f>ROUND(BF$33*'kWh Blocks by Rate Category'!N30,0)</f>
        <v>1651</v>
      </c>
      <c r="BG31" s="38">
        <f>ROUND(BG$33*'kWh Blocks by Rate Category'!O30,0)</f>
        <v>1355</v>
      </c>
      <c r="BH31" s="38">
        <f>ROUND(BH$33*'kWh Blocks by Rate Category'!P30,0)</f>
        <v>1319</v>
      </c>
      <c r="BI31" s="38">
        <f>ROUND(BI$33*'kWh Blocks by Rate Category'!Q30,0)</f>
        <v>590</v>
      </c>
      <c r="BJ31" s="38">
        <f>ROUND(BJ$33*'kWh Blocks by Rate Category'!R30,0)</f>
        <v>1063</v>
      </c>
      <c r="BK31" s="38">
        <f>ROUND(BK$33*'kWh Blocks by Rate Category'!S30,0)</f>
        <v>1027</v>
      </c>
      <c r="BL31" s="38">
        <f>ROUND(BL$33*'kWh Blocks by Rate Category'!T30,0)</f>
        <v>1427</v>
      </c>
      <c r="BM31" s="38">
        <f>ROUND(BM$33*'kWh Blocks by Rate Category'!U30,0)</f>
        <v>1897</v>
      </c>
      <c r="BN31" s="210">
        <f>SUM(BB31:BM31)</f>
        <v>19975</v>
      </c>
      <c r="BO31" s="38">
        <f>ROUND(BO$33*'kWh Blocks by Rate Category'!W30,0)</f>
        <v>19975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80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15175</v>
      </c>
      <c r="AV33" s="64">
        <f t="shared" si="6"/>
        <v>6784</v>
      </c>
      <c r="AW33" s="64">
        <f t="shared" si="6"/>
        <v>12232</v>
      </c>
      <c r="AX33" s="64">
        <f t="shared" si="6"/>
        <v>11808</v>
      </c>
      <c r="AY33" s="64">
        <f t="shared" si="6"/>
        <v>16419</v>
      </c>
      <c r="AZ33" s="64">
        <f t="shared" si="6"/>
        <v>21814</v>
      </c>
      <c r="BA33" s="196">
        <f>SUM(AO33:AZ33)</f>
        <v>84232</v>
      </c>
      <c r="BB33" s="64">
        <v>28857</v>
      </c>
      <c r="BC33" s="64">
        <v>26569</v>
      </c>
      <c r="BD33" s="64">
        <v>28749</v>
      </c>
      <c r="BE33" s="64">
        <v>26777</v>
      </c>
      <c r="BF33" s="64">
        <f t="shared" ref="BF33:BM33" si="7">IFERROR(ROUND(BF34*BF29,0),0)</f>
        <v>18991</v>
      </c>
      <c r="BG33" s="64">
        <f t="shared" si="7"/>
        <v>15582</v>
      </c>
      <c r="BH33" s="64">
        <f t="shared" si="7"/>
        <v>15175</v>
      </c>
      <c r="BI33" s="64">
        <f t="shared" si="7"/>
        <v>6784</v>
      </c>
      <c r="BJ33" s="64">
        <f t="shared" si="7"/>
        <v>12232</v>
      </c>
      <c r="BK33" s="64">
        <f t="shared" si="7"/>
        <v>11808</v>
      </c>
      <c r="BL33" s="64">
        <f t="shared" si="7"/>
        <v>16419</v>
      </c>
      <c r="BM33" s="64">
        <f t="shared" si="7"/>
        <v>21814</v>
      </c>
      <c r="BN33" s="196">
        <f>SUM(BB33:BM33)</f>
        <v>229757</v>
      </c>
      <c r="BO33" s="147">
        <f>ROUND(BO29*BO34,0)</f>
        <v>229757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3"/>
      <c r="CB33" s="33"/>
    </row>
    <row r="34" spans="1:80" ht="15.75" customHeight="1" thickTop="1">
      <c r="A34" s="374" t="s">
        <v>54</v>
      </c>
      <c r="B34" s="84">
        <f>IF('kWh_Streetlight Data'!C130=0,"",'kWh_Streetlight Data'!C130)</f>
        <v>2999.8571428571427</v>
      </c>
      <c r="C34" s="108">
        <f>IF('kWh_Streetlight Data'!D130=0,"",'kWh_Streetlight Data'!D130)</f>
        <v>3123.2857142857142</v>
      </c>
      <c r="D34" s="108">
        <f>IF('kWh_Streetlight Data'!E130=0,"",'kWh_Streetlight Data'!E130)</f>
        <v>2891.2857142857142</v>
      </c>
      <c r="E34" s="108">
        <f>IF('kWh_Streetlight Data'!F130=0,"",'kWh_Streetlight Data'!F130)</f>
        <v>3674.4285714285716</v>
      </c>
      <c r="F34" s="108">
        <f>IF('kWh_Streetlight Data'!G130=0,"",'kWh_Streetlight Data'!G130)</f>
        <v>2036.2857142857142</v>
      </c>
      <c r="G34" s="108">
        <f>IF('kWh_Streetlight Data'!H130=0,"",'kWh_Streetlight Data'!H130)</f>
        <v>1404.8888888888889</v>
      </c>
      <c r="H34" s="108">
        <f>IF('kWh_Streetlight Data'!I130=0,"",'kWh_Streetlight Data'!I130)</f>
        <v>1190.5</v>
      </c>
      <c r="I34" s="108">
        <f>IF('kWh_Streetlight Data'!J130=0,"",'kWh_Streetlight Data'!J130)</f>
        <v>989.25</v>
      </c>
      <c r="J34" s="108">
        <f>IF('kWh_Streetlight Data'!K130=0,"",'kWh_Streetlight Data'!K130)</f>
        <v>1215.25</v>
      </c>
      <c r="K34" s="108">
        <f>IF('kWh_Streetlight Data'!L130=0,"",'kWh_Streetlight Data'!L130)</f>
        <v>1147</v>
      </c>
      <c r="L34" s="108">
        <f>IF('kWh_Streetlight Data'!M130=0,"",'kWh_Streetlight Data'!M130)</f>
        <v>2109.875</v>
      </c>
      <c r="M34" s="108">
        <f>IF('kWh_Streetlight Data'!N130=0,"",'kWh_Streetlight Data'!N130)</f>
        <v>2381.25</v>
      </c>
      <c r="N34" s="424">
        <f>IF('kWh_Streetlight Data'!O130=0,"",'kWh_Streetlight Data'!O130)</f>
        <v>2033.6774193548388</v>
      </c>
      <c r="O34" s="84">
        <f>IF('kWh_Streetlight Data'!P130=0,"",'kWh_Streetlight Data'!P130)</f>
        <v>3537.5</v>
      </c>
      <c r="P34" s="108">
        <f>IF('kWh_Streetlight Data'!Q130=0,"",'kWh_Streetlight Data'!Q130)</f>
        <v>3235.625</v>
      </c>
      <c r="Q34" s="108">
        <f>IF('kWh_Streetlight Data'!R130=0,"",'kWh_Streetlight Data'!R130)</f>
        <v>3365.2222222222222</v>
      </c>
      <c r="R34" s="108">
        <f>IF('kWh_Streetlight Data'!S130=0,"",'kWh_Streetlight Data'!S130)</f>
        <v>2522.7142857142858</v>
      </c>
      <c r="S34" s="108">
        <f>IF('kWh_Streetlight Data'!T130=0,"",'kWh_Streetlight Data'!T130)</f>
        <v>2023.7142857142858</v>
      </c>
      <c r="T34" s="108">
        <f>IF('kWh_Streetlight Data'!U130=0,"",'kWh_Streetlight Data'!U130)</f>
        <v>1622.1428571428571</v>
      </c>
      <c r="U34" s="108">
        <f>IF('kWh_Streetlight Data'!V130=0,"",'kWh_Streetlight Data'!V130)</f>
        <v>2386.6666666666665</v>
      </c>
      <c r="V34" s="108">
        <f>IF('kWh_Streetlight Data'!W130=0,"",'kWh_Streetlight Data'!W130)</f>
        <v>866</v>
      </c>
      <c r="W34" s="108">
        <f>IF('kWh_Streetlight Data'!X130=0,"",'kWh_Streetlight Data'!X130)</f>
        <v>1564.625</v>
      </c>
      <c r="X34" s="108">
        <f>IF('kWh_Streetlight Data'!Y130=0,"",'kWh_Streetlight Data'!Y130)</f>
        <v>1873.5714285714287</v>
      </c>
      <c r="Y34" s="108">
        <f>IF('kWh_Streetlight Data'!Z130=0,"",'kWh_Streetlight Data'!Z130)</f>
        <v>1366.2857142857142</v>
      </c>
      <c r="Z34" s="108">
        <f>IF('kWh_Streetlight Data'!AA130=0,"",'kWh_Streetlight Data'!AA130)</f>
        <v>2725.5714285714284</v>
      </c>
      <c r="AA34" s="424">
        <f>IF('kWh_Streetlight Data'!AB130=0,"",'kWh_Streetlight Data'!AB130)</f>
        <v>2267.1222222222223</v>
      </c>
      <c r="AB34" s="129">
        <f>IF('kWh_Streetlight Data'!AC130=0,"",'kWh_Streetlight Data'!AC130)</f>
        <v>4284</v>
      </c>
      <c r="AC34" s="130">
        <f>IF('kWh_Streetlight Data'!AD130=0,"",'kWh_Streetlight Data'!AD130)</f>
        <v>3604.5714285714284</v>
      </c>
      <c r="AD34" s="130">
        <f>IF('kWh_Streetlight Data'!AE130=0,"",'kWh_Streetlight Data'!AE130)</f>
        <v>4524.4285714285716</v>
      </c>
      <c r="AE34" s="130">
        <f>IF('kWh_Streetlight Data'!AF130=0,"",'kWh_Streetlight Data'!AF130)</f>
        <v>3844.2857142857142</v>
      </c>
      <c r="AF34" s="130">
        <f>IF('kWh_Streetlight Data'!AG130=0,"",'kWh_Streetlight Data'!AG130)</f>
        <v>3061.7142857142858</v>
      </c>
      <c r="AG34" s="130">
        <f>IF('kWh_Streetlight Data'!AH130=0,"",'kWh_Streetlight Data'!AH130)</f>
        <v>2816.1428571428573</v>
      </c>
      <c r="AH34" s="130">
        <f>IF('kWh_Streetlight Data'!AI130=0,"",'kWh_Streetlight Data'!AI130)</f>
        <v>2113.5714285714284</v>
      </c>
      <c r="AI34" s="130">
        <f>IF('kWh_Streetlight Data'!AJ130=0,"",'kWh_Streetlight Data'!AJ130)</f>
        <v>688.71428571428567</v>
      </c>
      <c r="AJ34" s="130">
        <f>IF('kWh_Streetlight Data'!AK130=0,"",'kWh_Streetlight Data'!AK130)</f>
        <v>1807</v>
      </c>
      <c r="AK34" s="130">
        <f>IF('kWh_Streetlight Data'!AL130=0,"",'kWh_Streetlight Data'!AL130)</f>
        <v>1407.5714285714287</v>
      </c>
      <c r="AL34" s="130">
        <f>IF('kWh_Streetlight Data'!AM130=0,"",'kWh_Streetlight Data'!AM130)</f>
        <v>2680.8571428571427</v>
      </c>
      <c r="AM34" s="130">
        <f>IF('kWh_Streetlight Data'!AN130=0,"",'kWh_Streetlight Data'!AN130)</f>
        <v>3073.4285714285716</v>
      </c>
      <c r="AN34" s="426">
        <f>IF('kWh_Streetlight Data'!AO130=0,"",'kWh_Streetlight Data'!AO130)</f>
        <v>2825.5238095238096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1896.9126984126985</v>
      </c>
      <c r="AV34" s="9">
        <f t="shared" si="8"/>
        <v>847.9880952380953</v>
      </c>
      <c r="AW34" s="9">
        <f t="shared" si="8"/>
        <v>1528.9583333333333</v>
      </c>
      <c r="AX34" s="9">
        <f t="shared" si="8"/>
        <v>1476.047619047619</v>
      </c>
      <c r="AY34" s="9">
        <f t="shared" si="8"/>
        <v>2052.3392857142858</v>
      </c>
      <c r="AZ34" s="9">
        <f t="shared" si="8"/>
        <v>2726.75</v>
      </c>
      <c r="BA34" s="211"/>
      <c r="BB34" s="9">
        <v>3607.1190476190477</v>
      </c>
      <c r="BC34" s="17">
        <v>3321.1607142857138</v>
      </c>
      <c r="BD34" s="17">
        <v>3593.6455026455028</v>
      </c>
      <c r="BE34" s="17">
        <v>3347.1428571428569</v>
      </c>
      <c r="BF34" s="17">
        <f t="shared" ref="BF34:BM34" si="9">IFERROR(AVERAGE(F34,S34,AF34),0)</f>
        <v>2373.9047619047619</v>
      </c>
      <c r="BG34" s="17">
        <f t="shared" si="9"/>
        <v>1947.7248677248679</v>
      </c>
      <c r="BH34" s="17">
        <f t="shared" si="9"/>
        <v>1896.9126984126985</v>
      </c>
      <c r="BI34" s="17">
        <f t="shared" si="9"/>
        <v>847.9880952380953</v>
      </c>
      <c r="BJ34" s="17">
        <f t="shared" si="9"/>
        <v>1528.9583333333333</v>
      </c>
      <c r="BK34" s="17">
        <f t="shared" si="9"/>
        <v>1476.047619047619</v>
      </c>
      <c r="BL34" s="17">
        <f t="shared" si="9"/>
        <v>2052.3392857142858</v>
      </c>
      <c r="BM34" s="9">
        <f t="shared" si="9"/>
        <v>2726.75</v>
      </c>
      <c r="BN34" s="211">
        <f>IFERROR(BN33/SUM(BB29:BM29)*12,0)</f>
        <v>28719.625</v>
      </c>
      <c r="BO34" s="20">
        <f>BN34</f>
        <v>28719.625</v>
      </c>
    </row>
    <row r="35" spans="1:80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80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25"/>
    </row>
    <row r="37" spans="1:80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80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80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80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80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80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80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Customers!E156</f>
        <v>1</v>
      </c>
      <c r="AV43" s="124">
        <f>Customers!F156</f>
        <v>1</v>
      </c>
      <c r="AW43" s="124">
        <f>Customers!G156</f>
        <v>1</v>
      </c>
      <c r="AX43" s="124">
        <f>Customers!H156</f>
        <v>1</v>
      </c>
      <c r="AY43" s="124">
        <f>Customers!I156</f>
        <v>1</v>
      </c>
      <c r="AZ43" s="124">
        <f>Customers!J156</f>
        <v>1</v>
      </c>
      <c r="BA43" s="210">
        <f>AZ43</f>
        <v>1</v>
      </c>
      <c r="BB43" s="124">
        <v>1</v>
      </c>
      <c r="BC43" s="38">
        <v>1</v>
      </c>
      <c r="BD43" s="38">
        <v>1</v>
      </c>
      <c r="BE43" s="38">
        <v>1</v>
      </c>
      <c r="BF43" s="38">
        <f t="shared" ref="BF43:BM43" si="10">BE43</f>
        <v>1</v>
      </c>
      <c r="BG43" s="38">
        <f t="shared" si="10"/>
        <v>1</v>
      </c>
      <c r="BH43" s="38">
        <f t="shared" si="10"/>
        <v>1</v>
      </c>
      <c r="BI43" s="38">
        <f t="shared" si="10"/>
        <v>1</v>
      </c>
      <c r="BJ43" s="38">
        <f t="shared" si="10"/>
        <v>1</v>
      </c>
      <c r="BK43" s="38">
        <f t="shared" si="10"/>
        <v>1</v>
      </c>
      <c r="BL43" s="38">
        <f t="shared" si="10"/>
        <v>1</v>
      </c>
      <c r="BM43" s="38">
        <f t="shared" si="10"/>
        <v>1</v>
      </c>
      <c r="BN43" s="210">
        <f>IFERROR(ROUND(AVERAGE(BB43:BM43),0),0)</f>
        <v>1</v>
      </c>
      <c r="BO43" s="90">
        <f>Customers!L156</f>
        <v>1</v>
      </c>
    </row>
    <row r="44" spans="1:80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3493</v>
      </c>
      <c r="AV44" s="38">
        <f t="shared" ref="AV44:AZ44" si="11">AV47</f>
        <v>3940</v>
      </c>
      <c r="AW44" s="38">
        <f t="shared" si="11"/>
        <v>4020</v>
      </c>
      <c r="AX44" s="38">
        <f t="shared" si="11"/>
        <v>3607</v>
      </c>
      <c r="AY44" s="38">
        <f t="shared" si="11"/>
        <v>3070</v>
      </c>
      <c r="AZ44" s="38">
        <f t="shared" si="11"/>
        <v>5277</v>
      </c>
      <c r="BA44" s="210">
        <f>SUM(AO44:AZ44)</f>
        <v>23407</v>
      </c>
      <c r="BB44" s="38">
        <v>4179</v>
      </c>
      <c r="BC44" s="38">
        <v>3465</v>
      </c>
      <c r="BD44" s="38">
        <v>3226</v>
      </c>
      <c r="BE44" s="38">
        <v>3325</v>
      </c>
      <c r="BF44" s="38">
        <f>ROUND(BF$47*'kWh Blocks by Rate Category'!N43,0)</f>
        <v>3417</v>
      </c>
      <c r="BG44" s="38">
        <f>ROUND(BG$47*'kWh Blocks by Rate Category'!O43,0)</f>
        <v>3242</v>
      </c>
      <c r="BH44" s="38">
        <f>ROUND(BH$47*'kWh Blocks by Rate Category'!P43,0)</f>
        <v>3119</v>
      </c>
      <c r="BI44" s="38">
        <f>ROUND(BI$47*'kWh Blocks by Rate Category'!Q43,0)</f>
        <v>3518</v>
      </c>
      <c r="BJ44" s="38">
        <f>ROUND(BJ$47*'kWh Blocks by Rate Category'!R43,0)</f>
        <v>3590</v>
      </c>
      <c r="BK44" s="38">
        <f>ROUND(BK$47*'kWh Blocks by Rate Category'!S43,0)</f>
        <v>3221</v>
      </c>
      <c r="BL44" s="38">
        <f>ROUND(BL$47*'kWh Blocks by Rate Category'!T43,0)</f>
        <v>2741</v>
      </c>
      <c r="BM44" s="38">
        <f>ROUND(BM$47*'kWh Blocks by Rate Category'!U43,0)</f>
        <v>4712</v>
      </c>
      <c r="BN44" s="210">
        <f>SUM(BB44:BM44)</f>
        <v>41755</v>
      </c>
      <c r="BO44" s="38">
        <f>ROUND(BO$47*'kWh Blocks by Rate Category'!W43,0)</f>
        <v>41756</v>
      </c>
    </row>
    <row r="45" spans="1:80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356</v>
      </c>
      <c r="BC45" s="38">
        <v>295</v>
      </c>
      <c r="BD45" s="38">
        <v>275</v>
      </c>
      <c r="BE45" s="38">
        <v>283</v>
      </c>
      <c r="BF45" s="38">
        <f>ROUND(BF$47*'kWh Blocks by Rate Category'!N44,0)</f>
        <v>291</v>
      </c>
      <c r="BG45" s="38">
        <f>ROUND(BG$47*'kWh Blocks by Rate Category'!O44,0)</f>
        <v>276</v>
      </c>
      <c r="BH45" s="38">
        <f>ROUND(BH$47*'kWh Blocks by Rate Category'!P44,0)</f>
        <v>265</v>
      </c>
      <c r="BI45" s="38">
        <f>ROUND(BI$47*'kWh Blocks by Rate Category'!Q44,0)</f>
        <v>299</v>
      </c>
      <c r="BJ45" s="38">
        <f>ROUND(BJ$47*'kWh Blocks by Rate Category'!R44,0)</f>
        <v>305</v>
      </c>
      <c r="BK45" s="38">
        <f>ROUND(BK$47*'kWh Blocks by Rate Category'!S44,0)</f>
        <v>274</v>
      </c>
      <c r="BL45" s="38">
        <f>ROUND(BL$47*'kWh Blocks by Rate Category'!T44,0)</f>
        <v>233</v>
      </c>
      <c r="BM45" s="38">
        <f>ROUND(BM$47*'kWh Blocks by Rate Category'!U44,0)</f>
        <v>401</v>
      </c>
      <c r="BN45" s="210">
        <f>SUM(BB45:BM45)</f>
        <v>3553</v>
      </c>
      <c r="BO45" s="38">
        <f>ROUND(BO$47*'kWh Blocks by Rate Category'!W44,0)</f>
        <v>3553</v>
      </c>
    </row>
    <row r="46" spans="1:80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145</v>
      </c>
      <c r="BC46" s="38">
        <v>120</v>
      </c>
      <c r="BD46" s="38">
        <v>112</v>
      </c>
      <c r="BE46" s="38">
        <v>116</v>
      </c>
      <c r="BF46" s="38">
        <f>ROUND(BF$47*'kWh Blocks by Rate Category'!N45,0)</f>
        <v>119</v>
      </c>
      <c r="BG46" s="38">
        <f>ROUND(BG$47*'kWh Blocks by Rate Category'!O45,0)</f>
        <v>113</v>
      </c>
      <c r="BH46" s="38">
        <f>ROUND(BH$47*'kWh Blocks by Rate Category'!P45,0)</f>
        <v>108</v>
      </c>
      <c r="BI46" s="38">
        <f>ROUND(BI$47*'kWh Blocks by Rate Category'!Q45,0)</f>
        <v>122</v>
      </c>
      <c r="BJ46" s="38">
        <f>ROUND(BJ$47*'kWh Blocks by Rate Category'!R45,0)</f>
        <v>125</v>
      </c>
      <c r="BK46" s="38">
        <f>ROUND(BK$47*'kWh Blocks by Rate Category'!S45,0)</f>
        <v>112</v>
      </c>
      <c r="BL46" s="38">
        <f>ROUND(BL$47*'kWh Blocks by Rate Category'!T45,0)</f>
        <v>95</v>
      </c>
      <c r="BM46" s="38">
        <f>ROUND(BM$47*'kWh Blocks by Rate Category'!U45,0)</f>
        <v>164</v>
      </c>
      <c r="BN46" s="210">
        <f>SUM(BB46:BM46)</f>
        <v>1451</v>
      </c>
      <c r="BO46" s="38">
        <f>ROUND(BO$47*'kWh Blocks by Rate Category'!W45,0)</f>
        <v>1451</v>
      </c>
    </row>
    <row r="47" spans="1:80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2">IFERROR(ROUND(AU48*AU43,0),0)</f>
        <v>3493</v>
      </c>
      <c r="AV47" s="64">
        <f t="shared" si="12"/>
        <v>3940</v>
      </c>
      <c r="AW47" s="64">
        <f t="shared" si="12"/>
        <v>4020</v>
      </c>
      <c r="AX47" s="64">
        <f t="shared" si="12"/>
        <v>3607</v>
      </c>
      <c r="AY47" s="64">
        <f t="shared" si="12"/>
        <v>3070</v>
      </c>
      <c r="AZ47" s="64">
        <f t="shared" si="12"/>
        <v>5277</v>
      </c>
      <c r="BA47" s="196">
        <f>SUM(AO47:AZ47)</f>
        <v>23407</v>
      </c>
      <c r="BB47" s="64">
        <v>4680</v>
      </c>
      <c r="BC47" s="64">
        <v>3880</v>
      </c>
      <c r="BD47" s="64">
        <v>3613</v>
      </c>
      <c r="BE47" s="64">
        <v>3723</v>
      </c>
      <c r="BF47" s="64">
        <f t="shared" ref="BF47:BM47" si="13">IFERROR(ROUND(BF48*BF43,0),0)</f>
        <v>3827</v>
      </c>
      <c r="BG47" s="64">
        <f t="shared" si="13"/>
        <v>3630</v>
      </c>
      <c r="BH47" s="64">
        <f t="shared" si="13"/>
        <v>3493</v>
      </c>
      <c r="BI47" s="64">
        <f t="shared" si="13"/>
        <v>3940</v>
      </c>
      <c r="BJ47" s="64">
        <f t="shared" si="13"/>
        <v>4020</v>
      </c>
      <c r="BK47" s="64">
        <f t="shared" si="13"/>
        <v>3607</v>
      </c>
      <c r="BL47" s="64">
        <f t="shared" si="13"/>
        <v>3070</v>
      </c>
      <c r="BM47" s="64">
        <f t="shared" si="13"/>
        <v>5277</v>
      </c>
      <c r="BN47" s="196">
        <f>SUM(BB47:BM47)</f>
        <v>46760</v>
      </c>
      <c r="BO47" s="333">
        <f>ROUND(BO43*BO48,0)</f>
        <v>46760</v>
      </c>
    </row>
    <row r="48" spans="1:80" ht="15.75" customHeight="1" thickTop="1">
      <c r="A48" s="374" t="s">
        <v>54</v>
      </c>
      <c r="B48" s="129">
        <f>IF('kWh_Streetlight Data'!C131=0,"",'kWh_Streetlight Data'!C131)</f>
        <v>4250</v>
      </c>
      <c r="C48" s="130">
        <f>IF('kWh_Streetlight Data'!D131=0,"",'kWh_Streetlight Data'!D131)</f>
        <v>3570</v>
      </c>
      <c r="D48" s="130">
        <f>IF('kWh_Streetlight Data'!E131=0,"",'kWh_Streetlight Data'!E131)</f>
        <v>3730</v>
      </c>
      <c r="E48" s="130">
        <f>IF('kWh_Streetlight Data'!F131=0,"",'kWh_Streetlight Data'!F131)</f>
        <v>3650</v>
      </c>
      <c r="F48" s="130">
        <f>IF('kWh_Streetlight Data'!G131=0,"",'kWh_Streetlight Data'!G131)</f>
        <v>4050</v>
      </c>
      <c r="G48" s="130">
        <f>IF('kWh_Streetlight Data'!H131=0,"",'kWh_Streetlight Data'!H131)</f>
        <v>3710</v>
      </c>
      <c r="H48" s="130">
        <f>IF('kWh_Streetlight Data'!I131=0,"",'kWh_Streetlight Data'!I131)</f>
        <v>3140</v>
      </c>
      <c r="I48" s="130">
        <f>IF('kWh_Streetlight Data'!J131=0,"",'kWh_Streetlight Data'!J131)</f>
        <v>4130</v>
      </c>
      <c r="J48" s="130">
        <f>IF('kWh_Streetlight Data'!K131=0,"",'kWh_Streetlight Data'!K131)</f>
        <v>4680</v>
      </c>
      <c r="K48" s="130">
        <f>IF('kWh_Streetlight Data'!L131=0,"",'kWh_Streetlight Data'!L131)</f>
        <v>4030</v>
      </c>
      <c r="L48" s="130">
        <f>IF('kWh_Streetlight Data'!M131=0,"",'kWh_Streetlight Data'!M131)</f>
        <v>5210</v>
      </c>
      <c r="M48" s="130">
        <f>IF('kWh_Streetlight Data'!N131=0,"",'kWh_Streetlight Data'!N131)</f>
        <v>4320</v>
      </c>
      <c r="N48" s="424">
        <f>IF('kWh_Streetlight Data'!O131=0,"",'kWh_Streetlight Data'!O131)</f>
        <v>4039.1666666666665</v>
      </c>
      <c r="O48" s="129">
        <f>IF('kWh_Streetlight Data'!P131=0,"",'kWh_Streetlight Data'!P131)</f>
        <v>4950</v>
      </c>
      <c r="P48" s="130">
        <f>IF('kWh_Streetlight Data'!Q131=0,"",'kWh_Streetlight Data'!Q131)</f>
        <v>4110</v>
      </c>
      <c r="Q48" s="130">
        <f>IF('kWh_Streetlight Data'!R131=0,"",'kWh_Streetlight Data'!R131)</f>
        <v>3510</v>
      </c>
      <c r="R48" s="130">
        <f>IF('kWh_Streetlight Data'!S131=0,"",'kWh_Streetlight Data'!S131)</f>
        <v>3930</v>
      </c>
      <c r="S48" s="130">
        <f>IF('kWh_Streetlight Data'!T131=0,"",'kWh_Streetlight Data'!T131)</f>
        <v>3650</v>
      </c>
      <c r="T48" s="130">
        <f>IF('kWh_Streetlight Data'!U131=0,"",'kWh_Streetlight Data'!U131)</f>
        <v>3220</v>
      </c>
      <c r="U48" s="130">
        <f>IF('kWh_Streetlight Data'!V131=0,"",'kWh_Streetlight Data'!V131)</f>
        <v>3690</v>
      </c>
      <c r="V48" s="130">
        <f>IF('kWh_Streetlight Data'!W131=0,"",'kWh_Streetlight Data'!W131)</f>
        <v>4120</v>
      </c>
      <c r="W48" s="130">
        <f>IF('kWh_Streetlight Data'!X131=0,"",'kWh_Streetlight Data'!X131)</f>
        <v>3630</v>
      </c>
      <c r="X48" s="130">
        <f>IF('kWh_Streetlight Data'!Y131=0,"",'kWh_Streetlight Data'!Y131)</f>
        <v>3430</v>
      </c>
      <c r="Y48" s="130">
        <f>IF('kWh_Streetlight Data'!Z131=0,"",'kWh_Streetlight Data'!Z131)</f>
        <v>3790</v>
      </c>
      <c r="Z48" s="130">
        <f>IF('kWh_Streetlight Data'!AA131=0,"",'kWh_Streetlight Data'!AA131)</f>
        <v>3760</v>
      </c>
      <c r="AA48" s="424">
        <f>IF('kWh_Streetlight Data'!AB131=0,"",'kWh_Streetlight Data'!AB131)</f>
        <v>3815.8333333333335</v>
      </c>
      <c r="AB48" s="129">
        <f>IF('kWh_Streetlight Data'!AC131=0,"",'kWh_Streetlight Data'!AC131)</f>
        <v>4840</v>
      </c>
      <c r="AC48" s="130">
        <f>IF('kWh_Streetlight Data'!AD131=0,"",'kWh_Streetlight Data'!AD131)</f>
        <v>3960</v>
      </c>
      <c r="AD48" s="130">
        <f>IF('kWh_Streetlight Data'!AE131=0,"",'kWh_Streetlight Data'!AE131)</f>
        <v>3600</v>
      </c>
      <c r="AE48" s="130">
        <f>IF('kWh_Streetlight Data'!AF131=0,"",'kWh_Streetlight Data'!AF131)</f>
        <v>3590</v>
      </c>
      <c r="AF48" s="130">
        <f>IF('kWh_Streetlight Data'!AG131=0,"",'kWh_Streetlight Data'!AG131)</f>
        <v>3780</v>
      </c>
      <c r="AG48" s="130">
        <f>IF('kWh_Streetlight Data'!AH131=0,"",'kWh_Streetlight Data'!AH131)</f>
        <v>3960</v>
      </c>
      <c r="AH48" s="130">
        <f>IF('kWh_Streetlight Data'!AI131=0,"",'kWh_Streetlight Data'!AI131)</f>
        <v>3650</v>
      </c>
      <c r="AI48" s="130">
        <f>IF('kWh_Streetlight Data'!AJ131=0,"",'kWh_Streetlight Data'!AJ131)</f>
        <v>3570</v>
      </c>
      <c r="AJ48" s="130">
        <f>IF('kWh_Streetlight Data'!AK131=0,"",'kWh_Streetlight Data'!AK131)</f>
        <v>3750</v>
      </c>
      <c r="AK48" s="130">
        <f>IF('kWh_Streetlight Data'!AL131=0,"",'kWh_Streetlight Data'!AL131)</f>
        <v>3360</v>
      </c>
      <c r="AL48" s="130">
        <f>IF('kWh_Streetlight Data'!AM131=0,"",'kWh_Streetlight Data'!AM131)</f>
        <v>210</v>
      </c>
      <c r="AM48" s="130">
        <f>IF('kWh_Streetlight Data'!AN131=0,"",'kWh_Streetlight Data'!AN131)</f>
        <v>7750</v>
      </c>
      <c r="AN48" s="426">
        <f>IF('kWh_Streetlight Data'!AO131=0,"",'kWh_Streetlight Data'!AO131)</f>
        <v>3835</v>
      </c>
      <c r="AO48" s="43"/>
      <c r="AP48" s="40"/>
      <c r="AQ48" s="40"/>
      <c r="AR48" s="40"/>
      <c r="AS48" s="40"/>
      <c r="AT48" s="17"/>
      <c r="AU48" s="9">
        <f t="shared" ref="AU48:AZ48" si="14">IFERROR(AVERAGE(AH48,U48,H48),0)</f>
        <v>3493.3333333333335</v>
      </c>
      <c r="AV48" s="9">
        <f t="shared" si="14"/>
        <v>3940</v>
      </c>
      <c r="AW48" s="9">
        <f t="shared" si="14"/>
        <v>4020</v>
      </c>
      <c r="AX48" s="9">
        <f t="shared" si="14"/>
        <v>3606.6666666666665</v>
      </c>
      <c r="AY48" s="9">
        <f t="shared" si="14"/>
        <v>3070</v>
      </c>
      <c r="AZ48" s="9">
        <f t="shared" si="14"/>
        <v>5276.666666666667</v>
      </c>
      <c r="BA48" s="211"/>
      <c r="BB48" s="9">
        <v>4680</v>
      </c>
      <c r="BC48" s="17">
        <v>3880</v>
      </c>
      <c r="BD48" s="17">
        <v>3613.3333333333335</v>
      </c>
      <c r="BE48" s="17">
        <v>3723.3333333333335</v>
      </c>
      <c r="BF48" s="17">
        <f t="shared" ref="BF48:BM48" si="15">IFERROR(AVERAGE(F48,S48,AF48),0)</f>
        <v>3826.6666666666665</v>
      </c>
      <c r="BG48" s="17">
        <f t="shared" si="15"/>
        <v>3630</v>
      </c>
      <c r="BH48" s="17">
        <f t="shared" si="15"/>
        <v>3493.3333333333335</v>
      </c>
      <c r="BI48" s="17">
        <f t="shared" si="15"/>
        <v>3940</v>
      </c>
      <c r="BJ48" s="17">
        <f t="shared" si="15"/>
        <v>4020</v>
      </c>
      <c r="BK48" s="17">
        <f t="shared" si="15"/>
        <v>3606.6666666666665</v>
      </c>
      <c r="BL48" s="17">
        <f t="shared" si="15"/>
        <v>3070</v>
      </c>
      <c r="BM48" s="9">
        <f t="shared" si="15"/>
        <v>5276.666666666667</v>
      </c>
      <c r="BN48" s="211">
        <f>IFERROR(BN47/SUM(BB43:BM43)*12,0)</f>
        <v>46760</v>
      </c>
      <c r="BO48" s="20">
        <f>BN48</f>
        <v>46760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8" si="16">BE57</f>
        <v>0</v>
      </c>
      <c r="BG57" s="38">
        <f t="shared" si="16"/>
        <v>0</v>
      </c>
      <c r="BH57" s="38">
        <f t="shared" si="16"/>
        <v>0</v>
      </c>
      <c r="BI57" s="38">
        <f t="shared" si="16"/>
        <v>0</v>
      </c>
      <c r="BJ57" s="38">
        <f t="shared" si="16"/>
        <v>0</v>
      </c>
      <c r="BK57" s="38">
        <f t="shared" si="16"/>
        <v>0</v>
      </c>
      <c r="BL57" s="38">
        <f t="shared" si="16"/>
        <v>0</v>
      </c>
      <c r="BM57" s="38">
        <f t="shared" si="16"/>
        <v>0</v>
      </c>
      <c r="BN57" s="210">
        <f>IFERROR(ROUND(AVERAGE(BB57:BM57),0),0)</f>
        <v>0</v>
      </c>
      <c r="BO57" s="156">
        <f>Customers!L157</f>
        <v>0</v>
      </c>
    </row>
    <row r="58" spans="1:67" ht="15.75" customHeight="1" thickBot="1">
      <c r="A58" s="201" t="s">
        <v>30</v>
      </c>
      <c r="B58" s="113" t="str">
        <f>IF('kWh_Streetlight Data'!C241=0,"",'kWh_Streetlight Data'!C241)</f>
        <v/>
      </c>
      <c r="C58" s="114" t="str">
        <f>IF('kWh_Streetlight Data'!D241=0,"",'kWh_Streetlight Data'!D241)</f>
        <v/>
      </c>
      <c r="D58" s="114" t="str">
        <f>IF('kWh_Streetlight Data'!E241=0,"",'kWh_Streetlight Data'!E241)</f>
        <v/>
      </c>
      <c r="E58" s="114" t="str">
        <f>IF('kWh_Streetlight Data'!F241=0,"",'kWh_Streetlight Data'!F241)</f>
        <v/>
      </c>
      <c r="F58" s="114" t="str">
        <f>IF('kWh_Streetlight Data'!G241=0,"",'kWh_Streetlight Data'!G241)</f>
        <v/>
      </c>
      <c r="G58" s="114" t="str">
        <f>IF('kWh_Streetlight Data'!H241=0,"",'kWh_Streetlight Data'!H241)</f>
        <v/>
      </c>
      <c r="H58" s="114" t="str">
        <f>IF('kWh_Streetlight Data'!I241=0,"",'kWh_Streetlight Data'!I241)</f>
        <v/>
      </c>
      <c r="I58" s="114" t="str">
        <f>IF('kWh_Streetlight Data'!J241=0,"",'kWh_Streetlight Data'!J241)</f>
        <v/>
      </c>
      <c r="J58" s="114" t="str">
        <f>IF('kWh_Streetlight Data'!K241=0,"",'kWh_Streetlight Data'!K241)</f>
        <v/>
      </c>
      <c r="K58" s="114" t="str">
        <f>IF('kWh_Streetlight Data'!L241=0,"",'kWh_Streetlight Data'!L241)</f>
        <v/>
      </c>
      <c r="L58" s="114" t="str">
        <f>IF('kWh_Streetlight Data'!M241=0,"",'kWh_Streetlight Data'!M241)</f>
        <v/>
      </c>
      <c r="M58" s="114" t="str">
        <f>IF('kWh_Streetlight Data'!N241=0,"",'kWh_Streetlight Data'!N241)</f>
        <v/>
      </c>
      <c r="N58" s="459" t="str">
        <f>IF('kWh_Streetlight Data'!O241=0,"",'kWh_Streetlight Data'!O241)</f>
        <v/>
      </c>
      <c r="O58" s="113" t="str">
        <f>IF('kWh_Streetlight Data'!P241=0,"",'kWh_Streetlight Data'!P241)</f>
        <v/>
      </c>
      <c r="P58" s="114" t="str">
        <f>IF('kWh_Streetlight Data'!Q241=0,"",'kWh_Streetlight Data'!Q241)</f>
        <v/>
      </c>
      <c r="Q58" s="114" t="str">
        <f>IF('kWh_Streetlight Data'!R241=0,"",'kWh_Streetlight Data'!R241)</f>
        <v/>
      </c>
      <c r="R58" s="114" t="str">
        <f>IF('kWh_Streetlight Data'!S241=0,"",'kWh_Streetlight Data'!S241)</f>
        <v/>
      </c>
      <c r="S58" s="114" t="str">
        <f>IF('kWh_Streetlight Data'!T241=0,"",'kWh_Streetlight Data'!T241)</f>
        <v/>
      </c>
      <c r="T58" s="114" t="str">
        <f>IF('kWh_Streetlight Data'!U241=0,"",'kWh_Streetlight Data'!U241)</f>
        <v/>
      </c>
      <c r="U58" s="114" t="str">
        <f>IF('kWh_Streetlight Data'!V241=0,"",'kWh_Streetlight Data'!V241)</f>
        <v/>
      </c>
      <c r="V58" s="114" t="str">
        <f>IF('kWh_Streetlight Data'!W241=0,"",'kWh_Streetlight Data'!W241)</f>
        <v/>
      </c>
      <c r="W58" s="114" t="str">
        <f>IF('kWh_Streetlight Data'!X241=0,"",'kWh_Streetlight Data'!X241)</f>
        <v/>
      </c>
      <c r="X58" s="114" t="str">
        <f>IF('kWh_Streetlight Data'!Y241=0,"",'kWh_Streetlight Data'!Y241)</f>
        <v/>
      </c>
      <c r="Y58" s="114" t="str">
        <f>IF('kWh_Streetlight Data'!Z241=0,"",'kWh_Streetlight Data'!Z241)</f>
        <v/>
      </c>
      <c r="Z58" s="114" t="str">
        <f>IF('kWh_Streetlight Data'!AA241=0,"",'kWh_Streetlight Data'!AA241)</f>
        <v/>
      </c>
      <c r="AA58" s="459" t="str">
        <f>IF('kWh_Streetlight Data'!AB241=0,"",'kWh_Streetlight Data'!AB241)</f>
        <v/>
      </c>
      <c r="AB58" s="240" t="str">
        <f>IF('kWh_Streetlight Data'!AC241=0,"",'kWh_Streetlight Data'!AC241)</f>
        <v/>
      </c>
      <c r="AC58" s="117" t="str">
        <f>IF('kWh_Streetlight Data'!AD241=0,"",'kWh_Streetlight Data'!AD241)</f>
        <v/>
      </c>
      <c r="AD58" s="117" t="str">
        <f>IF('kWh_Streetlight Data'!AE241=0,"",'kWh_Streetlight Data'!AE241)</f>
        <v/>
      </c>
      <c r="AE58" s="117" t="str">
        <f>IF('kWh_Streetlight Data'!AF241=0,"",'kWh_Streetlight Data'!AF241)</f>
        <v/>
      </c>
      <c r="AF58" s="117" t="str">
        <f>IF('kWh_Streetlight Data'!AG241=0,"",'kWh_Streetlight Data'!AG241)</f>
        <v/>
      </c>
      <c r="AG58" s="117" t="str">
        <f>IF('kWh_Streetlight Data'!AH241=0,"",'kWh_Streetlight Data'!AH241)</f>
        <v/>
      </c>
      <c r="AH58" s="117" t="str">
        <f>IF('kWh_Streetlight Data'!AI241=0,"",'kWh_Streetlight Data'!AI241)</f>
        <v/>
      </c>
      <c r="AI58" s="117" t="str">
        <f>IF('kWh_Streetlight Data'!AJ241=0,"",'kWh_Streetlight Data'!AJ241)</f>
        <v/>
      </c>
      <c r="AJ58" s="117" t="str">
        <f>IF('kWh_Streetlight Data'!AK241=0,"",'kWh_Streetlight Data'!AK241)</f>
        <v/>
      </c>
      <c r="AK58" s="117" t="str">
        <f>IF('kWh_Streetlight Data'!AL241=0,"",'kWh_Streetlight Data'!AL241)</f>
        <v/>
      </c>
      <c r="AL58" s="117" t="str">
        <f>IF('kWh_Streetlight Data'!AM241=0,"",'kWh_Streetlight Data'!AM241)</f>
        <v/>
      </c>
      <c r="AM58" s="117" t="str">
        <f>IF('kWh_Streetlight Data'!AN241=0,"",'kWh_Streetlight Data'!AN241)</f>
        <v/>
      </c>
      <c r="AN58" s="464" t="str">
        <f>IF('kWh_Streetlight Data'!AO241=0,"",'kWh_Streetlight Data'!AO241)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si="16"/>
        <v>0</v>
      </c>
      <c r="BG58" s="160">
        <f t="shared" si="16"/>
        <v>0</v>
      </c>
      <c r="BH58" s="160">
        <f t="shared" si="16"/>
        <v>0</v>
      </c>
      <c r="BI58" s="160">
        <f t="shared" si="16"/>
        <v>0</v>
      </c>
      <c r="BJ58" s="160">
        <f t="shared" si="16"/>
        <v>0</v>
      </c>
      <c r="BK58" s="160">
        <f t="shared" si="16"/>
        <v>0</v>
      </c>
      <c r="BL58" s="160">
        <f t="shared" si="16"/>
        <v>0</v>
      </c>
      <c r="BM58" s="160">
        <f t="shared" si="16"/>
        <v>0</v>
      </c>
      <c r="BN58" s="213">
        <f>SUM(BB58:BM58)</f>
        <v>0</v>
      </c>
      <c r="BO58" s="175">
        <f t="shared" ref="BO58" si="17">BN58</f>
        <v>0</v>
      </c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67" ht="15.75" customHeight="1" thickTop="1" thickBot="1">
      <c r="A62" s="201" t="s">
        <v>30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459"/>
      <c r="O62" s="113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459"/>
      <c r="AB62" s="240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469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Data'!C132=0,"",'kWh_Streetlight Data'!C132)</f>
        <v/>
      </c>
      <c r="C69" s="130" t="str">
        <f>IF('kWh_Streetlight Data'!D132=0,"",'kWh_Streetlight Data'!D132)</f>
        <v/>
      </c>
      <c r="D69" s="130" t="str">
        <f>IF('kWh_Streetlight Data'!E132=0,"",'kWh_Streetlight Data'!E132)</f>
        <v/>
      </c>
      <c r="E69" s="130" t="str">
        <f>IF('kWh_Streetlight Data'!F132=0,"",'kWh_Streetlight Data'!F132)</f>
        <v/>
      </c>
      <c r="F69" s="130" t="str">
        <f>IF('kWh_Streetlight Data'!G132=0,"",'kWh_Streetlight Data'!G132)</f>
        <v/>
      </c>
      <c r="G69" s="130" t="str">
        <f>IF('kWh_Streetlight Data'!H132=0,"",'kWh_Streetlight Data'!H132)</f>
        <v/>
      </c>
      <c r="H69" s="130" t="str">
        <f>IF('kWh_Streetlight Data'!I132=0,"",'kWh_Streetlight Data'!I132)</f>
        <v/>
      </c>
      <c r="I69" s="130" t="str">
        <f>IF('kWh_Streetlight Data'!J132=0,"",'kWh_Streetlight Data'!J132)</f>
        <v/>
      </c>
      <c r="J69" s="130" t="str">
        <f>IF('kWh_Streetlight Data'!K132=0,"",'kWh_Streetlight Data'!K132)</f>
        <v/>
      </c>
      <c r="K69" s="130" t="str">
        <f>IF('kWh_Streetlight Data'!L132=0,"",'kWh_Streetlight Data'!L132)</f>
        <v/>
      </c>
      <c r="L69" s="130" t="str">
        <f>IF('kWh_Streetlight Data'!M132=0,"",'kWh_Streetlight Data'!M132)</f>
        <v/>
      </c>
      <c r="M69" s="130" t="str">
        <f>IF('kWh_Streetlight Data'!N132=0,"",'kWh_Streetlight Data'!N132)</f>
        <v/>
      </c>
      <c r="N69" s="424" t="str">
        <f>IF('kWh_Streetlight Data'!O132=0,"",'kWh_Streetlight Data'!O132)</f>
        <v/>
      </c>
      <c r="O69" s="84" t="str">
        <f>IF('kWh_Streetlight Data'!P132=0,"",'kWh_Streetlight Data'!P132)</f>
        <v/>
      </c>
      <c r="P69" s="108" t="str">
        <f>IF('kWh_Streetlight Data'!Q132=0,"",'kWh_Streetlight Data'!Q132)</f>
        <v/>
      </c>
      <c r="Q69" s="108" t="str">
        <f>IF('kWh_Streetlight Data'!R132=0,"",'kWh_Streetlight Data'!R132)</f>
        <v/>
      </c>
      <c r="R69" s="108" t="str">
        <f>IF('kWh_Streetlight Data'!S132=0,"",'kWh_Streetlight Data'!S132)</f>
        <v/>
      </c>
      <c r="S69" s="108" t="str">
        <f>IF('kWh_Streetlight Data'!T132=0,"",'kWh_Streetlight Data'!T132)</f>
        <v/>
      </c>
      <c r="T69" s="108" t="str">
        <f>IF('kWh_Streetlight Data'!U132=0,"",'kWh_Streetlight Data'!U132)</f>
        <v/>
      </c>
      <c r="U69" s="108" t="str">
        <f>IF('kWh_Streetlight Data'!V132=0,"",'kWh_Streetlight Data'!V132)</f>
        <v/>
      </c>
      <c r="V69" s="108" t="str">
        <f>IF('kWh_Streetlight Data'!W132=0,"",'kWh_Streetlight Data'!W132)</f>
        <v/>
      </c>
      <c r="W69" s="108" t="str">
        <f>IF('kWh_Streetlight Data'!X132=0,"",'kWh_Streetlight Data'!X132)</f>
        <v/>
      </c>
      <c r="X69" s="108" t="str">
        <f>IF('kWh_Streetlight Data'!Y132=0,"",'kWh_Streetlight Data'!Y132)</f>
        <v/>
      </c>
      <c r="Y69" s="108" t="str">
        <f>IF('kWh_Streetlight Data'!Z132=0,"",'kWh_Streetlight Data'!Z132)</f>
        <v/>
      </c>
      <c r="Z69" s="108" t="str">
        <f>IF('kWh_Streetlight Data'!AA132=0,"",'kWh_Streetlight Data'!AA132)</f>
        <v/>
      </c>
      <c r="AA69" s="424" t="str">
        <f>IF('kWh_Streetlight Data'!AB132=0,"",'kWh_Streetlight Data'!AB132)</f>
        <v/>
      </c>
      <c r="AB69" s="84" t="str">
        <f>IF('kWh_Streetlight Data'!AC132=0,"",'kWh_Streetlight Data'!AC132)</f>
        <v/>
      </c>
      <c r="AC69" s="108" t="str">
        <f>IF('kWh_Streetlight Data'!AD132=0,"",'kWh_Streetlight Data'!AD132)</f>
        <v/>
      </c>
      <c r="AD69" s="108" t="str">
        <f>IF('kWh_Streetlight Data'!AE132=0,"",'kWh_Streetlight Data'!AE132)</f>
        <v/>
      </c>
      <c r="AE69" s="108" t="str">
        <f>IF('kWh_Streetlight Data'!AF132=0,"",'kWh_Streetlight Data'!AF132)</f>
        <v/>
      </c>
      <c r="AF69" s="108" t="str">
        <f>IF('kWh_Streetlight Data'!AG132=0,"",'kWh_Streetlight Data'!AG132)</f>
        <v/>
      </c>
      <c r="AG69" s="108" t="str">
        <f>IF('kWh_Streetlight Data'!AH132=0,"",'kWh_Streetlight Data'!AH132)</f>
        <v/>
      </c>
      <c r="AH69" s="130" t="str">
        <f>IF('kWh_Streetlight Data'!AI132=0,"",'kWh_Streetlight Data'!AI132)</f>
        <v/>
      </c>
      <c r="AI69" s="130" t="str">
        <f>IF('kWh_Streetlight Data'!AJ132=0,"",'kWh_Streetlight Data'!AJ132)</f>
        <v/>
      </c>
      <c r="AJ69" s="130" t="str">
        <f>IF('kWh_Streetlight Data'!AK132=0,"",'kWh_Streetlight Data'!AK132)</f>
        <v/>
      </c>
      <c r="AK69" s="130" t="str">
        <f>IF('kWh_Streetlight Data'!AL132=0,"",'kWh_Streetlight Data'!AL132)</f>
        <v/>
      </c>
      <c r="AL69" s="130" t="str">
        <f>IF('kWh_Streetlight Data'!AM132=0,"",'kWh_Streetlight Data'!AM132)</f>
        <v/>
      </c>
      <c r="AM69" s="130" t="str">
        <f>IF('kWh_Streetlight Data'!AN132=0,"",'kWh_Streetlight Data'!AN132)</f>
        <v/>
      </c>
      <c r="AN69" s="424" t="str">
        <f>IF('kWh_Streetlight Data'!AO132=0,"",'kWh_Streetlight Data'!AO132)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Customers!E160</f>
        <v>4</v>
      </c>
      <c r="AV75" s="38">
        <f>Customers!F160</f>
        <v>4</v>
      </c>
      <c r="AW75" s="38">
        <f>Customers!G160</f>
        <v>4</v>
      </c>
      <c r="AX75" s="38">
        <f>Customers!H160</f>
        <v>4</v>
      </c>
      <c r="AY75" s="38">
        <f>Customers!I160</f>
        <v>4</v>
      </c>
      <c r="AZ75" s="38">
        <f>Customers!J160</f>
        <v>4</v>
      </c>
      <c r="BA75" s="210">
        <f>AZ75</f>
        <v>4</v>
      </c>
      <c r="BB75" s="124">
        <v>4</v>
      </c>
      <c r="BC75" s="38">
        <v>4</v>
      </c>
      <c r="BD75" s="38">
        <v>4</v>
      </c>
      <c r="BE75" s="38">
        <v>4</v>
      </c>
      <c r="BF75" s="38">
        <f t="shared" ref="BF75:BM75" si="18">BE75</f>
        <v>4</v>
      </c>
      <c r="BG75" s="38">
        <f t="shared" si="18"/>
        <v>4</v>
      </c>
      <c r="BH75" s="38">
        <f t="shared" si="18"/>
        <v>4</v>
      </c>
      <c r="BI75" s="38">
        <f t="shared" si="18"/>
        <v>4</v>
      </c>
      <c r="BJ75" s="38">
        <f t="shared" si="18"/>
        <v>4</v>
      </c>
      <c r="BK75" s="38">
        <f t="shared" si="18"/>
        <v>4</v>
      </c>
      <c r="BL75" s="38">
        <f t="shared" si="18"/>
        <v>4</v>
      </c>
      <c r="BM75" s="38">
        <f t="shared" si="18"/>
        <v>4</v>
      </c>
      <c r="BN75" s="210">
        <f>IFERROR(ROUND(AVERAGE(BB75:BM75),0),0)</f>
        <v>4</v>
      </c>
      <c r="BO75" s="55">
        <f>Customers!L160</f>
        <v>4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19">IF(AU78&gt;(AU75*250),AU75*250,AU78)</f>
        <v>1000</v>
      </c>
      <c r="AV76" s="38">
        <f t="shared" si="19"/>
        <v>1000</v>
      </c>
      <c r="AW76" s="38">
        <f t="shared" si="19"/>
        <v>1000</v>
      </c>
      <c r="AX76" s="38">
        <f t="shared" si="19"/>
        <v>1000</v>
      </c>
      <c r="AY76" s="38">
        <f t="shared" si="19"/>
        <v>1000</v>
      </c>
      <c r="AZ76" s="38">
        <f t="shared" si="19"/>
        <v>1000</v>
      </c>
      <c r="BA76" s="210">
        <f>SUM(AO76:AZ76)</f>
        <v>6000</v>
      </c>
      <c r="BB76" s="38">
        <v>1000</v>
      </c>
      <c r="BC76" s="38">
        <v>250</v>
      </c>
      <c r="BD76" s="38">
        <v>250</v>
      </c>
      <c r="BE76" s="38">
        <v>250</v>
      </c>
      <c r="BF76" s="38">
        <f t="shared" ref="BF76:BM76" si="20">IF(BF78&gt;250,250,0)</f>
        <v>250</v>
      </c>
      <c r="BG76" s="38">
        <f t="shared" si="20"/>
        <v>250</v>
      </c>
      <c r="BH76" s="38">
        <f t="shared" si="20"/>
        <v>250</v>
      </c>
      <c r="BI76" s="38">
        <f t="shared" si="20"/>
        <v>250</v>
      </c>
      <c r="BJ76" s="38">
        <f t="shared" si="20"/>
        <v>250</v>
      </c>
      <c r="BK76" s="38">
        <f t="shared" si="20"/>
        <v>250</v>
      </c>
      <c r="BL76" s="38">
        <f t="shared" si="20"/>
        <v>250</v>
      </c>
      <c r="BM76" s="38">
        <f t="shared" si="20"/>
        <v>250</v>
      </c>
      <c r="BN76" s="210">
        <f>SUM(BB76:BM76)</f>
        <v>3750</v>
      </c>
      <c r="BO76" s="38">
        <f t="shared" ref="BO76" si="21">IF(BO78&gt;250,250,0)</f>
        <v>250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22">ROUND(AU78-AU76,0)</f>
        <v>278</v>
      </c>
      <c r="AV77" s="38">
        <f t="shared" si="22"/>
        <v>99</v>
      </c>
      <c r="AW77" s="38">
        <f t="shared" si="22"/>
        <v>201</v>
      </c>
      <c r="AX77" s="38">
        <f t="shared" si="22"/>
        <v>331</v>
      </c>
      <c r="AY77" s="38">
        <f t="shared" si="22"/>
        <v>174</v>
      </c>
      <c r="AZ77" s="38">
        <f t="shared" si="22"/>
        <v>430</v>
      </c>
      <c r="BA77" s="210">
        <f>SUM(AO77:AZ77)</f>
        <v>1513</v>
      </c>
      <c r="BB77" s="38">
        <v>913</v>
      </c>
      <c r="BC77" s="38">
        <v>1399</v>
      </c>
      <c r="BD77" s="38">
        <v>1735</v>
      </c>
      <c r="BE77" s="38">
        <v>1273</v>
      </c>
      <c r="BF77" s="38">
        <f t="shared" ref="BF77:BM77" si="23">ROUND(BF78-BF76,0)</f>
        <v>1112</v>
      </c>
      <c r="BG77" s="38">
        <f t="shared" si="23"/>
        <v>1090</v>
      </c>
      <c r="BH77" s="38">
        <f t="shared" si="23"/>
        <v>1028</v>
      </c>
      <c r="BI77" s="38">
        <f t="shared" si="23"/>
        <v>849</v>
      </c>
      <c r="BJ77" s="38">
        <f t="shared" si="23"/>
        <v>951</v>
      </c>
      <c r="BK77" s="38">
        <f t="shared" si="23"/>
        <v>1081</v>
      </c>
      <c r="BL77" s="38">
        <f t="shared" si="23"/>
        <v>924</v>
      </c>
      <c r="BM77" s="38">
        <f t="shared" si="23"/>
        <v>1180</v>
      </c>
      <c r="BN77" s="210">
        <f>SUM(BB77:BM77)</f>
        <v>13535</v>
      </c>
      <c r="BO77" s="38">
        <f t="shared" ref="BO77" si="24">ROUND(BO78-BO76,0)</f>
        <v>17035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25">IFERROR(ROUND(AU79*AU75,0),0)</f>
        <v>1278</v>
      </c>
      <c r="AV78" s="64">
        <f t="shared" si="25"/>
        <v>1099</v>
      </c>
      <c r="AW78" s="64">
        <f t="shared" si="25"/>
        <v>1201</v>
      </c>
      <c r="AX78" s="64">
        <f t="shared" si="25"/>
        <v>1331</v>
      </c>
      <c r="AY78" s="64">
        <f t="shared" si="25"/>
        <v>1174</v>
      </c>
      <c r="AZ78" s="64">
        <f t="shared" si="25"/>
        <v>1430</v>
      </c>
      <c r="BA78" s="196">
        <f>SUM(AO78:AZ78)</f>
        <v>7513</v>
      </c>
      <c r="BB78" s="64">
        <v>1913</v>
      </c>
      <c r="BC78" s="64">
        <v>1649</v>
      </c>
      <c r="BD78" s="64">
        <v>1985</v>
      </c>
      <c r="BE78" s="64">
        <v>1523</v>
      </c>
      <c r="BF78" s="64">
        <f t="shared" ref="BF78:BM78" si="26">IFERROR(ROUND(BF79*BF75,0),0)</f>
        <v>1362</v>
      </c>
      <c r="BG78" s="64">
        <f t="shared" si="26"/>
        <v>1340</v>
      </c>
      <c r="BH78" s="64">
        <f t="shared" si="26"/>
        <v>1278</v>
      </c>
      <c r="BI78" s="64">
        <f t="shared" si="26"/>
        <v>1099</v>
      </c>
      <c r="BJ78" s="64">
        <f t="shared" si="26"/>
        <v>1201</v>
      </c>
      <c r="BK78" s="64">
        <f t="shared" si="26"/>
        <v>1331</v>
      </c>
      <c r="BL78" s="64">
        <f t="shared" si="26"/>
        <v>1174</v>
      </c>
      <c r="BM78" s="64">
        <f t="shared" si="26"/>
        <v>1430</v>
      </c>
      <c r="BN78" s="196">
        <f>SUM(BB78:BM78)</f>
        <v>17285</v>
      </c>
      <c r="BO78" s="88">
        <f>ROUND(BO75*BO79,0)</f>
        <v>17285</v>
      </c>
    </row>
    <row r="79" spans="1:67" ht="15.75" customHeight="1" thickTop="1">
      <c r="A79" s="374" t="s">
        <v>54</v>
      </c>
      <c r="B79" s="84">
        <f>IF('kWh_Streetlight Data'!C133=0,"",'kWh_Streetlight Data'!C133)</f>
        <v>548.16666666666663</v>
      </c>
      <c r="C79" s="108">
        <f>IF('kWh_Streetlight Data'!D133=0,"",'kWh_Streetlight Data'!D133)</f>
        <v>591.83333333333337</v>
      </c>
      <c r="D79" s="108">
        <f>IF('kWh_Streetlight Data'!E133=0,"",'kWh_Streetlight Data'!E133)</f>
        <v>549.5</v>
      </c>
      <c r="E79" s="108">
        <f>IF('kWh_Streetlight Data'!F133=0,"",'kWh_Streetlight Data'!F133)</f>
        <v>442.83333333333331</v>
      </c>
      <c r="F79" s="108">
        <f>IF('kWh_Streetlight Data'!G133=0,"",'kWh_Streetlight Data'!G133)</f>
        <v>334.83333333333331</v>
      </c>
      <c r="G79" s="108">
        <f>IF('kWh_Streetlight Data'!H133=0,"",'kWh_Streetlight Data'!H133)</f>
        <v>334.16666666666669</v>
      </c>
      <c r="H79" s="108">
        <f>IF('kWh_Streetlight Data'!I133=0,"",'kWh_Streetlight Data'!I133)</f>
        <v>247</v>
      </c>
      <c r="I79" s="108">
        <f>IF('kWh_Streetlight Data'!J133=0,"",'kWh_Streetlight Data'!J133)</f>
        <v>285.5</v>
      </c>
      <c r="J79" s="108">
        <f>IF('kWh_Streetlight Data'!K133=0,"",'kWh_Streetlight Data'!K133)</f>
        <v>358.5</v>
      </c>
      <c r="K79" s="108">
        <f>IF('kWh_Streetlight Data'!L133=0,"",'kWh_Streetlight Data'!L133)</f>
        <v>346</v>
      </c>
      <c r="L79" s="108">
        <f>IF('kWh_Streetlight Data'!M133=0,"",'kWh_Streetlight Data'!M133)</f>
        <v>305.33333333333331</v>
      </c>
      <c r="M79" s="108">
        <f>IF('kWh_Streetlight Data'!N133=0,"",'kWh_Streetlight Data'!N133)</f>
        <v>309.83333333333331</v>
      </c>
      <c r="N79" s="424">
        <f>IF('kWh_Streetlight Data'!O133=0,"",'kWh_Streetlight Data'!O133)</f>
        <v>387.79166666666669</v>
      </c>
      <c r="O79" s="84">
        <f>IF('kWh_Streetlight Data'!P133=0,"",'kWh_Streetlight Data'!P133)</f>
        <v>482.83333333333331</v>
      </c>
      <c r="P79" s="108">
        <f>IF('kWh_Streetlight Data'!Q133=0,"",'kWh_Streetlight Data'!Q133)</f>
        <v>342.4</v>
      </c>
      <c r="Q79" s="108">
        <f>IF('kWh_Streetlight Data'!R133=0,"",'kWh_Streetlight Data'!R133)</f>
        <v>576.25</v>
      </c>
      <c r="R79" s="108">
        <f>IF('kWh_Streetlight Data'!S133=0,"",'kWh_Streetlight Data'!S133)</f>
        <v>437.75</v>
      </c>
      <c r="S79" s="108">
        <f>IF('kWh_Streetlight Data'!T133=0,"",'kWh_Streetlight Data'!T133)</f>
        <v>419.25</v>
      </c>
      <c r="T79" s="108">
        <f>IF('kWh_Streetlight Data'!U133=0,"",'kWh_Streetlight Data'!U133)</f>
        <v>390.75</v>
      </c>
      <c r="U79" s="108">
        <f>IF('kWh_Streetlight Data'!V133=0,"",'kWh_Streetlight Data'!V133)</f>
        <v>476.5</v>
      </c>
      <c r="V79" s="108">
        <f>IF('kWh_Streetlight Data'!W133=0,"",'kWh_Streetlight Data'!W133)</f>
        <v>349.25</v>
      </c>
      <c r="W79" s="108">
        <f>IF('kWh_Streetlight Data'!X133=0,"",'kWh_Streetlight Data'!X133)</f>
        <v>334</v>
      </c>
      <c r="X79" s="108">
        <f>IF('kWh_Streetlight Data'!Y133=0,"",'kWh_Streetlight Data'!Y133)</f>
        <v>440.5</v>
      </c>
      <c r="Y79" s="108">
        <f>IF('kWh_Streetlight Data'!Z133=0,"",'kWh_Streetlight Data'!Z133)</f>
        <v>266.25</v>
      </c>
      <c r="Z79" s="108">
        <f>IF('kWh_Streetlight Data'!AA133=0,"",'kWh_Streetlight Data'!AA133)</f>
        <v>455.5</v>
      </c>
      <c r="AA79" s="424">
        <f>IF('kWh_Streetlight Data'!AB133=0,"",'kWh_Streetlight Data'!AB133)</f>
        <v>415.54901960784315</v>
      </c>
      <c r="AB79" s="84">
        <f>IF('kWh_Streetlight Data'!AC133=0,"",'kWh_Streetlight Data'!AC133)</f>
        <v>404</v>
      </c>
      <c r="AC79" s="108">
        <f>IF('kWh_Streetlight Data'!AD133=0,"",'kWh_Streetlight Data'!AD133)</f>
        <v>302.75</v>
      </c>
      <c r="AD79" s="108">
        <f>IF('kWh_Streetlight Data'!AE133=0,"",'kWh_Streetlight Data'!AE133)</f>
        <v>363</v>
      </c>
      <c r="AE79" s="108">
        <f>IF('kWh_Streetlight Data'!AF133=0,"",'kWh_Streetlight Data'!AF133)</f>
        <v>262</v>
      </c>
      <c r="AF79" s="108">
        <f>IF('kWh_Streetlight Data'!AG133=0,"",'kWh_Streetlight Data'!AG133)</f>
        <v>267.25</v>
      </c>
      <c r="AG79" s="108">
        <f>IF('kWh_Streetlight Data'!AH133=0,"",'kWh_Streetlight Data'!AH133)</f>
        <v>280.25</v>
      </c>
      <c r="AH79" s="130">
        <f>IF('kWh_Streetlight Data'!AI133=0,"",'kWh_Streetlight Data'!AI133)</f>
        <v>235</v>
      </c>
      <c r="AI79" s="130">
        <f>IF('kWh_Streetlight Data'!AJ133=0,"",'kWh_Streetlight Data'!AJ133)</f>
        <v>189.25</v>
      </c>
      <c r="AJ79" s="130">
        <f>IF('kWh_Streetlight Data'!AK133=0,"",'kWh_Streetlight Data'!AK133)</f>
        <v>208.25</v>
      </c>
      <c r="AK79" s="130">
        <f>IF('kWh_Streetlight Data'!AL133=0,"",'kWh_Streetlight Data'!AL133)</f>
        <v>212</v>
      </c>
      <c r="AL79" s="130">
        <f>IF('kWh_Streetlight Data'!AM133=0,"",'kWh_Streetlight Data'!AM133)</f>
        <v>309.25</v>
      </c>
      <c r="AM79" s="130">
        <f>IF('kWh_Streetlight Data'!AN133=0,"",'kWh_Streetlight Data'!AN133)</f>
        <v>307</v>
      </c>
      <c r="AN79" s="424">
        <f>IF('kWh_Streetlight Data'!AO133=0,"",'kWh_Streetlight Data'!AO133)</f>
        <v>278.33333333333331</v>
      </c>
      <c r="AO79" s="34"/>
      <c r="AP79" s="35"/>
      <c r="AQ79" s="35"/>
      <c r="AR79" s="35"/>
      <c r="AS79" s="35"/>
      <c r="AT79" s="9"/>
      <c r="AU79" s="9">
        <f t="shared" ref="AU79:AZ79" si="27">IFERROR(AVERAGE(AH79,U79,H79),0)</f>
        <v>319.5</v>
      </c>
      <c r="AV79" s="9">
        <f t="shared" si="27"/>
        <v>274.66666666666669</v>
      </c>
      <c r="AW79" s="9">
        <f t="shared" si="27"/>
        <v>300.25</v>
      </c>
      <c r="AX79" s="9">
        <f t="shared" si="27"/>
        <v>332.83333333333331</v>
      </c>
      <c r="AY79" s="9">
        <f t="shared" si="27"/>
        <v>293.61111111111109</v>
      </c>
      <c r="AZ79" s="9">
        <f t="shared" si="27"/>
        <v>357.4444444444444</v>
      </c>
      <c r="BA79" s="211"/>
      <c r="BB79" s="9">
        <v>478.33333333333331</v>
      </c>
      <c r="BC79" s="17">
        <v>412.32777777777778</v>
      </c>
      <c r="BD79" s="17">
        <v>496.25</v>
      </c>
      <c r="BE79" s="17">
        <v>380.86111111111109</v>
      </c>
      <c r="BF79" s="17">
        <f t="shared" ref="BF79:BM79" si="28">IFERROR(AVERAGE(F79,S79,AF79),0)</f>
        <v>340.4444444444444</v>
      </c>
      <c r="BG79" s="17">
        <f t="shared" si="28"/>
        <v>335.0555555555556</v>
      </c>
      <c r="BH79" s="17">
        <f t="shared" si="28"/>
        <v>319.5</v>
      </c>
      <c r="BI79" s="17">
        <f t="shared" si="28"/>
        <v>274.66666666666669</v>
      </c>
      <c r="BJ79" s="17">
        <f t="shared" si="28"/>
        <v>300.25</v>
      </c>
      <c r="BK79" s="17">
        <f t="shared" si="28"/>
        <v>332.83333333333331</v>
      </c>
      <c r="BL79" s="17">
        <f t="shared" si="28"/>
        <v>293.61111111111109</v>
      </c>
      <c r="BM79" s="9">
        <f t="shared" si="28"/>
        <v>357.4444444444444</v>
      </c>
      <c r="BN79" s="211">
        <f>IFERROR(BN78/SUM(BB75:BM75)*12,0)</f>
        <v>4321.25</v>
      </c>
      <c r="BO79" s="20">
        <f>BN79</f>
        <v>4321.25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Data'!C134=0,"",'kWh_Streetlight Data'!C134)</f>
        <v/>
      </c>
      <c r="C83" s="108" t="str">
        <f>IF('kWh_Streetlight Data'!D134=0,"",'kWh_Streetlight Data'!D134)</f>
        <v/>
      </c>
      <c r="D83" s="108" t="str">
        <f>IF('kWh_Streetlight Data'!E134=0,"",'kWh_Streetlight Data'!E134)</f>
        <v/>
      </c>
      <c r="E83" s="108" t="str">
        <f>IF('kWh_Streetlight Data'!F134=0,"",'kWh_Streetlight Data'!F134)</f>
        <v/>
      </c>
      <c r="F83" s="108" t="str">
        <f>IF('kWh_Streetlight Data'!G134=0,"",'kWh_Streetlight Data'!G134)</f>
        <v/>
      </c>
      <c r="G83" s="108" t="str">
        <f>IF('kWh_Streetlight Data'!H134=0,"",'kWh_Streetlight Data'!H134)</f>
        <v/>
      </c>
      <c r="H83" s="108" t="str">
        <f>IF('kWh_Streetlight Data'!I134=0,"",'kWh_Streetlight Data'!I134)</f>
        <v/>
      </c>
      <c r="I83" s="108" t="str">
        <f>IF('kWh_Streetlight Data'!J134=0,"",'kWh_Streetlight Data'!J134)</f>
        <v/>
      </c>
      <c r="J83" s="108" t="str">
        <f>IF('kWh_Streetlight Data'!K134=0,"",'kWh_Streetlight Data'!K134)</f>
        <v/>
      </c>
      <c r="K83" s="108" t="str">
        <f>IF('kWh_Streetlight Data'!L134=0,"",'kWh_Streetlight Data'!L134)</f>
        <v/>
      </c>
      <c r="L83" s="108" t="str">
        <f>IF('kWh_Streetlight Data'!M134=0,"",'kWh_Streetlight Data'!M134)</f>
        <v/>
      </c>
      <c r="M83" s="108" t="str">
        <f>IF('kWh_Streetlight Data'!N134=0,"",'kWh_Streetlight Data'!N134)</f>
        <v/>
      </c>
      <c r="N83" s="424" t="str">
        <f>IF('kWh_Streetlight Data'!O134=0,"",'kWh_Streetlight Data'!O134)</f>
        <v/>
      </c>
      <c r="O83" s="84" t="str">
        <f>IF('kWh_Streetlight Data'!P134=0,"",'kWh_Streetlight Data'!P134)</f>
        <v/>
      </c>
      <c r="P83" s="108" t="str">
        <f>IF('kWh_Streetlight Data'!Q134=0,"",'kWh_Streetlight Data'!Q134)</f>
        <v/>
      </c>
      <c r="Q83" s="108" t="str">
        <f>IF('kWh_Streetlight Data'!R134=0,"",'kWh_Streetlight Data'!R134)</f>
        <v/>
      </c>
      <c r="R83" s="108" t="str">
        <f>IF('kWh_Streetlight Data'!S134=0,"",'kWh_Streetlight Data'!S134)</f>
        <v/>
      </c>
      <c r="S83" s="108" t="str">
        <f>IF('kWh_Streetlight Data'!T134=0,"",'kWh_Streetlight Data'!T134)</f>
        <v/>
      </c>
      <c r="T83" s="108" t="str">
        <f>IF('kWh_Streetlight Data'!U134=0,"",'kWh_Streetlight Data'!U134)</f>
        <v/>
      </c>
      <c r="U83" s="108" t="str">
        <f>IF('kWh_Streetlight Data'!V134=0,"",'kWh_Streetlight Data'!V134)</f>
        <v/>
      </c>
      <c r="V83" s="108" t="str">
        <f>IF('kWh_Streetlight Data'!W134=0,"",'kWh_Streetlight Data'!W134)</f>
        <v/>
      </c>
      <c r="W83" s="108" t="str">
        <f>IF('kWh_Streetlight Data'!X134=0,"",'kWh_Streetlight Data'!X134)</f>
        <v/>
      </c>
      <c r="X83" s="108" t="str">
        <f>IF('kWh_Streetlight Data'!Y134=0,"",'kWh_Streetlight Data'!Y134)</f>
        <v/>
      </c>
      <c r="Y83" s="108" t="str">
        <f>IF('kWh_Streetlight Data'!Z134=0,"",'kWh_Streetlight Data'!Z134)</f>
        <v/>
      </c>
      <c r="Z83" s="108" t="str">
        <f>IF('kWh_Streetlight Data'!AA134=0,"",'kWh_Streetlight Data'!AA134)</f>
        <v/>
      </c>
      <c r="AA83" s="424" t="str">
        <f>IF('kWh_Streetlight Data'!AB134=0,"",'kWh_Streetlight Data'!AB134)</f>
        <v/>
      </c>
      <c r="AB83" s="442" t="str">
        <f>IF('kWh_Streetlight Data'!AC134=0,"",'kWh_Streetlight Data'!AC134)</f>
        <v/>
      </c>
      <c r="AC83" s="443" t="str">
        <f>IF('kWh_Streetlight Data'!AD134=0,"",'kWh_Streetlight Data'!AD134)</f>
        <v/>
      </c>
      <c r="AD83" s="443" t="str">
        <f>IF('kWh_Streetlight Data'!AE134=0,"",'kWh_Streetlight Data'!AE134)</f>
        <v/>
      </c>
      <c r="AE83" s="443" t="str">
        <f>IF('kWh_Streetlight Data'!AF134=0,"",'kWh_Streetlight Data'!AF134)</f>
        <v/>
      </c>
      <c r="AF83" s="443" t="str">
        <f>IF('kWh_Streetlight Data'!AG134=0,"",'kWh_Streetlight Data'!AG134)</f>
        <v/>
      </c>
      <c r="AG83" s="443" t="str">
        <f>IF('kWh_Streetlight Data'!AH134=0,"",'kWh_Streetlight Data'!AH134)</f>
        <v/>
      </c>
      <c r="AH83" s="108" t="str">
        <f>IF('kWh_Streetlight Data'!AI134=0,"",'kWh_Streetlight Data'!AI134)</f>
        <v/>
      </c>
      <c r="AI83" s="108" t="str">
        <f>IF('kWh_Streetlight Data'!AJ134=0,"",'kWh_Streetlight Data'!AJ134)</f>
        <v/>
      </c>
      <c r="AJ83" s="108" t="str">
        <f>IF('kWh_Streetlight Data'!AK134=0,"",'kWh_Streetlight Data'!AK134)</f>
        <v/>
      </c>
      <c r="AK83" s="108" t="str">
        <f>IF('kWh_Streetlight Data'!AL134=0,"",'kWh_Streetlight Data'!AL134)</f>
        <v/>
      </c>
      <c r="AL83" s="108" t="str">
        <f>IF('kWh_Streetlight Data'!AM134=0,"",'kWh_Streetlight Data'!AM134)</f>
        <v/>
      </c>
      <c r="AM83" s="108" t="str">
        <f>IF('kWh_Streetlight Data'!AN134=0,"",'kWh_Streetlight Data'!AN134)</f>
        <v/>
      </c>
      <c r="AN83" s="424" t="str">
        <f>IF('kWh_Streetlight Data'!AO134=0,"",'kWh_Streetlight Data'!AO134)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Customers!E161</f>
        <v>14</v>
      </c>
      <c r="AV86" s="38">
        <f>Customers!F161</f>
        <v>14</v>
      </c>
      <c r="AW86" s="38">
        <f>Customers!G161</f>
        <v>14</v>
      </c>
      <c r="AX86" s="38">
        <f>Customers!H161</f>
        <v>14</v>
      </c>
      <c r="AY86" s="38">
        <f>Customers!I161</f>
        <v>14</v>
      </c>
      <c r="AZ86" s="38">
        <f>Customers!J161</f>
        <v>14</v>
      </c>
      <c r="BA86" s="210">
        <f>AZ86</f>
        <v>14</v>
      </c>
      <c r="BB86" s="124">
        <v>14</v>
      </c>
      <c r="BC86" s="38">
        <v>14</v>
      </c>
      <c r="BD86" s="38">
        <v>14</v>
      </c>
      <c r="BE86" s="38">
        <v>14</v>
      </c>
      <c r="BF86" s="38">
        <f t="shared" ref="BF86:BM86" si="29">BE86</f>
        <v>14</v>
      </c>
      <c r="BG86" s="38">
        <f t="shared" si="29"/>
        <v>14</v>
      </c>
      <c r="BH86" s="38">
        <f t="shared" si="29"/>
        <v>14</v>
      </c>
      <c r="BI86" s="38">
        <f t="shared" si="29"/>
        <v>14</v>
      </c>
      <c r="BJ86" s="38">
        <f t="shared" si="29"/>
        <v>14</v>
      </c>
      <c r="BK86" s="38">
        <f t="shared" si="29"/>
        <v>14</v>
      </c>
      <c r="BL86" s="38">
        <f t="shared" si="29"/>
        <v>14</v>
      </c>
      <c r="BM86" s="38">
        <f t="shared" si="29"/>
        <v>14</v>
      </c>
      <c r="BN86" s="210">
        <f>IFERROR(ROUND(AVERAGE(BB86:BM86),0),0)</f>
        <v>14</v>
      </c>
      <c r="BO86" s="143">
        <f>Customers!L161</f>
        <v>14</v>
      </c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30">IFERROR(ROUND(AU88*AU86,0),0)</f>
        <v>49079</v>
      </c>
      <c r="AV87" s="160">
        <f t="shared" si="30"/>
        <v>42008</v>
      </c>
      <c r="AW87" s="160">
        <f t="shared" si="30"/>
        <v>37532</v>
      </c>
      <c r="AX87" s="160">
        <f t="shared" si="30"/>
        <v>49142</v>
      </c>
      <c r="AY87" s="160">
        <f t="shared" si="30"/>
        <v>70861</v>
      </c>
      <c r="AZ87" s="160">
        <f t="shared" si="30"/>
        <v>77951</v>
      </c>
      <c r="BA87" s="196">
        <f>SUM(AO87:AZ87)</f>
        <v>326573</v>
      </c>
      <c r="BB87" s="160">
        <v>96419</v>
      </c>
      <c r="BC87" s="160">
        <v>75955</v>
      </c>
      <c r="BD87" s="160">
        <v>74751</v>
      </c>
      <c r="BE87" s="160">
        <v>71730</v>
      </c>
      <c r="BF87" s="160">
        <f t="shared" ref="BF87:BM87" si="31">IFERROR(ROUND(BF88*BF86,0),0)</f>
        <v>60422</v>
      </c>
      <c r="BG87" s="160">
        <f t="shared" si="31"/>
        <v>48466</v>
      </c>
      <c r="BH87" s="160">
        <f t="shared" si="31"/>
        <v>49079</v>
      </c>
      <c r="BI87" s="160">
        <f t="shared" si="31"/>
        <v>42008</v>
      </c>
      <c r="BJ87" s="160">
        <f t="shared" si="31"/>
        <v>37532</v>
      </c>
      <c r="BK87" s="160">
        <f t="shared" si="31"/>
        <v>49142</v>
      </c>
      <c r="BL87" s="160">
        <f t="shared" si="31"/>
        <v>70861</v>
      </c>
      <c r="BM87" s="160">
        <f t="shared" si="31"/>
        <v>77951</v>
      </c>
      <c r="BN87" s="196">
        <f>SUM(BB87:BM87)</f>
        <v>754316</v>
      </c>
      <c r="BO87" s="144">
        <f>IFERROR(ROUND(BO88*BO86,0),0)</f>
        <v>754316</v>
      </c>
    </row>
    <row r="88" spans="1:67" ht="15.75" customHeight="1" thickTop="1">
      <c r="A88" s="374" t="s">
        <v>54</v>
      </c>
      <c r="B88" s="84">
        <f>IF('kWh_Streetlight Data'!C135=0,"",'kWh_Streetlight Data'!C135)</f>
        <v>5602.416666666667</v>
      </c>
      <c r="C88" s="108">
        <f>IF('kWh_Streetlight Data'!D135=0,"",'kWh_Streetlight Data'!D135)</f>
        <v>5248.666666666667</v>
      </c>
      <c r="D88" s="108">
        <f>IF('kWh_Streetlight Data'!E135=0,"",'kWh_Streetlight Data'!E135)</f>
        <v>4936.333333333333</v>
      </c>
      <c r="E88" s="108">
        <f>IF('kWh_Streetlight Data'!F135=0,"",'kWh_Streetlight Data'!F135)</f>
        <v>5302.833333333333</v>
      </c>
      <c r="F88" s="108">
        <f>IF('kWh_Streetlight Data'!G135=0,"",'kWh_Streetlight Data'!G135)</f>
        <v>3966.25</v>
      </c>
      <c r="G88" s="108">
        <f>IF('kWh_Streetlight Data'!H135=0,"",'kWh_Streetlight Data'!H135)</f>
        <v>3537.4166666666665</v>
      </c>
      <c r="H88" s="108">
        <f>IF('kWh_Streetlight Data'!I135=0,"",'kWh_Streetlight Data'!I135)</f>
        <v>2755.6666666666665</v>
      </c>
      <c r="I88" s="108">
        <f>IF('kWh_Streetlight Data'!J135=0,"",'kWh_Streetlight Data'!J135)</f>
        <v>2489</v>
      </c>
      <c r="J88" s="108">
        <f>IF('kWh_Streetlight Data'!K135=0,"",'kWh_Streetlight Data'!K135)</f>
        <v>2785.25</v>
      </c>
      <c r="K88" s="108">
        <f>IF('kWh_Streetlight Data'!L135=0,"",'kWh_Streetlight Data'!L135)</f>
        <v>2723.7692307692309</v>
      </c>
      <c r="L88" s="108">
        <f>IF('kWh_Streetlight Data'!M135=0,"",'kWh_Streetlight Data'!M135)</f>
        <v>4987.416666666667</v>
      </c>
      <c r="M88" s="108">
        <f>IF('kWh_Streetlight Data'!N135=0,"",'kWh_Streetlight Data'!N135)</f>
        <v>4532.6153846153848</v>
      </c>
      <c r="N88" s="424">
        <f>IF('kWh_Streetlight Data'!O135=0,"",'kWh_Streetlight Data'!O135)</f>
        <v>4066.2191780821918</v>
      </c>
      <c r="O88" s="84">
        <f>IF('kWh_Streetlight Data'!P135=0,"",'kWh_Streetlight Data'!P135)</f>
        <v>8320.5</v>
      </c>
      <c r="P88" s="108">
        <f>IF('kWh_Streetlight Data'!Q135=0,"",'kWh_Streetlight Data'!Q135)</f>
        <v>5283.6923076923076</v>
      </c>
      <c r="Q88" s="108">
        <f>IF('kWh_Streetlight Data'!R135=0,"",'kWh_Streetlight Data'!R135)</f>
        <v>4999.7692307692305</v>
      </c>
      <c r="R88" s="108">
        <f>IF('kWh_Streetlight Data'!S135=0,"",'kWh_Streetlight Data'!S135)</f>
        <v>4403.2307692307695</v>
      </c>
      <c r="S88" s="108">
        <f>IF('kWh_Streetlight Data'!T135=0,"",'kWh_Streetlight Data'!T135)</f>
        <v>4412.3076923076924</v>
      </c>
      <c r="T88" s="108">
        <f>IF('kWh_Streetlight Data'!U135=0,"",'kWh_Streetlight Data'!U135)</f>
        <v>1751.9411764705883</v>
      </c>
      <c r="U88" s="108">
        <f>IF('kWh_Streetlight Data'!V135=0,"",'kWh_Streetlight Data'!V135)</f>
        <v>3291.8461538461538</v>
      </c>
      <c r="V88" s="108">
        <f>IF('kWh_Streetlight Data'!W135=0,"",'kWh_Streetlight Data'!W135)</f>
        <v>3193.6923076923076</v>
      </c>
      <c r="W88" s="108">
        <f>IF('kWh_Streetlight Data'!X135=0,"",'kWh_Streetlight Data'!X135)</f>
        <v>3477</v>
      </c>
      <c r="X88" s="108">
        <f>IF('kWh_Streetlight Data'!Y135=0,"",'kWh_Streetlight Data'!Y135)</f>
        <v>4052.9166666666665</v>
      </c>
      <c r="Y88" s="108">
        <f>IF('kWh_Streetlight Data'!Z135=0,"",'kWh_Streetlight Data'!Z135)</f>
        <v>3932.5333333333333</v>
      </c>
      <c r="Z88" s="108">
        <f>IF('kWh_Streetlight Data'!AA135=0,"",'kWh_Streetlight Data'!AA135)</f>
        <v>5032.3846153846152</v>
      </c>
      <c r="AA88" s="426">
        <f>IF('kWh_Streetlight Data'!AB135=0,"",'kWh_Streetlight Data'!AB135)</f>
        <v>4252.9562500000002</v>
      </c>
      <c r="AB88" s="442">
        <f>IF('kWh_Streetlight Data'!AC135=0,"",'kWh_Streetlight Data'!AC135)</f>
        <v>6738.3846153846152</v>
      </c>
      <c r="AC88" s="443">
        <f>IF('kWh_Streetlight Data'!AD135=0,"",'kWh_Streetlight Data'!AD135)</f>
        <v>5743.7692307692305</v>
      </c>
      <c r="AD88" s="443">
        <f>IF('kWh_Streetlight Data'!AE135=0,"",'kWh_Streetlight Data'!AE135)</f>
        <v>6081.9230769230771</v>
      </c>
      <c r="AE88" s="443">
        <f>IF('kWh_Streetlight Data'!AF135=0,"",'kWh_Streetlight Data'!AF135)</f>
        <v>5664.6153846153848</v>
      </c>
      <c r="AF88" s="443">
        <f>IF('kWh_Streetlight Data'!AG135=0,"",'kWh_Streetlight Data'!AG135)</f>
        <v>4569</v>
      </c>
      <c r="AG88" s="443">
        <f>IF('kWh_Streetlight Data'!AH135=0,"",'kWh_Streetlight Data'!AH135)</f>
        <v>5096.3076923076924</v>
      </c>
      <c r="AH88" s="443">
        <f>IF('kWh_Streetlight Data'!AI135=0,"",'kWh_Streetlight Data'!AI135)</f>
        <v>4469.5</v>
      </c>
      <c r="AI88" s="443">
        <f>IF('kWh_Streetlight Data'!AJ135=0,"",'kWh_Streetlight Data'!AJ135)</f>
        <v>3319.0833333333335</v>
      </c>
      <c r="AJ88" s="443">
        <f>IF('kWh_Streetlight Data'!AK135=0,"",'kWh_Streetlight Data'!AK135)</f>
        <v>1780.3333333333333</v>
      </c>
      <c r="AK88" s="443">
        <f>IF('kWh_Streetlight Data'!AL135=0,"",'kWh_Streetlight Data'!AL135)</f>
        <v>3753.75</v>
      </c>
      <c r="AL88" s="443">
        <f>IF('kWh_Streetlight Data'!AM135=0,"",'kWh_Streetlight Data'!AM135)</f>
        <v>6264.5</v>
      </c>
      <c r="AM88" s="443">
        <f>IF('kWh_Streetlight Data'!AN135=0,"",'kWh_Streetlight Data'!AN135)</f>
        <v>7138.833333333333</v>
      </c>
      <c r="AN88" s="424">
        <f>IF('kWh_Streetlight Data'!AO135=0,"",'kWh_Streetlight Data'!AO135)</f>
        <v>4946.4012738853507</v>
      </c>
      <c r="AO88" s="34"/>
      <c r="AP88" s="35"/>
      <c r="AQ88" s="35"/>
      <c r="AR88" s="35"/>
      <c r="AS88" s="35"/>
      <c r="AT88" s="9"/>
      <c r="AU88" s="9">
        <f t="shared" ref="AU88:AZ88" si="32">IFERROR(AVERAGE(AH88,U88,H88),0)</f>
        <v>3505.67094017094</v>
      </c>
      <c r="AV88" s="9">
        <f t="shared" si="32"/>
        <v>3000.5918803418804</v>
      </c>
      <c r="AW88" s="9">
        <f t="shared" si="32"/>
        <v>2680.8611111111109</v>
      </c>
      <c r="AX88" s="9">
        <f t="shared" si="32"/>
        <v>3510.1452991452988</v>
      </c>
      <c r="AY88" s="9">
        <f t="shared" si="32"/>
        <v>5061.4833333333336</v>
      </c>
      <c r="AZ88" s="9">
        <f t="shared" si="32"/>
        <v>5567.9444444444453</v>
      </c>
      <c r="BA88" s="211"/>
      <c r="BB88" s="9">
        <v>6887.1004273504268</v>
      </c>
      <c r="BC88" s="41">
        <v>5425.3760683760684</v>
      </c>
      <c r="BD88" s="41">
        <v>5339.3418803418799</v>
      </c>
      <c r="BE88" s="41">
        <v>5123.5598290598291</v>
      </c>
      <c r="BF88" s="41">
        <f t="shared" ref="BF88:BM88" si="33">IFERROR(AVERAGE(F88,S88,AF88),0)</f>
        <v>4315.8525641025635</v>
      </c>
      <c r="BG88" s="41">
        <f t="shared" si="33"/>
        <v>3461.8885118149824</v>
      </c>
      <c r="BH88" s="41">
        <f t="shared" si="33"/>
        <v>3505.67094017094</v>
      </c>
      <c r="BI88" s="41">
        <f t="shared" si="33"/>
        <v>3000.5918803418804</v>
      </c>
      <c r="BJ88" s="41">
        <f t="shared" si="33"/>
        <v>2680.8611111111109</v>
      </c>
      <c r="BK88" s="41">
        <f t="shared" si="33"/>
        <v>3510.1452991452993</v>
      </c>
      <c r="BL88" s="41">
        <f t="shared" si="33"/>
        <v>5061.4833333333336</v>
      </c>
      <c r="BM88" s="9">
        <f t="shared" si="33"/>
        <v>5567.9444444444443</v>
      </c>
      <c r="BN88" s="211">
        <f>IFERROR(BN87/SUM(BB86:BM86)*12,0)</f>
        <v>53879.71428571429</v>
      </c>
      <c r="BO88" s="20">
        <f>BN88</f>
        <v>53879.71428571429</v>
      </c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Data'!C136=0,"",'kWh_Streetlight Data'!C136)</f>
        <v/>
      </c>
      <c r="C94" s="108" t="str">
        <f>IF('kWh_Streetlight Data'!D136=0,"",'kWh_Streetlight Data'!D136)</f>
        <v/>
      </c>
      <c r="D94" s="108" t="str">
        <f>IF('kWh_Streetlight Data'!E136=0,"",'kWh_Streetlight Data'!E136)</f>
        <v/>
      </c>
      <c r="E94" s="108" t="str">
        <f>IF('kWh_Streetlight Data'!F136=0,"",'kWh_Streetlight Data'!F136)</f>
        <v/>
      </c>
      <c r="F94" s="108" t="str">
        <f>IF('kWh_Streetlight Data'!G136=0,"",'kWh_Streetlight Data'!G136)</f>
        <v/>
      </c>
      <c r="G94" s="108" t="str">
        <f>IF('kWh_Streetlight Data'!H136=0,"",'kWh_Streetlight Data'!H136)</f>
        <v/>
      </c>
      <c r="H94" s="108" t="str">
        <f>IF('kWh_Streetlight Data'!I136=0,"",'kWh_Streetlight Data'!I136)</f>
        <v/>
      </c>
      <c r="I94" s="108" t="str">
        <f>IF('kWh_Streetlight Data'!J136=0,"",'kWh_Streetlight Data'!J136)</f>
        <v/>
      </c>
      <c r="J94" s="108" t="str">
        <f>IF('kWh_Streetlight Data'!K136=0,"",'kWh_Streetlight Data'!K136)</f>
        <v/>
      </c>
      <c r="K94" s="108" t="str">
        <f>IF('kWh_Streetlight Data'!L136=0,"",'kWh_Streetlight Data'!L136)</f>
        <v/>
      </c>
      <c r="L94" s="130" t="str">
        <f>IF('kWh_Streetlight Data'!M136=0,"",'kWh_Streetlight Data'!M136)</f>
        <v/>
      </c>
      <c r="M94" s="130" t="str">
        <f>IF('kWh_Streetlight Data'!N136=0,"",'kWh_Streetlight Data'!N136)</f>
        <v/>
      </c>
      <c r="N94" s="425" t="str">
        <f>IF('kWh_Streetlight Data'!O136=0,"",'kWh_Streetlight Data'!O136)</f>
        <v/>
      </c>
      <c r="O94" s="84" t="str">
        <f>IF('kWh_Streetlight Data'!P136=0,"",'kWh_Streetlight Data'!P136)</f>
        <v/>
      </c>
      <c r="P94" s="108" t="str">
        <f>IF('kWh_Streetlight Data'!Q136=0,"",'kWh_Streetlight Data'!Q136)</f>
        <v/>
      </c>
      <c r="Q94" s="108" t="str">
        <f>IF('kWh_Streetlight Data'!R136=0,"",'kWh_Streetlight Data'!R136)</f>
        <v/>
      </c>
      <c r="R94" s="108" t="str">
        <f>IF('kWh_Streetlight Data'!S136=0,"",'kWh_Streetlight Data'!S136)</f>
        <v/>
      </c>
      <c r="S94" s="108" t="str">
        <f>IF('kWh_Streetlight Data'!T136=0,"",'kWh_Streetlight Data'!T136)</f>
        <v/>
      </c>
      <c r="T94" s="108" t="str">
        <f>IF('kWh_Streetlight Data'!U136=0,"",'kWh_Streetlight Data'!U136)</f>
        <v/>
      </c>
      <c r="U94" s="108" t="str">
        <f>IF('kWh_Streetlight Data'!V136=0,"",'kWh_Streetlight Data'!V136)</f>
        <v/>
      </c>
      <c r="V94" s="108" t="str">
        <f>IF('kWh_Streetlight Data'!W136=0,"",'kWh_Streetlight Data'!W136)</f>
        <v/>
      </c>
      <c r="W94" s="108" t="str">
        <f>IF('kWh_Streetlight Data'!X136=0,"",'kWh_Streetlight Data'!X136)</f>
        <v/>
      </c>
      <c r="X94" s="108" t="str">
        <f>IF('kWh_Streetlight Data'!Y136=0,"",'kWh_Streetlight Data'!Y136)</f>
        <v/>
      </c>
      <c r="Y94" s="108" t="str">
        <f>IF('kWh_Streetlight Data'!Z136=0,"",'kWh_Streetlight Data'!Z136)</f>
        <v/>
      </c>
      <c r="Z94" s="108" t="str">
        <f>IF('kWh_Streetlight Data'!AA136=0,"",'kWh_Streetlight Data'!AA136)</f>
        <v/>
      </c>
      <c r="AA94" s="426" t="str">
        <f>IF('kWh_Streetlight Data'!AB136=0,"",'kWh_Streetlight Data'!AB136)</f>
        <v/>
      </c>
      <c r="AB94" s="84" t="str">
        <f>IF('kWh_Streetlight Data'!AC136=0,"",'kWh_Streetlight Data'!AC136)</f>
        <v/>
      </c>
      <c r="AC94" s="108" t="str">
        <f>IF('kWh_Streetlight Data'!AD136=0,"",'kWh_Streetlight Data'!AD136)</f>
        <v/>
      </c>
      <c r="AD94" s="108" t="str">
        <f>IF('kWh_Streetlight Data'!AE136=0,"",'kWh_Streetlight Data'!AE136)</f>
        <v/>
      </c>
      <c r="AE94" s="108" t="str">
        <f>IF('kWh_Streetlight Data'!AF136=0,"",'kWh_Streetlight Data'!AF136)</f>
        <v/>
      </c>
      <c r="AF94" s="108" t="str">
        <f>IF('kWh_Streetlight Data'!AG136=0,"",'kWh_Streetlight Data'!AG136)</f>
        <v/>
      </c>
      <c r="AG94" s="108" t="str">
        <f>IF('kWh_Streetlight Data'!AH136=0,"",'kWh_Streetlight Data'!AH136)</f>
        <v/>
      </c>
      <c r="AH94" s="108" t="str">
        <f>IF('kWh_Streetlight Data'!AI136=0,"",'kWh_Streetlight Data'!AI136)</f>
        <v/>
      </c>
      <c r="AI94" s="108" t="str">
        <f>IF('kWh_Streetlight Data'!AJ136=0,"",'kWh_Streetlight Data'!AJ136)</f>
        <v/>
      </c>
      <c r="AJ94" s="108" t="str">
        <f>IF('kWh_Streetlight Data'!AK136=0,"",'kWh_Streetlight Data'!AK136)</f>
        <v/>
      </c>
      <c r="AK94" s="108" t="str">
        <f>IF('kWh_Streetlight Data'!AL136=0,"",'kWh_Streetlight Data'!AL136)</f>
        <v/>
      </c>
      <c r="AL94" s="108" t="str">
        <f>IF('kWh_Streetlight Data'!AM136=0,"",'kWh_Streetlight Data'!AM136)</f>
        <v/>
      </c>
      <c r="AM94" s="108" t="str">
        <f>IF('kWh_Streetlight Data'!AN136=0,"",'kWh_Streetlight Data'!AN136)</f>
        <v/>
      </c>
      <c r="AN94" s="424" t="str">
        <f>IF('kWh_Streetlight Data'!AO136=0,"",'kWh_Streetlight Data'!AO136)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34">AU7+AU22+AU29+AU43</f>
        <v>87</v>
      </c>
      <c r="AV98" s="9">
        <f t="shared" si="34"/>
        <v>87</v>
      </c>
      <c r="AW98" s="9">
        <f t="shared" si="34"/>
        <v>87</v>
      </c>
      <c r="AX98" s="9">
        <f t="shared" si="34"/>
        <v>87</v>
      </c>
      <c r="AY98" s="9">
        <f t="shared" si="34"/>
        <v>87</v>
      </c>
      <c r="AZ98" s="9">
        <f t="shared" si="34"/>
        <v>87</v>
      </c>
      <c r="BA98" s="138">
        <f t="shared" si="34"/>
        <v>87</v>
      </c>
      <c r="BB98" s="9">
        <v>87</v>
      </c>
      <c r="BC98" s="9">
        <v>87</v>
      </c>
      <c r="BD98" s="9">
        <v>87</v>
      </c>
      <c r="BE98" s="9">
        <v>87</v>
      </c>
      <c r="BF98" s="9">
        <f t="shared" ref="BF98:BO98" si="35">BF7+BF22+BF29+BF43</f>
        <v>87</v>
      </c>
      <c r="BG98" s="9">
        <f t="shared" si="35"/>
        <v>87</v>
      </c>
      <c r="BH98" s="9">
        <f t="shared" si="35"/>
        <v>87</v>
      </c>
      <c r="BI98" s="9">
        <f t="shared" si="35"/>
        <v>87</v>
      </c>
      <c r="BJ98" s="9">
        <f t="shared" si="35"/>
        <v>87</v>
      </c>
      <c r="BK98" s="9">
        <f t="shared" si="35"/>
        <v>87</v>
      </c>
      <c r="BL98" s="9">
        <f t="shared" si="35"/>
        <v>87</v>
      </c>
      <c r="BM98" s="9">
        <f t="shared" si="35"/>
        <v>87</v>
      </c>
      <c r="BN98" s="138">
        <f t="shared" si="35"/>
        <v>87</v>
      </c>
      <c r="BO98" s="58">
        <f t="shared" si="35"/>
        <v>87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36">AU57</f>
        <v>0</v>
      </c>
      <c r="AV99" s="9">
        <f t="shared" si="36"/>
        <v>0</v>
      </c>
      <c r="AW99" s="9">
        <f t="shared" si="36"/>
        <v>0</v>
      </c>
      <c r="AX99" s="9">
        <f t="shared" si="36"/>
        <v>0</v>
      </c>
      <c r="AY99" s="9">
        <f t="shared" si="36"/>
        <v>0</v>
      </c>
      <c r="AZ99" s="9">
        <f t="shared" si="36"/>
        <v>0</v>
      </c>
      <c r="BA99" s="138">
        <f t="shared" si="36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37">BF57</f>
        <v>0</v>
      </c>
      <c r="BG99" s="9">
        <f t="shared" si="37"/>
        <v>0</v>
      </c>
      <c r="BH99" s="9">
        <f t="shared" si="37"/>
        <v>0</v>
      </c>
      <c r="BI99" s="9">
        <f t="shared" si="37"/>
        <v>0</v>
      </c>
      <c r="BJ99" s="9">
        <f t="shared" si="37"/>
        <v>0</v>
      </c>
      <c r="BK99" s="9">
        <f t="shared" si="37"/>
        <v>0</v>
      </c>
      <c r="BL99" s="9">
        <f t="shared" si="37"/>
        <v>0</v>
      </c>
      <c r="BM99" s="9">
        <f t="shared" si="37"/>
        <v>0</v>
      </c>
      <c r="BN99" s="138">
        <f t="shared" si="37"/>
        <v>0</v>
      </c>
      <c r="BO99" s="58">
        <f t="shared" si="37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38">AU65+AU75+AU81+AU86</f>
        <v>18</v>
      </c>
      <c r="AV100" s="9">
        <f t="shared" si="38"/>
        <v>18</v>
      </c>
      <c r="AW100" s="9">
        <f t="shared" si="38"/>
        <v>18</v>
      </c>
      <c r="AX100" s="9">
        <f t="shared" si="38"/>
        <v>18</v>
      </c>
      <c r="AY100" s="9">
        <f t="shared" si="38"/>
        <v>18</v>
      </c>
      <c r="AZ100" s="9">
        <f t="shared" si="38"/>
        <v>18</v>
      </c>
      <c r="BA100" s="138">
        <f t="shared" si="38"/>
        <v>18</v>
      </c>
      <c r="BB100" s="9">
        <v>18</v>
      </c>
      <c r="BC100" s="9">
        <v>18</v>
      </c>
      <c r="BD100" s="9">
        <v>18</v>
      </c>
      <c r="BE100" s="9">
        <v>18</v>
      </c>
      <c r="BF100" s="9">
        <f t="shared" ref="BF100:BO100" si="39">BF65+BF75+BF81+BF86</f>
        <v>18</v>
      </c>
      <c r="BG100" s="9">
        <f t="shared" si="39"/>
        <v>18</v>
      </c>
      <c r="BH100" s="9">
        <f t="shared" si="39"/>
        <v>18</v>
      </c>
      <c r="BI100" s="9">
        <f t="shared" si="39"/>
        <v>18</v>
      </c>
      <c r="BJ100" s="9">
        <f t="shared" si="39"/>
        <v>18</v>
      </c>
      <c r="BK100" s="9">
        <f t="shared" si="39"/>
        <v>18</v>
      </c>
      <c r="BL100" s="9">
        <f t="shared" si="39"/>
        <v>18</v>
      </c>
      <c r="BM100" s="9">
        <f t="shared" si="39"/>
        <v>18</v>
      </c>
      <c r="BN100" s="138">
        <f t="shared" si="39"/>
        <v>18</v>
      </c>
      <c r="BO100" s="58">
        <f t="shared" si="39"/>
        <v>18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40">SUM(AU98:AU100)</f>
        <v>105</v>
      </c>
      <c r="AV101" s="73">
        <f t="shared" si="40"/>
        <v>105</v>
      </c>
      <c r="AW101" s="73">
        <f t="shared" si="40"/>
        <v>105</v>
      </c>
      <c r="AX101" s="73">
        <f t="shared" si="40"/>
        <v>105</v>
      </c>
      <c r="AY101" s="73">
        <f t="shared" si="40"/>
        <v>105</v>
      </c>
      <c r="AZ101" s="73">
        <f t="shared" si="40"/>
        <v>105</v>
      </c>
      <c r="BA101" s="249">
        <f t="shared" si="40"/>
        <v>105</v>
      </c>
      <c r="BB101" s="73">
        <v>105</v>
      </c>
      <c r="BC101" s="73">
        <v>105</v>
      </c>
      <c r="BD101" s="73">
        <v>105</v>
      </c>
      <c r="BE101" s="73">
        <v>105</v>
      </c>
      <c r="BF101" s="73">
        <f t="shared" ref="BF101:BO101" si="41">SUM(BF98:BF100)</f>
        <v>105</v>
      </c>
      <c r="BG101" s="73">
        <f t="shared" si="41"/>
        <v>105</v>
      </c>
      <c r="BH101" s="73">
        <f t="shared" si="41"/>
        <v>105</v>
      </c>
      <c r="BI101" s="73">
        <f t="shared" si="41"/>
        <v>105</v>
      </c>
      <c r="BJ101" s="73">
        <f t="shared" si="41"/>
        <v>105</v>
      </c>
      <c r="BK101" s="73">
        <f t="shared" si="41"/>
        <v>105</v>
      </c>
      <c r="BL101" s="73">
        <f t="shared" si="41"/>
        <v>105</v>
      </c>
      <c r="BM101" s="73">
        <f t="shared" si="41"/>
        <v>105</v>
      </c>
      <c r="BN101" s="249">
        <f t="shared" si="41"/>
        <v>105</v>
      </c>
      <c r="BO101" s="268">
        <f t="shared" si="41"/>
        <v>105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42">AU15+AU36+AU50</f>
        <v>0</v>
      </c>
      <c r="AV102" s="9">
        <f t="shared" si="42"/>
        <v>0</v>
      </c>
      <c r="AW102" s="9">
        <f t="shared" si="42"/>
        <v>0</v>
      </c>
      <c r="AX102" s="9">
        <f t="shared" si="42"/>
        <v>0</v>
      </c>
      <c r="AY102" s="9">
        <f t="shared" si="42"/>
        <v>0</v>
      </c>
      <c r="AZ102" s="9">
        <f t="shared" si="42"/>
        <v>0</v>
      </c>
      <c r="BA102" s="138">
        <f t="shared" si="42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43">BF15+BF36+BF50</f>
        <v>0</v>
      </c>
      <c r="BG102" s="9">
        <f t="shared" si="43"/>
        <v>0</v>
      </c>
      <c r="BH102" s="9">
        <f t="shared" si="43"/>
        <v>0</v>
      </c>
      <c r="BI102" s="9">
        <f t="shared" si="43"/>
        <v>0</v>
      </c>
      <c r="BJ102" s="9">
        <f t="shared" si="43"/>
        <v>0</v>
      </c>
      <c r="BK102" s="9">
        <f t="shared" si="43"/>
        <v>0</v>
      </c>
      <c r="BL102" s="9">
        <f t="shared" si="43"/>
        <v>0</v>
      </c>
      <c r="BM102" s="9">
        <f t="shared" si="43"/>
        <v>0</v>
      </c>
      <c r="BN102" s="138">
        <f t="shared" si="43"/>
        <v>0</v>
      </c>
      <c r="BO102" s="266">
        <f t="shared" si="43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44">AU92</f>
        <v>0</v>
      </c>
      <c r="AV104" s="9">
        <f t="shared" si="44"/>
        <v>0</v>
      </c>
      <c r="AW104" s="9">
        <f t="shared" si="44"/>
        <v>0</v>
      </c>
      <c r="AX104" s="9">
        <f t="shared" si="44"/>
        <v>0</v>
      </c>
      <c r="AY104" s="9">
        <f t="shared" si="44"/>
        <v>0</v>
      </c>
      <c r="AZ104" s="9">
        <f t="shared" si="44"/>
        <v>0</v>
      </c>
      <c r="BA104" s="138">
        <f t="shared" si="44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45">BF92</f>
        <v>0</v>
      </c>
      <c r="BG104" s="9">
        <f t="shared" si="45"/>
        <v>0</v>
      </c>
      <c r="BH104" s="9">
        <f t="shared" si="45"/>
        <v>0</v>
      </c>
      <c r="BI104" s="9">
        <f t="shared" si="45"/>
        <v>0</v>
      </c>
      <c r="BJ104" s="9">
        <f t="shared" si="45"/>
        <v>0</v>
      </c>
      <c r="BK104" s="9">
        <f t="shared" si="45"/>
        <v>0</v>
      </c>
      <c r="BL104" s="9">
        <f t="shared" si="45"/>
        <v>0</v>
      </c>
      <c r="BM104" s="9">
        <f t="shared" si="45"/>
        <v>0</v>
      </c>
      <c r="BN104" s="138">
        <f t="shared" si="45"/>
        <v>0</v>
      </c>
      <c r="BO104" s="58">
        <f t="shared" si="45"/>
        <v>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46">SUM(AU102:AU104)</f>
        <v>0</v>
      </c>
      <c r="AV105" s="73">
        <f t="shared" si="46"/>
        <v>0</v>
      </c>
      <c r="AW105" s="73">
        <f t="shared" si="46"/>
        <v>0</v>
      </c>
      <c r="AX105" s="73">
        <f t="shared" si="46"/>
        <v>0</v>
      </c>
      <c r="AY105" s="73">
        <f t="shared" si="46"/>
        <v>0</v>
      </c>
      <c r="AZ105" s="73">
        <f t="shared" si="46"/>
        <v>0</v>
      </c>
      <c r="BA105" s="249">
        <f t="shared" si="46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47">SUM(BF102:BF104)</f>
        <v>0</v>
      </c>
      <c r="BG105" s="73">
        <f t="shared" si="47"/>
        <v>0</v>
      </c>
      <c r="BH105" s="73">
        <f t="shared" si="47"/>
        <v>0</v>
      </c>
      <c r="BI105" s="73">
        <f t="shared" si="47"/>
        <v>0</v>
      </c>
      <c r="BJ105" s="73">
        <f t="shared" si="47"/>
        <v>0</v>
      </c>
      <c r="BK105" s="73">
        <f t="shared" si="47"/>
        <v>0</v>
      </c>
      <c r="BL105" s="73">
        <f t="shared" si="47"/>
        <v>0</v>
      </c>
      <c r="BM105" s="73">
        <f t="shared" si="47"/>
        <v>0</v>
      </c>
      <c r="BN105" s="249">
        <f t="shared" si="47"/>
        <v>0</v>
      </c>
      <c r="BO105" s="268">
        <f t="shared" si="47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48">AU105+AU101</f>
        <v>105</v>
      </c>
      <c r="AV106" s="251">
        <f t="shared" si="48"/>
        <v>105</v>
      </c>
      <c r="AW106" s="251">
        <f t="shared" si="48"/>
        <v>105</v>
      </c>
      <c r="AX106" s="251">
        <f t="shared" si="48"/>
        <v>105</v>
      </c>
      <c r="AY106" s="251">
        <f t="shared" si="48"/>
        <v>105</v>
      </c>
      <c r="AZ106" s="251">
        <f t="shared" si="48"/>
        <v>105</v>
      </c>
      <c r="BA106" s="255">
        <f t="shared" si="48"/>
        <v>105</v>
      </c>
      <c r="BB106" s="251">
        <v>105</v>
      </c>
      <c r="BC106" s="251">
        <v>105</v>
      </c>
      <c r="BD106" s="251">
        <v>105</v>
      </c>
      <c r="BE106" s="251">
        <v>105</v>
      </c>
      <c r="BF106" s="251">
        <f t="shared" si="48"/>
        <v>105</v>
      </c>
      <c r="BG106" s="251">
        <f t="shared" si="48"/>
        <v>105</v>
      </c>
      <c r="BH106" s="251">
        <f t="shared" si="48"/>
        <v>105</v>
      </c>
      <c r="BI106" s="251">
        <f t="shared" si="48"/>
        <v>105</v>
      </c>
      <c r="BJ106" s="251">
        <f t="shared" si="48"/>
        <v>105</v>
      </c>
      <c r="BK106" s="251">
        <f t="shared" si="48"/>
        <v>105</v>
      </c>
      <c r="BL106" s="251">
        <f t="shared" si="48"/>
        <v>105</v>
      </c>
      <c r="BM106" s="251">
        <f t="shared" si="48"/>
        <v>105</v>
      </c>
      <c r="BN106" s="255">
        <f t="shared" si="48"/>
        <v>105</v>
      </c>
      <c r="BO106" s="269">
        <f t="shared" si="48"/>
        <v>105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9">AU11+AU26+AU33+AU47</f>
        <v>95990</v>
      </c>
      <c r="AV108" s="9">
        <f t="shared" si="49"/>
        <v>72864</v>
      </c>
      <c r="AW108" s="9">
        <f t="shared" si="49"/>
        <v>77422</v>
      </c>
      <c r="AX108" s="9">
        <f t="shared" si="49"/>
        <v>95692</v>
      </c>
      <c r="AY108" s="9">
        <f t="shared" si="49"/>
        <v>132817</v>
      </c>
      <c r="AZ108" s="9">
        <f t="shared" si="49"/>
        <v>173145</v>
      </c>
      <c r="BA108" s="138">
        <f t="shared" si="49"/>
        <v>647930</v>
      </c>
      <c r="BB108" s="9">
        <v>209837</v>
      </c>
      <c r="BC108" s="9">
        <v>198251</v>
      </c>
      <c r="BD108" s="9">
        <v>191621</v>
      </c>
      <c r="BE108" s="9">
        <v>175741</v>
      </c>
      <c r="BF108" s="9">
        <f t="shared" ref="BF108:BO108" si="50">BF11+BF26+BF33+BF47</f>
        <v>145865</v>
      </c>
      <c r="BG108" s="9">
        <f t="shared" si="50"/>
        <v>116172</v>
      </c>
      <c r="BH108" s="9">
        <f t="shared" si="50"/>
        <v>95990</v>
      </c>
      <c r="BI108" s="9">
        <f t="shared" si="50"/>
        <v>72864</v>
      </c>
      <c r="BJ108" s="9">
        <f t="shared" si="50"/>
        <v>77422</v>
      </c>
      <c r="BK108" s="9">
        <f t="shared" si="50"/>
        <v>95692</v>
      </c>
      <c r="BL108" s="9">
        <f t="shared" si="50"/>
        <v>132817</v>
      </c>
      <c r="BM108" s="9">
        <f t="shared" si="50"/>
        <v>173145</v>
      </c>
      <c r="BN108" s="138">
        <f t="shared" si="50"/>
        <v>1685417</v>
      </c>
      <c r="BO108" s="58">
        <f t="shared" si="50"/>
        <v>1685417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51">AU58</f>
        <v>0</v>
      </c>
      <c r="AV109" s="9">
        <f t="shared" si="51"/>
        <v>0</v>
      </c>
      <c r="AW109" s="9">
        <f t="shared" si="51"/>
        <v>0</v>
      </c>
      <c r="AX109" s="9">
        <f t="shared" si="51"/>
        <v>0</v>
      </c>
      <c r="AY109" s="9">
        <f t="shared" si="51"/>
        <v>0</v>
      </c>
      <c r="AZ109" s="9">
        <f t="shared" si="51"/>
        <v>0</v>
      </c>
      <c r="BA109" s="138">
        <f t="shared" si="51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52">BF58</f>
        <v>0</v>
      </c>
      <c r="BG109" s="9">
        <f t="shared" si="52"/>
        <v>0</v>
      </c>
      <c r="BH109" s="9">
        <f t="shared" si="52"/>
        <v>0</v>
      </c>
      <c r="BI109" s="9">
        <f t="shared" si="52"/>
        <v>0</v>
      </c>
      <c r="BJ109" s="9">
        <f t="shared" si="52"/>
        <v>0</v>
      </c>
      <c r="BK109" s="9">
        <f t="shared" si="52"/>
        <v>0</v>
      </c>
      <c r="BL109" s="9">
        <f t="shared" si="52"/>
        <v>0</v>
      </c>
      <c r="BM109" s="9">
        <f t="shared" si="52"/>
        <v>0</v>
      </c>
      <c r="BN109" s="138">
        <f t="shared" si="52"/>
        <v>0</v>
      </c>
      <c r="BO109" s="58">
        <f t="shared" si="52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53">AU68+AU78+AU82+AU87</f>
        <v>50357</v>
      </c>
      <c r="AV110" s="9">
        <f t="shared" si="53"/>
        <v>43107</v>
      </c>
      <c r="AW110" s="9">
        <f t="shared" si="53"/>
        <v>38733</v>
      </c>
      <c r="AX110" s="9">
        <f t="shared" si="53"/>
        <v>50473</v>
      </c>
      <c r="AY110" s="9">
        <f t="shared" si="53"/>
        <v>72035</v>
      </c>
      <c r="AZ110" s="9">
        <f t="shared" si="53"/>
        <v>79381</v>
      </c>
      <c r="BA110" s="138">
        <f t="shared" si="53"/>
        <v>334086</v>
      </c>
      <c r="BB110" s="9">
        <v>98332</v>
      </c>
      <c r="BC110" s="9">
        <v>77604</v>
      </c>
      <c r="BD110" s="9">
        <v>76736</v>
      </c>
      <c r="BE110" s="9">
        <v>73253</v>
      </c>
      <c r="BF110" s="9">
        <f t="shared" ref="BF110:BO110" si="54">BF68+BF78+BF82+BF87</f>
        <v>61784</v>
      </c>
      <c r="BG110" s="9">
        <f t="shared" si="54"/>
        <v>49806</v>
      </c>
      <c r="BH110" s="9">
        <f t="shared" si="54"/>
        <v>50357</v>
      </c>
      <c r="BI110" s="9">
        <f t="shared" si="54"/>
        <v>43107</v>
      </c>
      <c r="BJ110" s="9">
        <f t="shared" si="54"/>
        <v>38733</v>
      </c>
      <c r="BK110" s="9">
        <f t="shared" si="54"/>
        <v>50473</v>
      </c>
      <c r="BL110" s="9">
        <f t="shared" si="54"/>
        <v>72035</v>
      </c>
      <c r="BM110" s="9">
        <f t="shared" si="54"/>
        <v>79381</v>
      </c>
      <c r="BN110" s="138">
        <f t="shared" si="54"/>
        <v>771601</v>
      </c>
      <c r="BO110" s="58">
        <f t="shared" si="54"/>
        <v>771601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5">SUM(AU108:AU110)</f>
        <v>146347</v>
      </c>
      <c r="AV111" s="73">
        <f t="shared" si="55"/>
        <v>115971</v>
      </c>
      <c r="AW111" s="73">
        <f t="shared" si="55"/>
        <v>116155</v>
      </c>
      <c r="AX111" s="73">
        <f t="shared" si="55"/>
        <v>146165</v>
      </c>
      <c r="AY111" s="73">
        <f t="shared" si="55"/>
        <v>204852</v>
      </c>
      <c r="AZ111" s="73">
        <f t="shared" si="55"/>
        <v>252526</v>
      </c>
      <c r="BA111" s="249">
        <f t="shared" si="55"/>
        <v>982016</v>
      </c>
      <c r="BB111" s="73">
        <v>308169</v>
      </c>
      <c r="BC111" s="73">
        <v>275855</v>
      </c>
      <c r="BD111" s="73">
        <v>268357</v>
      </c>
      <c r="BE111" s="73">
        <v>248994</v>
      </c>
      <c r="BF111" s="73">
        <f t="shared" ref="BF111:BO111" si="56">SUM(BF108:BF110)</f>
        <v>207649</v>
      </c>
      <c r="BG111" s="73">
        <f t="shared" si="56"/>
        <v>165978</v>
      </c>
      <c r="BH111" s="73">
        <f t="shared" si="56"/>
        <v>146347</v>
      </c>
      <c r="BI111" s="73">
        <f t="shared" si="56"/>
        <v>115971</v>
      </c>
      <c r="BJ111" s="73">
        <f t="shared" si="56"/>
        <v>116155</v>
      </c>
      <c r="BK111" s="73">
        <f t="shared" si="56"/>
        <v>146165</v>
      </c>
      <c r="BL111" s="73">
        <f t="shared" si="56"/>
        <v>204852</v>
      </c>
      <c r="BM111" s="73">
        <f t="shared" si="56"/>
        <v>252526</v>
      </c>
      <c r="BN111" s="249">
        <f t="shared" si="56"/>
        <v>2457018</v>
      </c>
      <c r="BO111" s="268">
        <f t="shared" si="56"/>
        <v>2457018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57">AU19+AU40+AU54</f>
        <v>0</v>
      </c>
      <c r="AV112" s="9">
        <f t="shared" si="57"/>
        <v>0</v>
      </c>
      <c r="AW112" s="9">
        <f t="shared" si="57"/>
        <v>0</v>
      </c>
      <c r="AX112" s="9">
        <f t="shared" si="57"/>
        <v>0</v>
      </c>
      <c r="AY112" s="9">
        <f t="shared" si="57"/>
        <v>0</v>
      </c>
      <c r="AZ112" s="9">
        <f t="shared" si="57"/>
        <v>0</v>
      </c>
      <c r="BA112" s="138">
        <f t="shared" si="57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58">BF19+BF40+BF54</f>
        <v>0</v>
      </c>
      <c r="BG112" s="9">
        <f t="shared" si="58"/>
        <v>0</v>
      </c>
      <c r="BH112" s="9">
        <f t="shared" si="58"/>
        <v>0</v>
      </c>
      <c r="BI112" s="9">
        <f t="shared" si="58"/>
        <v>0</v>
      </c>
      <c r="BJ112" s="9">
        <f t="shared" si="58"/>
        <v>0</v>
      </c>
      <c r="BK112" s="9">
        <f t="shared" si="58"/>
        <v>0</v>
      </c>
      <c r="BL112" s="9">
        <f t="shared" si="58"/>
        <v>0</v>
      </c>
      <c r="BM112" s="9">
        <f t="shared" si="58"/>
        <v>0</v>
      </c>
      <c r="BN112" s="138">
        <f t="shared" si="58"/>
        <v>0</v>
      </c>
      <c r="BO112" s="58">
        <f t="shared" si="58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59">AU93</f>
        <v>0</v>
      </c>
      <c r="AV114" s="9">
        <f t="shared" si="59"/>
        <v>0</v>
      </c>
      <c r="AW114" s="9">
        <f t="shared" si="59"/>
        <v>0</v>
      </c>
      <c r="AX114" s="9">
        <f t="shared" si="59"/>
        <v>0</v>
      </c>
      <c r="AY114" s="9">
        <f t="shared" si="59"/>
        <v>0</v>
      </c>
      <c r="AZ114" s="9">
        <f t="shared" si="59"/>
        <v>0</v>
      </c>
      <c r="BA114" s="138">
        <f t="shared" si="59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60">BF93</f>
        <v>0</v>
      </c>
      <c r="BG114" s="9">
        <f t="shared" si="60"/>
        <v>0</v>
      </c>
      <c r="BH114" s="9">
        <f t="shared" si="60"/>
        <v>0</v>
      </c>
      <c r="BI114" s="9">
        <f t="shared" si="60"/>
        <v>0</v>
      </c>
      <c r="BJ114" s="9">
        <f t="shared" si="60"/>
        <v>0</v>
      </c>
      <c r="BK114" s="9">
        <f t="shared" si="60"/>
        <v>0</v>
      </c>
      <c r="BL114" s="9">
        <f t="shared" si="60"/>
        <v>0</v>
      </c>
      <c r="BM114" s="9">
        <f t="shared" si="60"/>
        <v>0</v>
      </c>
      <c r="BN114" s="138">
        <f t="shared" si="60"/>
        <v>0</v>
      </c>
      <c r="BO114" s="58">
        <f t="shared" si="60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61">SUM(AU112:AU114)</f>
        <v>0</v>
      </c>
      <c r="AV115" s="73">
        <f t="shared" si="61"/>
        <v>0</v>
      </c>
      <c r="AW115" s="73">
        <f t="shared" si="61"/>
        <v>0</v>
      </c>
      <c r="AX115" s="73">
        <f t="shared" si="61"/>
        <v>0</v>
      </c>
      <c r="AY115" s="73">
        <f t="shared" si="61"/>
        <v>0</v>
      </c>
      <c r="AZ115" s="73">
        <f t="shared" si="61"/>
        <v>0</v>
      </c>
      <c r="BA115" s="249">
        <f t="shared" si="61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62">SUM(BF112:BF114)</f>
        <v>0</v>
      </c>
      <c r="BG115" s="73">
        <f t="shared" si="62"/>
        <v>0</v>
      </c>
      <c r="BH115" s="73">
        <f t="shared" si="62"/>
        <v>0</v>
      </c>
      <c r="BI115" s="73">
        <f t="shared" si="62"/>
        <v>0</v>
      </c>
      <c r="BJ115" s="73">
        <f t="shared" si="62"/>
        <v>0</v>
      </c>
      <c r="BK115" s="73">
        <f t="shared" si="62"/>
        <v>0</v>
      </c>
      <c r="BL115" s="73">
        <f t="shared" si="62"/>
        <v>0</v>
      </c>
      <c r="BM115" s="73">
        <f t="shared" si="62"/>
        <v>0</v>
      </c>
      <c r="BN115" s="249">
        <f t="shared" si="62"/>
        <v>0</v>
      </c>
      <c r="BO115" s="268">
        <f t="shared" si="62"/>
        <v>0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63">AU115+AU111</f>
        <v>146347</v>
      </c>
      <c r="AV116" s="251">
        <f t="shared" si="63"/>
        <v>115971</v>
      </c>
      <c r="AW116" s="251">
        <f t="shared" si="63"/>
        <v>116155</v>
      </c>
      <c r="AX116" s="251">
        <f t="shared" si="63"/>
        <v>146165</v>
      </c>
      <c r="AY116" s="251">
        <f t="shared" si="63"/>
        <v>204852</v>
      </c>
      <c r="AZ116" s="251">
        <f t="shared" si="63"/>
        <v>252526</v>
      </c>
      <c r="BA116" s="255">
        <f t="shared" si="63"/>
        <v>982016</v>
      </c>
      <c r="BB116" s="251">
        <v>308169</v>
      </c>
      <c r="BC116" s="251">
        <v>275855</v>
      </c>
      <c r="BD116" s="251">
        <v>268357</v>
      </c>
      <c r="BE116" s="251">
        <v>248994</v>
      </c>
      <c r="BF116" s="251">
        <f t="shared" si="63"/>
        <v>207649</v>
      </c>
      <c r="BG116" s="251">
        <f t="shared" si="63"/>
        <v>165978</v>
      </c>
      <c r="BH116" s="251">
        <f t="shared" si="63"/>
        <v>146347</v>
      </c>
      <c r="BI116" s="251">
        <f t="shared" si="63"/>
        <v>115971</v>
      </c>
      <c r="BJ116" s="251">
        <f t="shared" si="63"/>
        <v>116155</v>
      </c>
      <c r="BK116" s="251">
        <f t="shared" si="63"/>
        <v>146165</v>
      </c>
      <c r="BL116" s="251">
        <f t="shared" si="63"/>
        <v>204852</v>
      </c>
      <c r="BM116" s="251">
        <f t="shared" si="63"/>
        <v>252526</v>
      </c>
      <c r="BN116" s="255">
        <f t="shared" si="63"/>
        <v>2457018</v>
      </c>
      <c r="BO116" s="269">
        <f t="shared" si="63"/>
        <v>2457018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29</v>
      </c>
      <c r="AV119" s="280">
        <f>AU119</f>
        <v>29</v>
      </c>
      <c r="AW119" s="280">
        <f>AV119</f>
        <v>29</v>
      </c>
      <c r="AX119" s="280">
        <f t="shared" ref="AX119:AZ119" si="64">AW119</f>
        <v>29</v>
      </c>
      <c r="AY119" s="280">
        <f t="shared" si="64"/>
        <v>29</v>
      </c>
      <c r="AZ119" s="280">
        <f t="shared" si="64"/>
        <v>29</v>
      </c>
      <c r="BA119" s="259"/>
      <c r="BB119" s="280">
        <v>29</v>
      </c>
      <c r="BC119" s="280">
        <v>29</v>
      </c>
      <c r="BD119" s="280">
        <v>29</v>
      </c>
      <c r="BE119" s="280">
        <v>29</v>
      </c>
      <c r="BF119" s="280">
        <f t="shared" ref="BF119:BM119" si="65">BE119</f>
        <v>29</v>
      </c>
      <c r="BG119" s="280">
        <f t="shared" si="65"/>
        <v>29</v>
      </c>
      <c r="BH119" s="280">
        <f t="shared" si="65"/>
        <v>29</v>
      </c>
      <c r="BI119" s="280">
        <f t="shared" si="65"/>
        <v>29</v>
      </c>
      <c r="BJ119" s="280">
        <f t="shared" si="65"/>
        <v>29</v>
      </c>
      <c r="BK119" s="280">
        <f t="shared" si="65"/>
        <v>29</v>
      </c>
      <c r="BL119" s="280">
        <f t="shared" si="65"/>
        <v>29</v>
      </c>
      <c r="BM119" s="280">
        <f t="shared" si="65"/>
        <v>29</v>
      </c>
      <c r="BN119" s="259"/>
      <c r="BO119" s="343">
        <f>BM119</f>
        <v>29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98964</v>
      </c>
      <c r="AU120" s="107">
        <v>73897</v>
      </c>
      <c r="AV120" s="39">
        <f>ROUND(AW108/30*AV119,0)</f>
        <v>74841</v>
      </c>
      <c r="AW120" s="39">
        <f>ROUND(AX108/30*AW119,0)</f>
        <v>92502</v>
      </c>
      <c r="AX120" s="39">
        <f>ROUND(AY108/30*AX119,0)</f>
        <v>128390</v>
      </c>
      <c r="AY120" s="39">
        <f>ROUND(AZ108/30*AY119,0)</f>
        <v>167374</v>
      </c>
      <c r="AZ120" s="39">
        <f>ROUND(BB108/30*AZ119,0)</f>
        <v>202842</v>
      </c>
      <c r="BA120" s="215"/>
      <c r="BB120" s="346">
        <v>191643</v>
      </c>
      <c r="BC120" s="346">
        <v>185234</v>
      </c>
      <c r="BD120" s="346">
        <v>169883</v>
      </c>
      <c r="BE120" s="346">
        <v>141003</v>
      </c>
      <c r="BF120" s="346">
        <f t="shared" ref="BF120:BL120" si="66">ROUND(BG108/30*BF119,0)</f>
        <v>112300</v>
      </c>
      <c r="BG120" s="346">
        <f t="shared" si="66"/>
        <v>92790</v>
      </c>
      <c r="BH120" s="346">
        <f t="shared" si="66"/>
        <v>70435</v>
      </c>
      <c r="BI120" s="346">
        <f t="shared" si="66"/>
        <v>74841</v>
      </c>
      <c r="BJ120" s="346">
        <f t="shared" si="66"/>
        <v>92502</v>
      </c>
      <c r="BK120" s="346">
        <f t="shared" si="66"/>
        <v>128390</v>
      </c>
      <c r="BL120" s="346">
        <f t="shared" si="66"/>
        <v>167374</v>
      </c>
      <c r="BM120" s="57">
        <f>ROUND(BO108*0.11/30*BM119,0)</f>
        <v>179216</v>
      </c>
      <c r="BN120" s="215"/>
      <c r="BO120" s="141">
        <v>179216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52414</v>
      </c>
      <c r="AU121" s="107">
        <v>47059</v>
      </c>
      <c r="AV121" s="39">
        <f>ROUND(AW110/30*AV119,0)</f>
        <v>37442</v>
      </c>
      <c r="AW121" s="39">
        <f>ROUND(AX110/30*AW119,0)</f>
        <v>48791</v>
      </c>
      <c r="AX121" s="39">
        <f>ROUND(AY110/30*AX119,0)</f>
        <v>69634</v>
      </c>
      <c r="AY121" s="39">
        <f>ROUND(AZ110/30*AY119,0)</f>
        <v>76735</v>
      </c>
      <c r="AZ121" s="39">
        <f>ROUND(BB110/30*AZ119,0)</f>
        <v>95054</v>
      </c>
      <c r="BA121" s="215"/>
      <c r="BB121" s="57">
        <v>75017</v>
      </c>
      <c r="BC121" s="57">
        <v>74178</v>
      </c>
      <c r="BD121" s="57">
        <v>70811</v>
      </c>
      <c r="BE121" s="57">
        <v>59725</v>
      </c>
      <c r="BF121" s="57">
        <f t="shared" ref="BF121:BL121" si="67">ROUND(BG110/30*BF119,0)</f>
        <v>48146</v>
      </c>
      <c r="BG121" s="57">
        <f t="shared" si="67"/>
        <v>48678</v>
      </c>
      <c r="BH121" s="57">
        <f t="shared" si="67"/>
        <v>41670</v>
      </c>
      <c r="BI121" s="57">
        <f t="shared" si="67"/>
        <v>37442</v>
      </c>
      <c r="BJ121" s="57">
        <f t="shared" si="67"/>
        <v>48791</v>
      </c>
      <c r="BK121" s="57">
        <f t="shared" si="67"/>
        <v>69634</v>
      </c>
      <c r="BL121" s="57">
        <f t="shared" si="67"/>
        <v>76735</v>
      </c>
      <c r="BM121" s="57">
        <f>ROUND(BO110*0.11/30*BM119,0)</f>
        <v>82047</v>
      </c>
      <c r="BN121" s="215"/>
      <c r="BO121" s="141">
        <v>82047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-98964</v>
      </c>
      <c r="AV122" s="57">
        <f t="shared" ref="AV122:AZ123" si="68">-AU120</f>
        <v>-73897</v>
      </c>
      <c r="AW122" s="57">
        <f t="shared" si="68"/>
        <v>-74841</v>
      </c>
      <c r="AX122" s="57">
        <f t="shared" si="68"/>
        <v>-92502</v>
      </c>
      <c r="AY122" s="57">
        <f t="shared" si="68"/>
        <v>-128390</v>
      </c>
      <c r="AZ122" s="57">
        <f t="shared" si="68"/>
        <v>-167374</v>
      </c>
      <c r="BA122" s="215"/>
      <c r="BB122" s="57">
        <v>-202842</v>
      </c>
      <c r="BC122" s="57">
        <v>-191643</v>
      </c>
      <c r="BD122" s="57">
        <v>-185234</v>
      </c>
      <c r="BE122" s="57">
        <v>-169883</v>
      </c>
      <c r="BF122" s="57">
        <f t="shared" ref="BF122:BM123" si="69">-BE120</f>
        <v>-141003</v>
      </c>
      <c r="BG122" s="57">
        <f t="shared" si="69"/>
        <v>-112300</v>
      </c>
      <c r="BH122" s="57">
        <f t="shared" si="69"/>
        <v>-92790</v>
      </c>
      <c r="BI122" s="57">
        <f t="shared" si="69"/>
        <v>-70435</v>
      </c>
      <c r="BJ122" s="57">
        <f t="shared" si="69"/>
        <v>-74841</v>
      </c>
      <c r="BK122" s="57">
        <f t="shared" si="69"/>
        <v>-92502</v>
      </c>
      <c r="BL122" s="57">
        <f t="shared" si="69"/>
        <v>-128390</v>
      </c>
      <c r="BM122" s="57">
        <f t="shared" si="69"/>
        <v>-167374</v>
      </c>
      <c r="BN122" s="215"/>
      <c r="BO122" s="141">
        <f>-BM120</f>
        <v>-179216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-52414</v>
      </c>
      <c r="AV123" s="57">
        <f t="shared" si="68"/>
        <v>-47059</v>
      </c>
      <c r="AW123" s="57">
        <f t="shared" si="68"/>
        <v>-37442</v>
      </c>
      <c r="AX123" s="57">
        <f t="shared" si="68"/>
        <v>-48791</v>
      </c>
      <c r="AY123" s="57">
        <f t="shared" si="68"/>
        <v>-69634</v>
      </c>
      <c r="AZ123" s="57">
        <f t="shared" si="68"/>
        <v>-76735</v>
      </c>
      <c r="BA123" s="215"/>
      <c r="BB123" s="57">
        <v>-95054</v>
      </c>
      <c r="BC123" s="57">
        <v>-75017</v>
      </c>
      <c r="BD123" s="57">
        <v>-74178</v>
      </c>
      <c r="BE123" s="57">
        <v>-70811</v>
      </c>
      <c r="BF123" s="57">
        <f t="shared" si="69"/>
        <v>-59725</v>
      </c>
      <c r="BG123" s="57">
        <f t="shared" si="69"/>
        <v>-48146</v>
      </c>
      <c r="BH123" s="57">
        <f t="shared" si="69"/>
        <v>-48678</v>
      </c>
      <c r="BI123" s="57">
        <f t="shared" si="69"/>
        <v>-41670</v>
      </c>
      <c r="BJ123" s="57">
        <f t="shared" si="69"/>
        <v>-37442</v>
      </c>
      <c r="BK123" s="57">
        <f t="shared" si="69"/>
        <v>-48791</v>
      </c>
      <c r="BL123" s="57">
        <f t="shared" si="69"/>
        <v>-69634</v>
      </c>
      <c r="BM123" s="57">
        <f t="shared" si="69"/>
        <v>-76735</v>
      </c>
      <c r="BN123" s="215"/>
      <c r="BO123" s="141">
        <f>-BM121</f>
        <v>-82047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-30422</v>
      </c>
      <c r="AV124" s="344">
        <f t="shared" ref="AV124:AZ124" si="70">SUM(AV120:AV123)</f>
        <v>-8673</v>
      </c>
      <c r="AW124" s="344">
        <f t="shared" si="70"/>
        <v>29010</v>
      </c>
      <c r="AX124" s="344">
        <f t="shared" si="70"/>
        <v>56731</v>
      </c>
      <c r="AY124" s="344">
        <f t="shared" si="70"/>
        <v>46085</v>
      </c>
      <c r="AZ124" s="344">
        <f t="shared" si="70"/>
        <v>53787</v>
      </c>
      <c r="BA124" s="345"/>
      <c r="BB124" s="344">
        <v>-31236</v>
      </c>
      <c r="BC124" s="344">
        <v>-7248</v>
      </c>
      <c r="BD124" s="344">
        <v>-18718</v>
      </c>
      <c r="BE124" s="344">
        <v>-39966</v>
      </c>
      <c r="BF124" s="344">
        <f t="shared" ref="BF124:BO124" si="71">SUM(BF120:BF123)</f>
        <v>-40282</v>
      </c>
      <c r="BG124" s="344">
        <f t="shared" si="71"/>
        <v>-18978</v>
      </c>
      <c r="BH124" s="344">
        <f t="shared" si="71"/>
        <v>-29363</v>
      </c>
      <c r="BI124" s="344">
        <f t="shared" si="71"/>
        <v>178</v>
      </c>
      <c r="BJ124" s="344">
        <f t="shared" si="71"/>
        <v>29010</v>
      </c>
      <c r="BK124" s="344">
        <f t="shared" si="71"/>
        <v>56731</v>
      </c>
      <c r="BL124" s="344">
        <f t="shared" si="71"/>
        <v>46085</v>
      </c>
      <c r="BM124" s="344">
        <f t="shared" si="71"/>
        <v>17154</v>
      </c>
      <c r="BN124" s="345"/>
      <c r="BO124" s="272">
        <f t="shared" si="71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72">AU111+AU124</f>
        <v>115925</v>
      </c>
      <c r="AV132" s="66">
        <f t="shared" si="72"/>
        <v>107298</v>
      </c>
      <c r="AW132" s="66">
        <f t="shared" si="72"/>
        <v>145165</v>
      </c>
      <c r="AX132" s="66">
        <f t="shared" si="72"/>
        <v>202896</v>
      </c>
      <c r="AY132" s="66">
        <f t="shared" si="72"/>
        <v>250937</v>
      </c>
      <c r="AZ132" s="66">
        <f t="shared" si="72"/>
        <v>306313</v>
      </c>
      <c r="BA132" s="216">
        <f>SUM(AT132:AZ132)</f>
        <v>1128534</v>
      </c>
      <c r="BB132" s="66">
        <v>276933</v>
      </c>
      <c r="BC132" s="66">
        <v>268607</v>
      </c>
      <c r="BD132" s="66">
        <v>249639</v>
      </c>
      <c r="BE132" s="66">
        <v>209028</v>
      </c>
      <c r="BF132" s="66">
        <f t="shared" ref="BF132:BO132" si="73">BF111+BF124</f>
        <v>167367</v>
      </c>
      <c r="BG132" s="66">
        <f t="shared" si="73"/>
        <v>147000</v>
      </c>
      <c r="BH132" s="66">
        <f t="shared" si="73"/>
        <v>116984</v>
      </c>
      <c r="BI132" s="66">
        <f t="shared" si="73"/>
        <v>116149</v>
      </c>
      <c r="BJ132" s="66">
        <f t="shared" si="73"/>
        <v>145165</v>
      </c>
      <c r="BK132" s="66">
        <f t="shared" si="73"/>
        <v>202896</v>
      </c>
      <c r="BL132" s="66">
        <f t="shared" si="73"/>
        <v>250937</v>
      </c>
      <c r="BM132" s="66">
        <f t="shared" si="73"/>
        <v>269680</v>
      </c>
      <c r="BN132" s="216">
        <f t="shared" si="73"/>
        <v>2457018</v>
      </c>
      <c r="BO132" s="185">
        <f t="shared" si="73"/>
        <v>2457018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54">
    <cfRule type="cellIs" dxfId="71" priority="2" operator="lessThan">
      <formula>0</formula>
    </cfRule>
  </conditionalFormatting>
  <conditionalFormatting sqref="BA33">
    <cfRule type="cellIs" dxfId="70" priority="8" operator="lessThan">
      <formula>0</formula>
    </cfRule>
  </conditionalFormatting>
  <conditionalFormatting sqref="BN11">
    <cfRule type="cellIs" dxfId="69" priority="7" operator="lessThan">
      <formula>0</formula>
    </cfRule>
  </conditionalFormatting>
  <conditionalFormatting sqref="BN58">
    <cfRule type="cellIs" dxfId="68" priority="6" operator="lessThan">
      <formula>0</formula>
    </cfRule>
  </conditionalFormatting>
  <conditionalFormatting sqref="BN78">
    <cfRule type="cellIs" dxfId="67" priority="5" operator="lessThan">
      <formula>0</formula>
    </cfRule>
  </conditionalFormatting>
  <conditionalFormatting sqref="BN19">
    <cfRule type="cellIs" dxfId="66" priority="4" operator="lessThan">
      <formula>0</formula>
    </cfRule>
  </conditionalFormatting>
  <conditionalFormatting sqref="BN40">
    <cfRule type="cellIs" dxfId="65" priority="3" operator="lessThan">
      <formula>0</formula>
    </cfRule>
  </conditionalFormatting>
  <conditionalFormatting sqref="BN62">
    <cfRule type="cellIs" dxfId="64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O133"/>
  <sheetViews>
    <sheetView zoomScale="80" zoomScaleNormal="80" workbookViewId="0">
      <pane xSplit="1" ySplit="5" topLeftCell="N6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8" width="13.5703125" hidden="1" customWidth="1" outlineLevel="1"/>
    <col min="9" max="9" width="13.1406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5703125" hidden="1" customWidth="1" outlineLevel="1"/>
    <col min="47" max="47" width="15.85546875" hidden="1" customWidth="1" outlineLevel="1"/>
    <col min="48" max="48" width="15.7109375" hidden="1" customWidth="1" outlineLevel="1"/>
    <col min="49" max="49" width="16.140625" hidden="1" customWidth="1" outlineLevel="1"/>
    <col min="50" max="52" width="15.7109375" hidden="1" customWidth="1" outlineLevel="1"/>
    <col min="53" max="53" width="20.140625" style="3" bestFit="1" customWidth="1" collapsed="1"/>
    <col min="54" max="54" width="13.5703125" hidden="1" customWidth="1" outlineLevel="1"/>
    <col min="55" max="57" width="13.42578125" hidden="1" customWidth="1" outlineLevel="1"/>
    <col min="58" max="58" width="13.5703125" hidden="1" customWidth="1" outlineLevel="1"/>
    <col min="59" max="65" width="13.42578125" hidden="1" customWidth="1" outlineLevel="1"/>
    <col min="66" max="66" width="19.5703125" style="3" bestFit="1" customWidth="1" collapsed="1"/>
    <col min="67" max="67" width="15.42578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218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Customers!E210</f>
        <v>173</v>
      </c>
      <c r="AV7" s="124">
        <f>Customers!F210</f>
        <v>173</v>
      </c>
      <c r="AW7" s="124">
        <f>Customers!G210</f>
        <v>173</v>
      </c>
      <c r="AX7" s="124">
        <f>Customers!H210</f>
        <v>173</v>
      </c>
      <c r="AY7" s="124">
        <f>Customers!I210</f>
        <v>173</v>
      </c>
      <c r="AZ7" s="124">
        <f>Customers!J210</f>
        <v>173</v>
      </c>
      <c r="BA7" s="210">
        <f>AZ7</f>
        <v>173</v>
      </c>
      <c r="BB7" s="124">
        <v>174</v>
      </c>
      <c r="BC7" s="38">
        <v>174</v>
      </c>
      <c r="BD7" s="38">
        <v>174</v>
      </c>
      <c r="BE7" s="38">
        <v>174</v>
      </c>
      <c r="BF7" s="38">
        <f t="shared" ref="BF7:BM7" si="0">BE7</f>
        <v>174</v>
      </c>
      <c r="BG7" s="38">
        <f t="shared" si="0"/>
        <v>174</v>
      </c>
      <c r="BH7" s="38">
        <f t="shared" si="0"/>
        <v>174</v>
      </c>
      <c r="BI7" s="38">
        <f t="shared" si="0"/>
        <v>174</v>
      </c>
      <c r="BJ7" s="38">
        <f t="shared" si="0"/>
        <v>174</v>
      </c>
      <c r="BK7" s="38">
        <f t="shared" si="0"/>
        <v>174</v>
      </c>
      <c r="BL7" s="38">
        <f t="shared" si="0"/>
        <v>174</v>
      </c>
      <c r="BM7" s="38">
        <f t="shared" si="0"/>
        <v>174</v>
      </c>
      <c r="BN7" s="210">
        <f>IFERROR(ROUND(AVERAGE(BB7:BM7),0),0)</f>
        <v>174</v>
      </c>
      <c r="BO7" s="55">
        <f>Customers!L210</f>
        <v>175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197481</v>
      </c>
      <c r="AV8" s="38">
        <f>ROUND(AV$11*'kWh Blocks by Rate Category'!D8,0)</f>
        <v>100478</v>
      </c>
      <c r="AW8" s="38">
        <f>ROUND(AW$11*'kWh Blocks by Rate Category'!E8,0)</f>
        <v>102817</v>
      </c>
      <c r="AX8" s="38">
        <f>ROUND(AX$11*'kWh Blocks by Rate Category'!F8,0)</f>
        <v>121344</v>
      </c>
      <c r="AY8" s="38">
        <f>ROUND(AY$11*'kWh Blocks by Rate Category'!G8,0)</f>
        <v>130481</v>
      </c>
      <c r="AZ8" s="38">
        <f>ROUND(AZ$11*'kWh Blocks by Rate Category'!H8,0)</f>
        <v>140753</v>
      </c>
      <c r="BA8" s="210">
        <f>SUM(AO8:AZ8)</f>
        <v>793354</v>
      </c>
      <c r="BB8" s="38">
        <v>191846</v>
      </c>
      <c r="BC8" s="38">
        <v>153567</v>
      </c>
      <c r="BD8" s="38">
        <v>129651</v>
      </c>
      <c r="BE8" s="38">
        <v>135669</v>
      </c>
      <c r="BF8" s="38">
        <f>ROUND(BF$11*'kWh Blocks by Rate Category'!N8,0)</f>
        <v>127822</v>
      </c>
      <c r="BG8" s="38">
        <f>ROUND(BG$11*'kWh Blocks by Rate Category'!O8,0)</f>
        <v>103639</v>
      </c>
      <c r="BH8" s="38">
        <f>ROUND(BH$11*'kWh Blocks by Rate Category'!P8,0)</f>
        <v>94984</v>
      </c>
      <c r="BI8" s="38">
        <f>ROUND(BI$11*'kWh Blocks by Rate Category'!Q8,0)</f>
        <v>101058</v>
      </c>
      <c r="BJ8" s="38">
        <f>ROUND(BJ$11*'kWh Blocks by Rate Category'!R8,0)</f>
        <v>103411</v>
      </c>
      <c r="BK8" s="38">
        <f>ROUND(BK$11*'kWh Blocks by Rate Category'!S8,0)</f>
        <v>122046</v>
      </c>
      <c r="BL8" s="38">
        <f>ROUND(BL$11*'kWh Blocks by Rate Category'!T8,0)</f>
        <v>131235</v>
      </c>
      <c r="BM8" s="38">
        <f>ROUND(BM$11*'kWh Blocks by Rate Category'!U8,0)</f>
        <v>141567</v>
      </c>
      <c r="BN8" s="210">
        <f>SUM(BB8:BM8)</f>
        <v>1536495</v>
      </c>
      <c r="BO8" s="38">
        <f>ROUND(BO$11*'kWh Blocks by Rate Category'!W8,0)</f>
        <v>1545326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105228</v>
      </c>
      <c r="AV9" s="38">
        <f>ROUND(AV$11*'kWh Blocks by Rate Category'!D9,0)</f>
        <v>53540</v>
      </c>
      <c r="AW9" s="38">
        <f>ROUND(AW$11*'kWh Blocks by Rate Category'!E9,0)</f>
        <v>54786</v>
      </c>
      <c r="AX9" s="38">
        <f>ROUND(AX$11*'kWh Blocks by Rate Category'!F9,0)</f>
        <v>64658</v>
      </c>
      <c r="AY9" s="38">
        <f>ROUND(AY$11*'kWh Blocks by Rate Category'!G9,0)</f>
        <v>69527</v>
      </c>
      <c r="AZ9" s="38">
        <f>ROUND(AZ$11*'kWh Blocks by Rate Category'!H9,0)</f>
        <v>75000</v>
      </c>
      <c r="BA9" s="210">
        <f>SUM(AO9:AZ9)</f>
        <v>422739</v>
      </c>
      <c r="BB9" s="38">
        <v>102225</v>
      </c>
      <c r="BC9" s="38">
        <v>81828</v>
      </c>
      <c r="BD9" s="38">
        <v>69085</v>
      </c>
      <c r="BE9" s="38">
        <v>72291</v>
      </c>
      <c r="BF9" s="38">
        <f>ROUND(BF$11*'kWh Blocks by Rate Category'!N9,0)</f>
        <v>68110</v>
      </c>
      <c r="BG9" s="38">
        <f>ROUND(BG$11*'kWh Blocks by Rate Category'!O9,0)</f>
        <v>55224</v>
      </c>
      <c r="BH9" s="38">
        <f>ROUND(BH$11*'kWh Blocks by Rate Category'!P9,0)</f>
        <v>50612</v>
      </c>
      <c r="BI9" s="38">
        <f>ROUND(BI$11*'kWh Blocks by Rate Category'!Q9,0)</f>
        <v>53849</v>
      </c>
      <c r="BJ9" s="38">
        <f>ROUND(BJ$11*'kWh Blocks by Rate Category'!R9,0)</f>
        <v>55102</v>
      </c>
      <c r="BK9" s="38">
        <f>ROUND(BK$11*'kWh Blocks by Rate Category'!S9,0)</f>
        <v>65032</v>
      </c>
      <c r="BL9" s="38">
        <f>ROUND(BL$11*'kWh Blocks by Rate Category'!T9,0)</f>
        <v>69929</v>
      </c>
      <c r="BM9" s="38">
        <f>ROUND(BM$11*'kWh Blocks by Rate Category'!U9,0)</f>
        <v>75434</v>
      </c>
      <c r="BN9" s="210">
        <f>SUM(BB9:BM9)</f>
        <v>818721</v>
      </c>
      <c r="BO9" s="38">
        <f>ROUND(BO$11*'kWh Blocks by Rate Category'!W9,0)</f>
        <v>823426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20065</v>
      </c>
      <c r="AV10" s="38">
        <f>ROUND(AV$11*'kWh Blocks by Rate Category'!D10,0)</f>
        <v>10209</v>
      </c>
      <c r="AW10" s="38">
        <f>ROUND(AW$11*'kWh Blocks by Rate Category'!E10,0)</f>
        <v>10446</v>
      </c>
      <c r="AX10" s="38">
        <f>ROUND(AX$11*'kWh Blocks by Rate Category'!F10,0)</f>
        <v>12329</v>
      </c>
      <c r="AY10" s="38">
        <f>ROUND(AY$11*'kWh Blocks by Rate Category'!G10,0)</f>
        <v>13257</v>
      </c>
      <c r="AZ10" s="38">
        <f>ROUND(AZ$11*'kWh Blocks by Rate Category'!H10,0)</f>
        <v>14301</v>
      </c>
      <c r="BA10" s="210">
        <f>SUM(AO10:AZ10)</f>
        <v>80607</v>
      </c>
      <c r="BB10" s="38">
        <v>19492</v>
      </c>
      <c r="BC10" s="38">
        <v>15603</v>
      </c>
      <c r="BD10" s="38">
        <v>13173</v>
      </c>
      <c r="BE10" s="38">
        <v>13784</v>
      </c>
      <c r="BF10" s="38">
        <f>ROUND(BF$11*'kWh Blocks by Rate Category'!N10,0)</f>
        <v>12987</v>
      </c>
      <c r="BG10" s="38">
        <f>ROUND(BG$11*'kWh Blocks by Rate Category'!O10,0)</f>
        <v>10530</v>
      </c>
      <c r="BH10" s="38">
        <f>ROUND(BH$11*'kWh Blocks by Rate Category'!P10,0)</f>
        <v>9651</v>
      </c>
      <c r="BI10" s="38">
        <f>ROUND(BI$11*'kWh Blocks by Rate Category'!Q10,0)</f>
        <v>10268</v>
      </c>
      <c r="BJ10" s="38">
        <f>ROUND(BJ$11*'kWh Blocks by Rate Category'!R10,0)</f>
        <v>10507</v>
      </c>
      <c r="BK10" s="38">
        <f>ROUND(BK$11*'kWh Blocks by Rate Category'!S10,0)</f>
        <v>12400</v>
      </c>
      <c r="BL10" s="38">
        <f>ROUND(BL$11*'kWh Blocks by Rate Category'!T10,0)</f>
        <v>13334</v>
      </c>
      <c r="BM10" s="38">
        <f>ROUND(BM$11*'kWh Blocks by Rate Category'!U10,0)</f>
        <v>14384</v>
      </c>
      <c r="BN10" s="210">
        <f>SUM(BB10:BM10)</f>
        <v>156113</v>
      </c>
      <c r="BO10" s="38">
        <f>ROUND(BO$11*'kWh Blocks by Rate Category'!W10,0)</f>
        <v>157009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>IFERROR(ROUND((AU12*AU7)+(AU7*AT12),0),0)</f>
        <v>322773</v>
      </c>
      <c r="AV11" s="64">
        <f t="shared" ref="AV11:AZ11" si="1">IFERROR(ROUND(AV12*AV7,0),0)</f>
        <v>164226</v>
      </c>
      <c r="AW11" s="64">
        <f t="shared" si="1"/>
        <v>168049</v>
      </c>
      <c r="AX11" s="64">
        <f t="shared" si="1"/>
        <v>198331</v>
      </c>
      <c r="AY11" s="64">
        <f t="shared" si="1"/>
        <v>213265</v>
      </c>
      <c r="AZ11" s="64">
        <f t="shared" si="1"/>
        <v>230054</v>
      </c>
      <c r="BA11" s="196">
        <f>SUM(AO11:AZ11)</f>
        <v>1296698</v>
      </c>
      <c r="BB11" s="64">
        <v>313563</v>
      </c>
      <c r="BC11" s="64">
        <v>250998</v>
      </c>
      <c r="BD11" s="64">
        <v>211909</v>
      </c>
      <c r="BE11" s="64">
        <v>221745</v>
      </c>
      <c r="BF11" s="64">
        <f t="shared" ref="BF11:BM11" si="2">IFERROR(ROUND(BF12*BF7,0),0)</f>
        <v>208919</v>
      </c>
      <c r="BG11" s="64">
        <f t="shared" si="2"/>
        <v>169393</v>
      </c>
      <c r="BH11" s="64">
        <f t="shared" si="2"/>
        <v>155246</v>
      </c>
      <c r="BI11" s="64">
        <f t="shared" si="2"/>
        <v>165175</v>
      </c>
      <c r="BJ11" s="64">
        <f t="shared" si="2"/>
        <v>169020</v>
      </c>
      <c r="BK11" s="64">
        <f t="shared" si="2"/>
        <v>199478</v>
      </c>
      <c r="BL11" s="64">
        <f t="shared" si="2"/>
        <v>214498</v>
      </c>
      <c r="BM11" s="64">
        <f t="shared" si="2"/>
        <v>231384</v>
      </c>
      <c r="BN11" s="196">
        <f>SUM(BB11:BM11)</f>
        <v>2511328</v>
      </c>
      <c r="BO11" s="147">
        <f>ROUND(BO7*BO12,0)</f>
        <v>2525761</v>
      </c>
    </row>
    <row r="12" spans="1:67" ht="15" thickTop="1">
      <c r="A12" s="374" t="s">
        <v>54</v>
      </c>
      <c r="B12" s="84">
        <f>IF('kWh_Streetlight Data'!C216=0,"",'kWh_Streetlight Data'!C216)</f>
        <v>1677.0193548387097</v>
      </c>
      <c r="C12" s="108">
        <f>IF('kWh_Streetlight Data'!D216=0,"",'kWh_Streetlight Data'!D216)</f>
        <v>1250.6410256410256</v>
      </c>
      <c r="D12" s="108">
        <f>IF('kWh_Streetlight Data'!E216=0,"",'kWh_Streetlight Data'!E216)</f>
        <v>1324.6730769230769</v>
      </c>
      <c r="E12" s="108">
        <f>IF('kWh_Streetlight Data'!F216=0,"",'kWh_Streetlight Data'!F216)</f>
        <v>1302.0625</v>
      </c>
      <c r="F12" s="108">
        <f>IF('kWh_Streetlight Data'!G216=0,"",'kWh_Streetlight Data'!G216)</f>
        <v>1066.2574850299402</v>
      </c>
      <c r="G12" s="108">
        <f>IF('kWh_Streetlight Data'!H216=0,"",'kWh_Streetlight Data'!H216)</f>
        <v>854.5512820512821</v>
      </c>
      <c r="H12" s="108">
        <f>IF('kWh_Streetlight Data'!I216=0,"",'kWh_Streetlight Data'!I216)</f>
        <v>859.62337662337666</v>
      </c>
      <c r="I12" s="108">
        <f>IF('kWh_Streetlight Data'!J216=0,"",'kWh_Streetlight Data'!J216)</f>
        <v>922.27096774193546</v>
      </c>
      <c r="J12" s="108">
        <f>IF('kWh_Streetlight Data'!K216=0,"",'kWh_Streetlight Data'!K216)</f>
        <v>909.63461538461536</v>
      </c>
      <c r="K12" s="108">
        <f>IF('kWh_Streetlight Data'!L216=0,"",'kWh_Streetlight Data'!L216)</f>
        <v>1179.9294871794871</v>
      </c>
      <c r="L12" s="108">
        <f>IF('kWh_Streetlight Data'!M216=0,"",'kWh_Streetlight Data'!M216)</f>
        <v>1084.9096385542168</v>
      </c>
      <c r="M12" s="108">
        <f>IF('kWh_Streetlight Data'!N216=0,"",'kWh_Streetlight Data'!N216)</f>
        <v>1545.1337209302326</v>
      </c>
      <c r="N12" s="424">
        <f>IF('kWh_Streetlight Data'!O216=0,"",'kWh_Streetlight Data'!O216)</f>
        <v>1167.394447354636</v>
      </c>
      <c r="O12" s="84">
        <f>IF('kWh_Streetlight Data'!P216=0,"",'kWh_Streetlight Data'!P216)</f>
        <v>1802.5117647058823</v>
      </c>
      <c r="P12" s="108">
        <f>IF('kWh_Streetlight Data'!Q216=0,"",'kWh_Streetlight Data'!Q216)</f>
        <v>1628.5397727272727</v>
      </c>
      <c r="Q12" s="108">
        <f>IF('kWh_Streetlight Data'!R216=0,"",'kWh_Streetlight Data'!R216)</f>
        <v>1059.0258620689656</v>
      </c>
      <c r="R12" s="108">
        <f>IF('kWh_Streetlight Data'!S216=0,"",'kWh_Streetlight Data'!S216)</f>
        <v>1299.7247191011236</v>
      </c>
      <c r="S12" s="108">
        <f>IF('kWh_Streetlight Data'!T216=0,"",'kWh_Streetlight Data'!T216)</f>
        <v>1062.7189189189189</v>
      </c>
      <c r="T12" s="108">
        <f>IF('kWh_Streetlight Data'!U216=0,"",'kWh_Streetlight Data'!U216)</f>
        <v>948.755</v>
      </c>
      <c r="U12" s="108">
        <f>IF('kWh_Streetlight Data'!V216=0,"",'kWh_Streetlight Data'!V216)</f>
        <v>942.36627906976742</v>
      </c>
      <c r="V12" s="108">
        <f>IF('kWh_Streetlight Data'!W216=0,"",'kWh_Streetlight Data'!W216)</f>
        <v>804.04093567251459</v>
      </c>
      <c r="W12" s="108">
        <f>IF('kWh_Streetlight Data'!X216=0,"",'kWh_Streetlight Data'!X216)</f>
        <v>1067.04</v>
      </c>
      <c r="X12" s="108">
        <f>IF('kWh_Streetlight Data'!Y216=0,"",'kWh_Streetlight Data'!Y216)</f>
        <v>1036.5801104972375</v>
      </c>
      <c r="Y12" s="108">
        <f>IF('kWh_Streetlight Data'!Z216=0,"",'kWh_Streetlight Data'!Z216)</f>
        <v>1206.9144385026739</v>
      </c>
      <c r="Z12" s="108">
        <f>IF('kWh_Streetlight Data'!AA216=0,"",'kWh_Streetlight Data'!AA216)</f>
        <v>1279.7087912087911</v>
      </c>
      <c r="AA12" s="424">
        <f>IF('kWh_Streetlight Data'!AB216=0,"",'kWh_Streetlight Data'!AB216)</f>
        <v>1172.0144861928475</v>
      </c>
      <c r="AB12" s="129">
        <f>IF('kWh_Streetlight Data'!AC216=0,"",'kWh_Streetlight Data'!AC216)</f>
        <v>1926.7298850574712</v>
      </c>
      <c r="AC12" s="130">
        <f>IF('kWh_Streetlight Data'!AD216=0,"",'kWh_Streetlight Data'!AD216)</f>
        <v>1448.370786516854</v>
      </c>
      <c r="AD12" s="130">
        <f>IF('kWh_Streetlight Data'!AE216=0,"",'kWh_Streetlight Data'!AE216)</f>
        <v>1269.9116022099447</v>
      </c>
      <c r="AE12" s="130">
        <f>IF('kWh_Streetlight Data'!AF216=0,"",'kWh_Streetlight Data'!AF216)</f>
        <v>1221.3956043956043</v>
      </c>
      <c r="AF12" s="130">
        <f>IF('kWh_Streetlight Data'!AG216=0,"",'kWh_Streetlight Data'!AG216)</f>
        <v>1473.0683229813665</v>
      </c>
      <c r="AG12" s="130">
        <f>IF('kWh_Streetlight Data'!AH216=0,"",'kWh_Streetlight Data'!AH216)</f>
        <v>1117.2712765957447</v>
      </c>
      <c r="AH12" s="130">
        <f>IF('kWh_Streetlight Data'!AI216=0,"",'kWh_Streetlight Data'!AI216)</f>
        <v>874.65909090909088</v>
      </c>
      <c r="AI12" s="130">
        <f>IF('kWh_Streetlight Data'!AJ216=0,"",'kWh_Streetlight Data'!AJ216)</f>
        <v>1121.5398773006134</v>
      </c>
      <c r="AJ12" s="130">
        <f>IF('kWh_Streetlight Data'!AK216=0,"",'kWh_Streetlight Data'!AK216)</f>
        <v>937.46798029556646</v>
      </c>
      <c r="AK12" s="130">
        <f>IF('kWh_Streetlight Data'!AL216=0,"",'kWh_Streetlight Data'!AL216)</f>
        <v>1222.758064516129</v>
      </c>
      <c r="AL12" s="130">
        <f>IF('kWh_Streetlight Data'!AM216=0,"",'kWh_Streetlight Data'!AM216)</f>
        <v>1406.4101123595506</v>
      </c>
      <c r="AM12" s="130">
        <f>IF('kWh_Streetlight Data'!AN216=0,"",'kWh_Streetlight Data'!AN216)</f>
        <v>1164.5405405405406</v>
      </c>
      <c r="AN12" s="426">
        <f>IF('kWh_Streetlight Data'!AO216=0,"",'kWh_Streetlight Data'!AO216)</f>
        <v>1258.7893271461717</v>
      </c>
      <c r="AO12" s="34"/>
      <c r="AP12" s="35"/>
      <c r="AQ12" s="35"/>
      <c r="AR12" s="35"/>
      <c r="AS12" s="35"/>
      <c r="AT12" s="322">
        <f t="shared" ref="AT12:AZ12" si="3">IFERROR(AVERAGE(AG12,T12,G12),0)</f>
        <v>973.52585288234229</v>
      </c>
      <c r="AU12" s="322">
        <f t="shared" si="3"/>
        <v>892.21624886741165</v>
      </c>
      <c r="AV12" s="9">
        <f t="shared" si="3"/>
        <v>949.2839269050213</v>
      </c>
      <c r="AW12" s="9">
        <f t="shared" si="3"/>
        <v>971.38086522672722</v>
      </c>
      <c r="AX12" s="9">
        <f t="shared" si="3"/>
        <v>1146.4225540642847</v>
      </c>
      <c r="AY12" s="9">
        <f t="shared" si="3"/>
        <v>1232.7447298054803</v>
      </c>
      <c r="AZ12" s="9">
        <f t="shared" si="3"/>
        <v>1329.7943508931883</v>
      </c>
      <c r="BA12" s="211"/>
      <c r="BB12" s="17">
        <v>1802.0870015340213</v>
      </c>
      <c r="BC12" s="17">
        <v>1442.5171949617172</v>
      </c>
      <c r="BD12" s="17">
        <v>1217.8701804006625</v>
      </c>
      <c r="BE12" s="17">
        <v>1274.3942744989092</v>
      </c>
      <c r="BF12" s="17">
        <f t="shared" ref="BF12:BM12" si="4">IFERROR(AVERAGE(F12,S12,AF12),0)</f>
        <v>1200.6815756434087</v>
      </c>
      <c r="BG12" s="17">
        <f t="shared" si="4"/>
        <v>973.52585288234229</v>
      </c>
      <c r="BH12" s="17">
        <f t="shared" si="4"/>
        <v>892.21624886741165</v>
      </c>
      <c r="BI12" s="17">
        <f t="shared" si="4"/>
        <v>949.2839269050213</v>
      </c>
      <c r="BJ12" s="17">
        <f t="shared" si="4"/>
        <v>971.38086522672722</v>
      </c>
      <c r="BK12" s="17">
        <f t="shared" si="4"/>
        <v>1146.4225540642844</v>
      </c>
      <c r="BL12" s="17">
        <f t="shared" si="4"/>
        <v>1232.7447298054806</v>
      </c>
      <c r="BM12" s="17">
        <f t="shared" si="4"/>
        <v>1329.7943508931883</v>
      </c>
      <c r="BN12" s="211">
        <f>IFERROR(BN11/SUM(BB7:BM7)*12,0)</f>
        <v>14432.919540229886</v>
      </c>
      <c r="BO12" s="20">
        <f>BN12</f>
        <v>14432.919540229886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25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Data'!C217=0,"",'kWh_Streetlight Data'!C217)</f>
        <v/>
      </c>
      <c r="C27" s="108" t="str">
        <f>IF('kWh_Streetlight Data'!D217=0,"",'kWh_Streetlight Data'!D217)</f>
        <v/>
      </c>
      <c r="D27" s="108" t="str">
        <f>IF('kWh_Streetlight Data'!E217=0,"",'kWh_Streetlight Data'!E217)</f>
        <v/>
      </c>
      <c r="E27" s="108" t="str">
        <f>IF('kWh_Streetlight Data'!F217=0,"",'kWh_Streetlight Data'!F217)</f>
        <v/>
      </c>
      <c r="F27" s="108" t="str">
        <f>IF('kWh_Streetlight Data'!G217=0,"",'kWh_Streetlight Data'!G217)</f>
        <v/>
      </c>
      <c r="G27" s="108" t="str">
        <f>IF('kWh_Streetlight Data'!H217=0,"",'kWh_Streetlight Data'!H217)</f>
        <v/>
      </c>
      <c r="H27" s="108" t="str">
        <f>IF('kWh_Streetlight Data'!I217=0,"",'kWh_Streetlight Data'!I217)</f>
        <v/>
      </c>
      <c r="I27" s="108" t="str">
        <f>IF('kWh_Streetlight Data'!J217=0,"",'kWh_Streetlight Data'!J217)</f>
        <v/>
      </c>
      <c r="J27" s="108" t="str">
        <f>IF('kWh_Streetlight Data'!K217=0,"",'kWh_Streetlight Data'!K217)</f>
        <v/>
      </c>
      <c r="K27" s="108" t="str">
        <f>IF('kWh_Streetlight Data'!L217=0,"",'kWh_Streetlight Data'!L217)</f>
        <v/>
      </c>
      <c r="L27" s="108" t="str">
        <f>IF('kWh_Streetlight Data'!M217=0,"",'kWh_Streetlight Data'!M217)</f>
        <v/>
      </c>
      <c r="M27" s="108" t="str">
        <f>IF('kWh_Streetlight Data'!N217=0,"",'kWh_Streetlight Data'!N217)</f>
        <v/>
      </c>
      <c r="N27" s="424" t="str">
        <f>IF('kWh_Streetlight Data'!O217=0,"",'kWh_Streetlight Data'!O217)</f>
        <v/>
      </c>
      <c r="O27" s="84" t="str">
        <f>IF('kWh_Streetlight Data'!P217=0,"",'kWh_Streetlight Data'!P217)</f>
        <v/>
      </c>
      <c r="P27" s="108" t="str">
        <f>IF('kWh_Streetlight Data'!Q217=0,"",'kWh_Streetlight Data'!Q217)</f>
        <v/>
      </c>
      <c r="Q27" s="108" t="str">
        <f>IF('kWh_Streetlight Data'!R217=0,"",'kWh_Streetlight Data'!R217)</f>
        <v/>
      </c>
      <c r="R27" s="108" t="str">
        <f>IF('kWh_Streetlight Data'!S217=0,"",'kWh_Streetlight Data'!S217)</f>
        <v/>
      </c>
      <c r="S27" s="108" t="str">
        <f>IF('kWh_Streetlight Data'!T217=0,"",'kWh_Streetlight Data'!T217)</f>
        <v/>
      </c>
      <c r="T27" s="108" t="str">
        <f>IF('kWh_Streetlight Data'!U217=0,"",'kWh_Streetlight Data'!U217)</f>
        <v/>
      </c>
      <c r="U27" s="108" t="str">
        <f>IF('kWh_Streetlight Data'!V217=0,"",'kWh_Streetlight Data'!V217)</f>
        <v/>
      </c>
      <c r="V27" s="108" t="str">
        <f>IF('kWh_Streetlight Data'!W217=0,"",'kWh_Streetlight Data'!W217)</f>
        <v/>
      </c>
      <c r="W27" s="108" t="str">
        <f>IF('kWh_Streetlight Data'!X217=0,"",'kWh_Streetlight Data'!X217)</f>
        <v/>
      </c>
      <c r="X27" s="108" t="str">
        <f>IF('kWh_Streetlight Data'!Y217=0,"",'kWh_Streetlight Data'!Y217)</f>
        <v/>
      </c>
      <c r="Y27" s="108" t="str">
        <f>IF('kWh_Streetlight Data'!Z217=0,"",'kWh_Streetlight Data'!Z217)</f>
        <v/>
      </c>
      <c r="Z27" s="108" t="str">
        <f>IF('kWh_Streetlight Data'!AA217=0,"",'kWh_Streetlight Data'!AA217)</f>
        <v/>
      </c>
      <c r="AA27" s="424" t="str">
        <f>IF('kWh_Streetlight Data'!AB217=0,"",'kWh_Streetlight Data'!AB217)</f>
        <v/>
      </c>
      <c r="AB27" s="129" t="str">
        <f>IF('kWh_Streetlight Data'!AC217=0,"",'kWh_Streetlight Data'!AC217)</f>
        <v/>
      </c>
      <c r="AC27" s="130" t="str">
        <f>IF('kWh_Streetlight Data'!AD217=0,"",'kWh_Streetlight Data'!AD217)</f>
        <v/>
      </c>
      <c r="AD27" s="130" t="str">
        <f>IF('kWh_Streetlight Data'!AE217=0,"",'kWh_Streetlight Data'!AE217)</f>
        <v/>
      </c>
      <c r="AE27" s="130" t="str">
        <f>IF('kWh_Streetlight Data'!AF217=0,"",'kWh_Streetlight Data'!AF217)</f>
        <v/>
      </c>
      <c r="AF27" s="130" t="str">
        <f>IF('kWh_Streetlight Data'!AG217=0,"",'kWh_Streetlight Data'!AG217)</f>
        <v/>
      </c>
      <c r="AG27" s="130" t="str">
        <f>IF('kWh_Streetlight Data'!AH217=0,"",'kWh_Streetlight Data'!AH217)</f>
        <v/>
      </c>
      <c r="AH27" s="108" t="str">
        <f>IF('kWh_Streetlight Data'!AI217=0,"",'kWh_Streetlight Data'!AI217)</f>
        <v/>
      </c>
      <c r="AI27" s="108" t="str">
        <f>IF('kWh_Streetlight Data'!AJ217=0,"",'kWh_Streetlight Data'!AJ217)</f>
        <v/>
      </c>
      <c r="AJ27" s="108" t="str">
        <f>IF('kWh_Streetlight Data'!AK217=0,"",'kWh_Streetlight Data'!AK217)</f>
        <v/>
      </c>
      <c r="AK27" s="108" t="str">
        <f>IF('kWh_Streetlight Data'!AL217=0,"",'kWh_Streetlight Data'!AL217)</f>
        <v/>
      </c>
      <c r="AL27" s="108" t="str">
        <f>IF('kWh_Streetlight Data'!AM217=0,"",'kWh_Streetlight Data'!AM217)</f>
        <v/>
      </c>
      <c r="AM27" s="108" t="str">
        <f>IF('kWh_Streetlight Data'!AN217=0,"",'kWh_Streetlight Data'!AN217)</f>
        <v/>
      </c>
      <c r="AN27" s="426" t="str">
        <f>IF('kWh_Streetlight Data'!AO217=0,"",'kWh_Streetlight Data'!AO217)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Customers!E212</f>
        <v>10</v>
      </c>
      <c r="AV29" s="124">
        <f>Customers!F212</f>
        <v>10</v>
      </c>
      <c r="AW29" s="124">
        <f>Customers!G212</f>
        <v>10</v>
      </c>
      <c r="AX29" s="124">
        <f>Customers!H212</f>
        <v>10</v>
      </c>
      <c r="AY29" s="124">
        <f>Customers!I212</f>
        <v>10</v>
      </c>
      <c r="AZ29" s="124">
        <f>Customers!J212</f>
        <v>10</v>
      </c>
      <c r="BA29" s="210">
        <f>AZ29</f>
        <v>10</v>
      </c>
      <c r="BB29" s="124">
        <v>10</v>
      </c>
      <c r="BC29" s="38">
        <v>10</v>
      </c>
      <c r="BD29" s="38">
        <v>10</v>
      </c>
      <c r="BE29" s="38">
        <v>10</v>
      </c>
      <c r="BF29" s="38">
        <f t="shared" ref="BF29:BM29" si="5">BE29</f>
        <v>10</v>
      </c>
      <c r="BG29" s="38">
        <f t="shared" si="5"/>
        <v>10</v>
      </c>
      <c r="BH29" s="38">
        <f t="shared" si="5"/>
        <v>10</v>
      </c>
      <c r="BI29" s="38">
        <f t="shared" si="5"/>
        <v>10</v>
      </c>
      <c r="BJ29" s="38">
        <f t="shared" si="5"/>
        <v>10</v>
      </c>
      <c r="BK29" s="38">
        <f t="shared" si="5"/>
        <v>10</v>
      </c>
      <c r="BL29" s="38">
        <f t="shared" si="5"/>
        <v>10</v>
      </c>
      <c r="BM29" s="38">
        <f t="shared" si="5"/>
        <v>10</v>
      </c>
      <c r="BN29" s="210">
        <f>IFERROR(ROUND(AVERAGE(BB29:BM29),0),0)</f>
        <v>10</v>
      </c>
      <c r="BO29" s="90">
        <f>Customers!L212</f>
        <v>10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25598</v>
      </c>
      <c r="AV30" s="38">
        <f>ROUND(AV$33*'kWh Blocks by Rate Category'!D29,0)</f>
        <v>12779</v>
      </c>
      <c r="AW30" s="38">
        <f>ROUND(AW$33*'kWh Blocks by Rate Category'!E29,0)</f>
        <v>13353</v>
      </c>
      <c r="AX30" s="38">
        <f>ROUND(AX$33*'kWh Blocks by Rate Category'!F29,0)</f>
        <v>13511</v>
      </c>
      <c r="AY30" s="38">
        <f>ROUND(AY$33*'kWh Blocks by Rate Category'!G29,0)</f>
        <v>16175</v>
      </c>
      <c r="AZ30" s="38">
        <f>ROUND(AZ$33*'kWh Blocks by Rate Category'!H29,0)</f>
        <v>17151</v>
      </c>
      <c r="BA30" s="210">
        <f>SUM(AO30:AZ30)</f>
        <v>98567</v>
      </c>
      <c r="BB30" s="38">
        <v>23464</v>
      </c>
      <c r="BC30" s="38">
        <v>18727</v>
      </c>
      <c r="BD30" s="38">
        <v>17355</v>
      </c>
      <c r="BE30" s="38">
        <v>16194</v>
      </c>
      <c r="BF30" s="38">
        <f>ROUND(BF$33*'kWh Blocks by Rate Category'!N29,0)</f>
        <v>15081</v>
      </c>
      <c r="BG30" s="38">
        <f>ROUND(BG$33*'kWh Blocks by Rate Category'!O29,0)</f>
        <v>12807</v>
      </c>
      <c r="BH30" s="38">
        <f>ROUND(BH$33*'kWh Blocks by Rate Category'!P29,0)</f>
        <v>12790</v>
      </c>
      <c r="BI30" s="38">
        <f>ROUND(BI$33*'kWh Blocks by Rate Category'!Q29,0)</f>
        <v>12779</v>
      </c>
      <c r="BJ30" s="38">
        <f>ROUND(BJ$33*'kWh Blocks by Rate Category'!R29,0)</f>
        <v>13353</v>
      </c>
      <c r="BK30" s="38">
        <f>ROUND(BK$33*'kWh Blocks by Rate Category'!S29,0)</f>
        <v>13511</v>
      </c>
      <c r="BL30" s="38">
        <f>ROUND(BL$33*'kWh Blocks by Rate Category'!T29,0)</f>
        <v>16175</v>
      </c>
      <c r="BM30" s="38">
        <f>ROUND(BM$33*'kWh Blocks by Rate Category'!U29,0)</f>
        <v>17151</v>
      </c>
      <c r="BN30" s="210">
        <f>SUM(BB30:BM30)</f>
        <v>189387</v>
      </c>
      <c r="BO30" s="38">
        <f>ROUND(BO$33*'kWh Blocks by Rate Category'!W29,0)</f>
        <v>189387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2437</v>
      </c>
      <c r="AV31" s="38">
        <f>ROUND(AV$33*'kWh Blocks by Rate Category'!D30,0)</f>
        <v>1217</v>
      </c>
      <c r="AW31" s="38">
        <f>ROUND(AW$33*'kWh Blocks by Rate Category'!E30,0)</f>
        <v>1272</v>
      </c>
      <c r="AX31" s="38">
        <f>ROUND(AX$33*'kWh Blocks by Rate Category'!F30,0)</f>
        <v>1287</v>
      </c>
      <c r="AY31" s="38">
        <f>ROUND(AY$33*'kWh Blocks by Rate Category'!G30,0)</f>
        <v>1540</v>
      </c>
      <c r="AZ31" s="38">
        <f>ROUND(AZ$33*'kWh Blocks by Rate Category'!H30,0)</f>
        <v>1633</v>
      </c>
      <c r="BA31" s="210">
        <f>SUM(AO31:AZ31)</f>
        <v>9386</v>
      </c>
      <c r="BB31" s="38">
        <v>2234</v>
      </c>
      <c r="BC31" s="38">
        <v>1783</v>
      </c>
      <c r="BD31" s="38">
        <v>1652</v>
      </c>
      <c r="BE31" s="38">
        <v>1542</v>
      </c>
      <c r="BF31" s="38">
        <f>ROUND(BF$33*'kWh Blocks by Rate Category'!N30,0)</f>
        <v>1436</v>
      </c>
      <c r="BG31" s="38">
        <f>ROUND(BG$33*'kWh Blocks by Rate Category'!O30,0)</f>
        <v>1219</v>
      </c>
      <c r="BH31" s="38">
        <f>ROUND(BH$33*'kWh Blocks by Rate Category'!P30,0)</f>
        <v>1218</v>
      </c>
      <c r="BI31" s="38">
        <f>ROUND(BI$33*'kWh Blocks by Rate Category'!Q30,0)</f>
        <v>1217</v>
      </c>
      <c r="BJ31" s="38">
        <f>ROUND(BJ$33*'kWh Blocks by Rate Category'!R30,0)</f>
        <v>1272</v>
      </c>
      <c r="BK31" s="38">
        <f>ROUND(BK$33*'kWh Blocks by Rate Category'!S30,0)</f>
        <v>1287</v>
      </c>
      <c r="BL31" s="38">
        <f>ROUND(BL$33*'kWh Blocks by Rate Category'!T30,0)</f>
        <v>1540</v>
      </c>
      <c r="BM31" s="38">
        <f>ROUND(BM$33*'kWh Blocks by Rate Category'!U30,0)</f>
        <v>1633</v>
      </c>
      <c r="BN31" s="210">
        <f>SUM(BB31:BM31)</f>
        <v>18033</v>
      </c>
      <c r="BO31" s="38">
        <f>ROUND(BO$33*'kWh Blocks by Rate Category'!W30,0)</f>
        <v>18033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>IFERROR(ROUND((AU34*AU29)+(AU29*AT34),0),0)</f>
        <v>28035</v>
      </c>
      <c r="AV33" s="64">
        <f t="shared" ref="AV33:AZ33" si="6">IFERROR(ROUND(AV34*AV29,0),0)</f>
        <v>13996</v>
      </c>
      <c r="AW33" s="64">
        <f t="shared" si="6"/>
        <v>14625</v>
      </c>
      <c r="AX33" s="64">
        <f t="shared" si="6"/>
        <v>14798</v>
      </c>
      <c r="AY33" s="64">
        <f t="shared" si="6"/>
        <v>17715</v>
      </c>
      <c r="AZ33" s="64">
        <f t="shared" si="6"/>
        <v>18784</v>
      </c>
      <c r="BA33" s="196">
        <f>SUM(AO33:AZ33)</f>
        <v>107953</v>
      </c>
      <c r="BB33" s="64">
        <v>25698</v>
      </c>
      <c r="BC33" s="64">
        <v>20510</v>
      </c>
      <c r="BD33" s="64">
        <v>19007</v>
      </c>
      <c r="BE33" s="64">
        <v>17736</v>
      </c>
      <c r="BF33" s="64">
        <f t="shared" ref="BF33:BM33" si="7">IFERROR(ROUND(BF34*BF29,0),0)</f>
        <v>16517</v>
      </c>
      <c r="BG33" s="64">
        <f t="shared" si="7"/>
        <v>14026</v>
      </c>
      <c r="BH33" s="64">
        <f t="shared" si="7"/>
        <v>14008</v>
      </c>
      <c r="BI33" s="64">
        <f t="shared" si="7"/>
        <v>13996</v>
      </c>
      <c r="BJ33" s="64">
        <f t="shared" si="7"/>
        <v>14625</v>
      </c>
      <c r="BK33" s="64">
        <f t="shared" si="7"/>
        <v>14798</v>
      </c>
      <c r="BL33" s="64">
        <f t="shared" si="7"/>
        <v>17715</v>
      </c>
      <c r="BM33" s="64">
        <f t="shared" si="7"/>
        <v>18784</v>
      </c>
      <c r="BN33" s="196">
        <f>SUM(BB33:BM33)</f>
        <v>207420</v>
      </c>
      <c r="BO33" s="147">
        <f>ROUND(BO29*BO34,0)</f>
        <v>207420</v>
      </c>
    </row>
    <row r="34" spans="1:67" ht="15.75" customHeight="1" thickTop="1">
      <c r="A34" s="374" t="s">
        <v>54</v>
      </c>
      <c r="B34" s="84">
        <f>IF('kWh_Streetlight Data'!C218=0,"",'kWh_Streetlight Data'!C218)</f>
        <v>2430.909090909091</v>
      </c>
      <c r="C34" s="108">
        <f>IF('kWh_Streetlight Data'!D218=0,"",'kWh_Streetlight Data'!D218)</f>
        <v>1750.5454545454545</v>
      </c>
      <c r="D34" s="108">
        <f>IF('kWh_Streetlight Data'!E218=0,"",'kWh_Streetlight Data'!E218)</f>
        <v>1955.8181818181818</v>
      </c>
      <c r="E34" s="108">
        <f>IF('kWh_Streetlight Data'!F218=0,"",'kWh_Streetlight Data'!F218)</f>
        <v>1774.6363636363637</v>
      </c>
      <c r="F34" s="108">
        <f>IF('kWh_Streetlight Data'!G218=0,"",'kWh_Streetlight Data'!G218)</f>
        <v>1536.8181818181818</v>
      </c>
      <c r="G34" s="108">
        <f>IF('kWh_Streetlight Data'!H218=0,"",'kWh_Streetlight Data'!H218)</f>
        <v>1129.6363636363637</v>
      </c>
      <c r="H34" s="108">
        <f>IF('kWh_Streetlight Data'!I218=0,"",'kWh_Streetlight Data'!I218)</f>
        <v>1258.5454545454545</v>
      </c>
      <c r="I34" s="108">
        <f>IF('kWh_Streetlight Data'!J218=0,"",'kWh_Streetlight Data'!J218)</f>
        <v>1202.2727272727273</v>
      </c>
      <c r="J34" s="108">
        <f>IF('kWh_Streetlight Data'!K218=0,"",'kWh_Streetlight Data'!K218)</f>
        <v>1472</v>
      </c>
      <c r="K34" s="108">
        <f>IF('kWh_Streetlight Data'!L218=0,"",'kWh_Streetlight Data'!L218)</f>
        <v>1618.4545454545455</v>
      </c>
      <c r="L34" s="108">
        <f>IF('kWh_Streetlight Data'!M218=0,"",'kWh_Streetlight Data'!M218)</f>
        <v>1677.5454545454545</v>
      </c>
      <c r="M34" s="108">
        <f>IF('kWh_Streetlight Data'!N218=0,"",'kWh_Streetlight Data'!N218)</f>
        <v>2036.8181818181818</v>
      </c>
      <c r="N34" s="424">
        <f>IF('kWh_Streetlight Data'!O218=0,"",'kWh_Streetlight Data'!O218)</f>
        <v>1653.6666666666667</v>
      </c>
      <c r="O34" s="84">
        <f>IF('kWh_Streetlight Data'!P218=0,"",'kWh_Streetlight Data'!P218)</f>
        <v>2766.909090909091</v>
      </c>
      <c r="P34" s="108">
        <f>IF('kWh_Streetlight Data'!Q218=0,"",'kWh_Streetlight Data'!Q218)</f>
        <v>2493.181818181818</v>
      </c>
      <c r="Q34" s="108">
        <f>IF('kWh_Streetlight Data'!R218=0,"",'kWh_Streetlight Data'!R218)</f>
        <v>2010.3636363636363</v>
      </c>
      <c r="R34" s="108">
        <f>IF('kWh_Streetlight Data'!S218=0,"",'kWh_Streetlight Data'!S218)</f>
        <v>1884.1818181818182</v>
      </c>
      <c r="S34" s="108">
        <f>IF('kWh_Streetlight Data'!T218=0,"",'kWh_Streetlight Data'!T218)</f>
        <v>1769.4545454545455</v>
      </c>
      <c r="T34" s="108">
        <f>IF('kWh_Streetlight Data'!U218=0,"",'kWh_Streetlight Data'!U218)</f>
        <v>1581.5454545454545</v>
      </c>
      <c r="U34" s="108">
        <f>IF('kWh_Streetlight Data'!V218=0,"",'kWh_Streetlight Data'!V218)</f>
        <v>1566.7272727272727</v>
      </c>
      <c r="V34" s="108">
        <f>IF('kWh_Streetlight Data'!W218=0,"",'kWh_Streetlight Data'!W218)</f>
        <v>1314.6363636363637</v>
      </c>
      <c r="W34" s="108">
        <f>IF('kWh_Streetlight Data'!X218=0,"",'kWh_Streetlight Data'!X218)</f>
        <v>1507.8181818181818</v>
      </c>
      <c r="X34" s="108">
        <f>IF('kWh_Streetlight Data'!Y218=0,"",'kWh_Streetlight Data'!Y218)</f>
        <v>1334.090909090909</v>
      </c>
      <c r="Y34" s="108">
        <f>IF('kWh_Streetlight Data'!Z218=0,"",'kWh_Streetlight Data'!Z218)</f>
        <v>1659.3636363636363</v>
      </c>
      <c r="Z34" s="108">
        <f>IF('kWh_Streetlight Data'!AA218=0,"",'kWh_Streetlight Data'!AA218)</f>
        <v>1807.7272727272727</v>
      </c>
      <c r="AA34" s="424">
        <f>IF('kWh_Streetlight Data'!AB218=0,"",'kWh_Streetlight Data'!AB218)</f>
        <v>1808</v>
      </c>
      <c r="AB34" s="129">
        <f>IF('kWh_Streetlight Data'!AC218=0,"",'kWh_Streetlight Data'!AC218)</f>
        <v>2511.4545454545455</v>
      </c>
      <c r="AC34" s="130">
        <f>IF('kWh_Streetlight Data'!AD218=0,"",'kWh_Streetlight Data'!AD218)</f>
        <v>1909.1818181818182</v>
      </c>
      <c r="AD34" s="130">
        <f>IF('kWh_Streetlight Data'!AE218=0,"",'kWh_Streetlight Data'!AE218)</f>
        <v>1735.909090909091</v>
      </c>
      <c r="AE34" s="130">
        <f>IF('kWh_Streetlight Data'!AF218=0,"",'kWh_Streetlight Data'!AF218)</f>
        <v>1662.090909090909</v>
      </c>
      <c r="AF34" s="130">
        <f>IF('kWh_Streetlight Data'!AG218=0,"",'kWh_Streetlight Data'!AG218)</f>
        <v>1648.7272727272727</v>
      </c>
      <c r="AG34" s="130">
        <f>IF('kWh_Streetlight Data'!AH218=0,"",'kWh_Streetlight Data'!AH218)</f>
        <v>1496.7272727272727</v>
      </c>
      <c r="AH34" s="130">
        <f>IF('kWh_Streetlight Data'!AI218=0,"",'kWh_Streetlight Data'!AI218)</f>
        <v>1377.2727272727273</v>
      </c>
      <c r="AI34" s="130">
        <f>IF('kWh_Streetlight Data'!AJ218=0,"",'kWh_Streetlight Data'!AJ218)</f>
        <v>1682</v>
      </c>
      <c r="AJ34" s="130">
        <f>IF('kWh_Streetlight Data'!AK218=0,"",'kWh_Streetlight Data'!AK218)</f>
        <v>1407.6363636363637</v>
      </c>
      <c r="AK34" s="130">
        <f>IF('kWh_Streetlight Data'!AL218=0,"",'kWh_Streetlight Data'!AL218)</f>
        <v>1487</v>
      </c>
      <c r="AL34" s="130">
        <f>IF('kWh_Streetlight Data'!AM218=0,"",'kWh_Streetlight Data'!AM218)</f>
        <v>1977.7272727272727</v>
      </c>
      <c r="AM34" s="130">
        <f>IF('kWh_Streetlight Data'!AN218=0,"",'kWh_Streetlight Data'!AN218)</f>
        <v>1790.5454545454545</v>
      </c>
      <c r="AN34" s="426">
        <f>IF('kWh_Streetlight Data'!AO218=0,"",'kWh_Streetlight Data'!AO218)</f>
        <v>1723.8560606060605</v>
      </c>
      <c r="AO34" s="43"/>
      <c r="AP34" s="40"/>
      <c r="AQ34" s="40"/>
      <c r="AR34" s="40"/>
      <c r="AS34" s="40"/>
      <c r="AT34" s="322">
        <f t="shared" ref="AT34" si="8">IFERROR(AVERAGE(AG34,T34,G34),0)</f>
        <v>1402.6363636363637</v>
      </c>
      <c r="AU34" s="322">
        <f t="shared" ref="AU34" si="9">IFERROR(AVERAGE(AH34,U34,H34),0)</f>
        <v>1400.8484848484848</v>
      </c>
      <c r="AV34" s="9">
        <f t="shared" ref="AV34:AZ34" si="10">IFERROR(AVERAGE(AI34,V34,I34),0)</f>
        <v>1399.6363636363637</v>
      </c>
      <c r="AW34" s="9">
        <f t="shared" si="10"/>
        <v>1462.4848484848487</v>
      </c>
      <c r="AX34" s="9">
        <f t="shared" si="10"/>
        <v>1479.8484848484848</v>
      </c>
      <c r="AY34" s="9">
        <f t="shared" si="10"/>
        <v>1771.5454545454547</v>
      </c>
      <c r="AZ34" s="9">
        <f t="shared" si="10"/>
        <v>1878.3636363636363</v>
      </c>
      <c r="BA34" s="211"/>
      <c r="BB34" s="9">
        <v>2569.757575757576</v>
      </c>
      <c r="BC34" s="17">
        <v>2050.9696969696965</v>
      </c>
      <c r="BD34" s="17">
        <v>1900.6969696969697</v>
      </c>
      <c r="BE34" s="17">
        <v>1773.6363636363637</v>
      </c>
      <c r="BF34" s="17">
        <f t="shared" ref="BF34:BM34" si="11">IFERROR(AVERAGE(F34,S34,AF34),0)</f>
        <v>1651.6666666666667</v>
      </c>
      <c r="BG34" s="17">
        <f t="shared" si="11"/>
        <v>1402.6363636363637</v>
      </c>
      <c r="BH34" s="17">
        <f t="shared" si="11"/>
        <v>1400.8484848484848</v>
      </c>
      <c r="BI34" s="17">
        <f t="shared" si="11"/>
        <v>1399.6363636363637</v>
      </c>
      <c r="BJ34" s="17">
        <f t="shared" si="11"/>
        <v>1462.4848484848487</v>
      </c>
      <c r="BK34" s="17">
        <f t="shared" si="11"/>
        <v>1479.8484848484848</v>
      </c>
      <c r="BL34" s="17">
        <f t="shared" si="11"/>
        <v>1771.5454545454547</v>
      </c>
      <c r="BM34" s="9">
        <f t="shared" si="11"/>
        <v>1878.3636363636363</v>
      </c>
      <c r="BN34" s="211">
        <f>IFERROR(BN33/SUM(BB29:BM29)*12,0)</f>
        <v>20742</v>
      </c>
      <c r="BO34" s="20">
        <f>BN34</f>
        <v>20742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25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Customers!E213</f>
        <v>7</v>
      </c>
      <c r="AV43" s="124">
        <f>Customers!F213</f>
        <v>7</v>
      </c>
      <c r="AW43" s="124">
        <f>Customers!G213</f>
        <v>7</v>
      </c>
      <c r="AX43" s="124">
        <f>Customers!H213</f>
        <v>7</v>
      </c>
      <c r="AY43" s="124">
        <f>Customers!I213</f>
        <v>7</v>
      </c>
      <c r="AZ43" s="124">
        <f>Customers!J213</f>
        <v>7</v>
      </c>
      <c r="BA43" s="210">
        <f>AZ43</f>
        <v>7</v>
      </c>
      <c r="BB43" s="124">
        <v>7</v>
      </c>
      <c r="BC43" s="38">
        <v>7</v>
      </c>
      <c r="BD43" s="38">
        <v>7</v>
      </c>
      <c r="BE43" s="38">
        <v>7</v>
      </c>
      <c r="BF43" s="38">
        <f t="shared" ref="BF43:BM43" si="12">BE43</f>
        <v>7</v>
      </c>
      <c r="BG43" s="38">
        <f t="shared" si="12"/>
        <v>7</v>
      </c>
      <c r="BH43" s="38">
        <f t="shared" si="12"/>
        <v>7</v>
      </c>
      <c r="BI43" s="38">
        <f t="shared" si="12"/>
        <v>7</v>
      </c>
      <c r="BJ43" s="38">
        <f t="shared" si="12"/>
        <v>7</v>
      </c>
      <c r="BK43" s="38">
        <f t="shared" si="12"/>
        <v>7</v>
      </c>
      <c r="BL43" s="38">
        <f t="shared" si="12"/>
        <v>7</v>
      </c>
      <c r="BM43" s="38">
        <f t="shared" si="12"/>
        <v>7</v>
      </c>
      <c r="BN43" s="210">
        <f>IFERROR(ROUND(AVERAGE(BB43:BM43),0),0)</f>
        <v>7</v>
      </c>
      <c r="BO43" s="90">
        <f>Customers!L213</f>
        <v>7</v>
      </c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51022</v>
      </c>
      <c r="AV44" s="38">
        <f t="shared" ref="AV44:AZ44" si="13">AV47</f>
        <v>30659</v>
      </c>
      <c r="AW44" s="38">
        <f t="shared" si="13"/>
        <v>25604</v>
      </c>
      <c r="AX44" s="38">
        <f t="shared" si="13"/>
        <v>26728</v>
      </c>
      <c r="AY44" s="38">
        <f t="shared" si="13"/>
        <v>24181</v>
      </c>
      <c r="AZ44" s="38">
        <f t="shared" si="13"/>
        <v>23493</v>
      </c>
      <c r="BA44" s="210">
        <f>SUM(AO44:AZ44)</f>
        <v>181687</v>
      </c>
      <c r="BB44" s="38">
        <v>26612</v>
      </c>
      <c r="BC44" s="38">
        <v>23643</v>
      </c>
      <c r="BD44" s="38">
        <v>20659</v>
      </c>
      <c r="BE44" s="38">
        <v>23364</v>
      </c>
      <c r="BF44" s="38">
        <f>ROUND(BF$47*'kWh Blocks by Rate Category'!N43,0)</f>
        <v>23226</v>
      </c>
      <c r="BG44" s="38">
        <f>ROUND(BG$47*'kWh Blocks by Rate Category'!O43,0)</f>
        <v>22452</v>
      </c>
      <c r="BH44" s="38">
        <f>ROUND(BH$47*'kWh Blocks by Rate Category'!P43,0)</f>
        <v>23112</v>
      </c>
      <c r="BI44" s="38">
        <f>ROUND(BI$47*'kWh Blocks by Rate Category'!Q43,0)</f>
        <v>27378</v>
      </c>
      <c r="BJ44" s="38">
        <f>ROUND(BJ$47*'kWh Blocks by Rate Category'!R43,0)</f>
        <v>22864</v>
      </c>
      <c r="BK44" s="38">
        <f>ROUND(BK$47*'kWh Blocks by Rate Category'!S43,0)</f>
        <v>23868</v>
      </c>
      <c r="BL44" s="38">
        <f>ROUND(BL$47*'kWh Blocks by Rate Category'!T43,0)</f>
        <v>21593</v>
      </c>
      <c r="BM44" s="38">
        <f>ROUND(BM$47*'kWh Blocks by Rate Category'!U43,0)</f>
        <v>20979</v>
      </c>
      <c r="BN44" s="210">
        <f>SUM(BB44:BM44)</f>
        <v>279750</v>
      </c>
      <c r="BO44" s="38">
        <f>ROUND(BO$47*'kWh Blocks by Rate Category'!W43,0)</f>
        <v>279751</v>
      </c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2264</v>
      </c>
      <c r="BC45" s="38">
        <v>2012</v>
      </c>
      <c r="BD45" s="38">
        <v>1758</v>
      </c>
      <c r="BE45" s="38">
        <v>1988</v>
      </c>
      <c r="BF45" s="38">
        <f>ROUND(BF$47*'kWh Blocks by Rate Category'!N44,0)</f>
        <v>1976</v>
      </c>
      <c r="BG45" s="38">
        <f>ROUND(BG$47*'kWh Blocks by Rate Category'!O44,0)</f>
        <v>1910</v>
      </c>
      <c r="BH45" s="38">
        <f>ROUND(BH$47*'kWh Blocks by Rate Category'!P44,0)</f>
        <v>1966</v>
      </c>
      <c r="BI45" s="38">
        <f>ROUND(BI$47*'kWh Blocks by Rate Category'!Q44,0)</f>
        <v>2330</v>
      </c>
      <c r="BJ45" s="38">
        <f>ROUND(BJ$47*'kWh Blocks by Rate Category'!R44,0)</f>
        <v>1945</v>
      </c>
      <c r="BK45" s="38">
        <f>ROUND(BK$47*'kWh Blocks by Rate Category'!S44,0)</f>
        <v>2031</v>
      </c>
      <c r="BL45" s="38">
        <f>ROUND(BL$47*'kWh Blocks by Rate Category'!T44,0)</f>
        <v>1837</v>
      </c>
      <c r="BM45" s="38">
        <f>ROUND(BM$47*'kWh Blocks by Rate Category'!U44,0)</f>
        <v>1785</v>
      </c>
      <c r="BN45" s="210">
        <f>SUM(BB45:BM45)</f>
        <v>23802</v>
      </c>
      <c r="BO45" s="38">
        <f>ROUND(BO$47*'kWh Blocks by Rate Category'!W44,0)</f>
        <v>23803</v>
      </c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925</v>
      </c>
      <c r="BC46" s="38">
        <v>821</v>
      </c>
      <c r="BD46" s="38">
        <v>718</v>
      </c>
      <c r="BE46" s="38">
        <v>812</v>
      </c>
      <c r="BF46" s="38">
        <f>ROUND(BF$47*'kWh Blocks by Rate Category'!N45,0)</f>
        <v>807</v>
      </c>
      <c r="BG46" s="38">
        <f>ROUND(BG$47*'kWh Blocks by Rate Category'!O45,0)</f>
        <v>780</v>
      </c>
      <c r="BH46" s="38">
        <f>ROUND(BH$47*'kWh Blocks by Rate Category'!P45,0)</f>
        <v>803</v>
      </c>
      <c r="BI46" s="38">
        <f>ROUND(BI$47*'kWh Blocks by Rate Category'!Q45,0)</f>
        <v>951</v>
      </c>
      <c r="BJ46" s="38">
        <f>ROUND(BJ$47*'kWh Blocks by Rate Category'!R45,0)</f>
        <v>794</v>
      </c>
      <c r="BK46" s="38">
        <f>ROUND(BK$47*'kWh Blocks by Rate Category'!S45,0)</f>
        <v>829</v>
      </c>
      <c r="BL46" s="38">
        <f>ROUND(BL$47*'kWh Blocks by Rate Category'!T45,0)</f>
        <v>750</v>
      </c>
      <c r="BM46" s="38">
        <f>ROUND(BM$47*'kWh Blocks by Rate Category'!U45,0)</f>
        <v>729</v>
      </c>
      <c r="BN46" s="210">
        <f>SUM(BB46:BM46)</f>
        <v>9719</v>
      </c>
      <c r="BO46" s="38">
        <f>ROUND(BO$47*'kWh Blocks by Rate Category'!W45,0)</f>
        <v>9719</v>
      </c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>IFERROR(ROUND((AU48*AU43)+(AU43*AT48),0),0)</f>
        <v>51022</v>
      </c>
      <c r="AV47" s="64">
        <f t="shared" ref="AV47:AZ47" si="14">IFERROR(ROUND(AV48*AV43,0),0)</f>
        <v>30659</v>
      </c>
      <c r="AW47" s="64">
        <f t="shared" si="14"/>
        <v>25604</v>
      </c>
      <c r="AX47" s="64">
        <f t="shared" si="14"/>
        <v>26728</v>
      </c>
      <c r="AY47" s="64">
        <f t="shared" si="14"/>
        <v>24181</v>
      </c>
      <c r="AZ47" s="64">
        <f t="shared" si="14"/>
        <v>23493</v>
      </c>
      <c r="BA47" s="196">
        <f>SUM(AO47:AZ47)</f>
        <v>181687</v>
      </c>
      <c r="BB47" s="64">
        <v>29801</v>
      </c>
      <c r="BC47" s="64">
        <v>26476</v>
      </c>
      <c r="BD47" s="64">
        <v>23135</v>
      </c>
      <c r="BE47" s="64">
        <v>26164</v>
      </c>
      <c r="BF47" s="64">
        <f t="shared" ref="BF47:BM47" si="15">IFERROR(ROUND(BF48*BF43,0),0)</f>
        <v>26009</v>
      </c>
      <c r="BG47" s="64">
        <f t="shared" si="15"/>
        <v>25142</v>
      </c>
      <c r="BH47" s="64">
        <f t="shared" si="15"/>
        <v>25881</v>
      </c>
      <c r="BI47" s="64">
        <f t="shared" si="15"/>
        <v>30659</v>
      </c>
      <c r="BJ47" s="64">
        <f t="shared" si="15"/>
        <v>25604</v>
      </c>
      <c r="BK47" s="64">
        <f t="shared" si="15"/>
        <v>26728</v>
      </c>
      <c r="BL47" s="64">
        <f t="shared" si="15"/>
        <v>24181</v>
      </c>
      <c r="BM47" s="64">
        <f t="shared" si="15"/>
        <v>23493</v>
      </c>
      <c r="BN47" s="196">
        <f>SUM(BB47:BM47)</f>
        <v>313273</v>
      </c>
      <c r="BO47" s="333">
        <f>ROUND(BO43*BO48,0)</f>
        <v>313273</v>
      </c>
    </row>
    <row r="48" spans="1:67" ht="15.75" customHeight="1" thickTop="1">
      <c r="A48" s="374" t="s">
        <v>54</v>
      </c>
      <c r="B48" s="129">
        <f>IF('kWh_Streetlight Data'!C219=0,"",'kWh_Streetlight Data'!C219)</f>
        <v>4163.333333333333</v>
      </c>
      <c r="C48" s="130">
        <f>IF('kWh_Streetlight Data'!D219=0,"",'kWh_Streetlight Data'!D219)</f>
        <v>3408.3333333333335</v>
      </c>
      <c r="D48" s="130">
        <f>IF('kWh_Streetlight Data'!E219=0,"",'kWh_Streetlight Data'!E219)</f>
        <v>3123.3333333333335</v>
      </c>
      <c r="E48" s="130">
        <f>IF('kWh_Streetlight Data'!F219=0,"",'kWh_Streetlight Data'!F219)</f>
        <v>4521.666666666667</v>
      </c>
      <c r="F48" s="130">
        <f>IF('kWh_Streetlight Data'!G219=0,"",'kWh_Streetlight Data'!G219)</f>
        <v>3845</v>
      </c>
      <c r="G48" s="130">
        <f>IF('kWh_Streetlight Data'!H219=0,"",'kWh_Streetlight Data'!H219)</f>
        <v>3473.3333333333335</v>
      </c>
      <c r="H48" s="130">
        <f>IF('kWh_Streetlight Data'!I219=0,"",'kWh_Streetlight Data'!I219)</f>
        <v>3555</v>
      </c>
      <c r="I48" s="130">
        <f>IF('kWh_Streetlight Data'!J219=0,"",'kWh_Streetlight Data'!J219)</f>
        <v>4021.6666666666665</v>
      </c>
      <c r="J48" s="130">
        <f>IF('kWh_Streetlight Data'!K219=0,"",'kWh_Streetlight Data'!K219)</f>
        <v>3456.6666666666665</v>
      </c>
      <c r="K48" s="130">
        <f>IF('kWh_Streetlight Data'!L219=0,"",'kWh_Streetlight Data'!L219)</f>
        <v>3738.3333333333335</v>
      </c>
      <c r="L48" s="130">
        <f>IF('kWh_Streetlight Data'!M219=0,"",'kWh_Streetlight Data'!M219)</f>
        <v>3230</v>
      </c>
      <c r="M48" s="130">
        <f>IF('kWh_Streetlight Data'!N219=0,"",'kWh_Streetlight Data'!N219)</f>
        <v>3530</v>
      </c>
      <c r="N48" s="424">
        <f>IF('kWh_Streetlight Data'!O219=0,"",'kWh_Streetlight Data'!O219)</f>
        <v>3672.2222222222222</v>
      </c>
      <c r="O48" s="129">
        <f>IF('kWh_Streetlight Data'!P219=0,"",'kWh_Streetlight Data'!P219)</f>
        <v>4248.333333333333</v>
      </c>
      <c r="P48" s="130">
        <f>IF('kWh_Streetlight Data'!Q219=0,"",'kWh_Streetlight Data'!Q219)</f>
        <v>3940</v>
      </c>
      <c r="Q48" s="130">
        <f>IF('kWh_Streetlight Data'!R219=0,"",'kWh_Streetlight Data'!R219)</f>
        <v>3225</v>
      </c>
      <c r="R48" s="130">
        <f>IF('kWh_Streetlight Data'!S219=0,"",'kWh_Streetlight Data'!S219)</f>
        <v>3600</v>
      </c>
      <c r="S48" s="130">
        <f>IF('kWh_Streetlight Data'!T219=0,"",'kWh_Streetlight Data'!T219)</f>
        <v>3775</v>
      </c>
      <c r="T48" s="130">
        <f>IF('kWh_Streetlight Data'!U219=0,"",'kWh_Streetlight Data'!U219)</f>
        <v>3623.3333333333335</v>
      </c>
      <c r="U48" s="130">
        <f>IF('kWh_Streetlight Data'!V219=0,"",'kWh_Streetlight Data'!V219)</f>
        <v>3913.3333333333335</v>
      </c>
      <c r="V48" s="130">
        <f>IF('kWh_Streetlight Data'!W219=0,"",'kWh_Streetlight Data'!W219)</f>
        <v>3360</v>
      </c>
      <c r="W48" s="130">
        <f>IF('kWh_Streetlight Data'!X219=0,"",'kWh_Streetlight Data'!X219)</f>
        <v>4235</v>
      </c>
      <c r="X48" s="130">
        <f>IF('kWh_Streetlight Data'!Y219=0,"",'kWh_Streetlight Data'!Y219)</f>
        <v>3396.6666666666665</v>
      </c>
      <c r="Y48" s="130">
        <f>IF('kWh_Streetlight Data'!Z219=0,"",'kWh_Streetlight Data'!Z219)</f>
        <v>3533.3333333333335</v>
      </c>
      <c r="Z48" s="130">
        <f>IF('kWh_Streetlight Data'!AA219=0,"",'kWh_Streetlight Data'!AA219)</f>
        <v>3443.3333333333335</v>
      </c>
      <c r="AA48" s="424">
        <f>IF('kWh_Streetlight Data'!AB219=0,"",'kWh_Streetlight Data'!AB219)</f>
        <v>3691.1111111111113</v>
      </c>
      <c r="AB48" s="129">
        <f>IF('kWh_Streetlight Data'!AC219=0,"",'kWh_Streetlight Data'!AC219)</f>
        <v>4360</v>
      </c>
      <c r="AC48" s="130">
        <f>IF('kWh_Streetlight Data'!AD219=0,"",'kWh_Streetlight Data'!AD219)</f>
        <v>3998.3333333333335</v>
      </c>
      <c r="AD48" s="130">
        <f>IF('kWh_Streetlight Data'!AE219=0,"",'kWh_Streetlight Data'!AE219)</f>
        <v>3566.6666666666665</v>
      </c>
      <c r="AE48" s="130">
        <f>IF('kWh_Streetlight Data'!AF219=0,"",'kWh_Streetlight Data'!AF219)</f>
        <v>3091.6666666666665</v>
      </c>
      <c r="AF48" s="130">
        <f>IF('kWh_Streetlight Data'!AG219=0,"",'kWh_Streetlight Data'!AG219)</f>
        <v>3526.6666666666665</v>
      </c>
      <c r="AG48" s="130">
        <f>IF('kWh_Streetlight Data'!AH219=0,"",'kWh_Streetlight Data'!AH219)</f>
        <v>3678.3333333333335</v>
      </c>
      <c r="AH48" s="130">
        <f>IF('kWh_Streetlight Data'!AI219=0,"",'kWh_Streetlight Data'!AI219)</f>
        <v>3623.3333333333335</v>
      </c>
      <c r="AI48" s="130">
        <f>IF('kWh_Streetlight Data'!AJ219=0,"",'kWh_Streetlight Data'!AJ219)</f>
        <v>5758</v>
      </c>
      <c r="AJ48" s="130">
        <f>IF('kWh_Streetlight Data'!AK219=0,"",'kWh_Streetlight Data'!AK219)</f>
        <v>3281.4285714285716</v>
      </c>
      <c r="AK48" s="130">
        <f>IF('kWh_Streetlight Data'!AL219=0,"",'kWh_Streetlight Data'!AL219)</f>
        <v>4320</v>
      </c>
      <c r="AL48" s="130">
        <f>IF('kWh_Streetlight Data'!AM219=0,"",'kWh_Streetlight Data'!AM219)</f>
        <v>3600</v>
      </c>
      <c r="AM48" s="130">
        <f>IF('kWh_Streetlight Data'!AN219=0,"",'kWh_Streetlight Data'!AN219)</f>
        <v>3095</v>
      </c>
      <c r="AN48" s="426">
        <f>IF('kWh_Streetlight Data'!AO219=0,"",'kWh_Streetlight Data'!AO219)</f>
        <v>3790.5555555555557</v>
      </c>
      <c r="AO48" s="43"/>
      <c r="AP48" s="40"/>
      <c r="AQ48" s="40"/>
      <c r="AR48" s="40"/>
      <c r="AS48" s="40"/>
      <c r="AT48" s="322">
        <f t="shared" ref="AT48" si="16">IFERROR(AVERAGE(AG48,T48,G48),0)</f>
        <v>3591.6666666666665</v>
      </c>
      <c r="AU48" s="322">
        <f t="shared" ref="AU48" si="17">IFERROR(AVERAGE(AH48,U48,H48),0)</f>
        <v>3697.2222222222226</v>
      </c>
      <c r="AV48" s="9">
        <f t="shared" ref="AV48:AZ48" si="18">IFERROR(AVERAGE(AI48,V48,I48),0)</f>
        <v>4379.8888888888887</v>
      </c>
      <c r="AW48" s="9">
        <f t="shared" si="18"/>
        <v>3657.698412698413</v>
      </c>
      <c r="AX48" s="9">
        <f t="shared" si="18"/>
        <v>3818.3333333333335</v>
      </c>
      <c r="AY48" s="9">
        <f t="shared" si="18"/>
        <v>3454.4444444444448</v>
      </c>
      <c r="AZ48" s="9">
        <f t="shared" si="18"/>
        <v>3356.1111111111113</v>
      </c>
      <c r="BA48" s="211"/>
      <c r="BB48" s="9">
        <v>4257.2222222222217</v>
      </c>
      <c r="BC48" s="17">
        <v>3782.2222222222226</v>
      </c>
      <c r="BD48" s="17">
        <v>3305</v>
      </c>
      <c r="BE48" s="17">
        <v>3737.7777777777778</v>
      </c>
      <c r="BF48" s="17">
        <f t="shared" ref="BF48:BM48" si="19">IFERROR(AVERAGE(F48,S48,AF48),0)</f>
        <v>3715.5555555555552</v>
      </c>
      <c r="BG48" s="17">
        <f t="shared" si="19"/>
        <v>3591.6666666666665</v>
      </c>
      <c r="BH48" s="17">
        <f t="shared" si="19"/>
        <v>3697.2222222222226</v>
      </c>
      <c r="BI48" s="17">
        <f t="shared" si="19"/>
        <v>4379.8888888888887</v>
      </c>
      <c r="BJ48" s="17">
        <f t="shared" si="19"/>
        <v>3657.6984126984121</v>
      </c>
      <c r="BK48" s="17">
        <f t="shared" si="19"/>
        <v>3818.3333333333335</v>
      </c>
      <c r="BL48" s="17">
        <f t="shared" si="19"/>
        <v>3454.4444444444448</v>
      </c>
      <c r="BM48" s="9">
        <f t="shared" si="19"/>
        <v>3356.1111111111113</v>
      </c>
      <c r="BN48" s="211">
        <f>IFERROR(BN47/SUM(BB43:BM43)*12,0)</f>
        <v>44753.28571428571</v>
      </c>
      <c r="BO48" s="20">
        <f>BN48</f>
        <v>44753.28571428571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8" si="20">BE57</f>
        <v>0</v>
      </c>
      <c r="BG57" s="38">
        <f t="shared" si="20"/>
        <v>0</v>
      </c>
      <c r="BH57" s="38">
        <f t="shared" si="20"/>
        <v>0</v>
      </c>
      <c r="BI57" s="38">
        <f t="shared" si="20"/>
        <v>0</v>
      </c>
      <c r="BJ57" s="38">
        <f t="shared" si="20"/>
        <v>0</v>
      </c>
      <c r="BK57" s="38">
        <f t="shared" si="20"/>
        <v>0</v>
      </c>
      <c r="BL57" s="38">
        <f t="shared" si="20"/>
        <v>0</v>
      </c>
      <c r="BM57" s="38">
        <f t="shared" si="20"/>
        <v>0</v>
      </c>
      <c r="BN57" s="210">
        <f>IFERROR(ROUND(AVERAGE(BB57:BM57),0),0)</f>
        <v>0</v>
      </c>
      <c r="BO57" s="156">
        <f>Customers!L214</f>
        <v>0</v>
      </c>
    </row>
    <row r="58" spans="1:67" ht="15.75" customHeight="1" thickBot="1">
      <c r="A58" s="201" t="s">
        <v>30</v>
      </c>
      <c r="B58" s="113" t="str">
        <f>IF('kWh_Streetlight Data'!C249=0,"",'kWh_Streetlight Data'!C249)</f>
        <v/>
      </c>
      <c r="C58" s="114" t="str">
        <f>IF('kWh_Streetlight Data'!D249=0,"",'kWh_Streetlight Data'!D249)</f>
        <v/>
      </c>
      <c r="D58" s="114" t="str">
        <f>IF('kWh_Streetlight Data'!E249=0,"",'kWh_Streetlight Data'!E249)</f>
        <v/>
      </c>
      <c r="E58" s="114" t="str">
        <f>IF('kWh_Streetlight Data'!F249=0,"",'kWh_Streetlight Data'!F249)</f>
        <v/>
      </c>
      <c r="F58" s="114" t="str">
        <f>IF('kWh_Streetlight Data'!G249=0,"",'kWh_Streetlight Data'!G249)</f>
        <v/>
      </c>
      <c r="G58" s="114" t="str">
        <f>IF('kWh_Streetlight Data'!H249=0,"",'kWh_Streetlight Data'!H249)</f>
        <v/>
      </c>
      <c r="H58" s="114" t="str">
        <f>IF('kWh_Streetlight Data'!I249=0,"",'kWh_Streetlight Data'!I249)</f>
        <v/>
      </c>
      <c r="I58" s="114" t="str">
        <f>IF('kWh_Streetlight Data'!J249=0,"",'kWh_Streetlight Data'!J249)</f>
        <v/>
      </c>
      <c r="J58" s="114" t="str">
        <f>IF('kWh_Streetlight Data'!K249=0,"",'kWh_Streetlight Data'!K249)</f>
        <v/>
      </c>
      <c r="K58" s="114" t="str">
        <f>IF('kWh_Streetlight Data'!L249=0,"",'kWh_Streetlight Data'!L249)</f>
        <v/>
      </c>
      <c r="L58" s="114" t="str">
        <f>IF('kWh_Streetlight Data'!M249=0,"",'kWh_Streetlight Data'!M249)</f>
        <v/>
      </c>
      <c r="M58" s="114" t="str">
        <f>IF('kWh_Streetlight Data'!N249=0,"",'kWh_Streetlight Data'!N249)</f>
        <v/>
      </c>
      <c r="N58" s="459" t="str">
        <f>IF('kWh_Streetlight Data'!O249=0,"",'kWh_Streetlight Data'!O249)</f>
        <v/>
      </c>
      <c r="O58" s="113" t="str">
        <f>IF('kWh_Streetlight Data'!P249=0,"",'kWh_Streetlight Data'!P249)</f>
        <v/>
      </c>
      <c r="P58" s="114" t="str">
        <f>IF('kWh_Streetlight Data'!Q249=0,"",'kWh_Streetlight Data'!Q249)</f>
        <v/>
      </c>
      <c r="Q58" s="114" t="str">
        <f>IF('kWh_Streetlight Data'!R249=0,"",'kWh_Streetlight Data'!R249)</f>
        <v/>
      </c>
      <c r="R58" s="114" t="str">
        <f>IF('kWh_Streetlight Data'!S249=0,"",'kWh_Streetlight Data'!S249)</f>
        <v/>
      </c>
      <c r="S58" s="114" t="str">
        <f>IF('kWh_Streetlight Data'!T249=0,"",'kWh_Streetlight Data'!T249)</f>
        <v/>
      </c>
      <c r="T58" s="114" t="str">
        <f>IF('kWh_Streetlight Data'!U249=0,"",'kWh_Streetlight Data'!U249)</f>
        <v/>
      </c>
      <c r="U58" s="114" t="str">
        <f>IF('kWh_Streetlight Data'!V249=0,"",'kWh_Streetlight Data'!V249)</f>
        <v/>
      </c>
      <c r="V58" s="114" t="str">
        <f>IF('kWh_Streetlight Data'!W249=0,"",'kWh_Streetlight Data'!W249)</f>
        <v/>
      </c>
      <c r="W58" s="114" t="str">
        <f>IF('kWh_Streetlight Data'!X249=0,"",'kWh_Streetlight Data'!X249)</f>
        <v/>
      </c>
      <c r="X58" s="114" t="str">
        <f>IF('kWh_Streetlight Data'!Y249=0,"",'kWh_Streetlight Data'!Y249)</f>
        <v/>
      </c>
      <c r="Y58" s="114" t="str">
        <f>IF('kWh_Streetlight Data'!Z249=0,"",'kWh_Streetlight Data'!Z249)</f>
        <v/>
      </c>
      <c r="Z58" s="114" t="str">
        <f>IF('kWh_Streetlight Data'!AA249=0,"",'kWh_Streetlight Data'!AA249)</f>
        <v/>
      </c>
      <c r="AA58" s="459" t="str">
        <f>IF('kWh_Streetlight Data'!AB249=0,"",'kWh_Streetlight Data'!AB249)</f>
        <v/>
      </c>
      <c r="AB58" s="240" t="str">
        <f>IF('kWh_Streetlight Data'!AC249=0,"",'kWh_Streetlight Data'!AC249)</f>
        <v/>
      </c>
      <c r="AC58" s="117" t="str">
        <f>IF('kWh_Streetlight Data'!AD249=0,"",'kWh_Streetlight Data'!AD249)</f>
        <v/>
      </c>
      <c r="AD58" s="117" t="str">
        <f>IF('kWh_Streetlight Data'!AE249=0,"",'kWh_Streetlight Data'!AE249)</f>
        <v/>
      </c>
      <c r="AE58" s="117" t="str">
        <f>IF('kWh_Streetlight Data'!AF249=0,"",'kWh_Streetlight Data'!AF249)</f>
        <v/>
      </c>
      <c r="AF58" s="117" t="str">
        <f>IF('kWh_Streetlight Data'!AG249=0,"",'kWh_Streetlight Data'!AG249)</f>
        <v/>
      </c>
      <c r="AG58" s="117" t="str">
        <f>IF('kWh_Streetlight Data'!AH249=0,"",'kWh_Streetlight Data'!AH249)</f>
        <v/>
      </c>
      <c r="AH58" s="117" t="str">
        <f>IF('kWh_Streetlight Data'!AI249=0,"",'kWh_Streetlight Data'!AI249)</f>
        <v/>
      </c>
      <c r="AI58" s="117" t="str">
        <f>IF('kWh_Streetlight Data'!AJ249=0,"",'kWh_Streetlight Data'!AJ249)</f>
        <v/>
      </c>
      <c r="AJ58" s="117" t="str">
        <f>IF('kWh_Streetlight Data'!AK249=0,"",'kWh_Streetlight Data'!AK249)</f>
        <v/>
      </c>
      <c r="AK58" s="117" t="str">
        <f>IF('kWh_Streetlight Data'!AL249=0,"",'kWh_Streetlight Data'!AL249)</f>
        <v/>
      </c>
      <c r="AL58" s="117" t="str">
        <f>IF('kWh_Streetlight Data'!AM249=0,"",'kWh_Streetlight Data'!AM249)</f>
        <v/>
      </c>
      <c r="AM58" s="117" t="str">
        <f>IF('kWh_Streetlight Data'!AN249=0,"",'kWh_Streetlight Data'!AN249)</f>
        <v/>
      </c>
      <c r="AN58" s="464" t="str">
        <f>IF('kWh_Streetlight Data'!AO249=0,"",'kWh_Streetlight Data'!AO249)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si="20"/>
        <v>0</v>
      </c>
      <c r="BG58" s="160">
        <f t="shared" si="20"/>
        <v>0</v>
      </c>
      <c r="BH58" s="160">
        <f t="shared" si="20"/>
        <v>0</v>
      </c>
      <c r="BI58" s="160">
        <f t="shared" si="20"/>
        <v>0</v>
      </c>
      <c r="BJ58" s="160">
        <f t="shared" si="20"/>
        <v>0</v>
      </c>
      <c r="BK58" s="160">
        <f t="shared" si="20"/>
        <v>0</v>
      </c>
      <c r="BL58" s="160">
        <f t="shared" si="20"/>
        <v>0</v>
      </c>
      <c r="BM58" s="160">
        <f t="shared" si="20"/>
        <v>0</v>
      </c>
      <c r="BN58" s="213">
        <f>SUM(BB58:BM58)</f>
        <v>0</v>
      </c>
      <c r="BO58" s="175">
        <f t="shared" ref="BO58" si="21">BN58</f>
        <v>0</v>
      </c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55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55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196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Data'!C220=0,"",'kWh_Streetlight Data'!C220)</f>
        <v/>
      </c>
      <c r="C69" s="130" t="str">
        <f>IF('kWh_Streetlight Data'!D220=0,"",'kWh_Streetlight Data'!D220)</f>
        <v/>
      </c>
      <c r="D69" s="130" t="str">
        <f>IF('kWh_Streetlight Data'!E220=0,"",'kWh_Streetlight Data'!E220)</f>
        <v/>
      </c>
      <c r="E69" s="130" t="str">
        <f>IF('kWh_Streetlight Data'!F220=0,"",'kWh_Streetlight Data'!F220)</f>
        <v/>
      </c>
      <c r="F69" s="130" t="str">
        <f>IF('kWh_Streetlight Data'!G220=0,"",'kWh_Streetlight Data'!G220)</f>
        <v/>
      </c>
      <c r="G69" s="130" t="str">
        <f>IF('kWh_Streetlight Data'!H220=0,"",'kWh_Streetlight Data'!H220)</f>
        <v/>
      </c>
      <c r="H69" s="130" t="str">
        <f>IF('kWh_Streetlight Data'!I220=0,"",'kWh_Streetlight Data'!I220)</f>
        <v/>
      </c>
      <c r="I69" s="130" t="str">
        <f>IF('kWh_Streetlight Data'!J220=0,"",'kWh_Streetlight Data'!J220)</f>
        <v/>
      </c>
      <c r="J69" s="130" t="str">
        <f>IF('kWh_Streetlight Data'!K220=0,"",'kWh_Streetlight Data'!K220)</f>
        <v/>
      </c>
      <c r="K69" s="130" t="str">
        <f>IF('kWh_Streetlight Data'!L220=0,"",'kWh_Streetlight Data'!L220)</f>
        <v/>
      </c>
      <c r="L69" s="130" t="str">
        <f>IF('kWh_Streetlight Data'!M220=0,"",'kWh_Streetlight Data'!M220)</f>
        <v/>
      </c>
      <c r="M69" s="130" t="str">
        <f>IF('kWh_Streetlight Data'!N220=0,"",'kWh_Streetlight Data'!N220)</f>
        <v/>
      </c>
      <c r="N69" s="424" t="str">
        <f>IF('kWh_Streetlight Data'!O220=0,"",'kWh_Streetlight Data'!O220)</f>
        <v/>
      </c>
      <c r="O69" s="84" t="str">
        <f>IF('kWh_Streetlight Data'!P220=0,"",'kWh_Streetlight Data'!P220)</f>
        <v/>
      </c>
      <c r="P69" s="108" t="str">
        <f>IF('kWh_Streetlight Data'!Q220=0,"",'kWh_Streetlight Data'!Q220)</f>
        <v/>
      </c>
      <c r="Q69" s="108" t="str">
        <f>IF('kWh_Streetlight Data'!R220=0,"",'kWh_Streetlight Data'!R220)</f>
        <v/>
      </c>
      <c r="R69" s="108" t="str">
        <f>IF('kWh_Streetlight Data'!S220=0,"",'kWh_Streetlight Data'!S220)</f>
        <v/>
      </c>
      <c r="S69" s="108" t="str">
        <f>IF('kWh_Streetlight Data'!T220=0,"",'kWh_Streetlight Data'!T220)</f>
        <v/>
      </c>
      <c r="T69" s="108" t="str">
        <f>IF('kWh_Streetlight Data'!U220=0,"",'kWh_Streetlight Data'!U220)</f>
        <v/>
      </c>
      <c r="U69" s="108" t="str">
        <f>IF('kWh_Streetlight Data'!V220=0,"",'kWh_Streetlight Data'!V220)</f>
        <v/>
      </c>
      <c r="V69" s="108" t="str">
        <f>IF('kWh_Streetlight Data'!W220=0,"",'kWh_Streetlight Data'!W220)</f>
        <v/>
      </c>
      <c r="W69" s="108" t="str">
        <f>IF('kWh_Streetlight Data'!X220=0,"",'kWh_Streetlight Data'!X220)</f>
        <v/>
      </c>
      <c r="X69" s="108" t="str">
        <f>IF('kWh_Streetlight Data'!Y220=0,"",'kWh_Streetlight Data'!Y220)</f>
        <v/>
      </c>
      <c r="Y69" s="108" t="str">
        <f>IF('kWh_Streetlight Data'!Z220=0,"",'kWh_Streetlight Data'!Z220)</f>
        <v/>
      </c>
      <c r="Z69" s="108" t="str">
        <f>IF('kWh_Streetlight Data'!AA220=0,"",'kWh_Streetlight Data'!AA220)</f>
        <v/>
      </c>
      <c r="AA69" s="424" t="str">
        <f>IF('kWh_Streetlight Data'!AB220=0,"",'kWh_Streetlight Data'!AB220)</f>
        <v/>
      </c>
      <c r="AB69" s="84" t="str">
        <f>IF('kWh_Streetlight Data'!AC220=0,"",'kWh_Streetlight Data'!AC220)</f>
        <v/>
      </c>
      <c r="AC69" s="108" t="str">
        <f>IF('kWh_Streetlight Data'!AD220=0,"",'kWh_Streetlight Data'!AD220)</f>
        <v/>
      </c>
      <c r="AD69" s="108" t="str">
        <f>IF('kWh_Streetlight Data'!AE220=0,"",'kWh_Streetlight Data'!AE220)</f>
        <v/>
      </c>
      <c r="AE69" s="108" t="str">
        <f>IF('kWh_Streetlight Data'!AF220=0,"",'kWh_Streetlight Data'!AF220)</f>
        <v/>
      </c>
      <c r="AF69" s="108" t="str">
        <f>IF('kWh_Streetlight Data'!AG220=0,"",'kWh_Streetlight Data'!AG220)</f>
        <v/>
      </c>
      <c r="AG69" s="108" t="str">
        <f>IF('kWh_Streetlight Data'!AH220=0,"",'kWh_Streetlight Data'!AH220)</f>
        <v/>
      </c>
      <c r="AH69" s="130" t="str">
        <f>IF('kWh_Streetlight Data'!AI220=0,"",'kWh_Streetlight Data'!AI220)</f>
        <v/>
      </c>
      <c r="AI69" s="130" t="str">
        <f>IF('kWh_Streetlight Data'!AJ220=0,"",'kWh_Streetlight Data'!AJ220)</f>
        <v/>
      </c>
      <c r="AJ69" s="130" t="str">
        <f>IF('kWh_Streetlight Data'!AK220=0,"",'kWh_Streetlight Data'!AK220)</f>
        <v/>
      </c>
      <c r="AK69" s="130" t="str">
        <f>IF('kWh_Streetlight Data'!AL220=0,"",'kWh_Streetlight Data'!AL220)</f>
        <v/>
      </c>
      <c r="AL69" s="130" t="str">
        <f>IF('kWh_Streetlight Data'!AM220=0,"",'kWh_Streetlight Data'!AM220)</f>
        <v/>
      </c>
      <c r="AM69" s="130" t="str">
        <f>IF('kWh_Streetlight Data'!AN220=0,"",'kWh_Streetlight Data'!AN220)</f>
        <v/>
      </c>
      <c r="AN69" s="424" t="str">
        <f>IF('kWh_Streetlight Data'!AO220=0,"",'kWh_Streetlight Data'!AO220)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153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Customers!E217</f>
        <v>10</v>
      </c>
      <c r="AV75" s="38">
        <f>Customers!F217</f>
        <v>10</v>
      </c>
      <c r="AW75" s="38">
        <f>Customers!G217</f>
        <v>10</v>
      </c>
      <c r="AX75" s="38">
        <f>Customers!H217</f>
        <v>10</v>
      </c>
      <c r="AY75" s="38">
        <f>Customers!I217</f>
        <v>10</v>
      </c>
      <c r="AZ75" s="38">
        <f>Customers!J217</f>
        <v>10</v>
      </c>
      <c r="BA75" s="210">
        <f>AZ75</f>
        <v>10</v>
      </c>
      <c r="BB75" s="124">
        <v>10</v>
      </c>
      <c r="BC75" s="38">
        <v>10</v>
      </c>
      <c r="BD75" s="38">
        <v>10</v>
      </c>
      <c r="BE75" s="38">
        <v>10</v>
      </c>
      <c r="BF75" s="38">
        <f t="shared" ref="BF75:BM75" si="22">BE75</f>
        <v>10</v>
      </c>
      <c r="BG75" s="38">
        <f t="shared" si="22"/>
        <v>10</v>
      </c>
      <c r="BH75" s="38">
        <f t="shared" si="22"/>
        <v>10</v>
      </c>
      <c r="BI75" s="38">
        <f t="shared" si="22"/>
        <v>10</v>
      </c>
      <c r="BJ75" s="38">
        <f t="shared" si="22"/>
        <v>10</v>
      </c>
      <c r="BK75" s="38">
        <f t="shared" si="22"/>
        <v>10</v>
      </c>
      <c r="BL75" s="38">
        <f t="shared" si="22"/>
        <v>10</v>
      </c>
      <c r="BM75" s="38">
        <f t="shared" si="22"/>
        <v>10</v>
      </c>
      <c r="BN75" s="210">
        <f>IFERROR(ROUND(AVERAGE(BB75:BM75),0),0)</f>
        <v>10</v>
      </c>
      <c r="BO75" s="143">
        <f>Customers!L217</f>
        <v>10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23">IF(AU78&gt;(AU75*250),AU75*250,AU78)</f>
        <v>2500</v>
      </c>
      <c r="AV76" s="38">
        <f t="shared" si="23"/>
        <v>2500</v>
      </c>
      <c r="AW76" s="38">
        <f t="shared" si="23"/>
        <v>2500</v>
      </c>
      <c r="AX76" s="38">
        <f t="shared" si="23"/>
        <v>2500</v>
      </c>
      <c r="AY76" s="38">
        <f t="shared" si="23"/>
        <v>2500</v>
      </c>
      <c r="AZ76" s="38">
        <f t="shared" si="23"/>
        <v>2500</v>
      </c>
      <c r="BA76" s="210">
        <f>SUM(AO76:AZ76)</f>
        <v>15000</v>
      </c>
      <c r="BB76" s="38">
        <v>2500</v>
      </c>
      <c r="BC76" s="38">
        <v>2500</v>
      </c>
      <c r="BD76" s="38">
        <v>2500</v>
      </c>
      <c r="BE76" s="38">
        <v>2500</v>
      </c>
      <c r="BF76" s="38">
        <f t="shared" ref="BF76:BM76" si="24">IF(BF78&gt;(BF75*250),BF75*250,BF78)</f>
        <v>2500</v>
      </c>
      <c r="BG76" s="38">
        <f t="shared" si="24"/>
        <v>2500</v>
      </c>
      <c r="BH76" s="38">
        <f t="shared" si="24"/>
        <v>2500</v>
      </c>
      <c r="BI76" s="38">
        <f t="shared" si="24"/>
        <v>2500</v>
      </c>
      <c r="BJ76" s="38">
        <f t="shared" si="24"/>
        <v>2500</v>
      </c>
      <c r="BK76" s="38">
        <f t="shared" si="24"/>
        <v>2500</v>
      </c>
      <c r="BL76" s="38">
        <f t="shared" si="24"/>
        <v>2500</v>
      </c>
      <c r="BM76" s="38">
        <f t="shared" si="24"/>
        <v>2500</v>
      </c>
      <c r="BN76" s="210">
        <f>SUM(BB76:BM76)</f>
        <v>30000</v>
      </c>
      <c r="BO76" s="143">
        <f t="shared" ref="BO76" si="25">IF(BO78&gt;(BO75*250),BO75*250,BO78)</f>
        <v>2500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26">ROUND(AU78-AU76,0)</f>
        <v>7726</v>
      </c>
      <c r="AV77" s="38">
        <f t="shared" si="26"/>
        <v>2833</v>
      </c>
      <c r="AW77" s="38">
        <f t="shared" si="26"/>
        <v>2878</v>
      </c>
      <c r="AX77" s="38">
        <f t="shared" si="26"/>
        <v>3674</v>
      </c>
      <c r="AY77" s="38">
        <f t="shared" si="26"/>
        <v>3825</v>
      </c>
      <c r="AZ77" s="38">
        <f t="shared" si="26"/>
        <v>3761</v>
      </c>
      <c r="BA77" s="210">
        <f>SUM(AO77:AZ77)</f>
        <v>24697</v>
      </c>
      <c r="BB77" s="38">
        <v>4178</v>
      </c>
      <c r="BC77" s="38">
        <v>4083</v>
      </c>
      <c r="BD77" s="38">
        <v>2855</v>
      </c>
      <c r="BE77" s="38">
        <v>3485</v>
      </c>
      <c r="BF77" s="38">
        <f t="shared" ref="BF77:BM77" si="27">ROUND(BF78-BF76,0)</f>
        <v>4208</v>
      </c>
      <c r="BG77" s="38">
        <f t="shared" si="27"/>
        <v>3113</v>
      </c>
      <c r="BH77" s="38">
        <f t="shared" si="27"/>
        <v>2113</v>
      </c>
      <c r="BI77" s="38">
        <f t="shared" si="27"/>
        <v>2833</v>
      </c>
      <c r="BJ77" s="38">
        <f t="shared" si="27"/>
        <v>2878</v>
      </c>
      <c r="BK77" s="38">
        <f t="shared" si="27"/>
        <v>3674</v>
      </c>
      <c r="BL77" s="38">
        <f t="shared" si="27"/>
        <v>3825</v>
      </c>
      <c r="BM77" s="38">
        <f t="shared" si="27"/>
        <v>3761</v>
      </c>
      <c r="BN77" s="210">
        <f>SUM(BB77:BM77)</f>
        <v>41006</v>
      </c>
      <c r="BO77" s="156">
        <f t="shared" ref="BO77" si="28">ROUND(BO78-BO76,0)</f>
        <v>68506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>IFERROR(ROUND((AU79*AU75)+(AU75*AT79),0),0)</f>
        <v>10226</v>
      </c>
      <c r="AV78" s="64">
        <f t="shared" ref="AV78:AZ78" si="29">IFERROR(ROUND(AV79*AV75,0),0)</f>
        <v>5333</v>
      </c>
      <c r="AW78" s="64">
        <f t="shared" si="29"/>
        <v>5378</v>
      </c>
      <c r="AX78" s="64">
        <f t="shared" si="29"/>
        <v>6174</v>
      </c>
      <c r="AY78" s="64">
        <f t="shared" si="29"/>
        <v>6325</v>
      </c>
      <c r="AZ78" s="64">
        <f t="shared" si="29"/>
        <v>6261</v>
      </c>
      <c r="BA78" s="196">
        <f>SUM(AO78:AZ78)</f>
        <v>39697</v>
      </c>
      <c r="BB78" s="64">
        <v>6678</v>
      </c>
      <c r="BC78" s="64">
        <v>6583</v>
      </c>
      <c r="BD78" s="64">
        <v>5355</v>
      </c>
      <c r="BE78" s="64">
        <v>5985</v>
      </c>
      <c r="BF78" s="64">
        <f t="shared" ref="BF78:BM78" si="30">IFERROR(ROUND(BF79*BF75,0),0)</f>
        <v>6708</v>
      </c>
      <c r="BG78" s="64">
        <f t="shared" si="30"/>
        <v>5613</v>
      </c>
      <c r="BH78" s="64">
        <f t="shared" si="30"/>
        <v>4613</v>
      </c>
      <c r="BI78" s="64">
        <f t="shared" si="30"/>
        <v>5333</v>
      </c>
      <c r="BJ78" s="64">
        <f t="shared" si="30"/>
        <v>5378</v>
      </c>
      <c r="BK78" s="64">
        <f t="shared" si="30"/>
        <v>6174</v>
      </c>
      <c r="BL78" s="64">
        <f t="shared" si="30"/>
        <v>6325</v>
      </c>
      <c r="BM78" s="64">
        <f t="shared" si="30"/>
        <v>6261</v>
      </c>
      <c r="BN78" s="196">
        <f>SUM(BB78:BM78)</f>
        <v>71006</v>
      </c>
      <c r="BO78" s="88">
        <f>ROUND(BO75*BO79,0)</f>
        <v>71006</v>
      </c>
    </row>
    <row r="79" spans="1:67" ht="15.75" customHeight="1" thickTop="1">
      <c r="A79" s="374" t="s">
        <v>54</v>
      </c>
      <c r="B79" s="84">
        <f>IF('kWh_Streetlight Data'!C221=0,"",'kWh_Streetlight Data'!C221)</f>
        <v>630.79999999999995</v>
      </c>
      <c r="C79" s="108">
        <f>IF('kWh_Streetlight Data'!D221=0,"",'kWh_Streetlight Data'!D221)</f>
        <v>616.9</v>
      </c>
      <c r="D79" s="108">
        <f>IF('kWh_Streetlight Data'!E221=0,"",'kWh_Streetlight Data'!E221)</f>
        <v>585.4</v>
      </c>
      <c r="E79" s="108">
        <f>IF('kWh_Streetlight Data'!F221=0,"",'kWh_Streetlight Data'!F221)</f>
        <v>688.8</v>
      </c>
      <c r="F79" s="108">
        <f>IF('kWh_Streetlight Data'!G221=0,"",'kWh_Streetlight Data'!G221)</f>
        <v>697.4</v>
      </c>
      <c r="G79" s="108">
        <f>IF('kWh_Streetlight Data'!H221=0,"",'kWh_Streetlight Data'!H221)</f>
        <v>537</v>
      </c>
      <c r="H79" s="108">
        <f>IF('kWh_Streetlight Data'!I221=0,"",'kWh_Streetlight Data'!I221)</f>
        <v>444.9</v>
      </c>
      <c r="I79" s="108">
        <f>IF('kWh_Streetlight Data'!J221=0,"",'kWh_Streetlight Data'!J221)</f>
        <v>526.5</v>
      </c>
      <c r="J79" s="108">
        <f>IF('kWh_Streetlight Data'!K221=0,"",'kWh_Streetlight Data'!K221)</f>
        <v>439.2</v>
      </c>
      <c r="K79" s="108">
        <f>IF('kWh_Streetlight Data'!L221=0,"",'kWh_Streetlight Data'!L221)</f>
        <v>554.79999999999995</v>
      </c>
      <c r="L79" s="108">
        <f>IF('kWh_Streetlight Data'!M221=0,"",'kWh_Streetlight Data'!M221)</f>
        <v>608.6</v>
      </c>
      <c r="M79" s="108">
        <f>IF('kWh_Streetlight Data'!N221=0,"",'kWh_Streetlight Data'!N221)</f>
        <v>696.5</v>
      </c>
      <c r="N79" s="424">
        <f>IF('kWh_Streetlight Data'!O221=0,"",'kWh_Streetlight Data'!O221)</f>
        <v>585.56666666666672</v>
      </c>
      <c r="O79" s="84">
        <f>IF('kWh_Streetlight Data'!P221=0,"",'kWh_Streetlight Data'!P221)</f>
        <v>649.5</v>
      </c>
      <c r="P79" s="108">
        <f>IF('kWh_Streetlight Data'!Q221=0,"",'kWh_Streetlight Data'!Q221)</f>
        <v>707.6</v>
      </c>
      <c r="Q79" s="108">
        <f>IF('kWh_Streetlight Data'!R221=0,"",'kWh_Streetlight Data'!R221)</f>
        <v>515.70000000000005</v>
      </c>
      <c r="R79" s="108">
        <f>IF('kWh_Streetlight Data'!S221=0,"",'kWh_Streetlight Data'!S221)</f>
        <v>642.6</v>
      </c>
      <c r="S79" s="108">
        <f>IF('kWh_Streetlight Data'!T221=0,"",'kWh_Streetlight Data'!T221)</f>
        <v>658</v>
      </c>
      <c r="T79" s="108">
        <f>IF('kWh_Streetlight Data'!U221=0,"",'kWh_Streetlight Data'!U221)</f>
        <v>582.29999999999995</v>
      </c>
      <c r="U79" s="108">
        <f>IF('kWh_Streetlight Data'!V221=0,"",'kWh_Streetlight Data'!V221)</f>
        <v>497.8</v>
      </c>
      <c r="V79" s="108">
        <f>IF('kWh_Streetlight Data'!W221=0,"",'kWh_Streetlight Data'!W221)</f>
        <v>490.7</v>
      </c>
      <c r="W79" s="108">
        <f>IF('kWh_Streetlight Data'!X221=0,"",'kWh_Streetlight Data'!X221)</f>
        <v>596.79999999999995</v>
      </c>
      <c r="X79" s="108">
        <f>IF('kWh_Streetlight Data'!Y221=0,"",'kWh_Streetlight Data'!Y221)</f>
        <v>536</v>
      </c>
      <c r="Y79" s="108">
        <f>IF('kWh_Streetlight Data'!Z221=0,"",'kWh_Streetlight Data'!Z221)</f>
        <v>585.4</v>
      </c>
      <c r="Z79" s="108">
        <f>IF('kWh_Streetlight Data'!AA221=0,"",'kWh_Streetlight Data'!AA221)</f>
        <v>597.29999999999995</v>
      </c>
      <c r="AA79" s="424">
        <f>IF('kWh_Streetlight Data'!AB221=0,"",'kWh_Streetlight Data'!AB221)</f>
        <v>588.30833333333328</v>
      </c>
      <c r="AB79" s="129">
        <f>IF('kWh_Streetlight Data'!AC221=0,"",'kWh_Streetlight Data'!AC221)</f>
        <v>723.1</v>
      </c>
      <c r="AC79" s="130">
        <f>IF('kWh_Streetlight Data'!AD221=0,"",'kWh_Streetlight Data'!AD221)</f>
        <v>650.4</v>
      </c>
      <c r="AD79" s="130">
        <f>IF('kWh_Streetlight Data'!AE221=0,"",'kWh_Streetlight Data'!AE221)</f>
        <v>505.3</v>
      </c>
      <c r="AE79" s="130">
        <f>IF('kWh_Streetlight Data'!AF221=0,"",'kWh_Streetlight Data'!AF221)</f>
        <v>464</v>
      </c>
      <c r="AF79" s="130">
        <f>IF('kWh_Streetlight Data'!AG221=0,"",'kWh_Streetlight Data'!AG221)</f>
        <v>657</v>
      </c>
      <c r="AG79" s="130">
        <f>IF('kWh_Streetlight Data'!AH221=0,"",'kWh_Streetlight Data'!AH221)</f>
        <v>564.6</v>
      </c>
      <c r="AH79" s="130">
        <f>IF('kWh_Streetlight Data'!AI221=0,"",'kWh_Streetlight Data'!AI221)</f>
        <v>441.2</v>
      </c>
      <c r="AI79" s="130">
        <f>IF('kWh_Streetlight Data'!AJ221=0,"",'kWh_Streetlight Data'!AJ221)</f>
        <v>582.79999999999995</v>
      </c>
      <c r="AJ79" s="130">
        <f>IF('kWh_Streetlight Data'!AK221=0,"",'kWh_Streetlight Data'!AK221)</f>
        <v>577.4</v>
      </c>
      <c r="AK79" s="130">
        <f>IF('kWh_Streetlight Data'!AL221=0,"",'kWh_Streetlight Data'!AL221)</f>
        <v>761.3</v>
      </c>
      <c r="AL79" s="130">
        <f>IF('kWh_Streetlight Data'!AM221=0,"",'kWh_Streetlight Data'!AM221)</f>
        <v>703.5</v>
      </c>
      <c r="AM79" s="130">
        <f>IF('kWh_Streetlight Data'!AN221=0,"",'kWh_Streetlight Data'!AN221)</f>
        <v>584.5</v>
      </c>
      <c r="AN79" s="424">
        <f>IF('kWh_Streetlight Data'!AO221=0,"",'kWh_Streetlight Data'!AO221)</f>
        <v>601.25833333333333</v>
      </c>
      <c r="AO79" s="34"/>
      <c r="AP79" s="35"/>
      <c r="AQ79" s="35"/>
      <c r="AR79" s="35"/>
      <c r="AS79" s="35"/>
      <c r="AT79" s="322">
        <f t="shared" ref="AT79" si="31">IFERROR(AVERAGE(AG79,T79,G79),0)</f>
        <v>561.30000000000007</v>
      </c>
      <c r="AU79" s="322">
        <f t="shared" ref="AU79" si="32">IFERROR(AVERAGE(AH79,U79,H79),0)</f>
        <v>461.3</v>
      </c>
      <c r="AV79" s="9">
        <f t="shared" ref="AV79:AZ79" si="33">IFERROR(AVERAGE(AI79,V79,I79),0)</f>
        <v>533.33333333333337</v>
      </c>
      <c r="AW79" s="9">
        <f t="shared" si="33"/>
        <v>537.79999999999995</v>
      </c>
      <c r="AX79" s="9">
        <f t="shared" si="33"/>
        <v>617.36666666666667</v>
      </c>
      <c r="AY79" s="9">
        <f t="shared" si="33"/>
        <v>632.5</v>
      </c>
      <c r="AZ79" s="9">
        <f t="shared" si="33"/>
        <v>626.1</v>
      </c>
      <c r="BA79" s="211"/>
      <c r="BB79" s="9">
        <v>667.80000000000007</v>
      </c>
      <c r="BC79" s="17">
        <v>658.30000000000007</v>
      </c>
      <c r="BD79" s="17">
        <v>535.46666666666658</v>
      </c>
      <c r="BE79" s="17">
        <v>598.4666666666667</v>
      </c>
      <c r="BF79" s="17">
        <f t="shared" ref="BF79:BM79" si="34">IFERROR(AVERAGE(F79,S79,AF79),0)</f>
        <v>670.80000000000007</v>
      </c>
      <c r="BG79" s="17">
        <f t="shared" si="34"/>
        <v>561.30000000000007</v>
      </c>
      <c r="BH79" s="17">
        <f t="shared" si="34"/>
        <v>461.3</v>
      </c>
      <c r="BI79" s="17">
        <f t="shared" si="34"/>
        <v>533.33333333333337</v>
      </c>
      <c r="BJ79" s="17">
        <f t="shared" si="34"/>
        <v>537.80000000000007</v>
      </c>
      <c r="BK79" s="17">
        <f t="shared" si="34"/>
        <v>617.36666666666667</v>
      </c>
      <c r="BL79" s="17">
        <f t="shared" si="34"/>
        <v>632.5</v>
      </c>
      <c r="BM79" s="9">
        <f t="shared" si="34"/>
        <v>626.1</v>
      </c>
      <c r="BN79" s="211">
        <f>IFERROR(BN78/SUM(BB75:BM75)*12,0)</f>
        <v>7100.6</v>
      </c>
      <c r="BO79" s="20">
        <f>BN79</f>
        <v>7100.6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Data'!C222=0,"",'kWh_Streetlight Data'!C222)</f>
        <v/>
      </c>
      <c r="C83" s="108" t="str">
        <f>IF('kWh_Streetlight Data'!D222=0,"",'kWh_Streetlight Data'!D222)</f>
        <v/>
      </c>
      <c r="D83" s="108" t="str">
        <f>IF('kWh_Streetlight Data'!E222=0,"",'kWh_Streetlight Data'!E222)</f>
        <v/>
      </c>
      <c r="E83" s="108" t="str">
        <f>IF('kWh_Streetlight Data'!F222=0,"",'kWh_Streetlight Data'!F222)</f>
        <v/>
      </c>
      <c r="F83" s="108" t="str">
        <f>IF('kWh_Streetlight Data'!G222=0,"",'kWh_Streetlight Data'!G222)</f>
        <v/>
      </c>
      <c r="G83" s="108" t="str">
        <f>IF('kWh_Streetlight Data'!H222=0,"",'kWh_Streetlight Data'!H222)</f>
        <v/>
      </c>
      <c r="H83" s="108" t="str">
        <f>IF('kWh_Streetlight Data'!I222=0,"",'kWh_Streetlight Data'!I222)</f>
        <v/>
      </c>
      <c r="I83" s="108" t="str">
        <f>IF('kWh_Streetlight Data'!J222=0,"",'kWh_Streetlight Data'!J222)</f>
        <v/>
      </c>
      <c r="J83" s="108" t="str">
        <f>IF('kWh_Streetlight Data'!K222=0,"",'kWh_Streetlight Data'!K222)</f>
        <v/>
      </c>
      <c r="K83" s="108" t="str">
        <f>IF('kWh_Streetlight Data'!L222=0,"",'kWh_Streetlight Data'!L222)</f>
        <v/>
      </c>
      <c r="L83" s="108" t="str">
        <f>IF('kWh_Streetlight Data'!M222=0,"",'kWh_Streetlight Data'!M222)</f>
        <v/>
      </c>
      <c r="M83" s="108" t="str">
        <f>IF('kWh_Streetlight Data'!N222=0,"",'kWh_Streetlight Data'!N222)</f>
        <v/>
      </c>
      <c r="N83" s="424" t="str">
        <f>IF('kWh_Streetlight Data'!O222=0,"",'kWh_Streetlight Data'!O222)</f>
        <v/>
      </c>
      <c r="O83" s="84" t="str">
        <f>IF('kWh_Streetlight Data'!P222=0,"",'kWh_Streetlight Data'!P222)</f>
        <v/>
      </c>
      <c r="P83" s="108" t="str">
        <f>IF('kWh_Streetlight Data'!Q222=0,"",'kWh_Streetlight Data'!Q222)</f>
        <v/>
      </c>
      <c r="Q83" s="108" t="str">
        <f>IF('kWh_Streetlight Data'!R222=0,"",'kWh_Streetlight Data'!R222)</f>
        <v/>
      </c>
      <c r="R83" s="108" t="str">
        <f>IF('kWh_Streetlight Data'!S222=0,"",'kWh_Streetlight Data'!S222)</f>
        <v/>
      </c>
      <c r="S83" s="108" t="str">
        <f>IF('kWh_Streetlight Data'!T222=0,"",'kWh_Streetlight Data'!T222)</f>
        <v/>
      </c>
      <c r="T83" s="108" t="str">
        <f>IF('kWh_Streetlight Data'!U222=0,"",'kWh_Streetlight Data'!U222)</f>
        <v/>
      </c>
      <c r="U83" s="108" t="str">
        <f>IF('kWh_Streetlight Data'!V222=0,"",'kWh_Streetlight Data'!V222)</f>
        <v/>
      </c>
      <c r="V83" s="108" t="str">
        <f>IF('kWh_Streetlight Data'!W222=0,"",'kWh_Streetlight Data'!W222)</f>
        <v/>
      </c>
      <c r="W83" s="108" t="str">
        <f>IF('kWh_Streetlight Data'!X222=0,"",'kWh_Streetlight Data'!X222)</f>
        <v/>
      </c>
      <c r="X83" s="108" t="str">
        <f>IF('kWh_Streetlight Data'!Y222=0,"",'kWh_Streetlight Data'!Y222)</f>
        <v/>
      </c>
      <c r="Y83" s="108" t="str">
        <f>IF('kWh_Streetlight Data'!Z222=0,"",'kWh_Streetlight Data'!Z222)</f>
        <v/>
      </c>
      <c r="Z83" s="108" t="str">
        <f>IF('kWh_Streetlight Data'!AA222=0,"",'kWh_Streetlight Data'!AA222)</f>
        <v/>
      </c>
      <c r="AA83" s="424" t="str">
        <f>IF('kWh_Streetlight Data'!AB222=0,"",'kWh_Streetlight Data'!AB222)</f>
        <v/>
      </c>
      <c r="AB83" s="442" t="str">
        <f>IF('kWh_Streetlight Data'!AC222=0,"",'kWh_Streetlight Data'!AC222)</f>
        <v/>
      </c>
      <c r="AC83" s="443" t="str">
        <f>IF('kWh_Streetlight Data'!AD222=0,"",'kWh_Streetlight Data'!AD222)</f>
        <v/>
      </c>
      <c r="AD83" s="443" t="str">
        <f>IF('kWh_Streetlight Data'!AE222=0,"",'kWh_Streetlight Data'!AE222)</f>
        <v/>
      </c>
      <c r="AE83" s="443" t="str">
        <f>IF('kWh_Streetlight Data'!AF222=0,"",'kWh_Streetlight Data'!AF222)</f>
        <v/>
      </c>
      <c r="AF83" s="443" t="str">
        <f>IF('kWh_Streetlight Data'!AG222=0,"",'kWh_Streetlight Data'!AG222)</f>
        <v/>
      </c>
      <c r="AG83" s="443" t="str">
        <f>IF('kWh_Streetlight Data'!AH222=0,"",'kWh_Streetlight Data'!AH222)</f>
        <v/>
      </c>
      <c r="AH83" s="108" t="str">
        <f>IF('kWh_Streetlight Data'!AI222=0,"",'kWh_Streetlight Data'!AI222)</f>
        <v/>
      </c>
      <c r="AI83" s="108" t="str">
        <f>IF('kWh_Streetlight Data'!AJ222=0,"",'kWh_Streetlight Data'!AJ222)</f>
        <v/>
      </c>
      <c r="AJ83" s="108" t="str">
        <f>IF('kWh_Streetlight Data'!AK222=0,"",'kWh_Streetlight Data'!AK222)</f>
        <v/>
      </c>
      <c r="AK83" s="108" t="str">
        <f>IF('kWh_Streetlight Data'!AL222=0,"",'kWh_Streetlight Data'!AL222)</f>
        <v/>
      </c>
      <c r="AL83" s="108" t="str">
        <f>IF('kWh_Streetlight Data'!AM222=0,"",'kWh_Streetlight Data'!AM222)</f>
        <v/>
      </c>
      <c r="AM83" s="108" t="str">
        <f>IF('kWh_Streetlight Data'!AN222=0,"",'kWh_Streetlight Data'!AN222)</f>
        <v/>
      </c>
      <c r="AN83" s="424" t="str">
        <f>IF('kWh_Streetlight Data'!AO222=0,"",'kWh_Streetlight Data'!AO222)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65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210"/>
      <c r="AO86" s="150"/>
      <c r="AP86" s="87"/>
      <c r="AQ86" s="87"/>
      <c r="AR86" s="87"/>
      <c r="AS86" s="87"/>
      <c r="AT86" s="38"/>
      <c r="AU86" s="38">
        <f>Customers!E218</f>
        <v>12</v>
      </c>
      <c r="AV86" s="38">
        <f>Customers!F218</f>
        <v>12</v>
      </c>
      <c r="AW86" s="38">
        <f>Customers!G218</f>
        <v>12</v>
      </c>
      <c r="AX86" s="38">
        <f>Customers!H218</f>
        <v>12</v>
      </c>
      <c r="AY86" s="38">
        <f>Customers!I218</f>
        <v>12</v>
      </c>
      <c r="AZ86" s="38">
        <f>Customers!J218</f>
        <v>12</v>
      </c>
      <c r="BA86" s="210">
        <f>AZ86</f>
        <v>12</v>
      </c>
      <c r="BB86" s="124">
        <v>12</v>
      </c>
      <c r="BC86" s="38">
        <v>12</v>
      </c>
      <c r="BD86" s="38">
        <v>12</v>
      </c>
      <c r="BE86" s="38">
        <v>12</v>
      </c>
      <c r="BF86" s="38">
        <f t="shared" ref="BF86:BM86" si="35">BE86</f>
        <v>12</v>
      </c>
      <c r="BG86" s="38">
        <f t="shared" si="35"/>
        <v>12</v>
      </c>
      <c r="BH86" s="38">
        <f t="shared" si="35"/>
        <v>12</v>
      </c>
      <c r="BI86" s="38">
        <f t="shared" si="35"/>
        <v>12</v>
      </c>
      <c r="BJ86" s="38">
        <f t="shared" si="35"/>
        <v>12</v>
      </c>
      <c r="BK86" s="38">
        <f t="shared" si="35"/>
        <v>12</v>
      </c>
      <c r="BL86" s="38">
        <f t="shared" si="35"/>
        <v>12</v>
      </c>
      <c r="BM86" s="38">
        <f t="shared" si="35"/>
        <v>12</v>
      </c>
      <c r="BN86" s="210">
        <f>IFERROR(ROUND(AVERAGE(BB86:BM86),0),0)</f>
        <v>12</v>
      </c>
      <c r="BO86" s="143">
        <f>Customers!L218</f>
        <v>12</v>
      </c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>IFERROR(ROUND((AU88*AU86)+(AT88*AU86),0),0)</f>
        <v>93408</v>
      </c>
      <c r="AV87" s="160">
        <f t="shared" ref="AV87:AZ87" si="36">IFERROR(ROUND(AV88*AV86,0),0)</f>
        <v>47112</v>
      </c>
      <c r="AW87" s="160">
        <f t="shared" si="36"/>
        <v>51327</v>
      </c>
      <c r="AX87" s="160">
        <f t="shared" si="36"/>
        <v>51063</v>
      </c>
      <c r="AY87" s="160">
        <f t="shared" si="36"/>
        <v>47806</v>
      </c>
      <c r="AZ87" s="160">
        <f t="shared" si="36"/>
        <v>53154</v>
      </c>
      <c r="BA87" s="196">
        <f>SUM(AO87:AZ87)</f>
        <v>343870</v>
      </c>
      <c r="BB87" s="160">
        <v>67033</v>
      </c>
      <c r="BC87" s="160">
        <v>49543</v>
      </c>
      <c r="BD87" s="160">
        <v>52899</v>
      </c>
      <c r="BE87" s="160">
        <v>53867</v>
      </c>
      <c r="BF87" s="160">
        <f t="shared" ref="BF87:BM87" si="37">IFERROR(ROUND(BF88*BF86,0),0)</f>
        <v>45085</v>
      </c>
      <c r="BG87" s="160">
        <f t="shared" si="37"/>
        <v>48401</v>
      </c>
      <c r="BH87" s="160">
        <f t="shared" si="37"/>
        <v>45008</v>
      </c>
      <c r="BI87" s="160">
        <f t="shared" si="37"/>
        <v>47112</v>
      </c>
      <c r="BJ87" s="160">
        <f t="shared" si="37"/>
        <v>51327</v>
      </c>
      <c r="BK87" s="160">
        <f t="shared" si="37"/>
        <v>51063</v>
      </c>
      <c r="BL87" s="160">
        <f t="shared" si="37"/>
        <v>47806</v>
      </c>
      <c r="BM87" s="160">
        <f t="shared" si="37"/>
        <v>53154</v>
      </c>
      <c r="BN87" s="196">
        <f>SUM(BB87:BM87)</f>
        <v>612298</v>
      </c>
      <c r="BO87" s="144">
        <f>IFERROR(ROUND(BO88*BO86,0),0)</f>
        <v>612298</v>
      </c>
    </row>
    <row r="88" spans="1:67" ht="15.75" customHeight="1" thickTop="1">
      <c r="A88" s="374" t="s">
        <v>54</v>
      </c>
      <c r="B88" s="84">
        <f>IF('kWh_Streetlight Data'!C223=0,"",'kWh_Streetlight Data'!C223)</f>
        <v>5322.416666666667</v>
      </c>
      <c r="C88" s="108">
        <f>IF('kWh_Streetlight Data'!D223=0,"",'kWh_Streetlight Data'!D223)</f>
        <v>4108.916666666667</v>
      </c>
      <c r="D88" s="108">
        <f>IF('kWh_Streetlight Data'!E223=0,"",'kWh_Streetlight Data'!E223)</f>
        <v>4574.833333333333</v>
      </c>
      <c r="E88" s="108">
        <f>IF('kWh_Streetlight Data'!F223=0,"",'kWh_Streetlight Data'!F223)</f>
        <v>4600.416666666667</v>
      </c>
      <c r="F88" s="108">
        <f>IF('kWh_Streetlight Data'!G223=0,"",'kWh_Streetlight Data'!G223)</f>
        <v>4206.75</v>
      </c>
      <c r="G88" s="108">
        <f>IF('kWh_Streetlight Data'!H223=0,"",'kWh_Streetlight Data'!H223)</f>
        <v>3574.4166666666665</v>
      </c>
      <c r="H88" s="108">
        <f>IF('kWh_Streetlight Data'!I223=0,"",'kWh_Streetlight Data'!I223)</f>
        <v>3781.25</v>
      </c>
      <c r="I88" s="108">
        <f>IF('kWh_Streetlight Data'!J223=0,"",'kWh_Streetlight Data'!J223)</f>
        <v>3796.5</v>
      </c>
      <c r="J88" s="108">
        <f>IF('kWh_Streetlight Data'!K223=0,"",'kWh_Streetlight Data'!K223)</f>
        <v>3939.5833333333335</v>
      </c>
      <c r="K88" s="108">
        <f>IF('kWh_Streetlight Data'!L223=0,"",'kWh_Streetlight Data'!L223)</f>
        <v>4373.416666666667</v>
      </c>
      <c r="L88" s="108">
        <f>IF('kWh_Streetlight Data'!M223=0,"",'kWh_Streetlight Data'!M223)</f>
        <v>3701</v>
      </c>
      <c r="M88" s="108">
        <f>IF('kWh_Streetlight Data'!N223=0,"",'kWh_Streetlight Data'!N223)</f>
        <v>4998.166666666667</v>
      </c>
      <c r="N88" s="424">
        <f>IF('kWh_Streetlight Data'!O223=0,"",'kWh_Streetlight Data'!O223)</f>
        <v>4248.1388888888887</v>
      </c>
      <c r="O88" s="84">
        <f>IF('kWh_Streetlight Data'!P223=0,"",'kWh_Streetlight Data'!P223)</f>
        <v>5232</v>
      </c>
      <c r="P88" s="108">
        <f>IF('kWh_Streetlight Data'!Q223=0,"",'kWh_Streetlight Data'!Q223)</f>
        <v>4679.416666666667</v>
      </c>
      <c r="Q88" s="108">
        <f>IF('kWh_Streetlight Data'!R223=0,"",'kWh_Streetlight Data'!R223)</f>
        <v>4225.5</v>
      </c>
      <c r="R88" s="108">
        <f>IF('kWh_Streetlight Data'!S223=0,"",'kWh_Streetlight Data'!S223)</f>
        <v>4331.363636363636</v>
      </c>
      <c r="S88" s="108">
        <f>IF('kWh_Streetlight Data'!T223=0,"",'kWh_Streetlight Data'!T223)</f>
        <v>4280.166666666667</v>
      </c>
      <c r="T88" s="108">
        <f>IF('kWh_Streetlight Data'!U223=0,"",'kWh_Streetlight Data'!U223)</f>
        <v>4071.5833333333335</v>
      </c>
      <c r="U88" s="108">
        <f>IF('kWh_Streetlight Data'!V223=0,"",'kWh_Streetlight Data'!V223)</f>
        <v>4199.3846153846152</v>
      </c>
      <c r="V88" s="108">
        <f>IF('kWh_Streetlight Data'!W223=0,"",'kWh_Streetlight Data'!W223)</f>
        <v>3658.1666666666665</v>
      </c>
      <c r="W88" s="108">
        <f>IF('kWh_Streetlight Data'!X223=0,"",'kWh_Streetlight Data'!X223)</f>
        <v>4783.583333333333</v>
      </c>
      <c r="X88" s="108">
        <f>IF('kWh_Streetlight Data'!Y223=0,"",'kWh_Streetlight Data'!Y223)</f>
        <v>3907</v>
      </c>
      <c r="Y88" s="108">
        <f>IF('kWh_Streetlight Data'!Z223=0,"",'kWh_Streetlight Data'!Z223)</f>
        <v>4193.363636363636</v>
      </c>
      <c r="Z88" s="108">
        <f>IF('kWh_Streetlight Data'!AA223=0,"",'kWh_Streetlight Data'!AA223)</f>
        <v>4630.9230769230771</v>
      </c>
      <c r="AA88" s="426">
        <f>IF('kWh_Streetlight Data'!AB223=0,"",'kWh_Streetlight Data'!AB223)</f>
        <v>4351.4930555555557</v>
      </c>
      <c r="AB88" s="442">
        <f>IF('kWh_Streetlight Data'!AC223=0,"",'kWh_Streetlight Data'!AC223)</f>
        <v>6203.75</v>
      </c>
      <c r="AC88" s="443">
        <f>IF('kWh_Streetlight Data'!AD223=0,"",'kWh_Streetlight Data'!AD223)</f>
        <v>3597.5</v>
      </c>
      <c r="AD88" s="443">
        <f>IF('kWh_Streetlight Data'!AE223=0,"",'kWh_Streetlight Data'!AE223)</f>
        <v>4424.333333333333</v>
      </c>
      <c r="AE88" s="443">
        <f>IF('kWh_Streetlight Data'!AF223=0,"",'kWh_Streetlight Data'!AF223)</f>
        <v>4535</v>
      </c>
      <c r="AF88" s="443">
        <f>IF('kWh_Streetlight Data'!AG223=0,"",'kWh_Streetlight Data'!AG223)</f>
        <v>2784.4</v>
      </c>
      <c r="AG88" s="443">
        <f>IF('kWh_Streetlight Data'!AH223=0,"",'kWh_Streetlight Data'!AH223)</f>
        <v>4454.1428571428569</v>
      </c>
      <c r="AH88" s="443">
        <f>IF('kWh_Streetlight Data'!AI223=0,"",'kWh_Streetlight Data'!AI223)</f>
        <v>3271.25</v>
      </c>
      <c r="AI88" s="443">
        <f>IF('kWh_Streetlight Data'!AJ223=0,"",'kWh_Streetlight Data'!AJ223)</f>
        <v>4323.416666666667</v>
      </c>
      <c r="AJ88" s="443">
        <f>IF('kWh_Streetlight Data'!AK223=0,"",'kWh_Streetlight Data'!AK223)</f>
        <v>4108.583333333333</v>
      </c>
      <c r="AK88" s="443">
        <f>IF('kWh_Streetlight Data'!AL223=0,"",'kWh_Streetlight Data'!AL223)</f>
        <v>4485.25</v>
      </c>
      <c r="AL88" s="443">
        <f>IF('kWh_Streetlight Data'!AM223=0,"",'kWh_Streetlight Data'!AM223)</f>
        <v>4057.0833333333335</v>
      </c>
      <c r="AM88" s="443">
        <f>IF('kWh_Streetlight Data'!AN223=0,"",'kWh_Streetlight Data'!AN223)</f>
        <v>3659.4166666666665</v>
      </c>
      <c r="AN88" s="424">
        <f>IF('kWh_Streetlight Data'!AO223=0,"",'kWh_Streetlight Data'!AO223)</f>
        <v>4194.8888888888887</v>
      </c>
      <c r="AO88" s="34"/>
      <c r="AP88" s="35"/>
      <c r="AQ88" s="35"/>
      <c r="AR88" s="35"/>
      <c r="AS88" s="35"/>
      <c r="AT88" s="322">
        <f t="shared" ref="AT88" si="38">IFERROR(AVERAGE(AG88,T88,G88),0)</f>
        <v>4033.3809523809523</v>
      </c>
      <c r="AU88" s="322">
        <f t="shared" ref="AU88" si="39">IFERROR(AVERAGE(AH88,U88,H88),0)</f>
        <v>3750.6282051282051</v>
      </c>
      <c r="AV88" s="9">
        <f t="shared" ref="AV88:AZ88" si="40">IFERROR(AVERAGE(AI88,V88,I88),0)</f>
        <v>3926.0277777777778</v>
      </c>
      <c r="AW88" s="9">
        <f t="shared" si="40"/>
        <v>4277.25</v>
      </c>
      <c r="AX88" s="9">
        <f t="shared" si="40"/>
        <v>4255.2222222222226</v>
      </c>
      <c r="AY88" s="9">
        <f t="shared" si="40"/>
        <v>3983.8156565656568</v>
      </c>
      <c r="AZ88" s="9">
        <f t="shared" si="40"/>
        <v>4429.5021367521367</v>
      </c>
      <c r="BA88" s="211"/>
      <c r="BB88" s="9">
        <v>5586.0555555555557</v>
      </c>
      <c r="BC88" s="41">
        <v>4128.6111111111113</v>
      </c>
      <c r="BD88" s="41">
        <v>4408.2222222222217</v>
      </c>
      <c r="BE88" s="41">
        <v>4488.9267676767677</v>
      </c>
      <c r="BF88" s="41">
        <f t="shared" ref="BF88:BM88" si="41">IFERROR(AVERAGE(F88,S88,AF88),0)</f>
        <v>3757.1055555555558</v>
      </c>
      <c r="BG88" s="41">
        <f t="shared" si="41"/>
        <v>4033.3809523809523</v>
      </c>
      <c r="BH88" s="41">
        <f t="shared" si="41"/>
        <v>3750.6282051282051</v>
      </c>
      <c r="BI88" s="41">
        <f t="shared" si="41"/>
        <v>3926.0277777777774</v>
      </c>
      <c r="BJ88" s="41">
        <f t="shared" si="41"/>
        <v>4277.25</v>
      </c>
      <c r="BK88" s="41">
        <f t="shared" si="41"/>
        <v>4255.2222222222226</v>
      </c>
      <c r="BL88" s="41">
        <f t="shared" si="41"/>
        <v>3983.8156565656568</v>
      </c>
      <c r="BM88" s="9">
        <f t="shared" si="41"/>
        <v>4429.5021367521367</v>
      </c>
      <c r="BN88" s="211">
        <f>IFERROR(BN87/SUM(BB86:BM86)*12,0)</f>
        <v>51024.833333333328</v>
      </c>
      <c r="BO88" s="20">
        <f>BN88</f>
        <v>51024.833333333328</v>
      </c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Data'!C224=0,"",'kWh_Streetlight Data'!C224)</f>
        <v/>
      </c>
      <c r="C94" s="108" t="str">
        <f>IF('kWh_Streetlight Data'!D224=0,"",'kWh_Streetlight Data'!D224)</f>
        <v/>
      </c>
      <c r="D94" s="108" t="str">
        <f>IF('kWh_Streetlight Data'!E224=0,"",'kWh_Streetlight Data'!E224)</f>
        <v/>
      </c>
      <c r="E94" s="108" t="str">
        <f>IF('kWh_Streetlight Data'!F224=0,"",'kWh_Streetlight Data'!F224)</f>
        <v/>
      </c>
      <c r="F94" s="108" t="str">
        <f>IF('kWh_Streetlight Data'!G224=0,"",'kWh_Streetlight Data'!G224)</f>
        <v/>
      </c>
      <c r="G94" s="108" t="str">
        <f>IF('kWh_Streetlight Data'!H224=0,"",'kWh_Streetlight Data'!H224)</f>
        <v/>
      </c>
      <c r="H94" s="108" t="str">
        <f>IF('kWh_Streetlight Data'!I224=0,"",'kWh_Streetlight Data'!I224)</f>
        <v/>
      </c>
      <c r="I94" s="108" t="str">
        <f>IF('kWh_Streetlight Data'!J224=0,"",'kWh_Streetlight Data'!J224)</f>
        <v/>
      </c>
      <c r="J94" s="108" t="str">
        <f>IF('kWh_Streetlight Data'!K224=0,"",'kWh_Streetlight Data'!K224)</f>
        <v/>
      </c>
      <c r="K94" s="108" t="str">
        <f>IF('kWh_Streetlight Data'!L224=0,"",'kWh_Streetlight Data'!L224)</f>
        <v/>
      </c>
      <c r="L94" s="130" t="str">
        <f>IF('kWh_Streetlight Data'!M224=0,"",'kWh_Streetlight Data'!M224)</f>
        <v/>
      </c>
      <c r="M94" s="130" t="str">
        <f>IF('kWh_Streetlight Data'!N224=0,"",'kWh_Streetlight Data'!N224)</f>
        <v/>
      </c>
      <c r="N94" s="425" t="str">
        <f>IF('kWh_Streetlight Data'!O224=0,"",'kWh_Streetlight Data'!O224)</f>
        <v/>
      </c>
      <c r="O94" s="84" t="str">
        <f>IF('kWh_Streetlight Data'!P224=0,"",'kWh_Streetlight Data'!P224)</f>
        <v/>
      </c>
      <c r="P94" s="108" t="str">
        <f>IF('kWh_Streetlight Data'!Q224=0,"",'kWh_Streetlight Data'!Q224)</f>
        <v/>
      </c>
      <c r="Q94" s="108" t="str">
        <f>IF('kWh_Streetlight Data'!R224=0,"",'kWh_Streetlight Data'!R224)</f>
        <v/>
      </c>
      <c r="R94" s="108" t="str">
        <f>IF('kWh_Streetlight Data'!S224=0,"",'kWh_Streetlight Data'!S224)</f>
        <v/>
      </c>
      <c r="S94" s="108" t="str">
        <f>IF('kWh_Streetlight Data'!T224=0,"",'kWh_Streetlight Data'!T224)</f>
        <v/>
      </c>
      <c r="T94" s="108" t="str">
        <f>IF('kWh_Streetlight Data'!U224=0,"",'kWh_Streetlight Data'!U224)</f>
        <v/>
      </c>
      <c r="U94" s="108" t="str">
        <f>IF('kWh_Streetlight Data'!V224=0,"",'kWh_Streetlight Data'!V224)</f>
        <v/>
      </c>
      <c r="V94" s="108" t="str">
        <f>IF('kWh_Streetlight Data'!W224=0,"",'kWh_Streetlight Data'!W224)</f>
        <v/>
      </c>
      <c r="W94" s="108" t="str">
        <f>IF('kWh_Streetlight Data'!X224=0,"",'kWh_Streetlight Data'!X224)</f>
        <v/>
      </c>
      <c r="X94" s="108" t="str">
        <f>IF('kWh_Streetlight Data'!Y224=0,"",'kWh_Streetlight Data'!Y224)</f>
        <v/>
      </c>
      <c r="Y94" s="108" t="str">
        <f>IF('kWh_Streetlight Data'!Z224=0,"",'kWh_Streetlight Data'!Z224)</f>
        <v/>
      </c>
      <c r="Z94" s="108" t="str">
        <f>IF('kWh_Streetlight Data'!AA224=0,"",'kWh_Streetlight Data'!AA224)</f>
        <v/>
      </c>
      <c r="AA94" s="426" t="str">
        <f>IF('kWh_Streetlight Data'!AB224=0,"",'kWh_Streetlight Data'!AB224)</f>
        <v/>
      </c>
      <c r="AB94" s="84" t="str">
        <f>IF('kWh_Streetlight Data'!AC224=0,"",'kWh_Streetlight Data'!AC224)</f>
        <v/>
      </c>
      <c r="AC94" s="108" t="str">
        <f>IF('kWh_Streetlight Data'!AD224=0,"",'kWh_Streetlight Data'!AD224)</f>
        <v/>
      </c>
      <c r="AD94" s="108" t="str">
        <f>IF('kWh_Streetlight Data'!AE224=0,"",'kWh_Streetlight Data'!AE224)</f>
        <v/>
      </c>
      <c r="AE94" s="108" t="str">
        <f>IF('kWh_Streetlight Data'!AF224=0,"",'kWh_Streetlight Data'!AF224)</f>
        <v/>
      </c>
      <c r="AF94" s="108" t="str">
        <f>IF('kWh_Streetlight Data'!AG224=0,"",'kWh_Streetlight Data'!AG224)</f>
        <v/>
      </c>
      <c r="AG94" s="108" t="str">
        <f>IF('kWh_Streetlight Data'!AH224=0,"",'kWh_Streetlight Data'!AH224)</f>
        <v/>
      </c>
      <c r="AH94" s="108" t="str">
        <f>IF('kWh_Streetlight Data'!AI224=0,"",'kWh_Streetlight Data'!AI224)</f>
        <v/>
      </c>
      <c r="AI94" s="108" t="str">
        <f>IF('kWh_Streetlight Data'!AJ224=0,"",'kWh_Streetlight Data'!AJ224)</f>
        <v/>
      </c>
      <c r="AJ94" s="108" t="str">
        <f>IF('kWh_Streetlight Data'!AK224=0,"",'kWh_Streetlight Data'!AK224)</f>
        <v/>
      </c>
      <c r="AK94" s="108" t="str">
        <f>IF('kWh_Streetlight Data'!AL224=0,"",'kWh_Streetlight Data'!AL224)</f>
        <v/>
      </c>
      <c r="AL94" s="108" t="str">
        <f>IF('kWh_Streetlight Data'!AM224=0,"",'kWh_Streetlight Data'!AM224)</f>
        <v/>
      </c>
      <c r="AM94" s="108" t="str">
        <f>IF('kWh_Streetlight Data'!AN224=0,"",'kWh_Streetlight Data'!AN224)</f>
        <v/>
      </c>
      <c r="AN94" s="424" t="str">
        <f>IF('kWh_Streetlight Data'!AO224=0,"",'kWh_Streetlight Data'!AO224)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42">AU7+AU22+AU29+AU43</f>
        <v>190</v>
      </c>
      <c r="AV98" s="9">
        <f t="shared" si="42"/>
        <v>190</v>
      </c>
      <c r="AW98" s="9">
        <f t="shared" si="42"/>
        <v>190</v>
      </c>
      <c r="AX98" s="9">
        <f t="shared" si="42"/>
        <v>190</v>
      </c>
      <c r="AY98" s="9">
        <f t="shared" si="42"/>
        <v>190</v>
      </c>
      <c r="AZ98" s="9">
        <f t="shared" si="42"/>
        <v>190</v>
      </c>
      <c r="BA98" s="138">
        <f t="shared" si="42"/>
        <v>190</v>
      </c>
      <c r="BB98" s="9">
        <v>191</v>
      </c>
      <c r="BC98" s="9">
        <v>191</v>
      </c>
      <c r="BD98" s="9">
        <v>191</v>
      </c>
      <c r="BE98" s="9">
        <v>191</v>
      </c>
      <c r="BF98" s="9">
        <f t="shared" ref="BF98:BO98" si="43">BF7+BF22+BF29+BF43</f>
        <v>191</v>
      </c>
      <c r="BG98" s="9">
        <f t="shared" si="43"/>
        <v>191</v>
      </c>
      <c r="BH98" s="9">
        <f t="shared" si="43"/>
        <v>191</v>
      </c>
      <c r="BI98" s="9">
        <f t="shared" si="43"/>
        <v>191</v>
      </c>
      <c r="BJ98" s="9">
        <f t="shared" si="43"/>
        <v>191</v>
      </c>
      <c r="BK98" s="9">
        <f t="shared" si="43"/>
        <v>191</v>
      </c>
      <c r="BL98" s="9">
        <f t="shared" si="43"/>
        <v>191</v>
      </c>
      <c r="BM98" s="9">
        <f t="shared" si="43"/>
        <v>191</v>
      </c>
      <c r="BN98" s="138">
        <f t="shared" si="43"/>
        <v>191</v>
      </c>
      <c r="BO98" s="58">
        <f t="shared" si="43"/>
        <v>192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44">AU57</f>
        <v>0</v>
      </c>
      <c r="AV99" s="9">
        <f t="shared" si="44"/>
        <v>0</v>
      </c>
      <c r="AW99" s="9">
        <f t="shared" si="44"/>
        <v>0</v>
      </c>
      <c r="AX99" s="9">
        <f t="shared" si="44"/>
        <v>0</v>
      </c>
      <c r="AY99" s="9">
        <f t="shared" si="44"/>
        <v>0</v>
      </c>
      <c r="AZ99" s="9">
        <f t="shared" si="44"/>
        <v>0</v>
      </c>
      <c r="BA99" s="138">
        <f t="shared" si="44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45">BF57</f>
        <v>0</v>
      </c>
      <c r="BG99" s="9">
        <f t="shared" si="45"/>
        <v>0</v>
      </c>
      <c r="BH99" s="9">
        <f t="shared" si="45"/>
        <v>0</v>
      </c>
      <c r="BI99" s="9">
        <f t="shared" si="45"/>
        <v>0</v>
      </c>
      <c r="BJ99" s="9">
        <f t="shared" si="45"/>
        <v>0</v>
      </c>
      <c r="BK99" s="9">
        <f t="shared" si="45"/>
        <v>0</v>
      </c>
      <c r="BL99" s="9">
        <f t="shared" si="45"/>
        <v>0</v>
      </c>
      <c r="BM99" s="9">
        <f t="shared" si="45"/>
        <v>0</v>
      </c>
      <c r="BN99" s="138">
        <f t="shared" si="45"/>
        <v>0</v>
      </c>
      <c r="BO99" s="58">
        <f t="shared" si="45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46">AU65+AU75+AU81+AU86</f>
        <v>22</v>
      </c>
      <c r="AV100" s="9">
        <f t="shared" si="46"/>
        <v>22</v>
      </c>
      <c r="AW100" s="9">
        <f t="shared" si="46"/>
        <v>22</v>
      </c>
      <c r="AX100" s="9">
        <f t="shared" si="46"/>
        <v>22</v>
      </c>
      <c r="AY100" s="9">
        <f t="shared" si="46"/>
        <v>22</v>
      </c>
      <c r="AZ100" s="9">
        <f t="shared" si="46"/>
        <v>22</v>
      </c>
      <c r="BA100" s="138">
        <f t="shared" si="46"/>
        <v>22</v>
      </c>
      <c r="BB100" s="9">
        <v>22</v>
      </c>
      <c r="BC100" s="9">
        <v>22</v>
      </c>
      <c r="BD100" s="9">
        <v>22</v>
      </c>
      <c r="BE100" s="9">
        <v>22</v>
      </c>
      <c r="BF100" s="9">
        <f t="shared" ref="BF100:BO100" si="47">BF65+BF75+BF81+BF86</f>
        <v>22</v>
      </c>
      <c r="BG100" s="9">
        <f t="shared" si="47"/>
        <v>22</v>
      </c>
      <c r="BH100" s="9">
        <f t="shared" si="47"/>
        <v>22</v>
      </c>
      <c r="BI100" s="9">
        <f t="shared" si="47"/>
        <v>22</v>
      </c>
      <c r="BJ100" s="9">
        <f t="shared" si="47"/>
        <v>22</v>
      </c>
      <c r="BK100" s="9">
        <f t="shared" si="47"/>
        <v>22</v>
      </c>
      <c r="BL100" s="9">
        <f t="shared" si="47"/>
        <v>22</v>
      </c>
      <c r="BM100" s="9">
        <f t="shared" si="47"/>
        <v>22</v>
      </c>
      <c r="BN100" s="138">
        <f t="shared" si="47"/>
        <v>22</v>
      </c>
      <c r="BO100" s="58">
        <f t="shared" si="47"/>
        <v>22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48">SUM(AU98:AU100)</f>
        <v>212</v>
      </c>
      <c r="AV101" s="73">
        <f t="shared" si="48"/>
        <v>212</v>
      </c>
      <c r="AW101" s="73">
        <f t="shared" si="48"/>
        <v>212</v>
      </c>
      <c r="AX101" s="73">
        <f t="shared" si="48"/>
        <v>212</v>
      </c>
      <c r="AY101" s="73">
        <f t="shared" si="48"/>
        <v>212</v>
      </c>
      <c r="AZ101" s="73">
        <f t="shared" si="48"/>
        <v>212</v>
      </c>
      <c r="BA101" s="249">
        <f t="shared" si="48"/>
        <v>212</v>
      </c>
      <c r="BB101" s="73">
        <v>213</v>
      </c>
      <c r="BC101" s="73">
        <v>213</v>
      </c>
      <c r="BD101" s="73">
        <v>213</v>
      </c>
      <c r="BE101" s="73">
        <v>213</v>
      </c>
      <c r="BF101" s="73">
        <f t="shared" ref="BF101:BO101" si="49">SUM(BF98:BF100)</f>
        <v>213</v>
      </c>
      <c r="BG101" s="73">
        <f t="shared" si="49"/>
        <v>213</v>
      </c>
      <c r="BH101" s="73">
        <f t="shared" si="49"/>
        <v>213</v>
      </c>
      <c r="BI101" s="73">
        <f t="shared" si="49"/>
        <v>213</v>
      </c>
      <c r="BJ101" s="73">
        <f t="shared" si="49"/>
        <v>213</v>
      </c>
      <c r="BK101" s="73">
        <f t="shared" si="49"/>
        <v>213</v>
      </c>
      <c r="BL101" s="73">
        <f t="shared" si="49"/>
        <v>213</v>
      </c>
      <c r="BM101" s="73">
        <f t="shared" si="49"/>
        <v>213</v>
      </c>
      <c r="BN101" s="249">
        <f t="shared" si="49"/>
        <v>213</v>
      </c>
      <c r="BO101" s="268">
        <f t="shared" si="49"/>
        <v>214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50">AU15+AU36+AU50</f>
        <v>0</v>
      </c>
      <c r="AV102" s="9">
        <f t="shared" si="50"/>
        <v>0</v>
      </c>
      <c r="AW102" s="9">
        <f t="shared" si="50"/>
        <v>0</v>
      </c>
      <c r="AX102" s="9">
        <f t="shared" si="50"/>
        <v>0</v>
      </c>
      <c r="AY102" s="9">
        <f t="shared" si="50"/>
        <v>0</v>
      </c>
      <c r="AZ102" s="9">
        <f t="shared" si="50"/>
        <v>0</v>
      </c>
      <c r="BA102" s="138">
        <f t="shared" si="50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51">BF15+BF36+BF50</f>
        <v>0</v>
      </c>
      <c r="BG102" s="9">
        <f t="shared" si="51"/>
        <v>0</v>
      </c>
      <c r="BH102" s="9">
        <f t="shared" si="51"/>
        <v>0</v>
      </c>
      <c r="BI102" s="9">
        <f t="shared" si="51"/>
        <v>0</v>
      </c>
      <c r="BJ102" s="9">
        <f t="shared" si="51"/>
        <v>0</v>
      </c>
      <c r="BK102" s="9">
        <f t="shared" si="51"/>
        <v>0</v>
      </c>
      <c r="BL102" s="9">
        <f t="shared" si="51"/>
        <v>0</v>
      </c>
      <c r="BM102" s="9">
        <f t="shared" si="51"/>
        <v>0</v>
      </c>
      <c r="BN102" s="138">
        <f t="shared" si="51"/>
        <v>0</v>
      </c>
      <c r="BO102" s="266">
        <f t="shared" si="51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52">AU92</f>
        <v>0</v>
      </c>
      <c r="AV104" s="9">
        <f t="shared" si="52"/>
        <v>0</v>
      </c>
      <c r="AW104" s="9">
        <f t="shared" si="52"/>
        <v>0</v>
      </c>
      <c r="AX104" s="9">
        <f t="shared" si="52"/>
        <v>0</v>
      </c>
      <c r="AY104" s="9">
        <f t="shared" si="52"/>
        <v>0</v>
      </c>
      <c r="AZ104" s="9">
        <f t="shared" si="52"/>
        <v>0</v>
      </c>
      <c r="BA104" s="138">
        <f t="shared" si="52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53">BF92</f>
        <v>0</v>
      </c>
      <c r="BG104" s="9">
        <f t="shared" si="53"/>
        <v>0</v>
      </c>
      <c r="BH104" s="9">
        <f t="shared" si="53"/>
        <v>0</v>
      </c>
      <c r="BI104" s="9">
        <f t="shared" si="53"/>
        <v>0</v>
      </c>
      <c r="BJ104" s="9">
        <f t="shared" si="53"/>
        <v>0</v>
      </c>
      <c r="BK104" s="9">
        <f t="shared" si="53"/>
        <v>0</v>
      </c>
      <c r="BL104" s="9">
        <f t="shared" si="53"/>
        <v>0</v>
      </c>
      <c r="BM104" s="9">
        <f t="shared" si="53"/>
        <v>0</v>
      </c>
      <c r="BN104" s="138">
        <f t="shared" si="53"/>
        <v>0</v>
      </c>
      <c r="BO104" s="58">
        <f t="shared" si="53"/>
        <v>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54">SUM(AU102:AU104)</f>
        <v>0</v>
      </c>
      <c r="AV105" s="73">
        <f t="shared" si="54"/>
        <v>0</v>
      </c>
      <c r="AW105" s="73">
        <f t="shared" si="54"/>
        <v>0</v>
      </c>
      <c r="AX105" s="73">
        <f t="shared" si="54"/>
        <v>0</v>
      </c>
      <c r="AY105" s="73">
        <f t="shared" si="54"/>
        <v>0</v>
      </c>
      <c r="AZ105" s="73">
        <f t="shared" si="54"/>
        <v>0</v>
      </c>
      <c r="BA105" s="249">
        <f t="shared" si="54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55">SUM(BF102:BF104)</f>
        <v>0</v>
      </c>
      <c r="BG105" s="73">
        <f t="shared" si="55"/>
        <v>0</v>
      </c>
      <c r="BH105" s="73">
        <f t="shared" si="55"/>
        <v>0</v>
      </c>
      <c r="BI105" s="73">
        <f t="shared" si="55"/>
        <v>0</v>
      </c>
      <c r="BJ105" s="73">
        <f t="shared" si="55"/>
        <v>0</v>
      </c>
      <c r="BK105" s="73">
        <f t="shared" si="55"/>
        <v>0</v>
      </c>
      <c r="BL105" s="73">
        <f t="shared" si="55"/>
        <v>0</v>
      </c>
      <c r="BM105" s="73">
        <f t="shared" si="55"/>
        <v>0</v>
      </c>
      <c r="BN105" s="249">
        <f t="shared" si="55"/>
        <v>0</v>
      </c>
      <c r="BO105" s="268">
        <f t="shared" si="55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56">AU105+AU101</f>
        <v>212</v>
      </c>
      <c r="AV106" s="251">
        <f t="shared" si="56"/>
        <v>212</v>
      </c>
      <c r="AW106" s="251">
        <f t="shared" si="56"/>
        <v>212</v>
      </c>
      <c r="AX106" s="251">
        <f t="shared" si="56"/>
        <v>212</v>
      </c>
      <c r="AY106" s="251">
        <f t="shared" si="56"/>
        <v>212</v>
      </c>
      <c r="AZ106" s="251">
        <f t="shared" si="56"/>
        <v>212</v>
      </c>
      <c r="BA106" s="255">
        <f t="shared" si="56"/>
        <v>212</v>
      </c>
      <c r="BB106" s="251">
        <v>213</v>
      </c>
      <c r="BC106" s="251">
        <v>213</v>
      </c>
      <c r="BD106" s="251">
        <v>213</v>
      </c>
      <c r="BE106" s="251">
        <v>213</v>
      </c>
      <c r="BF106" s="251">
        <f t="shared" si="56"/>
        <v>213</v>
      </c>
      <c r="BG106" s="251">
        <f t="shared" si="56"/>
        <v>213</v>
      </c>
      <c r="BH106" s="251">
        <f t="shared" si="56"/>
        <v>213</v>
      </c>
      <c r="BI106" s="251">
        <f t="shared" si="56"/>
        <v>213</v>
      </c>
      <c r="BJ106" s="251">
        <f t="shared" si="56"/>
        <v>213</v>
      </c>
      <c r="BK106" s="251">
        <f t="shared" si="56"/>
        <v>213</v>
      </c>
      <c r="BL106" s="251">
        <f t="shared" si="56"/>
        <v>213</v>
      </c>
      <c r="BM106" s="251">
        <f t="shared" si="56"/>
        <v>213</v>
      </c>
      <c r="BN106" s="255">
        <f t="shared" si="56"/>
        <v>213</v>
      </c>
      <c r="BO106" s="269">
        <f t="shared" si="56"/>
        <v>214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57">AU11+AU26+AU33+AU47</f>
        <v>401830</v>
      </c>
      <c r="AV108" s="9">
        <f t="shared" si="57"/>
        <v>208881</v>
      </c>
      <c r="AW108" s="9">
        <f t="shared" si="57"/>
        <v>208278</v>
      </c>
      <c r="AX108" s="9">
        <f t="shared" si="57"/>
        <v>239857</v>
      </c>
      <c r="AY108" s="9">
        <f t="shared" si="57"/>
        <v>255161</v>
      </c>
      <c r="AZ108" s="9">
        <f t="shared" si="57"/>
        <v>272331</v>
      </c>
      <c r="BA108" s="138">
        <f t="shared" si="57"/>
        <v>1586338</v>
      </c>
      <c r="BB108" s="9">
        <v>369062</v>
      </c>
      <c r="BC108" s="9">
        <v>297984</v>
      </c>
      <c r="BD108" s="9">
        <v>254051</v>
      </c>
      <c r="BE108" s="9">
        <v>265645</v>
      </c>
      <c r="BF108" s="9">
        <f t="shared" ref="BF108:BO108" si="58">BF11+BF26+BF33+BF47</f>
        <v>251445</v>
      </c>
      <c r="BG108" s="9">
        <f t="shared" si="58"/>
        <v>208561</v>
      </c>
      <c r="BH108" s="9">
        <f t="shared" si="58"/>
        <v>195135</v>
      </c>
      <c r="BI108" s="9">
        <f t="shared" si="58"/>
        <v>209830</v>
      </c>
      <c r="BJ108" s="9">
        <f t="shared" si="58"/>
        <v>209249</v>
      </c>
      <c r="BK108" s="9">
        <f t="shared" si="58"/>
        <v>241004</v>
      </c>
      <c r="BL108" s="9">
        <f t="shared" si="58"/>
        <v>256394</v>
      </c>
      <c r="BM108" s="9">
        <f t="shared" si="58"/>
        <v>273661</v>
      </c>
      <c r="BN108" s="138">
        <f t="shared" si="58"/>
        <v>3032021</v>
      </c>
      <c r="BO108" s="58">
        <f t="shared" si="58"/>
        <v>3046454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59">AU58</f>
        <v>0</v>
      </c>
      <c r="AV109" s="9">
        <f t="shared" si="59"/>
        <v>0</v>
      </c>
      <c r="AW109" s="9">
        <f t="shared" si="59"/>
        <v>0</v>
      </c>
      <c r="AX109" s="9">
        <f t="shared" si="59"/>
        <v>0</v>
      </c>
      <c r="AY109" s="9">
        <f t="shared" si="59"/>
        <v>0</v>
      </c>
      <c r="AZ109" s="9">
        <f t="shared" si="59"/>
        <v>0</v>
      </c>
      <c r="BA109" s="138">
        <f t="shared" si="59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60">BF58</f>
        <v>0</v>
      </c>
      <c r="BG109" s="9">
        <f t="shared" si="60"/>
        <v>0</v>
      </c>
      <c r="BH109" s="9">
        <f t="shared" si="60"/>
        <v>0</v>
      </c>
      <c r="BI109" s="9">
        <f t="shared" si="60"/>
        <v>0</v>
      </c>
      <c r="BJ109" s="9">
        <f t="shared" si="60"/>
        <v>0</v>
      </c>
      <c r="BK109" s="9">
        <f t="shared" si="60"/>
        <v>0</v>
      </c>
      <c r="BL109" s="9">
        <f t="shared" si="60"/>
        <v>0</v>
      </c>
      <c r="BM109" s="9">
        <f t="shared" si="60"/>
        <v>0</v>
      </c>
      <c r="BN109" s="138">
        <f t="shared" si="60"/>
        <v>0</v>
      </c>
      <c r="BO109" s="58">
        <f t="shared" si="60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61">AU68+AU78+AU82+AU87</f>
        <v>103634</v>
      </c>
      <c r="AV110" s="9">
        <f t="shared" si="61"/>
        <v>52445</v>
      </c>
      <c r="AW110" s="9">
        <f t="shared" si="61"/>
        <v>56705</v>
      </c>
      <c r="AX110" s="9">
        <f t="shared" si="61"/>
        <v>57237</v>
      </c>
      <c r="AY110" s="9">
        <f t="shared" si="61"/>
        <v>54131</v>
      </c>
      <c r="AZ110" s="9">
        <f t="shared" si="61"/>
        <v>59415</v>
      </c>
      <c r="BA110" s="138">
        <f t="shared" si="61"/>
        <v>383567</v>
      </c>
      <c r="BB110" s="9">
        <v>73711</v>
      </c>
      <c r="BC110" s="9">
        <v>56126</v>
      </c>
      <c r="BD110" s="9">
        <v>58254</v>
      </c>
      <c r="BE110" s="9">
        <v>59852</v>
      </c>
      <c r="BF110" s="9">
        <f t="shared" ref="BF110:BO110" si="62">BF68+BF78+BF82+BF87</f>
        <v>51793</v>
      </c>
      <c r="BG110" s="9">
        <f t="shared" si="62"/>
        <v>54014</v>
      </c>
      <c r="BH110" s="9">
        <f t="shared" si="62"/>
        <v>49621</v>
      </c>
      <c r="BI110" s="9">
        <f t="shared" si="62"/>
        <v>52445</v>
      </c>
      <c r="BJ110" s="9">
        <f t="shared" si="62"/>
        <v>56705</v>
      </c>
      <c r="BK110" s="9">
        <f t="shared" si="62"/>
        <v>57237</v>
      </c>
      <c r="BL110" s="9">
        <f t="shared" si="62"/>
        <v>54131</v>
      </c>
      <c r="BM110" s="9">
        <f t="shared" si="62"/>
        <v>59415</v>
      </c>
      <c r="BN110" s="138">
        <f t="shared" si="62"/>
        <v>683304</v>
      </c>
      <c r="BO110" s="58">
        <f t="shared" si="62"/>
        <v>683304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63">SUM(AU108:AU110)</f>
        <v>505464</v>
      </c>
      <c r="AV111" s="73">
        <f t="shared" si="63"/>
        <v>261326</v>
      </c>
      <c r="AW111" s="73">
        <f t="shared" si="63"/>
        <v>264983</v>
      </c>
      <c r="AX111" s="73">
        <f t="shared" si="63"/>
        <v>297094</v>
      </c>
      <c r="AY111" s="73">
        <f t="shared" si="63"/>
        <v>309292</v>
      </c>
      <c r="AZ111" s="73">
        <f t="shared" si="63"/>
        <v>331746</v>
      </c>
      <c r="BA111" s="249">
        <f t="shared" si="63"/>
        <v>1969905</v>
      </c>
      <c r="BB111" s="73">
        <v>442773</v>
      </c>
      <c r="BC111" s="73">
        <v>354110</v>
      </c>
      <c r="BD111" s="73">
        <v>312305</v>
      </c>
      <c r="BE111" s="73">
        <v>325497</v>
      </c>
      <c r="BF111" s="73">
        <f t="shared" ref="BF111:BO111" si="64">SUM(BF108:BF110)</f>
        <v>303238</v>
      </c>
      <c r="BG111" s="73">
        <f t="shared" si="64"/>
        <v>262575</v>
      </c>
      <c r="BH111" s="73">
        <f t="shared" si="64"/>
        <v>244756</v>
      </c>
      <c r="BI111" s="73">
        <f t="shared" si="64"/>
        <v>262275</v>
      </c>
      <c r="BJ111" s="73">
        <f t="shared" si="64"/>
        <v>265954</v>
      </c>
      <c r="BK111" s="73">
        <f t="shared" si="64"/>
        <v>298241</v>
      </c>
      <c r="BL111" s="73">
        <f t="shared" si="64"/>
        <v>310525</v>
      </c>
      <c r="BM111" s="73">
        <f t="shared" si="64"/>
        <v>333076</v>
      </c>
      <c r="BN111" s="249">
        <f t="shared" si="64"/>
        <v>3715325</v>
      </c>
      <c r="BO111" s="268">
        <f t="shared" si="64"/>
        <v>3729758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65">AU19+AU40+AU54</f>
        <v>0</v>
      </c>
      <c r="AV112" s="9">
        <f t="shared" si="65"/>
        <v>0</v>
      </c>
      <c r="AW112" s="9">
        <f t="shared" si="65"/>
        <v>0</v>
      </c>
      <c r="AX112" s="9">
        <f t="shared" si="65"/>
        <v>0</v>
      </c>
      <c r="AY112" s="9">
        <f t="shared" si="65"/>
        <v>0</v>
      </c>
      <c r="AZ112" s="9">
        <f t="shared" si="65"/>
        <v>0</v>
      </c>
      <c r="BA112" s="138">
        <f t="shared" si="65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66">BF19+BF40+BF54</f>
        <v>0</v>
      </c>
      <c r="BG112" s="9">
        <f t="shared" si="66"/>
        <v>0</v>
      </c>
      <c r="BH112" s="9">
        <f t="shared" si="66"/>
        <v>0</v>
      </c>
      <c r="BI112" s="9">
        <f t="shared" si="66"/>
        <v>0</v>
      </c>
      <c r="BJ112" s="9">
        <f t="shared" si="66"/>
        <v>0</v>
      </c>
      <c r="BK112" s="9">
        <f t="shared" si="66"/>
        <v>0</v>
      </c>
      <c r="BL112" s="9">
        <f t="shared" si="66"/>
        <v>0</v>
      </c>
      <c r="BM112" s="9">
        <f t="shared" si="66"/>
        <v>0</v>
      </c>
      <c r="BN112" s="138">
        <f t="shared" si="66"/>
        <v>0</v>
      </c>
      <c r="BO112" s="58">
        <f t="shared" si="66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67">AU93</f>
        <v>0</v>
      </c>
      <c r="AV114" s="9">
        <f t="shared" si="67"/>
        <v>0</v>
      </c>
      <c r="AW114" s="9">
        <f t="shared" si="67"/>
        <v>0</v>
      </c>
      <c r="AX114" s="9">
        <f t="shared" si="67"/>
        <v>0</v>
      </c>
      <c r="AY114" s="9">
        <f t="shared" si="67"/>
        <v>0</v>
      </c>
      <c r="AZ114" s="9">
        <f t="shared" si="67"/>
        <v>0</v>
      </c>
      <c r="BA114" s="138">
        <f t="shared" si="67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68">BF93</f>
        <v>0</v>
      </c>
      <c r="BG114" s="9">
        <f t="shared" si="68"/>
        <v>0</v>
      </c>
      <c r="BH114" s="9">
        <f t="shared" si="68"/>
        <v>0</v>
      </c>
      <c r="BI114" s="9">
        <f t="shared" si="68"/>
        <v>0</v>
      </c>
      <c r="BJ114" s="9">
        <f t="shared" si="68"/>
        <v>0</v>
      </c>
      <c r="BK114" s="9">
        <f t="shared" si="68"/>
        <v>0</v>
      </c>
      <c r="BL114" s="9">
        <f t="shared" si="68"/>
        <v>0</v>
      </c>
      <c r="BM114" s="9">
        <f t="shared" si="68"/>
        <v>0</v>
      </c>
      <c r="BN114" s="138">
        <f t="shared" si="68"/>
        <v>0</v>
      </c>
      <c r="BO114" s="58">
        <f t="shared" si="68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69">SUM(AU112:AU114)</f>
        <v>0</v>
      </c>
      <c r="AV115" s="73">
        <f t="shared" si="69"/>
        <v>0</v>
      </c>
      <c r="AW115" s="73">
        <f t="shared" si="69"/>
        <v>0</v>
      </c>
      <c r="AX115" s="73">
        <f t="shared" si="69"/>
        <v>0</v>
      </c>
      <c r="AY115" s="73">
        <f t="shared" si="69"/>
        <v>0</v>
      </c>
      <c r="AZ115" s="73">
        <f t="shared" si="69"/>
        <v>0</v>
      </c>
      <c r="BA115" s="249">
        <f t="shared" si="69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70">SUM(BF112:BF114)</f>
        <v>0</v>
      </c>
      <c r="BG115" s="73">
        <f t="shared" si="70"/>
        <v>0</v>
      </c>
      <c r="BH115" s="73">
        <f t="shared" si="70"/>
        <v>0</v>
      </c>
      <c r="BI115" s="73">
        <f t="shared" si="70"/>
        <v>0</v>
      </c>
      <c r="BJ115" s="73">
        <f t="shared" si="70"/>
        <v>0</v>
      </c>
      <c r="BK115" s="73">
        <f t="shared" si="70"/>
        <v>0</v>
      </c>
      <c r="BL115" s="73">
        <f t="shared" si="70"/>
        <v>0</v>
      </c>
      <c r="BM115" s="73">
        <f t="shared" si="70"/>
        <v>0</v>
      </c>
      <c r="BN115" s="249">
        <f t="shared" si="70"/>
        <v>0</v>
      </c>
      <c r="BO115" s="268">
        <f t="shared" si="70"/>
        <v>0</v>
      </c>
    </row>
    <row r="116" spans="1:67" s="3" customFormat="1" ht="15.75" customHeight="1" thickBot="1">
      <c r="A116" s="201" t="s">
        <v>219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71">AU115+AU111</f>
        <v>505464</v>
      </c>
      <c r="AV116" s="251">
        <f t="shared" si="71"/>
        <v>261326</v>
      </c>
      <c r="AW116" s="251">
        <f t="shared" si="71"/>
        <v>264983</v>
      </c>
      <c r="AX116" s="251">
        <f t="shared" si="71"/>
        <v>297094</v>
      </c>
      <c r="AY116" s="251">
        <f t="shared" si="71"/>
        <v>309292</v>
      </c>
      <c r="AZ116" s="251">
        <f t="shared" si="71"/>
        <v>331746</v>
      </c>
      <c r="BA116" s="255">
        <f t="shared" si="71"/>
        <v>1969905</v>
      </c>
      <c r="BB116" s="251">
        <v>442773</v>
      </c>
      <c r="BC116" s="251">
        <v>354110</v>
      </c>
      <c r="BD116" s="251">
        <v>312305</v>
      </c>
      <c r="BE116" s="251">
        <v>325497</v>
      </c>
      <c r="BF116" s="251">
        <f t="shared" si="71"/>
        <v>303238</v>
      </c>
      <c r="BG116" s="251">
        <f t="shared" si="71"/>
        <v>262575</v>
      </c>
      <c r="BH116" s="251">
        <f t="shared" si="71"/>
        <v>244756</v>
      </c>
      <c r="BI116" s="251">
        <f t="shared" si="71"/>
        <v>262275</v>
      </c>
      <c r="BJ116" s="251">
        <f t="shared" si="71"/>
        <v>265954</v>
      </c>
      <c r="BK116" s="251">
        <f t="shared" si="71"/>
        <v>298241</v>
      </c>
      <c r="BL116" s="251">
        <f t="shared" si="71"/>
        <v>310525</v>
      </c>
      <c r="BM116" s="251">
        <f t="shared" si="71"/>
        <v>333076</v>
      </c>
      <c r="BN116" s="255">
        <f t="shared" si="71"/>
        <v>3715325</v>
      </c>
      <c r="BO116" s="269">
        <f t="shared" si="71"/>
        <v>3729758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7</v>
      </c>
      <c r="AV119" s="280">
        <f>AU119</f>
        <v>7</v>
      </c>
      <c r="AW119" s="280">
        <f>AV119</f>
        <v>7</v>
      </c>
      <c r="AX119" s="280">
        <f t="shared" ref="AX119:AZ119" si="72">AW119</f>
        <v>7</v>
      </c>
      <c r="AY119" s="280">
        <f t="shared" si="72"/>
        <v>7</v>
      </c>
      <c r="AZ119" s="280">
        <f t="shared" si="72"/>
        <v>7</v>
      </c>
      <c r="BA119" s="259"/>
      <c r="BB119" s="280">
        <v>7</v>
      </c>
      <c r="BC119" s="280">
        <v>7</v>
      </c>
      <c r="BD119" s="280">
        <v>7</v>
      </c>
      <c r="BE119" s="280">
        <v>7</v>
      </c>
      <c r="BF119" s="280">
        <f t="shared" ref="BF119:BM119" si="73">BE119</f>
        <v>7</v>
      </c>
      <c r="BG119" s="280">
        <f t="shared" si="73"/>
        <v>7</v>
      </c>
      <c r="BH119" s="280">
        <f t="shared" si="73"/>
        <v>7</v>
      </c>
      <c r="BI119" s="280">
        <f t="shared" si="73"/>
        <v>7</v>
      </c>
      <c r="BJ119" s="280">
        <f t="shared" si="73"/>
        <v>7</v>
      </c>
      <c r="BK119" s="280">
        <f t="shared" si="73"/>
        <v>7</v>
      </c>
      <c r="BL119" s="280">
        <f t="shared" si="73"/>
        <v>7</v>
      </c>
      <c r="BM119" s="280">
        <f t="shared" si="73"/>
        <v>7</v>
      </c>
      <c r="BN119" s="259"/>
      <c r="BO119" s="343">
        <f>BM119</f>
        <v>7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354617</v>
      </c>
      <c r="AU120" s="107">
        <v>135680.11199999999</v>
      </c>
      <c r="AV120" s="39">
        <f>ROUND(AW108/30*AV119,0)</f>
        <v>48598</v>
      </c>
      <c r="AW120" s="39">
        <f>ROUND(AX108/30*AW119,0)</f>
        <v>55967</v>
      </c>
      <c r="AX120" s="39">
        <f>ROUND(AY108/30*AX119,0)</f>
        <v>59538</v>
      </c>
      <c r="AY120" s="39">
        <f>ROUND(AZ108/30*AY119,0)</f>
        <v>63544</v>
      </c>
      <c r="AZ120" s="39">
        <f>ROUND(BB108/30*AZ119,0)</f>
        <v>86114</v>
      </c>
      <c r="BA120" s="215"/>
      <c r="BB120" s="346">
        <v>69530</v>
      </c>
      <c r="BC120" s="346">
        <v>59279</v>
      </c>
      <c r="BD120" s="346">
        <v>61984</v>
      </c>
      <c r="BE120" s="346">
        <v>58671</v>
      </c>
      <c r="BF120" s="346">
        <f t="shared" ref="BF120:BL120" si="74">ROUND(BG108/30*BF119,0)</f>
        <v>48664</v>
      </c>
      <c r="BG120" s="346">
        <f t="shared" si="74"/>
        <v>45532</v>
      </c>
      <c r="BH120" s="346">
        <f t="shared" si="74"/>
        <v>48960</v>
      </c>
      <c r="BI120" s="346">
        <f t="shared" si="74"/>
        <v>48825</v>
      </c>
      <c r="BJ120" s="346">
        <f t="shared" si="74"/>
        <v>56234</v>
      </c>
      <c r="BK120" s="346">
        <f t="shared" si="74"/>
        <v>59825</v>
      </c>
      <c r="BL120" s="346">
        <f t="shared" si="74"/>
        <v>63854</v>
      </c>
      <c r="BM120" s="57">
        <f>ROUND(BO108*0.11/30*BM119,0)</f>
        <v>78192</v>
      </c>
      <c r="BN120" s="215"/>
      <c r="BO120" s="141">
        <v>78563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58838</v>
      </c>
      <c r="AU121" s="107">
        <v>12179</v>
      </c>
      <c r="AV121" s="39">
        <f>ROUND(AW110/30*AV119,0)</f>
        <v>13231</v>
      </c>
      <c r="AW121" s="39">
        <f>ROUND(AX110/30*AW119,0)</f>
        <v>13355</v>
      </c>
      <c r="AX121" s="39">
        <f>ROUND(AY110/30*AX119,0)</f>
        <v>12631</v>
      </c>
      <c r="AY121" s="39">
        <f>ROUND(AZ110/30*AY119,0)</f>
        <v>13864</v>
      </c>
      <c r="AZ121" s="39">
        <f>ROUND(BB110/30*AZ119,0)</f>
        <v>17199</v>
      </c>
      <c r="BA121" s="215"/>
      <c r="BB121" s="57">
        <v>13096</v>
      </c>
      <c r="BC121" s="57">
        <v>13593</v>
      </c>
      <c r="BD121" s="57">
        <v>13965</v>
      </c>
      <c r="BE121" s="57">
        <v>12085</v>
      </c>
      <c r="BF121" s="57">
        <f t="shared" ref="BF121:BL121" si="75">ROUND(BG110/30*BF119,0)</f>
        <v>12603</v>
      </c>
      <c r="BG121" s="57">
        <f t="shared" si="75"/>
        <v>11578</v>
      </c>
      <c r="BH121" s="57">
        <f t="shared" si="75"/>
        <v>12237</v>
      </c>
      <c r="BI121" s="57">
        <f t="shared" si="75"/>
        <v>13231</v>
      </c>
      <c r="BJ121" s="57">
        <f t="shared" si="75"/>
        <v>13355</v>
      </c>
      <c r="BK121" s="57">
        <f t="shared" si="75"/>
        <v>12631</v>
      </c>
      <c r="BL121" s="57">
        <f t="shared" si="75"/>
        <v>13864</v>
      </c>
      <c r="BM121" s="57">
        <f>ROUND(BO110*0.11/30*BM119,0)</f>
        <v>17538</v>
      </c>
      <c r="BN121" s="215"/>
      <c r="BO121" s="141">
        <v>17538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-354617</v>
      </c>
      <c r="AV122" s="57">
        <f t="shared" ref="AV122:AZ123" si="76">-AU120</f>
        <v>-135680.11199999999</v>
      </c>
      <c r="AW122" s="57">
        <f t="shared" si="76"/>
        <v>-48598</v>
      </c>
      <c r="AX122" s="57">
        <f t="shared" si="76"/>
        <v>-55967</v>
      </c>
      <c r="AY122" s="57">
        <f t="shared" si="76"/>
        <v>-59538</v>
      </c>
      <c r="AZ122" s="57">
        <f t="shared" si="76"/>
        <v>-63544</v>
      </c>
      <c r="BA122" s="215"/>
      <c r="BB122" s="57">
        <v>-86114</v>
      </c>
      <c r="BC122" s="57">
        <v>-69530</v>
      </c>
      <c r="BD122" s="57">
        <v>-59279</v>
      </c>
      <c r="BE122" s="57">
        <v>-61984</v>
      </c>
      <c r="BF122" s="57">
        <f t="shared" ref="BF122:BM123" si="77">-BE120</f>
        <v>-58671</v>
      </c>
      <c r="BG122" s="57">
        <f t="shared" si="77"/>
        <v>-48664</v>
      </c>
      <c r="BH122" s="57">
        <f t="shared" si="77"/>
        <v>-45532</v>
      </c>
      <c r="BI122" s="57">
        <f t="shared" si="77"/>
        <v>-48960</v>
      </c>
      <c r="BJ122" s="57">
        <f t="shared" si="77"/>
        <v>-48825</v>
      </c>
      <c r="BK122" s="57">
        <f t="shared" si="77"/>
        <v>-56234</v>
      </c>
      <c r="BL122" s="57">
        <f t="shared" si="77"/>
        <v>-59825</v>
      </c>
      <c r="BM122" s="57">
        <f t="shared" si="77"/>
        <v>-63854</v>
      </c>
      <c r="BN122" s="215"/>
      <c r="BO122" s="141">
        <f>-BM120</f>
        <v>-78192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-58838</v>
      </c>
      <c r="AV123" s="57">
        <f t="shared" si="76"/>
        <v>-12179</v>
      </c>
      <c r="AW123" s="57">
        <f t="shared" si="76"/>
        <v>-13231</v>
      </c>
      <c r="AX123" s="57">
        <f t="shared" si="76"/>
        <v>-13355</v>
      </c>
      <c r="AY123" s="57">
        <f t="shared" si="76"/>
        <v>-12631</v>
      </c>
      <c r="AZ123" s="57">
        <f t="shared" si="76"/>
        <v>-13864</v>
      </c>
      <c r="BA123" s="215"/>
      <c r="BB123" s="57">
        <v>-17199</v>
      </c>
      <c r="BC123" s="57">
        <v>-13096</v>
      </c>
      <c r="BD123" s="57">
        <v>-13593</v>
      </c>
      <c r="BE123" s="57">
        <v>-13965</v>
      </c>
      <c r="BF123" s="57">
        <f t="shared" si="77"/>
        <v>-12085</v>
      </c>
      <c r="BG123" s="57">
        <f t="shared" si="77"/>
        <v>-12603</v>
      </c>
      <c r="BH123" s="57">
        <f t="shared" si="77"/>
        <v>-11578</v>
      </c>
      <c r="BI123" s="57">
        <f t="shared" si="77"/>
        <v>-12237</v>
      </c>
      <c r="BJ123" s="57">
        <f t="shared" si="77"/>
        <v>-13231</v>
      </c>
      <c r="BK123" s="57">
        <f t="shared" si="77"/>
        <v>-13355</v>
      </c>
      <c r="BL123" s="57">
        <f t="shared" si="77"/>
        <v>-12631</v>
      </c>
      <c r="BM123" s="57">
        <f t="shared" si="77"/>
        <v>-13864</v>
      </c>
      <c r="BN123" s="215"/>
      <c r="BO123" s="141">
        <f>-BM121</f>
        <v>-17538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-265595.88800000004</v>
      </c>
      <c r="AV124" s="344">
        <f t="shared" ref="AV124:AZ124" si="78">SUM(AV120:AV123)</f>
        <v>-86030.111999999994</v>
      </c>
      <c r="AW124" s="344">
        <f t="shared" si="78"/>
        <v>7493</v>
      </c>
      <c r="AX124" s="344">
        <f t="shared" si="78"/>
        <v>2847</v>
      </c>
      <c r="AY124" s="344">
        <f t="shared" si="78"/>
        <v>5239</v>
      </c>
      <c r="AZ124" s="344">
        <f t="shared" si="78"/>
        <v>25905</v>
      </c>
      <c r="BA124" s="345"/>
      <c r="BB124" s="344">
        <v>-20687</v>
      </c>
      <c r="BC124" s="344">
        <v>-9754</v>
      </c>
      <c r="BD124" s="344">
        <v>3077</v>
      </c>
      <c r="BE124" s="344">
        <v>-5193</v>
      </c>
      <c r="BF124" s="344">
        <f t="shared" ref="BF124:BO124" si="79">SUM(BF120:BF123)</f>
        <v>-9489</v>
      </c>
      <c r="BG124" s="344">
        <f t="shared" si="79"/>
        <v>-4157</v>
      </c>
      <c r="BH124" s="344">
        <f t="shared" si="79"/>
        <v>4087</v>
      </c>
      <c r="BI124" s="344">
        <f t="shared" si="79"/>
        <v>859</v>
      </c>
      <c r="BJ124" s="344">
        <f t="shared" si="79"/>
        <v>7533</v>
      </c>
      <c r="BK124" s="344">
        <f t="shared" si="79"/>
        <v>2867</v>
      </c>
      <c r="BL124" s="344">
        <f t="shared" si="79"/>
        <v>5262</v>
      </c>
      <c r="BM124" s="344">
        <f t="shared" si="79"/>
        <v>18012</v>
      </c>
      <c r="BN124" s="345"/>
      <c r="BO124" s="272">
        <f t="shared" si="79"/>
        <v>371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80">AU111+AU124</f>
        <v>239868.11199999996</v>
      </c>
      <c r="AV132" s="66">
        <f t="shared" si="80"/>
        <v>175295.88800000001</v>
      </c>
      <c r="AW132" s="66">
        <f t="shared" si="80"/>
        <v>272476</v>
      </c>
      <c r="AX132" s="66">
        <f t="shared" si="80"/>
        <v>299941</v>
      </c>
      <c r="AY132" s="66">
        <f t="shared" si="80"/>
        <v>314531</v>
      </c>
      <c r="AZ132" s="66">
        <f t="shared" si="80"/>
        <v>357651</v>
      </c>
      <c r="BA132" s="216">
        <f>SUM(AT132:AZ132)</f>
        <v>1659763</v>
      </c>
      <c r="BB132" s="66">
        <v>422086</v>
      </c>
      <c r="BC132" s="66">
        <v>344356</v>
      </c>
      <c r="BD132" s="66">
        <v>315382</v>
      </c>
      <c r="BE132" s="66">
        <v>320304</v>
      </c>
      <c r="BF132" s="66">
        <f t="shared" ref="BF132:BO132" si="81">BF111+BF124</f>
        <v>293749</v>
      </c>
      <c r="BG132" s="66">
        <f t="shared" si="81"/>
        <v>258418</v>
      </c>
      <c r="BH132" s="66">
        <f t="shared" si="81"/>
        <v>248843</v>
      </c>
      <c r="BI132" s="66">
        <f t="shared" si="81"/>
        <v>263134</v>
      </c>
      <c r="BJ132" s="66">
        <f t="shared" si="81"/>
        <v>273487</v>
      </c>
      <c r="BK132" s="66">
        <f t="shared" si="81"/>
        <v>301108</v>
      </c>
      <c r="BL132" s="66">
        <f t="shared" si="81"/>
        <v>315787</v>
      </c>
      <c r="BM132" s="66">
        <f t="shared" si="81"/>
        <v>351088</v>
      </c>
      <c r="BN132" s="216">
        <f t="shared" si="81"/>
        <v>3715325</v>
      </c>
      <c r="BO132" s="185">
        <f t="shared" si="81"/>
        <v>3730129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63" priority="7" operator="lessThan">
      <formula>0</formula>
    </cfRule>
  </conditionalFormatting>
  <conditionalFormatting sqref="BN58">
    <cfRule type="cellIs" dxfId="62" priority="6" operator="lessThan">
      <formula>0</formula>
    </cfRule>
  </conditionalFormatting>
  <conditionalFormatting sqref="BN78">
    <cfRule type="cellIs" dxfId="61" priority="5" operator="lessThan">
      <formula>0</formula>
    </cfRule>
  </conditionalFormatting>
  <conditionalFormatting sqref="BN19">
    <cfRule type="cellIs" dxfId="60" priority="4" operator="lessThan">
      <formula>0</formula>
    </cfRule>
  </conditionalFormatting>
  <conditionalFormatting sqref="BN40">
    <cfRule type="cellIs" dxfId="59" priority="3" operator="lessThan">
      <formula>0</formula>
    </cfRule>
  </conditionalFormatting>
  <conditionalFormatting sqref="BN54">
    <cfRule type="cellIs" dxfId="58" priority="2" operator="lessThan">
      <formula>0</formula>
    </cfRule>
  </conditionalFormatting>
  <conditionalFormatting sqref="BN62">
    <cfRule type="cellIs" dxfId="57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ignoredErrors>
    <ignoredError sqref="BN87" formula="1"/>
  </ignoredError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Y133"/>
  <sheetViews>
    <sheetView zoomScale="80" zoomScaleNormal="80" workbookViewId="0">
      <pane xSplit="1" ySplit="5" topLeftCell="N6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2"/>
  <cols>
    <col min="1" max="1" width="65.85546875" style="2" customWidth="1"/>
    <col min="2" max="6" width="13.28515625" hidden="1" customWidth="1" outlineLevel="2"/>
    <col min="7" max="9" width="13.5703125" hidden="1" customWidth="1" outlineLevel="2"/>
    <col min="10" max="10" width="15.7109375" hidden="1" customWidth="1" outlineLevel="2"/>
    <col min="11" max="13" width="13.28515625" hidden="1" customWidth="1" outlineLevel="2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28" width="13.28515625" hidden="1" customWidth="1" outlineLevel="1"/>
    <col min="29" max="29" width="13.7109375" hidden="1" customWidth="1" outlineLevel="1"/>
    <col min="30" max="33" width="13.28515625" hidden="1" customWidth="1" outlineLevel="1"/>
    <col min="34" max="34" width="8.710937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5" width="13.28515625" hidden="1" customWidth="1" outlineLevel="1"/>
    <col min="46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5.5703125" style="3" bestFit="1" customWidth="1" collapsed="1"/>
    <col min="54" max="54" width="15.42578125" hidden="1" customWidth="1" outlineLevel="2"/>
    <col min="55" max="55" width="15.28515625" hidden="1" customWidth="1" outlineLevel="2"/>
    <col min="56" max="56" width="15.42578125" hidden="1" customWidth="1" outlineLevel="2"/>
    <col min="57" max="57" width="15.28515625" hidden="1" customWidth="1" outlineLevel="2"/>
    <col min="58" max="58" width="15.5703125" hidden="1" customWidth="1" outlineLevel="2"/>
    <col min="59" max="60" width="15.28515625" hidden="1" customWidth="1" outlineLevel="2"/>
    <col min="61" max="62" width="14.85546875" hidden="1" customWidth="1" outlineLevel="2"/>
    <col min="63" max="63" width="15.140625" hidden="1" customWidth="1" outlineLevel="2"/>
    <col min="64" max="64" width="15" hidden="1" customWidth="1" outlineLevel="2"/>
    <col min="65" max="65" width="15.42578125" hidden="1" customWidth="1" outlineLevel="2"/>
    <col min="66" max="66" width="13.85546875" style="3" bestFit="1" customWidth="1" collapsed="1"/>
    <col min="67" max="67" width="17.28515625" bestFit="1" customWidth="1"/>
    <col min="69" max="69" width="18" bestFit="1" customWidth="1"/>
    <col min="70" max="70" width="16.7109375" customWidth="1"/>
    <col min="72" max="72" width="13.28515625" bestFit="1" customWidth="1"/>
    <col min="73" max="73" width="11.5703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F2" t="s">
        <v>2</v>
      </c>
      <c r="AS2" s="37"/>
      <c r="BF2" s="37" t="s">
        <v>205</v>
      </c>
      <c r="BO2" s="134"/>
    </row>
    <row r="3" spans="1:67" ht="15" thickBot="1">
      <c r="A3" s="198" t="s">
        <v>220</v>
      </c>
      <c r="B3" s="513"/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/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/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/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/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/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>
        <v>2022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8"/>
      <c r="AC7" s="9"/>
      <c r="AD7" s="9"/>
      <c r="AE7" s="9"/>
      <c r="AF7" s="9"/>
      <c r="AG7" s="9"/>
      <c r="AH7" s="9"/>
      <c r="AI7" s="9"/>
      <c r="AJ7" s="9"/>
      <c r="AK7" s="9"/>
      <c r="AL7" s="9"/>
      <c r="AM7" s="244"/>
      <c r="AN7" s="336"/>
      <c r="AO7" s="150"/>
      <c r="AP7" s="87"/>
      <c r="AQ7" s="87"/>
      <c r="AR7" s="87"/>
      <c r="AS7" s="87"/>
      <c r="AT7" s="38"/>
      <c r="AU7" s="124">
        <f>Customers!E73</f>
        <v>123</v>
      </c>
      <c r="AV7" s="124">
        <f>Customers!F73</f>
        <v>123</v>
      </c>
      <c r="AW7" s="124">
        <f>Customers!G73</f>
        <v>123</v>
      </c>
      <c r="AX7" s="124">
        <f>Customers!H73</f>
        <v>123</v>
      </c>
      <c r="AY7" s="124">
        <f>Customers!I73</f>
        <v>123</v>
      </c>
      <c r="AZ7" s="124">
        <f>Customers!J73</f>
        <v>123</v>
      </c>
      <c r="BA7" s="210">
        <f>AZ7</f>
        <v>123</v>
      </c>
      <c r="BB7" s="124">
        <v>123</v>
      </c>
      <c r="BC7" s="38">
        <v>123</v>
      </c>
      <c r="BD7" s="38">
        <v>123</v>
      </c>
      <c r="BE7" s="38">
        <v>123</v>
      </c>
      <c r="BF7" s="38">
        <f t="shared" ref="BF7:BJ7" si="0">BE7</f>
        <v>123</v>
      </c>
      <c r="BG7" s="38">
        <f t="shared" si="0"/>
        <v>123</v>
      </c>
      <c r="BH7" s="38">
        <f t="shared" si="0"/>
        <v>123</v>
      </c>
      <c r="BI7" s="38">
        <f t="shared" si="0"/>
        <v>123</v>
      </c>
      <c r="BJ7" s="38">
        <f t="shared" si="0"/>
        <v>123</v>
      </c>
      <c r="BK7" s="38">
        <f t="shared" ref="BK7" si="1">BJ7</f>
        <v>123</v>
      </c>
      <c r="BL7" s="38">
        <f t="shared" ref="BL7" si="2">BK7</f>
        <v>123</v>
      </c>
      <c r="BM7" s="38">
        <f t="shared" ref="BM7" si="3">BL7</f>
        <v>123</v>
      </c>
      <c r="BN7" s="210">
        <f>IFERROR(ROUND(AVERAGE(BB7:BM7),0),0)</f>
        <v>123</v>
      </c>
      <c r="BO7" s="55">
        <v>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>
        <f>ROUND(AU$11*'kWh Blocks by Rate Category'!C8,0)</f>
        <v>68280</v>
      </c>
      <c r="AV8" s="39">
        <f>ROUND(AV$11*'kWh Blocks by Rate Category'!D8,0)</f>
        <v>70894</v>
      </c>
      <c r="AW8" s="39">
        <f>ROUND(AW$11*'kWh Blocks by Rate Category'!E8,0)</f>
        <v>53939</v>
      </c>
      <c r="AX8" s="39">
        <f>ROUND(AX$11*'kWh Blocks by Rate Category'!F8,0)</f>
        <v>72646</v>
      </c>
      <c r="AY8" s="39">
        <f>ROUND(AY$11*'kWh Blocks by Rate Category'!G8,0)</f>
        <v>82789</v>
      </c>
      <c r="AZ8" s="39">
        <f>ROUND(AZ$11*'kWh Blocks by Rate Category'!H8,0)</f>
        <v>103629</v>
      </c>
      <c r="BA8" s="210">
        <f>SUM(AO8:AZ8)</f>
        <v>452177</v>
      </c>
      <c r="BB8" s="38">
        <v>106058</v>
      </c>
      <c r="BC8" s="38">
        <v>123213</v>
      </c>
      <c r="BD8" s="38">
        <v>112622</v>
      </c>
      <c r="BE8" s="38">
        <v>106764</v>
      </c>
      <c r="BF8" s="38">
        <f>ROUND(BF$11*'kWh Blocks by Rate Category'!N8,0)</f>
        <v>86984</v>
      </c>
      <c r="BG8" s="38">
        <f>ROUND(BG$11*'kWh Blocks by Rate Category'!O8,0)</f>
        <v>78446</v>
      </c>
      <c r="BH8" s="38">
        <f>ROUND(BH$11*'kWh Blocks by Rate Category'!P8,0)</f>
        <v>68280</v>
      </c>
      <c r="BI8" s="38">
        <f>ROUND(BI$11*'kWh Blocks by Rate Category'!Q8,0)</f>
        <v>70894</v>
      </c>
      <c r="BJ8" s="38">
        <f>ROUND(BJ$11*'kWh Blocks by Rate Category'!R8,0)</f>
        <v>53939</v>
      </c>
      <c r="BK8" s="38">
        <f>ROUND(BK$11*'kWh Blocks by Rate Category'!S8,0)</f>
        <v>72646</v>
      </c>
      <c r="BL8" s="38">
        <f>ROUND(BL$11*'kWh Blocks by Rate Category'!T8,0)</f>
        <v>82789</v>
      </c>
      <c r="BM8" s="38">
        <f>ROUND(BM$11*'kWh Blocks by Rate Category'!U8,0)</f>
        <v>103629</v>
      </c>
      <c r="BN8" s="210">
        <f>SUM(BB8:BM8)</f>
        <v>1066264</v>
      </c>
      <c r="BO8" s="38">
        <f>ROUND(BO$11*'kWh Blocks by Rate Category'!W8,0)</f>
        <v>444277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>
        <f>ROUND(AU$11*'kWh Blocks by Rate Category'!C9,0)</f>
        <v>36383</v>
      </c>
      <c r="AV9" s="39">
        <f>ROUND(AV$11*'kWh Blocks by Rate Category'!D9,0)</f>
        <v>37776</v>
      </c>
      <c r="AW9" s="39">
        <f>ROUND(AW$11*'kWh Blocks by Rate Category'!E9,0)</f>
        <v>28741</v>
      </c>
      <c r="AX9" s="39">
        <f>ROUND(AX$11*'kWh Blocks by Rate Category'!F9,0)</f>
        <v>38710</v>
      </c>
      <c r="AY9" s="39">
        <f>ROUND(AY$11*'kWh Blocks by Rate Category'!G9,0)</f>
        <v>44114</v>
      </c>
      <c r="AZ9" s="39">
        <f>ROUND(AZ$11*'kWh Blocks by Rate Category'!H9,0)</f>
        <v>55218</v>
      </c>
      <c r="BA9" s="210">
        <f>SUM(AO9:AZ9)</f>
        <v>240942</v>
      </c>
      <c r="BB9" s="38">
        <v>56513</v>
      </c>
      <c r="BC9" s="38">
        <v>65654</v>
      </c>
      <c r="BD9" s="38">
        <v>60010</v>
      </c>
      <c r="BE9" s="38">
        <v>56889</v>
      </c>
      <c r="BF9" s="38">
        <f>ROUND(BF$11*'kWh Blocks by Rate Category'!N9,0)</f>
        <v>46349</v>
      </c>
      <c r="BG9" s="38">
        <f>ROUND(BG$11*'kWh Blocks by Rate Category'!O9,0)</f>
        <v>41800</v>
      </c>
      <c r="BH9" s="38">
        <f>ROUND(BH$11*'kWh Blocks by Rate Category'!P9,0)</f>
        <v>36383</v>
      </c>
      <c r="BI9" s="38">
        <f>ROUND(BI$11*'kWh Blocks by Rate Category'!Q9,0)</f>
        <v>37776</v>
      </c>
      <c r="BJ9" s="38">
        <f>ROUND(BJ$11*'kWh Blocks by Rate Category'!R9,0)</f>
        <v>28741</v>
      </c>
      <c r="BK9" s="38">
        <f>ROUND(BK$11*'kWh Blocks by Rate Category'!S9,0)</f>
        <v>38710</v>
      </c>
      <c r="BL9" s="38">
        <f>ROUND(BL$11*'kWh Blocks by Rate Category'!T9,0)</f>
        <v>44114</v>
      </c>
      <c r="BM9" s="38">
        <f>ROUND(BM$11*'kWh Blocks by Rate Category'!U9,0)</f>
        <v>55218</v>
      </c>
      <c r="BN9" s="210">
        <f>SUM(BB9:BM9)</f>
        <v>568157</v>
      </c>
      <c r="BO9" s="38">
        <f>ROUND(BO$11*'kWh Blocks by Rate Category'!W9,0)</f>
        <v>236733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>
        <f>ROUND(AU$11*'kWh Blocks by Rate Category'!C10,0)</f>
        <v>6937</v>
      </c>
      <c r="AV10" s="39">
        <f>ROUND(AV$11*'kWh Blocks by Rate Category'!D10,0)</f>
        <v>7203</v>
      </c>
      <c r="AW10" s="39">
        <f>ROUND(AW$11*'kWh Blocks by Rate Category'!E10,0)</f>
        <v>5480</v>
      </c>
      <c r="AX10" s="39">
        <f>ROUND(AX$11*'kWh Blocks by Rate Category'!F10,0)</f>
        <v>7381</v>
      </c>
      <c r="AY10" s="39">
        <f>ROUND(AY$11*'kWh Blocks by Rate Category'!G10,0)</f>
        <v>8412</v>
      </c>
      <c r="AZ10" s="39">
        <f>ROUND(AZ$11*'kWh Blocks by Rate Category'!H10,0)</f>
        <v>10529</v>
      </c>
      <c r="BA10" s="210">
        <f>SUM(AO10:AZ10)</f>
        <v>45942</v>
      </c>
      <c r="BB10" s="38">
        <v>10776</v>
      </c>
      <c r="BC10" s="38">
        <v>12519</v>
      </c>
      <c r="BD10" s="38">
        <v>11443</v>
      </c>
      <c r="BE10" s="38">
        <v>10848</v>
      </c>
      <c r="BF10" s="38">
        <f>ROUND(BF$11*'kWh Blocks by Rate Category'!N10,0)</f>
        <v>8838</v>
      </c>
      <c r="BG10" s="38">
        <f>ROUND(BG$11*'kWh Blocks by Rate Category'!O10,0)</f>
        <v>7970</v>
      </c>
      <c r="BH10" s="38">
        <f>ROUND(BH$11*'kWh Blocks by Rate Category'!P10,0)</f>
        <v>6937</v>
      </c>
      <c r="BI10" s="38">
        <f>ROUND(BI$11*'kWh Blocks by Rate Category'!Q10,0)</f>
        <v>7203</v>
      </c>
      <c r="BJ10" s="38">
        <f>ROUND(BJ$11*'kWh Blocks by Rate Category'!R10,0)</f>
        <v>5480</v>
      </c>
      <c r="BK10" s="38">
        <f>ROUND(BK$11*'kWh Blocks by Rate Category'!S10,0)</f>
        <v>7381</v>
      </c>
      <c r="BL10" s="38">
        <f>ROUND(BL$11*'kWh Blocks by Rate Category'!T10,0)</f>
        <v>8412</v>
      </c>
      <c r="BM10" s="38">
        <f>ROUND(BM$11*'kWh Blocks by Rate Category'!U10,0)</f>
        <v>10529</v>
      </c>
      <c r="BN10" s="210">
        <f>SUM(BB10:BM10)</f>
        <v>108336</v>
      </c>
      <c r="BO10" s="38">
        <f>ROUND(BO$11*'kWh Blocks by Rate Category'!W10,0)-1</f>
        <v>45139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4">IFERROR(ROUND(AU12*AU7,0),0)</f>
        <v>111601</v>
      </c>
      <c r="AV11" s="64">
        <f t="shared" si="4"/>
        <v>115873</v>
      </c>
      <c r="AW11" s="64">
        <f t="shared" si="4"/>
        <v>88161</v>
      </c>
      <c r="AX11" s="64">
        <f t="shared" si="4"/>
        <v>118737</v>
      </c>
      <c r="AY11" s="64">
        <f t="shared" si="4"/>
        <v>135315</v>
      </c>
      <c r="AZ11" s="64">
        <f t="shared" si="4"/>
        <v>169376</v>
      </c>
      <c r="BA11" s="196">
        <f>SUM(AO11:AZ11)</f>
        <v>739063</v>
      </c>
      <c r="BB11" s="64">
        <v>173347</v>
      </c>
      <c r="BC11" s="64">
        <v>201385</v>
      </c>
      <c r="BD11" s="64">
        <v>184075</v>
      </c>
      <c r="BE11" s="64">
        <v>174501</v>
      </c>
      <c r="BF11" s="64">
        <f t="shared" ref="BF11:BJ11" si="5">IFERROR(ROUND(BF12*BF7,0),0)</f>
        <v>142171</v>
      </c>
      <c r="BG11" s="64">
        <f t="shared" si="5"/>
        <v>128216</v>
      </c>
      <c r="BH11" s="64">
        <f t="shared" si="5"/>
        <v>111601</v>
      </c>
      <c r="BI11" s="64">
        <f t="shared" si="5"/>
        <v>115873</v>
      </c>
      <c r="BJ11" s="64">
        <f t="shared" si="5"/>
        <v>88161</v>
      </c>
      <c r="BK11" s="64">
        <f t="shared" ref="BK11:BM11" si="6">IFERROR(ROUND(BK12*BK7,0),0)</f>
        <v>118737</v>
      </c>
      <c r="BL11" s="64">
        <f t="shared" si="6"/>
        <v>135315</v>
      </c>
      <c r="BM11" s="64">
        <f t="shared" si="6"/>
        <v>169376</v>
      </c>
      <c r="BN11" s="196">
        <f>SUM(BB11:BM11)</f>
        <v>1742758</v>
      </c>
      <c r="BO11" s="147">
        <f>BQ19-BO19</f>
        <v>726149</v>
      </c>
    </row>
    <row r="12" spans="1:67" ht="15" thickTop="1">
      <c r="A12" s="374" t="s">
        <v>54</v>
      </c>
      <c r="B12" s="84">
        <f>IF('kWh_Streetlight Data'!C18=0,"",'kWh_Streetlight Data'!C18)</f>
        <v>1437.8790322580646</v>
      </c>
      <c r="C12" s="108">
        <f>IF('kWh_Streetlight Data'!D18=0,"",'kWh_Streetlight Data'!D18)</f>
        <v>1568.84</v>
      </c>
      <c r="D12" s="108">
        <f>IF('kWh_Streetlight Data'!E18=0,"",'kWh_Streetlight Data'!E18)</f>
        <v>1420.2786885245901</v>
      </c>
      <c r="E12" s="108">
        <f>IF('kWh_Streetlight Data'!F18=0,"",'kWh_Streetlight Data'!F18)</f>
        <v>1551.952</v>
      </c>
      <c r="F12" s="108">
        <f>IF('kWh_Streetlight Data'!G18=0,"",'kWh_Streetlight Data'!G18)</f>
        <v>1011.2032520325204</v>
      </c>
      <c r="G12" s="108">
        <f>IF('kWh_Streetlight Data'!H18=0,"",'kWh_Streetlight Data'!H18)</f>
        <v>1085.7777777777778</v>
      </c>
      <c r="H12" s="108">
        <f>IF('kWh_Streetlight Data'!I18=0,"",'kWh_Streetlight Data'!I18)</f>
        <v>790.92248062015506</v>
      </c>
      <c r="I12" s="108">
        <f>IF('kWh_Streetlight Data'!J18=0,"",'kWh_Streetlight Data'!J18)</f>
        <v>884.44354838709683</v>
      </c>
      <c r="J12" s="108">
        <f>IF('kWh_Streetlight Data'!K18=0,"",'kWh_Streetlight Data'!K18)</f>
        <v>723.43200000000002</v>
      </c>
      <c r="K12" s="108">
        <f>IF('kWh_Streetlight Data'!L18=0,"",'kWh_Streetlight Data'!L18)</f>
        <v>1003.0625</v>
      </c>
      <c r="L12" s="108">
        <f>IF('kWh_Streetlight Data'!M18=0,"",'kWh_Streetlight Data'!M18)</f>
        <v>906.8</v>
      </c>
      <c r="M12" s="108">
        <f>IF('kWh_Streetlight Data'!N18=0,"",'kWh_Streetlight Data'!N18)</f>
        <v>1233.2403100775193</v>
      </c>
      <c r="N12" s="424">
        <f>IF('kWh_Streetlight Data'!O18=0,"",'kWh_Streetlight Data'!O18)</f>
        <v>1131.9359735973596</v>
      </c>
      <c r="O12" s="84">
        <f>IF('kWh_Streetlight Data'!P18=0,"",'kWh_Streetlight Data'!P18)</f>
        <v>1289.9296875</v>
      </c>
      <c r="P12" s="108">
        <f>IF('kWh_Streetlight Data'!Q18=0,"",'kWh_Streetlight Data'!Q18)</f>
        <v>1517.4461538461539</v>
      </c>
      <c r="Q12" s="108">
        <f>IF('kWh_Streetlight Data'!R18=0,"",'kWh_Streetlight Data'!R18)</f>
        <v>1731.1968503937007</v>
      </c>
      <c r="R12" s="108">
        <f>IF('kWh_Streetlight Data'!S18=0,"",'kWh_Streetlight Data'!S18)</f>
        <v>980.7461538461539</v>
      </c>
      <c r="S12" s="108">
        <f>IF('kWh_Streetlight Data'!T18=0,"",'kWh_Streetlight Data'!T18)</f>
        <v>1245.40625</v>
      </c>
      <c r="T12" s="108">
        <f>IF('kWh_Streetlight Data'!U18=0,"",'kWh_Streetlight Data'!U18)</f>
        <v>892.10714285714289</v>
      </c>
      <c r="U12" s="108">
        <f>IF('kWh_Streetlight Data'!V18=0,"",'kWh_Streetlight Data'!V18)</f>
        <v>962.96875</v>
      </c>
      <c r="V12" s="108">
        <f>IF('kWh_Streetlight Data'!W18=0,"",'kWh_Streetlight Data'!W18)</f>
        <v>845.14173228346453</v>
      </c>
      <c r="W12" s="108">
        <f>IF('kWh_Streetlight Data'!X18=0,"",'kWh_Streetlight Data'!X18)</f>
        <v>735.2</v>
      </c>
      <c r="X12" s="108">
        <f>IF('kWh_Streetlight Data'!Y18=0,"",'kWh_Streetlight Data'!Y18)</f>
        <v>839.87692307692305</v>
      </c>
      <c r="Y12" s="108">
        <f>IF('kWh_Streetlight Data'!Z18=0,"",'kWh_Streetlight Data'!Z18)</f>
        <v>1146.2777777777778</v>
      </c>
      <c r="Z12" s="108">
        <f>IF('kWh_Streetlight Data'!AA18=0,"",'kWh_Streetlight Data'!AA18)</f>
        <v>1558.7741935483871</v>
      </c>
      <c r="AA12" s="424">
        <f>IF('kWh_Streetlight Data'!AB18=0,"",'kWh_Streetlight Data'!AB18)</f>
        <v>1142.8651976668828</v>
      </c>
      <c r="AB12" s="129">
        <f>IF('kWh_Streetlight Data'!AC18=0,"",'kWh_Streetlight Data'!AC18)</f>
        <v>1500.1679999999999</v>
      </c>
      <c r="AC12" s="130">
        <f>IF('kWh_Streetlight Data'!AD18=0,"",'kWh_Streetlight Data'!AD18)</f>
        <v>1825.5396825396826</v>
      </c>
      <c r="AD12" s="130">
        <f>IF('kWh_Streetlight Data'!AE18=0,"",'kWh_Streetlight Data'!AE18)</f>
        <v>1338.152</v>
      </c>
      <c r="AE12" s="130">
        <f>IF('kWh_Streetlight Data'!AF18=0,"",'kWh_Streetlight Data'!AF18)</f>
        <v>1723.4344262295083</v>
      </c>
      <c r="AF12" s="130">
        <f>IF('kWh_Streetlight Data'!AG18=0,"",'kWh_Streetlight Data'!AG18)</f>
        <v>1210.9763779527559</v>
      </c>
      <c r="AG12" s="130">
        <f>IF('kWh_Streetlight Data'!AH18=0,"",'kWh_Streetlight Data'!AH18)</f>
        <v>1149.3333333333333</v>
      </c>
      <c r="AH12" s="108">
        <f>IF('kWh_Streetlight Data'!AI18=0,"",'kWh_Streetlight Data'!AI18)</f>
        <v>968.08064516129036</v>
      </c>
      <c r="AI12" s="108">
        <f>IF('kWh_Streetlight Data'!AJ18=0,"",'kWh_Streetlight Data'!AJ18)</f>
        <v>1096.5887096774193</v>
      </c>
      <c r="AJ12" s="108">
        <f>IF('kWh_Streetlight Data'!AK18=0,"",'kWh_Streetlight Data'!AK18)</f>
        <v>691.6328125</v>
      </c>
      <c r="AK12" s="108">
        <f>IF('kWh_Streetlight Data'!AL18=0,"",'kWh_Streetlight Data'!AL18)</f>
        <v>1053.088</v>
      </c>
      <c r="AL12" s="108">
        <f>IF('kWh_Streetlight Data'!AM18=0,"",'kWh_Streetlight Data'!AM18)</f>
        <v>1247.2822580645161</v>
      </c>
      <c r="AM12" s="108">
        <f>IF('kWh_Streetlight Data'!AN18=0,"",'kWh_Streetlight Data'!AN18)</f>
        <v>1339.1048387096773</v>
      </c>
      <c r="AN12" s="426">
        <f>IF('kWh_Streetlight Data'!AO18=0,"",'kWh_Streetlight Data'!AO18)</f>
        <v>1260.3820000000001</v>
      </c>
      <c r="AO12" s="34"/>
      <c r="AP12" s="35"/>
      <c r="AQ12" s="35"/>
      <c r="AR12" s="35"/>
      <c r="AS12" s="35"/>
      <c r="AT12" s="17"/>
      <c r="AU12" s="17">
        <f t="shared" ref="AU12:AZ12" si="7">IFERROR(AVERAGE(AH12,U12,H12),0)</f>
        <v>907.32395859381506</v>
      </c>
      <c r="AV12" s="17">
        <f t="shared" si="7"/>
        <v>942.05799678266021</v>
      </c>
      <c r="AW12" s="17">
        <f t="shared" si="7"/>
        <v>716.75493749999998</v>
      </c>
      <c r="AX12" s="17">
        <f t="shared" si="7"/>
        <v>965.3424743589743</v>
      </c>
      <c r="AY12" s="17">
        <f t="shared" si="7"/>
        <v>1100.1200119474313</v>
      </c>
      <c r="AZ12" s="17">
        <f t="shared" si="7"/>
        <v>1377.0397807785278</v>
      </c>
      <c r="BA12" s="211"/>
      <c r="BB12" s="17">
        <v>1409.3255732526879</v>
      </c>
      <c r="BC12" s="17">
        <v>1637.2752787952788</v>
      </c>
      <c r="BD12" s="17">
        <v>1496.5425129727637</v>
      </c>
      <c r="BE12" s="17">
        <v>1418.7108600252207</v>
      </c>
      <c r="BF12" s="17">
        <f t="shared" ref="BF12:BJ12" si="8">IFERROR(AVERAGE(F12,S12,AF12),0)</f>
        <v>1155.8619599950919</v>
      </c>
      <c r="BG12" s="17">
        <f t="shared" si="8"/>
        <v>1042.4060846560847</v>
      </c>
      <c r="BH12" s="17">
        <f t="shared" si="8"/>
        <v>907.32395859381506</v>
      </c>
      <c r="BI12" s="17">
        <f t="shared" si="8"/>
        <v>942.05799678266021</v>
      </c>
      <c r="BJ12" s="17">
        <f t="shared" si="8"/>
        <v>716.75493749999998</v>
      </c>
      <c r="BK12" s="17">
        <f t="shared" ref="BK12" si="9">IFERROR(AVERAGE(K12,X12,AK12),0)</f>
        <v>965.3424743589743</v>
      </c>
      <c r="BL12" s="17">
        <f t="shared" ref="BL12" si="10">IFERROR(AVERAGE(L12,Y12,AL12),0)</f>
        <v>1100.1200119474313</v>
      </c>
      <c r="BM12" s="17">
        <f t="shared" ref="BM12" si="11">IFERROR(AVERAGE(M12,Z12,AM12),0)</f>
        <v>1377.0397807785278</v>
      </c>
      <c r="BN12" s="211">
        <f>IFERROR(BN11/SUM(BB7:BM7)*12,0)</f>
        <v>14168.764227642276</v>
      </c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25">
        <f>Customers!L73</f>
        <v>123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>
        <f>ROUND(BO$19*'kWh Blocks by Rate Category'!W15,0)</f>
        <v>621988</v>
      </c>
    </row>
    <row r="17" spans="1:70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>
        <f>ROUND(BO$19*'kWh Blocks by Rate Category'!W16,0)</f>
        <v>331426</v>
      </c>
      <c r="BR17" s="229" t="s">
        <v>221</v>
      </c>
    </row>
    <row r="18" spans="1:70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>
        <f>ROUND(BO$19*'kWh Blocks by Rate Category'!W17,0)</f>
        <v>63196</v>
      </c>
      <c r="BQ18" s="229" t="s">
        <v>222</v>
      </c>
      <c r="BR18" s="229" t="s">
        <v>223</v>
      </c>
    </row>
    <row r="19" spans="1:70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ROUND(BQ19/12*BR19,0)</f>
        <v>1016609</v>
      </c>
      <c r="BQ19" s="39">
        <f>ROUND(BO20*BO15,0)</f>
        <v>1742758</v>
      </c>
      <c r="BR19" s="296">
        <v>7</v>
      </c>
    </row>
    <row r="20" spans="1:70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08"/>
      <c r="AI20" s="108"/>
      <c r="AJ20" s="108"/>
      <c r="AK20" s="108"/>
      <c r="AL20" s="108"/>
      <c r="AM20" s="108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17"/>
      <c r="BL20" s="17"/>
      <c r="BM20" s="17"/>
      <c r="BN20" s="211"/>
      <c r="BO20" s="20">
        <f>BN12</f>
        <v>14168.764227642276</v>
      </c>
      <c r="BR20" s="229" t="s">
        <v>224</v>
      </c>
    </row>
    <row r="21" spans="1:70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0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0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0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0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0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0" ht="15" thickTop="1">
      <c r="A27" s="374" t="s">
        <v>54</v>
      </c>
      <c r="B27" s="84" t="str">
        <f>IF('kWh_Streetlight Data'!C19=0,"",'kWh_Streetlight Data'!C19)</f>
        <v/>
      </c>
      <c r="C27" s="108" t="str">
        <f>IF('kWh_Streetlight Data'!D19=0,"",'kWh_Streetlight Data'!D19)</f>
        <v/>
      </c>
      <c r="D27" s="108" t="str">
        <f>IF('kWh_Streetlight Data'!E19=0,"",'kWh_Streetlight Data'!E19)</f>
        <v/>
      </c>
      <c r="E27" s="108" t="str">
        <f>IF('kWh_Streetlight Data'!F19=0,"",'kWh_Streetlight Data'!F19)</f>
        <v/>
      </c>
      <c r="F27" s="108" t="str">
        <f>IF('kWh_Streetlight Data'!G19=0,"",'kWh_Streetlight Data'!G19)</f>
        <v/>
      </c>
      <c r="G27" s="108" t="str">
        <f>IF('kWh_Streetlight Data'!H19=0,"",'kWh_Streetlight Data'!H19)</f>
        <v/>
      </c>
      <c r="H27" s="108" t="str">
        <f>IF('kWh_Streetlight Data'!I19=0,"",'kWh_Streetlight Data'!I19)</f>
        <v/>
      </c>
      <c r="I27" s="108" t="str">
        <f>IF('kWh_Streetlight Data'!J19=0,"",'kWh_Streetlight Data'!J19)</f>
        <v/>
      </c>
      <c r="J27" s="108" t="str">
        <f>IF('kWh_Streetlight Data'!K19=0,"",'kWh_Streetlight Data'!K19)</f>
        <v/>
      </c>
      <c r="K27" s="108" t="str">
        <f>IF('kWh_Streetlight Data'!L19=0,"",'kWh_Streetlight Data'!L19)</f>
        <v/>
      </c>
      <c r="L27" s="108" t="str">
        <f>IF('kWh_Streetlight Data'!M19=0,"",'kWh_Streetlight Data'!M19)</f>
        <v/>
      </c>
      <c r="M27" s="108" t="str">
        <f>IF('kWh_Streetlight Data'!N19=0,"",'kWh_Streetlight Data'!N19)</f>
        <v/>
      </c>
      <c r="N27" s="424" t="str">
        <f>IF('kWh_Streetlight Data'!O19=0,"",'kWh_Streetlight Data'!O19)</f>
        <v/>
      </c>
      <c r="O27" s="84" t="str">
        <f>IF('kWh_Streetlight Data'!P19=0,"",'kWh_Streetlight Data'!P19)</f>
        <v/>
      </c>
      <c r="P27" s="108" t="str">
        <f>IF('kWh_Streetlight Data'!Q19=0,"",'kWh_Streetlight Data'!Q19)</f>
        <v/>
      </c>
      <c r="Q27" s="108" t="str">
        <f>IF('kWh_Streetlight Data'!R19=0,"",'kWh_Streetlight Data'!R19)</f>
        <v/>
      </c>
      <c r="R27" s="108" t="str">
        <f>IF('kWh_Streetlight Data'!S19=0,"",'kWh_Streetlight Data'!S19)</f>
        <v/>
      </c>
      <c r="S27" s="108" t="str">
        <f>IF('kWh_Streetlight Data'!T19=0,"",'kWh_Streetlight Data'!T19)</f>
        <v/>
      </c>
      <c r="T27" s="108" t="str">
        <f>IF('kWh_Streetlight Data'!U19=0,"",'kWh_Streetlight Data'!U19)</f>
        <v/>
      </c>
      <c r="U27" s="108" t="str">
        <f>IF('kWh_Streetlight Data'!V19=0,"",'kWh_Streetlight Data'!V19)</f>
        <v/>
      </c>
      <c r="V27" s="108" t="str">
        <f>IF('kWh_Streetlight Data'!W19=0,"",'kWh_Streetlight Data'!W19)</f>
        <v/>
      </c>
      <c r="W27" s="108" t="str">
        <f>IF('kWh_Streetlight Data'!X19=0,"",'kWh_Streetlight Data'!X19)</f>
        <v/>
      </c>
      <c r="X27" s="108" t="str">
        <f>IF('kWh_Streetlight Data'!Y19=0,"",'kWh_Streetlight Data'!Y19)</f>
        <v/>
      </c>
      <c r="Y27" s="108" t="str">
        <f>IF('kWh_Streetlight Data'!Z19=0,"",'kWh_Streetlight Data'!Z19)</f>
        <v/>
      </c>
      <c r="Z27" s="108" t="str">
        <f>IF('kWh_Streetlight Data'!AA19=0,"",'kWh_Streetlight Data'!AA19)</f>
        <v/>
      </c>
      <c r="AA27" s="424" t="str">
        <f>IF('kWh_Streetlight Data'!AB19=0,"",'kWh_Streetlight Data'!AB19)</f>
        <v/>
      </c>
      <c r="AB27" s="129" t="str">
        <f>IF('kWh_Streetlight Data'!AC19=0,"",'kWh_Streetlight Data'!AC19)</f>
        <v/>
      </c>
      <c r="AC27" s="130" t="str">
        <f>IF('kWh_Streetlight Data'!AD19=0,"",'kWh_Streetlight Data'!AD19)</f>
        <v/>
      </c>
      <c r="AD27" s="130" t="str">
        <f>IF('kWh_Streetlight Data'!AE19=0,"",'kWh_Streetlight Data'!AE19)</f>
        <v/>
      </c>
      <c r="AE27" s="130" t="str">
        <f>IF('kWh_Streetlight Data'!AF19=0,"",'kWh_Streetlight Data'!AF19)</f>
        <v/>
      </c>
      <c r="AF27" s="130" t="str">
        <f>IF('kWh_Streetlight Data'!AG19=0,"",'kWh_Streetlight Data'!AG19)</f>
        <v/>
      </c>
      <c r="AG27" s="130" t="str">
        <f>IF('kWh_Streetlight Data'!AH19=0,"",'kWh_Streetlight Data'!AH19)</f>
        <v/>
      </c>
      <c r="AH27" s="108" t="str">
        <f>IF('kWh_Streetlight Data'!AI19=0,"",'kWh_Streetlight Data'!AI19)</f>
        <v/>
      </c>
      <c r="AI27" s="108" t="str">
        <f>IF('kWh_Streetlight Data'!AJ19=0,"",'kWh_Streetlight Data'!AJ19)</f>
        <v/>
      </c>
      <c r="AJ27" s="108" t="str">
        <f>IF('kWh_Streetlight Data'!AK19=0,"",'kWh_Streetlight Data'!AK19)</f>
        <v/>
      </c>
      <c r="AK27" s="108" t="str">
        <f>IF('kWh_Streetlight Data'!AL19=0,"",'kWh_Streetlight Data'!AL19)</f>
        <v/>
      </c>
      <c r="AL27" s="108" t="str">
        <f>IF('kWh_Streetlight Data'!AM19=0,"",'kWh_Streetlight Data'!AM19)</f>
        <v/>
      </c>
      <c r="AM27" s="108" t="str">
        <f>IF('kWh_Streetlight Data'!AN19=0,"",'kWh_Streetlight Data'!AN19)</f>
        <v/>
      </c>
      <c r="AN27" s="426" t="str">
        <f>IF('kWh_Streetlight Data'!AO19=0,"",'kWh_Streetlight Data'!AO19)</f>
        <v/>
      </c>
      <c r="AO27" s="48"/>
      <c r="AP27" s="49"/>
      <c r="AQ27" s="49"/>
      <c r="AR27" s="49"/>
      <c r="AS27" s="49"/>
      <c r="AT27" s="9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0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0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Customers!E75</f>
        <v>11</v>
      </c>
      <c r="AV29" s="124">
        <f>Customers!F75</f>
        <v>11</v>
      </c>
      <c r="AW29" s="124">
        <f>Customers!G75</f>
        <v>11</v>
      </c>
      <c r="AX29" s="124">
        <f>Customers!H75</f>
        <v>11</v>
      </c>
      <c r="AY29" s="124">
        <f>Customers!I75</f>
        <v>11</v>
      </c>
      <c r="AZ29" s="124">
        <f>Customers!J75</f>
        <v>11</v>
      </c>
      <c r="BA29" s="210">
        <f>AZ29</f>
        <v>11</v>
      </c>
      <c r="BB29" s="124">
        <v>11</v>
      </c>
      <c r="BC29" s="38">
        <v>11</v>
      </c>
      <c r="BD29" s="38">
        <v>11</v>
      </c>
      <c r="BE29" s="38">
        <v>11</v>
      </c>
      <c r="BF29" s="38">
        <f t="shared" ref="BF29:BJ29" si="12">BE29</f>
        <v>11</v>
      </c>
      <c r="BG29" s="38">
        <f t="shared" si="12"/>
        <v>11</v>
      </c>
      <c r="BH29" s="38">
        <f t="shared" si="12"/>
        <v>11</v>
      </c>
      <c r="BI29" s="38">
        <f t="shared" si="12"/>
        <v>11</v>
      </c>
      <c r="BJ29" s="38">
        <f t="shared" si="12"/>
        <v>11</v>
      </c>
      <c r="BK29" s="38">
        <f t="shared" ref="BK29" si="13">BJ29</f>
        <v>11</v>
      </c>
      <c r="BL29" s="38">
        <f t="shared" ref="BL29" si="14">BK29</f>
        <v>11</v>
      </c>
      <c r="BM29" s="38">
        <f t="shared" ref="BM29" si="15">BL29</f>
        <v>11</v>
      </c>
      <c r="BN29" s="210">
        <f>IFERROR(ROUND(AVERAGE(BB29:BM29),0),0)</f>
        <v>11</v>
      </c>
      <c r="BO29" s="55">
        <v>0</v>
      </c>
    </row>
    <row r="30" spans="1:70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21625</v>
      </c>
      <c r="AV30" s="38">
        <f>ROUND(AV$33*'kWh Blocks by Rate Category'!D29,0)</f>
        <v>18975</v>
      </c>
      <c r="AW30" s="38">
        <f>ROUND(AW$33*'kWh Blocks by Rate Category'!E29,0)</f>
        <v>15924</v>
      </c>
      <c r="AX30" s="38">
        <f>ROUND(AX$33*'kWh Blocks by Rate Category'!F29,0)</f>
        <v>18677</v>
      </c>
      <c r="AY30" s="38">
        <f>ROUND(AY$33*'kWh Blocks by Rate Category'!G29,0)</f>
        <v>22392</v>
      </c>
      <c r="AZ30" s="38">
        <f>ROUND(AZ$33*'kWh Blocks by Rate Category'!H29,0)</f>
        <v>34549</v>
      </c>
      <c r="BA30" s="210">
        <f>SUM(AO30:AZ30)</f>
        <v>132142</v>
      </c>
      <c r="BB30" s="38">
        <v>35800</v>
      </c>
      <c r="BC30" s="38">
        <v>39714</v>
      </c>
      <c r="BD30" s="38">
        <v>36864</v>
      </c>
      <c r="BE30" s="38">
        <v>34895</v>
      </c>
      <c r="BF30" s="38">
        <f>ROUND(BF$33*'kWh Blocks by Rate Category'!N29,0)</f>
        <v>29255</v>
      </c>
      <c r="BG30" s="38">
        <f>ROUND(BG$33*'kWh Blocks by Rate Category'!O29,0)</f>
        <v>25203</v>
      </c>
      <c r="BH30" s="38">
        <f>ROUND(BH$33*'kWh Blocks by Rate Category'!P29,0)</f>
        <v>21625</v>
      </c>
      <c r="BI30" s="38">
        <f>ROUND(BI$33*'kWh Blocks by Rate Category'!Q29,0)</f>
        <v>18975</v>
      </c>
      <c r="BJ30" s="38">
        <f>ROUND(BJ$33*'kWh Blocks by Rate Category'!R29,0)</f>
        <v>15924</v>
      </c>
      <c r="BK30" s="38">
        <f>ROUND(BK$33*'kWh Blocks by Rate Category'!S29,0)</f>
        <v>18677</v>
      </c>
      <c r="BL30" s="38">
        <f>ROUND(BL$33*'kWh Blocks by Rate Category'!T29,0)</f>
        <v>22392</v>
      </c>
      <c r="BM30" s="38">
        <f>ROUND(BM$33*'kWh Blocks by Rate Category'!U29,0)</f>
        <v>34549</v>
      </c>
      <c r="BN30" s="210">
        <f>SUM(BB30:BM30)</f>
        <v>333873</v>
      </c>
      <c r="BO30" s="38">
        <f>ROUND(BO$33*'kWh Blocks by Rate Category'!W29,0)</f>
        <v>139114</v>
      </c>
    </row>
    <row r="31" spans="1:70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2059</v>
      </c>
      <c r="AV31" s="38">
        <f>ROUND(AV$33*'kWh Blocks by Rate Category'!D30,0)</f>
        <v>1807</v>
      </c>
      <c r="AW31" s="38">
        <f>ROUND(AW$33*'kWh Blocks by Rate Category'!E30,0)</f>
        <v>1516</v>
      </c>
      <c r="AX31" s="38">
        <f>ROUND(AX$33*'kWh Blocks by Rate Category'!F30,0)</f>
        <v>1778</v>
      </c>
      <c r="AY31" s="38">
        <f>ROUND(AY$33*'kWh Blocks by Rate Category'!G30,0)</f>
        <v>2132</v>
      </c>
      <c r="AZ31" s="38">
        <f>ROUND(AZ$33*'kWh Blocks by Rate Category'!H30,0)</f>
        <v>3290</v>
      </c>
      <c r="BA31" s="210">
        <f>SUM(AO31:AZ31)</f>
        <v>12582</v>
      </c>
      <c r="BB31" s="38">
        <v>3409</v>
      </c>
      <c r="BC31" s="38">
        <v>3781</v>
      </c>
      <c r="BD31" s="38">
        <v>3510</v>
      </c>
      <c r="BE31" s="38">
        <v>3323</v>
      </c>
      <c r="BF31" s="38">
        <f>ROUND(BF$33*'kWh Blocks by Rate Category'!N30,0)</f>
        <v>2786</v>
      </c>
      <c r="BG31" s="38">
        <f>ROUND(BG$33*'kWh Blocks by Rate Category'!O30,0)</f>
        <v>2400</v>
      </c>
      <c r="BH31" s="38">
        <f>ROUND(BH$33*'kWh Blocks by Rate Category'!P30,0)</f>
        <v>2059</v>
      </c>
      <c r="BI31" s="38">
        <f>ROUND(BI$33*'kWh Blocks by Rate Category'!Q30,0)</f>
        <v>1807</v>
      </c>
      <c r="BJ31" s="38">
        <f>ROUND(BJ$33*'kWh Blocks by Rate Category'!R30,0)</f>
        <v>1516</v>
      </c>
      <c r="BK31" s="38">
        <f>ROUND(BK$33*'kWh Blocks by Rate Category'!S30,0)</f>
        <v>1778</v>
      </c>
      <c r="BL31" s="38">
        <f>ROUND(BL$33*'kWh Blocks by Rate Category'!T30,0)</f>
        <v>2132</v>
      </c>
      <c r="BM31" s="38">
        <f>ROUND(BM$33*'kWh Blocks by Rate Category'!U30,0)</f>
        <v>3290</v>
      </c>
      <c r="BN31" s="210">
        <f>SUM(BB31:BM31)</f>
        <v>31791</v>
      </c>
      <c r="BO31" s="38">
        <f>ROUND(BO$33*'kWh Blocks by Rate Category'!W30,0)</f>
        <v>13246</v>
      </c>
    </row>
    <row r="32" spans="1:70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0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16">IFERROR(ROUND(AU34*AU29,0),0)</f>
        <v>23684</v>
      </c>
      <c r="AV33" s="64">
        <f t="shared" si="16"/>
        <v>20782</v>
      </c>
      <c r="AW33" s="64">
        <f t="shared" si="16"/>
        <v>17440</v>
      </c>
      <c r="AX33" s="64">
        <f t="shared" si="16"/>
        <v>20455</v>
      </c>
      <c r="AY33" s="64">
        <f t="shared" si="16"/>
        <v>24524</v>
      </c>
      <c r="AZ33" s="64">
        <f t="shared" si="16"/>
        <v>37839</v>
      </c>
      <c r="BA33" s="196">
        <f>SUM(AO33:AZ33)</f>
        <v>144724</v>
      </c>
      <c r="BB33" s="64">
        <v>39209</v>
      </c>
      <c r="BC33" s="64">
        <v>43495</v>
      </c>
      <c r="BD33" s="64">
        <v>40374</v>
      </c>
      <c r="BE33" s="64">
        <v>38218</v>
      </c>
      <c r="BF33" s="64">
        <f t="shared" ref="BF33:BJ33" si="17">IFERROR(ROUND(BF34*BF29,0),0)</f>
        <v>32041</v>
      </c>
      <c r="BG33" s="64">
        <f t="shared" si="17"/>
        <v>27603</v>
      </c>
      <c r="BH33" s="64">
        <f t="shared" si="17"/>
        <v>23684</v>
      </c>
      <c r="BI33" s="64">
        <f t="shared" si="17"/>
        <v>20782</v>
      </c>
      <c r="BJ33" s="64">
        <f t="shared" si="17"/>
        <v>17440</v>
      </c>
      <c r="BK33" s="64">
        <f t="shared" ref="BK33:BM33" si="18">IFERROR(ROUND(BK34*BK29,0),0)</f>
        <v>20455</v>
      </c>
      <c r="BL33" s="64">
        <f t="shared" si="18"/>
        <v>24524</v>
      </c>
      <c r="BM33" s="64">
        <f t="shared" si="18"/>
        <v>37839</v>
      </c>
      <c r="BN33" s="196">
        <f>SUM(BB33:BM33)</f>
        <v>365664</v>
      </c>
      <c r="BO33" s="147">
        <f>BQ40-BO40</f>
        <v>152360</v>
      </c>
      <c r="BQ33" s="31"/>
      <c r="BR33" s="31"/>
    </row>
    <row r="34" spans="1:70" ht="15.75" customHeight="1" thickTop="1">
      <c r="A34" s="374" t="s">
        <v>54</v>
      </c>
      <c r="B34" s="84">
        <f>IF('kWh_Streetlight Data'!C20=0,"",'kWh_Streetlight Data'!C20)</f>
        <v>3369.8</v>
      </c>
      <c r="C34" s="108">
        <f>IF('kWh_Streetlight Data'!D20=0,"",'kWh_Streetlight Data'!D20)</f>
        <v>3116.4166666666665</v>
      </c>
      <c r="D34" s="108">
        <f>IF('kWh_Streetlight Data'!E20=0,"",'kWh_Streetlight Data'!E20)</f>
        <v>3097.909090909091</v>
      </c>
      <c r="E34" s="108">
        <f>IF('kWh_Streetlight Data'!F20=0,"",'kWh_Streetlight Data'!F20)</f>
        <v>3755.7272727272725</v>
      </c>
      <c r="F34" s="108">
        <f>IF('kWh_Streetlight Data'!G20=0,"",'kWh_Streetlight Data'!G20)</f>
        <v>2228.3636363636365</v>
      </c>
      <c r="G34" s="108">
        <f>IF('kWh_Streetlight Data'!H20=0,"",'kWh_Streetlight Data'!H20)</f>
        <v>2181.6363636363635</v>
      </c>
      <c r="H34" s="108">
        <f>IF('kWh_Streetlight Data'!I20=0,"",'kWh_Streetlight Data'!I20)</f>
        <v>1945.5454545454545</v>
      </c>
      <c r="I34" s="108">
        <f>IF('kWh_Streetlight Data'!J20=0,"",'kWh_Streetlight Data'!J20)</f>
        <v>1880.3636363636363</v>
      </c>
      <c r="J34" s="108">
        <f>IF('kWh_Streetlight Data'!K20=0,"",'kWh_Streetlight Data'!K20)</f>
        <v>1669.909090909091</v>
      </c>
      <c r="K34" s="108">
        <f>IF('kWh_Streetlight Data'!L20=0,"",'kWh_Streetlight Data'!L20)</f>
        <v>2007.8181818181818</v>
      </c>
      <c r="L34" s="108">
        <f>IF('kWh_Streetlight Data'!M20=0,"",'kWh_Streetlight Data'!M20)</f>
        <v>2270.5454545454545</v>
      </c>
      <c r="M34" s="108">
        <f>IF('kWh_Streetlight Data'!N20=0,"",'kWh_Streetlight Data'!N20)</f>
        <v>2692.181818181818</v>
      </c>
      <c r="N34" s="424">
        <f>IF('kWh_Streetlight Data'!O20=0,"",'kWh_Streetlight Data'!O20)</f>
        <v>2516.098484848485</v>
      </c>
      <c r="O34" s="84">
        <f>IF('kWh_Streetlight Data'!P20=0,"",'kWh_Streetlight Data'!P20)</f>
        <v>3276.3636363636365</v>
      </c>
      <c r="P34" s="108">
        <f>IF('kWh_Streetlight Data'!Q20=0,"",'kWh_Streetlight Data'!Q20)</f>
        <v>3217.4166666666665</v>
      </c>
      <c r="Q34" s="108">
        <f>IF('kWh_Streetlight Data'!R20=0,"",'kWh_Streetlight Data'!R20)</f>
        <v>4553.545454545455</v>
      </c>
      <c r="R34" s="108">
        <f>IF('kWh_Streetlight Data'!S20=0,"",'kWh_Streetlight Data'!S20)</f>
        <v>2958.909090909091</v>
      </c>
      <c r="S34" s="108">
        <f>IF('kWh_Streetlight Data'!T20=0,"",'kWh_Streetlight Data'!T20)</f>
        <v>3490.5454545454545</v>
      </c>
      <c r="T34" s="108">
        <f>IF('kWh_Streetlight Data'!U20=0,"",'kWh_Streetlight Data'!U20)</f>
        <v>2559.5454545454545</v>
      </c>
      <c r="U34" s="108">
        <f>IF('kWh_Streetlight Data'!V20=0,"",'kWh_Streetlight Data'!V20)</f>
        <v>2396.5454545454545</v>
      </c>
      <c r="V34" s="108">
        <f>IF('kWh_Streetlight Data'!W20=0,"",'kWh_Streetlight Data'!W20)</f>
        <v>1503.8666666666666</v>
      </c>
      <c r="W34" s="108">
        <f>IF('kWh_Streetlight Data'!X20=0,"",'kWh_Streetlight Data'!X20)</f>
        <v>1662.75</v>
      </c>
      <c r="X34" s="108">
        <f>IF('kWh_Streetlight Data'!Y20=0,"",'kWh_Streetlight Data'!Y20)</f>
        <v>1639</v>
      </c>
      <c r="Y34" s="108">
        <f>IF('kWh_Streetlight Data'!Z20=0,"",'kWh_Streetlight Data'!Z20)</f>
        <v>2018.75</v>
      </c>
      <c r="Z34" s="108">
        <f>IF('kWh_Streetlight Data'!AA20=0,"",'kWh_Streetlight Data'!AA20)</f>
        <v>4295.75</v>
      </c>
      <c r="AA34" s="424">
        <f>IF('kWh_Streetlight Data'!AB20=0,"",'kWh_Streetlight Data'!AB20)</f>
        <v>2752.8510638297871</v>
      </c>
      <c r="AB34" s="129">
        <f>IF('kWh_Streetlight Data'!AC20=0,"",'kWh_Streetlight Data'!AC20)</f>
        <v>4047.3333333333335</v>
      </c>
      <c r="AC34" s="130">
        <f>IF('kWh_Streetlight Data'!AD20=0,"",'kWh_Streetlight Data'!AD20)</f>
        <v>5528.5</v>
      </c>
      <c r="AD34" s="130">
        <f>IF('kWh_Streetlight Data'!AE20=0,"",'kWh_Streetlight Data'!AE20)</f>
        <v>3359.7692307692309</v>
      </c>
      <c r="AE34" s="130">
        <f>IF('kWh_Streetlight Data'!AF20=0,"",'kWh_Streetlight Data'!AF20)</f>
        <v>3708.5454545454545</v>
      </c>
      <c r="AF34" s="130">
        <f>IF('kWh_Streetlight Data'!AG20=0,"",'kWh_Streetlight Data'!AG20)</f>
        <v>3019.5454545454545</v>
      </c>
      <c r="AG34" s="130">
        <f>IF('kWh_Streetlight Data'!AH20=0,"",'kWh_Streetlight Data'!AH20)</f>
        <v>2787</v>
      </c>
      <c r="AH34" s="130">
        <f>IF('kWh_Streetlight Data'!AI20=0,"",'kWh_Streetlight Data'!AI20)</f>
        <v>2117.181818181818</v>
      </c>
      <c r="AI34" s="130">
        <f>IF('kWh_Streetlight Data'!AJ20=0,"",'kWh_Streetlight Data'!AJ20)</f>
        <v>2283.6363636363635</v>
      </c>
      <c r="AJ34" s="130">
        <f>IF('kWh_Streetlight Data'!AK20=0,"",'kWh_Streetlight Data'!AK20)</f>
        <v>1423.5833333333333</v>
      </c>
      <c r="AK34" s="130">
        <f>IF('kWh_Streetlight Data'!AL20=0,"",'kWh_Streetlight Data'!AL20)</f>
        <v>1931.8181818181818</v>
      </c>
      <c r="AL34" s="130">
        <f>IF('kWh_Streetlight Data'!AM20=0,"",'kWh_Streetlight Data'!AM20)</f>
        <v>2399.090909090909</v>
      </c>
      <c r="AM34" s="130">
        <f>IF('kWh_Streetlight Data'!AN20=0,"",'kWh_Streetlight Data'!AN20)</f>
        <v>3331.818181818182</v>
      </c>
      <c r="AN34" s="426">
        <f>IF('kWh_Streetlight Data'!AO20=0,"",'kWh_Streetlight Data'!AO20)</f>
        <v>3014.8540145985403</v>
      </c>
      <c r="AO34" s="43"/>
      <c r="AP34" s="40"/>
      <c r="AQ34" s="40"/>
      <c r="AR34" s="40"/>
      <c r="AS34" s="40"/>
      <c r="AT34" s="17"/>
      <c r="AU34" s="17">
        <f t="shared" ref="AU34:AZ34" si="19">IFERROR(AVERAGE(AH34,U34,H34),0)</f>
        <v>2153.0909090909086</v>
      </c>
      <c r="AV34" s="17">
        <f t="shared" si="19"/>
        <v>1889.2888888888886</v>
      </c>
      <c r="AW34" s="17">
        <f t="shared" si="19"/>
        <v>1585.4141414141413</v>
      </c>
      <c r="AX34" s="17">
        <f t="shared" si="19"/>
        <v>1859.5454545454547</v>
      </c>
      <c r="AY34" s="17">
        <f t="shared" si="19"/>
        <v>2229.4621212121215</v>
      </c>
      <c r="AZ34" s="17">
        <f t="shared" si="19"/>
        <v>3439.9166666666665</v>
      </c>
      <c r="BA34" s="211"/>
      <c r="BB34" s="9">
        <v>3564.4989898989902</v>
      </c>
      <c r="BC34" s="17">
        <v>3954.1111111111109</v>
      </c>
      <c r="BD34" s="17">
        <v>3670.4079254079256</v>
      </c>
      <c r="BE34" s="17">
        <v>3474.3939393939395</v>
      </c>
      <c r="BF34" s="17">
        <f t="shared" ref="BF34:BJ34" si="20">IFERROR(AVERAGE(F34,S34,AF34),0)</f>
        <v>2912.818181818182</v>
      </c>
      <c r="BG34" s="17">
        <f t="shared" si="20"/>
        <v>2509.3939393939395</v>
      </c>
      <c r="BH34" s="17">
        <f t="shared" si="20"/>
        <v>2153.090909090909</v>
      </c>
      <c r="BI34" s="17">
        <f t="shared" si="20"/>
        <v>1889.288888888889</v>
      </c>
      <c r="BJ34" s="17">
        <f t="shared" si="20"/>
        <v>1585.4141414141413</v>
      </c>
      <c r="BK34" s="17">
        <f t="shared" ref="BK34" si="21">IFERROR(AVERAGE(K34,X34,AK34),0)</f>
        <v>1859.5454545454547</v>
      </c>
      <c r="BL34" s="17">
        <f t="shared" ref="BL34" si="22">IFERROR(AVERAGE(L34,Y34,AL34),0)</f>
        <v>2229.462121212121</v>
      </c>
      <c r="BM34" s="17">
        <f t="shared" ref="BM34" si="23">IFERROR(AVERAGE(M34,Z34,AM34),0)</f>
        <v>3439.9166666666665</v>
      </c>
      <c r="BN34" s="211">
        <f>IFERROR(BN33/SUM(BB29:BM29)*12,0)</f>
        <v>33242.181818181816</v>
      </c>
      <c r="BO34" s="20"/>
    </row>
    <row r="35" spans="1:70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338"/>
    </row>
    <row r="36" spans="1:70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6">
        <f>Customers!L75</f>
        <v>11</v>
      </c>
    </row>
    <row r="37" spans="1:70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>
        <f>ROUND(BO$40*'kWh Blocks by Rate Category'!W36,0)</f>
        <v>194759</v>
      </c>
    </row>
    <row r="38" spans="1:70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>
        <f>ROUND(BO$40*'kWh Blocks by Rate Category'!W37,0)</f>
        <v>18545</v>
      </c>
      <c r="BR38" s="229" t="s">
        <v>221</v>
      </c>
    </row>
    <row r="39" spans="1:70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>
        <f>ROUND(BO$40*'kWh Blocks by Rate Category'!W38,0)</f>
        <v>0</v>
      </c>
      <c r="BQ39" s="229" t="s">
        <v>222</v>
      </c>
      <c r="BR39" s="229" t="s">
        <v>223</v>
      </c>
    </row>
    <row r="40" spans="1:70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ROUND(BQ40/12*BR40,0)</f>
        <v>213304</v>
      </c>
      <c r="BQ40" s="39">
        <f>ROUND(BO41*BO36,0)</f>
        <v>365664</v>
      </c>
      <c r="BR40" s="296">
        <v>7</v>
      </c>
    </row>
    <row r="41" spans="1:70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08"/>
      <c r="AI41" s="108"/>
      <c r="AJ41" s="108"/>
      <c r="AK41" s="108"/>
      <c r="AL41" s="108"/>
      <c r="AM41" s="108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17"/>
      <c r="BL41" s="17"/>
      <c r="BM41" s="17"/>
      <c r="BN41" s="211"/>
      <c r="BO41" s="273">
        <f>BN34</f>
        <v>33242.181818181816</v>
      </c>
      <c r="BR41" s="229" t="s">
        <v>224</v>
      </c>
    </row>
    <row r="42" spans="1:70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0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Customers!E76</f>
        <v>8</v>
      </c>
      <c r="AV43" s="124">
        <f>Customers!F76</f>
        <v>8</v>
      </c>
      <c r="AW43" s="124">
        <f>Customers!G76</f>
        <v>8</v>
      </c>
      <c r="AX43" s="124">
        <f>Customers!H76</f>
        <v>8</v>
      </c>
      <c r="AY43" s="124">
        <f>Customers!I76</f>
        <v>8</v>
      </c>
      <c r="AZ43" s="124">
        <f>Customers!J76</f>
        <v>8</v>
      </c>
      <c r="BA43" s="210">
        <f>AZ43</f>
        <v>8</v>
      </c>
      <c r="BB43" s="124">
        <v>8</v>
      </c>
      <c r="BC43" s="38">
        <v>8</v>
      </c>
      <c r="BD43" s="38">
        <v>8</v>
      </c>
      <c r="BE43" s="38">
        <v>8</v>
      </c>
      <c r="BF43" s="38">
        <f t="shared" ref="BF43:BJ43" si="24">BE43</f>
        <v>8</v>
      </c>
      <c r="BG43" s="38">
        <f t="shared" si="24"/>
        <v>8</v>
      </c>
      <c r="BH43" s="38">
        <f t="shared" si="24"/>
        <v>8</v>
      </c>
      <c r="BI43" s="38">
        <f t="shared" si="24"/>
        <v>8</v>
      </c>
      <c r="BJ43" s="38">
        <f t="shared" si="24"/>
        <v>8</v>
      </c>
      <c r="BK43" s="38">
        <f t="shared" ref="BK43" si="25">BJ43</f>
        <v>8</v>
      </c>
      <c r="BL43" s="38">
        <f t="shared" ref="BL43" si="26">BK43</f>
        <v>8</v>
      </c>
      <c r="BM43" s="38">
        <f t="shared" ref="BM43" si="27">BL43</f>
        <v>8</v>
      </c>
      <c r="BN43" s="210">
        <f>IFERROR(ROUND(AVERAGE(BB43:BM43),0),0)</f>
        <v>8</v>
      </c>
      <c r="BO43" s="90"/>
    </row>
    <row r="44" spans="1:70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37606</v>
      </c>
      <c r="AV44" s="38">
        <f t="shared" ref="AV44:AZ44" si="28">AV47</f>
        <v>26160</v>
      </c>
      <c r="AW44" s="38">
        <f t="shared" si="28"/>
        <v>28279</v>
      </c>
      <c r="AX44" s="38">
        <f t="shared" si="28"/>
        <v>32026</v>
      </c>
      <c r="AY44" s="38">
        <f t="shared" si="28"/>
        <v>25681</v>
      </c>
      <c r="AZ44" s="38">
        <f t="shared" si="28"/>
        <v>53343</v>
      </c>
      <c r="BA44" s="210">
        <f>SUM(AO44:AZ44)</f>
        <v>203095</v>
      </c>
      <c r="BB44" s="38">
        <v>36463</v>
      </c>
      <c r="BC44" s="38">
        <v>41321</v>
      </c>
      <c r="BD44" s="38">
        <v>35855</v>
      </c>
      <c r="BE44" s="38">
        <v>42650</v>
      </c>
      <c r="BF44" s="38">
        <f>ROUND(BF$47*'kWh Blocks by Rate Category'!N43,0)</f>
        <v>31706</v>
      </c>
      <c r="BG44" s="38">
        <f>ROUND(BG$47*'kWh Blocks by Rate Category'!O43,0)</f>
        <v>31349</v>
      </c>
      <c r="BH44" s="38">
        <f>ROUND(BH$47*'kWh Blocks by Rate Category'!P43,0)</f>
        <v>33582</v>
      </c>
      <c r="BI44" s="38">
        <f>ROUND(BI$47*'kWh Blocks by Rate Category'!Q43,0)</f>
        <v>23361</v>
      </c>
      <c r="BJ44" s="38">
        <f>ROUND(BJ$47*'kWh Blocks by Rate Category'!R43,0)</f>
        <v>25253</v>
      </c>
      <c r="BK44" s="38">
        <f>ROUND(BK$47*'kWh Blocks by Rate Category'!S43,0)</f>
        <v>28599</v>
      </c>
      <c r="BL44" s="38">
        <f>ROUND(BL$47*'kWh Blocks by Rate Category'!T43,0)</f>
        <v>22933</v>
      </c>
      <c r="BM44" s="38">
        <f>ROUND(BM$47*'kWh Blocks by Rate Category'!U43,0)</f>
        <v>47635</v>
      </c>
      <c r="BN44" s="210">
        <f>SUM(BB44:BM44)</f>
        <v>400707</v>
      </c>
      <c r="BO44" s="38">
        <f>ROUND(BO$47*'kWh Blocks by Rate Category'!W43,0)</f>
        <v>166961</v>
      </c>
    </row>
    <row r="45" spans="1:70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3102</v>
      </c>
      <c r="BC45" s="38">
        <v>3516</v>
      </c>
      <c r="BD45" s="38">
        <v>3051</v>
      </c>
      <c r="BE45" s="38">
        <v>3629</v>
      </c>
      <c r="BF45" s="38">
        <f>ROUND(BF$47*'kWh Blocks by Rate Category'!N44,0)</f>
        <v>2698</v>
      </c>
      <c r="BG45" s="38">
        <f>ROUND(BG$47*'kWh Blocks by Rate Category'!O44,0)</f>
        <v>2667</v>
      </c>
      <c r="BH45" s="38">
        <f>ROUND(BH$47*'kWh Blocks by Rate Category'!P44,0)</f>
        <v>2857</v>
      </c>
      <c r="BI45" s="38">
        <f>ROUND(BI$47*'kWh Blocks by Rate Category'!Q44,0)</f>
        <v>1988</v>
      </c>
      <c r="BJ45" s="38">
        <f>ROUND(BJ$47*'kWh Blocks by Rate Category'!R44,0)</f>
        <v>2149</v>
      </c>
      <c r="BK45" s="38">
        <f>ROUND(BK$47*'kWh Blocks by Rate Category'!S44,0)</f>
        <v>2433</v>
      </c>
      <c r="BL45" s="38">
        <f>ROUND(BL$47*'kWh Blocks by Rate Category'!T44,0)</f>
        <v>1951</v>
      </c>
      <c r="BM45" s="38">
        <f>ROUND(BM$47*'kWh Blocks by Rate Category'!U44,0)</f>
        <v>4053</v>
      </c>
      <c r="BN45" s="210">
        <f>SUM(BB45:BM45)</f>
        <v>34094</v>
      </c>
      <c r="BO45" s="38">
        <f>ROUND(BO$33*'kWh Blocks by Rate Category'!W44,0)</f>
        <v>11577</v>
      </c>
    </row>
    <row r="46" spans="1:70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1267</v>
      </c>
      <c r="BC46" s="38">
        <v>1436</v>
      </c>
      <c r="BD46" s="38">
        <v>1246</v>
      </c>
      <c r="BE46" s="38">
        <v>1482</v>
      </c>
      <c r="BF46" s="38">
        <f>ROUND(BF$47*'kWh Blocks by Rate Category'!N45,0)</f>
        <v>1102</v>
      </c>
      <c r="BG46" s="38">
        <f>ROUND(BG$47*'kWh Blocks by Rate Category'!O45,0)</f>
        <v>1089</v>
      </c>
      <c r="BH46" s="38">
        <f>ROUND(BH$47*'kWh Blocks by Rate Category'!P45,0)</f>
        <v>1167</v>
      </c>
      <c r="BI46" s="38">
        <f>ROUND(BI$47*'kWh Blocks by Rate Category'!Q45,0)</f>
        <v>812</v>
      </c>
      <c r="BJ46" s="38">
        <f>ROUND(BJ$47*'kWh Blocks by Rate Category'!R45,0)</f>
        <v>877</v>
      </c>
      <c r="BK46" s="38">
        <f>ROUND(BK$47*'kWh Blocks by Rate Category'!S45,0)</f>
        <v>994</v>
      </c>
      <c r="BL46" s="38">
        <f>ROUND(BL$47*'kWh Blocks by Rate Category'!T45,0)</f>
        <v>797</v>
      </c>
      <c r="BM46" s="38">
        <f>ROUND(BM$47*'kWh Blocks by Rate Category'!U45,0)</f>
        <v>1655</v>
      </c>
      <c r="BN46" s="210">
        <f>SUM(BB46:BM46)</f>
        <v>13924</v>
      </c>
      <c r="BO46" s="38">
        <f>ROUND(BO$33*'kWh Blocks by Rate Category'!W45,0)</f>
        <v>4727</v>
      </c>
    </row>
    <row r="47" spans="1:70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29">IFERROR(ROUND(AU48*AU43,0),0)</f>
        <v>37606</v>
      </c>
      <c r="AV47" s="64">
        <f t="shared" si="29"/>
        <v>26160</v>
      </c>
      <c r="AW47" s="64">
        <f t="shared" si="29"/>
        <v>28279</v>
      </c>
      <c r="AX47" s="64">
        <f t="shared" si="29"/>
        <v>32026</v>
      </c>
      <c r="AY47" s="64">
        <f t="shared" si="29"/>
        <v>25681</v>
      </c>
      <c r="AZ47" s="64">
        <f t="shared" si="29"/>
        <v>53343</v>
      </c>
      <c r="BA47" s="196">
        <f>SUM(AO47:AZ47)</f>
        <v>203095</v>
      </c>
      <c r="BB47" s="64">
        <v>40832</v>
      </c>
      <c r="BC47" s="64">
        <v>46273</v>
      </c>
      <c r="BD47" s="64">
        <v>40152</v>
      </c>
      <c r="BE47" s="64">
        <v>47761</v>
      </c>
      <c r="BF47" s="64">
        <f t="shared" ref="BF47:BJ47" si="30">IFERROR(ROUND(BF48*BF43,0),0)</f>
        <v>35505</v>
      </c>
      <c r="BG47" s="64">
        <f t="shared" si="30"/>
        <v>35106</v>
      </c>
      <c r="BH47" s="64">
        <f t="shared" si="30"/>
        <v>37606</v>
      </c>
      <c r="BI47" s="64">
        <f t="shared" si="30"/>
        <v>26160</v>
      </c>
      <c r="BJ47" s="64">
        <f t="shared" si="30"/>
        <v>28279</v>
      </c>
      <c r="BK47" s="64">
        <f t="shared" ref="BK47:BM47" si="31">IFERROR(ROUND(BK48*BK43,0),0)</f>
        <v>32026</v>
      </c>
      <c r="BL47" s="64">
        <f t="shared" si="31"/>
        <v>25681</v>
      </c>
      <c r="BM47" s="64">
        <f t="shared" si="31"/>
        <v>53343</v>
      </c>
      <c r="BN47" s="196">
        <f>SUM(BB47:BM47)</f>
        <v>448724</v>
      </c>
      <c r="BO47" s="147">
        <f>BQ54-BO54</f>
        <v>186968</v>
      </c>
    </row>
    <row r="48" spans="1:70" ht="15.75" customHeight="1" thickTop="1">
      <c r="A48" s="374" t="s">
        <v>54</v>
      </c>
      <c r="B48" s="129">
        <f>IF('kWh_Streetlight Data'!C21=0,"",'kWh_Streetlight Data'!C21)</f>
        <v>6212</v>
      </c>
      <c r="C48" s="130">
        <f>IF('kWh_Streetlight Data'!D21=0,"",'kWh_Streetlight Data'!D21)</f>
        <v>6486</v>
      </c>
      <c r="D48" s="130">
        <f>IF('kWh_Streetlight Data'!E21=0,"",'kWh_Streetlight Data'!E21)</f>
        <v>5942</v>
      </c>
      <c r="E48" s="130">
        <f>IF('kWh_Streetlight Data'!F21=0,"",'kWh_Streetlight Data'!F21)</f>
        <v>7172</v>
      </c>
      <c r="F48" s="130">
        <f>IF('kWh_Streetlight Data'!G21=0,"",'kWh_Streetlight Data'!G21)</f>
        <v>4560</v>
      </c>
      <c r="G48" s="130">
        <f>IF('kWh_Streetlight Data'!H21=0,"",'kWh_Streetlight Data'!H21)</f>
        <v>5234</v>
      </c>
      <c r="H48" s="130">
        <f>IF('kWh_Streetlight Data'!I21=0,"",'kWh_Streetlight Data'!I21)</f>
        <v>4280</v>
      </c>
      <c r="I48" s="130">
        <f>IF('kWh_Streetlight Data'!J21=0,"",'kWh_Streetlight Data'!J21)</f>
        <v>5162</v>
      </c>
      <c r="J48" s="130">
        <f>IF('kWh_Streetlight Data'!K21=0,"",'kWh_Streetlight Data'!K21)</f>
        <v>4150</v>
      </c>
      <c r="K48" s="130">
        <f>IF('kWh_Streetlight Data'!L21=0,"",'kWh_Streetlight Data'!L21)</f>
        <v>5802</v>
      </c>
      <c r="L48" s="130">
        <f>IF('kWh_Streetlight Data'!M21=0,"",'kWh_Streetlight Data'!M21)</f>
        <v>2685</v>
      </c>
      <c r="M48" s="130">
        <f>IF('kWh_Streetlight Data'!N21=0,"",'kWh_Streetlight Data'!N21)</f>
        <v>5226</v>
      </c>
      <c r="N48" s="424">
        <f>IF('kWh_Streetlight Data'!O21=0,"",'kWh_Streetlight Data'!O21)</f>
        <v>5200.6557377049185</v>
      </c>
      <c r="O48" s="129">
        <f>IF('kWh_Streetlight Data'!P21=0,"",'kWh_Streetlight Data'!P21)</f>
        <v>5580</v>
      </c>
      <c r="P48" s="130">
        <f>IF('kWh_Streetlight Data'!Q21=0,"",'kWh_Streetlight Data'!Q21)</f>
        <v>6028</v>
      </c>
      <c r="Q48" s="130">
        <f>IF('kWh_Streetlight Data'!R21=0,"",'kWh_Streetlight Data'!R21)</f>
        <v>5484</v>
      </c>
      <c r="R48" s="130">
        <f>IF('kWh_Streetlight Data'!S21=0,"",'kWh_Streetlight Data'!S21)</f>
        <v>6162</v>
      </c>
      <c r="S48" s="130">
        <f>IF('kWh_Streetlight Data'!T21=0,"",'kWh_Streetlight Data'!T21)</f>
        <v>5640</v>
      </c>
      <c r="T48" s="130">
        <f>IF('kWh_Streetlight Data'!U21=0,"",'kWh_Streetlight Data'!U21)</f>
        <v>4460</v>
      </c>
      <c r="U48" s="130">
        <f>IF('kWh_Streetlight Data'!V21=0,"",'kWh_Streetlight Data'!V21)</f>
        <v>3618</v>
      </c>
      <c r="V48" s="130">
        <f>IF('kWh_Streetlight Data'!W21=0,"",'kWh_Streetlight Data'!W21)</f>
        <v>3446.1428571428573</v>
      </c>
      <c r="W48" s="130">
        <f>IF('kWh_Streetlight Data'!X21=0,"",'kWh_Streetlight Data'!X21)</f>
        <v>3328.1428571428573</v>
      </c>
      <c r="X48" s="130">
        <f>IF('kWh_Streetlight Data'!Y21=0,"",'kWh_Streetlight Data'!Y21)</f>
        <v>3153.2857142857142</v>
      </c>
      <c r="Y48" s="130">
        <f>IF('kWh_Streetlight Data'!Z21=0,"",'kWh_Streetlight Data'!Z21)</f>
        <v>3407.625</v>
      </c>
      <c r="Z48" s="130">
        <f>IF('kWh_Streetlight Data'!AA21=0,"",'kWh_Streetlight Data'!AA21)</f>
        <v>4511.4285714285716</v>
      </c>
      <c r="AA48" s="424">
        <f>IF('kWh_Streetlight Data'!AB21=0,"",'kWh_Streetlight Data'!AB21)</f>
        <v>4389.4520547945203</v>
      </c>
      <c r="AB48" s="129">
        <f>IF('kWh_Streetlight Data'!AC21=0,"",'kWh_Streetlight Data'!AC21)</f>
        <v>3520</v>
      </c>
      <c r="AC48" s="130">
        <f>IF('kWh_Streetlight Data'!AD21=0,"",'kWh_Streetlight Data'!AD21)</f>
        <v>4838.2857142857147</v>
      </c>
      <c r="AD48" s="130">
        <f>IF('kWh_Streetlight Data'!AE21=0,"",'kWh_Streetlight Data'!AE21)</f>
        <v>3631</v>
      </c>
      <c r="AE48" s="130">
        <f>IF('kWh_Streetlight Data'!AF21=0,"",'kWh_Streetlight Data'!AF21)</f>
        <v>4576.4285714285716</v>
      </c>
      <c r="AF48" s="130">
        <f>IF('kWh_Streetlight Data'!AG21=0,"",'kWh_Streetlight Data'!AG21)</f>
        <v>3114.2857142857142</v>
      </c>
      <c r="AG48" s="130">
        <f>IF('kWh_Streetlight Data'!AH21=0,"",'kWh_Streetlight Data'!AH21)</f>
        <v>3470.7142857142858</v>
      </c>
      <c r="AH48" s="130">
        <f>IF('kWh_Streetlight Data'!AI21=0,"",'kWh_Streetlight Data'!AI21)</f>
        <v>6204.1428571428569</v>
      </c>
      <c r="AI48" s="130">
        <f>IF('kWh_Streetlight Data'!AJ21=0,"",'kWh_Streetlight Data'!AJ21)</f>
        <v>1201.875</v>
      </c>
      <c r="AJ48" s="130">
        <f>IF('kWh_Streetlight Data'!AK21=0,"",'kWh_Streetlight Data'!AK21)</f>
        <v>3126.4285714285716</v>
      </c>
      <c r="AK48" s="130">
        <f>IF('kWh_Streetlight Data'!AL21=0,"",'kWh_Streetlight Data'!AL21)</f>
        <v>3054.4285714285716</v>
      </c>
      <c r="AL48" s="130">
        <f>IF('kWh_Streetlight Data'!AM21=0,"",'kWh_Streetlight Data'!AM21)</f>
        <v>3537.5714285714284</v>
      </c>
      <c r="AM48" s="130">
        <f>IF('kWh_Streetlight Data'!AN21=0,"",'kWh_Streetlight Data'!AN21)</f>
        <v>10266.200000000001</v>
      </c>
      <c r="AN48" s="426">
        <f>IF('kWh_Streetlight Data'!AO21=0,"",'kWh_Streetlight Data'!AO21)</f>
        <v>4383.977272727273</v>
      </c>
      <c r="AO48" s="43"/>
      <c r="AP48" s="40"/>
      <c r="AQ48" s="40"/>
      <c r="AR48" s="40"/>
      <c r="AS48" s="40"/>
      <c r="AT48" s="17"/>
      <c r="AU48" s="17">
        <f t="shared" ref="AU48:AZ48" si="32">IFERROR(AVERAGE(AH48,U48,H48),0)</f>
        <v>4700.7142857142853</v>
      </c>
      <c r="AV48" s="17">
        <f t="shared" si="32"/>
        <v>3270.0059523809523</v>
      </c>
      <c r="AW48" s="17">
        <f t="shared" si="32"/>
        <v>3534.8571428571431</v>
      </c>
      <c r="AX48" s="17">
        <f t="shared" si="32"/>
        <v>4003.2380952380954</v>
      </c>
      <c r="AY48" s="17">
        <f t="shared" si="32"/>
        <v>3210.0654761904757</v>
      </c>
      <c r="AZ48" s="17">
        <f t="shared" si="32"/>
        <v>6667.8761904761914</v>
      </c>
      <c r="BA48" s="211"/>
      <c r="BB48" s="9">
        <v>5104</v>
      </c>
      <c r="BC48" s="17">
        <v>5784.0952380952376</v>
      </c>
      <c r="BD48" s="17">
        <v>5019</v>
      </c>
      <c r="BE48" s="17">
        <v>5970.1428571428578</v>
      </c>
      <c r="BF48" s="17">
        <f t="shared" ref="BF48:BJ48" si="33">IFERROR(AVERAGE(F48,S48,AF48),0)</f>
        <v>4438.0952380952376</v>
      </c>
      <c r="BG48" s="17">
        <f t="shared" si="33"/>
        <v>4388.2380952380954</v>
      </c>
      <c r="BH48" s="17">
        <f t="shared" si="33"/>
        <v>4700.7142857142853</v>
      </c>
      <c r="BI48" s="17">
        <f t="shared" si="33"/>
        <v>3270.0059523809523</v>
      </c>
      <c r="BJ48" s="17">
        <f t="shared" si="33"/>
        <v>3534.8571428571427</v>
      </c>
      <c r="BK48" s="17">
        <f t="shared" ref="BK48" si="34">IFERROR(AVERAGE(K48,X48,AK48),0)</f>
        <v>4003.2380952380954</v>
      </c>
      <c r="BL48" s="17">
        <f t="shared" ref="BL48" si="35">IFERROR(AVERAGE(L48,Y48,AL48),0)</f>
        <v>3210.0654761904757</v>
      </c>
      <c r="BM48" s="17">
        <f t="shared" ref="BM48" si="36">IFERROR(AVERAGE(M48,Z48,AM48),0)</f>
        <v>6667.8761904761914</v>
      </c>
      <c r="BN48" s="211">
        <f>IFERROR(BN47/BN43,0)</f>
        <v>56090.5</v>
      </c>
      <c r="BO48" s="20"/>
    </row>
    <row r="49" spans="1:7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7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6">
        <f>Customers!L76</f>
        <v>8</v>
      </c>
    </row>
    <row r="51" spans="1:7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38">
        <f>ROUND(BO$54*'kWh Blocks by Rate Category'!W50,0)</f>
        <v>233746</v>
      </c>
    </row>
    <row r="52" spans="1:7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38">
        <f>ROUND(BO$54*'kWh Blocks by Rate Category'!W51,0)</f>
        <v>19889</v>
      </c>
      <c r="BR52" s="229" t="s">
        <v>221</v>
      </c>
    </row>
    <row r="53" spans="1:7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38">
        <f>ROUND(BO$54*'kWh Blocks by Rate Category'!W52,0)</f>
        <v>8121</v>
      </c>
      <c r="BQ53" s="229" t="s">
        <v>222</v>
      </c>
      <c r="BR53" s="229" t="s">
        <v>223</v>
      </c>
    </row>
    <row r="54" spans="1:7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ROUND(BQ54/12*BR54,0)</f>
        <v>261756</v>
      </c>
      <c r="BQ54" s="39">
        <f>ROUND(BO55*BO50,0)</f>
        <v>448724</v>
      </c>
      <c r="BR54" s="296">
        <v>7</v>
      </c>
    </row>
    <row r="55" spans="1:7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08"/>
      <c r="AI55" s="108"/>
      <c r="AJ55" s="108"/>
      <c r="AK55" s="108"/>
      <c r="AL55" s="108"/>
      <c r="AM55" s="108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>
        <f>BN48</f>
        <v>56090.5</v>
      </c>
      <c r="BR55" s="229" t="s">
        <v>224</v>
      </c>
    </row>
    <row r="56" spans="1:7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7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7" si="37">BE57</f>
        <v>0</v>
      </c>
      <c r="BG57" s="38">
        <f t="shared" si="37"/>
        <v>0</v>
      </c>
      <c r="BH57" s="38">
        <f t="shared" si="37"/>
        <v>0</v>
      </c>
      <c r="BI57" s="38">
        <f t="shared" si="37"/>
        <v>0</v>
      </c>
      <c r="BJ57" s="38">
        <f t="shared" si="37"/>
        <v>0</v>
      </c>
      <c r="BK57" s="38">
        <f t="shared" si="37"/>
        <v>0</v>
      </c>
      <c r="BL57" s="38">
        <f t="shared" si="37"/>
        <v>0</v>
      </c>
      <c r="BM57" s="38">
        <f t="shared" si="37"/>
        <v>0</v>
      </c>
      <c r="BN57" s="210">
        <f>IFERROR(ROUND(AVERAGE(BB57:BM57),0),0)</f>
        <v>0</v>
      </c>
      <c r="BO57" s="156">
        <f>Customers!L77</f>
        <v>0</v>
      </c>
    </row>
    <row r="58" spans="1:70" ht="15.75" customHeight="1" thickBot="1">
      <c r="A58" s="201" t="s">
        <v>30</v>
      </c>
      <c r="B58" s="78" t="str">
        <f>IF('kWh_Streetlight Data'!C231=0,"",'kWh_Streetlight Data'!C231)</f>
        <v/>
      </c>
      <c r="C58" s="114" t="str">
        <f>IF('kWh_Streetlight Data'!D231=0,"",'kWh_Streetlight Data'!D231)</f>
        <v/>
      </c>
      <c r="D58" s="114" t="str">
        <f>IF('kWh_Streetlight Data'!E231=0,"",'kWh_Streetlight Data'!E231)</f>
        <v/>
      </c>
      <c r="E58" s="114" t="str">
        <f>IF('kWh_Streetlight Data'!F231=0,"",'kWh_Streetlight Data'!F231)</f>
        <v/>
      </c>
      <c r="F58" s="114" t="str">
        <f>IF('kWh_Streetlight Data'!G231=0,"",'kWh_Streetlight Data'!G231)</f>
        <v/>
      </c>
      <c r="G58" s="114" t="str">
        <f>IF('kWh_Streetlight Data'!H231=0,"",'kWh_Streetlight Data'!H231)</f>
        <v/>
      </c>
      <c r="H58" s="114" t="str">
        <f>IF('kWh_Streetlight Data'!I231=0,"",'kWh_Streetlight Data'!I231)</f>
        <v/>
      </c>
      <c r="I58" s="114" t="str">
        <f>IF('kWh_Streetlight Data'!J231=0,"",'kWh_Streetlight Data'!J231)</f>
        <v/>
      </c>
      <c r="J58" s="114" t="str">
        <f>IF('kWh_Streetlight Data'!K231=0,"",'kWh_Streetlight Data'!K231)</f>
        <v/>
      </c>
      <c r="K58" s="114" t="str">
        <f>IF('kWh_Streetlight Data'!L231=0,"",'kWh_Streetlight Data'!L231)</f>
        <v/>
      </c>
      <c r="L58" s="114" t="str">
        <f>IF('kWh_Streetlight Data'!M231=0,"",'kWh_Streetlight Data'!M231)</f>
        <v/>
      </c>
      <c r="M58" s="114" t="str">
        <f>IF('kWh_Streetlight Data'!N231=0,"",'kWh_Streetlight Data'!N231)</f>
        <v/>
      </c>
      <c r="N58" s="459" t="str">
        <f>IF('kWh_Streetlight Data'!O231=0,"",'kWh_Streetlight Data'!O231)</f>
        <v/>
      </c>
      <c r="O58" s="113" t="str">
        <f>IF('kWh_Streetlight Data'!P231=0,"",'kWh_Streetlight Data'!P231)</f>
        <v/>
      </c>
      <c r="P58" s="114" t="str">
        <f>IF('kWh_Streetlight Data'!Q231=0,"",'kWh_Streetlight Data'!Q231)</f>
        <v/>
      </c>
      <c r="Q58" s="114" t="str">
        <f>IF('kWh_Streetlight Data'!R231=0,"",'kWh_Streetlight Data'!R231)</f>
        <v/>
      </c>
      <c r="R58" s="114" t="str">
        <f>IF('kWh_Streetlight Data'!S231=0,"",'kWh_Streetlight Data'!S231)</f>
        <v/>
      </c>
      <c r="S58" s="114" t="str">
        <f>IF('kWh_Streetlight Data'!T231=0,"",'kWh_Streetlight Data'!T231)</f>
        <v/>
      </c>
      <c r="T58" s="114" t="str">
        <f>IF('kWh_Streetlight Data'!U231=0,"",'kWh_Streetlight Data'!U231)</f>
        <v/>
      </c>
      <c r="U58" s="114" t="str">
        <f>IF('kWh_Streetlight Data'!V231=0,"",'kWh_Streetlight Data'!V231)</f>
        <v/>
      </c>
      <c r="V58" s="114" t="str">
        <f>IF('kWh_Streetlight Data'!W231=0,"",'kWh_Streetlight Data'!W231)</f>
        <v/>
      </c>
      <c r="W58" s="114" t="str">
        <f>IF('kWh_Streetlight Data'!X231=0,"",'kWh_Streetlight Data'!X231)</f>
        <v/>
      </c>
      <c r="X58" s="114" t="str">
        <f>IF('kWh_Streetlight Data'!Y231=0,"",'kWh_Streetlight Data'!Y231)</f>
        <v/>
      </c>
      <c r="Y58" s="114" t="str">
        <f>IF('kWh_Streetlight Data'!Z231=0,"",'kWh_Streetlight Data'!Z231)</f>
        <v/>
      </c>
      <c r="Z58" s="114" t="str">
        <f>IF('kWh_Streetlight Data'!AA231=0,"",'kWh_Streetlight Data'!AA231)</f>
        <v/>
      </c>
      <c r="AA58" s="459" t="str">
        <f>IF('kWh_Streetlight Data'!AB231=0,"",'kWh_Streetlight Data'!AB231)</f>
        <v/>
      </c>
      <c r="AB58" s="240" t="str">
        <f>IF('kWh_Streetlight Data'!AC231=0,"",'kWh_Streetlight Data'!AC231)</f>
        <v/>
      </c>
      <c r="AC58" s="117" t="str">
        <f>IF('kWh_Streetlight Data'!AD231=0,"",'kWh_Streetlight Data'!AD231)</f>
        <v/>
      </c>
      <c r="AD58" s="117" t="str">
        <f>IF('kWh_Streetlight Data'!AE231=0,"",'kWh_Streetlight Data'!AE231)</f>
        <v/>
      </c>
      <c r="AE58" s="117" t="str">
        <f>IF('kWh_Streetlight Data'!AF231=0,"",'kWh_Streetlight Data'!AF231)</f>
        <v/>
      </c>
      <c r="AF58" s="117" t="str">
        <f>IF('kWh_Streetlight Data'!AG231=0,"",'kWh_Streetlight Data'!AG231)</f>
        <v/>
      </c>
      <c r="AG58" s="117" t="str">
        <f>IF('kWh_Streetlight Data'!AH231=0,"",'kWh_Streetlight Data'!AH231)</f>
        <v/>
      </c>
      <c r="AH58" s="117" t="str">
        <f>IF('kWh_Streetlight Data'!AI231=0,"",'kWh_Streetlight Data'!AI231)</f>
        <v/>
      </c>
      <c r="AI58" s="117" t="str">
        <f>IF('kWh_Streetlight Data'!AJ231=0,"",'kWh_Streetlight Data'!AJ231)</f>
        <v/>
      </c>
      <c r="AJ58" s="117" t="str">
        <f>IF('kWh_Streetlight Data'!AK231=0,"",'kWh_Streetlight Data'!AK231)</f>
        <v/>
      </c>
      <c r="AK58" s="117" t="str">
        <f>IF('kWh_Streetlight Data'!AL231=0,"",'kWh_Streetlight Data'!AL231)</f>
        <v/>
      </c>
      <c r="AL58" s="117" t="str">
        <f>IF('kWh_Streetlight Data'!AM231=0,"",'kWh_Streetlight Data'!AM231)</f>
        <v/>
      </c>
      <c r="AM58" s="117" t="str">
        <f>IF('kWh_Streetlight Data'!AN231=0,"",'kWh_Streetlight Data'!AN231)</f>
        <v/>
      </c>
      <c r="AN58" s="464" t="str">
        <f>IF('kWh_Streetlight Data'!AO231=0,"",'kWh_Streetlight Data'!AO231)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ref="BF58:BM58" si="38">BE58</f>
        <v>0</v>
      </c>
      <c r="BG58" s="160">
        <f t="shared" si="38"/>
        <v>0</v>
      </c>
      <c r="BH58" s="160">
        <f t="shared" si="38"/>
        <v>0</v>
      </c>
      <c r="BI58" s="160">
        <f t="shared" si="38"/>
        <v>0</v>
      </c>
      <c r="BJ58" s="160">
        <f t="shared" si="38"/>
        <v>0</v>
      </c>
      <c r="BK58" s="160">
        <f t="shared" si="38"/>
        <v>0</v>
      </c>
      <c r="BL58" s="160">
        <f t="shared" si="38"/>
        <v>0</v>
      </c>
      <c r="BM58" s="160">
        <f t="shared" si="38"/>
        <v>0</v>
      </c>
      <c r="BN58" s="213">
        <f>SUM(BB58:BM58)</f>
        <v>0</v>
      </c>
      <c r="BO58" s="175">
        <f t="shared" ref="BO58" si="39">BN58</f>
        <v>0</v>
      </c>
    </row>
    <row r="59" spans="1:7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7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7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7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7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7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7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7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7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7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77" ht="15.75" customHeight="1" thickTop="1">
      <c r="A69" s="374" t="s">
        <v>54</v>
      </c>
      <c r="B69" s="129" t="str">
        <f>IF('kWh_Streetlight Data'!C22=0,"",'kWh_Streetlight Data'!C22)</f>
        <v/>
      </c>
      <c r="C69" s="130" t="str">
        <f>IF('kWh_Streetlight Data'!D22=0,"",'kWh_Streetlight Data'!D22)</f>
        <v/>
      </c>
      <c r="D69" s="130" t="str">
        <f>IF('kWh_Streetlight Data'!E22=0,"",'kWh_Streetlight Data'!E22)</f>
        <v/>
      </c>
      <c r="E69" s="130" t="str">
        <f>IF('kWh_Streetlight Data'!F22=0,"",'kWh_Streetlight Data'!F22)</f>
        <v/>
      </c>
      <c r="F69" s="130" t="str">
        <f>IF('kWh_Streetlight Data'!G22=0,"",'kWh_Streetlight Data'!G22)</f>
        <v/>
      </c>
      <c r="G69" s="130" t="str">
        <f>IF('kWh_Streetlight Data'!H22=0,"",'kWh_Streetlight Data'!H22)</f>
        <v/>
      </c>
      <c r="H69" s="130" t="str">
        <f>IF('kWh_Streetlight Data'!I22=0,"",'kWh_Streetlight Data'!I22)</f>
        <v/>
      </c>
      <c r="I69" s="130" t="str">
        <f>IF('kWh_Streetlight Data'!J22=0,"",'kWh_Streetlight Data'!J22)</f>
        <v/>
      </c>
      <c r="J69" s="130" t="str">
        <f>IF('kWh_Streetlight Data'!K22=0,"",'kWh_Streetlight Data'!K22)</f>
        <v/>
      </c>
      <c r="K69" s="130" t="str">
        <f>IF('kWh_Streetlight Data'!L22=0,"",'kWh_Streetlight Data'!L22)</f>
        <v/>
      </c>
      <c r="L69" s="130" t="str">
        <f>IF('kWh_Streetlight Data'!M22=0,"",'kWh_Streetlight Data'!M22)</f>
        <v/>
      </c>
      <c r="M69" s="130" t="str">
        <f>IF('kWh_Streetlight Data'!N22=0,"",'kWh_Streetlight Data'!N22)</f>
        <v/>
      </c>
      <c r="N69" s="424" t="str">
        <f>IF('kWh_Streetlight Data'!O22=0,"",'kWh_Streetlight Data'!O22)</f>
        <v/>
      </c>
      <c r="O69" s="84" t="str">
        <f>IF('kWh_Streetlight Data'!P22=0,"",'kWh_Streetlight Data'!P22)</f>
        <v/>
      </c>
      <c r="P69" s="108" t="str">
        <f>IF('kWh_Streetlight Data'!Q22=0,"",'kWh_Streetlight Data'!Q22)</f>
        <v/>
      </c>
      <c r="Q69" s="108" t="str">
        <f>IF('kWh_Streetlight Data'!R22=0,"",'kWh_Streetlight Data'!R22)</f>
        <v/>
      </c>
      <c r="R69" s="108" t="str">
        <f>IF('kWh_Streetlight Data'!S22=0,"",'kWh_Streetlight Data'!S22)</f>
        <v/>
      </c>
      <c r="S69" s="108" t="str">
        <f>IF('kWh_Streetlight Data'!T22=0,"",'kWh_Streetlight Data'!T22)</f>
        <v/>
      </c>
      <c r="T69" s="108" t="str">
        <f>IF('kWh_Streetlight Data'!U22=0,"",'kWh_Streetlight Data'!U22)</f>
        <v/>
      </c>
      <c r="U69" s="108" t="str">
        <f>IF('kWh_Streetlight Data'!V22=0,"",'kWh_Streetlight Data'!V22)</f>
        <v/>
      </c>
      <c r="V69" s="108" t="str">
        <f>IF('kWh_Streetlight Data'!W22=0,"",'kWh_Streetlight Data'!W22)</f>
        <v/>
      </c>
      <c r="W69" s="108" t="str">
        <f>IF('kWh_Streetlight Data'!X22=0,"",'kWh_Streetlight Data'!X22)</f>
        <v/>
      </c>
      <c r="X69" s="108" t="str">
        <f>IF('kWh_Streetlight Data'!Y22=0,"",'kWh_Streetlight Data'!Y22)</f>
        <v/>
      </c>
      <c r="Y69" s="108" t="str">
        <f>IF('kWh_Streetlight Data'!Z22=0,"",'kWh_Streetlight Data'!Z22)</f>
        <v/>
      </c>
      <c r="Z69" s="108" t="str">
        <f>IF('kWh_Streetlight Data'!AA22=0,"",'kWh_Streetlight Data'!AA22)</f>
        <v/>
      </c>
      <c r="AA69" s="424" t="str">
        <f>IF('kWh_Streetlight Data'!AB22=0,"",'kWh_Streetlight Data'!AB22)</f>
        <v/>
      </c>
      <c r="AB69" s="84" t="str">
        <f>IF('kWh_Streetlight Data'!AC22=0,"",'kWh_Streetlight Data'!AC22)</f>
        <v/>
      </c>
      <c r="AC69" s="108" t="str">
        <f>IF('kWh_Streetlight Data'!AD22=0,"",'kWh_Streetlight Data'!AD22)</f>
        <v/>
      </c>
      <c r="AD69" s="108" t="str">
        <f>IF('kWh_Streetlight Data'!AE22=0,"",'kWh_Streetlight Data'!AE22)</f>
        <v/>
      </c>
      <c r="AE69" s="108" t="str">
        <f>IF('kWh_Streetlight Data'!AF22=0,"",'kWh_Streetlight Data'!AF22)</f>
        <v/>
      </c>
      <c r="AF69" s="108" t="str">
        <f>IF('kWh_Streetlight Data'!AG22=0,"",'kWh_Streetlight Data'!AG22)</f>
        <v/>
      </c>
      <c r="AG69" s="108" t="str">
        <f>IF('kWh_Streetlight Data'!AH22=0,"",'kWh_Streetlight Data'!AH22)</f>
        <v/>
      </c>
      <c r="AH69" s="130" t="str">
        <f>IF('kWh_Streetlight Data'!AI22=0,"",'kWh_Streetlight Data'!AI22)</f>
        <v/>
      </c>
      <c r="AI69" s="130" t="str">
        <f>IF('kWh_Streetlight Data'!AJ22=0,"",'kWh_Streetlight Data'!AJ22)</f>
        <v/>
      </c>
      <c r="AJ69" s="130" t="str">
        <f>IF('kWh_Streetlight Data'!AK22=0,"",'kWh_Streetlight Data'!AK22)</f>
        <v/>
      </c>
      <c r="AK69" s="130" t="str">
        <f>IF('kWh_Streetlight Data'!AL22=0,"",'kWh_Streetlight Data'!AL22)</f>
        <v/>
      </c>
      <c r="AL69" s="130" t="str">
        <f>IF('kWh_Streetlight Data'!AM22=0,"",'kWh_Streetlight Data'!AM22)</f>
        <v/>
      </c>
      <c r="AM69" s="130" t="str">
        <f>IF('kWh_Streetlight Data'!AN22=0,"",'kWh_Streetlight Data'!AN22)</f>
        <v/>
      </c>
      <c r="AN69" s="424" t="str">
        <f>IF('kWh_Streetlight Data'!AO22=0,"",'kWh_Streetlight Data'!AO22)</f>
        <v/>
      </c>
      <c r="AO69" s="43"/>
      <c r="AP69" s="40"/>
      <c r="AQ69" s="40"/>
      <c r="AR69" s="40"/>
      <c r="AS69" s="40"/>
      <c r="AT69" s="9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7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7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7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7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7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7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Customers!D76</f>
        <v>8</v>
      </c>
      <c r="AV75" s="38">
        <f>Customers!E76</f>
        <v>8</v>
      </c>
      <c r="AW75" s="38">
        <f>Customers!F76</f>
        <v>8</v>
      </c>
      <c r="AX75" s="38">
        <f>Customers!G76</f>
        <v>8</v>
      </c>
      <c r="AY75" s="38">
        <f>Customers!H76</f>
        <v>8</v>
      </c>
      <c r="AZ75" s="38">
        <f>Customers!I76</f>
        <v>8</v>
      </c>
      <c r="BA75" s="210">
        <f>AZ75</f>
        <v>8</v>
      </c>
      <c r="BB75" s="124">
        <v>8</v>
      </c>
      <c r="BC75" s="38">
        <v>8</v>
      </c>
      <c r="BD75" s="38">
        <v>8</v>
      </c>
      <c r="BE75" s="38">
        <v>8</v>
      </c>
      <c r="BF75" s="38">
        <f t="shared" ref="BF75:BJ75" si="40">BE75</f>
        <v>8</v>
      </c>
      <c r="BG75" s="38">
        <f t="shared" si="40"/>
        <v>8</v>
      </c>
      <c r="BH75" s="38">
        <f t="shared" si="40"/>
        <v>8</v>
      </c>
      <c r="BI75" s="38">
        <f t="shared" si="40"/>
        <v>8</v>
      </c>
      <c r="BJ75" s="38">
        <f t="shared" si="40"/>
        <v>8</v>
      </c>
      <c r="BK75" s="38">
        <f t="shared" ref="BK75" si="41">BJ75</f>
        <v>8</v>
      </c>
      <c r="BL75" s="38">
        <f t="shared" ref="BL75" si="42">BK75</f>
        <v>8</v>
      </c>
      <c r="BM75" s="38">
        <f t="shared" ref="BM75" si="43">BL75</f>
        <v>8</v>
      </c>
      <c r="BN75" s="210">
        <f>IFERROR(ROUND(AVERAGE(BB75:BM75),0),0)</f>
        <v>8</v>
      </c>
      <c r="BO75" s="143"/>
    </row>
    <row r="76" spans="1:7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87"/>
      <c r="AP76" s="87"/>
      <c r="AQ76" s="87"/>
      <c r="AR76" s="87"/>
      <c r="AS76" s="87"/>
      <c r="AT76" s="38"/>
      <c r="AU76" s="38">
        <f t="shared" ref="AU76:AZ76" si="44">IF(AU78&gt;(AU75*250),AU75*250,AU78)</f>
        <v>2000</v>
      </c>
      <c r="AV76" s="38">
        <f t="shared" si="44"/>
        <v>2000</v>
      </c>
      <c r="AW76" s="38">
        <f t="shared" si="44"/>
        <v>2000</v>
      </c>
      <c r="AX76" s="38">
        <f t="shared" si="44"/>
        <v>2000</v>
      </c>
      <c r="AY76" s="38">
        <f t="shared" si="44"/>
        <v>2000</v>
      </c>
      <c r="AZ76" s="38">
        <f t="shared" si="44"/>
        <v>2000</v>
      </c>
      <c r="BA76" s="210">
        <f>SUM(AO76:AZ76)</f>
        <v>12000</v>
      </c>
      <c r="BB76" s="38">
        <v>2000</v>
      </c>
      <c r="BC76" s="38">
        <v>2000</v>
      </c>
      <c r="BD76" s="38">
        <v>2000</v>
      </c>
      <c r="BE76" s="38">
        <v>2000</v>
      </c>
      <c r="BF76" s="38">
        <f t="shared" ref="BF76:BJ76" si="45">IF(BF78&gt;(BF75*250),BF75*250,BF78)</f>
        <v>2000</v>
      </c>
      <c r="BG76" s="38">
        <f t="shared" si="45"/>
        <v>2000</v>
      </c>
      <c r="BH76" s="38">
        <f t="shared" si="45"/>
        <v>2000</v>
      </c>
      <c r="BI76" s="38">
        <f t="shared" si="45"/>
        <v>2000</v>
      </c>
      <c r="BJ76" s="38">
        <f t="shared" si="45"/>
        <v>2000</v>
      </c>
      <c r="BK76" s="38">
        <f t="shared" ref="BK76:BM76" si="46">IF(BK78&gt;(BK75*250),BK75*250,BK78)</f>
        <v>2000</v>
      </c>
      <c r="BL76" s="38">
        <f t="shared" si="46"/>
        <v>2000</v>
      </c>
      <c r="BM76" s="38">
        <f t="shared" si="46"/>
        <v>2000</v>
      </c>
      <c r="BN76" s="210">
        <f>SUM(BB76:BM76)</f>
        <v>24000</v>
      </c>
      <c r="BO76" s="143">
        <f>IF(BO78&gt;(BM75*250),BM75*250,BO78)</f>
        <v>2000</v>
      </c>
    </row>
    <row r="77" spans="1:7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47">ROUND(AU78-AU76,0)</f>
        <v>1814</v>
      </c>
      <c r="AV77" s="38">
        <f t="shared" si="47"/>
        <v>1620</v>
      </c>
      <c r="AW77" s="38">
        <f t="shared" si="47"/>
        <v>781</v>
      </c>
      <c r="AX77" s="38">
        <f t="shared" si="47"/>
        <v>1991</v>
      </c>
      <c r="AY77" s="38">
        <f t="shared" si="47"/>
        <v>2215</v>
      </c>
      <c r="AZ77" s="38">
        <f t="shared" si="47"/>
        <v>5472</v>
      </c>
      <c r="BA77" s="210">
        <f>SUM(AO77:AZ77)</f>
        <v>13893</v>
      </c>
      <c r="BB77" s="38">
        <v>2490</v>
      </c>
      <c r="BC77" s="38">
        <v>1943</v>
      </c>
      <c r="BD77" s="38">
        <v>2199</v>
      </c>
      <c r="BE77" s="38">
        <v>3236</v>
      </c>
      <c r="BF77" s="38">
        <f t="shared" ref="BF77:BJ77" si="48">ROUND(BF78-BF76,0)</f>
        <v>2510</v>
      </c>
      <c r="BG77" s="38">
        <f t="shared" si="48"/>
        <v>2302</v>
      </c>
      <c r="BH77" s="38">
        <f t="shared" si="48"/>
        <v>1814</v>
      </c>
      <c r="BI77" s="38">
        <f t="shared" si="48"/>
        <v>1620</v>
      </c>
      <c r="BJ77" s="38">
        <f t="shared" si="48"/>
        <v>781</v>
      </c>
      <c r="BK77" s="38">
        <f t="shared" ref="BK77:BM77" si="49">ROUND(BK78-BK76,0)</f>
        <v>1991</v>
      </c>
      <c r="BL77" s="38">
        <f t="shared" si="49"/>
        <v>2215</v>
      </c>
      <c r="BM77" s="38">
        <f t="shared" si="49"/>
        <v>5472</v>
      </c>
      <c r="BN77" s="210">
        <f>SUM(BB77:BM77)</f>
        <v>28573</v>
      </c>
      <c r="BO77" s="38">
        <f>BU92</f>
        <v>21905</v>
      </c>
    </row>
    <row r="78" spans="1:7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50">IFERROR(ROUND(AU79*AU75,0),0)</f>
        <v>3814</v>
      </c>
      <c r="AV78" s="64">
        <f t="shared" si="50"/>
        <v>3620</v>
      </c>
      <c r="AW78" s="64">
        <f t="shared" si="50"/>
        <v>2781</v>
      </c>
      <c r="AX78" s="64">
        <f t="shared" si="50"/>
        <v>3991</v>
      </c>
      <c r="AY78" s="64">
        <f t="shared" si="50"/>
        <v>4215</v>
      </c>
      <c r="AZ78" s="64">
        <f t="shared" si="50"/>
        <v>7472</v>
      </c>
      <c r="BA78" s="196">
        <f>SUM(AO78:AZ78)</f>
        <v>25893</v>
      </c>
      <c r="BB78" s="64">
        <v>4490</v>
      </c>
      <c r="BC78" s="64">
        <v>3943</v>
      </c>
      <c r="BD78" s="64">
        <v>4199</v>
      </c>
      <c r="BE78" s="64">
        <v>5236</v>
      </c>
      <c r="BF78" s="64">
        <f t="shared" ref="BF78:BJ78" si="51">IFERROR(ROUND(BF79*BF75,0),0)</f>
        <v>4510</v>
      </c>
      <c r="BG78" s="64">
        <f t="shared" si="51"/>
        <v>4302</v>
      </c>
      <c r="BH78" s="64">
        <f t="shared" si="51"/>
        <v>3814</v>
      </c>
      <c r="BI78" s="64">
        <f t="shared" si="51"/>
        <v>3620</v>
      </c>
      <c r="BJ78" s="64">
        <f t="shared" si="51"/>
        <v>2781</v>
      </c>
      <c r="BK78" s="64">
        <f t="shared" ref="BK78:BM78" si="52">IFERROR(ROUND(BK79*BK75,0),0)</f>
        <v>3991</v>
      </c>
      <c r="BL78" s="64">
        <f t="shared" si="52"/>
        <v>4215</v>
      </c>
      <c r="BM78" s="64">
        <f t="shared" si="52"/>
        <v>7472</v>
      </c>
      <c r="BN78" s="196">
        <f>SUM(BB78:BM78)</f>
        <v>52573</v>
      </c>
      <c r="BO78" s="88">
        <f>BU92</f>
        <v>21905</v>
      </c>
      <c r="BP78" s="31" t="e">
        <f>IF(#REF!&gt;250,250,0)</f>
        <v>#REF!</v>
      </c>
      <c r="BS78" s="31"/>
      <c r="BT78" s="31"/>
      <c r="BU78" s="31"/>
      <c r="BV78" s="31"/>
      <c r="BW78" s="31"/>
      <c r="BX78" s="31"/>
      <c r="BY78" s="31"/>
    </row>
    <row r="79" spans="1:77" ht="15.75" customHeight="1" thickTop="1">
      <c r="A79" s="374" t="s">
        <v>54</v>
      </c>
      <c r="B79" s="84">
        <f>IF('kWh_Streetlight Data'!C23=0,"",'kWh_Streetlight Data'!C23)</f>
        <v>545.125</v>
      </c>
      <c r="C79" s="108">
        <f>IF('kWh_Streetlight Data'!D23=0,"",'kWh_Streetlight Data'!D23)</f>
        <v>532.75</v>
      </c>
      <c r="D79" s="108">
        <f>IF('kWh_Streetlight Data'!E23=0,"",'kWh_Streetlight Data'!E23)</f>
        <v>470.75</v>
      </c>
      <c r="E79" s="108">
        <f>IF('kWh_Streetlight Data'!F23=0,"",'kWh_Streetlight Data'!F23)</f>
        <v>650.25</v>
      </c>
      <c r="F79" s="108">
        <f>IF('kWh_Streetlight Data'!G23=0,"",'kWh_Streetlight Data'!G23)</f>
        <v>397.5</v>
      </c>
      <c r="G79" s="108">
        <f>IF('kWh_Streetlight Data'!H23=0,"",'kWh_Streetlight Data'!H23)</f>
        <v>536.625</v>
      </c>
      <c r="H79" s="108">
        <f>IF('kWh_Streetlight Data'!I23=0,"",'kWh_Streetlight Data'!I23)</f>
        <v>442</v>
      </c>
      <c r="I79" s="108">
        <f>IF('kWh_Streetlight Data'!J23=0,"",'kWh_Streetlight Data'!J23)</f>
        <v>457.25</v>
      </c>
      <c r="J79" s="108">
        <f>IF('kWh_Streetlight Data'!K23=0,"",'kWh_Streetlight Data'!K23)</f>
        <v>313.125</v>
      </c>
      <c r="K79" s="108">
        <f>IF('kWh_Streetlight Data'!L23=0,"",'kWh_Streetlight Data'!L23)</f>
        <v>503.25</v>
      </c>
      <c r="L79" s="108">
        <f>IF('kWh_Streetlight Data'!M23=0,"",'kWh_Streetlight Data'!M23)</f>
        <v>459.375</v>
      </c>
      <c r="M79" s="108">
        <f>IF('kWh_Streetlight Data'!N23=0,"",'kWh_Streetlight Data'!N23)</f>
        <v>506.625</v>
      </c>
      <c r="N79" s="424">
        <f>IF('kWh_Streetlight Data'!O23=0,"",'kWh_Streetlight Data'!O23)</f>
        <v>484.55208333333331</v>
      </c>
      <c r="O79" s="84">
        <f>IF('kWh_Streetlight Data'!P23=0,"",'kWh_Streetlight Data'!P23)</f>
        <v>494.375</v>
      </c>
      <c r="P79" s="108">
        <f>IF('kWh_Streetlight Data'!Q23=0,"",'kWh_Streetlight Data'!Q23)</f>
        <v>327.5</v>
      </c>
      <c r="Q79" s="108">
        <f>IF('kWh_Streetlight Data'!R23=0,"",'kWh_Streetlight Data'!R23)</f>
        <v>673.125</v>
      </c>
      <c r="R79" s="108">
        <f>IF('kWh_Streetlight Data'!S23=0,"",'kWh_Streetlight Data'!S23)</f>
        <v>401.125</v>
      </c>
      <c r="S79" s="108">
        <f>IF('kWh_Streetlight Data'!T23=0,"",'kWh_Streetlight Data'!T23)</f>
        <v>565.125</v>
      </c>
      <c r="T79" s="108">
        <f>IF('kWh_Streetlight Data'!U23=0,"",'kWh_Streetlight Data'!U23)</f>
        <v>398.25</v>
      </c>
      <c r="U79" s="108">
        <f>IF('kWh_Streetlight Data'!V23=0,"",'kWh_Streetlight Data'!V23)</f>
        <v>464.125</v>
      </c>
      <c r="V79" s="108">
        <f>IF('kWh_Streetlight Data'!W23=0,"",'kWh_Streetlight Data'!W23)</f>
        <v>452.375</v>
      </c>
      <c r="W79" s="108">
        <f>IF('kWh_Streetlight Data'!X23=0,"",'kWh_Streetlight Data'!X23)</f>
        <v>378.25</v>
      </c>
      <c r="X79" s="108">
        <f>IF('kWh_Streetlight Data'!Y23=0,"",'kWh_Streetlight Data'!Y23)</f>
        <v>413.5</v>
      </c>
      <c r="Y79" s="108">
        <f>IF('kWh_Streetlight Data'!Z23=0,"",'kWh_Streetlight Data'!Z23)</f>
        <v>554</v>
      </c>
      <c r="Z79" s="108">
        <f>IF('kWh_Streetlight Data'!AA23=0,"",'kWh_Streetlight Data'!AA23)</f>
        <v>880.5</v>
      </c>
      <c r="AA79" s="424">
        <f>IF('kWh_Streetlight Data'!AB23=0,"",'kWh_Streetlight Data'!AB23)</f>
        <v>500.1875</v>
      </c>
      <c r="AB79" s="129">
        <f>IF('kWh_Streetlight Data'!AC23=0,"",'kWh_Streetlight Data'!AC23)</f>
        <v>644.375</v>
      </c>
      <c r="AC79" s="130">
        <f>IF('kWh_Streetlight Data'!AD23=0,"",'kWh_Streetlight Data'!AD23)</f>
        <v>618.25</v>
      </c>
      <c r="AD79" s="130">
        <f>IF('kWh_Streetlight Data'!AE23=0,"",'kWh_Streetlight Data'!AE23)</f>
        <v>430.875</v>
      </c>
      <c r="AE79" s="130">
        <f>IF('kWh_Streetlight Data'!AF23=0,"",'kWh_Streetlight Data'!AF23)</f>
        <v>912</v>
      </c>
      <c r="AF79" s="130">
        <f>IF('kWh_Streetlight Data'!AG23=0,"",'kWh_Streetlight Data'!AG23)</f>
        <v>728.5</v>
      </c>
      <c r="AG79" s="130">
        <f>IF('kWh_Streetlight Data'!AH23=0,"",'kWh_Streetlight Data'!AH23)</f>
        <v>678.375</v>
      </c>
      <c r="AH79" s="108">
        <f>IF('kWh_Streetlight Data'!AI23=0,"",'kWh_Streetlight Data'!AI23)</f>
        <v>524.25</v>
      </c>
      <c r="AI79" s="108">
        <f>IF('kWh_Streetlight Data'!AJ23=0,"",'kWh_Streetlight Data'!AJ23)</f>
        <v>448</v>
      </c>
      <c r="AJ79" s="108">
        <f>IF('kWh_Streetlight Data'!AK23=0,"",'kWh_Streetlight Data'!AK23)</f>
        <v>351.5</v>
      </c>
      <c r="AK79" s="108">
        <f>IF('kWh_Streetlight Data'!AL23=0,"",'kWh_Streetlight Data'!AL23)</f>
        <v>579.75</v>
      </c>
      <c r="AL79" s="108">
        <f>IF('kWh_Streetlight Data'!AM23=0,"",'kWh_Streetlight Data'!AM23)</f>
        <v>567.25</v>
      </c>
      <c r="AM79" s="108">
        <f>IF('kWh_Streetlight Data'!AN23=0,"",'kWh_Streetlight Data'!AN23)</f>
        <v>1415</v>
      </c>
      <c r="AN79" s="426">
        <f>IF('kWh_Streetlight Data'!AO23=0,"",'kWh_Streetlight Data'!AO23)</f>
        <v>658.17708333333337</v>
      </c>
      <c r="AO79" s="34"/>
      <c r="AP79" s="35"/>
      <c r="AQ79" s="35"/>
      <c r="AR79" s="35"/>
      <c r="AS79" s="35"/>
      <c r="AT79" s="17"/>
      <c r="AU79" s="17">
        <f t="shared" ref="AU79:AZ79" si="53">IFERROR(AVERAGE(AH79,U79,H79),0)</f>
        <v>476.79166666666669</v>
      </c>
      <c r="AV79" s="17">
        <f t="shared" si="53"/>
        <v>452.54166666666669</v>
      </c>
      <c r="AW79" s="17">
        <f t="shared" si="53"/>
        <v>347.625</v>
      </c>
      <c r="AX79" s="17">
        <f t="shared" si="53"/>
        <v>498.83333333333331</v>
      </c>
      <c r="AY79" s="17">
        <f t="shared" si="53"/>
        <v>526.875</v>
      </c>
      <c r="AZ79" s="17">
        <f t="shared" si="53"/>
        <v>934.04166666666663</v>
      </c>
      <c r="BA79" s="211"/>
      <c r="BB79" s="9">
        <v>561.29166666666663</v>
      </c>
      <c r="BC79" s="17">
        <v>492.83333333333331</v>
      </c>
      <c r="BD79" s="17">
        <v>524.91666666666663</v>
      </c>
      <c r="BE79" s="17">
        <v>654.45833333333337</v>
      </c>
      <c r="BF79" s="17">
        <f t="shared" ref="BF79:BJ79" si="54">IFERROR(AVERAGE(F79,S79,AF79),0)</f>
        <v>563.70833333333337</v>
      </c>
      <c r="BG79" s="17">
        <f t="shared" si="54"/>
        <v>537.75</v>
      </c>
      <c r="BH79" s="17">
        <f t="shared" si="54"/>
        <v>476.79166666666669</v>
      </c>
      <c r="BI79" s="17">
        <f t="shared" si="54"/>
        <v>452.54166666666669</v>
      </c>
      <c r="BJ79" s="17">
        <f t="shared" si="54"/>
        <v>347.625</v>
      </c>
      <c r="BK79" s="17">
        <f t="shared" ref="BK79" si="55">IFERROR(AVERAGE(K79,X79,AK79),0)</f>
        <v>498.83333333333331</v>
      </c>
      <c r="BL79" s="17">
        <f t="shared" ref="BL79" si="56">IFERROR(AVERAGE(L79,Y79,AL79),0)</f>
        <v>526.875</v>
      </c>
      <c r="BM79" s="17">
        <f t="shared" ref="BM79" si="57">IFERROR(AVERAGE(M79,Z79,AM79),0)</f>
        <v>934.04166666666663</v>
      </c>
      <c r="BN79" s="211">
        <f>IFERROR(BN78/BN75,0)</f>
        <v>6571.625</v>
      </c>
      <c r="BO79" s="20"/>
    </row>
    <row r="80" spans="1:7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5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5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5" ht="15.75" customHeight="1" thickTop="1">
      <c r="A83" s="374" t="s">
        <v>54</v>
      </c>
      <c r="B83" s="84" t="str">
        <f>IF('kWh_Streetlight Data'!C24=0,"",'kWh_Streetlight Data'!C24)</f>
        <v/>
      </c>
      <c r="C83" s="108" t="str">
        <f>IF('kWh_Streetlight Data'!D24=0,"",'kWh_Streetlight Data'!D24)</f>
        <v/>
      </c>
      <c r="D83" s="108" t="str">
        <f>IF('kWh_Streetlight Data'!E24=0,"",'kWh_Streetlight Data'!E24)</f>
        <v/>
      </c>
      <c r="E83" s="108" t="str">
        <f>IF('kWh_Streetlight Data'!F24=0,"",'kWh_Streetlight Data'!F24)</f>
        <v/>
      </c>
      <c r="F83" s="108" t="str">
        <f>IF('kWh_Streetlight Data'!G24=0,"",'kWh_Streetlight Data'!G24)</f>
        <v/>
      </c>
      <c r="G83" s="108" t="str">
        <f>IF('kWh_Streetlight Data'!H24=0,"",'kWh_Streetlight Data'!H24)</f>
        <v/>
      </c>
      <c r="H83" s="108" t="str">
        <f>IF('kWh_Streetlight Data'!I24=0,"",'kWh_Streetlight Data'!I24)</f>
        <v/>
      </c>
      <c r="I83" s="108" t="str">
        <f>IF('kWh_Streetlight Data'!J24=0,"",'kWh_Streetlight Data'!J24)</f>
        <v/>
      </c>
      <c r="J83" s="108" t="str">
        <f>IF('kWh_Streetlight Data'!K24=0,"",'kWh_Streetlight Data'!K24)</f>
        <v/>
      </c>
      <c r="K83" s="108" t="str">
        <f>IF('kWh_Streetlight Data'!L24=0,"",'kWh_Streetlight Data'!L24)</f>
        <v/>
      </c>
      <c r="L83" s="108" t="str">
        <f>IF('kWh_Streetlight Data'!M24=0,"",'kWh_Streetlight Data'!M24)</f>
        <v/>
      </c>
      <c r="M83" s="108" t="str">
        <f>IF('kWh_Streetlight Data'!N24=0,"",'kWh_Streetlight Data'!N24)</f>
        <v/>
      </c>
      <c r="N83" s="424" t="str">
        <f>IF('kWh_Streetlight Data'!O24=0,"",'kWh_Streetlight Data'!O24)</f>
        <v/>
      </c>
      <c r="O83" s="84" t="str">
        <f>IF('kWh_Streetlight Data'!P24=0,"",'kWh_Streetlight Data'!P24)</f>
        <v/>
      </c>
      <c r="P83" s="108" t="str">
        <f>IF('kWh_Streetlight Data'!Q24=0,"",'kWh_Streetlight Data'!Q24)</f>
        <v/>
      </c>
      <c r="Q83" s="108" t="str">
        <f>IF('kWh_Streetlight Data'!R24=0,"",'kWh_Streetlight Data'!R24)</f>
        <v/>
      </c>
      <c r="R83" s="108" t="str">
        <f>IF('kWh_Streetlight Data'!S24=0,"",'kWh_Streetlight Data'!S24)</f>
        <v/>
      </c>
      <c r="S83" s="108" t="str">
        <f>IF('kWh_Streetlight Data'!T24=0,"",'kWh_Streetlight Data'!T24)</f>
        <v/>
      </c>
      <c r="T83" s="108" t="str">
        <f>IF('kWh_Streetlight Data'!U24=0,"",'kWh_Streetlight Data'!U24)</f>
        <v/>
      </c>
      <c r="U83" s="108" t="str">
        <f>IF('kWh_Streetlight Data'!V24=0,"",'kWh_Streetlight Data'!V24)</f>
        <v/>
      </c>
      <c r="V83" s="108" t="str">
        <f>IF('kWh_Streetlight Data'!W24=0,"",'kWh_Streetlight Data'!W24)</f>
        <v/>
      </c>
      <c r="W83" s="108" t="str">
        <f>IF('kWh_Streetlight Data'!X24=0,"",'kWh_Streetlight Data'!X24)</f>
        <v/>
      </c>
      <c r="X83" s="108" t="str">
        <f>IF('kWh_Streetlight Data'!Y24=0,"",'kWh_Streetlight Data'!Y24)</f>
        <v/>
      </c>
      <c r="Y83" s="108" t="str">
        <f>IF('kWh_Streetlight Data'!Z24=0,"",'kWh_Streetlight Data'!Z24)</f>
        <v/>
      </c>
      <c r="Z83" s="108" t="str">
        <f>IF('kWh_Streetlight Data'!AA24=0,"",'kWh_Streetlight Data'!AA24)</f>
        <v/>
      </c>
      <c r="AA83" s="424" t="str">
        <f>IF('kWh_Streetlight Data'!AB24=0,"",'kWh_Streetlight Data'!AB24)</f>
        <v/>
      </c>
      <c r="AB83" s="442" t="str">
        <f>IF('kWh_Streetlight Data'!AC24=0,"",'kWh_Streetlight Data'!AC24)</f>
        <v/>
      </c>
      <c r="AC83" s="443" t="str">
        <f>IF('kWh_Streetlight Data'!AD24=0,"",'kWh_Streetlight Data'!AD24)</f>
        <v/>
      </c>
      <c r="AD83" s="443" t="str">
        <f>IF('kWh_Streetlight Data'!AE24=0,"",'kWh_Streetlight Data'!AE24)</f>
        <v/>
      </c>
      <c r="AE83" s="443" t="str">
        <f>IF('kWh_Streetlight Data'!AF24=0,"",'kWh_Streetlight Data'!AF24)</f>
        <v/>
      </c>
      <c r="AF83" s="443" t="str">
        <f>IF('kWh_Streetlight Data'!AG24=0,"",'kWh_Streetlight Data'!AG24)</f>
        <v/>
      </c>
      <c r="AG83" s="443" t="str">
        <f>IF('kWh_Streetlight Data'!AH24=0,"",'kWh_Streetlight Data'!AH24)</f>
        <v/>
      </c>
      <c r="AH83" s="108" t="str">
        <f>IF('kWh_Streetlight Data'!AI24=0,"",'kWh_Streetlight Data'!AI24)</f>
        <v/>
      </c>
      <c r="AI83" s="108" t="str">
        <f>IF('kWh_Streetlight Data'!AJ24=0,"",'kWh_Streetlight Data'!AJ24)</f>
        <v/>
      </c>
      <c r="AJ83" s="108" t="str">
        <f>IF('kWh_Streetlight Data'!AK24=0,"",'kWh_Streetlight Data'!AK24)</f>
        <v/>
      </c>
      <c r="AK83" s="108" t="str">
        <f>IF('kWh_Streetlight Data'!AL24=0,"",'kWh_Streetlight Data'!AL24)</f>
        <v/>
      </c>
      <c r="AL83" s="108" t="str">
        <f>IF('kWh_Streetlight Data'!AM24=0,"",'kWh_Streetlight Data'!AM24)</f>
        <v/>
      </c>
      <c r="AM83" s="108" t="str">
        <f>IF('kWh_Streetlight Data'!AN24=0,"",'kWh_Streetlight Data'!AN24)</f>
        <v/>
      </c>
      <c r="AN83" s="424" t="str">
        <f>IF('kWh_Streetlight Data'!AO24=0,"",'kWh_Streetlight Data'!AO24)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5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5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5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Customers!E81</f>
        <v>15</v>
      </c>
      <c r="AV86" s="38">
        <f>Customers!F81</f>
        <v>15</v>
      </c>
      <c r="AW86" s="38">
        <f>Customers!G81</f>
        <v>15</v>
      </c>
      <c r="AX86" s="38">
        <f>Customers!H81</f>
        <v>15</v>
      </c>
      <c r="AY86" s="38">
        <f>Customers!I81</f>
        <v>15</v>
      </c>
      <c r="AZ86" s="38">
        <f>Customers!J81</f>
        <v>15</v>
      </c>
      <c r="BA86" s="210">
        <f>AZ86</f>
        <v>15</v>
      </c>
      <c r="BB86" s="124">
        <v>15</v>
      </c>
      <c r="BC86" s="38">
        <v>15</v>
      </c>
      <c r="BD86" s="38">
        <v>15</v>
      </c>
      <c r="BE86" s="38">
        <v>15</v>
      </c>
      <c r="BF86" s="38">
        <f t="shared" ref="BF86:BJ86" si="58">BE86</f>
        <v>15</v>
      </c>
      <c r="BG86" s="38">
        <f t="shared" si="58"/>
        <v>15</v>
      </c>
      <c r="BH86" s="38">
        <f t="shared" si="58"/>
        <v>15</v>
      </c>
      <c r="BI86" s="38">
        <f t="shared" si="58"/>
        <v>15</v>
      </c>
      <c r="BJ86" s="38">
        <f t="shared" si="58"/>
        <v>15</v>
      </c>
      <c r="BK86" s="38">
        <f t="shared" ref="BK86" si="59">BJ86</f>
        <v>15</v>
      </c>
      <c r="BL86" s="38">
        <f t="shared" ref="BL86" si="60">BK86</f>
        <v>15</v>
      </c>
      <c r="BM86" s="38">
        <f t="shared" ref="BM86" si="61">BL86</f>
        <v>15</v>
      </c>
      <c r="BN86" s="210">
        <f>IFERROR(ROUND(AVERAGE(BB86:BM86),0),0)</f>
        <v>15</v>
      </c>
      <c r="BO86" s="143"/>
      <c r="BT86" s="229" t="s">
        <v>225</v>
      </c>
      <c r="BU86" s="229" t="s">
        <v>226</v>
      </c>
    </row>
    <row r="87" spans="1:75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205"/>
      <c r="AO87" s="151"/>
      <c r="AP87" s="152"/>
      <c r="AQ87" s="152"/>
      <c r="AR87" s="152"/>
      <c r="AS87" s="152"/>
      <c r="AT87" s="160"/>
      <c r="AU87" s="160">
        <f t="shared" ref="AU87:AZ87" si="62">IFERROR(ROUND(AU88*AU86,0),0)</f>
        <v>34315</v>
      </c>
      <c r="AV87" s="160">
        <f t="shared" si="62"/>
        <v>41428</v>
      </c>
      <c r="AW87" s="160">
        <f t="shared" si="62"/>
        <v>62811</v>
      </c>
      <c r="AX87" s="160">
        <f t="shared" si="62"/>
        <v>43613</v>
      </c>
      <c r="AY87" s="160">
        <f t="shared" si="62"/>
        <v>35983</v>
      </c>
      <c r="AZ87" s="160">
        <f t="shared" si="62"/>
        <v>54317</v>
      </c>
      <c r="BA87" s="196">
        <f>SUM(AO87:AZ87)</f>
        <v>272467</v>
      </c>
      <c r="BB87" s="160">
        <v>66402</v>
      </c>
      <c r="BC87" s="160">
        <v>59520</v>
      </c>
      <c r="BD87" s="160">
        <v>53169</v>
      </c>
      <c r="BE87" s="160">
        <v>47644</v>
      </c>
      <c r="BF87" s="160">
        <f t="shared" ref="BF87:BJ87" si="63">IFERROR(ROUND(BF88*BF86,0),0)</f>
        <v>37449</v>
      </c>
      <c r="BG87" s="160">
        <f t="shared" si="63"/>
        <v>39437</v>
      </c>
      <c r="BH87" s="160">
        <f t="shared" si="63"/>
        <v>34315</v>
      </c>
      <c r="BI87" s="160">
        <f t="shared" si="63"/>
        <v>41428</v>
      </c>
      <c r="BJ87" s="160">
        <f t="shared" si="63"/>
        <v>62811</v>
      </c>
      <c r="BK87" s="160">
        <f t="shared" ref="BK87:BM87" si="64">IFERROR(ROUND(BK88*BK86,0),0)</f>
        <v>43613</v>
      </c>
      <c r="BL87" s="160">
        <f t="shared" si="64"/>
        <v>35983</v>
      </c>
      <c r="BM87" s="160">
        <f t="shared" si="64"/>
        <v>54317</v>
      </c>
      <c r="BN87" s="196">
        <f>SUM(BB87:BM87)</f>
        <v>576088</v>
      </c>
      <c r="BO87" s="144">
        <f>BT92</f>
        <v>240037</v>
      </c>
      <c r="BP87" s="31"/>
      <c r="BT87" s="419">
        <f>Customers!L81</f>
        <v>15</v>
      </c>
      <c r="BU87" s="419">
        <f>Customers!L80</f>
        <v>8</v>
      </c>
      <c r="BV87" s="31">
        <f>SUM(BT87:BU87)</f>
        <v>23</v>
      </c>
      <c r="BW87" s="31"/>
    </row>
    <row r="88" spans="1:75" ht="15.75" customHeight="1" thickTop="1">
      <c r="A88" s="374" t="s">
        <v>54</v>
      </c>
      <c r="B88" s="84">
        <f>IF('kWh_Streetlight Data'!C25=0,"",'kWh_Streetlight Data'!C25)</f>
        <v>3654</v>
      </c>
      <c r="C88" s="108">
        <f>IF('kWh_Streetlight Data'!D25=0,"",'kWh_Streetlight Data'!D25)</f>
        <v>4677.7857142857147</v>
      </c>
      <c r="D88" s="108">
        <f>IF('kWh_Streetlight Data'!E25=0,"",'kWh_Streetlight Data'!E25)</f>
        <v>3054.6666666666665</v>
      </c>
      <c r="E88" s="108">
        <f>IF('kWh_Streetlight Data'!F25=0,"",'kWh_Streetlight Data'!F25)</f>
        <v>4356.6428571428569</v>
      </c>
      <c r="F88" s="108">
        <f>IF('kWh_Streetlight Data'!G25=0,"",'kWh_Streetlight Data'!G25)</f>
        <v>2148.8333333333335</v>
      </c>
      <c r="G88" s="108">
        <f>IF('kWh_Streetlight Data'!H25=0,"",'kWh_Streetlight Data'!H25)</f>
        <v>2634.75</v>
      </c>
      <c r="H88" s="108">
        <f>IF('kWh_Streetlight Data'!I25=0,"",'kWh_Streetlight Data'!I25)</f>
        <v>2457</v>
      </c>
      <c r="I88" s="108">
        <f>IF('kWh_Streetlight Data'!J25=0,"",'kWh_Streetlight Data'!J25)</f>
        <v>3094.3076923076924</v>
      </c>
      <c r="J88" s="108">
        <f>IF('kWh_Streetlight Data'!K25=0,"",'kWh_Streetlight Data'!K25)</f>
        <v>4162.833333333333</v>
      </c>
      <c r="K88" s="108">
        <f>IF('kWh_Streetlight Data'!L25=0,"",'kWh_Streetlight Data'!L25)</f>
        <v>3069.5454545454545</v>
      </c>
      <c r="L88" s="108">
        <f>IF('kWh_Streetlight Data'!M25=0,"",'kWh_Streetlight Data'!M25)</f>
        <v>1070.0769230769231</v>
      </c>
      <c r="M88" s="108">
        <f>IF('kWh_Streetlight Data'!N25=0,"",'kWh_Streetlight Data'!N25)</f>
        <v>4652.9375</v>
      </c>
      <c r="N88" s="424">
        <f>IF('kWh_Streetlight Data'!O25=0,"",'kWh_Streetlight Data'!O25)</f>
        <v>3242.6628571428573</v>
      </c>
      <c r="O88" s="84">
        <f>IF('kWh_Streetlight Data'!P25=0,"",'kWh_Streetlight Data'!P25)</f>
        <v>4278.916666666667</v>
      </c>
      <c r="P88" s="108">
        <f>IF('kWh_Streetlight Data'!Q25=0,"",'kWh_Streetlight Data'!Q25)</f>
        <v>3907.5333333333333</v>
      </c>
      <c r="Q88" s="108">
        <f>IF('kWh_Streetlight Data'!R25=0,"",'kWh_Streetlight Data'!R25)</f>
        <v>4705.5714285714284</v>
      </c>
      <c r="R88" s="108">
        <f>IF('kWh_Streetlight Data'!S25=0,"",'kWh_Streetlight Data'!S25)</f>
        <v>2711.5882352941176</v>
      </c>
      <c r="S88" s="108">
        <f>IF('kWh_Streetlight Data'!T25=0,"",'kWh_Streetlight Data'!T25)</f>
        <v>2689.4117647058824</v>
      </c>
      <c r="T88" s="108">
        <f>IF('kWh_Streetlight Data'!U25=0,"",'kWh_Streetlight Data'!U25)</f>
        <v>2746.7142857142858</v>
      </c>
      <c r="U88" s="108">
        <f>IF('kWh_Streetlight Data'!V25=0,"",'kWh_Streetlight Data'!V25)</f>
        <v>3026.9230769230771</v>
      </c>
      <c r="V88" s="108">
        <f>IF('kWh_Streetlight Data'!W25=0,"",'kWh_Streetlight Data'!W25)</f>
        <v>2718.4615384615386</v>
      </c>
      <c r="W88" s="108">
        <f>IF('kWh_Streetlight Data'!X25=0,"",'kWh_Streetlight Data'!X25)</f>
        <v>2764.5</v>
      </c>
      <c r="X88" s="108">
        <f>IF('kWh_Streetlight Data'!Y25=0,"",'kWh_Streetlight Data'!Y25)</f>
        <v>2879.5384615384614</v>
      </c>
      <c r="Y88" s="108">
        <f>IF('kWh_Streetlight Data'!Z25=0,"",'kWh_Streetlight Data'!Z25)</f>
        <v>3522</v>
      </c>
      <c r="Z88" s="108">
        <f>IF('kWh_Streetlight Data'!AA25=0,"",'kWh_Streetlight Data'!AA25)</f>
        <v>3809.4375</v>
      </c>
      <c r="AA88" s="426">
        <f>IF('kWh_Streetlight Data'!AB25=0,"",'kWh_Streetlight Data'!AB25)</f>
        <v>3303.9176470588236</v>
      </c>
      <c r="AB88" s="442">
        <f>IF('kWh_Streetlight Data'!AC25=0,"",'kWh_Streetlight Data'!AC25)</f>
        <v>5347.5</v>
      </c>
      <c r="AC88" s="443">
        <f>IF('kWh_Streetlight Data'!AD25=0,"",'kWh_Streetlight Data'!AD25)</f>
        <v>3318.75</v>
      </c>
      <c r="AD88" s="443">
        <f>IF('kWh_Streetlight Data'!AE25=0,"",'kWh_Streetlight Data'!AE25)</f>
        <v>2873.5384615384614</v>
      </c>
      <c r="AE88" s="443">
        <f>IF('kWh_Streetlight Data'!AF25=0,"",'kWh_Streetlight Data'!AF25)</f>
        <v>2460.5263157894738</v>
      </c>
      <c r="AF88" s="443">
        <f>IF('kWh_Streetlight Data'!AG25=0,"",'kWh_Streetlight Data'!AG25)</f>
        <v>2651.5</v>
      </c>
      <c r="AG88" s="443">
        <f>IF('kWh_Streetlight Data'!AH25=0,"",'kWh_Streetlight Data'!AH25)</f>
        <v>2505.9444444444443</v>
      </c>
      <c r="AH88" s="108">
        <f>IF('kWh_Streetlight Data'!AI25=0,"",'kWh_Streetlight Data'!AI25)</f>
        <v>1379</v>
      </c>
      <c r="AI88" s="108">
        <f>IF('kWh_Streetlight Data'!AJ25=0,"",'kWh_Streetlight Data'!AJ25)</f>
        <v>2472.909090909091</v>
      </c>
      <c r="AJ88" s="108">
        <f>IF('kWh_Streetlight Data'!AK25=0,"",'kWh_Streetlight Data'!AK25)</f>
        <v>5634.833333333333</v>
      </c>
      <c r="AK88" s="108">
        <f>IF('kWh_Streetlight Data'!AL25=0,"",'kWh_Streetlight Data'!AL25)</f>
        <v>2773.4545454545455</v>
      </c>
      <c r="AL88" s="108">
        <f>IF('kWh_Streetlight Data'!AM25=0,"",'kWh_Streetlight Data'!AM25)</f>
        <v>2604.5</v>
      </c>
      <c r="AM88" s="108">
        <f>IF('kWh_Streetlight Data'!AN25=0,"",'kWh_Streetlight Data'!AN25)</f>
        <v>2400.9523809523807</v>
      </c>
      <c r="AN88" s="424">
        <f>IF('kWh_Streetlight Data'!AO25=0,"",'kWh_Streetlight Data'!AO25)</f>
        <v>2935.4867724867727</v>
      </c>
      <c r="AO88" s="34"/>
      <c r="AP88" s="35"/>
      <c r="AQ88" s="35"/>
      <c r="AR88" s="35"/>
      <c r="AS88" s="35"/>
      <c r="AT88" s="17"/>
      <c r="AU88" s="17">
        <f t="shared" ref="AU88:AZ88" si="65">IFERROR(AVERAGE(AH88,U88,H88),0)</f>
        <v>2287.6410256410259</v>
      </c>
      <c r="AV88" s="17">
        <f t="shared" si="65"/>
        <v>2761.8927738927741</v>
      </c>
      <c r="AW88" s="17">
        <f t="shared" si="65"/>
        <v>4187.3888888888878</v>
      </c>
      <c r="AX88" s="17">
        <f t="shared" si="65"/>
        <v>2907.5128205128203</v>
      </c>
      <c r="AY88" s="17">
        <f t="shared" si="65"/>
        <v>2398.8589743589741</v>
      </c>
      <c r="AZ88" s="17">
        <f t="shared" si="65"/>
        <v>3621.1091269841272</v>
      </c>
      <c r="BA88" s="211"/>
      <c r="BB88" s="9">
        <v>4426.8055555555557</v>
      </c>
      <c r="BC88" s="41">
        <v>3968.023015873016</v>
      </c>
      <c r="BD88" s="41">
        <v>3544.5921855921856</v>
      </c>
      <c r="BE88" s="41">
        <v>3176.2524694088156</v>
      </c>
      <c r="BF88" s="41">
        <f t="shared" ref="BF88:BJ88" si="66">IFERROR(AVERAGE(F88,S88,AF88),0)</f>
        <v>2496.5816993464055</v>
      </c>
      <c r="BG88" s="41">
        <f t="shared" si="66"/>
        <v>2629.1362433862437</v>
      </c>
      <c r="BH88" s="41">
        <f t="shared" si="66"/>
        <v>2287.6410256410259</v>
      </c>
      <c r="BI88" s="41">
        <f t="shared" si="66"/>
        <v>2761.8927738927741</v>
      </c>
      <c r="BJ88" s="41">
        <f t="shared" si="66"/>
        <v>4187.3888888888887</v>
      </c>
      <c r="BK88" s="41">
        <f t="shared" ref="BK88" si="67">IFERROR(AVERAGE(K88,X88,AK88),0)</f>
        <v>2907.5128205128203</v>
      </c>
      <c r="BL88" s="41">
        <f t="shared" ref="BL88" si="68">IFERROR(AVERAGE(L88,Y88,AL88),0)</f>
        <v>2398.8589743589741</v>
      </c>
      <c r="BM88" s="41">
        <f t="shared" ref="BM88" si="69">IFERROR(AVERAGE(M88,Z88,AM88),0)</f>
        <v>3621.1091269841272</v>
      </c>
      <c r="BN88" s="211">
        <f>IFERROR(BN87/BN86,0)</f>
        <v>38405.866666666669</v>
      </c>
      <c r="BO88" s="20"/>
      <c r="BS88" t="s">
        <v>2</v>
      </c>
      <c r="BT88" s="231">
        <f>BN88*BT87</f>
        <v>576088</v>
      </c>
      <c r="BU88" s="231">
        <f>BN79*BU87</f>
        <v>52573</v>
      </c>
    </row>
    <row r="89" spans="1:75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126"/>
      <c r="BS89"/>
      <c r="BT89" s="231"/>
      <c r="BU89" s="231"/>
    </row>
    <row r="90" spans="1:75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S90" s="2"/>
      <c r="BT90" s="38">
        <f>SUM(BT88:BT89)</f>
        <v>576088</v>
      </c>
      <c r="BU90" s="38">
        <f>SUM(BU88:BU89)</f>
        <v>52573</v>
      </c>
    </row>
    <row r="91" spans="1:75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T91" s="231">
        <f>ROUND(BT90/12*BR93,0)</f>
        <v>336051</v>
      </c>
      <c r="BU91" s="231">
        <f>ROUND(BU90/12*BR93,0)</f>
        <v>30668</v>
      </c>
    </row>
    <row r="92" spans="1:75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>
        <f>Customers!L80+Customers!L81</f>
        <v>23</v>
      </c>
      <c r="BQ92" s="229" t="s">
        <v>222</v>
      </c>
      <c r="BR92" s="3" t="s">
        <v>227</v>
      </c>
      <c r="BT92" s="202">
        <f>BT90-BT91</f>
        <v>240037</v>
      </c>
      <c r="BU92" s="202">
        <f>BU90-BU91</f>
        <v>21905</v>
      </c>
    </row>
    <row r="93" spans="1:75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>
        <f>BT91+BU91</f>
        <v>366719</v>
      </c>
      <c r="BQ93" s="39"/>
      <c r="BR93" s="296">
        <v>7</v>
      </c>
    </row>
    <row r="94" spans="1:75" ht="15.75" customHeight="1" thickTop="1">
      <c r="A94" s="374" t="s">
        <v>54</v>
      </c>
      <c r="B94" s="84" t="str">
        <f>IF('kWh_Streetlight Data'!C26=0,"",'kWh_Streetlight Data'!C26)</f>
        <v/>
      </c>
      <c r="C94" s="108" t="str">
        <f>IF('kWh_Streetlight Data'!D26=0,"",'kWh_Streetlight Data'!D26)</f>
        <v/>
      </c>
      <c r="D94" s="108" t="str">
        <f>IF('kWh_Streetlight Data'!E26=0,"",'kWh_Streetlight Data'!E26)</f>
        <v/>
      </c>
      <c r="E94" s="108" t="str">
        <f>IF('kWh_Streetlight Data'!F26=0,"",'kWh_Streetlight Data'!F26)</f>
        <v/>
      </c>
      <c r="F94" s="108" t="str">
        <f>IF('kWh_Streetlight Data'!G26=0,"",'kWh_Streetlight Data'!G26)</f>
        <v/>
      </c>
      <c r="G94" s="108" t="str">
        <f>IF('kWh_Streetlight Data'!H26=0,"",'kWh_Streetlight Data'!H26)</f>
        <v/>
      </c>
      <c r="H94" s="108" t="str">
        <f>IF('kWh_Streetlight Data'!I26=0,"",'kWh_Streetlight Data'!I26)</f>
        <v/>
      </c>
      <c r="I94" s="108" t="str">
        <f>IF('kWh_Streetlight Data'!J26=0,"",'kWh_Streetlight Data'!J26)</f>
        <v/>
      </c>
      <c r="J94" s="108" t="str">
        <f>IF('kWh_Streetlight Data'!K26=0,"",'kWh_Streetlight Data'!K26)</f>
        <v/>
      </c>
      <c r="K94" s="108" t="str">
        <f>IF('kWh_Streetlight Data'!L26=0,"",'kWh_Streetlight Data'!L26)</f>
        <v/>
      </c>
      <c r="L94" s="130" t="str">
        <f>IF('kWh_Streetlight Data'!M26=0,"",'kWh_Streetlight Data'!M26)</f>
        <v/>
      </c>
      <c r="M94" s="130" t="str">
        <f>IF('kWh_Streetlight Data'!N26=0,"",'kWh_Streetlight Data'!N26)</f>
        <v/>
      </c>
      <c r="N94" s="425" t="str">
        <f>IF('kWh_Streetlight Data'!O26=0,"",'kWh_Streetlight Data'!O26)</f>
        <v/>
      </c>
      <c r="O94" s="84" t="str">
        <f>IF('kWh_Streetlight Data'!P26=0,"",'kWh_Streetlight Data'!P26)</f>
        <v/>
      </c>
      <c r="P94" s="108" t="str">
        <f>IF('kWh_Streetlight Data'!Q26=0,"",'kWh_Streetlight Data'!Q26)</f>
        <v/>
      </c>
      <c r="Q94" s="108" t="str">
        <f>IF('kWh_Streetlight Data'!R26=0,"",'kWh_Streetlight Data'!R26)</f>
        <v/>
      </c>
      <c r="R94" s="108" t="str">
        <f>IF('kWh_Streetlight Data'!S26=0,"",'kWh_Streetlight Data'!S26)</f>
        <v/>
      </c>
      <c r="S94" s="108" t="str">
        <f>IF('kWh_Streetlight Data'!T26=0,"",'kWh_Streetlight Data'!T26)</f>
        <v/>
      </c>
      <c r="T94" s="108" t="str">
        <f>IF('kWh_Streetlight Data'!U26=0,"",'kWh_Streetlight Data'!U26)</f>
        <v/>
      </c>
      <c r="U94" s="108" t="str">
        <f>IF('kWh_Streetlight Data'!V26=0,"",'kWh_Streetlight Data'!V26)</f>
        <v/>
      </c>
      <c r="V94" s="108" t="str">
        <f>IF('kWh_Streetlight Data'!W26=0,"",'kWh_Streetlight Data'!W26)</f>
        <v/>
      </c>
      <c r="W94" s="108" t="str">
        <f>IF('kWh_Streetlight Data'!X26=0,"",'kWh_Streetlight Data'!X26)</f>
        <v/>
      </c>
      <c r="X94" s="108" t="str">
        <f>IF('kWh_Streetlight Data'!Y26=0,"",'kWh_Streetlight Data'!Y26)</f>
        <v/>
      </c>
      <c r="Y94" s="108" t="str">
        <f>IF('kWh_Streetlight Data'!Z26=0,"",'kWh_Streetlight Data'!Z26)</f>
        <v/>
      </c>
      <c r="Z94" s="108" t="str">
        <f>IF('kWh_Streetlight Data'!AA26=0,"",'kWh_Streetlight Data'!AA26)</f>
        <v/>
      </c>
      <c r="AA94" s="426" t="str">
        <f>IF('kWh_Streetlight Data'!AB26=0,"",'kWh_Streetlight Data'!AB26)</f>
        <v/>
      </c>
      <c r="AB94" s="84" t="str">
        <f>IF('kWh_Streetlight Data'!AC26=0,"",'kWh_Streetlight Data'!AC26)</f>
        <v/>
      </c>
      <c r="AC94" s="108" t="str">
        <f>IF('kWh_Streetlight Data'!AD26=0,"",'kWh_Streetlight Data'!AD26)</f>
        <v/>
      </c>
      <c r="AD94" s="108" t="str">
        <f>IF('kWh_Streetlight Data'!AE26=0,"",'kWh_Streetlight Data'!AE26)</f>
        <v/>
      </c>
      <c r="AE94" s="108" t="str">
        <f>IF('kWh_Streetlight Data'!AF26=0,"",'kWh_Streetlight Data'!AF26)</f>
        <v/>
      </c>
      <c r="AF94" s="108" t="str">
        <f>IF('kWh_Streetlight Data'!AG26=0,"",'kWh_Streetlight Data'!AG26)</f>
        <v/>
      </c>
      <c r="AG94" s="108" t="str">
        <f>IF('kWh_Streetlight Data'!AH26=0,"",'kWh_Streetlight Data'!AH26)</f>
        <v/>
      </c>
      <c r="AH94" s="108" t="str">
        <f>IF('kWh_Streetlight Data'!AI26=0,"",'kWh_Streetlight Data'!AI26)</f>
        <v/>
      </c>
      <c r="AI94" s="108" t="str">
        <f>IF('kWh_Streetlight Data'!AJ26=0,"",'kWh_Streetlight Data'!AJ26)</f>
        <v/>
      </c>
      <c r="AJ94" s="108" t="str">
        <f>IF('kWh_Streetlight Data'!AK26=0,"",'kWh_Streetlight Data'!AK26)</f>
        <v/>
      </c>
      <c r="AK94" s="108" t="str">
        <f>IF('kWh_Streetlight Data'!AL26=0,"",'kWh_Streetlight Data'!AL26)</f>
        <v/>
      </c>
      <c r="AL94" s="108" t="str">
        <f>IF('kWh_Streetlight Data'!AM26=0,"",'kWh_Streetlight Data'!AM26)</f>
        <v/>
      </c>
      <c r="AM94" s="108" t="str">
        <f>IF('kWh_Streetlight Data'!AN26=0,"",'kWh_Streetlight Data'!AN26)</f>
        <v/>
      </c>
      <c r="AN94" s="424" t="str">
        <f>IF('kWh_Streetlight Data'!AO26=0,"",'kWh_Streetlight Data'!AO26)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482"/>
      <c r="BL94" s="482"/>
      <c r="BM94" s="339"/>
      <c r="BN94" s="211"/>
      <c r="BO94" s="20">
        <f>((BO93+BO87+BO78)/BO92)</f>
        <v>27333.08695652174</v>
      </c>
      <c r="BQ94" s="234" t="s">
        <v>2</v>
      </c>
    </row>
    <row r="95" spans="1:75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5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73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73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70">AU7+AU22+AU29+AU43</f>
        <v>142</v>
      </c>
      <c r="AV98" s="9">
        <f t="shared" si="70"/>
        <v>142</v>
      </c>
      <c r="AW98" s="9">
        <f t="shared" si="70"/>
        <v>142</v>
      </c>
      <c r="AX98" s="9">
        <f t="shared" si="70"/>
        <v>142</v>
      </c>
      <c r="AY98" s="9">
        <f t="shared" si="70"/>
        <v>142</v>
      </c>
      <c r="AZ98" s="9">
        <f t="shared" si="70"/>
        <v>142</v>
      </c>
      <c r="BA98" s="138">
        <f t="shared" si="70"/>
        <v>142</v>
      </c>
      <c r="BB98" s="9">
        <v>142</v>
      </c>
      <c r="BC98" s="9">
        <v>142</v>
      </c>
      <c r="BD98" s="9">
        <v>142</v>
      </c>
      <c r="BE98" s="9">
        <v>142</v>
      </c>
      <c r="BF98" s="9">
        <f t="shared" ref="BF98:BO98" si="71">BF7+BF22+BF29+BF43</f>
        <v>142</v>
      </c>
      <c r="BG98" s="9">
        <f t="shared" si="71"/>
        <v>142</v>
      </c>
      <c r="BH98" s="9">
        <f t="shared" si="71"/>
        <v>142</v>
      </c>
      <c r="BI98" s="9">
        <f t="shared" si="71"/>
        <v>142</v>
      </c>
      <c r="BJ98" s="9">
        <f t="shared" si="71"/>
        <v>142</v>
      </c>
      <c r="BK98" s="9">
        <f t="shared" si="71"/>
        <v>142</v>
      </c>
      <c r="BL98" s="9">
        <f t="shared" si="71"/>
        <v>142</v>
      </c>
      <c r="BM98" s="9">
        <f t="shared" si="71"/>
        <v>142</v>
      </c>
      <c r="BN98" s="138">
        <f t="shared" si="71"/>
        <v>142</v>
      </c>
      <c r="BO98" s="58">
        <f t="shared" si="71"/>
        <v>0</v>
      </c>
    </row>
    <row r="99" spans="1:73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72">AU57</f>
        <v>0</v>
      </c>
      <c r="AV99" s="9">
        <f t="shared" si="72"/>
        <v>0</v>
      </c>
      <c r="AW99" s="9">
        <f t="shared" si="72"/>
        <v>0</v>
      </c>
      <c r="AX99" s="9">
        <f t="shared" si="72"/>
        <v>0</v>
      </c>
      <c r="AY99" s="9">
        <f t="shared" si="72"/>
        <v>0</v>
      </c>
      <c r="AZ99" s="9">
        <f t="shared" si="72"/>
        <v>0</v>
      </c>
      <c r="BA99" s="138">
        <f t="shared" si="72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73">BF57</f>
        <v>0</v>
      </c>
      <c r="BG99" s="9">
        <f t="shared" si="73"/>
        <v>0</v>
      </c>
      <c r="BH99" s="9">
        <f t="shared" si="73"/>
        <v>0</v>
      </c>
      <c r="BI99" s="9">
        <f t="shared" si="73"/>
        <v>0</v>
      </c>
      <c r="BJ99" s="9">
        <f t="shared" si="73"/>
        <v>0</v>
      </c>
      <c r="BK99" s="9">
        <f t="shared" si="73"/>
        <v>0</v>
      </c>
      <c r="BL99" s="9">
        <f t="shared" si="73"/>
        <v>0</v>
      </c>
      <c r="BM99" s="9">
        <f t="shared" si="73"/>
        <v>0</v>
      </c>
      <c r="BN99" s="138">
        <f t="shared" si="73"/>
        <v>0</v>
      </c>
      <c r="BO99" s="58">
        <f t="shared" si="73"/>
        <v>0</v>
      </c>
    </row>
    <row r="100" spans="1:73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>AU65+AU75+AU81+AU86+Customers!E82</f>
        <v>33</v>
      </c>
      <c r="AV100" s="9">
        <f>AV65+AV75+AV81+AV86+Customers!F82</f>
        <v>33</v>
      </c>
      <c r="AW100" s="9">
        <f>AW65+AW75+AW81+AW86+Customers!G82</f>
        <v>33</v>
      </c>
      <c r="AX100" s="9">
        <f>AX65+AX75+AX81+AX86+Customers!H82</f>
        <v>33</v>
      </c>
      <c r="AY100" s="9">
        <f>AY65+AY75+AY81+AY86+Customers!I82</f>
        <v>33</v>
      </c>
      <c r="AZ100" s="9">
        <f>AZ65+AZ75+AZ81+AZ86+Customers!J82</f>
        <v>33</v>
      </c>
      <c r="BA100" s="138">
        <f>BA65+BA75+BA81+BA86+Customers!J82</f>
        <v>33</v>
      </c>
      <c r="BB100" s="9">
        <v>33</v>
      </c>
      <c r="BC100" s="9">
        <v>33</v>
      </c>
      <c r="BD100" s="9">
        <v>33</v>
      </c>
      <c r="BE100" s="9">
        <v>33</v>
      </c>
      <c r="BF100" s="9">
        <f>BF65+BF75+BF81+BF86+Customers!$K$82</f>
        <v>33</v>
      </c>
      <c r="BG100" s="9">
        <f>BG65+BG75+BG81+BG86+Customers!$K$82</f>
        <v>33</v>
      </c>
      <c r="BH100" s="9">
        <f>BH65+BH75+BH81+BH86+Customers!$K$82</f>
        <v>33</v>
      </c>
      <c r="BI100" s="9">
        <f>BI65+BI75+BI81+BI86+Customers!$K$82</f>
        <v>33</v>
      </c>
      <c r="BJ100" s="9">
        <f>BJ65+BJ75+BJ81+BJ86+Customers!$K$82</f>
        <v>33</v>
      </c>
      <c r="BK100" s="9">
        <f>BK65+BK75+BK81+BK86+Customers!$K$82</f>
        <v>33</v>
      </c>
      <c r="BL100" s="9">
        <f>BL65+BL75+BL81+BL86+Customers!$K$82</f>
        <v>33</v>
      </c>
      <c r="BM100" s="9">
        <f>BM65+BM75+BM81+BM86+Customers!$K$82</f>
        <v>33</v>
      </c>
      <c r="BN100" s="138">
        <f>BN65+BN75+BN81+BN86+Customers!$K$82</f>
        <v>33</v>
      </c>
      <c r="BO100" s="58">
        <f>BO65+BO75+BO81+BO86</f>
        <v>0</v>
      </c>
    </row>
    <row r="101" spans="1:73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O101" si="74">SUM(AU98:AU100)</f>
        <v>175</v>
      </c>
      <c r="AV101" s="73">
        <f t="shared" si="74"/>
        <v>175</v>
      </c>
      <c r="AW101" s="73">
        <f t="shared" si="74"/>
        <v>175</v>
      </c>
      <c r="AX101" s="73">
        <f t="shared" si="74"/>
        <v>175</v>
      </c>
      <c r="AY101" s="73">
        <f t="shared" si="74"/>
        <v>175</v>
      </c>
      <c r="AZ101" s="73">
        <f t="shared" si="74"/>
        <v>175</v>
      </c>
      <c r="BA101" s="249">
        <f t="shared" si="74"/>
        <v>175</v>
      </c>
      <c r="BB101" s="73">
        <v>175</v>
      </c>
      <c r="BC101" s="73">
        <v>175</v>
      </c>
      <c r="BD101" s="73">
        <v>175</v>
      </c>
      <c r="BE101" s="73">
        <v>175</v>
      </c>
      <c r="BF101" s="73">
        <f t="shared" si="74"/>
        <v>175</v>
      </c>
      <c r="BG101" s="73">
        <f t="shared" si="74"/>
        <v>175</v>
      </c>
      <c r="BH101" s="73">
        <f t="shared" si="74"/>
        <v>175</v>
      </c>
      <c r="BI101" s="73">
        <f t="shared" si="74"/>
        <v>175</v>
      </c>
      <c r="BJ101" s="73">
        <f t="shared" si="74"/>
        <v>175</v>
      </c>
      <c r="BK101" s="73">
        <f t="shared" si="74"/>
        <v>175</v>
      </c>
      <c r="BL101" s="73">
        <f t="shared" si="74"/>
        <v>175</v>
      </c>
      <c r="BM101" s="73">
        <f t="shared" si="74"/>
        <v>175</v>
      </c>
      <c r="BN101" s="249">
        <f t="shared" si="74"/>
        <v>175</v>
      </c>
      <c r="BO101" s="268">
        <f t="shared" si="74"/>
        <v>0</v>
      </c>
      <c r="BS101" s="2"/>
      <c r="BT101" s="2"/>
      <c r="BU101" s="2"/>
    </row>
    <row r="102" spans="1:73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75">AU15+AU36+AU50</f>
        <v>0</v>
      </c>
      <c r="AV102" s="9">
        <f t="shared" si="75"/>
        <v>0</v>
      </c>
      <c r="AW102" s="9">
        <f t="shared" si="75"/>
        <v>0</v>
      </c>
      <c r="AX102" s="9">
        <f t="shared" si="75"/>
        <v>0</v>
      </c>
      <c r="AY102" s="9">
        <f t="shared" si="75"/>
        <v>0</v>
      </c>
      <c r="AZ102" s="9">
        <f t="shared" si="75"/>
        <v>0</v>
      </c>
      <c r="BA102" s="138">
        <f t="shared" si="75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76">BF15+BF36+BF50</f>
        <v>0</v>
      </c>
      <c r="BG102" s="9">
        <f t="shared" si="76"/>
        <v>0</v>
      </c>
      <c r="BH102" s="9">
        <f t="shared" si="76"/>
        <v>0</v>
      </c>
      <c r="BI102" s="9">
        <f t="shared" si="76"/>
        <v>0</v>
      </c>
      <c r="BJ102" s="9">
        <f t="shared" si="76"/>
        <v>0</v>
      </c>
      <c r="BK102" s="9">
        <f t="shared" si="76"/>
        <v>0</v>
      </c>
      <c r="BL102" s="9">
        <f t="shared" si="76"/>
        <v>0</v>
      </c>
      <c r="BM102" s="9">
        <f t="shared" si="76"/>
        <v>0</v>
      </c>
      <c r="BN102" s="138">
        <f t="shared" si="76"/>
        <v>0</v>
      </c>
      <c r="BO102" s="266">
        <f t="shared" si="76"/>
        <v>142</v>
      </c>
      <c r="BS102" s="198"/>
      <c r="BT102" s="198"/>
      <c r="BU102" s="198"/>
    </row>
    <row r="103" spans="1:73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73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77">AU92</f>
        <v>0</v>
      </c>
      <c r="AV104" s="9">
        <f t="shared" si="77"/>
        <v>0</v>
      </c>
      <c r="AW104" s="9">
        <f t="shared" si="77"/>
        <v>0</v>
      </c>
      <c r="AX104" s="9">
        <f t="shared" si="77"/>
        <v>0</v>
      </c>
      <c r="AY104" s="9">
        <f t="shared" si="77"/>
        <v>0</v>
      </c>
      <c r="AZ104" s="9">
        <f t="shared" si="77"/>
        <v>0</v>
      </c>
      <c r="BA104" s="138">
        <f t="shared" si="77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N104" si="78">BF92</f>
        <v>0</v>
      </c>
      <c r="BG104" s="9">
        <f t="shared" si="78"/>
        <v>0</v>
      </c>
      <c r="BH104" s="9">
        <f t="shared" si="78"/>
        <v>0</v>
      </c>
      <c r="BI104" s="9">
        <f t="shared" si="78"/>
        <v>0</v>
      </c>
      <c r="BJ104" s="9">
        <f t="shared" si="78"/>
        <v>0</v>
      </c>
      <c r="BK104" s="9">
        <f t="shared" si="78"/>
        <v>0</v>
      </c>
      <c r="BL104" s="9">
        <f t="shared" si="78"/>
        <v>0</v>
      </c>
      <c r="BM104" s="9">
        <f t="shared" si="78"/>
        <v>0</v>
      </c>
      <c r="BN104" s="138">
        <f t="shared" si="78"/>
        <v>0</v>
      </c>
      <c r="BO104" s="58">
        <f>BO92+Customers!L82</f>
        <v>33</v>
      </c>
    </row>
    <row r="105" spans="1:73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O105" si="79">SUM(AU102:AU104)</f>
        <v>0</v>
      </c>
      <c r="AV105" s="73">
        <f t="shared" si="79"/>
        <v>0</v>
      </c>
      <c r="AW105" s="73">
        <f t="shared" si="79"/>
        <v>0</v>
      </c>
      <c r="AX105" s="73">
        <f t="shared" si="79"/>
        <v>0</v>
      </c>
      <c r="AY105" s="73">
        <f t="shared" si="79"/>
        <v>0</v>
      </c>
      <c r="AZ105" s="73">
        <f t="shared" si="79"/>
        <v>0</v>
      </c>
      <c r="BA105" s="249">
        <f t="shared" si="79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si="79"/>
        <v>0</v>
      </c>
      <c r="BG105" s="73">
        <f t="shared" si="79"/>
        <v>0</v>
      </c>
      <c r="BH105" s="73">
        <f t="shared" si="79"/>
        <v>0</v>
      </c>
      <c r="BI105" s="73">
        <f t="shared" si="79"/>
        <v>0</v>
      </c>
      <c r="BJ105" s="73">
        <f t="shared" si="79"/>
        <v>0</v>
      </c>
      <c r="BK105" s="73">
        <f t="shared" si="79"/>
        <v>0</v>
      </c>
      <c r="BL105" s="73">
        <f t="shared" si="79"/>
        <v>0</v>
      </c>
      <c r="BM105" s="73">
        <f t="shared" si="79"/>
        <v>0</v>
      </c>
      <c r="BN105" s="249">
        <f t="shared" si="79"/>
        <v>0</v>
      </c>
      <c r="BO105" s="268">
        <f t="shared" si="79"/>
        <v>175</v>
      </c>
      <c r="BS105"/>
      <c r="BT105"/>
      <c r="BU105"/>
    </row>
    <row r="106" spans="1:73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80">AU105+AU101</f>
        <v>175</v>
      </c>
      <c r="AV106" s="251">
        <f t="shared" si="80"/>
        <v>175</v>
      </c>
      <c r="AW106" s="251">
        <f t="shared" si="80"/>
        <v>175</v>
      </c>
      <c r="AX106" s="251">
        <f t="shared" si="80"/>
        <v>175</v>
      </c>
      <c r="AY106" s="251">
        <f t="shared" si="80"/>
        <v>175</v>
      </c>
      <c r="AZ106" s="251">
        <f t="shared" si="80"/>
        <v>175</v>
      </c>
      <c r="BA106" s="255">
        <f t="shared" si="80"/>
        <v>175</v>
      </c>
      <c r="BB106" s="251">
        <v>175</v>
      </c>
      <c r="BC106" s="251">
        <v>175</v>
      </c>
      <c r="BD106" s="251">
        <v>175</v>
      </c>
      <c r="BE106" s="251">
        <v>175</v>
      </c>
      <c r="BF106" s="251">
        <f t="shared" si="80"/>
        <v>175</v>
      </c>
      <c r="BG106" s="251">
        <f t="shared" si="80"/>
        <v>175</v>
      </c>
      <c r="BH106" s="251">
        <f t="shared" si="80"/>
        <v>175</v>
      </c>
      <c r="BI106" s="251">
        <f t="shared" si="80"/>
        <v>175</v>
      </c>
      <c r="BJ106" s="251">
        <f t="shared" si="80"/>
        <v>175</v>
      </c>
      <c r="BK106" s="251">
        <f t="shared" si="80"/>
        <v>175</v>
      </c>
      <c r="BL106" s="251">
        <f t="shared" si="80"/>
        <v>175</v>
      </c>
      <c r="BM106" s="251">
        <f t="shared" si="80"/>
        <v>175</v>
      </c>
      <c r="BN106" s="255">
        <f t="shared" si="80"/>
        <v>175</v>
      </c>
      <c r="BO106" s="269">
        <f t="shared" si="80"/>
        <v>175</v>
      </c>
    </row>
    <row r="107" spans="1:73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S107" s="3"/>
      <c r="BT107" s="3"/>
      <c r="BU107" s="3"/>
    </row>
    <row r="108" spans="1:73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81">AU11+AU26+AU33+AU47</f>
        <v>172891</v>
      </c>
      <c r="AV108" s="9">
        <f t="shared" si="81"/>
        <v>162815</v>
      </c>
      <c r="AW108" s="9">
        <f t="shared" si="81"/>
        <v>133880</v>
      </c>
      <c r="AX108" s="9">
        <f t="shared" si="81"/>
        <v>171218</v>
      </c>
      <c r="AY108" s="9">
        <f t="shared" si="81"/>
        <v>185520</v>
      </c>
      <c r="AZ108" s="9">
        <f t="shared" si="81"/>
        <v>260558</v>
      </c>
      <c r="BA108" s="138">
        <f t="shared" si="81"/>
        <v>1086882</v>
      </c>
      <c r="BB108" s="9">
        <v>253388</v>
      </c>
      <c r="BC108" s="9">
        <v>291153</v>
      </c>
      <c r="BD108" s="9">
        <v>264601</v>
      </c>
      <c r="BE108" s="9">
        <v>260480</v>
      </c>
      <c r="BF108" s="9">
        <f t="shared" ref="BF108:BO108" si="82">BF11+BF26+BF33+BF47</f>
        <v>209717</v>
      </c>
      <c r="BG108" s="9">
        <f t="shared" si="82"/>
        <v>190925</v>
      </c>
      <c r="BH108" s="9">
        <f t="shared" si="82"/>
        <v>172891</v>
      </c>
      <c r="BI108" s="9">
        <f t="shared" si="82"/>
        <v>162815</v>
      </c>
      <c r="BJ108" s="9">
        <f t="shared" si="82"/>
        <v>133880</v>
      </c>
      <c r="BK108" s="9">
        <f t="shared" si="82"/>
        <v>171218</v>
      </c>
      <c r="BL108" s="9">
        <f t="shared" si="82"/>
        <v>185520</v>
      </c>
      <c r="BM108" s="9">
        <f t="shared" si="82"/>
        <v>260558</v>
      </c>
      <c r="BN108" s="138">
        <f t="shared" si="82"/>
        <v>2557146</v>
      </c>
      <c r="BO108" s="58">
        <f t="shared" si="82"/>
        <v>1065477</v>
      </c>
    </row>
    <row r="109" spans="1:73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83">AU58</f>
        <v>0</v>
      </c>
      <c r="AV109" s="9">
        <f t="shared" si="83"/>
        <v>0</v>
      </c>
      <c r="AW109" s="9">
        <f t="shared" si="83"/>
        <v>0</v>
      </c>
      <c r="AX109" s="9">
        <f t="shared" si="83"/>
        <v>0</v>
      </c>
      <c r="AY109" s="9">
        <f t="shared" si="83"/>
        <v>0</v>
      </c>
      <c r="AZ109" s="9">
        <f t="shared" si="83"/>
        <v>0</v>
      </c>
      <c r="BA109" s="138">
        <f t="shared" si="83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84">BF58</f>
        <v>0</v>
      </c>
      <c r="BG109" s="9">
        <f t="shared" si="84"/>
        <v>0</v>
      </c>
      <c r="BH109" s="9">
        <f t="shared" si="84"/>
        <v>0</v>
      </c>
      <c r="BI109" s="9">
        <f t="shared" si="84"/>
        <v>0</v>
      </c>
      <c r="BJ109" s="9">
        <f t="shared" si="84"/>
        <v>0</v>
      </c>
      <c r="BK109" s="9">
        <f t="shared" si="84"/>
        <v>0</v>
      </c>
      <c r="BL109" s="9">
        <f t="shared" si="84"/>
        <v>0</v>
      </c>
      <c r="BM109" s="9">
        <f t="shared" si="84"/>
        <v>0</v>
      </c>
      <c r="BN109" s="138">
        <f t="shared" si="84"/>
        <v>0</v>
      </c>
      <c r="BO109" s="58">
        <f t="shared" si="84"/>
        <v>0</v>
      </c>
    </row>
    <row r="110" spans="1:73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85">AU68+AU78+AU82+AU87</f>
        <v>38129</v>
      </c>
      <c r="AV110" s="9">
        <f t="shared" si="85"/>
        <v>45048</v>
      </c>
      <c r="AW110" s="9">
        <f t="shared" si="85"/>
        <v>65592</v>
      </c>
      <c r="AX110" s="9">
        <f t="shared" si="85"/>
        <v>47604</v>
      </c>
      <c r="AY110" s="9">
        <f t="shared" si="85"/>
        <v>40198</v>
      </c>
      <c r="AZ110" s="9">
        <f t="shared" si="85"/>
        <v>61789</v>
      </c>
      <c r="BA110" s="138">
        <f t="shared" si="85"/>
        <v>298360</v>
      </c>
      <c r="BB110" s="9">
        <v>70892</v>
      </c>
      <c r="BC110" s="9">
        <v>63463</v>
      </c>
      <c r="BD110" s="9">
        <v>57368</v>
      </c>
      <c r="BE110" s="9">
        <v>52880</v>
      </c>
      <c r="BF110" s="9">
        <f t="shared" ref="BF110:BO110" si="86">BF68+BF78+BF82+BF87</f>
        <v>41959</v>
      </c>
      <c r="BG110" s="9">
        <f t="shared" si="86"/>
        <v>43739</v>
      </c>
      <c r="BH110" s="9">
        <f t="shared" si="86"/>
        <v>38129</v>
      </c>
      <c r="BI110" s="9">
        <f t="shared" si="86"/>
        <v>45048</v>
      </c>
      <c r="BJ110" s="9">
        <f t="shared" si="86"/>
        <v>65592</v>
      </c>
      <c r="BK110" s="9">
        <f t="shared" si="86"/>
        <v>47604</v>
      </c>
      <c r="BL110" s="9">
        <f t="shared" si="86"/>
        <v>40198</v>
      </c>
      <c r="BM110" s="9">
        <f t="shared" si="86"/>
        <v>61789</v>
      </c>
      <c r="BN110" s="138">
        <f t="shared" si="86"/>
        <v>628661</v>
      </c>
      <c r="BO110" s="58">
        <f t="shared" si="86"/>
        <v>261942</v>
      </c>
    </row>
    <row r="111" spans="1:73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O111" si="87">SUM(AU108:AU110)</f>
        <v>211020</v>
      </c>
      <c r="AV111" s="73">
        <f t="shared" si="87"/>
        <v>207863</v>
      </c>
      <c r="AW111" s="73">
        <f t="shared" si="87"/>
        <v>199472</v>
      </c>
      <c r="AX111" s="73">
        <f t="shared" si="87"/>
        <v>218822</v>
      </c>
      <c r="AY111" s="73">
        <f t="shared" si="87"/>
        <v>225718</v>
      </c>
      <c r="AZ111" s="73">
        <f t="shared" si="87"/>
        <v>322347</v>
      </c>
      <c r="BA111" s="249">
        <f t="shared" si="87"/>
        <v>1385242</v>
      </c>
      <c r="BB111" s="73">
        <v>324280</v>
      </c>
      <c r="BC111" s="73">
        <v>354616</v>
      </c>
      <c r="BD111" s="73">
        <v>321969</v>
      </c>
      <c r="BE111" s="73">
        <v>313360</v>
      </c>
      <c r="BF111" s="73">
        <f t="shared" si="87"/>
        <v>251676</v>
      </c>
      <c r="BG111" s="73">
        <f t="shared" si="87"/>
        <v>234664</v>
      </c>
      <c r="BH111" s="73">
        <f t="shared" si="87"/>
        <v>211020</v>
      </c>
      <c r="BI111" s="73">
        <f t="shared" si="87"/>
        <v>207863</v>
      </c>
      <c r="BJ111" s="73">
        <f t="shared" si="87"/>
        <v>199472</v>
      </c>
      <c r="BK111" s="73">
        <f t="shared" si="87"/>
        <v>218822</v>
      </c>
      <c r="BL111" s="73">
        <f t="shared" si="87"/>
        <v>225718</v>
      </c>
      <c r="BM111" s="73">
        <f t="shared" si="87"/>
        <v>322347</v>
      </c>
      <c r="BN111" s="249">
        <f t="shared" si="87"/>
        <v>3185807</v>
      </c>
      <c r="BO111" s="268">
        <f t="shared" si="87"/>
        <v>1327419</v>
      </c>
      <c r="BS111"/>
      <c r="BT111"/>
      <c r="BU111"/>
    </row>
    <row r="112" spans="1:73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88">AU19+AU40+AU54</f>
        <v>0</v>
      </c>
      <c r="AV112" s="9">
        <f t="shared" si="88"/>
        <v>0</v>
      </c>
      <c r="AW112" s="9">
        <f t="shared" si="88"/>
        <v>0</v>
      </c>
      <c r="AX112" s="9">
        <f t="shared" si="88"/>
        <v>0</v>
      </c>
      <c r="AY112" s="9">
        <f t="shared" si="88"/>
        <v>0</v>
      </c>
      <c r="AZ112" s="9">
        <f t="shared" si="88"/>
        <v>0</v>
      </c>
      <c r="BA112" s="138">
        <f t="shared" si="88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89">BF19+BF40+BF54</f>
        <v>0</v>
      </c>
      <c r="BG112" s="9">
        <f t="shared" si="89"/>
        <v>0</v>
      </c>
      <c r="BH112" s="9">
        <f t="shared" si="89"/>
        <v>0</v>
      </c>
      <c r="BI112" s="9">
        <f t="shared" si="89"/>
        <v>0</v>
      </c>
      <c r="BJ112" s="9">
        <f t="shared" si="89"/>
        <v>0</v>
      </c>
      <c r="BK112" s="9">
        <f t="shared" si="89"/>
        <v>0</v>
      </c>
      <c r="BL112" s="9">
        <f t="shared" si="89"/>
        <v>0</v>
      </c>
      <c r="BM112" s="9">
        <f t="shared" si="89"/>
        <v>0</v>
      </c>
      <c r="BN112" s="138">
        <f t="shared" si="89"/>
        <v>0</v>
      </c>
      <c r="BO112" s="58">
        <f t="shared" si="89"/>
        <v>1491669</v>
      </c>
      <c r="BS112" s="3"/>
      <c r="BT112" s="3"/>
      <c r="BU112" s="3"/>
    </row>
    <row r="113" spans="1:73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73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90">AU93</f>
        <v>0</v>
      </c>
      <c r="AV114" s="9">
        <f t="shared" si="90"/>
        <v>0</v>
      </c>
      <c r="AW114" s="9">
        <f t="shared" si="90"/>
        <v>0</v>
      </c>
      <c r="AX114" s="9">
        <f t="shared" si="90"/>
        <v>0</v>
      </c>
      <c r="AY114" s="9">
        <f t="shared" si="90"/>
        <v>0</v>
      </c>
      <c r="AZ114" s="9">
        <f t="shared" si="90"/>
        <v>0</v>
      </c>
      <c r="BA114" s="138">
        <f t="shared" si="90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91">BF93</f>
        <v>0</v>
      </c>
      <c r="BG114" s="9">
        <f t="shared" si="91"/>
        <v>0</v>
      </c>
      <c r="BH114" s="9">
        <f t="shared" si="91"/>
        <v>0</v>
      </c>
      <c r="BI114" s="9">
        <f t="shared" si="91"/>
        <v>0</v>
      </c>
      <c r="BJ114" s="9">
        <f t="shared" si="91"/>
        <v>0</v>
      </c>
      <c r="BK114" s="9">
        <f t="shared" si="91"/>
        <v>0</v>
      </c>
      <c r="BL114" s="9">
        <f t="shared" si="91"/>
        <v>0</v>
      </c>
      <c r="BM114" s="9">
        <f t="shared" si="91"/>
        <v>0</v>
      </c>
      <c r="BN114" s="138">
        <f t="shared" si="91"/>
        <v>0</v>
      </c>
      <c r="BO114" s="58">
        <f t="shared" si="91"/>
        <v>366719</v>
      </c>
    </row>
    <row r="115" spans="1:73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O115" si="92">SUM(AU112:AU114)</f>
        <v>0</v>
      </c>
      <c r="AV115" s="73">
        <f t="shared" si="92"/>
        <v>0</v>
      </c>
      <c r="AW115" s="73">
        <f t="shared" si="92"/>
        <v>0</v>
      </c>
      <c r="AX115" s="73">
        <f t="shared" si="92"/>
        <v>0</v>
      </c>
      <c r="AY115" s="73">
        <f t="shared" si="92"/>
        <v>0</v>
      </c>
      <c r="AZ115" s="73">
        <f t="shared" si="92"/>
        <v>0</v>
      </c>
      <c r="BA115" s="249">
        <f t="shared" si="92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si="92"/>
        <v>0</v>
      </c>
      <c r="BG115" s="73">
        <f t="shared" si="92"/>
        <v>0</v>
      </c>
      <c r="BH115" s="73">
        <f t="shared" si="92"/>
        <v>0</v>
      </c>
      <c r="BI115" s="73">
        <f t="shared" si="92"/>
        <v>0</v>
      </c>
      <c r="BJ115" s="73">
        <f t="shared" si="92"/>
        <v>0</v>
      </c>
      <c r="BK115" s="73">
        <f t="shared" si="92"/>
        <v>0</v>
      </c>
      <c r="BL115" s="73">
        <f t="shared" si="92"/>
        <v>0</v>
      </c>
      <c r="BM115" s="73">
        <f t="shared" si="92"/>
        <v>0</v>
      </c>
      <c r="BN115" s="249">
        <f t="shared" si="92"/>
        <v>0</v>
      </c>
      <c r="BO115" s="268">
        <f t="shared" si="92"/>
        <v>1858388</v>
      </c>
      <c r="BS115"/>
      <c r="BT115"/>
      <c r="BU115"/>
    </row>
    <row r="116" spans="1:73" s="3" customFormat="1" ht="15.75" customHeight="1" thickBot="1">
      <c r="A116" s="201" t="s">
        <v>219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93">AU115+AU111</f>
        <v>211020</v>
      </c>
      <c r="AV116" s="251">
        <f t="shared" si="93"/>
        <v>207863</v>
      </c>
      <c r="AW116" s="251">
        <f t="shared" si="93"/>
        <v>199472</v>
      </c>
      <c r="AX116" s="251">
        <f t="shared" si="93"/>
        <v>218822</v>
      </c>
      <c r="AY116" s="251">
        <f t="shared" si="93"/>
        <v>225718</v>
      </c>
      <c r="AZ116" s="251">
        <f t="shared" si="93"/>
        <v>322347</v>
      </c>
      <c r="BA116" s="255">
        <f t="shared" si="93"/>
        <v>1385242</v>
      </c>
      <c r="BB116" s="251">
        <v>324280</v>
      </c>
      <c r="BC116" s="251">
        <v>354616</v>
      </c>
      <c r="BD116" s="251">
        <v>321969</v>
      </c>
      <c r="BE116" s="251">
        <v>313360</v>
      </c>
      <c r="BF116" s="251">
        <f t="shared" si="93"/>
        <v>251676</v>
      </c>
      <c r="BG116" s="251">
        <f t="shared" si="93"/>
        <v>234664</v>
      </c>
      <c r="BH116" s="251">
        <f t="shared" si="93"/>
        <v>211020</v>
      </c>
      <c r="BI116" s="251">
        <f t="shared" si="93"/>
        <v>207863</v>
      </c>
      <c r="BJ116" s="251">
        <f t="shared" si="93"/>
        <v>199472</v>
      </c>
      <c r="BK116" s="251">
        <f t="shared" si="93"/>
        <v>218822</v>
      </c>
      <c r="BL116" s="251">
        <f t="shared" si="93"/>
        <v>225718</v>
      </c>
      <c r="BM116" s="251">
        <f t="shared" si="93"/>
        <v>322347</v>
      </c>
      <c r="BN116" s="255">
        <f t="shared" si="93"/>
        <v>3185807</v>
      </c>
      <c r="BO116" s="269">
        <f t="shared" si="93"/>
        <v>3185807</v>
      </c>
    </row>
    <row r="117" spans="1:73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S117" s="3"/>
      <c r="BT117" s="3"/>
      <c r="BU117" s="3"/>
    </row>
    <row r="118" spans="1:73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S118" s="3"/>
      <c r="BT118" s="3"/>
      <c r="BU118" s="3"/>
    </row>
    <row r="119" spans="1:73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28</v>
      </c>
      <c r="AV119" s="280">
        <f>AU119</f>
        <v>28</v>
      </c>
      <c r="AW119" s="280">
        <f>AV119</f>
        <v>28</v>
      </c>
      <c r="AX119" s="280">
        <f t="shared" ref="AX119:AZ119" si="94">AW119</f>
        <v>28</v>
      </c>
      <c r="AY119" s="280">
        <f t="shared" si="94"/>
        <v>28</v>
      </c>
      <c r="AZ119" s="280">
        <f t="shared" si="94"/>
        <v>28</v>
      </c>
      <c r="BA119" s="259"/>
      <c r="BB119" s="280">
        <v>28</v>
      </c>
      <c r="BC119" s="280">
        <v>28</v>
      </c>
      <c r="BD119" s="280">
        <v>28</v>
      </c>
      <c r="BE119" s="280">
        <v>28</v>
      </c>
      <c r="BF119" s="280">
        <f t="shared" ref="BF119:BM119" si="95">BE119</f>
        <v>28</v>
      </c>
      <c r="BG119" s="280">
        <f t="shared" si="95"/>
        <v>28</v>
      </c>
      <c r="BH119" s="280">
        <f t="shared" si="95"/>
        <v>28</v>
      </c>
      <c r="BI119" s="280">
        <f t="shared" si="95"/>
        <v>28</v>
      </c>
      <c r="BJ119" s="280">
        <f t="shared" si="95"/>
        <v>28</v>
      </c>
      <c r="BK119" s="280">
        <f t="shared" si="95"/>
        <v>28</v>
      </c>
      <c r="BL119" s="280">
        <f t="shared" si="95"/>
        <v>28</v>
      </c>
      <c r="BM119" s="280">
        <f t="shared" si="95"/>
        <v>28</v>
      </c>
      <c r="BN119" s="259"/>
      <c r="BO119" s="343">
        <f>BM119</f>
        <v>28</v>
      </c>
    </row>
    <row r="120" spans="1:73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183697</v>
      </c>
      <c r="AU120" s="107">
        <v>171484</v>
      </c>
      <c r="AV120" s="39">
        <f>ROUND(AW108/30*AV119,0)</f>
        <v>124955</v>
      </c>
      <c r="AW120" s="39">
        <f>ROUND(AX108/30*AW119,0)</f>
        <v>159803</v>
      </c>
      <c r="AX120" s="39">
        <f>ROUND(AY108/30*AX119,0)</f>
        <v>173152</v>
      </c>
      <c r="AY120" s="39">
        <f>ROUND(AZ108/30*AY119,0)</f>
        <v>243187</v>
      </c>
      <c r="AZ120" s="39">
        <f>ROUND(BB108/30*AZ119,0)</f>
        <v>236495</v>
      </c>
      <c r="BA120" s="215"/>
      <c r="BB120" s="346">
        <v>271743</v>
      </c>
      <c r="BC120" s="346">
        <v>246961</v>
      </c>
      <c r="BD120" s="346">
        <v>243115</v>
      </c>
      <c r="BE120" s="346">
        <v>195736</v>
      </c>
      <c r="BF120" s="346">
        <f t="shared" ref="BF120:BL120" si="96">ROUND(BG108/30*BF119,0)</f>
        <v>178197</v>
      </c>
      <c r="BG120" s="346">
        <f t="shared" si="96"/>
        <v>161365</v>
      </c>
      <c r="BH120" s="346">
        <f t="shared" si="96"/>
        <v>151961</v>
      </c>
      <c r="BI120" s="346">
        <f t="shared" si="96"/>
        <v>124955</v>
      </c>
      <c r="BJ120" s="57">
        <f t="shared" si="96"/>
        <v>159803</v>
      </c>
      <c r="BK120" s="57">
        <f t="shared" si="96"/>
        <v>173152</v>
      </c>
      <c r="BL120" s="57">
        <f t="shared" si="96"/>
        <v>243187</v>
      </c>
      <c r="BM120" s="57">
        <f>ROUND((BO108+BO112)*0.11/30*BM119,0)</f>
        <v>262534</v>
      </c>
      <c r="BN120" s="215"/>
      <c r="BO120" s="141">
        <v>0</v>
      </c>
    </row>
    <row r="121" spans="1:73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28178</v>
      </c>
      <c r="AU121" s="107">
        <v>31243.856</v>
      </c>
      <c r="AV121" s="39">
        <f>ROUND(AW110/30*AV119,0)</f>
        <v>61219</v>
      </c>
      <c r="AW121" s="39">
        <f>ROUND(AX110/30*AW119,0)</f>
        <v>44430</v>
      </c>
      <c r="AX121" s="39">
        <f>ROUND(AY110/30*AX119,0)</f>
        <v>37518</v>
      </c>
      <c r="AY121" s="39">
        <f>ROUND(AZ110/30*AY119,0)</f>
        <v>57670</v>
      </c>
      <c r="AZ121" s="39">
        <f>ROUND(BB110/30*AZ119,0)</f>
        <v>66166</v>
      </c>
      <c r="BA121" s="215"/>
      <c r="BB121" s="57">
        <v>59232</v>
      </c>
      <c r="BC121" s="57">
        <v>53543</v>
      </c>
      <c r="BD121" s="57">
        <v>49355</v>
      </c>
      <c r="BE121" s="57">
        <v>39162</v>
      </c>
      <c r="BF121" s="57">
        <f t="shared" ref="BF121:BL121" si="97">ROUND(BG110/30*BF119,0)</f>
        <v>40823</v>
      </c>
      <c r="BG121" s="57">
        <f t="shared" si="97"/>
        <v>35587</v>
      </c>
      <c r="BH121" s="57">
        <f t="shared" si="97"/>
        <v>42045</v>
      </c>
      <c r="BI121" s="57">
        <f t="shared" si="97"/>
        <v>61219</v>
      </c>
      <c r="BJ121" s="57">
        <f t="shared" si="97"/>
        <v>44430</v>
      </c>
      <c r="BK121" s="57">
        <f t="shared" si="97"/>
        <v>37518</v>
      </c>
      <c r="BL121" s="57">
        <f t="shared" si="97"/>
        <v>57670</v>
      </c>
      <c r="BM121" s="57">
        <f>ROUND((BO110+BO114)*0.11/30*BM119,0)</f>
        <v>64543</v>
      </c>
      <c r="BN121" s="215"/>
      <c r="BO121" s="141">
        <v>0</v>
      </c>
    </row>
    <row r="122" spans="1:73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-183697</v>
      </c>
      <c r="AV122" s="57">
        <f t="shared" ref="AV122:AZ123" si="98">-AU120</f>
        <v>-171484</v>
      </c>
      <c r="AW122" s="57">
        <f t="shared" si="98"/>
        <v>-124955</v>
      </c>
      <c r="AX122" s="57">
        <f t="shared" si="98"/>
        <v>-159803</v>
      </c>
      <c r="AY122" s="57">
        <f t="shared" si="98"/>
        <v>-173152</v>
      </c>
      <c r="AZ122" s="57">
        <f t="shared" si="98"/>
        <v>-243187</v>
      </c>
      <c r="BA122" s="215"/>
      <c r="BB122" s="57">
        <v>-236495</v>
      </c>
      <c r="BC122" s="57">
        <v>-271743</v>
      </c>
      <c r="BD122" s="57">
        <v>-246961</v>
      </c>
      <c r="BE122" s="57">
        <v>-243115</v>
      </c>
      <c r="BF122" s="57">
        <f t="shared" ref="BF122:BM123" si="99">-BE120</f>
        <v>-195736</v>
      </c>
      <c r="BG122" s="57">
        <f t="shared" si="99"/>
        <v>-178197</v>
      </c>
      <c r="BH122" s="57">
        <f t="shared" si="99"/>
        <v>-161365</v>
      </c>
      <c r="BI122" s="57">
        <f t="shared" si="99"/>
        <v>-151961</v>
      </c>
      <c r="BJ122" s="57">
        <f t="shared" si="99"/>
        <v>-124955</v>
      </c>
      <c r="BK122" s="57">
        <f t="shared" si="99"/>
        <v>-159803</v>
      </c>
      <c r="BL122" s="57">
        <f t="shared" si="99"/>
        <v>-173152</v>
      </c>
      <c r="BM122" s="57">
        <f t="shared" si="99"/>
        <v>-243187</v>
      </c>
      <c r="BN122" s="215"/>
      <c r="BO122" s="141">
        <f>-BM120</f>
        <v>-262534</v>
      </c>
    </row>
    <row r="123" spans="1:73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-28178</v>
      </c>
      <c r="AV123" s="57">
        <f t="shared" si="98"/>
        <v>-31243.856</v>
      </c>
      <c r="AW123" s="57">
        <f t="shared" si="98"/>
        <v>-61219</v>
      </c>
      <c r="AX123" s="57">
        <f t="shared" si="98"/>
        <v>-44430</v>
      </c>
      <c r="AY123" s="57">
        <f t="shared" si="98"/>
        <v>-37518</v>
      </c>
      <c r="AZ123" s="57">
        <f t="shared" si="98"/>
        <v>-57670</v>
      </c>
      <c r="BA123" s="215"/>
      <c r="BB123" s="57">
        <v>-66166</v>
      </c>
      <c r="BC123" s="57">
        <v>-59232</v>
      </c>
      <c r="BD123" s="57">
        <v>-53543</v>
      </c>
      <c r="BE123" s="57">
        <v>-49355</v>
      </c>
      <c r="BF123" s="57">
        <f t="shared" si="99"/>
        <v>-39162</v>
      </c>
      <c r="BG123" s="57">
        <f t="shared" si="99"/>
        <v>-40823</v>
      </c>
      <c r="BH123" s="57">
        <f t="shared" si="99"/>
        <v>-35587</v>
      </c>
      <c r="BI123" s="57">
        <f t="shared" si="99"/>
        <v>-42045</v>
      </c>
      <c r="BJ123" s="57">
        <f t="shared" si="99"/>
        <v>-61219</v>
      </c>
      <c r="BK123" s="57">
        <f t="shared" si="99"/>
        <v>-44430</v>
      </c>
      <c r="BL123" s="57">
        <f t="shared" si="99"/>
        <v>-37518</v>
      </c>
      <c r="BM123" s="57">
        <f t="shared" si="99"/>
        <v>-57670</v>
      </c>
      <c r="BN123" s="215"/>
      <c r="BO123" s="141">
        <f>-BM121</f>
        <v>-64543</v>
      </c>
    </row>
    <row r="124" spans="1:73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-9147.1440000000002</v>
      </c>
      <c r="AV124" s="344">
        <f t="shared" ref="AV124:AZ124" si="100">SUM(AV120:AV123)</f>
        <v>-16553.856</v>
      </c>
      <c r="AW124" s="344">
        <f t="shared" si="100"/>
        <v>18059</v>
      </c>
      <c r="AX124" s="344">
        <f t="shared" si="100"/>
        <v>6437</v>
      </c>
      <c r="AY124" s="344">
        <f t="shared" si="100"/>
        <v>90187</v>
      </c>
      <c r="AZ124" s="344">
        <f t="shared" si="100"/>
        <v>1804</v>
      </c>
      <c r="BA124" s="345"/>
      <c r="BB124" s="344">
        <v>28314</v>
      </c>
      <c r="BC124" s="344">
        <v>-30471</v>
      </c>
      <c r="BD124" s="344">
        <v>-8034</v>
      </c>
      <c r="BE124" s="344">
        <v>-57572</v>
      </c>
      <c r="BF124" s="344">
        <f t="shared" ref="BF124:BO124" si="101">SUM(BF120:BF123)</f>
        <v>-15878</v>
      </c>
      <c r="BG124" s="344">
        <f t="shared" si="101"/>
        <v>-22068</v>
      </c>
      <c r="BH124" s="344">
        <f t="shared" si="101"/>
        <v>-2946</v>
      </c>
      <c r="BI124" s="344">
        <f t="shared" si="101"/>
        <v>-7832</v>
      </c>
      <c r="BJ124" s="344">
        <f t="shared" si="101"/>
        <v>18059</v>
      </c>
      <c r="BK124" s="344">
        <f t="shared" si="101"/>
        <v>6437</v>
      </c>
      <c r="BL124" s="344">
        <f t="shared" si="101"/>
        <v>90187</v>
      </c>
      <c r="BM124" s="344">
        <f t="shared" si="101"/>
        <v>26220</v>
      </c>
      <c r="BN124" s="345"/>
      <c r="BO124" s="272">
        <f t="shared" si="101"/>
        <v>-327077</v>
      </c>
    </row>
    <row r="125" spans="1:73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28</v>
      </c>
      <c r="AV125" s="344">
        <f>AU125</f>
        <v>28</v>
      </c>
      <c r="AW125" s="344">
        <f>AV125</f>
        <v>28</v>
      </c>
      <c r="AX125" s="344">
        <f t="shared" ref="AX125" si="102">AW125</f>
        <v>28</v>
      </c>
      <c r="AY125" s="344">
        <f t="shared" ref="AY125" si="103">AX125</f>
        <v>28</v>
      </c>
      <c r="AZ125" s="344">
        <f t="shared" ref="AZ125" si="104">AY125</f>
        <v>28</v>
      </c>
      <c r="BA125" s="345"/>
      <c r="BB125" s="344">
        <v>28</v>
      </c>
      <c r="BC125" s="344">
        <v>28</v>
      </c>
      <c r="BD125" s="344">
        <v>28</v>
      </c>
      <c r="BE125" s="344">
        <v>28</v>
      </c>
      <c r="BF125" s="344">
        <f t="shared" ref="BF125" si="105">BE125</f>
        <v>28</v>
      </c>
      <c r="BG125" s="344">
        <f t="shared" ref="BG125" si="106">BF125</f>
        <v>28</v>
      </c>
      <c r="BH125" s="344">
        <f t="shared" ref="BH125" si="107">BG125</f>
        <v>28</v>
      </c>
      <c r="BI125" s="344">
        <f t="shared" ref="BI125" si="108">BH125</f>
        <v>28</v>
      </c>
      <c r="BJ125" s="344">
        <f t="shared" ref="BJ125" si="109">BI125</f>
        <v>28</v>
      </c>
      <c r="BK125" s="344">
        <f t="shared" ref="BK125" si="110">BJ125</f>
        <v>28</v>
      </c>
      <c r="BL125" s="344">
        <f t="shared" ref="BL125" si="111">BK125</f>
        <v>28</v>
      </c>
      <c r="BM125" s="344">
        <f t="shared" ref="BM125" si="112">BL125</f>
        <v>28</v>
      </c>
      <c r="BN125" s="345"/>
      <c r="BO125" s="272">
        <f>BM125</f>
        <v>28</v>
      </c>
    </row>
    <row r="126" spans="1:73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13">ROUND(AV112/30*AU125,0)</f>
        <v>0</v>
      </c>
      <c r="AV126" s="57">
        <f t="shared" si="113"/>
        <v>0</v>
      </c>
      <c r="AW126" s="57">
        <f t="shared" si="113"/>
        <v>0</v>
      </c>
      <c r="AX126" s="57">
        <f t="shared" si="113"/>
        <v>0</v>
      </c>
      <c r="AY126" s="57">
        <f t="shared" si="113"/>
        <v>0</v>
      </c>
      <c r="AZ126" s="57">
        <f t="shared" si="113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>BG112/30*BF125</f>
        <v>0</v>
      </c>
      <c r="BG126" s="57">
        <f>BH112/30*BG125</f>
        <v>0</v>
      </c>
      <c r="BH126" s="57">
        <f>BI112/30*BH125</f>
        <v>0</v>
      </c>
      <c r="BI126" s="57">
        <f>BJ112/30*BI125</f>
        <v>0</v>
      </c>
      <c r="BJ126" s="57">
        <f>ROUND(BK112/30*BJ125,0)</f>
        <v>0</v>
      </c>
      <c r="BK126" s="57">
        <f>ROUND(BL112/30*BK125,0)</f>
        <v>0</v>
      </c>
      <c r="BL126" s="57">
        <f>ROUND(BM112/30*BL125,0)</f>
        <v>0</v>
      </c>
      <c r="BM126" s="57">
        <v>0</v>
      </c>
      <c r="BN126" s="215"/>
      <c r="BO126" s="141">
        <v>262534</v>
      </c>
    </row>
    <row r="127" spans="1:73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14">ROUND(AV114/30*AU125,0)</f>
        <v>0</v>
      </c>
      <c r="AV127" s="57">
        <f t="shared" si="114"/>
        <v>0</v>
      </c>
      <c r="AW127" s="57">
        <f t="shared" si="114"/>
        <v>0</v>
      </c>
      <c r="AX127" s="57">
        <f t="shared" si="114"/>
        <v>0</v>
      </c>
      <c r="AY127" s="57">
        <f t="shared" si="114"/>
        <v>0</v>
      </c>
      <c r="AZ127" s="57">
        <f t="shared" si="114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115">ROUND(BG114/30*BF125,0)</f>
        <v>0</v>
      </c>
      <c r="BG127" s="57">
        <f t="shared" si="115"/>
        <v>0</v>
      </c>
      <c r="BH127" s="57">
        <f t="shared" si="115"/>
        <v>0</v>
      </c>
      <c r="BI127" s="57">
        <f t="shared" si="115"/>
        <v>0</v>
      </c>
      <c r="BJ127" s="57">
        <f t="shared" si="115"/>
        <v>0</v>
      </c>
      <c r="BK127" s="57">
        <f t="shared" si="115"/>
        <v>0</v>
      </c>
      <c r="BL127" s="57">
        <f t="shared" si="115"/>
        <v>0</v>
      </c>
      <c r="BM127" s="57">
        <v>0</v>
      </c>
      <c r="BN127" s="215"/>
      <c r="BO127" s="141">
        <v>64543</v>
      </c>
    </row>
    <row r="128" spans="1:73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V129" si="116">-AU126</f>
        <v>0</v>
      </c>
      <c r="AW128" s="57">
        <f t="shared" ref="AW128:AW129" si="117">-AV126</f>
        <v>0</v>
      </c>
      <c r="AX128" s="57">
        <f t="shared" ref="AX128:AX129" si="118">-AW126</f>
        <v>0</v>
      </c>
      <c r="AY128" s="57">
        <f t="shared" ref="AY128:AY129" si="119">-AX126</f>
        <v>0</v>
      </c>
      <c r="AZ128" s="57">
        <f t="shared" ref="AZ128:AZ129" si="120">-AY126</f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F129" si="121">-BE126</f>
        <v>0</v>
      </c>
      <c r="BG128" s="57">
        <f t="shared" ref="BG128:BG129" si="122">-BF126</f>
        <v>0</v>
      </c>
      <c r="BH128" s="57">
        <f t="shared" ref="BH128:BH129" si="123">-BG126</f>
        <v>0</v>
      </c>
      <c r="BI128" s="57">
        <f t="shared" ref="BI128:BI129" si="124">-BH126</f>
        <v>0</v>
      </c>
      <c r="BJ128" s="57">
        <f t="shared" ref="BJ128:BJ129" si="125">-BI126</f>
        <v>0</v>
      </c>
      <c r="BK128" s="57">
        <f t="shared" ref="BK128:BK129" si="126">-BJ126</f>
        <v>0</v>
      </c>
      <c r="BL128" s="57">
        <f t="shared" ref="BL128:BL129" si="127">-BK126</f>
        <v>0</v>
      </c>
      <c r="BM128" s="57">
        <f t="shared" ref="BM128:BM129" si="128">-BL126</f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116"/>
        <v>0</v>
      </c>
      <c r="AW129" s="57">
        <f t="shared" si="117"/>
        <v>0</v>
      </c>
      <c r="AX129" s="57">
        <f t="shared" si="118"/>
        <v>0</v>
      </c>
      <c r="AY129" s="57">
        <f t="shared" si="119"/>
        <v>0</v>
      </c>
      <c r="AZ129" s="57">
        <f t="shared" si="120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121"/>
        <v>0</v>
      </c>
      <c r="BG129" s="57">
        <f t="shared" si="122"/>
        <v>0</v>
      </c>
      <c r="BH129" s="57">
        <f t="shared" si="123"/>
        <v>0</v>
      </c>
      <c r="BI129" s="57">
        <f t="shared" si="124"/>
        <v>0</v>
      </c>
      <c r="BJ129" s="57">
        <f t="shared" si="125"/>
        <v>0</v>
      </c>
      <c r="BK129" s="57">
        <f t="shared" si="126"/>
        <v>0</v>
      </c>
      <c r="BL129" s="57">
        <f t="shared" si="127"/>
        <v>0</v>
      </c>
      <c r="BM129" s="57">
        <f t="shared" si="128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129">SUM(AV126:AV129)</f>
        <v>0</v>
      </c>
      <c r="AW130" s="344">
        <f t="shared" si="129"/>
        <v>0</v>
      </c>
      <c r="AX130" s="344">
        <f t="shared" si="129"/>
        <v>0</v>
      </c>
      <c r="AY130" s="344">
        <f t="shared" si="129"/>
        <v>0</v>
      </c>
      <c r="AZ130" s="344">
        <f t="shared" si="129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130">SUM(BF126:BF129)</f>
        <v>0</v>
      </c>
      <c r="BG130" s="344">
        <f t="shared" si="130"/>
        <v>0</v>
      </c>
      <c r="BH130" s="344">
        <f t="shared" si="130"/>
        <v>0</v>
      </c>
      <c r="BI130" s="344">
        <f t="shared" si="130"/>
        <v>0</v>
      </c>
      <c r="BJ130" s="344">
        <f t="shared" si="130"/>
        <v>0</v>
      </c>
      <c r="BK130" s="344">
        <f t="shared" si="130"/>
        <v>0</v>
      </c>
      <c r="BL130" s="344">
        <f t="shared" si="130"/>
        <v>0</v>
      </c>
      <c r="BM130" s="344">
        <f t="shared" si="130"/>
        <v>0</v>
      </c>
      <c r="BN130" s="345"/>
      <c r="BO130" s="272">
        <f t="shared" ref="BO130" si="131">SUM(BO126:BO129)</f>
        <v>327077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32">AU111+AU124</f>
        <v>201872.856</v>
      </c>
      <c r="AV132" s="66">
        <f t="shared" si="132"/>
        <v>191309.144</v>
      </c>
      <c r="AW132" s="66">
        <f t="shared" si="132"/>
        <v>217531</v>
      </c>
      <c r="AX132" s="66">
        <f t="shared" si="132"/>
        <v>225259</v>
      </c>
      <c r="AY132" s="66">
        <f t="shared" si="132"/>
        <v>315905</v>
      </c>
      <c r="AZ132" s="66">
        <f t="shared" si="132"/>
        <v>324151</v>
      </c>
      <c r="BA132" s="216">
        <f>SUM(AT132:AZ132)</f>
        <v>1476028</v>
      </c>
      <c r="BB132" s="66">
        <v>352594</v>
      </c>
      <c r="BC132" s="66">
        <v>324145</v>
      </c>
      <c r="BD132" s="66">
        <v>313935</v>
      </c>
      <c r="BE132" s="66">
        <v>255788</v>
      </c>
      <c r="BF132" s="66">
        <f t="shared" ref="BF132:BO132" si="133">BF111+BF124</f>
        <v>235798</v>
      </c>
      <c r="BG132" s="66">
        <f t="shared" si="133"/>
        <v>212596</v>
      </c>
      <c r="BH132" s="66">
        <f t="shared" si="133"/>
        <v>208074</v>
      </c>
      <c r="BI132" s="66">
        <f t="shared" si="133"/>
        <v>200031</v>
      </c>
      <c r="BJ132" s="66">
        <f t="shared" si="133"/>
        <v>217531</v>
      </c>
      <c r="BK132" s="66">
        <f t="shared" si="133"/>
        <v>225259</v>
      </c>
      <c r="BL132" s="66">
        <f t="shared" si="133"/>
        <v>315905</v>
      </c>
      <c r="BM132" s="66">
        <f t="shared" si="133"/>
        <v>348567</v>
      </c>
      <c r="BN132" s="216">
        <f t="shared" si="133"/>
        <v>3185807</v>
      </c>
      <c r="BO132" s="192">
        <f t="shared" si="133"/>
        <v>1000342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30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292"/>
    </row>
  </sheetData>
  <conditionalFormatting sqref="BN58">
    <cfRule type="cellIs" dxfId="56" priority="7" operator="lessThan">
      <formula>0</formula>
    </cfRule>
  </conditionalFormatting>
  <conditionalFormatting sqref="BA78">
    <cfRule type="cellIs" dxfId="55" priority="10" operator="lessThan">
      <formula>0</formula>
    </cfRule>
  </conditionalFormatting>
  <conditionalFormatting sqref="BA87">
    <cfRule type="cellIs" dxfId="54" priority="9" operator="lessThan">
      <formula>0</formula>
    </cfRule>
  </conditionalFormatting>
  <conditionalFormatting sqref="BN11">
    <cfRule type="cellIs" dxfId="53" priority="8" operator="lessThan">
      <formula>0</formula>
    </cfRule>
  </conditionalFormatting>
  <conditionalFormatting sqref="BN78">
    <cfRule type="cellIs" dxfId="52" priority="6" operator="lessThan">
      <formula>0</formula>
    </cfRule>
  </conditionalFormatting>
  <conditionalFormatting sqref="BN62">
    <cfRule type="cellIs" dxfId="51" priority="2" operator="lessThan">
      <formula>0</formula>
    </cfRule>
  </conditionalFormatting>
  <conditionalFormatting sqref="BN19">
    <cfRule type="cellIs" dxfId="50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ignoredErrors>
    <ignoredError sqref="BN58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T133"/>
  <sheetViews>
    <sheetView zoomScale="80" zoomScaleNormal="80" workbookViewId="0">
      <pane xSplit="1" ySplit="5" topLeftCell="N6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5" width="13.28515625" hidden="1" customWidth="1" outlineLevel="1"/>
    <col min="46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20.1406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20" style="3" bestFit="1" customWidth="1" collapsed="1"/>
    <col min="67" max="67" width="15.140625" bestFit="1" customWidth="1"/>
    <col min="69" max="69" width="10.855468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119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338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Customers!E97</f>
        <v>184</v>
      </c>
      <c r="AV7" s="124">
        <f>Customers!F97</f>
        <v>184</v>
      </c>
      <c r="AW7" s="124">
        <f>Customers!G97</f>
        <v>185</v>
      </c>
      <c r="AX7" s="124">
        <f>Customers!H97</f>
        <v>191</v>
      </c>
      <c r="AY7" s="124">
        <f>Customers!I97</f>
        <v>191</v>
      </c>
      <c r="AZ7" s="124">
        <f>Customers!J97</f>
        <v>191</v>
      </c>
      <c r="BA7" s="210">
        <f>AZ7</f>
        <v>191</v>
      </c>
      <c r="BB7" s="124">
        <v>199</v>
      </c>
      <c r="BC7" s="38">
        <v>199</v>
      </c>
      <c r="BD7" s="38">
        <v>199</v>
      </c>
      <c r="BE7" s="38">
        <v>199</v>
      </c>
      <c r="BF7" s="38">
        <f t="shared" ref="BF7" si="0">BE7</f>
        <v>199</v>
      </c>
      <c r="BG7" s="38">
        <f t="shared" ref="BG7" si="1">BF7</f>
        <v>199</v>
      </c>
      <c r="BH7" s="38">
        <f t="shared" ref="BH7" si="2">BG7</f>
        <v>199</v>
      </c>
      <c r="BI7" s="38">
        <f t="shared" ref="BI7" si="3">BH7</f>
        <v>199</v>
      </c>
      <c r="BJ7" s="38">
        <f t="shared" ref="BJ7" si="4">BI7</f>
        <v>199</v>
      </c>
      <c r="BK7" s="38">
        <f t="shared" ref="BK7" si="5">BJ7</f>
        <v>199</v>
      </c>
      <c r="BL7" s="38">
        <f t="shared" ref="BL7" si="6">BK7</f>
        <v>199</v>
      </c>
      <c r="BM7" s="38">
        <f t="shared" ref="BM7" si="7">BL7</f>
        <v>199</v>
      </c>
      <c r="BN7" s="210">
        <f>IFERROR(ROUND(AVERAGE(BB7:BM7),0),0)</f>
        <v>199</v>
      </c>
      <c r="BO7" s="146">
        <f>Customers!L97</f>
        <v>201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111380</v>
      </c>
      <c r="AV8" s="38">
        <f>ROUND(AV$11*'kWh Blocks by Rate Category'!D8,0)</f>
        <v>119249</v>
      </c>
      <c r="AW8" s="38">
        <f>ROUND(AW$11*'kWh Blocks by Rate Category'!E8,0)</f>
        <v>110639</v>
      </c>
      <c r="AX8" s="38">
        <f>ROUND(AX$11*'kWh Blocks by Rate Category'!F8,0)</f>
        <v>150800</v>
      </c>
      <c r="AY8" s="38">
        <f>ROUND(AY$11*'kWh Blocks by Rate Category'!G8,0)</f>
        <v>221360</v>
      </c>
      <c r="AZ8" s="38">
        <f>ROUND(AZ$11*'kWh Blocks by Rate Category'!H8,0)</f>
        <v>247274</v>
      </c>
      <c r="BA8" s="210">
        <f>SUM(AO8:AZ8)</f>
        <v>960702</v>
      </c>
      <c r="BB8" s="38">
        <v>355799</v>
      </c>
      <c r="BC8" s="38">
        <v>369270</v>
      </c>
      <c r="BD8" s="38">
        <v>249157</v>
      </c>
      <c r="BE8" s="38">
        <v>288951</v>
      </c>
      <c r="BF8" s="38">
        <f>ROUND(BF$11*'kWh Blocks by Rate Category'!N8,0)</f>
        <v>213272</v>
      </c>
      <c r="BG8" s="38">
        <f>ROUND(BG$11*'kWh Blocks by Rate Category'!O8,0)</f>
        <v>154297</v>
      </c>
      <c r="BH8" s="38">
        <f>ROUND(BH$11*'kWh Blocks by Rate Category'!P8,0)</f>
        <v>120460</v>
      </c>
      <c r="BI8" s="38">
        <f>ROUND(BI$11*'kWh Blocks by Rate Category'!Q8,0)</f>
        <v>128970</v>
      </c>
      <c r="BJ8" s="38">
        <f>ROUND(BJ$11*'kWh Blocks by Rate Category'!R8,0)</f>
        <v>119012</v>
      </c>
      <c r="BK8" s="38">
        <f>ROUND(BK$11*'kWh Blocks by Rate Category'!S8,0)</f>
        <v>157116</v>
      </c>
      <c r="BL8" s="38">
        <f>ROUND(BL$11*'kWh Blocks by Rate Category'!T8,0)</f>
        <v>230632</v>
      </c>
      <c r="BM8" s="38">
        <f>ROUND(BM$11*'kWh Blocks by Rate Category'!U8,0)</f>
        <v>257631</v>
      </c>
      <c r="BN8" s="210">
        <f>SUM(BB8:BM8)</f>
        <v>2644567</v>
      </c>
      <c r="BO8" s="38">
        <f>ROUND(BO$11*'kWh Blocks by Rate Category'!W8,0)</f>
        <v>2671144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59349</v>
      </c>
      <c r="AV9" s="38">
        <f>ROUND(AV$11*'kWh Blocks by Rate Category'!D9,0)</f>
        <v>63542</v>
      </c>
      <c r="AW9" s="38">
        <f>ROUND(AW$11*'kWh Blocks by Rate Category'!E9,0)</f>
        <v>58954</v>
      </c>
      <c r="AX9" s="38">
        <f>ROUND(AX$11*'kWh Blocks by Rate Category'!F9,0)</f>
        <v>80354</v>
      </c>
      <c r="AY9" s="38">
        <f>ROUND(AY$11*'kWh Blocks by Rate Category'!G9,0)</f>
        <v>117952</v>
      </c>
      <c r="AZ9" s="38">
        <f>ROUND(AZ$11*'kWh Blocks by Rate Category'!H9,0)</f>
        <v>131760</v>
      </c>
      <c r="BA9" s="210">
        <f>SUM(AO9:AZ9)</f>
        <v>511911</v>
      </c>
      <c r="BB9" s="38">
        <v>189587</v>
      </c>
      <c r="BC9" s="38">
        <v>196765</v>
      </c>
      <c r="BD9" s="38">
        <v>132763</v>
      </c>
      <c r="BE9" s="38">
        <v>153967</v>
      </c>
      <c r="BF9" s="38">
        <f>ROUND(BF$11*'kWh Blocks by Rate Category'!N9,0)</f>
        <v>113642</v>
      </c>
      <c r="BG9" s="38">
        <f>ROUND(BG$11*'kWh Blocks by Rate Category'!O9,0)</f>
        <v>82217</v>
      </c>
      <c r="BH9" s="38">
        <f>ROUND(BH$11*'kWh Blocks by Rate Category'!P9,0)</f>
        <v>64187</v>
      </c>
      <c r="BI9" s="38">
        <f>ROUND(BI$11*'kWh Blocks by Rate Category'!Q9,0)</f>
        <v>68722</v>
      </c>
      <c r="BJ9" s="38">
        <f>ROUND(BJ$11*'kWh Blocks by Rate Category'!R9,0)</f>
        <v>63415</v>
      </c>
      <c r="BK9" s="38">
        <f>ROUND(BK$11*'kWh Blocks by Rate Category'!S9,0)</f>
        <v>83719</v>
      </c>
      <c r="BL9" s="38">
        <f>ROUND(BL$11*'kWh Blocks by Rate Category'!T9,0)</f>
        <v>122892</v>
      </c>
      <c r="BM9" s="38">
        <f>ROUND(BM$11*'kWh Blocks by Rate Category'!U9,0)</f>
        <v>137279</v>
      </c>
      <c r="BN9" s="210">
        <f>SUM(BB9:BM9)</f>
        <v>1409155</v>
      </c>
      <c r="BO9" s="38">
        <f>ROUND(BO$11*'kWh Blocks by Rate Category'!W9,0)</f>
        <v>1423318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11316</v>
      </c>
      <c r="AV10" s="38">
        <f>ROUND(AV$11*'kWh Blocks by Rate Category'!D10,0)</f>
        <v>12116</v>
      </c>
      <c r="AW10" s="38">
        <f>ROUND(AW$11*'kWh Blocks by Rate Category'!E10,0)</f>
        <v>11241</v>
      </c>
      <c r="AX10" s="38">
        <f>ROUND(AX$11*'kWh Blocks by Rate Category'!F10,0)</f>
        <v>15322</v>
      </c>
      <c r="AY10" s="38">
        <f>ROUND(AY$11*'kWh Blocks by Rate Category'!G10,0)</f>
        <v>22491</v>
      </c>
      <c r="AZ10" s="38">
        <f>ROUND(AZ$11*'kWh Blocks by Rate Category'!H10,0)</f>
        <v>25124</v>
      </c>
      <c r="BA10" s="210">
        <f>SUM(AO10:AZ10)</f>
        <v>97610</v>
      </c>
      <c r="BB10" s="38">
        <v>36150</v>
      </c>
      <c r="BC10" s="38">
        <v>37519</v>
      </c>
      <c r="BD10" s="38">
        <v>25315</v>
      </c>
      <c r="BE10" s="38">
        <v>29358</v>
      </c>
      <c r="BF10" s="38">
        <f>ROUND(BF$11*'kWh Blocks by Rate Category'!N10,0)</f>
        <v>21669</v>
      </c>
      <c r="BG10" s="38">
        <f>ROUND(BG$11*'kWh Blocks by Rate Category'!O10,0)</f>
        <v>15677</v>
      </c>
      <c r="BH10" s="38">
        <f>ROUND(BH$11*'kWh Blocks by Rate Category'!P10,0)</f>
        <v>12239</v>
      </c>
      <c r="BI10" s="38">
        <f>ROUND(BI$11*'kWh Blocks by Rate Category'!Q10,0)</f>
        <v>13104</v>
      </c>
      <c r="BJ10" s="38">
        <f>ROUND(BJ$11*'kWh Blocks by Rate Category'!R10,0)</f>
        <v>12092</v>
      </c>
      <c r="BK10" s="38">
        <f>ROUND(BK$11*'kWh Blocks by Rate Category'!S10,0)</f>
        <v>15963</v>
      </c>
      <c r="BL10" s="38">
        <f>ROUND(BL$11*'kWh Blocks by Rate Category'!T10,0)</f>
        <v>23433</v>
      </c>
      <c r="BM10" s="38">
        <f>ROUND(BM$11*'kWh Blocks by Rate Category'!U10,0)</f>
        <v>26176</v>
      </c>
      <c r="BN10" s="210">
        <f>SUM(BB10:BM10)</f>
        <v>268695</v>
      </c>
      <c r="BO10" s="38">
        <f>ROUND(BO$11*'kWh Blocks by Rate Category'!W10,0)</f>
        <v>271395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8">IFERROR(ROUND(AU12*AU7,0),0)</f>
        <v>182045</v>
      </c>
      <c r="AV11" s="64">
        <f t="shared" si="8"/>
        <v>194906</v>
      </c>
      <c r="AW11" s="64">
        <f t="shared" si="8"/>
        <v>180834</v>
      </c>
      <c r="AX11" s="64">
        <f t="shared" si="8"/>
        <v>246475</v>
      </c>
      <c r="AY11" s="64">
        <f t="shared" si="8"/>
        <v>361803</v>
      </c>
      <c r="AZ11" s="64">
        <f t="shared" si="8"/>
        <v>404158</v>
      </c>
      <c r="BA11" s="196">
        <f>SUM(AO11:AZ11)</f>
        <v>1570221</v>
      </c>
      <c r="BB11" s="64">
        <v>581536</v>
      </c>
      <c r="BC11" s="64">
        <v>603554</v>
      </c>
      <c r="BD11" s="64">
        <v>407235</v>
      </c>
      <c r="BE11" s="64">
        <v>472276</v>
      </c>
      <c r="BF11" s="64">
        <f t="shared" ref="BF11" si="9">IFERROR(ROUND(BF12*BF7,0),0)</f>
        <v>348583</v>
      </c>
      <c r="BG11" s="64">
        <f t="shared" ref="BG11:BM11" si="10">IFERROR(ROUND(BG12*BG7,0),0)</f>
        <v>252191</v>
      </c>
      <c r="BH11" s="64">
        <f t="shared" si="10"/>
        <v>196886</v>
      </c>
      <c r="BI11" s="64">
        <f t="shared" si="10"/>
        <v>210795</v>
      </c>
      <c r="BJ11" s="64">
        <f t="shared" si="10"/>
        <v>194519</v>
      </c>
      <c r="BK11" s="64">
        <f t="shared" si="10"/>
        <v>256798</v>
      </c>
      <c r="BL11" s="64">
        <f t="shared" si="10"/>
        <v>376957</v>
      </c>
      <c r="BM11" s="64">
        <f t="shared" si="10"/>
        <v>421086</v>
      </c>
      <c r="BN11" s="196">
        <f>SUM(BB11:BM11)</f>
        <v>4322416</v>
      </c>
      <c r="BO11" s="64">
        <f t="shared" ref="BO11" si="11">IFERROR(ROUND(BO12*BO7,0),0)</f>
        <v>4365857</v>
      </c>
    </row>
    <row r="12" spans="1:67" ht="15" thickTop="1">
      <c r="A12" s="374" t="s">
        <v>54</v>
      </c>
      <c r="B12" s="84">
        <f>IF('kWh_Streetlight Data'!C51=0,"",'kWh_Streetlight Data'!C51)</f>
        <v>3074.0625</v>
      </c>
      <c r="C12" s="108">
        <f>IF('kWh_Streetlight Data'!D51=0,"",'kWh_Streetlight Data'!D51)</f>
        <v>2768.8238636363635</v>
      </c>
      <c r="D12" s="108">
        <f>IF('kWh_Streetlight Data'!E51=0,"",'kWh_Streetlight Data'!E51)</f>
        <v>2012.4261363636363</v>
      </c>
      <c r="E12" s="108">
        <f>IF('kWh_Streetlight Data'!F51=0,"",'kWh_Streetlight Data'!F51)</f>
        <v>2392.8636363636365</v>
      </c>
      <c r="F12" s="108">
        <f>IF('kWh_Streetlight Data'!G51=0,"",'kWh_Streetlight Data'!G51)</f>
        <v>1639.8514285714286</v>
      </c>
      <c r="G12" s="108">
        <f>IF('kWh_Streetlight Data'!H51=0,"",'kWh_Streetlight Data'!H51)</f>
        <v>1361.0617977528091</v>
      </c>
      <c r="H12" s="108">
        <f>IF('kWh_Streetlight Data'!I51=0,"",'kWh_Streetlight Data'!I51)</f>
        <v>832.57386363636363</v>
      </c>
      <c r="I12" s="108">
        <f>IF('kWh_Streetlight Data'!J51=0,"",'kWh_Streetlight Data'!J51)</f>
        <v>1103.6352941176472</v>
      </c>
      <c r="J12" s="108">
        <f>IF('kWh_Streetlight Data'!K51=0,"",'kWh_Streetlight Data'!K51)</f>
        <v>869.44508670520236</v>
      </c>
      <c r="K12" s="108">
        <f>IF('kWh_Streetlight Data'!L51=0,"",'kWh_Streetlight Data'!L51)</f>
        <v>1515.3636363636363</v>
      </c>
      <c r="L12" s="108">
        <f>IF('kWh_Streetlight Data'!M51=0,"",'kWh_Streetlight Data'!M51)</f>
        <v>1640.6720430107528</v>
      </c>
      <c r="M12" s="108">
        <f>IF('kWh_Streetlight Data'!N51=0,"",'kWh_Streetlight Data'!N51)</f>
        <v>2137.2857142857142</v>
      </c>
      <c r="N12" s="424">
        <f>IF('kWh_Streetlight Data'!O51=0,"",'kWh_Streetlight Data'!O51)</f>
        <v>1781.0605773781353</v>
      </c>
      <c r="O12" s="84">
        <f>IF('kWh_Streetlight Data'!P51=0,"",'kWh_Streetlight Data'!P51)</f>
        <v>2731.2457142857143</v>
      </c>
      <c r="P12" s="108">
        <f>IF('kWh_Streetlight Data'!Q51=0,"",'kWh_Streetlight Data'!Q51)</f>
        <v>2749.3407821229052</v>
      </c>
      <c r="Q12" s="108">
        <f>IF('kWh_Streetlight Data'!R51=0,"",'kWh_Streetlight Data'!R51)</f>
        <v>2403.7541899441339</v>
      </c>
      <c r="R12" s="108">
        <f>IF('kWh_Streetlight Data'!S51=0,"",'kWh_Streetlight Data'!S51)</f>
        <v>2016.6666666666667</v>
      </c>
      <c r="S12" s="108">
        <f>IF('kWh_Streetlight Data'!T51=0,"",'kWh_Streetlight Data'!T51)</f>
        <v>1836.0335195530727</v>
      </c>
      <c r="T12" s="108">
        <f>IF('kWh_Streetlight Data'!U51=0,"",'kWh_Streetlight Data'!U51)</f>
        <v>1232.1945945945945</v>
      </c>
      <c r="U12" s="108">
        <f>IF('kWh_Streetlight Data'!V51=0,"",'kWh_Streetlight Data'!V51)</f>
        <v>987.27692307692303</v>
      </c>
      <c r="V12" s="108">
        <f>IF('kWh_Streetlight Data'!W51=0,"",'kWh_Streetlight Data'!W51)</f>
        <v>939.51977401129943</v>
      </c>
      <c r="W12" s="108">
        <f>IF('kWh_Streetlight Data'!X51=0,"",'kWh_Streetlight Data'!X51)</f>
        <v>1000.5955056179776</v>
      </c>
      <c r="X12" s="108">
        <f>IF('kWh_Streetlight Data'!Y51=0,"",'kWh_Streetlight Data'!Y51)</f>
        <v>1141.911111111111</v>
      </c>
      <c r="Y12" s="108">
        <f>IF('kWh_Streetlight Data'!Z51=0,"",'kWh_Streetlight Data'!Z51)</f>
        <v>1889.3257142857142</v>
      </c>
      <c r="Z12" s="108">
        <f>IF('kWh_Streetlight Data'!AA51=0,"",'kWh_Streetlight Data'!AA51)</f>
        <v>2077.1864406779659</v>
      </c>
      <c r="AA12" s="424">
        <f>IF('kWh_Streetlight Data'!AB51=0,"",'kWh_Streetlight Data'!AB51)</f>
        <v>1741.8879110699397</v>
      </c>
      <c r="AB12" s="129">
        <f>IF('kWh_Streetlight Data'!AC51=0,"",'kWh_Streetlight Data'!AC51)</f>
        <v>2961.5706214689267</v>
      </c>
      <c r="AC12" s="130">
        <f>IF('kWh_Streetlight Data'!AD51=0,"",'kWh_Streetlight Data'!AD51)</f>
        <v>3580.6440677966102</v>
      </c>
      <c r="AD12" s="130">
        <f>IF('kWh_Streetlight Data'!AE51=0,"",'kWh_Streetlight Data'!AE51)</f>
        <v>1723.0395480225989</v>
      </c>
      <c r="AE12" s="130">
        <f>IF('kWh_Streetlight Data'!AF51=0,"",'kWh_Streetlight Data'!AF51)</f>
        <v>2710.2146892655369</v>
      </c>
      <c r="AF12" s="130">
        <f>IF('kWh_Streetlight Data'!AG51=0,"",'kWh_Streetlight Data'!AG51)</f>
        <v>1779.1355932203389</v>
      </c>
      <c r="AG12" s="130">
        <f>IF('kWh_Streetlight Data'!AH51=0,"",'kWh_Streetlight Data'!AH51)</f>
        <v>1208.6158192090395</v>
      </c>
      <c r="AH12" s="130">
        <f>IF('kWh_Streetlight Data'!AI51=0,"",'kWh_Streetlight Data'!AI51)</f>
        <v>1148.2768361581921</v>
      </c>
      <c r="AI12" s="130">
        <f>IF('kWh_Streetlight Data'!AJ51=0,"",'kWh_Streetlight Data'!AJ51)</f>
        <v>1134.659090909091</v>
      </c>
      <c r="AJ12" s="130">
        <f>IF('kWh_Streetlight Data'!AK51=0,"",'kWh_Streetlight Data'!AK51)</f>
        <v>1062.4021739130435</v>
      </c>
      <c r="AK12" s="130">
        <f>IF('kWh_Streetlight Data'!AL51=0,"",'kWh_Streetlight Data'!AL51)</f>
        <v>1214.0558659217877</v>
      </c>
      <c r="AL12" s="130">
        <f>IF('kWh_Streetlight Data'!AM51=0,"",'kWh_Streetlight Data'!AM51)</f>
        <v>2152.7765363128492</v>
      </c>
      <c r="AM12" s="130">
        <f>IF('kWh_Streetlight Data'!AN51=0,"",'kWh_Streetlight Data'!AN51)</f>
        <v>2133.5567567567568</v>
      </c>
      <c r="AN12" s="426">
        <f>IF('kWh_Streetlight Data'!AO51=0,"",'kWh_Streetlight Data'!AO51)</f>
        <v>1898.8272642390289</v>
      </c>
      <c r="AO12" s="34"/>
      <c r="AP12" s="35"/>
      <c r="AQ12" s="35"/>
      <c r="AR12" s="35"/>
      <c r="AS12" s="35"/>
      <c r="AT12" s="17"/>
      <c r="AU12" s="17">
        <f t="shared" ref="AU12:AZ12" si="12">IFERROR(AVERAGE(AH12,U12,H12),0)</f>
        <v>989.3758742904929</v>
      </c>
      <c r="AV12" s="17">
        <f t="shared" si="12"/>
        <v>1059.2713863460124</v>
      </c>
      <c r="AW12" s="17">
        <f t="shared" si="12"/>
        <v>977.48092207874117</v>
      </c>
      <c r="AX12" s="17">
        <f t="shared" si="12"/>
        <v>1290.443537798845</v>
      </c>
      <c r="AY12" s="17">
        <f t="shared" si="12"/>
        <v>1894.2580978697722</v>
      </c>
      <c r="AZ12" s="17">
        <f t="shared" si="12"/>
        <v>2116.0096372401458</v>
      </c>
      <c r="BA12" s="211"/>
      <c r="BB12" s="17">
        <v>2922.2929452515473</v>
      </c>
      <c r="BC12" s="17">
        <v>3032.9362378519595</v>
      </c>
      <c r="BD12" s="17">
        <v>2046.4066247767896</v>
      </c>
      <c r="BE12" s="17">
        <v>2373.2483307652801</v>
      </c>
      <c r="BF12" s="17">
        <f t="shared" ref="BF12" si="13">IFERROR(AVERAGE(F12,S12,AF12),0)</f>
        <v>1751.6735137816133</v>
      </c>
      <c r="BG12" s="17">
        <f t="shared" ref="BG12" si="14">IFERROR(AVERAGE(G12,T12,AG12),0)</f>
        <v>1267.290737185481</v>
      </c>
      <c r="BH12" s="17">
        <f t="shared" ref="BH12" si="15">IFERROR(AVERAGE(H12,U12,AH12),0)</f>
        <v>989.3758742904929</v>
      </c>
      <c r="BI12" s="17">
        <f t="shared" ref="BI12" si="16">IFERROR(AVERAGE(I12,V12,AI12),0)</f>
        <v>1059.2713863460124</v>
      </c>
      <c r="BJ12" s="17">
        <f t="shared" ref="BJ12" si="17">IFERROR(AVERAGE(J12,W12,AJ12),0)</f>
        <v>977.48092207874106</v>
      </c>
      <c r="BK12" s="17">
        <f t="shared" ref="BK12" si="18">IFERROR(AVERAGE(K12,X12,AK12),0)</f>
        <v>1290.443537798845</v>
      </c>
      <c r="BL12" s="17">
        <f t="shared" ref="BL12" si="19">IFERROR(AVERAGE(L12,Y12,AL12),0)</f>
        <v>1894.2580978697722</v>
      </c>
      <c r="BM12" s="17">
        <f t="shared" ref="BM12" si="20">IFERROR(AVERAGE(M12,Z12,AM12),0)</f>
        <v>2116.0096372401454</v>
      </c>
      <c r="BN12" s="211">
        <f>IFERROR(BN11/SUM(BB7:BM7)*12,0)</f>
        <v>21720.683417085427</v>
      </c>
      <c r="BO12" s="273">
        <f>BN12</f>
        <v>21720.683417085427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33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338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25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17"/>
      <c r="BH20" s="17"/>
      <c r="BI20" s="17"/>
      <c r="BJ20" s="17"/>
      <c r="BK20" s="17"/>
      <c r="BL20" s="17"/>
      <c r="BM20" s="17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Data'!C52=0,"",'kWh_Streetlight Data'!C52)</f>
        <v/>
      </c>
      <c r="C27" s="108" t="str">
        <f>IF('kWh_Streetlight Data'!D52=0,"",'kWh_Streetlight Data'!D52)</f>
        <v/>
      </c>
      <c r="D27" s="108" t="str">
        <f>IF('kWh_Streetlight Data'!E52=0,"",'kWh_Streetlight Data'!E52)</f>
        <v/>
      </c>
      <c r="E27" s="108" t="str">
        <f>IF('kWh_Streetlight Data'!F52=0,"",'kWh_Streetlight Data'!F52)</f>
        <v/>
      </c>
      <c r="F27" s="108" t="str">
        <f>IF('kWh_Streetlight Data'!G52=0,"",'kWh_Streetlight Data'!G52)</f>
        <v/>
      </c>
      <c r="G27" s="108" t="str">
        <f>IF('kWh_Streetlight Data'!H52=0,"",'kWh_Streetlight Data'!H52)</f>
        <v/>
      </c>
      <c r="H27" s="108" t="str">
        <f>IF('kWh_Streetlight Data'!I52=0,"",'kWh_Streetlight Data'!I52)</f>
        <v/>
      </c>
      <c r="I27" s="108" t="str">
        <f>IF('kWh_Streetlight Data'!J52=0,"",'kWh_Streetlight Data'!J52)</f>
        <v/>
      </c>
      <c r="J27" s="108" t="str">
        <f>IF('kWh_Streetlight Data'!K52=0,"",'kWh_Streetlight Data'!K52)</f>
        <v/>
      </c>
      <c r="K27" s="108" t="str">
        <f>IF('kWh_Streetlight Data'!L52=0,"",'kWh_Streetlight Data'!L52)</f>
        <v/>
      </c>
      <c r="L27" s="108" t="str">
        <f>IF('kWh_Streetlight Data'!M52=0,"",'kWh_Streetlight Data'!M52)</f>
        <v/>
      </c>
      <c r="M27" s="108" t="str">
        <f>IF('kWh_Streetlight Data'!N52=0,"",'kWh_Streetlight Data'!N52)</f>
        <v/>
      </c>
      <c r="N27" s="424" t="str">
        <f>IF('kWh_Streetlight Data'!O52=0,"",'kWh_Streetlight Data'!O52)</f>
        <v/>
      </c>
      <c r="O27" s="84" t="str">
        <f>IF('kWh_Streetlight Data'!P52=0,"",'kWh_Streetlight Data'!P52)</f>
        <v/>
      </c>
      <c r="P27" s="108" t="str">
        <f>IF('kWh_Streetlight Data'!Q52=0,"",'kWh_Streetlight Data'!Q52)</f>
        <v/>
      </c>
      <c r="Q27" s="108" t="str">
        <f>IF('kWh_Streetlight Data'!R52=0,"",'kWh_Streetlight Data'!R52)</f>
        <v/>
      </c>
      <c r="R27" s="108" t="str">
        <f>IF('kWh_Streetlight Data'!S52=0,"",'kWh_Streetlight Data'!S52)</f>
        <v/>
      </c>
      <c r="S27" s="108" t="str">
        <f>IF('kWh_Streetlight Data'!T52=0,"",'kWh_Streetlight Data'!T52)</f>
        <v/>
      </c>
      <c r="T27" s="108" t="str">
        <f>IF('kWh_Streetlight Data'!U52=0,"",'kWh_Streetlight Data'!U52)</f>
        <v/>
      </c>
      <c r="U27" s="108" t="str">
        <f>IF('kWh_Streetlight Data'!V52=0,"",'kWh_Streetlight Data'!V52)</f>
        <v/>
      </c>
      <c r="V27" s="108" t="str">
        <f>IF('kWh_Streetlight Data'!W52=0,"",'kWh_Streetlight Data'!W52)</f>
        <v/>
      </c>
      <c r="W27" s="108" t="str">
        <f>IF('kWh_Streetlight Data'!X52=0,"",'kWh_Streetlight Data'!X52)</f>
        <v/>
      </c>
      <c r="X27" s="108" t="str">
        <f>IF('kWh_Streetlight Data'!Y52=0,"",'kWh_Streetlight Data'!Y52)</f>
        <v/>
      </c>
      <c r="Y27" s="108" t="str">
        <f>IF('kWh_Streetlight Data'!Z52=0,"",'kWh_Streetlight Data'!Z52)</f>
        <v/>
      </c>
      <c r="Z27" s="108" t="str">
        <f>IF('kWh_Streetlight Data'!AA52=0,"",'kWh_Streetlight Data'!AA52)</f>
        <v/>
      </c>
      <c r="AA27" s="424" t="str">
        <f>IF('kWh_Streetlight Data'!AB52=0,"",'kWh_Streetlight Data'!AB52)</f>
        <v/>
      </c>
      <c r="AB27" s="129" t="str">
        <f>IF('kWh_Streetlight Data'!AC52=0,"",'kWh_Streetlight Data'!AC52)</f>
        <v/>
      </c>
      <c r="AC27" s="130" t="str">
        <f>IF('kWh_Streetlight Data'!AD52=0,"",'kWh_Streetlight Data'!AD52)</f>
        <v/>
      </c>
      <c r="AD27" s="130" t="str">
        <f>IF('kWh_Streetlight Data'!AE52=0,"",'kWh_Streetlight Data'!AE52)</f>
        <v/>
      </c>
      <c r="AE27" s="130" t="str">
        <f>IF('kWh_Streetlight Data'!AF52=0,"",'kWh_Streetlight Data'!AF52)</f>
        <v/>
      </c>
      <c r="AF27" s="130" t="str">
        <f>IF('kWh_Streetlight Data'!AG52=0,"",'kWh_Streetlight Data'!AG52)</f>
        <v/>
      </c>
      <c r="AG27" s="130" t="str">
        <f>IF('kWh_Streetlight Data'!AH52=0,"",'kWh_Streetlight Data'!AH52)</f>
        <v/>
      </c>
      <c r="AH27" s="108" t="str">
        <f>IF('kWh_Streetlight Data'!AI52=0,"",'kWh_Streetlight Data'!AI52)</f>
        <v/>
      </c>
      <c r="AI27" s="108" t="str">
        <f>IF('kWh_Streetlight Data'!AJ52=0,"",'kWh_Streetlight Data'!AJ52)</f>
        <v/>
      </c>
      <c r="AJ27" s="108" t="str">
        <f>IF('kWh_Streetlight Data'!AK52=0,"",'kWh_Streetlight Data'!AK52)</f>
        <v/>
      </c>
      <c r="AK27" s="108" t="str">
        <f>IF('kWh_Streetlight Data'!AL52=0,"",'kWh_Streetlight Data'!AL52)</f>
        <v/>
      </c>
      <c r="AL27" s="108" t="str">
        <f>IF('kWh_Streetlight Data'!AM52=0,"",'kWh_Streetlight Data'!AM52)</f>
        <v/>
      </c>
      <c r="AM27" s="108" t="str">
        <f>IF('kWh_Streetlight Data'!AN52=0,"",'kWh_Streetlight Data'!AN52)</f>
        <v/>
      </c>
      <c r="AN27" s="426" t="str">
        <f>IF('kWh_Streetlight Data'!AO52=0,"",'kWh_Streetlight Data'!AO52)</f>
        <v/>
      </c>
      <c r="AO27" s="48"/>
      <c r="AP27" s="49"/>
      <c r="AQ27" s="49"/>
      <c r="AR27" s="49"/>
      <c r="AS27" s="49"/>
      <c r="AT27" s="9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365"/>
      <c r="AN29" s="336"/>
      <c r="AO29" s="150"/>
      <c r="AP29" s="87"/>
      <c r="AQ29" s="87"/>
      <c r="AR29" s="87"/>
      <c r="AS29" s="87"/>
      <c r="AT29" s="38"/>
      <c r="AU29" s="124">
        <f>Customers!E99</f>
        <v>10</v>
      </c>
      <c r="AV29" s="124">
        <f>Customers!F99</f>
        <v>10</v>
      </c>
      <c r="AW29" s="124">
        <f>Customers!G99</f>
        <v>10</v>
      </c>
      <c r="AX29" s="124">
        <f>Customers!H99</f>
        <v>10</v>
      </c>
      <c r="AY29" s="124">
        <f>Customers!I99</f>
        <v>10</v>
      </c>
      <c r="AZ29" s="124">
        <f>Customers!J99</f>
        <v>10</v>
      </c>
      <c r="BA29" s="210">
        <f>AZ29</f>
        <v>10</v>
      </c>
      <c r="BB29" s="124">
        <v>10</v>
      </c>
      <c r="BC29" s="38">
        <v>10</v>
      </c>
      <c r="BD29" s="38">
        <v>10</v>
      </c>
      <c r="BE29" s="38">
        <v>10</v>
      </c>
      <c r="BF29" s="38">
        <f t="shared" ref="BF29" si="21">BE29</f>
        <v>10</v>
      </c>
      <c r="BG29" s="38">
        <f t="shared" ref="BG29" si="22">BF29</f>
        <v>10</v>
      </c>
      <c r="BH29" s="38">
        <f t="shared" ref="BH29" si="23">BG29</f>
        <v>10</v>
      </c>
      <c r="BI29" s="38">
        <f t="shared" ref="BI29" si="24">BH29</f>
        <v>10</v>
      </c>
      <c r="BJ29" s="38">
        <f t="shared" ref="BJ29" si="25">BI29</f>
        <v>10</v>
      </c>
      <c r="BK29" s="38">
        <f t="shared" ref="BK29" si="26">BJ29</f>
        <v>10</v>
      </c>
      <c r="BL29" s="38">
        <f t="shared" ref="BL29" si="27">BK29</f>
        <v>10</v>
      </c>
      <c r="BM29" s="38">
        <f t="shared" ref="BM29" si="28">BL29</f>
        <v>10</v>
      </c>
      <c r="BN29" s="210">
        <f>IFERROR(ROUND(AVERAGE(BB29:BM29),0),0)</f>
        <v>10</v>
      </c>
      <c r="BO29" s="146">
        <f>Customers!L99</f>
        <v>10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13982</v>
      </c>
      <c r="AV30" s="38">
        <f>ROUND(AV$33*'kWh Blocks by Rate Category'!D29,0)</f>
        <v>13651</v>
      </c>
      <c r="AW30" s="38">
        <f>ROUND(AW$33*'kWh Blocks by Rate Category'!E29,0)</f>
        <v>15434</v>
      </c>
      <c r="AX30" s="38">
        <f>ROUND(AX$33*'kWh Blocks by Rate Category'!F29,0)</f>
        <v>15102</v>
      </c>
      <c r="AY30" s="38">
        <f>ROUND(AY$33*'kWh Blocks by Rate Category'!G29,0)</f>
        <v>22259</v>
      </c>
      <c r="AZ30" s="38">
        <f>ROUND(AZ$33*'kWh Blocks by Rate Category'!H29,0)</f>
        <v>29060</v>
      </c>
      <c r="BA30" s="210">
        <f>SUM(AO30:AZ30)</f>
        <v>109488</v>
      </c>
      <c r="BB30" s="38">
        <v>44610</v>
      </c>
      <c r="BC30" s="38">
        <v>50344</v>
      </c>
      <c r="BD30" s="38">
        <v>35913</v>
      </c>
      <c r="BE30" s="38">
        <v>38475</v>
      </c>
      <c r="BF30" s="38">
        <f>ROUND(BF$33*'kWh Blocks by Rate Category'!N29,0)</f>
        <v>23740</v>
      </c>
      <c r="BG30" s="38">
        <f>ROUND(BG$33*'kWh Blocks by Rate Category'!O29,0)</f>
        <v>13993</v>
      </c>
      <c r="BH30" s="38">
        <f>ROUND(BH$33*'kWh Blocks by Rate Category'!P29,0)</f>
        <v>13982</v>
      </c>
      <c r="BI30" s="38">
        <f>ROUND(BI$33*'kWh Blocks by Rate Category'!Q29,0)</f>
        <v>13651</v>
      </c>
      <c r="BJ30" s="38">
        <f>ROUND(BJ$33*'kWh Blocks by Rate Category'!R29,0)</f>
        <v>15434</v>
      </c>
      <c r="BK30" s="38">
        <f>ROUND(BK$33*'kWh Blocks by Rate Category'!S29,0)</f>
        <v>15102</v>
      </c>
      <c r="BL30" s="38">
        <f>ROUND(BL$33*'kWh Blocks by Rate Category'!T29,0)</f>
        <v>22259</v>
      </c>
      <c r="BM30" s="38">
        <f>ROUND(BM$33*'kWh Blocks by Rate Category'!U29,0)</f>
        <v>29060</v>
      </c>
      <c r="BN30" s="210">
        <f>SUM(BB30:BM30)</f>
        <v>316563</v>
      </c>
      <c r="BO30" s="38">
        <f>ROUND(BO$33*'kWh Blocks by Rate Category'!W29,0)</f>
        <v>316563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1331</v>
      </c>
      <c r="AV31" s="38">
        <f>ROUND(AV$33*'kWh Blocks by Rate Category'!D30,0)</f>
        <v>1300</v>
      </c>
      <c r="AW31" s="38">
        <f>ROUND(AW$33*'kWh Blocks by Rate Category'!E30,0)</f>
        <v>1470</v>
      </c>
      <c r="AX31" s="38">
        <f>ROUND(AX$33*'kWh Blocks by Rate Category'!F30,0)</f>
        <v>1438</v>
      </c>
      <c r="AY31" s="38">
        <f>ROUND(AY$33*'kWh Blocks by Rate Category'!G30,0)</f>
        <v>2119</v>
      </c>
      <c r="AZ31" s="38">
        <f>ROUND(AZ$33*'kWh Blocks by Rate Category'!H30,0)</f>
        <v>2767</v>
      </c>
      <c r="BA31" s="210">
        <f>SUM(AO31:AZ31)</f>
        <v>10425</v>
      </c>
      <c r="BB31" s="38">
        <v>4248</v>
      </c>
      <c r="BC31" s="38">
        <v>4794</v>
      </c>
      <c r="BD31" s="38">
        <v>3420</v>
      </c>
      <c r="BE31" s="38">
        <v>3663</v>
      </c>
      <c r="BF31" s="38">
        <f>ROUND(BF$33*'kWh Blocks by Rate Category'!N30,0)</f>
        <v>2261</v>
      </c>
      <c r="BG31" s="38">
        <f>ROUND(BG$33*'kWh Blocks by Rate Category'!O30,0)</f>
        <v>1332</v>
      </c>
      <c r="BH31" s="38">
        <f>ROUND(BH$33*'kWh Blocks by Rate Category'!P30,0)</f>
        <v>1331</v>
      </c>
      <c r="BI31" s="38">
        <f>ROUND(BI$33*'kWh Blocks by Rate Category'!Q30,0)</f>
        <v>1300</v>
      </c>
      <c r="BJ31" s="38">
        <f>ROUND(BJ$33*'kWh Blocks by Rate Category'!R30,0)</f>
        <v>1470</v>
      </c>
      <c r="BK31" s="38">
        <f>ROUND(BK$33*'kWh Blocks by Rate Category'!S30,0)</f>
        <v>1438</v>
      </c>
      <c r="BL31" s="38">
        <f>ROUND(BL$33*'kWh Blocks by Rate Category'!T30,0)</f>
        <v>2119</v>
      </c>
      <c r="BM31" s="38">
        <f>ROUND(BM$33*'kWh Blocks by Rate Category'!U30,0)</f>
        <v>2767</v>
      </c>
      <c r="BN31" s="210">
        <f>SUM(BB31:BM31)</f>
        <v>30143</v>
      </c>
      <c r="BO31" s="38">
        <f>ROUND(BO$33*'kWh Blocks by Rate Category'!W30,0)</f>
        <v>30143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29">IFERROR(ROUND(AU34*AU29,0),0)</f>
        <v>15313</v>
      </c>
      <c r="AV33" s="64">
        <f t="shared" si="29"/>
        <v>14951</v>
      </c>
      <c r="AW33" s="64">
        <f t="shared" si="29"/>
        <v>16904</v>
      </c>
      <c r="AX33" s="64">
        <f t="shared" si="29"/>
        <v>16540</v>
      </c>
      <c r="AY33" s="64">
        <f t="shared" si="29"/>
        <v>24378</v>
      </c>
      <c r="AZ33" s="64">
        <f t="shared" si="29"/>
        <v>31827</v>
      </c>
      <c r="BA33" s="196">
        <f>SUM(AO33:AZ33)</f>
        <v>119913</v>
      </c>
      <c r="BB33" s="64">
        <v>48858</v>
      </c>
      <c r="BC33" s="64">
        <v>55138</v>
      </c>
      <c r="BD33" s="64">
        <v>39333</v>
      </c>
      <c r="BE33" s="64">
        <v>42138</v>
      </c>
      <c r="BF33" s="64">
        <f t="shared" ref="BF33" si="30">IFERROR(ROUND(BF34*BF29,0),0)</f>
        <v>26001</v>
      </c>
      <c r="BG33" s="64">
        <f t="shared" ref="BG33:BM33" si="31">IFERROR(ROUND(BG34*BG29,0),0)</f>
        <v>15325</v>
      </c>
      <c r="BH33" s="64">
        <f t="shared" si="31"/>
        <v>15313</v>
      </c>
      <c r="BI33" s="64">
        <f t="shared" si="31"/>
        <v>14951</v>
      </c>
      <c r="BJ33" s="64">
        <f t="shared" si="31"/>
        <v>16904</v>
      </c>
      <c r="BK33" s="64">
        <f t="shared" si="31"/>
        <v>16540</v>
      </c>
      <c r="BL33" s="64">
        <f t="shared" si="31"/>
        <v>24378</v>
      </c>
      <c r="BM33" s="64">
        <f t="shared" si="31"/>
        <v>31827</v>
      </c>
      <c r="BN33" s="196">
        <f>SUM(BB33:BM33)</f>
        <v>346706</v>
      </c>
      <c r="BO33" s="64">
        <f t="shared" ref="BO33" si="32">IFERROR(ROUND(BO34*BO29,0),0)</f>
        <v>346706</v>
      </c>
    </row>
    <row r="34" spans="1:67" ht="15.75" customHeight="1" thickTop="1">
      <c r="A34" s="374" t="s">
        <v>54</v>
      </c>
      <c r="B34" s="84">
        <f>IF('kWh_Streetlight Data'!C53=0,"",'kWh_Streetlight Data'!C53)</f>
        <v>4325.8</v>
      </c>
      <c r="C34" s="108">
        <f>IF('kWh_Streetlight Data'!D53=0,"",'kWh_Streetlight Data'!D53)</f>
        <v>4779</v>
      </c>
      <c r="D34" s="108">
        <f>IF('kWh_Streetlight Data'!E53=0,"",'kWh_Streetlight Data'!E53)</f>
        <v>3639.4545454545455</v>
      </c>
      <c r="E34" s="108">
        <f>IF('kWh_Streetlight Data'!F53=0,"",'kWh_Streetlight Data'!F53)</f>
        <v>4495.5</v>
      </c>
      <c r="F34" s="108">
        <f>IF('kWh_Streetlight Data'!G53=0,"",'kWh_Streetlight Data'!G53)</f>
        <v>1740.5454545454545</v>
      </c>
      <c r="G34" s="108">
        <f>IF('kWh_Streetlight Data'!H53=0,"",'kWh_Streetlight Data'!H53)</f>
        <v>1796.6</v>
      </c>
      <c r="H34" s="108">
        <f>IF('kWh_Streetlight Data'!I53=0,"",'kWh_Streetlight Data'!I53)</f>
        <v>1387.7</v>
      </c>
      <c r="I34" s="108">
        <f>IF('kWh_Streetlight Data'!J53=0,"",'kWh_Streetlight Data'!J53)</f>
        <v>1793.2</v>
      </c>
      <c r="J34" s="108">
        <f>IF('kWh_Streetlight Data'!K53=0,"",'kWh_Streetlight Data'!K53)</f>
        <v>1381.7</v>
      </c>
      <c r="K34" s="108">
        <f>IF('kWh_Streetlight Data'!L53=0,"",'kWh_Streetlight Data'!L53)</f>
        <v>1711.2727272727273</v>
      </c>
      <c r="L34" s="108">
        <f>IF('kWh_Streetlight Data'!M53=0,"",'kWh_Streetlight Data'!M53)</f>
        <v>2257.4444444444443</v>
      </c>
      <c r="M34" s="108">
        <f>IF('kWh_Streetlight Data'!N53=0,"",'kWh_Streetlight Data'!N53)</f>
        <v>3558</v>
      </c>
      <c r="N34" s="424">
        <f>IF('kWh_Streetlight Data'!O53=0,"",'kWh_Streetlight Data'!O53)</f>
        <v>2726.7603305785124</v>
      </c>
      <c r="O34" s="84">
        <f>IF('kWh_Streetlight Data'!P53=0,"",'kWh_Streetlight Data'!P53)</f>
        <v>5028.666666666667</v>
      </c>
      <c r="P34" s="108">
        <f>IF('kWh_Streetlight Data'!Q53=0,"",'kWh_Streetlight Data'!Q53)</f>
        <v>4904.2222222222226</v>
      </c>
      <c r="Q34" s="108">
        <f>IF('kWh_Streetlight Data'!R53=0,"",'kWh_Streetlight Data'!R53)</f>
        <v>4838.7777777777774</v>
      </c>
      <c r="R34" s="108">
        <f>IF('kWh_Streetlight Data'!S53=0,"",'kWh_Streetlight Data'!S53)</f>
        <v>4214.666666666667</v>
      </c>
      <c r="S34" s="108">
        <f>IF('kWh_Streetlight Data'!T53=0,"",'kWh_Streetlight Data'!T53)</f>
        <v>4040.1111111111113</v>
      </c>
      <c r="T34" s="108">
        <f>IF('kWh_Streetlight Data'!U53=0,"",'kWh_Streetlight Data'!U53)</f>
        <v>1321.7142857142858</v>
      </c>
      <c r="U34" s="108">
        <f>IF('kWh_Streetlight Data'!V53=0,"",'kWh_Streetlight Data'!V53)</f>
        <v>1505</v>
      </c>
      <c r="V34" s="108">
        <f>IF('kWh_Streetlight Data'!W53=0,"",'kWh_Streetlight Data'!W53)</f>
        <v>1285.8888888888889</v>
      </c>
      <c r="W34" s="108">
        <f>IF('kWh_Streetlight Data'!X53=0,"",'kWh_Streetlight Data'!X53)</f>
        <v>2424.1999999999998</v>
      </c>
      <c r="X34" s="108">
        <f>IF('kWh_Streetlight Data'!Y53=0,"",'kWh_Streetlight Data'!Y53)</f>
        <v>1706.8</v>
      </c>
      <c r="Y34" s="108">
        <f>IF('kWh_Streetlight Data'!Z53=0,"",'kWh_Streetlight Data'!Z53)</f>
        <v>2372.3000000000002</v>
      </c>
      <c r="Z34" s="108">
        <f>IF('kWh_Streetlight Data'!AA53=0,"",'kWh_Streetlight Data'!AA53)</f>
        <v>2842.3</v>
      </c>
      <c r="AA34" s="424">
        <f>IF('kWh_Streetlight Data'!AB53=0,"",'kWh_Streetlight Data'!AB53)</f>
        <v>2930.6864406779659</v>
      </c>
      <c r="AB34" s="129">
        <f>IF('kWh_Streetlight Data'!AC53=0,"",'kWh_Streetlight Data'!AC53)</f>
        <v>5302.8888888888887</v>
      </c>
      <c r="AC34" s="130">
        <f>IF('kWh_Streetlight Data'!AD53=0,"",'kWh_Streetlight Data'!AD53)</f>
        <v>6858.1111111111113</v>
      </c>
      <c r="AD34" s="130">
        <f>IF('kWh_Streetlight Data'!AE53=0,"",'kWh_Streetlight Data'!AE53)</f>
        <v>3321.6666666666665</v>
      </c>
      <c r="AE34" s="130">
        <f>IF('kWh_Streetlight Data'!AF53=0,"",'kWh_Streetlight Data'!AF53)</f>
        <v>3931.3333333333335</v>
      </c>
      <c r="AF34" s="130">
        <f>IF('kWh_Streetlight Data'!AG53=0,"",'kWh_Streetlight Data'!AG53)</f>
        <v>2019.5555555555557</v>
      </c>
      <c r="AG34" s="130">
        <f>IF('kWh_Streetlight Data'!AH53=0,"",'kWh_Streetlight Data'!AH53)</f>
        <v>1479.3333333333333</v>
      </c>
      <c r="AH34" s="130">
        <f>IF('kWh_Streetlight Data'!AI53=0,"",'kWh_Streetlight Data'!AI53)</f>
        <v>1701.2222222222222</v>
      </c>
      <c r="AI34" s="130">
        <f>IF('kWh_Streetlight Data'!AJ53=0,"",'kWh_Streetlight Data'!AJ53)</f>
        <v>1406.2222222222222</v>
      </c>
      <c r="AJ34" s="130">
        <f>IF('kWh_Streetlight Data'!AK53=0,"",'kWh_Streetlight Data'!AK53)</f>
        <v>1265.2222222222222</v>
      </c>
      <c r="AK34" s="130">
        <f>IF('kWh_Streetlight Data'!AL53=0,"",'kWh_Streetlight Data'!AL53)</f>
        <v>1544</v>
      </c>
      <c r="AL34" s="130">
        <f>IF('kWh_Streetlight Data'!AM53=0,"",'kWh_Streetlight Data'!AM53)</f>
        <v>2683.5555555555557</v>
      </c>
      <c r="AM34" s="130">
        <f>IF('kWh_Streetlight Data'!AN53=0,"",'kWh_Streetlight Data'!AN53)</f>
        <v>3147.6666666666665</v>
      </c>
      <c r="AN34" s="426">
        <f>IF('kWh_Streetlight Data'!AO53=0,"",'kWh_Streetlight Data'!AO53)</f>
        <v>2888.3981481481483</v>
      </c>
      <c r="AO34" s="43"/>
      <c r="AP34" s="40"/>
      <c r="AQ34" s="40"/>
      <c r="AR34" s="40"/>
      <c r="AS34" s="40"/>
      <c r="AT34" s="17"/>
      <c r="AU34" s="17">
        <f t="shared" ref="AU34:AZ34" si="33">IFERROR(AVERAGE(AH34,U34,H34),0)</f>
        <v>1531.3074074074075</v>
      </c>
      <c r="AV34" s="17">
        <f t="shared" si="33"/>
        <v>1495.1037037037038</v>
      </c>
      <c r="AW34" s="17">
        <f t="shared" si="33"/>
        <v>1690.3740740740741</v>
      </c>
      <c r="AX34" s="17">
        <f t="shared" si="33"/>
        <v>1654.0242424242424</v>
      </c>
      <c r="AY34" s="17">
        <f t="shared" si="33"/>
        <v>2437.7666666666669</v>
      </c>
      <c r="AZ34" s="17">
        <f t="shared" si="33"/>
        <v>3182.6555555555556</v>
      </c>
      <c r="BA34" s="211"/>
      <c r="BB34" s="9">
        <v>4885.7851851851856</v>
      </c>
      <c r="BC34" s="17">
        <v>5513.7777777777783</v>
      </c>
      <c r="BD34" s="17">
        <v>3933.2996632996633</v>
      </c>
      <c r="BE34" s="17">
        <v>4213.8333333333339</v>
      </c>
      <c r="BF34" s="17">
        <f t="shared" ref="BF34" si="34">IFERROR(AVERAGE(F34,S34,AF34),0)</f>
        <v>2600.0707070707072</v>
      </c>
      <c r="BG34" s="17">
        <f t="shared" ref="BG34" si="35">IFERROR(AVERAGE(G34,T34,AG34),0)</f>
        <v>1532.5492063492063</v>
      </c>
      <c r="BH34" s="17">
        <f t="shared" ref="BH34" si="36">IFERROR(AVERAGE(H34,U34,AH34),0)</f>
        <v>1531.3074074074073</v>
      </c>
      <c r="BI34" s="17">
        <f t="shared" ref="BI34" si="37">IFERROR(AVERAGE(I34,V34,AI34),0)</f>
        <v>1495.1037037037038</v>
      </c>
      <c r="BJ34" s="17">
        <f t="shared" ref="BJ34" si="38">IFERROR(AVERAGE(J34,W34,AJ34),0)</f>
        <v>1690.3740740740741</v>
      </c>
      <c r="BK34" s="17">
        <f t="shared" ref="BK34" si="39">IFERROR(AVERAGE(K34,X34,AK34),0)</f>
        <v>1654.0242424242424</v>
      </c>
      <c r="BL34" s="17">
        <f t="shared" ref="BL34" si="40">IFERROR(AVERAGE(L34,Y34,AL34),0)</f>
        <v>2437.7666666666669</v>
      </c>
      <c r="BM34" s="17">
        <f t="shared" ref="BM34" si="41">IFERROR(AVERAGE(M34,Z34,AM34),0)</f>
        <v>3182.6555555555556</v>
      </c>
      <c r="BN34" s="211">
        <f>IFERROR(BN33/SUM(BB29:BM29)*12,0)</f>
        <v>34670.6</v>
      </c>
      <c r="BO34" s="273">
        <f>BN34</f>
        <v>34670.6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338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6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38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38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38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333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17"/>
      <c r="BH41" s="17"/>
      <c r="BI41" s="17"/>
      <c r="BJ41" s="17"/>
      <c r="BK41" s="17"/>
      <c r="BL41" s="17"/>
      <c r="BM41" s="17"/>
      <c r="BN41" s="211"/>
      <c r="BO41" s="273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365"/>
      <c r="AM43" s="67"/>
      <c r="AN43" s="359"/>
      <c r="AO43" s="150"/>
      <c r="AP43" s="87"/>
      <c r="AQ43" s="87"/>
      <c r="AR43" s="87"/>
      <c r="AS43" s="87"/>
      <c r="AT43" s="38"/>
      <c r="AU43" s="124">
        <f>Customers!E100</f>
        <v>3</v>
      </c>
      <c r="AV43" s="124">
        <f>Customers!F100</f>
        <v>3</v>
      </c>
      <c r="AW43" s="124">
        <f>Customers!G100</f>
        <v>3</v>
      </c>
      <c r="AX43" s="124">
        <f>Customers!H100</f>
        <v>3</v>
      </c>
      <c r="AY43" s="124">
        <f>Customers!I100</f>
        <v>3</v>
      </c>
      <c r="AZ43" s="124">
        <f>Customers!J100</f>
        <v>3</v>
      </c>
      <c r="BA43" s="210">
        <f>AZ43</f>
        <v>3</v>
      </c>
      <c r="BB43" s="124">
        <v>3</v>
      </c>
      <c r="BC43" s="38">
        <v>3</v>
      </c>
      <c r="BD43" s="38">
        <v>3</v>
      </c>
      <c r="BE43" s="38">
        <v>3</v>
      </c>
      <c r="BF43" s="38">
        <f t="shared" ref="BF43" si="42">BE43</f>
        <v>3</v>
      </c>
      <c r="BG43" s="38">
        <f t="shared" ref="BG43" si="43">BF43</f>
        <v>3</v>
      </c>
      <c r="BH43" s="38">
        <f t="shared" ref="BH43" si="44">BG43</f>
        <v>3</v>
      </c>
      <c r="BI43" s="38">
        <f t="shared" ref="BI43" si="45">BH43</f>
        <v>3</v>
      </c>
      <c r="BJ43" s="38">
        <f t="shared" ref="BJ43" si="46">BI43</f>
        <v>3</v>
      </c>
      <c r="BK43" s="38">
        <f t="shared" ref="BK43" si="47">BJ43</f>
        <v>3</v>
      </c>
      <c r="BL43" s="38">
        <f t="shared" ref="BL43" si="48">BK43</f>
        <v>3</v>
      </c>
      <c r="BM43" s="38">
        <f t="shared" ref="BM43" si="49">BL43</f>
        <v>3</v>
      </c>
      <c r="BN43" s="210">
        <f>IFERROR(ROUND(AVERAGE(BB43:BM43),0),0)</f>
        <v>3</v>
      </c>
      <c r="BO43" s="146">
        <f>Customers!L100</f>
        <v>3</v>
      </c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30897</v>
      </c>
      <c r="AV44" s="38">
        <f t="shared" ref="AV44:AZ44" si="50">AV47</f>
        <v>31560</v>
      </c>
      <c r="AW44" s="38">
        <f t="shared" si="50"/>
        <v>28963</v>
      </c>
      <c r="AX44" s="38">
        <f t="shared" si="50"/>
        <v>27463</v>
      </c>
      <c r="AY44" s="38">
        <f t="shared" si="50"/>
        <v>26087</v>
      </c>
      <c r="AZ44" s="38">
        <f t="shared" si="50"/>
        <v>26197</v>
      </c>
      <c r="BA44" s="210">
        <f>SUM(AO44:AZ44)</f>
        <v>171167</v>
      </c>
      <c r="BB44" s="38">
        <v>30198</v>
      </c>
      <c r="BC44" s="38">
        <v>30698</v>
      </c>
      <c r="BD44" s="38">
        <v>22661</v>
      </c>
      <c r="BE44" s="38">
        <v>29710</v>
      </c>
      <c r="BF44" s="38">
        <f>ROUND(BF$47*'kWh Blocks by Rate Category'!N43,0)</f>
        <v>23980</v>
      </c>
      <c r="BG44" s="38">
        <f>ROUND(BG$47*'kWh Blocks by Rate Category'!O43,0)</f>
        <v>25337</v>
      </c>
      <c r="BH44" s="38">
        <f>ROUND(BH$47*'kWh Blocks by Rate Category'!P43,0)</f>
        <v>27591</v>
      </c>
      <c r="BI44" s="38">
        <f>ROUND(BI$47*'kWh Blocks by Rate Category'!Q43,0)</f>
        <v>28183</v>
      </c>
      <c r="BJ44" s="38">
        <f>ROUND(BJ$47*'kWh Blocks by Rate Category'!R43,0)</f>
        <v>25864</v>
      </c>
      <c r="BK44" s="38">
        <f>ROUND(BK$47*'kWh Blocks by Rate Category'!S43,0)</f>
        <v>24524</v>
      </c>
      <c r="BL44" s="38">
        <f>ROUND(BL$47*'kWh Blocks by Rate Category'!T43,0)</f>
        <v>23296</v>
      </c>
      <c r="BM44" s="38">
        <f>ROUND(BM$47*'kWh Blocks by Rate Category'!U43,0)</f>
        <v>23394</v>
      </c>
      <c r="BN44" s="210">
        <f>SUM(BB44:BM44)</f>
        <v>315436</v>
      </c>
      <c r="BO44" s="38">
        <f>ROUND(BO$47*'kWh Blocks by Rate Category'!W43,0)</f>
        <v>315436</v>
      </c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2569</v>
      </c>
      <c r="BC45" s="38">
        <v>2612</v>
      </c>
      <c r="BD45" s="38">
        <v>1928</v>
      </c>
      <c r="BE45" s="38">
        <v>2528</v>
      </c>
      <c r="BF45" s="38">
        <f>ROUND(BF$47*'kWh Blocks by Rate Category'!N44,0)</f>
        <v>2040</v>
      </c>
      <c r="BG45" s="38">
        <f>ROUND(BG$47*'kWh Blocks by Rate Category'!O44,0)</f>
        <v>2156</v>
      </c>
      <c r="BH45" s="38">
        <f>ROUND(BH$47*'kWh Blocks by Rate Category'!P44,0)</f>
        <v>2348</v>
      </c>
      <c r="BI45" s="38">
        <f>ROUND(BI$47*'kWh Blocks by Rate Category'!Q44,0)</f>
        <v>2398</v>
      </c>
      <c r="BJ45" s="38">
        <f>ROUND(BJ$47*'kWh Blocks by Rate Category'!R44,0)</f>
        <v>2201</v>
      </c>
      <c r="BK45" s="38">
        <f>ROUND(BK$47*'kWh Blocks by Rate Category'!S44,0)</f>
        <v>2087</v>
      </c>
      <c r="BL45" s="38">
        <f>ROUND(BL$47*'kWh Blocks by Rate Category'!T44,0)</f>
        <v>1982</v>
      </c>
      <c r="BM45" s="38">
        <f>ROUND(BM$47*'kWh Blocks by Rate Category'!U44,0)</f>
        <v>1990</v>
      </c>
      <c r="BN45" s="210">
        <f>SUM(BB45:BM45)</f>
        <v>26839</v>
      </c>
      <c r="BO45" s="38">
        <f>ROUND(BO$47*'kWh Blocks by Rate Category'!W44,0)</f>
        <v>26839</v>
      </c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1049</v>
      </c>
      <c r="BC46" s="38">
        <v>1067</v>
      </c>
      <c r="BD46" s="38">
        <v>787</v>
      </c>
      <c r="BE46" s="38">
        <v>1032</v>
      </c>
      <c r="BF46" s="38">
        <f>ROUND(BF$47*'kWh Blocks by Rate Category'!N45,0)</f>
        <v>833</v>
      </c>
      <c r="BG46" s="38">
        <f>ROUND(BG$47*'kWh Blocks by Rate Category'!O45,0)</f>
        <v>880</v>
      </c>
      <c r="BH46" s="38">
        <f>ROUND(BH$47*'kWh Blocks by Rate Category'!P45,0)</f>
        <v>959</v>
      </c>
      <c r="BI46" s="38">
        <f>ROUND(BI$47*'kWh Blocks by Rate Category'!Q45,0)</f>
        <v>979</v>
      </c>
      <c r="BJ46" s="38">
        <f>ROUND(BJ$47*'kWh Blocks by Rate Category'!R45,0)</f>
        <v>899</v>
      </c>
      <c r="BK46" s="38">
        <f>ROUND(BK$47*'kWh Blocks by Rate Category'!S45,0)</f>
        <v>852</v>
      </c>
      <c r="BL46" s="38">
        <f>ROUND(BL$47*'kWh Blocks by Rate Category'!T45,0)</f>
        <v>809</v>
      </c>
      <c r="BM46" s="38">
        <f>ROUND(BM$47*'kWh Blocks by Rate Category'!U45,0)</f>
        <v>813</v>
      </c>
      <c r="BN46" s="210">
        <f>SUM(BB46:BM46)</f>
        <v>10959</v>
      </c>
      <c r="BO46" s="38">
        <f>ROUND(BO$47*'kWh Blocks by Rate Category'!W45,0)</f>
        <v>10959</v>
      </c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51">IFERROR(ROUND(AU48*AU43,0),0)</f>
        <v>30897</v>
      </c>
      <c r="AV47" s="64">
        <f t="shared" si="51"/>
        <v>31560</v>
      </c>
      <c r="AW47" s="64">
        <f t="shared" si="51"/>
        <v>28963</v>
      </c>
      <c r="AX47" s="64">
        <f t="shared" si="51"/>
        <v>27463</v>
      </c>
      <c r="AY47" s="64">
        <f t="shared" si="51"/>
        <v>26087</v>
      </c>
      <c r="AZ47" s="64">
        <f t="shared" si="51"/>
        <v>26197</v>
      </c>
      <c r="BA47" s="196">
        <f>SUM(AO47:AZ47)</f>
        <v>171167</v>
      </c>
      <c r="BB47" s="64">
        <v>33817</v>
      </c>
      <c r="BC47" s="64">
        <v>34377</v>
      </c>
      <c r="BD47" s="64">
        <v>25377</v>
      </c>
      <c r="BE47" s="64">
        <v>33270</v>
      </c>
      <c r="BF47" s="64">
        <f t="shared" ref="BF47" si="52">IFERROR(ROUND(BF48*BF43,0),0)</f>
        <v>26853</v>
      </c>
      <c r="BG47" s="64">
        <f t="shared" ref="BG47:BM47" si="53">IFERROR(ROUND(BG48*BG43,0),0)</f>
        <v>28373</v>
      </c>
      <c r="BH47" s="64">
        <f t="shared" si="53"/>
        <v>30897</v>
      </c>
      <c r="BI47" s="64">
        <f t="shared" si="53"/>
        <v>31560</v>
      </c>
      <c r="BJ47" s="64">
        <f t="shared" si="53"/>
        <v>28963</v>
      </c>
      <c r="BK47" s="64">
        <f t="shared" si="53"/>
        <v>27463</v>
      </c>
      <c r="BL47" s="64">
        <f t="shared" si="53"/>
        <v>26087</v>
      </c>
      <c r="BM47" s="64">
        <f t="shared" si="53"/>
        <v>26197</v>
      </c>
      <c r="BN47" s="196">
        <f>SUM(BB47:BM47)</f>
        <v>353234</v>
      </c>
      <c r="BO47" s="64">
        <f t="shared" ref="BO47" si="54">IFERROR(ROUND(BO48*BO43,0),0)</f>
        <v>353234</v>
      </c>
    </row>
    <row r="48" spans="1:67" ht="15.75" customHeight="1" thickTop="1">
      <c r="A48" s="374" t="s">
        <v>54</v>
      </c>
      <c r="B48" s="129">
        <f>IF('kWh_Streetlight Data'!C54=0,"",'kWh_Streetlight Data'!C54)</f>
        <v>11183.333333333334</v>
      </c>
      <c r="C48" s="130">
        <f>IF('kWh_Streetlight Data'!D54=0,"",'kWh_Streetlight Data'!D54)</f>
        <v>10263.333333333334</v>
      </c>
      <c r="D48" s="130">
        <f>IF('kWh_Streetlight Data'!E54=0,"",'kWh_Streetlight Data'!E54)</f>
        <v>8223.3333333333339</v>
      </c>
      <c r="E48" s="130">
        <f>IF('kWh_Streetlight Data'!F54=0,"",'kWh_Streetlight Data'!F54)</f>
        <v>10966.666666666666</v>
      </c>
      <c r="F48" s="130">
        <f>IF('kWh_Streetlight Data'!G54=0,"",'kWh_Streetlight Data'!G54)</f>
        <v>8650</v>
      </c>
      <c r="G48" s="130">
        <f>IF('kWh_Streetlight Data'!H54=0,"",'kWh_Streetlight Data'!H54)</f>
        <v>9850</v>
      </c>
      <c r="H48" s="130">
        <f>IF('kWh_Streetlight Data'!I54=0,"",'kWh_Streetlight Data'!I54)</f>
        <v>8740</v>
      </c>
      <c r="I48" s="130">
        <f>IF('kWh_Streetlight Data'!J54=0,"",'kWh_Streetlight Data'!J54)</f>
        <v>10546.666666666666</v>
      </c>
      <c r="J48" s="130">
        <f>IF('kWh_Streetlight Data'!K54=0,"",'kWh_Streetlight Data'!K54)</f>
        <v>8726.6666666666661</v>
      </c>
      <c r="K48" s="130">
        <f>IF('kWh_Streetlight Data'!L54=0,"",'kWh_Streetlight Data'!L54)</f>
        <v>9136.6666666666661</v>
      </c>
      <c r="L48" s="130">
        <f>IF('kWh_Streetlight Data'!M54=0,"",'kWh_Streetlight Data'!M54)</f>
        <v>7900</v>
      </c>
      <c r="M48" s="130">
        <f>IF('kWh_Streetlight Data'!N54=0,"",'kWh_Streetlight Data'!N54)</f>
        <v>8180</v>
      </c>
      <c r="N48" s="424">
        <f>IF('kWh_Streetlight Data'!O54=0,"",'kWh_Streetlight Data'!O54)</f>
        <v>9363.8888888888887</v>
      </c>
      <c r="O48" s="129">
        <f>IF('kWh_Streetlight Data'!P54=0,"",'kWh_Streetlight Data'!P54)</f>
        <v>10810</v>
      </c>
      <c r="P48" s="130">
        <f>IF('kWh_Streetlight Data'!Q54=0,"",'kWh_Streetlight Data'!Q54)</f>
        <v>9786.6666666666661</v>
      </c>
      <c r="Q48" s="130">
        <f>IF('kWh_Streetlight Data'!R54=0,"",'kWh_Streetlight Data'!R54)</f>
        <v>9846.6666666666661</v>
      </c>
      <c r="R48" s="130">
        <f>IF('kWh_Streetlight Data'!S54=0,"",'kWh_Streetlight Data'!S54)</f>
        <v>10230</v>
      </c>
      <c r="S48" s="130">
        <f>IF('kWh_Streetlight Data'!T54=0,"",'kWh_Streetlight Data'!T54)</f>
        <v>9590</v>
      </c>
      <c r="T48" s="130">
        <f>IF('kWh_Streetlight Data'!U54=0,"",'kWh_Streetlight Data'!U54)</f>
        <v>9793.3333333333339</v>
      </c>
      <c r="U48" s="130">
        <f>IF('kWh_Streetlight Data'!V54=0,"",'kWh_Streetlight Data'!V54)</f>
        <v>12456.666666666666</v>
      </c>
      <c r="V48" s="130">
        <f>IF('kWh_Streetlight Data'!W54=0,"",'kWh_Streetlight Data'!W54)</f>
        <v>10463.333333333334</v>
      </c>
      <c r="W48" s="130">
        <f>IF('kWh_Streetlight Data'!X54=0,"",'kWh_Streetlight Data'!X54)</f>
        <v>10593.333333333334</v>
      </c>
      <c r="X48" s="130">
        <f>IF('kWh_Streetlight Data'!Y54=0,"",'kWh_Streetlight Data'!Y54)</f>
        <v>10090</v>
      </c>
      <c r="Y48" s="130">
        <f>IF('kWh_Streetlight Data'!Z54=0,"",'kWh_Streetlight Data'!Z54)</f>
        <v>8916.6666666666661</v>
      </c>
      <c r="Z48" s="130">
        <f>IF('kWh_Streetlight Data'!AA54=0,"",'kWh_Streetlight Data'!AA54)</f>
        <v>9713.3333333333339</v>
      </c>
      <c r="AA48" s="424">
        <f>IF('kWh_Streetlight Data'!AB54=0,"",'kWh_Streetlight Data'!AB54)</f>
        <v>10190.833333333334</v>
      </c>
      <c r="AB48" s="129">
        <f>IF('kWh_Streetlight Data'!AC54=0,"",'kWh_Streetlight Data'!AC54)</f>
        <v>11823.333333333334</v>
      </c>
      <c r="AC48" s="130">
        <f>IF('kWh_Streetlight Data'!AD54=0,"",'kWh_Streetlight Data'!AD54)</f>
        <v>14326.666666666666</v>
      </c>
      <c r="AD48" s="130">
        <f>IF('kWh_Streetlight Data'!AE54=0,"",'kWh_Streetlight Data'!AE54)</f>
        <v>7306.666666666667</v>
      </c>
      <c r="AE48" s="130">
        <f>IF('kWh_Streetlight Data'!AF54=0,"",'kWh_Streetlight Data'!AF54)</f>
        <v>12073.333333333334</v>
      </c>
      <c r="AF48" s="130">
        <f>IF('kWh_Streetlight Data'!AG54=0,"",'kWh_Streetlight Data'!AG54)</f>
        <v>8613.3333333333339</v>
      </c>
      <c r="AG48" s="130">
        <f>IF('kWh_Streetlight Data'!AH54=0,"",'kWh_Streetlight Data'!AH54)</f>
        <v>8730</v>
      </c>
      <c r="AH48" s="130">
        <f>IF('kWh_Streetlight Data'!AI54=0,"",'kWh_Streetlight Data'!AI54)</f>
        <v>9700</v>
      </c>
      <c r="AI48" s="130">
        <f>IF('kWh_Streetlight Data'!AJ54=0,"",'kWh_Streetlight Data'!AJ54)</f>
        <v>10550</v>
      </c>
      <c r="AJ48" s="130">
        <f>IF('kWh_Streetlight Data'!AK54=0,"",'kWh_Streetlight Data'!AK54)</f>
        <v>9643.3333333333339</v>
      </c>
      <c r="AK48" s="130">
        <f>IF('kWh_Streetlight Data'!AL54=0,"",'kWh_Streetlight Data'!AL54)</f>
        <v>8236.6666666666661</v>
      </c>
      <c r="AL48" s="130">
        <f>IF('kWh_Streetlight Data'!AM54=0,"",'kWh_Streetlight Data'!AM54)</f>
        <v>9270</v>
      </c>
      <c r="AM48" s="130">
        <f>IF('kWh_Streetlight Data'!AN54=0,"",'kWh_Streetlight Data'!AN54)</f>
        <v>8303.3333333333339</v>
      </c>
      <c r="AN48" s="426">
        <f>IF('kWh_Streetlight Data'!AO54=0,"",'kWh_Streetlight Data'!AO54)</f>
        <v>9881.3888888888887</v>
      </c>
      <c r="AO48" s="43"/>
      <c r="AP48" s="40"/>
      <c r="AQ48" s="40"/>
      <c r="AR48" s="40"/>
      <c r="AS48" s="40"/>
      <c r="AT48" s="17"/>
      <c r="AU48" s="17">
        <f t="shared" ref="AU48:AZ48" si="55">IFERROR(AVERAGE(AH48,U48,H48),0)</f>
        <v>10298.888888888889</v>
      </c>
      <c r="AV48" s="17">
        <f t="shared" si="55"/>
        <v>10520</v>
      </c>
      <c r="AW48" s="17">
        <f t="shared" si="55"/>
        <v>9654.4444444444453</v>
      </c>
      <c r="AX48" s="17">
        <f t="shared" si="55"/>
        <v>9154.4444444444434</v>
      </c>
      <c r="AY48" s="17">
        <f t="shared" si="55"/>
        <v>8695.5555555555547</v>
      </c>
      <c r="AZ48" s="17">
        <f t="shared" si="55"/>
        <v>8732.2222222222226</v>
      </c>
      <c r="BA48" s="211"/>
      <c r="BB48" s="9">
        <v>11272.222222222224</v>
      </c>
      <c r="BC48" s="17">
        <v>11458.888888888889</v>
      </c>
      <c r="BD48" s="17">
        <v>8458.8888888888887</v>
      </c>
      <c r="BE48" s="17">
        <v>11090</v>
      </c>
      <c r="BF48" s="17">
        <f t="shared" ref="BF48" si="56">IFERROR(AVERAGE(F48,S48,AF48),0)</f>
        <v>8951.1111111111113</v>
      </c>
      <c r="BG48" s="17">
        <f t="shared" ref="BG48" si="57">IFERROR(AVERAGE(G48,T48,AG48),0)</f>
        <v>9457.7777777777792</v>
      </c>
      <c r="BH48" s="17">
        <f t="shared" ref="BH48" si="58">IFERROR(AVERAGE(H48,U48,AH48),0)</f>
        <v>10298.888888888889</v>
      </c>
      <c r="BI48" s="17">
        <f t="shared" ref="BI48" si="59">IFERROR(AVERAGE(I48,V48,AI48),0)</f>
        <v>10520</v>
      </c>
      <c r="BJ48" s="17">
        <f t="shared" ref="BJ48" si="60">IFERROR(AVERAGE(J48,W48,AJ48),0)</f>
        <v>9654.4444444444453</v>
      </c>
      <c r="BK48" s="17">
        <f t="shared" ref="BK48" si="61">IFERROR(AVERAGE(K48,X48,AK48),0)</f>
        <v>9154.4444444444434</v>
      </c>
      <c r="BL48" s="17">
        <f t="shared" ref="BL48" si="62">IFERROR(AVERAGE(L48,Y48,AL48),0)</f>
        <v>8695.5555555555547</v>
      </c>
      <c r="BM48" s="17">
        <f t="shared" ref="BM48" si="63">IFERROR(AVERAGE(M48,Z48,AM48),0)</f>
        <v>8732.2222222222244</v>
      </c>
      <c r="BN48" s="211">
        <f>IFERROR(BN47/SUM(BB43:BM43)*12,0)</f>
        <v>117744.66666666666</v>
      </c>
      <c r="BO48" s="20">
        <f>BN48</f>
        <v>117744.66666666666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6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38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38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38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333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8" si="64">BE57</f>
        <v>0</v>
      </c>
      <c r="BG57" s="38">
        <f t="shared" si="64"/>
        <v>0</v>
      </c>
      <c r="BH57" s="38">
        <f t="shared" si="64"/>
        <v>0</v>
      </c>
      <c r="BI57" s="38">
        <f t="shared" si="64"/>
        <v>0</v>
      </c>
      <c r="BJ57" s="38">
        <f t="shared" si="64"/>
        <v>0</v>
      </c>
      <c r="BK57" s="38">
        <f t="shared" si="64"/>
        <v>0</v>
      </c>
      <c r="BL57" s="38">
        <f t="shared" si="64"/>
        <v>0</v>
      </c>
      <c r="BM57" s="38">
        <f t="shared" si="64"/>
        <v>0</v>
      </c>
      <c r="BN57" s="210">
        <f>IFERROR(ROUND(AVERAGE(BB57:BM57),0),0)</f>
        <v>0</v>
      </c>
      <c r="BO57" s="156"/>
    </row>
    <row r="58" spans="1:67" ht="15.75" customHeight="1" thickBot="1">
      <c r="A58" s="201" t="s">
        <v>30</v>
      </c>
      <c r="B58" s="113" t="str">
        <f>IF('kWh_Streetlight Data'!C23451=0,"",'kWh_Streetlight Data'!C234)</f>
        <v/>
      </c>
      <c r="C58" s="114" t="str">
        <f>IF('kWh_Streetlight Data'!D23451=0,"",'kWh_Streetlight Data'!D234)</f>
        <v/>
      </c>
      <c r="D58" s="114" t="str">
        <f>IF('kWh_Streetlight Data'!E23451=0,"",'kWh_Streetlight Data'!E234)</f>
        <v/>
      </c>
      <c r="E58" s="114" t="str">
        <f>IF('kWh_Streetlight Data'!F23451=0,"",'kWh_Streetlight Data'!F234)</f>
        <v/>
      </c>
      <c r="F58" s="114" t="str">
        <f>IF('kWh_Streetlight Data'!G23451=0,"",'kWh_Streetlight Data'!G234)</f>
        <v/>
      </c>
      <c r="G58" s="114" t="str">
        <f>IF('kWh_Streetlight Data'!H23451=0,"",'kWh_Streetlight Data'!H234)</f>
        <v/>
      </c>
      <c r="H58" s="114" t="str">
        <f>IF('kWh_Streetlight Data'!I23451=0,"",'kWh_Streetlight Data'!I234)</f>
        <v/>
      </c>
      <c r="I58" s="114" t="str">
        <f>IF('kWh_Streetlight Data'!J23451=0,"",'kWh_Streetlight Data'!J234)</f>
        <v/>
      </c>
      <c r="J58" s="114" t="str">
        <f>IF('kWh_Streetlight Data'!K23451=0,"",'kWh_Streetlight Data'!K234)</f>
        <v/>
      </c>
      <c r="K58" s="114" t="str">
        <f>IF('kWh_Streetlight Data'!L23451=0,"",'kWh_Streetlight Data'!L234)</f>
        <v/>
      </c>
      <c r="L58" s="114" t="str">
        <f>IF('kWh_Streetlight Data'!M23451=0,"",'kWh_Streetlight Data'!M234)</f>
        <v/>
      </c>
      <c r="M58" s="114" t="str">
        <f>IF('kWh_Streetlight Data'!N23451=0,"",'kWh_Streetlight Data'!N234)</f>
        <v/>
      </c>
      <c r="N58" s="459" t="str">
        <f>IF('kWh_Streetlight Data'!O23451=0,"",'kWh_Streetlight Data'!O234)</f>
        <v/>
      </c>
      <c r="O58" s="113" t="str">
        <f>IF('kWh_Streetlight Data'!P23451=0,"",'kWh_Streetlight Data'!P234)</f>
        <v/>
      </c>
      <c r="P58" s="114" t="str">
        <f>IF('kWh_Streetlight Data'!Q23451=0,"",'kWh_Streetlight Data'!Q234)</f>
        <v/>
      </c>
      <c r="Q58" s="114" t="str">
        <f>IF('kWh_Streetlight Data'!R23451=0,"",'kWh_Streetlight Data'!R234)</f>
        <v/>
      </c>
      <c r="R58" s="114" t="str">
        <f>IF('kWh_Streetlight Data'!S23451=0,"",'kWh_Streetlight Data'!S234)</f>
        <v/>
      </c>
      <c r="S58" s="114" t="str">
        <f>IF('kWh_Streetlight Data'!T23451=0,"",'kWh_Streetlight Data'!T234)</f>
        <v/>
      </c>
      <c r="T58" s="114" t="str">
        <f>IF('kWh_Streetlight Data'!U23451=0,"",'kWh_Streetlight Data'!U234)</f>
        <v/>
      </c>
      <c r="U58" s="114" t="str">
        <f>IF('kWh_Streetlight Data'!V23451=0,"",'kWh_Streetlight Data'!V234)</f>
        <v/>
      </c>
      <c r="V58" s="114" t="str">
        <f>IF('kWh_Streetlight Data'!W23451=0,"",'kWh_Streetlight Data'!W234)</f>
        <v/>
      </c>
      <c r="W58" s="114" t="str">
        <f>IF('kWh_Streetlight Data'!X23451=0,"",'kWh_Streetlight Data'!X234)</f>
        <v/>
      </c>
      <c r="X58" s="114" t="str">
        <f>IF('kWh_Streetlight Data'!Y23451=0,"",'kWh_Streetlight Data'!Y234)</f>
        <v/>
      </c>
      <c r="Y58" s="114" t="str">
        <f>IF('kWh_Streetlight Data'!Z23451=0,"",'kWh_Streetlight Data'!Z234)</f>
        <v/>
      </c>
      <c r="Z58" s="114" t="str">
        <f>IF('kWh_Streetlight Data'!AA23451=0,"",'kWh_Streetlight Data'!AA234)</f>
        <v/>
      </c>
      <c r="AA58" s="459" t="str">
        <f>IF('kWh_Streetlight Data'!AB23451=0,"",'kWh_Streetlight Data'!AB234)</f>
        <v/>
      </c>
      <c r="AB58" s="240" t="str">
        <f>IF('kWh_Streetlight Data'!AC23451=0,"",'kWh_Streetlight Data'!AC234)</f>
        <v/>
      </c>
      <c r="AC58" s="117" t="str">
        <f>IF('kWh_Streetlight Data'!AD23451=0,"",'kWh_Streetlight Data'!AD234)</f>
        <v/>
      </c>
      <c r="AD58" s="117" t="str">
        <f>IF('kWh_Streetlight Data'!AE23451=0,"",'kWh_Streetlight Data'!AE234)</f>
        <v/>
      </c>
      <c r="AE58" s="117" t="str">
        <f>IF('kWh_Streetlight Data'!AF23451=0,"",'kWh_Streetlight Data'!AF234)</f>
        <v/>
      </c>
      <c r="AF58" s="117" t="str">
        <f>IF('kWh_Streetlight Data'!AG23451=0,"",'kWh_Streetlight Data'!AG234)</f>
        <v/>
      </c>
      <c r="AG58" s="117" t="str">
        <f>IF('kWh_Streetlight Data'!AH23451=0,"",'kWh_Streetlight Data'!AH234)</f>
        <v/>
      </c>
      <c r="AH58" s="117" t="str">
        <f>IF('kWh_Streetlight Data'!AI23451=0,"",'kWh_Streetlight Data'!AI234)</f>
        <v/>
      </c>
      <c r="AI58" s="117" t="str">
        <f>IF('kWh_Streetlight Data'!AJ23451=0,"",'kWh_Streetlight Data'!AJ234)</f>
        <v/>
      </c>
      <c r="AJ58" s="117" t="str">
        <f>IF('kWh_Streetlight Data'!AK23451=0,"",'kWh_Streetlight Data'!AK234)</f>
        <v/>
      </c>
      <c r="AK58" s="117" t="str">
        <f>IF('kWh_Streetlight Data'!AL23451=0,"",'kWh_Streetlight Data'!AL234)</f>
        <v/>
      </c>
      <c r="AL58" s="117" t="str">
        <f>IF('kWh_Streetlight Data'!AM23451=0,"",'kWh_Streetlight Data'!AM234)</f>
        <v/>
      </c>
      <c r="AM58" s="117" t="str">
        <f>IF('kWh_Streetlight Data'!AN23451=0,"",'kWh_Streetlight Data'!AN234)</f>
        <v/>
      </c>
      <c r="AN58" s="464" t="str">
        <f>IF('kWh_Streetlight Data'!AO23451=0,"",'kWh_Streetlight Data'!AO234)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si="64"/>
        <v>0</v>
      </c>
      <c r="BG58" s="160">
        <f t="shared" si="64"/>
        <v>0</v>
      </c>
      <c r="BH58" s="160">
        <f t="shared" si="64"/>
        <v>0</v>
      </c>
      <c r="BI58" s="160">
        <f t="shared" si="64"/>
        <v>0</v>
      </c>
      <c r="BJ58" s="160">
        <f t="shared" si="64"/>
        <v>0</v>
      </c>
      <c r="BK58" s="160">
        <f t="shared" si="64"/>
        <v>0</v>
      </c>
      <c r="BL58" s="160">
        <f t="shared" si="64"/>
        <v>0</v>
      </c>
      <c r="BM58" s="160">
        <f t="shared" si="64"/>
        <v>0</v>
      </c>
      <c r="BN58" s="213">
        <f>SUM(BB58:BM58)</f>
        <v>0</v>
      </c>
      <c r="BO58" s="175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72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72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72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72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72" ht="15.75" customHeight="1" thickTop="1">
      <c r="A69" s="374" t="s">
        <v>54</v>
      </c>
      <c r="B69" s="129" t="str">
        <f>IF('kWh_Streetlight Data'!C55=0,"",'kWh_Streetlight Data'!C55)</f>
        <v/>
      </c>
      <c r="C69" s="130" t="str">
        <f>IF('kWh_Streetlight Data'!D55=0,"",'kWh_Streetlight Data'!D55)</f>
        <v/>
      </c>
      <c r="D69" s="130" t="str">
        <f>IF('kWh_Streetlight Data'!E55=0,"",'kWh_Streetlight Data'!E55)</f>
        <v/>
      </c>
      <c r="E69" s="130" t="str">
        <f>IF('kWh_Streetlight Data'!F55=0,"",'kWh_Streetlight Data'!F55)</f>
        <v/>
      </c>
      <c r="F69" s="130" t="str">
        <f>IF('kWh_Streetlight Data'!G55=0,"",'kWh_Streetlight Data'!G55)</f>
        <v/>
      </c>
      <c r="G69" s="130" t="str">
        <f>IF('kWh_Streetlight Data'!H55=0,"",'kWh_Streetlight Data'!H55)</f>
        <v/>
      </c>
      <c r="H69" s="130" t="str">
        <f>IF('kWh_Streetlight Data'!I55=0,"",'kWh_Streetlight Data'!I55)</f>
        <v/>
      </c>
      <c r="I69" s="130" t="str">
        <f>IF('kWh_Streetlight Data'!J55=0,"",'kWh_Streetlight Data'!J55)</f>
        <v/>
      </c>
      <c r="J69" s="130" t="str">
        <f>IF('kWh_Streetlight Data'!K55=0,"",'kWh_Streetlight Data'!K55)</f>
        <v/>
      </c>
      <c r="K69" s="130" t="str">
        <f>IF('kWh_Streetlight Data'!L55=0,"",'kWh_Streetlight Data'!L55)</f>
        <v/>
      </c>
      <c r="L69" s="130" t="str">
        <f>IF('kWh_Streetlight Data'!M55=0,"",'kWh_Streetlight Data'!M55)</f>
        <v/>
      </c>
      <c r="M69" s="130" t="str">
        <f>IF('kWh_Streetlight Data'!N55=0,"",'kWh_Streetlight Data'!N55)</f>
        <v/>
      </c>
      <c r="N69" s="424" t="str">
        <f>IF('kWh_Streetlight Data'!O55=0,"",'kWh_Streetlight Data'!O55)</f>
        <v/>
      </c>
      <c r="O69" s="84" t="str">
        <f>IF('kWh_Streetlight Data'!P55=0,"",'kWh_Streetlight Data'!P55)</f>
        <v/>
      </c>
      <c r="P69" s="108" t="str">
        <f>IF('kWh_Streetlight Data'!Q55=0,"",'kWh_Streetlight Data'!Q55)</f>
        <v/>
      </c>
      <c r="Q69" s="108" t="str">
        <f>IF('kWh_Streetlight Data'!R55=0,"",'kWh_Streetlight Data'!R55)</f>
        <v/>
      </c>
      <c r="R69" s="108" t="str">
        <f>IF('kWh_Streetlight Data'!S55=0,"",'kWh_Streetlight Data'!S55)</f>
        <v/>
      </c>
      <c r="S69" s="108" t="str">
        <f>IF('kWh_Streetlight Data'!T55=0,"",'kWh_Streetlight Data'!T55)</f>
        <v/>
      </c>
      <c r="T69" s="108" t="str">
        <f>IF('kWh_Streetlight Data'!U55=0,"",'kWh_Streetlight Data'!U55)</f>
        <v/>
      </c>
      <c r="U69" s="108" t="str">
        <f>IF('kWh_Streetlight Data'!V55=0,"",'kWh_Streetlight Data'!V55)</f>
        <v/>
      </c>
      <c r="V69" s="108" t="str">
        <f>IF('kWh_Streetlight Data'!W55=0,"",'kWh_Streetlight Data'!W55)</f>
        <v/>
      </c>
      <c r="W69" s="108" t="str">
        <f>IF('kWh_Streetlight Data'!X55=0,"",'kWh_Streetlight Data'!X55)</f>
        <v/>
      </c>
      <c r="X69" s="108" t="str">
        <f>IF('kWh_Streetlight Data'!Y55=0,"",'kWh_Streetlight Data'!Y55)</f>
        <v/>
      </c>
      <c r="Y69" s="108" t="str">
        <f>IF('kWh_Streetlight Data'!Z55=0,"",'kWh_Streetlight Data'!Z55)</f>
        <v/>
      </c>
      <c r="Z69" s="108" t="str">
        <f>IF('kWh_Streetlight Data'!AA55=0,"",'kWh_Streetlight Data'!AA55)</f>
        <v/>
      </c>
      <c r="AA69" s="424" t="str">
        <f>IF('kWh_Streetlight Data'!AB55=0,"",'kWh_Streetlight Data'!AB55)</f>
        <v/>
      </c>
      <c r="AB69" s="84" t="str">
        <f>IF('kWh_Streetlight Data'!AC55=0,"",'kWh_Streetlight Data'!AC55)</f>
        <v/>
      </c>
      <c r="AC69" s="108" t="str">
        <f>IF('kWh_Streetlight Data'!AD55=0,"",'kWh_Streetlight Data'!AD55)</f>
        <v/>
      </c>
      <c r="AD69" s="108" t="str">
        <f>IF('kWh_Streetlight Data'!AE55=0,"",'kWh_Streetlight Data'!AE55)</f>
        <v/>
      </c>
      <c r="AE69" s="108" t="str">
        <f>IF('kWh_Streetlight Data'!AF55=0,"",'kWh_Streetlight Data'!AF55)</f>
        <v/>
      </c>
      <c r="AF69" s="108" t="str">
        <f>IF('kWh_Streetlight Data'!AG55=0,"",'kWh_Streetlight Data'!AG55)</f>
        <v/>
      </c>
      <c r="AG69" s="108" t="str">
        <f>IF('kWh_Streetlight Data'!AH55=0,"",'kWh_Streetlight Data'!AH55)</f>
        <v/>
      </c>
      <c r="AH69" s="130" t="str">
        <f>IF('kWh_Streetlight Data'!AI55=0,"",'kWh_Streetlight Data'!AI55)</f>
        <v/>
      </c>
      <c r="AI69" s="130" t="str">
        <f>IF('kWh_Streetlight Data'!AJ55=0,"",'kWh_Streetlight Data'!AJ55)</f>
        <v/>
      </c>
      <c r="AJ69" s="130" t="str">
        <f>IF('kWh_Streetlight Data'!AK55=0,"",'kWh_Streetlight Data'!AK55)</f>
        <v/>
      </c>
      <c r="AK69" s="130" t="str">
        <f>IF('kWh_Streetlight Data'!AL55=0,"",'kWh_Streetlight Data'!AL55)</f>
        <v/>
      </c>
      <c r="AL69" s="130" t="str">
        <f>IF('kWh_Streetlight Data'!AM55=0,"",'kWh_Streetlight Data'!AM55)</f>
        <v/>
      </c>
      <c r="AM69" s="130" t="str">
        <f>IF('kWh_Streetlight Data'!AN55=0,"",'kWh_Streetlight Data'!AN55)</f>
        <v/>
      </c>
      <c r="AN69" s="424" t="str">
        <f>IF('kWh_Streetlight Data'!AO55=0,"",'kWh_Streetlight Data'!AO55)</f>
        <v/>
      </c>
      <c r="AO69" s="43"/>
      <c r="AP69" s="40"/>
      <c r="AQ69" s="40"/>
      <c r="AR69" s="40"/>
      <c r="AS69" s="40"/>
      <c r="AT69" s="9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72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72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72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72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72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72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Customers!E104</f>
        <v>13</v>
      </c>
      <c r="AV75" s="38">
        <f>Customers!F104</f>
        <v>13</v>
      </c>
      <c r="AW75" s="38">
        <f>Customers!G104</f>
        <v>13</v>
      </c>
      <c r="AX75" s="38">
        <f>Customers!H104</f>
        <v>13</v>
      </c>
      <c r="AY75" s="38">
        <f>Customers!I104</f>
        <v>13</v>
      </c>
      <c r="AZ75" s="38">
        <f>Customers!J104</f>
        <v>13</v>
      </c>
      <c r="BA75" s="210">
        <f>AZ75</f>
        <v>13</v>
      </c>
      <c r="BB75" s="124">
        <v>14</v>
      </c>
      <c r="BC75" s="38">
        <v>14</v>
      </c>
      <c r="BD75" s="38">
        <v>14</v>
      </c>
      <c r="BE75" s="38">
        <v>14</v>
      </c>
      <c r="BF75" s="38">
        <f t="shared" ref="BF75" si="65">BE75</f>
        <v>14</v>
      </c>
      <c r="BG75" s="38">
        <f t="shared" ref="BG75" si="66">BF75</f>
        <v>14</v>
      </c>
      <c r="BH75" s="38">
        <f t="shared" ref="BH75" si="67">BG75</f>
        <v>14</v>
      </c>
      <c r="BI75" s="38">
        <f t="shared" ref="BI75" si="68">BH75</f>
        <v>14</v>
      </c>
      <c r="BJ75" s="38">
        <f t="shared" ref="BJ75" si="69">BI75</f>
        <v>14</v>
      </c>
      <c r="BK75" s="38">
        <f t="shared" ref="BK75" si="70">BJ75</f>
        <v>14</v>
      </c>
      <c r="BL75" s="38">
        <f t="shared" ref="BL75" si="71">BK75</f>
        <v>14</v>
      </c>
      <c r="BM75" s="38">
        <f t="shared" ref="BM75" si="72">BL75</f>
        <v>14</v>
      </c>
      <c r="BN75" s="210">
        <f>IFERROR(ROUND(AVERAGE(BB75:BM75),0),0)</f>
        <v>14</v>
      </c>
      <c r="BO75" s="125">
        <f>Customers!L104</f>
        <v>15</v>
      </c>
    </row>
    <row r="76" spans="1:72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73">IF(AU78&gt;(AU75*250),AU75*250,AU78)</f>
        <v>3250</v>
      </c>
      <c r="AV76" s="38">
        <f t="shared" si="73"/>
        <v>3250</v>
      </c>
      <c r="AW76" s="38">
        <f t="shared" si="73"/>
        <v>3250</v>
      </c>
      <c r="AX76" s="38">
        <f t="shared" si="73"/>
        <v>3250</v>
      </c>
      <c r="AY76" s="38">
        <f t="shared" si="73"/>
        <v>3250</v>
      </c>
      <c r="AZ76" s="38">
        <f t="shared" si="73"/>
        <v>3250</v>
      </c>
      <c r="BA76" s="210">
        <f>SUM(AO76:AZ76)</f>
        <v>19500</v>
      </c>
      <c r="BB76" s="38">
        <v>3500</v>
      </c>
      <c r="BC76" s="38">
        <v>3500</v>
      </c>
      <c r="BD76" s="38">
        <v>3500</v>
      </c>
      <c r="BE76" s="38">
        <v>3500</v>
      </c>
      <c r="BF76" s="38">
        <f t="shared" ref="BF76" si="74">IF(BF78&gt;(BF75*250),BF75*250,BF78)</f>
        <v>3500</v>
      </c>
      <c r="BG76" s="38">
        <f t="shared" ref="BG76:BM76" si="75">IF(BG78&gt;(BG75*250),BG75*250,BG78)</f>
        <v>3500</v>
      </c>
      <c r="BH76" s="38">
        <f t="shared" si="75"/>
        <v>3500</v>
      </c>
      <c r="BI76" s="38">
        <f t="shared" si="75"/>
        <v>3500</v>
      </c>
      <c r="BJ76" s="38">
        <f t="shared" si="75"/>
        <v>3500</v>
      </c>
      <c r="BK76" s="38">
        <f t="shared" si="75"/>
        <v>3500</v>
      </c>
      <c r="BL76" s="38">
        <f t="shared" si="75"/>
        <v>3500</v>
      </c>
      <c r="BM76" s="38">
        <f t="shared" si="75"/>
        <v>3500</v>
      </c>
      <c r="BN76" s="210">
        <f>SUM(BB76:BM76)</f>
        <v>42000</v>
      </c>
      <c r="BO76" s="143">
        <f t="shared" ref="BO76" si="76">IF(BO78&gt;(BO75*250),BO75*250,BO78)</f>
        <v>3750</v>
      </c>
    </row>
    <row r="77" spans="1:72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77">ROUND(AU78-AU76,0)</f>
        <v>4324</v>
      </c>
      <c r="AV77" s="38">
        <f t="shared" si="77"/>
        <v>4390</v>
      </c>
      <c r="AW77" s="38">
        <f t="shared" si="77"/>
        <v>5163</v>
      </c>
      <c r="AX77" s="38">
        <f t="shared" si="77"/>
        <v>6425</v>
      </c>
      <c r="AY77" s="38">
        <f t="shared" si="77"/>
        <v>10419</v>
      </c>
      <c r="AZ77" s="38">
        <f t="shared" si="77"/>
        <v>12015</v>
      </c>
      <c r="BA77" s="210">
        <f>SUM(AO77:AZ77)</f>
        <v>42736</v>
      </c>
      <c r="BB77" s="38">
        <v>14113</v>
      </c>
      <c r="BC77" s="38">
        <v>16169</v>
      </c>
      <c r="BD77" s="38">
        <v>9232</v>
      </c>
      <c r="BE77" s="38">
        <v>12458</v>
      </c>
      <c r="BF77" s="38">
        <f t="shared" ref="BF77" si="78">ROUND(BF78-BF76,0)</f>
        <v>8748</v>
      </c>
      <c r="BG77" s="38">
        <f t="shared" ref="BG77:BM77" si="79">ROUND(BG78-BG76,0)</f>
        <v>6981</v>
      </c>
      <c r="BH77" s="38">
        <f t="shared" si="79"/>
        <v>4657</v>
      </c>
      <c r="BI77" s="38">
        <f t="shared" si="79"/>
        <v>4728</v>
      </c>
      <c r="BJ77" s="38">
        <f t="shared" si="79"/>
        <v>5561</v>
      </c>
      <c r="BK77" s="38">
        <f t="shared" si="79"/>
        <v>6919</v>
      </c>
      <c r="BL77" s="38">
        <f t="shared" si="79"/>
        <v>11221</v>
      </c>
      <c r="BM77" s="38">
        <f t="shared" si="79"/>
        <v>12940</v>
      </c>
      <c r="BN77" s="210">
        <f>SUM(BB77:BM77)</f>
        <v>113727</v>
      </c>
      <c r="BO77" s="156">
        <f t="shared" ref="BO77" si="80">ROUND(BO78-BO76,0)</f>
        <v>163100</v>
      </c>
    </row>
    <row r="78" spans="1:72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196"/>
      <c r="AO78" s="151"/>
      <c r="AP78" s="152"/>
      <c r="AQ78" s="152"/>
      <c r="AR78" s="152"/>
      <c r="AS78" s="152"/>
      <c r="AT78" s="64"/>
      <c r="AU78" s="64">
        <f t="shared" ref="AU78:AZ78" si="81">IFERROR(ROUND(AU79*AU75,0),0)</f>
        <v>7574</v>
      </c>
      <c r="AV78" s="64">
        <f t="shared" si="81"/>
        <v>7640</v>
      </c>
      <c r="AW78" s="64">
        <f t="shared" si="81"/>
        <v>8413</v>
      </c>
      <c r="AX78" s="64">
        <f t="shared" si="81"/>
        <v>9675</v>
      </c>
      <c r="AY78" s="64">
        <f t="shared" si="81"/>
        <v>13669</v>
      </c>
      <c r="AZ78" s="64">
        <f t="shared" si="81"/>
        <v>15265</v>
      </c>
      <c r="BA78" s="196">
        <f>SUM(AO78:AZ78)</f>
        <v>62236</v>
      </c>
      <c r="BB78" s="64">
        <v>17613</v>
      </c>
      <c r="BC78" s="64">
        <v>19669</v>
      </c>
      <c r="BD78" s="64">
        <v>12732</v>
      </c>
      <c r="BE78" s="64">
        <v>15958</v>
      </c>
      <c r="BF78" s="64">
        <f t="shared" ref="BF78" si="82">IFERROR(ROUND(BF79*BF75,0),0)</f>
        <v>12248</v>
      </c>
      <c r="BG78" s="64">
        <f t="shared" ref="BG78:BM78" si="83">IFERROR(ROUND(BG79*BG75,0),0)</f>
        <v>10481</v>
      </c>
      <c r="BH78" s="64">
        <f t="shared" si="83"/>
        <v>8157</v>
      </c>
      <c r="BI78" s="64">
        <f t="shared" si="83"/>
        <v>8228</v>
      </c>
      <c r="BJ78" s="64">
        <f t="shared" si="83"/>
        <v>9061</v>
      </c>
      <c r="BK78" s="64">
        <f t="shared" si="83"/>
        <v>10419</v>
      </c>
      <c r="BL78" s="64">
        <f t="shared" si="83"/>
        <v>14721</v>
      </c>
      <c r="BM78" s="64">
        <f t="shared" si="83"/>
        <v>16440</v>
      </c>
      <c r="BN78" s="196">
        <f>SUM(BB78:BM78)</f>
        <v>155727</v>
      </c>
      <c r="BO78" s="88">
        <f>ROUND(BO75*BO79,0)</f>
        <v>166850</v>
      </c>
      <c r="BQ78" s="31"/>
      <c r="BR78" s="31"/>
      <c r="BS78" s="31"/>
      <c r="BT78" s="31"/>
    </row>
    <row r="79" spans="1:72" ht="15.75" customHeight="1" thickTop="1">
      <c r="A79" s="374" t="s">
        <v>54</v>
      </c>
      <c r="B79" s="84">
        <f>IF('kWh_Streetlight Data'!C56=0,"",'kWh_Streetlight Data'!C56)</f>
        <v>1202.090909090909</v>
      </c>
      <c r="C79" s="108">
        <f>IF('kWh_Streetlight Data'!D56=0,"",'kWh_Streetlight Data'!D56)</f>
        <v>1167.2727272727273</v>
      </c>
      <c r="D79" s="108">
        <f>IF('kWh_Streetlight Data'!E56=0,"",'kWh_Streetlight Data'!E56)</f>
        <v>729.90909090909088</v>
      </c>
      <c r="E79" s="108">
        <f>IF('kWh_Streetlight Data'!F56=0,"",'kWh_Streetlight Data'!F56)</f>
        <v>942.72727272727275</v>
      </c>
      <c r="F79" s="108">
        <f>IF('kWh_Streetlight Data'!G56=0,"",'kWh_Streetlight Data'!G56)</f>
        <v>648.09090909090912</v>
      </c>
      <c r="G79" s="108">
        <f>IF('kWh_Streetlight Data'!H56=0,"",'kWh_Streetlight Data'!H56)</f>
        <v>874.5454545454545</v>
      </c>
      <c r="H79" s="108">
        <f>IF('kWh_Streetlight Data'!I56=0,"",'kWh_Streetlight Data'!I56)</f>
        <v>510.09090909090907</v>
      </c>
      <c r="I79" s="108">
        <f>IF('kWh_Streetlight Data'!J56=0,"",'kWh_Streetlight Data'!J56)</f>
        <v>555.9</v>
      </c>
      <c r="J79" s="108">
        <f>IF('kWh_Streetlight Data'!K56=0,"",'kWh_Streetlight Data'!K56)</f>
        <v>541.5454545454545</v>
      </c>
      <c r="K79" s="108">
        <f>IF('kWh_Streetlight Data'!L56=0,"",'kWh_Streetlight Data'!L56)</f>
        <v>835.5454545454545</v>
      </c>
      <c r="L79" s="108">
        <f>IF('kWh_Streetlight Data'!M56=0,"",'kWh_Streetlight Data'!M56)</f>
        <v>923.90909090909088</v>
      </c>
      <c r="M79" s="108">
        <f>IF('kWh_Streetlight Data'!N56=0,"",'kWh_Streetlight Data'!N56)</f>
        <v>1018.6363636363636</v>
      </c>
      <c r="N79" s="424">
        <f>IF('kWh_Streetlight Data'!O56=0,"",'kWh_Streetlight Data'!O56)</f>
        <v>831.27480916030538</v>
      </c>
      <c r="O79" s="84">
        <f>IF('kWh_Streetlight Data'!P56=0,"",'kWh_Streetlight Data'!P56)</f>
        <v>1050.4545454545455</v>
      </c>
      <c r="P79" s="108">
        <f>IF('kWh_Streetlight Data'!Q56=0,"",'kWh_Streetlight Data'!Q56)</f>
        <v>1064.7272727272727</v>
      </c>
      <c r="Q79" s="108">
        <f>IF('kWh_Streetlight Data'!R56=0,"",'kWh_Streetlight Data'!R56)</f>
        <v>1030</v>
      </c>
      <c r="R79" s="108">
        <f>IF('kWh_Streetlight Data'!S56=0,"",'kWh_Streetlight Data'!S56)</f>
        <v>920</v>
      </c>
      <c r="S79" s="108">
        <f>IF('kWh_Streetlight Data'!T56=0,"",'kWh_Streetlight Data'!T56)</f>
        <v>920.63636363636363</v>
      </c>
      <c r="T79" s="108">
        <f>IF('kWh_Streetlight Data'!U56=0,"",'kWh_Streetlight Data'!U56)</f>
        <v>607.61538461538464</v>
      </c>
      <c r="U79" s="108">
        <f>IF('kWh_Streetlight Data'!V56=0,"",'kWh_Streetlight Data'!V56)</f>
        <v>582.53846153846155</v>
      </c>
      <c r="V79" s="108">
        <f>IF('kWh_Streetlight Data'!W56=0,"",'kWh_Streetlight Data'!W56)</f>
        <v>415.07692307692309</v>
      </c>
      <c r="W79" s="108">
        <f>IF('kWh_Streetlight Data'!X56=0,"",'kWh_Streetlight Data'!X56)</f>
        <v>576.23076923076928</v>
      </c>
      <c r="X79" s="108">
        <f>IF('kWh_Streetlight Data'!Y56=0,"",'kWh_Streetlight Data'!Y56)</f>
        <v>584.25</v>
      </c>
      <c r="Y79" s="108">
        <f>IF('kWh_Streetlight Data'!Z56=0,"",'kWh_Streetlight Data'!Z56)</f>
        <v>833.69230769230774</v>
      </c>
      <c r="Z79" s="108">
        <f>IF('kWh_Streetlight Data'!AA56=0,"",'kWh_Streetlight Data'!AA56)</f>
        <v>1151.7692307692307</v>
      </c>
      <c r="AA79" s="424">
        <f>IF('kWh_Streetlight Data'!AB56=0,"",'kWh_Streetlight Data'!AB56)</f>
        <v>800.17241379310349</v>
      </c>
      <c r="AB79" s="129">
        <f>IF('kWh_Streetlight Data'!AC56=0,"",'kWh_Streetlight Data'!AC56)</f>
        <v>1521.7692307692307</v>
      </c>
      <c r="AC79" s="130">
        <f>IF('kWh_Streetlight Data'!AD56=0,"",'kWh_Streetlight Data'!AD56)</f>
        <v>1982.7692307692307</v>
      </c>
      <c r="AD79" s="130">
        <f>IF('kWh_Streetlight Data'!AE56=0,"",'kWh_Streetlight Data'!AE56)</f>
        <v>968.30769230769226</v>
      </c>
      <c r="AE79" s="130">
        <f>IF('kWh_Streetlight Data'!AF56=0,"",'kWh_Streetlight Data'!AF56)</f>
        <v>1556.8461538461538</v>
      </c>
      <c r="AF79" s="130">
        <f>IF('kWh_Streetlight Data'!AG56=0,"",'kWh_Streetlight Data'!AG56)</f>
        <v>1055.9230769230769</v>
      </c>
      <c r="AG79" s="130">
        <f>IF('kWh_Streetlight Data'!AH56=0,"",'kWh_Streetlight Data'!AH56)</f>
        <v>763.69230769230774</v>
      </c>
      <c r="AH79" s="130">
        <f>IF('kWh_Streetlight Data'!AI56=0,"",'kWh_Streetlight Data'!AI56)</f>
        <v>655.30769230769226</v>
      </c>
      <c r="AI79" s="130">
        <f>IF('kWh_Streetlight Data'!AJ56=0,"",'kWh_Streetlight Data'!AJ56)</f>
        <v>792.15384615384619</v>
      </c>
      <c r="AJ79" s="130">
        <f>IF('kWh_Streetlight Data'!AK56=0,"",'kWh_Streetlight Data'!AK56)</f>
        <v>823.76923076923072</v>
      </c>
      <c r="AK79" s="130">
        <f>IF('kWh_Streetlight Data'!AL56=0,"",'kWh_Streetlight Data'!AL56)</f>
        <v>812.84615384615381</v>
      </c>
      <c r="AL79" s="130">
        <f>IF('kWh_Streetlight Data'!AM56=0,"",'kWh_Streetlight Data'!AM56)</f>
        <v>1396.8461538461538</v>
      </c>
      <c r="AM79" s="130">
        <f>IF('kWh_Streetlight Data'!AN56=0,"",'kWh_Streetlight Data'!AN56)</f>
        <v>1352.3846153846155</v>
      </c>
      <c r="AN79" s="424">
        <f>IF('kWh_Streetlight Data'!AO56=0,"",'kWh_Streetlight Data'!AO56)</f>
        <v>1140.2179487179487</v>
      </c>
      <c r="AO79" s="34"/>
      <c r="AP79" s="35"/>
      <c r="AQ79" s="35"/>
      <c r="AR79" s="35"/>
      <c r="AS79" s="35"/>
      <c r="AT79" s="17"/>
      <c r="AU79" s="17">
        <f t="shared" ref="AU79:AZ79" si="84">IFERROR(AVERAGE(AH79,U79,H79),0)</f>
        <v>582.64568764568764</v>
      </c>
      <c r="AV79" s="17">
        <f t="shared" si="84"/>
        <v>587.71025641025642</v>
      </c>
      <c r="AW79" s="17">
        <f t="shared" si="84"/>
        <v>647.18181818181813</v>
      </c>
      <c r="AX79" s="17">
        <f t="shared" si="84"/>
        <v>744.2138694638694</v>
      </c>
      <c r="AY79" s="17">
        <f t="shared" si="84"/>
        <v>1051.4825174825176</v>
      </c>
      <c r="AZ79" s="17">
        <f t="shared" si="84"/>
        <v>1174.2634032634032</v>
      </c>
      <c r="BA79" s="211"/>
      <c r="BB79" s="9">
        <v>1258.1048951048951</v>
      </c>
      <c r="BC79" s="17">
        <v>1404.9230769230769</v>
      </c>
      <c r="BD79" s="17">
        <v>909.40559440559446</v>
      </c>
      <c r="BE79" s="17">
        <v>1139.8578088578088</v>
      </c>
      <c r="BF79" s="17">
        <f t="shared" ref="BF79" si="85">IFERROR(AVERAGE(F79,S79,AF79),0)</f>
        <v>874.88344988344988</v>
      </c>
      <c r="BG79" s="17">
        <f t="shared" ref="BG79" si="86">IFERROR(AVERAGE(G79,T79,AG79),0)</f>
        <v>748.61771561771559</v>
      </c>
      <c r="BH79" s="17">
        <f t="shared" ref="BH79" si="87">IFERROR(AVERAGE(H79,U79,AH79),0)</f>
        <v>582.64568764568764</v>
      </c>
      <c r="BI79" s="17">
        <f t="shared" ref="BI79" si="88">IFERROR(AVERAGE(I79,V79,AI79),0)</f>
        <v>587.71025641025642</v>
      </c>
      <c r="BJ79" s="17">
        <f t="shared" ref="BJ79" si="89">IFERROR(AVERAGE(J79,W79,AJ79),0)</f>
        <v>647.18181818181813</v>
      </c>
      <c r="BK79" s="17">
        <f t="shared" ref="BK79" si="90">IFERROR(AVERAGE(K79,X79,AK79),0)</f>
        <v>744.2138694638694</v>
      </c>
      <c r="BL79" s="17">
        <f t="shared" ref="BL79" si="91">IFERROR(AVERAGE(L79,Y79,AL79),0)</f>
        <v>1051.4825174825176</v>
      </c>
      <c r="BM79" s="17">
        <f t="shared" ref="BM79" si="92">IFERROR(AVERAGE(M79,Z79,AM79),0)</f>
        <v>1174.2634032634032</v>
      </c>
      <c r="BN79" s="211">
        <f>IFERROR(BN78/SUM(BB75:BM75)*12,0)</f>
        <v>11123.357142857143</v>
      </c>
      <c r="BO79" s="20">
        <f>BN79</f>
        <v>11123.357142857143</v>
      </c>
    </row>
    <row r="80" spans="1:72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0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0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0" ht="15.75" customHeight="1" thickTop="1">
      <c r="A83" s="374" t="s">
        <v>54</v>
      </c>
      <c r="B83" s="84" t="str">
        <f>IF('kWh_Streetlight Data'!C57=0,"",'kWh_Streetlight Data'!C57)</f>
        <v/>
      </c>
      <c r="C83" s="108" t="str">
        <f>IF('kWh_Streetlight Data'!D57=0,"",'kWh_Streetlight Data'!D57)</f>
        <v/>
      </c>
      <c r="D83" s="108" t="str">
        <f>IF('kWh_Streetlight Data'!E57=0,"",'kWh_Streetlight Data'!E57)</f>
        <v/>
      </c>
      <c r="E83" s="108" t="str">
        <f>IF('kWh_Streetlight Data'!F57=0,"",'kWh_Streetlight Data'!F57)</f>
        <v/>
      </c>
      <c r="F83" s="108" t="str">
        <f>IF('kWh_Streetlight Data'!G57=0,"",'kWh_Streetlight Data'!G57)</f>
        <v/>
      </c>
      <c r="G83" s="108" t="str">
        <f>IF('kWh_Streetlight Data'!H57=0,"",'kWh_Streetlight Data'!H57)</f>
        <v/>
      </c>
      <c r="H83" s="108" t="str">
        <f>IF('kWh_Streetlight Data'!I57=0,"",'kWh_Streetlight Data'!I57)</f>
        <v/>
      </c>
      <c r="I83" s="108" t="str">
        <f>IF('kWh_Streetlight Data'!J57=0,"",'kWh_Streetlight Data'!J57)</f>
        <v/>
      </c>
      <c r="J83" s="108" t="str">
        <f>IF('kWh_Streetlight Data'!K57=0,"",'kWh_Streetlight Data'!K57)</f>
        <v/>
      </c>
      <c r="K83" s="108" t="str">
        <f>IF('kWh_Streetlight Data'!L57=0,"",'kWh_Streetlight Data'!L57)</f>
        <v/>
      </c>
      <c r="L83" s="108" t="str">
        <f>IF('kWh_Streetlight Data'!M57=0,"",'kWh_Streetlight Data'!M57)</f>
        <v/>
      </c>
      <c r="M83" s="108" t="str">
        <f>IF('kWh_Streetlight Data'!N57=0,"",'kWh_Streetlight Data'!N57)</f>
        <v/>
      </c>
      <c r="N83" s="424" t="str">
        <f>IF('kWh_Streetlight Data'!O57=0,"",'kWh_Streetlight Data'!O57)</f>
        <v/>
      </c>
      <c r="O83" s="84" t="str">
        <f>IF('kWh_Streetlight Data'!P57=0,"",'kWh_Streetlight Data'!P57)</f>
        <v/>
      </c>
      <c r="P83" s="108" t="str">
        <f>IF('kWh_Streetlight Data'!Q57=0,"",'kWh_Streetlight Data'!Q57)</f>
        <v/>
      </c>
      <c r="Q83" s="108" t="str">
        <f>IF('kWh_Streetlight Data'!R57=0,"",'kWh_Streetlight Data'!R57)</f>
        <v/>
      </c>
      <c r="R83" s="108" t="str">
        <f>IF('kWh_Streetlight Data'!S57=0,"",'kWh_Streetlight Data'!S57)</f>
        <v/>
      </c>
      <c r="S83" s="108" t="str">
        <f>IF('kWh_Streetlight Data'!T57=0,"",'kWh_Streetlight Data'!T57)</f>
        <v/>
      </c>
      <c r="T83" s="108" t="str">
        <f>IF('kWh_Streetlight Data'!U57=0,"",'kWh_Streetlight Data'!U57)</f>
        <v/>
      </c>
      <c r="U83" s="108" t="str">
        <f>IF('kWh_Streetlight Data'!V57=0,"",'kWh_Streetlight Data'!V57)</f>
        <v/>
      </c>
      <c r="V83" s="108" t="str">
        <f>IF('kWh_Streetlight Data'!W57=0,"",'kWh_Streetlight Data'!W57)</f>
        <v/>
      </c>
      <c r="W83" s="108" t="str">
        <f>IF('kWh_Streetlight Data'!X57=0,"",'kWh_Streetlight Data'!X57)</f>
        <v/>
      </c>
      <c r="X83" s="108" t="str">
        <f>IF('kWh_Streetlight Data'!Y57=0,"",'kWh_Streetlight Data'!Y57)</f>
        <v/>
      </c>
      <c r="Y83" s="108" t="str">
        <f>IF('kWh_Streetlight Data'!Z57=0,"",'kWh_Streetlight Data'!Z57)</f>
        <v/>
      </c>
      <c r="Z83" s="108" t="str">
        <f>IF('kWh_Streetlight Data'!AA57=0,"",'kWh_Streetlight Data'!AA57)</f>
        <v/>
      </c>
      <c r="AA83" s="424" t="str">
        <f>IF('kWh_Streetlight Data'!AB57=0,"",'kWh_Streetlight Data'!AB57)</f>
        <v/>
      </c>
      <c r="AB83" s="442" t="str">
        <f>IF('kWh_Streetlight Data'!AC57=0,"",'kWh_Streetlight Data'!AC57)</f>
        <v/>
      </c>
      <c r="AC83" s="443" t="str">
        <f>IF('kWh_Streetlight Data'!AD57=0,"",'kWh_Streetlight Data'!AD57)</f>
        <v/>
      </c>
      <c r="AD83" s="443" t="str">
        <f>IF('kWh_Streetlight Data'!AE57=0,"",'kWh_Streetlight Data'!AE57)</f>
        <v/>
      </c>
      <c r="AE83" s="443" t="str">
        <f>IF('kWh_Streetlight Data'!AF57=0,"",'kWh_Streetlight Data'!AF57)</f>
        <v/>
      </c>
      <c r="AF83" s="443" t="str">
        <f>IF('kWh_Streetlight Data'!AG57=0,"",'kWh_Streetlight Data'!AG57)</f>
        <v/>
      </c>
      <c r="AG83" s="443" t="str">
        <f>IF('kWh_Streetlight Data'!AH57=0,"",'kWh_Streetlight Data'!AH57)</f>
        <v/>
      </c>
      <c r="AH83" s="108" t="str">
        <f>IF('kWh_Streetlight Data'!AI57=0,"",'kWh_Streetlight Data'!AI57)</f>
        <v/>
      </c>
      <c r="AI83" s="108" t="str">
        <f>IF('kWh_Streetlight Data'!AJ57=0,"",'kWh_Streetlight Data'!AJ57)</f>
        <v/>
      </c>
      <c r="AJ83" s="108" t="str">
        <f>IF('kWh_Streetlight Data'!AK57=0,"",'kWh_Streetlight Data'!AK57)</f>
        <v/>
      </c>
      <c r="AK83" s="108" t="str">
        <f>IF('kWh_Streetlight Data'!AL57=0,"",'kWh_Streetlight Data'!AL57)</f>
        <v/>
      </c>
      <c r="AL83" s="108" t="str">
        <f>IF('kWh_Streetlight Data'!AM57=0,"",'kWh_Streetlight Data'!AM57)</f>
        <v/>
      </c>
      <c r="AM83" s="108" t="str">
        <f>IF('kWh_Streetlight Data'!AN57=0,"",'kWh_Streetlight Data'!AN57)</f>
        <v/>
      </c>
      <c r="AN83" s="424" t="str">
        <f>IF('kWh_Streetlight Data'!AO57=0,"",'kWh_Streetlight Data'!AO57)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0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0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0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Customers!E105</f>
        <v>21</v>
      </c>
      <c r="AV86" s="38">
        <f>Customers!F105</f>
        <v>21</v>
      </c>
      <c r="AW86" s="38">
        <f>Customers!G105</f>
        <v>21</v>
      </c>
      <c r="AX86" s="38">
        <f>Customers!H105</f>
        <v>21</v>
      </c>
      <c r="AY86" s="38">
        <f>Customers!I105</f>
        <v>21</v>
      </c>
      <c r="AZ86" s="38">
        <f>Customers!J105</f>
        <v>21</v>
      </c>
      <c r="BA86" s="210">
        <f>AZ86</f>
        <v>21</v>
      </c>
      <c r="BB86" s="124">
        <v>21</v>
      </c>
      <c r="BC86" s="38">
        <v>21</v>
      </c>
      <c r="BD86" s="38">
        <v>21</v>
      </c>
      <c r="BE86" s="38">
        <v>21</v>
      </c>
      <c r="BF86" s="38">
        <f t="shared" ref="BF86" si="93">BE86</f>
        <v>21</v>
      </c>
      <c r="BG86" s="38">
        <f t="shared" ref="BG86" si="94">BF86</f>
        <v>21</v>
      </c>
      <c r="BH86" s="38">
        <f t="shared" ref="BH86" si="95">BG86</f>
        <v>21</v>
      </c>
      <c r="BI86" s="38">
        <f t="shared" ref="BI86" si="96">BH86</f>
        <v>21</v>
      </c>
      <c r="BJ86" s="38">
        <f t="shared" ref="BJ86" si="97">BI86</f>
        <v>21</v>
      </c>
      <c r="BK86" s="38">
        <f t="shared" ref="BK86" si="98">BJ86</f>
        <v>21</v>
      </c>
      <c r="BL86" s="38">
        <f t="shared" ref="BL86" si="99">BK86</f>
        <v>21</v>
      </c>
      <c r="BM86" s="38">
        <f t="shared" ref="BM86" si="100">BL86</f>
        <v>21</v>
      </c>
      <c r="BN86" s="210">
        <f>IFERROR(ROUND(AVERAGE(BB86:BM86),0),0)</f>
        <v>21</v>
      </c>
      <c r="BO86" s="125">
        <f>Customers!L105</f>
        <v>21</v>
      </c>
    </row>
    <row r="87" spans="1:70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101">IFERROR(ROUND(AU88*AU86,0),0)</f>
        <v>62098</v>
      </c>
      <c r="AV87" s="160">
        <f t="shared" si="101"/>
        <v>60626</v>
      </c>
      <c r="AW87" s="160">
        <f t="shared" si="101"/>
        <v>55708</v>
      </c>
      <c r="AX87" s="160">
        <f t="shared" si="101"/>
        <v>68561</v>
      </c>
      <c r="AY87" s="160">
        <f t="shared" si="101"/>
        <v>101030</v>
      </c>
      <c r="AZ87" s="160">
        <f t="shared" si="101"/>
        <v>112154</v>
      </c>
      <c r="BA87" s="196">
        <f>SUM(AO87:AZ87)</f>
        <v>460177</v>
      </c>
      <c r="BB87" s="160">
        <v>136099</v>
      </c>
      <c r="BC87" s="160">
        <v>137975</v>
      </c>
      <c r="BD87" s="160">
        <v>102167</v>
      </c>
      <c r="BE87" s="160">
        <v>113773</v>
      </c>
      <c r="BF87" s="160">
        <f t="shared" ref="BF87" si="102">IFERROR(ROUND(BF88*BF86,0),0)</f>
        <v>89100</v>
      </c>
      <c r="BG87" s="160">
        <f t="shared" ref="BG87:BM87" si="103">IFERROR(ROUND(BG88*BG86,0),0)</f>
        <v>75024</v>
      </c>
      <c r="BH87" s="160">
        <f t="shared" si="103"/>
        <v>62098</v>
      </c>
      <c r="BI87" s="160">
        <f t="shared" si="103"/>
        <v>60626</v>
      </c>
      <c r="BJ87" s="160">
        <f t="shared" si="103"/>
        <v>55708</v>
      </c>
      <c r="BK87" s="160">
        <f t="shared" si="103"/>
        <v>68561</v>
      </c>
      <c r="BL87" s="160">
        <f t="shared" si="103"/>
        <v>101030</v>
      </c>
      <c r="BM87" s="160">
        <f t="shared" si="103"/>
        <v>112154</v>
      </c>
      <c r="BN87" s="196">
        <f>SUM(BB87:BM87)</f>
        <v>1114315</v>
      </c>
      <c r="BO87" s="144">
        <f>IFERROR(ROUND(BO88*BO86,0),0)</f>
        <v>1114315</v>
      </c>
      <c r="BR87" s="31"/>
    </row>
    <row r="88" spans="1:70" ht="15.75" customHeight="1" thickTop="1">
      <c r="A88" s="374" t="s">
        <v>54</v>
      </c>
      <c r="B88" s="84">
        <f>IF('kWh_Streetlight Data'!C58=0,"",'kWh_Streetlight Data'!C58)</f>
        <v>6574.1</v>
      </c>
      <c r="C88" s="108">
        <f>IF('kWh_Streetlight Data'!D58=0,"",'kWh_Streetlight Data'!D58)</f>
        <v>6004.05</v>
      </c>
      <c r="D88" s="108">
        <f>IF('kWh_Streetlight Data'!E58=0,"",'kWh_Streetlight Data'!E58)</f>
        <v>4741.95</v>
      </c>
      <c r="E88" s="108">
        <f>IF('kWh_Streetlight Data'!F58=0,"",'kWh_Streetlight Data'!F58)</f>
        <v>5199.2</v>
      </c>
      <c r="F88" s="108">
        <f>IF('kWh_Streetlight Data'!G58=0,"",'kWh_Streetlight Data'!G58)</f>
        <v>3956.8</v>
      </c>
      <c r="G88" s="108">
        <f>IF('kWh_Streetlight Data'!H58=0,"",'kWh_Streetlight Data'!H58)</f>
        <v>4344.1000000000004</v>
      </c>
      <c r="H88" s="108">
        <f>IF('kWh_Streetlight Data'!I58=0,"",'kWh_Streetlight Data'!I58)</f>
        <v>2530.4</v>
      </c>
      <c r="I88" s="108">
        <f>IF('kWh_Streetlight Data'!J58=0,"",'kWh_Streetlight Data'!J58)</f>
        <v>2875.3333333333335</v>
      </c>
      <c r="J88" s="108">
        <f>IF('kWh_Streetlight Data'!K58=0,"",'kWh_Streetlight Data'!K58)</f>
        <v>2486.7619047619046</v>
      </c>
      <c r="K88" s="108">
        <f>IF('kWh_Streetlight Data'!L58=0,"",'kWh_Streetlight Data'!L58)</f>
        <v>3900.8571428571427</v>
      </c>
      <c r="L88" s="108">
        <f>IF('kWh_Streetlight Data'!M58=0,"",'kWh_Streetlight Data'!M58)</f>
        <v>4111.7142857142853</v>
      </c>
      <c r="M88" s="108">
        <f>IF('kWh_Streetlight Data'!N58=0,"",'kWh_Streetlight Data'!N58)</f>
        <v>5175.045454545455</v>
      </c>
      <c r="N88" s="424">
        <f>IF('kWh_Streetlight Data'!O58=0,"",'kWh_Streetlight Data'!O58)</f>
        <v>4315.9796747967475</v>
      </c>
      <c r="O88" s="84">
        <f>IF('kWh_Streetlight Data'!P58=0,"",'kWh_Streetlight Data'!P58)</f>
        <v>6502.3809523809523</v>
      </c>
      <c r="P88" s="108">
        <f>IF('kWh_Streetlight Data'!Q58=0,"",'kWh_Streetlight Data'!Q58)</f>
        <v>5450.363636363636</v>
      </c>
      <c r="Q88" s="108">
        <f>IF('kWh_Streetlight Data'!R58=0,"",'kWh_Streetlight Data'!R58)</f>
        <v>5943</v>
      </c>
      <c r="R88" s="108">
        <f>IF('kWh_Streetlight Data'!S58=0,"",'kWh_Streetlight Data'!S58)</f>
        <v>4733.4761904761908</v>
      </c>
      <c r="S88" s="108">
        <f>IF('kWh_Streetlight Data'!T58=0,"",'kWh_Streetlight Data'!T58)</f>
        <v>4551.9047619047615</v>
      </c>
      <c r="T88" s="108">
        <f>IF('kWh_Streetlight Data'!U58=0,"",'kWh_Streetlight Data'!U58)</f>
        <v>3058.5238095238096</v>
      </c>
      <c r="U88" s="108">
        <f>IF('kWh_Streetlight Data'!V58=0,"",'kWh_Streetlight Data'!V58)</f>
        <v>3196.35</v>
      </c>
      <c r="V88" s="108">
        <f>IF('kWh_Streetlight Data'!W58=0,"",'kWh_Streetlight Data'!W58)</f>
        <v>3027.6</v>
      </c>
      <c r="W88" s="108">
        <f>IF('kWh_Streetlight Data'!X58=0,"",'kWh_Streetlight Data'!X58)</f>
        <v>2754.3809523809523</v>
      </c>
      <c r="X88" s="108">
        <f>IF('kWh_Streetlight Data'!Y58=0,"",'kWh_Streetlight Data'!Y58)</f>
        <v>3151.4761904761904</v>
      </c>
      <c r="Y88" s="108">
        <f>IF('kWh_Streetlight Data'!Z58=0,"",'kWh_Streetlight Data'!Z58)</f>
        <v>4972.6190476190477</v>
      </c>
      <c r="Z88" s="108">
        <f>IF('kWh_Streetlight Data'!AA58=0,"",'kWh_Streetlight Data'!AA58)</f>
        <v>5743</v>
      </c>
      <c r="AA88" s="426">
        <f>IF('kWh_Streetlight Data'!AB58=0,"",'kWh_Streetlight Data'!AB58)</f>
        <v>4438.2988047808767</v>
      </c>
      <c r="AB88" s="442">
        <f>IF('kWh_Streetlight Data'!AC58=0,"",'kWh_Streetlight Data'!AC58)</f>
        <v>6366.2380952380954</v>
      </c>
      <c r="AC88" s="443">
        <f>IF('kWh_Streetlight Data'!AD58=0,"",'kWh_Streetlight Data'!AD58)</f>
        <v>8256.3333333333339</v>
      </c>
      <c r="AD88" s="443">
        <f>IF('kWh_Streetlight Data'!AE58=0,"",'kWh_Streetlight Data'!AE58)</f>
        <v>3910.3333333333335</v>
      </c>
      <c r="AE88" s="443">
        <f>IF('kWh_Streetlight Data'!AF58=0,"",'kWh_Streetlight Data'!AF58)</f>
        <v>6320.666666666667</v>
      </c>
      <c r="AF88" s="443">
        <f>IF('kWh_Streetlight Data'!AG58=0,"",'kWh_Streetlight Data'!AG58)</f>
        <v>4219.9047619047615</v>
      </c>
      <c r="AG88" s="443">
        <f>IF('kWh_Streetlight Data'!AH58=0,"",'kWh_Streetlight Data'!AH58)</f>
        <v>3315.1428571428573</v>
      </c>
      <c r="AH88" s="443">
        <f>IF('kWh_Streetlight Data'!AI58=0,"",'kWh_Streetlight Data'!AI58)</f>
        <v>3144.3333333333335</v>
      </c>
      <c r="AI88" s="443">
        <f>IF('kWh_Streetlight Data'!AJ58=0,"",'kWh_Streetlight Data'!AJ58)</f>
        <v>2757.9047619047619</v>
      </c>
      <c r="AJ88" s="443">
        <f>IF('kWh_Streetlight Data'!AK58=0,"",'kWh_Streetlight Data'!AK58)</f>
        <v>2717.0952380952381</v>
      </c>
      <c r="AK88" s="443">
        <f>IF('kWh_Streetlight Data'!AL58=0,"",'kWh_Streetlight Data'!AL58)</f>
        <v>2742.0476190476193</v>
      </c>
      <c r="AL88" s="443">
        <f>IF('kWh_Streetlight Data'!AM58=0,"",'kWh_Streetlight Data'!AM58)</f>
        <v>5348.4761904761908</v>
      </c>
      <c r="AM88" s="443">
        <f>IF('kWh_Streetlight Data'!AN58=0,"",'kWh_Streetlight Data'!AN58)</f>
        <v>5103.9523809523807</v>
      </c>
      <c r="AN88" s="424">
        <f>IF('kWh_Streetlight Data'!AO58=0,"",'kWh_Streetlight Data'!AO58)</f>
        <v>4516.8690476190477</v>
      </c>
      <c r="AO88" s="34"/>
      <c r="AP88" s="35"/>
      <c r="AQ88" s="35"/>
      <c r="AR88" s="35"/>
      <c r="AS88" s="35"/>
      <c r="AT88" s="17"/>
      <c r="AU88" s="17">
        <f t="shared" ref="AU88:AZ88" si="104">IFERROR(AVERAGE(AH88,U88,H88),0)</f>
        <v>2957.0277777777778</v>
      </c>
      <c r="AV88" s="17">
        <f t="shared" si="104"/>
        <v>2886.9460317460321</v>
      </c>
      <c r="AW88" s="17">
        <f t="shared" si="104"/>
        <v>2652.7460317460318</v>
      </c>
      <c r="AX88" s="17">
        <f t="shared" si="104"/>
        <v>3264.7936507936506</v>
      </c>
      <c r="AY88" s="17">
        <f t="shared" si="104"/>
        <v>4810.936507936508</v>
      </c>
      <c r="AZ88" s="17">
        <f t="shared" si="104"/>
        <v>5340.6659451659461</v>
      </c>
      <c r="BA88" s="211"/>
      <c r="BB88" s="9">
        <v>6480.9063492063497</v>
      </c>
      <c r="BC88" s="41">
        <v>6570.2489898989907</v>
      </c>
      <c r="BD88" s="41">
        <v>4865.0944444444449</v>
      </c>
      <c r="BE88" s="41">
        <v>5417.7809523809528</v>
      </c>
      <c r="BF88" s="41">
        <f t="shared" ref="BF88" si="105">IFERROR(AVERAGE(F88,S88,AF88),0)</f>
        <v>4242.8698412698413</v>
      </c>
      <c r="BG88" s="41">
        <f t="shared" ref="BG88" si="106">IFERROR(AVERAGE(G88,T88,AG88),0)</f>
        <v>3572.588888888889</v>
      </c>
      <c r="BH88" s="41">
        <f t="shared" ref="BH88" si="107">IFERROR(AVERAGE(H88,U88,AH88),0)</f>
        <v>2957.0277777777778</v>
      </c>
      <c r="BI88" s="41">
        <f t="shared" ref="BI88" si="108">IFERROR(AVERAGE(I88,V88,AI88),0)</f>
        <v>2886.9460317460321</v>
      </c>
      <c r="BJ88" s="41">
        <f t="shared" ref="BJ88" si="109">IFERROR(AVERAGE(J88,W88,AJ88),0)</f>
        <v>2652.7460317460318</v>
      </c>
      <c r="BK88" s="41">
        <f t="shared" ref="BK88" si="110">IFERROR(AVERAGE(K88,X88,AK88),0)</f>
        <v>3264.7936507936506</v>
      </c>
      <c r="BL88" s="41">
        <f t="shared" ref="BL88" si="111">IFERROR(AVERAGE(L88,Y88,AL88),0)</f>
        <v>4810.936507936508</v>
      </c>
      <c r="BM88" s="41">
        <f t="shared" ref="BM88" si="112">IFERROR(AVERAGE(M88,Z88,AM88),0)</f>
        <v>5340.6659451659461</v>
      </c>
      <c r="BN88" s="211">
        <f>IFERROR(BN87/SUM(BB86:BM86)*12,0)</f>
        <v>53062.619047619046</v>
      </c>
      <c r="BO88" s="20">
        <f>BN88</f>
        <v>53062.619047619046</v>
      </c>
      <c r="BQ88" t="s">
        <v>2</v>
      </c>
    </row>
    <row r="89" spans="1:70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Q89"/>
    </row>
    <row r="90" spans="1:70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Q90" s="2"/>
    </row>
    <row r="91" spans="1:70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70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/>
    </row>
    <row r="93" spans="1:70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70" ht="15.75" customHeight="1" thickTop="1">
      <c r="A94" s="374" t="s">
        <v>54</v>
      </c>
      <c r="B94" s="84" t="str">
        <f>IF('kWh_Streetlight Data'!C59=0,"",'kWh_Streetlight Data'!C59)</f>
        <v/>
      </c>
      <c r="C94" s="108" t="str">
        <f>IF('kWh_Streetlight Data'!D59=0,"",'kWh_Streetlight Data'!D59)</f>
        <v/>
      </c>
      <c r="D94" s="108" t="str">
        <f>IF('kWh_Streetlight Data'!E59=0,"",'kWh_Streetlight Data'!E59)</f>
        <v/>
      </c>
      <c r="E94" s="108" t="str">
        <f>IF('kWh_Streetlight Data'!F59=0,"",'kWh_Streetlight Data'!F59)</f>
        <v/>
      </c>
      <c r="F94" s="108" t="str">
        <f>IF('kWh_Streetlight Data'!G59=0,"",'kWh_Streetlight Data'!G59)</f>
        <v/>
      </c>
      <c r="G94" s="108" t="str">
        <f>IF('kWh_Streetlight Data'!H59=0,"",'kWh_Streetlight Data'!H59)</f>
        <v/>
      </c>
      <c r="H94" s="108" t="str">
        <f>IF('kWh_Streetlight Data'!I59=0,"",'kWh_Streetlight Data'!I59)</f>
        <v/>
      </c>
      <c r="I94" s="108" t="str">
        <f>IF('kWh_Streetlight Data'!J59=0,"",'kWh_Streetlight Data'!J59)</f>
        <v/>
      </c>
      <c r="J94" s="108" t="str">
        <f>IF('kWh_Streetlight Data'!K59=0,"",'kWh_Streetlight Data'!K59)</f>
        <v/>
      </c>
      <c r="K94" s="108" t="str">
        <f>IF('kWh_Streetlight Data'!L59=0,"",'kWh_Streetlight Data'!L59)</f>
        <v/>
      </c>
      <c r="L94" s="130" t="str">
        <f>IF('kWh_Streetlight Data'!M59=0,"",'kWh_Streetlight Data'!M59)</f>
        <v/>
      </c>
      <c r="M94" s="130" t="str">
        <f>IF('kWh_Streetlight Data'!N59=0,"",'kWh_Streetlight Data'!N59)</f>
        <v/>
      </c>
      <c r="N94" s="425" t="str">
        <f>IF('kWh_Streetlight Data'!O59=0,"",'kWh_Streetlight Data'!O59)</f>
        <v/>
      </c>
      <c r="O94" s="84" t="str">
        <f>IF('kWh_Streetlight Data'!P59=0,"",'kWh_Streetlight Data'!P59)</f>
        <v/>
      </c>
      <c r="P94" s="108" t="str">
        <f>IF('kWh_Streetlight Data'!Q59=0,"",'kWh_Streetlight Data'!Q59)</f>
        <v/>
      </c>
      <c r="Q94" s="108" t="str">
        <f>IF('kWh_Streetlight Data'!R59=0,"",'kWh_Streetlight Data'!R59)</f>
        <v/>
      </c>
      <c r="R94" s="108" t="str">
        <f>IF('kWh_Streetlight Data'!S59=0,"",'kWh_Streetlight Data'!S59)</f>
        <v/>
      </c>
      <c r="S94" s="108" t="str">
        <f>IF('kWh_Streetlight Data'!T59=0,"",'kWh_Streetlight Data'!T59)</f>
        <v/>
      </c>
      <c r="T94" s="108" t="str">
        <f>IF('kWh_Streetlight Data'!U59=0,"",'kWh_Streetlight Data'!U59)</f>
        <v/>
      </c>
      <c r="U94" s="108" t="str">
        <f>IF('kWh_Streetlight Data'!V59=0,"",'kWh_Streetlight Data'!V59)</f>
        <v/>
      </c>
      <c r="V94" s="108" t="str">
        <f>IF('kWh_Streetlight Data'!W59=0,"",'kWh_Streetlight Data'!W59)</f>
        <v/>
      </c>
      <c r="W94" s="108" t="str">
        <f>IF('kWh_Streetlight Data'!X59=0,"",'kWh_Streetlight Data'!X59)</f>
        <v/>
      </c>
      <c r="X94" s="108" t="str">
        <f>IF('kWh_Streetlight Data'!Y59=0,"",'kWh_Streetlight Data'!Y59)</f>
        <v/>
      </c>
      <c r="Y94" s="108" t="str">
        <f>IF('kWh_Streetlight Data'!Z59=0,"",'kWh_Streetlight Data'!Z59)</f>
        <v/>
      </c>
      <c r="Z94" s="108" t="str">
        <f>IF('kWh_Streetlight Data'!AA59=0,"",'kWh_Streetlight Data'!AA59)</f>
        <v/>
      </c>
      <c r="AA94" s="426" t="str">
        <f>IF('kWh_Streetlight Data'!AB59=0,"",'kWh_Streetlight Data'!AB59)</f>
        <v/>
      </c>
      <c r="AB94" s="84" t="str">
        <f>IF('kWh_Streetlight Data'!AC59=0,"",'kWh_Streetlight Data'!AC59)</f>
        <v/>
      </c>
      <c r="AC94" s="108" t="str">
        <f>IF('kWh_Streetlight Data'!AD59=0,"",'kWh_Streetlight Data'!AD59)</f>
        <v/>
      </c>
      <c r="AD94" s="108" t="str">
        <f>IF('kWh_Streetlight Data'!AE59=0,"",'kWh_Streetlight Data'!AE59)</f>
        <v/>
      </c>
      <c r="AE94" s="108" t="str">
        <f>IF('kWh_Streetlight Data'!AF59=0,"",'kWh_Streetlight Data'!AF59)</f>
        <v/>
      </c>
      <c r="AF94" s="108" t="str">
        <f>IF('kWh_Streetlight Data'!AG59=0,"",'kWh_Streetlight Data'!AG59)</f>
        <v/>
      </c>
      <c r="AG94" s="108" t="str">
        <f>IF('kWh_Streetlight Data'!AH59=0,"",'kWh_Streetlight Data'!AH59)</f>
        <v/>
      </c>
      <c r="AH94" s="108" t="str">
        <f>IF('kWh_Streetlight Data'!AI59=0,"",'kWh_Streetlight Data'!AI59)</f>
        <v/>
      </c>
      <c r="AI94" s="108" t="str">
        <f>IF('kWh_Streetlight Data'!AJ59=0,"",'kWh_Streetlight Data'!AJ59)</f>
        <v/>
      </c>
      <c r="AJ94" s="108" t="str">
        <f>IF('kWh_Streetlight Data'!AK59=0,"",'kWh_Streetlight Data'!AK59)</f>
        <v/>
      </c>
      <c r="AK94" s="108" t="str">
        <f>IF('kWh_Streetlight Data'!AL59=0,"",'kWh_Streetlight Data'!AL59)</f>
        <v/>
      </c>
      <c r="AL94" s="108" t="str">
        <f>IF('kWh_Streetlight Data'!AM59=0,"",'kWh_Streetlight Data'!AM59)</f>
        <v/>
      </c>
      <c r="AM94" s="108" t="str">
        <f>IF('kWh_Streetlight Data'!AN59=0,"",'kWh_Streetlight Data'!AN59)</f>
        <v/>
      </c>
      <c r="AN94" s="424" t="str">
        <f>IF('kWh_Streetlight Data'!AO59=0,"",'kWh_Streetlight Data'!AO59)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482"/>
      <c r="BH94" s="482"/>
      <c r="BI94" s="482"/>
      <c r="BJ94" s="482"/>
      <c r="BK94" s="482"/>
      <c r="BL94" s="482"/>
      <c r="BM94" s="339"/>
      <c r="BN94" s="211"/>
      <c r="BO94" s="20"/>
    </row>
    <row r="95" spans="1:70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0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9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9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113">AU7+AU22+AU29+AU43</f>
        <v>197</v>
      </c>
      <c r="AV98" s="9">
        <f t="shared" si="113"/>
        <v>197</v>
      </c>
      <c r="AW98" s="9">
        <f t="shared" si="113"/>
        <v>198</v>
      </c>
      <c r="AX98" s="9">
        <f t="shared" si="113"/>
        <v>204</v>
      </c>
      <c r="AY98" s="9">
        <f t="shared" si="113"/>
        <v>204</v>
      </c>
      <c r="AZ98" s="9">
        <f t="shared" si="113"/>
        <v>204</v>
      </c>
      <c r="BA98" s="138">
        <f t="shared" si="113"/>
        <v>204</v>
      </c>
      <c r="BB98" s="9">
        <v>212</v>
      </c>
      <c r="BC98" s="9">
        <v>212</v>
      </c>
      <c r="BD98" s="9">
        <v>212</v>
      </c>
      <c r="BE98" s="9">
        <v>212</v>
      </c>
      <c r="BF98" s="9">
        <f t="shared" ref="BF98:BO98" si="114">BF7+BF22+BF29+BF43</f>
        <v>212</v>
      </c>
      <c r="BG98" s="9">
        <f t="shared" si="114"/>
        <v>212</v>
      </c>
      <c r="BH98" s="9">
        <f t="shared" si="114"/>
        <v>212</v>
      </c>
      <c r="BI98" s="9">
        <f t="shared" si="114"/>
        <v>212</v>
      </c>
      <c r="BJ98" s="9">
        <f t="shared" si="114"/>
        <v>212</v>
      </c>
      <c r="BK98" s="9">
        <f t="shared" si="114"/>
        <v>212</v>
      </c>
      <c r="BL98" s="9">
        <f t="shared" si="114"/>
        <v>212</v>
      </c>
      <c r="BM98" s="9">
        <f t="shared" si="114"/>
        <v>212</v>
      </c>
      <c r="BN98" s="138">
        <f t="shared" si="114"/>
        <v>212</v>
      </c>
      <c r="BO98" s="58">
        <f t="shared" si="114"/>
        <v>214</v>
      </c>
    </row>
    <row r="99" spans="1:69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115">AU57</f>
        <v>0</v>
      </c>
      <c r="AV99" s="9">
        <f t="shared" si="115"/>
        <v>0</v>
      </c>
      <c r="AW99" s="9">
        <f t="shared" si="115"/>
        <v>0</v>
      </c>
      <c r="AX99" s="9">
        <f t="shared" si="115"/>
        <v>0</v>
      </c>
      <c r="AY99" s="9">
        <f t="shared" si="115"/>
        <v>0</v>
      </c>
      <c r="AZ99" s="9">
        <f t="shared" si="115"/>
        <v>0</v>
      </c>
      <c r="BA99" s="138">
        <f t="shared" si="115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116">BF57</f>
        <v>0</v>
      </c>
      <c r="BG99" s="9">
        <f t="shared" si="116"/>
        <v>0</v>
      </c>
      <c r="BH99" s="9">
        <f t="shared" si="116"/>
        <v>0</v>
      </c>
      <c r="BI99" s="9">
        <f t="shared" si="116"/>
        <v>0</v>
      </c>
      <c r="BJ99" s="9">
        <f t="shared" si="116"/>
        <v>0</v>
      </c>
      <c r="BK99" s="9">
        <f t="shared" si="116"/>
        <v>0</v>
      </c>
      <c r="BL99" s="9">
        <f t="shared" si="116"/>
        <v>0</v>
      </c>
      <c r="BM99" s="9">
        <f t="shared" si="116"/>
        <v>0</v>
      </c>
      <c r="BN99" s="138">
        <f t="shared" si="116"/>
        <v>0</v>
      </c>
      <c r="BO99" s="58">
        <f t="shared" si="116"/>
        <v>0</v>
      </c>
    </row>
    <row r="100" spans="1:69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117">AU65+AU75+AU81+AU86</f>
        <v>34</v>
      </c>
      <c r="AV100" s="9">
        <f t="shared" si="117"/>
        <v>34</v>
      </c>
      <c r="AW100" s="9">
        <f t="shared" si="117"/>
        <v>34</v>
      </c>
      <c r="AX100" s="9">
        <f t="shared" si="117"/>
        <v>34</v>
      </c>
      <c r="AY100" s="9">
        <f t="shared" si="117"/>
        <v>34</v>
      </c>
      <c r="AZ100" s="9">
        <f t="shared" si="117"/>
        <v>34</v>
      </c>
      <c r="BA100" s="138">
        <f t="shared" si="117"/>
        <v>34</v>
      </c>
      <c r="BB100" s="9">
        <v>35</v>
      </c>
      <c r="BC100" s="9">
        <v>35</v>
      </c>
      <c r="BD100" s="9">
        <v>35</v>
      </c>
      <c r="BE100" s="9">
        <v>35</v>
      </c>
      <c r="BF100" s="9">
        <f t="shared" ref="BF100:BO100" si="118">BF65+BF75+BF81+BF86</f>
        <v>35</v>
      </c>
      <c r="BG100" s="9">
        <f t="shared" si="118"/>
        <v>35</v>
      </c>
      <c r="BH100" s="9">
        <f t="shared" si="118"/>
        <v>35</v>
      </c>
      <c r="BI100" s="9">
        <f t="shared" si="118"/>
        <v>35</v>
      </c>
      <c r="BJ100" s="9">
        <f t="shared" si="118"/>
        <v>35</v>
      </c>
      <c r="BK100" s="9">
        <f t="shared" si="118"/>
        <v>35</v>
      </c>
      <c r="BL100" s="9">
        <f t="shared" si="118"/>
        <v>35</v>
      </c>
      <c r="BM100" s="9">
        <f t="shared" si="118"/>
        <v>35</v>
      </c>
      <c r="BN100" s="138">
        <f t="shared" si="118"/>
        <v>35</v>
      </c>
      <c r="BO100" s="58">
        <f t="shared" si="118"/>
        <v>36</v>
      </c>
    </row>
    <row r="101" spans="1:69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119">SUM(AU98:AU100)</f>
        <v>231</v>
      </c>
      <c r="AV101" s="73">
        <f t="shared" si="119"/>
        <v>231</v>
      </c>
      <c r="AW101" s="73">
        <f t="shared" si="119"/>
        <v>232</v>
      </c>
      <c r="AX101" s="73">
        <f t="shared" si="119"/>
        <v>238</v>
      </c>
      <c r="AY101" s="73">
        <f t="shared" si="119"/>
        <v>238</v>
      </c>
      <c r="AZ101" s="73">
        <f t="shared" si="119"/>
        <v>238</v>
      </c>
      <c r="BA101" s="249">
        <f t="shared" si="119"/>
        <v>238</v>
      </c>
      <c r="BB101" s="73">
        <v>247</v>
      </c>
      <c r="BC101" s="73">
        <v>247</v>
      </c>
      <c r="BD101" s="73">
        <v>247</v>
      </c>
      <c r="BE101" s="73">
        <v>247</v>
      </c>
      <c r="BF101" s="73">
        <f t="shared" ref="BF101:BO101" si="120">SUM(BF98:BF100)</f>
        <v>247</v>
      </c>
      <c r="BG101" s="73">
        <f t="shared" si="120"/>
        <v>247</v>
      </c>
      <c r="BH101" s="73">
        <f t="shared" si="120"/>
        <v>247</v>
      </c>
      <c r="BI101" s="73">
        <f t="shared" si="120"/>
        <v>247</v>
      </c>
      <c r="BJ101" s="73">
        <f t="shared" si="120"/>
        <v>247</v>
      </c>
      <c r="BK101" s="73">
        <f t="shared" si="120"/>
        <v>247</v>
      </c>
      <c r="BL101" s="73">
        <f t="shared" si="120"/>
        <v>247</v>
      </c>
      <c r="BM101" s="73">
        <f t="shared" si="120"/>
        <v>247</v>
      </c>
      <c r="BN101" s="249">
        <f t="shared" si="120"/>
        <v>247</v>
      </c>
      <c r="BO101" s="268">
        <f t="shared" si="120"/>
        <v>250</v>
      </c>
      <c r="BQ101" s="2"/>
    </row>
    <row r="102" spans="1:69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121">AU15+AU36+AU50</f>
        <v>0</v>
      </c>
      <c r="AV102" s="9">
        <f t="shared" si="121"/>
        <v>0</v>
      </c>
      <c r="AW102" s="9">
        <f t="shared" si="121"/>
        <v>0</v>
      </c>
      <c r="AX102" s="9">
        <f t="shared" si="121"/>
        <v>0</v>
      </c>
      <c r="AY102" s="9">
        <f t="shared" si="121"/>
        <v>0</v>
      </c>
      <c r="AZ102" s="9">
        <f t="shared" si="121"/>
        <v>0</v>
      </c>
      <c r="BA102" s="138">
        <f t="shared" si="121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122">BF15+BF36+BF50</f>
        <v>0</v>
      </c>
      <c r="BG102" s="9">
        <f t="shared" si="122"/>
        <v>0</v>
      </c>
      <c r="BH102" s="9">
        <f t="shared" si="122"/>
        <v>0</v>
      </c>
      <c r="BI102" s="9">
        <f t="shared" si="122"/>
        <v>0</v>
      </c>
      <c r="BJ102" s="9">
        <f t="shared" si="122"/>
        <v>0</v>
      </c>
      <c r="BK102" s="9">
        <f t="shared" si="122"/>
        <v>0</v>
      </c>
      <c r="BL102" s="9">
        <f t="shared" si="122"/>
        <v>0</v>
      </c>
      <c r="BM102" s="9">
        <f t="shared" si="122"/>
        <v>0</v>
      </c>
      <c r="BN102" s="138">
        <f t="shared" si="122"/>
        <v>0</v>
      </c>
      <c r="BO102" s="266">
        <f t="shared" si="122"/>
        <v>0</v>
      </c>
      <c r="BQ102" s="198"/>
    </row>
    <row r="103" spans="1:69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9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123">AU92</f>
        <v>0</v>
      </c>
      <c r="AV104" s="9">
        <f t="shared" si="123"/>
        <v>0</v>
      </c>
      <c r="AW104" s="9">
        <f t="shared" si="123"/>
        <v>0</v>
      </c>
      <c r="AX104" s="9">
        <f t="shared" si="123"/>
        <v>0</v>
      </c>
      <c r="AY104" s="9">
        <f t="shared" si="123"/>
        <v>0</v>
      </c>
      <c r="AZ104" s="9">
        <f t="shared" si="123"/>
        <v>0</v>
      </c>
      <c r="BA104" s="138">
        <f t="shared" si="123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124">BF92</f>
        <v>0</v>
      </c>
      <c r="BG104" s="9">
        <f t="shared" si="124"/>
        <v>0</v>
      </c>
      <c r="BH104" s="9">
        <f t="shared" si="124"/>
        <v>0</v>
      </c>
      <c r="BI104" s="9">
        <f t="shared" si="124"/>
        <v>0</v>
      </c>
      <c r="BJ104" s="9">
        <f t="shared" si="124"/>
        <v>0</v>
      </c>
      <c r="BK104" s="9">
        <f t="shared" si="124"/>
        <v>0</v>
      </c>
      <c r="BL104" s="9">
        <f t="shared" si="124"/>
        <v>0</v>
      </c>
      <c r="BM104" s="9">
        <f t="shared" si="124"/>
        <v>0</v>
      </c>
      <c r="BN104" s="138">
        <f t="shared" si="124"/>
        <v>0</v>
      </c>
      <c r="BO104" s="58">
        <f t="shared" si="124"/>
        <v>0</v>
      </c>
    </row>
    <row r="105" spans="1:69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125">SUM(AU102:AU104)</f>
        <v>0</v>
      </c>
      <c r="AV105" s="73">
        <f t="shared" si="125"/>
        <v>0</v>
      </c>
      <c r="AW105" s="73">
        <f t="shared" si="125"/>
        <v>0</v>
      </c>
      <c r="AX105" s="73">
        <f t="shared" si="125"/>
        <v>0</v>
      </c>
      <c r="AY105" s="73">
        <f t="shared" si="125"/>
        <v>0</v>
      </c>
      <c r="AZ105" s="73">
        <f t="shared" si="125"/>
        <v>0</v>
      </c>
      <c r="BA105" s="249">
        <f t="shared" si="12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126">SUM(BF102:BF104)</f>
        <v>0</v>
      </c>
      <c r="BG105" s="73">
        <f t="shared" si="126"/>
        <v>0</v>
      </c>
      <c r="BH105" s="73">
        <f t="shared" si="126"/>
        <v>0</v>
      </c>
      <c r="BI105" s="73">
        <f t="shared" si="126"/>
        <v>0</v>
      </c>
      <c r="BJ105" s="73">
        <f t="shared" si="126"/>
        <v>0</v>
      </c>
      <c r="BK105" s="73">
        <f t="shared" si="126"/>
        <v>0</v>
      </c>
      <c r="BL105" s="73">
        <f t="shared" si="126"/>
        <v>0</v>
      </c>
      <c r="BM105" s="73">
        <f t="shared" si="126"/>
        <v>0</v>
      </c>
      <c r="BN105" s="249">
        <f t="shared" si="126"/>
        <v>0</v>
      </c>
      <c r="BO105" s="268">
        <f t="shared" si="126"/>
        <v>0</v>
      </c>
      <c r="BQ105"/>
    </row>
    <row r="106" spans="1:69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127">AU105+AU101</f>
        <v>231</v>
      </c>
      <c r="AV106" s="251">
        <f t="shared" si="127"/>
        <v>231</v>
      </c>
      <c r="AW106" s="251">
        <f t="shared" si="127"/>
        <v>232</v>
      </c>
      <c r="AX106" s="251">
        <f t="shared" si="127"/>
        <v>238</v>
      </c>
      <c r="AY106" s="251">
        <f t="shared" si="127"/>
        <v>238</v>
      </c>
      <c r="AZ106" s="251">
        <f t="shared" si="127"/>
        <v>238</v>
      </c>
      <c r="BA106" s="255">
        <f t="shared" si="127"/>
        <v>238</v>
      </c>
      <c r="BB106" s="251">
        <v>247</v>
      </c>
      <c r="BC106" s="251">
        <v>247</v>
      </c>
      <c r="BD106" s="251">
        <v>247</v>
      </c>
      <c r="BE106" s="251">
        <v>247</v>
      </c>
      <c r="BF106" s="251">
        <f t="shared" si="127"/>
        <v>247</v>
      </c>
      <c r="BG106" s="251">
        <f t="shared" si="127"/>
        <v>247</v>
      </c>
      <c r="BH106" s="251">
        <f t="shared" si="127"/>
        <v>247</v>
      </c>
      <c r="BI106" s="251">
        <f t="shared" si="127"/>
        <v>247</v>
      </c>
      <c r="BJ106" s="251">
        <f t="shared" si="127"/>
        <v>247</v>
      </c>
      <c r="BK106" s="251">
        <f t="shared" si="127"/>
        <v>247</v>
      </c>
      <c r="BL106" s="251">
        <f t="shared" si="127"/>
        <v>247</v>
      </c>
      <c r="BM106" s="251">
        <f t="shared" si="127"/>
        <v>247</v>
      </c>
      <c r="BN106" s="255">
        <f t="shared" si="127"/>
        <v>247</v>
      </c>
      <c r="BO106" s="269">
        <f t="shared" si="127"/>
        <v>250</v>
      </c>
    </row>
    <row r="107" spans="1:69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Q107" s="3"/>
    </row>
    <row r="108" spans="1:69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128">AU11+AU26+AU33+AU47</f>
        <v>228255</v>
      </c>
      <c r="AV108" s="9">
        <f t="shared" si="128"/>
        <v>241417</v>
      </c>
      <c r="AW108" s="9">
        <f t="shared" si="128"/>
        <v>226701</v>
      </c>
      <c r="AX108" s="9">
        <f t="shared" si="128"/>
        <v>290478</v>
      </c>
      <c r="AY108" s="9">
        <f t="shared" si="128"/>
        <v>412268</v>
      </c>
      <c r="AZ108" s="9">
        <f t="shared" si="128"/>
        <v>462182</v>
      </c>
      <c r="BA108" s="138">
        <f t="shared" si="128"/>
        <v>1861301</v>
      </c>
      <c r="BB108" s="9">
        <v>664211</v>
      </c>
      <c r="BC108" s="9">
        <v>693069</v>
      </c>
      <c r="BD108" s="9">
        <v>471945</v>
      </c>
      <c r="BE108" s="9">
        <v>547684</v>
      </c>
      <c r="BF108" s="9">
        <f t="shared" ref="BF108:BO108" si="129">BF11+BF26+BF33+BF47</f>
        <v>401437</v>
      </c>
      <c r="BG108" s="9">
        <f t="shared" si="129"/>
        <v>295889</v>
      </c>
      <c r="BH108" s="9">
        <f t="shared" si="129"/>
        <v>243096</v>
      </c>
      <c r="BI108" s="9">
        <f t="shared" si="129"/>
        <v>257306</v>
      </c>
      <c r="BJ108" s="9">
        <f t="shared" si="129"/>
        <v>240386</v>
      </c>
      <c r="BK108" s="9">
        <f t="shared" si="129"/>
        <v>300801</v>
      </c>
      <c r="BL108" s="9">
        <f t="shared" si="129"/>
        <v>427422</v>
      </c>
      <c r="BM108" s="9">
        <f t="shared" si="129"/>
        <v>479110</v>
      </c>
      <c r="BN108" s="138">
        <f t="shared" si="129"/>
        <v>5022356</v>
      </c>
      <c r="BO108" s="58">
        <f t="shared" si="129"/>
        <v>5065797</v>
      </c>
    </row>
    <row r="109" spans="1:69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130">AU58</f>
        <v>0</v>
      </c>
      <c r="AV109" s="9">
        <f t="shared" si="130"/>
        <v>0</v>
      </c>
      <c r="AW109" s="9">
        <f t="shared" si="130"/>
        <v>0</v>
      </c>
      <c r="AX109" s="9">
        <f t="shared" si="130"/>
        <v>0</v>
      </c>
      <c r="AY109" s="9">
        <f t="shared" si="130"/>
        <v>0</v>
      </c>
      <c r="AZ109" s="9">
        <f t="shared" si="130"/>
        <v>0</v>
      </c>
      <c r="BA109" s="138">
        <f t="shared" si="130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131">BF58</f>
        <v>0</v>
      </c>
      <c r="BG109" s="9">
        <f t="shared" si="131"/>
        <v>0</v>
      </c>
      <c r="BH109" s="9">
        <f t="shared" si="131"/>
        <v>0</v>
      </c>
      <c r="BI109" s="9">
        <f t="shared" si="131"/>
        <v>0</v>
      </c>
      <c r="BJ109" s="9">
        <f t="shared" si="131"/>
        <v>0</v>
      </c>
      <c r="BK109" s="9">
        <f t="shared" si="131"/>
        <v>0</v>
      </c>
      <c r="BL109" s="9">
        <f t="shared" si="131"/>
        <v>0</v>
      </c>
      <c r="BM109" s="9">
        <f t="shared" si="131"/>
        <v>0</v>
      </c>
      <c r="BN109" s="138">
        <f t="shared" si="131"/>
        <v>0</v>
      </c>
      <c r="BO109" s="58">
        <f t="shared" si="131"/>
        <v>0</v>
      </c>
    </row>
    <row r="110" spans="1:69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132">AU68+AU78+AU82+AU87</f>
        <v>69672</v>
      </c>
      <c r="AV110" s="9">
        <f t="shared" si="132"/>
        <v>68266</v>
      </c>
      <c r="AW110" s="9">
        <f t="shared" si="132"/>
        <v>64121</v>
      </c>
      <c r="AX110" s="9">
        <f t="shared" si="132"/>
        <v>78236</v>
      </c>
      <c r="AY110" s="9">
        <f t="shared" si="132"/>
        <v>114699</v>
      </c>
      <c r="AZ110" s="9">
        <f t="shared" si="132"/>
        <v>127419</v>
      </c>
      <c r="BA110" s="138">
        <f t="shared" si="132"/>
        <v>522413</v>
      </c>
      <c r="BB110" s="9">
        <v>153712</v>
      </c>
      <c r="BC110" s="9">
        <v>157644</v>
      </c>
      <c r="BD110" s="9">
        <v>114899</v>
      </c>
      <c r="BE110" s="9">
        <v>129731</v>
      </c>
      <c r="BF110" s="9">
        <f t="shared" ref="BF110:BO110" si="133">BF68+BF78+BF82+BF87</f>
        <v>101348</v>
      </c>
      <c r="BG110" s="9">
        <f t="shared" si="133"/>
        <v>85505</v>
      </c>
      <c r="BH110" s="9">
        <f t="shared" si="133"/>
        <v>70255</v>
      </c>
      <c r="BI110" s="9">
        <f t="shared" si="133"/>
        <v>68854</v>
      </c>
      <c r="BJ110" s="9">
        <f t="shared" si="133"/>
        <v>64769</v>
      </c>
      <c r="BK110" s="9">
        <f t="shared" si="133"/>
        <v>78980</v>
      </c>
      <c r="BL110" s="9">
        <f t="shared" si="133"/>
        <v>115751</v>
      </c>
      <c r="BM110" s="9">
        <f t="shared" si="133"/>
        <v>128594</v>
      </c>
      <c r="BN110" s="138">
        <f t="shared" si="133"/>
        <v>1270042</v>
      </c>
      <c r="BO110" s="58">
        <f t="shared" si="133"/>
        <v>1281165</v>
      </c>
    </row>
    <row r="111" spans="1:69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134">SUM(AU108:AU110)</f>
        <v>297927</v>
      </c>
      <c r="AV111" s="73">
        <f t="shared" si="134"/>
        <v>309683</v>
      </c>
      <c r="AW111" s="73">
        <f t="shared" si="134"/>
        <v>290822</v>
      </c>
      <c r="AX111" s="73">
        <f t="shared" si="134"/>
        <v>368714</v>
      </c>
      <c r="AY111" s="73">
        <f t="shared" si="134"/>
        <v>526967</v>
      </c>
      <c r="AZ111" s="73">
        <f t="shared" si="134"/>
        <v>589601</v>
      </c>
      <c r="BA111" s="249">
        <f t="shared" si="134"/>
        <v>2383714</v>
      </c>
      <c r="BB111" s="73">
        <v>817923</v>
      </c>
      <c r="BC111" s="73">
        <v>850713</v>
      </c>
      <c r="BD111" s="73">
        <v>586844</v>
      </c>
      <c r="BE111" s="73">
        <v>677415</v>
      </c>
      <c r="BF111" s="73">
        <f t="shared" ref="BF111:BO111" si="135">SUM(BF108:BF110)</f>
        <v>502785</v>
      </c>
      <c r="BG111" s="73">
        <f t="shared" si="135"/>
        <v>381394</v>
      </c>
      <c r="BH111" s="73">
        <f t="shared" si="135"/>
        <v>313351</v>
      </c>
      <c r="BI111" s="73">
        <f t="shared" si="135"/>
        <v>326160</v>
      </c>
      <c r="BJ111" s="73">
        <f t="shared" si="135"/>
        <v>305155</v>
      </c>
      <c r="BK111" s="73">
        <f t="shared" si="135"/>
        <v>379781</v>
      </c>
      <c r="BL111" s="73">
        <f t="shared" si="135"/>
        <v>543173</v>
      </c>
      <c r="BM111" s="73">
        <f t="shared" si="135"/>
        <v>607704</v>
      </c>
      <c r="BN111" s="249">
        <f t="shared" si="135"/>
        <v>6292398</v>
      </c>
      <c r="BO111" s="268">
        <f t="shared" si="135"/>
        <v>6346962</v>
      </c>
      <c r="BQ111"/>
    </row>
    <row r="112" spans="1:69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136">AU19+AU40+AU54</f>
        <v>0</v>
      </c>
      <c r="AV112" s="9">
        <f t="shared" si="136"/>
        <v>0</v>
      </c>
      <c r="AW112" s="9">
        <f t="shared" si="136"/>
        <v>0</v>
      </c>
      <c r="AX112" s="9">
        <f t="shared" si="136"/>
        <v>0</v>
      </c>
      <c r="AY112" s="9">
        <f t="shared" si="136"/>
        <v>0</v>
      </c>
      <c r="AZ112" s="9">
        <f t="shared" si="136"/>
        <v>0</v>
      </c>
      <c r="BA112" s="138">
        <f t="shared" si="136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137">BF19+BF40+BF54</f>
        <v>0</v>
      </c>
      <c r="BG112" s="9">
        <f t="shared" si="137"/>
        <v>0</v>
      </c>
      <c r="BH112" s="9">
        <f t="shared" si="137"/>
        <v>0</v>
      </c>
      <c r="BI112" s="9">
        <f t="shared" si="137"/>
        <v>0</v>
      </c>
      <c r="BJ112" s="9">
        <f t="shared" si="137"/>
        <v>0</v>
      </c>
      <c r="BK112" s="9">
        <f t="shared" si="137"/>
        <v>0</v>
      </c>
      <c r="BL112" s="9">
        <f t="shared" si="137"/>
        <v>0</v>
      </c>
      <c r="BM112" s="9">
        <f t="shared" si="137"/>
        <v>0</v>
      </c>
      <c r="BN112" s="138">
        <f t="shared" si="137"/>
        <v>0</v>
      </c>
      <c r="BO112" s="58">
        <f t="shared" si="137"/>
        <v>0</v>
      </c>
      <c r="BQ112" s="3"/>
    </row>
    <row r="113" spans="1:69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9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138">AU93</f>
        <v>0</v>
      </c>
      <c r="AV114" s="9">
        <f t="shared" si="138"/>
        <v>0</v>
      </c>
      <c r="AW114" s="9">
        <f t="shared" si="138"/>
        <v>0</v>
      </c>
      <c r="AX114" s="9">
        <f t="shared" si="138"/>
        <v>0</v>
      </c>
      <c r="AY114" s="9">
        <f t="shared" si="138"/>
        <v>0</v>
      </c>
      <c r="AZ114" s="9">
        <f t="shared" si="138"/>
        <v>0</v>
      </c>
      <c r="BA114" s="138">
        <f t="shared" si="138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139">BF93</f>
        <v>0</v>
      </c>
      <c r="BG114" s="9">
        <f t="shared" si="139"/>
        <v>0</v>
      </c>
      <c r="BH114" s="9">
        <f t="shared" si="139"/>
        <v>0</v>
      </c>
      <c r="BI114" s="9">
        <f t="shared" si="139"/>
        <v>0</v>
      </c>
      <c r="BJ114" s="9">
        <f t="shared" si="139"/>
        <v>0</v>
      </c>
      <c r="BK114" s="9">
        <f t="shared" si="139"/>
        <v>0</v>
      </c>
      <c r="BL114" s="9">
        <f t="shared" si="139"/>
        <v>0</v>
      </c>
      <c r="BM114" s="9">
        <f t="shared" si="139"/>
        <v>0</v>
      </c>
      <c r="BN114" s="138">
        <f t="shared" si="139"/>
        <v>0</v>
      </c>
      <c r="BO114" s="58">
        <f t="shared" si="139"/>
        <v>0</v>
      </c>
    </row>
    <row r="115" spans="1:69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140">SUM(AU112:AU114)</f>
        <v>0</v>
      </c>
      <c r="AV115" s="73">
        <f t="shared" si="140"/>
        <v>0</v>
      </c>
      <c r="AW115" s="73">
        <f t="shared" si="140"/>
        <v>0</v>
      </c>
      <c r="AX115" s="73">
        <f t="shared" si="140"/>
        <v>0</v>
      </c>
      <c r="AY115" s="73">
        <f t="shared" si="140"/>
        <v>0</v>
      </c>
      <c r="AZ115" s="73">
        <f t="shared" si="140"/>
        <v>0</v>
      </c>
      <c r="BA115" s="249">
        <f t="shared" si="140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141">SUM(BF112:BF114)</f>
        <v>0</v>
      </c>
      <c r="BG115" s="73">
        <f t="shared" si="141"/>
        <v>0</v>
      </c>
      <c r="BH115" s="73">
        <f t="shared" si="141"/>
        <v>0</v>
      </c>
      <c r="BI115" s="73">
        <f t="shared" si="141"/>
        <v>0</v>
      </c>
      <c r="BJ115" s="73">
        <f t="shared" si="141"/>
        <v>0</v>
      </c>
      <c r="BK115" s="73">
        <f t="shared" si="141"/>
        <v>0</v>
      </c>
      <c r="BL115" s="73">
        <f t="shared" si="141"/>
        <v>0</v>
      </c>
      <c r="BM115" s="73">
        <f t="shared" si="141"/>
        <v>0</v>
      </c>
      <c r="BN115" s="249">
        <f t="shared" si="141"/>
        <v>0</v>
      </c>
      <c r="BO115" s="268">
        <f t="shared" si="141"/>
        <v>0</v>
      </c>
      <c r="BQ115"/>
    </row>
    <row r="116" spans="1:69" s="3" customFormat="1" ht="15.75" customHeight="1" thickBot="1">
      <c r="A116" s="201" t="s">
        <v>212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142">AU115+AU111</f>
        <v>297927</v>
      </c>
      <c r="AV116" s="251">
        <f t="shared" si="142"/>
        <v>309683</v>
      </c>
      <c r="AW116" s="251">
        <f t="shared" si="142"/>
        <v>290822</v>
      </c>
      <c r="AX116" s="251">
        <f t="shared" si="142"/>
        <v>368714</v>
      </c>
      <c r="AY116" s="251">
        <f t="shared" si="142"/>
        <v>526967</v>
      </c>
      <c r="AZ116" s="251">
        <f t="shared" si="142"/>
        <v>589601</v>
      </c>
      <c r="BA116" s="255">
        <f t="shared" si="142"/>
        <v>2383714</v>
      </c>
      <c r="BB116" s="251">
        <v>817923</v>
      </c>
      <c r="BC116" s="251">
        <v>850713</v>
      </c>
      <c r="BD116" s="251">
        <v>586844</v>
      </c>
      <c r="BE116" s="251">
        <v>677415</v>
      </c>
      <c r="BF116" s="251">
        <f t="shared" si="142"/>
        <v>502785</v>
      </c>
      <c r="BG116" s="251">
        <f t="shared" si="142"/>
        <v>381394</v>
      </c>
      <c r="BH116" s="251">
        <f t="shared" si="142"/>
        <v>313351</v>
      </c>
      <c r="BI116" s="251">
        <f t="shared" si="142"/>
        <v>326160</v>
      </c>
      <c r="BJ116" s="251">
        <f t="shared" si="142"/>
        <v>305155</v>
      </c>
      <c r="BK116" s="251">
        <f t="shared" si="142"/>
        <v>379781</v>
      </c>
      <c r="BL116" s="251">
        <f t="shared" si="142"/>
        <v>543173</v>
      </c>
      <c r="BM116" s="251">
        <f t="shared" si="142"/>
        <v>607704</v>
      </c>
      <c r="BN116" s="255">
        <f t="shared" si="142"/>
        <v>6292398</v>
      </c>
      <c r="BO116" s="269">
        <f t="shared" si="142"/>
        <v>6346962</v>
      </c>
    </row>
    <row r="117" spans="1:69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Q117" s="3"/>
    </row>
    <row r="118" spans="1:69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Q118" s="3"/>
    </row>
    <row r="119" spans="1:69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18</v>
      </c>
      <c r="AV119" s="280">
        <f>AU119</f>
        <v>18</v>
      </c>
      <c r="AW119" s="280">
        <f>AV119</f>
        <v>18</v>
      </c>
      <c r="AX119" s="280">
        <f t="shared" ref="AX119:AZ119" si="143">AW119</f>
        <v>18</v>
      </c>
      <c r="AY119" s="280">
        <f t="shared" si="143"/>
        <v>18</v>
      </c>
      <c r="AZ119" s="280">
        <f t="shared" si="143"/>
        <v>18</v>
      </c>
      <c r="BA119" s="259"/>
      <c r="BB119" s="280">
        <v>18</v>
      </c>
      <c r="BC119" s="280">
        <v>18</v>
      </c>
      <c r="BD119" s="280">
        <v>18</v>
      </c>
      <c r="BE119" s="280">
        <v>18</v>
      </c>
      <c r="BF119" s="280">
        <f t="shared" ref="BF119:BM119" si="144">BE119</f>
        <v>18</v>
      </c>
      <c r="BG119" s="280">
        <f t="shared" si="144"/>
        <v>18</v>
      </c>
      <c r="BH119" s="280">
        <f t="shared" si="144"/>
        <v>18</v>
      </c>
      <c r="BI119" s="280">
        <f t="shared" si="144"/>
        <v>18</v>
      </c>
      <c r="BJ119" s="280">
        <f t="shared" si="144"/>
        <v>18</v>
      </c>
      <c r="BK119" s="280">
        <f t="shared" si="144"/>
        <v>18</v>
      </c>
      <c r="BL119" s="280">
        <f t="shared" si="144"/>
        <v>18</v>
      </c>
      <c r="BM119" s="280">
        <f t="shared" si="144"/>
        <v>18</v>
      </c>
      <c r="BN119" s="259"/>
      <c r="BO119" s="343">
        <f>BM119</f>
        <v>18</v>
      </c>
    </row>
    <row r="120" spans="1:69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168341</v>
      </c>
      <c r="AU120" s="107">
        <v>155637</v>
      </c>
      <c r="AV120" s="39">
        <f>ROUND(AW108/30*AV119,0)</f>
        <v>136021</v>
      </c>
      <c r="AW120" s="39">
        <f>ROUND(AX108/30*AW119,0)</f>
        <v>174287</v>
      </c>
      <c r="AX120" s="39">
        <f>ROUND(AY108/30*AX119,0)</f>
        <v>247361</v>
      </c>
      <c r="AY120" s="39">
        <f>ROUND(AZ108/30*AY119,0)</f>
        <v>277309</v>
      </c>
      <c r="AZ120" s="39">
        <f>ROUND(BB108/30*AZ119,0)</f>
        <v>398527</v>
      </c>
      <c r="BA120" s="215"/>
      <c r="BB120" s="346">
        <v>415841</v>
      </c>
      <c r="BC120" s="346">
        <v>283167</v>
      </c>
      <c r="BD120" s="346">
        <v>328610</v>
      </c>
      <c r="BE120" s="346">
        <v>240862</v>
      </c>
      <c r="BF120" s="57">
        <f t="shared" ref="BF120:BL120" si="145">ROUND(BG108/30*BF119,0)</f>
        <v>177533</v>
      </c>
      <c r="BG120" s="57">
        <f t="shared" si="145"/>
        <v>145858</v>
      </c>
      <c r="BH120" s="57">
        <f t="shared" si="145"/>
        <v>154384</v>
      </c>
      <c r="BI120" s="57">
        <f t="shared" si="145"/>
        <v>144232</v>
      </c>
      <c r="BJ120" s="57">
        <f t="shared" si="145"/>
        <v>180481</v>
      </c>
      <c r="BK120" s="57">
        <f t="shared" si="145"/>
        <v>256453</v>
      </c>
      <c r="BL120" s="57">
        <f t="shared" si="145"/>
        <v>287466</v>
      </c>
      <c r="BM120" s="57">
        <f>ROUND(BO108*0.11/30*BM119,0)</f>
        <v>334343</v>
      </c>
      <c r="BN120" s="215"/>
      <c r="BO120" s="141">
        <v>337210</v>
      </c>
    </row>
    <row r="121" spans="1:69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49493</v>
      </c>
      <c r="AU121" s="107">
        <v>42623</v>
      </c>
      <c r="AV121" s="39">
        <f>ROUND(AW110/30*AV119,0)</f>
        <v>38473</v>
      </c>
      <c r="AW121" s="39">
        <f>ROUND(AX110/30*AW119,0)</f>
        <v>46942</v>
      </c>
      <c r="AX121" s="39">
        <f>ROUND(AY110/30*AX119,0)</f>
        <v>68819</v>
      </c>
      <c r="AY121" s="39">
        <f>ROUND(AZ110/30*AY119,0)</f>
        <v>76451</v>
      </c>
      <c r="AZ121" s="39">
        <f>ROUND(BB110/30*AZ119,0)</f>
        <v>92227</v>
      </c>
      <c r="BA121" s="215"/>
      <c r="BB121" s="57">
        <v>94586</v>
      </c>
      <c r="BC121" s="57">
        <v>68939</v>
      </c>
      <c r="BD121" s="57">
        <v>77839</v>
      </c>
      <c r="BE121" s="57">
        <v>60809</v>
      </c>
      <c r="BF121" s="57">
        <f t="shared" ref="BF121:BL121" si="146">ROUND(BG110/30*BF119,0)</f>
        <v>51303</v>
      </c>
      <c r="BG121" s="57">
        <f t="shared" si="146"/>
        <v>42153</v>
      </c>
      <c r="BH121" s="57">
        <f t="shared" si="146"/>
        <v>41312</v>
      </c>
      <c r="BI121" s="57">
        <f t="shared" si="146"/>
        <v>38861</v>
      </c>
      <c r="BJ121" s="57">
        <f t="shared" si="146"/>
        <v>47388</v>
      </c>
      <c r="BK121" s="57">
        <f t="shared" si="146"/>
        <v>69451</v>
      </c>
      <c r="BL121" s="57">
        <f t="shared" si="146"/>
        <v>77156</v>
      </c>
      <c r="BM121" s="57">
        <f>ROUND(BO110*0.11/30*BM119,0)</f>
        <v>84557</v>
      </c>
      <c r="BN121" s="215"/>
      <c r="BO121" s="141">
        <v>85291</v>
      </c>
    </row>
    <row r="122" spans="1:69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-168341</v>
      </c>
      <c r="AV122" s="57">
        <f t="shared" ref="AV122:AZ123" si="147">-AU120</f>
        <v>-155637</v>
      </c>
      <c r="AW122" s="57">
        <f t="shared" si="147"/>
        <v>-136021</v>
      </c>
      <c r="AX122" s="57">
        <f t="shared" si="147"/>
        <v>-174287</v>
      </c>
      <c r="AY122" s="57">
        <f t="shared" si="147"/>
        <v>-247361</v>
      </c>
      <c r="AZ122" s="57">
        <f t="shared" si="147"/>
        <v>-277309</v>
      </c>
      <c r="BA122" s="215"/>
      <c r="BB122" s="57">
        <v>-398527</v>
      </c>
      <c r="BC122" s="57">
        <v>-415841</v>
      </c>
      <c r="BD122" s="57">
        <v>-283167</v>
      </c>
      <c r="BE122" s="57">
        <v>-328610</v>
      </c>
      <c r="BF122" s="57">
        <f t="shared" ref="BF122:BM123" si="148">-BE120</f>
        <v>-240862</v>
      </c>
      <c r="BG122" s="57">
        <f t="shared" si="148"/>
        <v>-177533</v>
      </c>
      <c r="BH122" s="57">
        <f t="shared" si="148"/>
        <v>-145858</v>
      </c>
      <c r="BI122" s="57">
        <f t="shared" si="148"/>
        <v>-154384</v>
      </c>
      <c r="BJ122" s="57">
        <f t="shared" si="148"/>
        <v>-144232</v>
      </c>
      <c r="BK122" s="57">
        <f t="shared" si="148"/>
        <v>-180481</v>
      </c>
      <c r="BL122" s="57">
        <f t="shared" si="148"/>
        <v>-256453</v>
      </c>
      <c r="BM122" s="57">
        <f t="shared" si="148"/>
        <v>-287466</v>
      </c>
      <c r="BN122" s="215"/>
      <c r="BO122" s="141">
        <f>-BM120</f>
        <v>-334343</v>
      </c>
    </row>
    <row r="123" spans="1:69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-49493</v>
      </c>
      <c r="AV123" s="57">
        <f t="shared" si="147"/>
        <v>-42623</v>
      </c>
      <c r="AW123" s="57">
        <f t="shared" si="147"/>
        <v>-38473</v>
      </c>
      <c r="AX123" s="57">
        <f t="shared" si="147"/>
        <v>-46942</v>
      </c>
      <c r="AY123" s="57">
        <f t="shared" si="147"/>
        <v>-68819</v>
      </c>
      <c r="AZ123" s="57">
        <f t="shared" si="147"/>
        <v>-76451</v>
      </c>
      <c r="BA123" s="215"/>
      <c r="BB123" s="57">
        <v>-92227</v>
      </c>
      <c r="BC123" s="57">
        <v>-94586</v>
      </c>
      <c r="BD123" s="57">
        <v>-68939</v>
      </c>
      <c r="BE123" s="57">
        <v>-77839</v>
      </c>
      <c r="BF123" s="57">
        <f t="shared" si="148"/>
        <v>-60809</v>
      </c>
      <c r="BG123" s="57">
        <f t="shared" si="148"/>
        <v>-51303</v>
      </c>
      <c r="BH123" s="57">
        <f t="shared" si="148"/>
        <v>-42153</v>
      </c>
      <c r="BI123" s="57">
        <f t="shared" si="148"/>
        <v>-41312</v>
      </c>
      <c r="BJ123" s="57">
        <f t="shared" si="148"/>
        <v>-38861</v>
      </c>
      <c r="BK123" s="57">
        <f t="shared" si="148"/>
        <v>-47388</v>
      </c>
      <c r="BL123" s="57">
        <f t="shared" si="148"/>
        <v>-69451</v>
      </c>
      <c r="BM123" s="57">
        <f t="shared" si="148"/>
        <v>-77156</v>
      </c>
      <c r="BN123" s="215"/>
      <c r="BO123" s="141">
        <f>-BM121</f>
        <v>-84557</v>
      </c>
    </row>
    <row r="124" spans="1:69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-19574</v>
      </c>
      <c r="AV124" s="344">
        <f t="shared" ref="AV124:AZ124" si="149">SUM(AV120:AV123)</f>
        <v>-23766</v>
      </c>
      <c r="AW124" s="344">
        <f t="shared" si="149"/>
        <v>46735</v>
      </c>
      <c r="AX124" s="344">
        <f t="shared" si="149"/>
        <v>94951</v>
      </c>
      <c r="AY124" s="344">
        <f t="shared" si="149"/>
        <v>37580</v>
      </c>
      <c r="AZ124" s="344">
        <f t="shared" si="149"/>
        <v>136994</v>
      </c>
      <c r="BA124" s="345"/>
      <c r="BB124" s="344">
        <v>19673</v>
      </c>
      <c r="BC124" s="344">
        <v>-158321</v>
      </c>
      <c r="BD124" s="344">
        <v>54343</v>
      </c>
      <c r="BE124" s="344">
        <v>-104778</v>
      </c>
      <c r="BF124" s="344">
        <f t="shared" ref="BF124:BO124" si="150">SUM(BF120:BF123)</f>
        <v>-72835</v>
      </c>
      <c r="BG124" s="344">
        <f t="shared" si="150"/>
        <v>-40825</v>
      </c>
      <c r="BH124" s="344">
        <f t="shared" si="150"/>
        <v>7685</v>
      </c>
      <c r="BI124" s="344">
        <f t="shared" si="150"/>
        <v>-12603</v>
      </c>
      <c r="BJ124" s="344">
        <f t="shared" si="150"/>
        <v>44776</v>
      </c>
      <c r="BK124" s="344">
        <f t="shared" si="150"/>
        <v>98035</v>
      </c>
      <c r="BL124" s="344">
        <f t="shared" si="150"/>
        <v>38718</v>
      </c>
      <c r="BM124" s="344">
        <f t="shared" si="150"/>
        <v>54278</v>
      </c>
      <c r="BN124" s="345"/>
      <c r="BO124" s="272">
        <f t="shared" si="150"/>
        <v>3601</v>
      </c>
    </row>
    <row r="125" spans="1:69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18</v>
      </c>
      <c r="AV125" s="344">
        <f>AU125</f>
        <v>18</v>
      </c>
      <c r="AW125" s="344">
        <f>AV125</f>
        <v>18</v>
      </c>
      <c r="AX125" s="344">
        <f t="shared" ref="AX125:AZ125" si="151">AW125</f>
        <v>18</v>
      </c>
      <c r="AY125" s="344">
        <f t="shared" si="151"/>
        <v>18</v>
      </c>
      <c r="AZ125" s="344">
        <f t="shared" si="151"/>
        <v>18</v>
      </c>
      <c r="BA125" s="345"/>
      <c r="BB125" s="344">
        <v>18</v>
      </c>
      <c r="BC125" s="344">
        <v>18</v>
      </c>
      <c r="BD125" s="344">
        <v>18</v>
      </c>
      <c r="BE125" s="344">
        <v>18</v>
      </c>
      <c r="BF125" s="344">
        <f t="shared" ref="BF125:BM125" si="152">BE125</f>
        <v>18</v>
      </c>
      <c r="BG125" s="344">
        <f t="shared" si="152"/>
        <v>18</v>
      </c>
      <c r="BH125" s="344">
        <f t="shared" si="152"/>
        <v>18</v>
      </c>
      <c r="BI125" s="344">
        <f t="shared" si="152"/>
        <v>18</v>
      </c>
      <c r="BJ125" s="344">
        <f t="shared" si="152"/>
        <v>18</v>
      </c>
      <c r="BK125" s="344">
        <f t="shared" si="152"/>
        <v>18</v>
      </c>
      <c r="BL125" s="344">
        <f t="shared" si="152"/>
        <v>18</v>
      </c>
      <c r="BM125" s="344">
        <f t="shared" si="152"/>
        <v>18</v>
      </c>
      <c r="BN125" s="345"/>
      <c r="BO125" s="272">
        <f>BM125</f>
        <v>18</v>
      </c>
    </row>
    <row r="126" spans="1:69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53">ROUND(AV112/30*AU125,0)</f>
        <v>0</v>
      </c>
      <c r="AV126" s="57">
        <f t="shared" si="153"/>
        <v>0</v>
      </c>
      <c r="AW126" s="57">
        <f t="shared" si="153"/>
        <v>0</v>
      </c>
      <c r="AX126" s="57">
        <f t="shared" si="153"/>
        <v>0</v>
      </c>
      <c r="AY126" s="57">
        <f t="shared" si="153"/>
        <v>0</v>
      </c>
      <c r="AZ126" s="57">
        <f t="shared" si="153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154">ROUND(BG112/30*BF125,0)</f>
        <v>0</v>
      </c>
      <c r="BG126" s="57">
        <f t="shared" si="154"/>
        <v>0</v>
      </c>
      <c r="BH126" s="57">
        <f t="shared" si="154"/>
        <v>0</v>
      </c>
      <c r="BI126" s="57">
        <f t="shared" si="154"/>
        <v>0</v>
      </c>
      <c r="BJ126" s="57">
        <f t="shared" si="154"/>
        <v>0</v>
      </c>
      <c r="BK126" s="57">
        <f t="shared" si="154"/>
        <v>0</v>
      </c>
      <c r="BL126" s="57">
        <f t="shared" si="154"/>
        <v>0</v>
      </c>
      <c r="BM126" s="57">
        <f>ROUND(BO112*0.11/30*BM125,0)</f>
        <v>0</v>
      </c>
      <c r="BN126" s="215"/>
      <c r="BO126" s="141">
        <v>0</v>
      </c>
    </row>
    <row r="127" spans="1:69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55">ROUND(AV114/30*AU125,0)</f>
        <v>0</v>
      </c>
      <c r="AV127" s="57">
        <f t="shared" si="155"/>
        <v>0</v>
      </c>
      <c r="AW127" s="57">
        <f t="shared" si="155"/>
        <v>0</v>
      </c>
      <c r="AX127" s="57">
        <f t="shared" si="155"/>
        <v>0</v>
      </c>
      <c r="AY127" s="57">
        <f t="shared" si="155"/>
        <v>0</v>
      </c>
      <c r="AZ127" s="57">
        <f t="shared" si="155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156">ROUND(BG114/30*BF125,0)</f>
        <v>0</v>
      </c>
      <c r="BG127" s="57">
        <f t="shared" si="156"/>
        <v>0</v>
      </c>
      <c r="BH127" s="57">
        <f t="shared" si="156"/>
        <v>0</v>
      </c>
      <c r="BI127" s="57">
        <f t="shared" si="156"/>
        <v>0</v>
      </c>
      <c r="BJ127" s="57">
        <f t="shared" si="156"/>
        <v>0</v>
      </c>
      <c r="BK127" s="57">
        <f t="shared" si="156"/>
        <v>0</v>
      </c>
      <c r="BL127" s="57">
        <f t="shared" si="156"/>
        <v>0</v>
      </c>
      <c r="BM127" s="57">
        <f>ROUND(BO114*0.11/30*BM125,0)</f>
        <v>0</v>
      </c>
      <c r="BN127" s="215"/>
      <c r="BO127" s="141">
        <v>0</v>
      </c>
    </row>
    <row r="128" spans="1:69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157">-AU126</f>
        <v>0</v>
      </c>
      <c r="AW128" s="57">
        <f t="shared" si="157"/>
        <v>0</v>
      </c>
      <c r="AX128" s="57">
        <f t="shared" si="157"/>
        <v>0</v>
      </c>
      <c r="AY128" s="57">
        <f t="shared" si="157"/>
        <v>0</v>
      </c>
      <c r="AZ128" s="57">
        <f t="shared" si="157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158">-BE126</f>
        <v>0</v>
      </c>
      <c r="BG128" s="57">
        <f t="shared" si="158"/>
        <v>0</v>
      </c>
      <c r="BH128" s="57">
        <f t="shared" si="158"/>
        <v>0</v>
      </c>
      <c r="BI128" s="57">
        <f t="shared" si="158"/>
        <v>0</v>
      </c>
      <c r="BJ128" s="57">
        <f t="shared" si="158"/>
        <v>0</v>
      </c>
      <c r="BK128" s="57">
        <f t="shared" si="158"/>
        <v>0</v>
      </c>
      <c r="BL128" s="57">
        <f t="shared" si="158"/>
        <v>0</v>
      </c>
      <c r="BM128" s="57">
        <f t="shared" si="158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157"/>
        <v>0</v>
      </c>
      <c r="AW129" s="57">
        <f t="shared" si="157"/>
        <v>0</v>
      </c>
      <c r="AX129" s="57">
        <f t="shared" si="157"/>
        <v>0</v>
      </c>
      <c r="AY129" s="57">
        <f t="shared" si="157"/>
        <v>0</v>
      </c>
      <c r="AZ129" s="57">
        <f t="shared" si="157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158"/>
        <v>0</v>
      </c>
      <c r="BG129" s="57">
        <f t="shared" si="158"/>
        <v>0</v>
      </c>
      <c r="BH129" s="57">
        <f t="shared" si="158"/>
        <v>0</v>
      </c>
      <c r="BI129" s="57">
        <f t="shared" si="158"/>
        <v>0</v>
      </c>
      <c r="BJ129" s="57">
        <f t="shared" si="158"/>
        <v>0</v>
      </c>
      <c r="BK129" s="57">
        <f t="shared" si="158"/>
        <v>0</v>
      </c>
      <c r="BL129" s="57">
        <f t="shared" si="158"/>
        <v>0</v>
      </c>
      <c r="BM129" s="57">
        <f t="shared" si="158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159">SUM(AV126:AV129)</f>
        <v>0</v>
      </c>
      <c r="AW130" s="344">
        <f t="shared" si="159"/>
        <v>0</v>
      </c>
      <c r="AX130" s="344">
        <f t="shared" si="159"/>
        <v>0</v>
      </c>
      <c r="AY130" s="344">
        <f t="shared" si="159"/>
        <v>0</v>
      </c>
      <c r="AZ130" s="344">
        <f t="shared" si="159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160">SUM(BF126:BF129)</f>
        <v>0</v>
      </c>
      <c r="BG130" s="344">
        <f t="shared" si="160"/>
        <v>0</v>
      </c>
      <c r="BH130" s="344">
        <f t="shared" si="160"/>
        <v>0</v>
      </c>
      <c r="BI130" s="344">
        <f t="shared" si="160"/>
        <v>0</v>
      </c>
      <c r="BJ130" s="344">
        <f t="shared" si="160"/>
        <v>0</v>
      </c>
      <c r="BK130" s="344">
        <f t="shared" si="160"/>
        <v>0</v>
      </c>
      <c r="BL130" s="344">
        <f t="shared" si="160"/>
        <v>0</v>
      </c>
      <c r="BM130" s="344">
        <f t="shared" si="160"/>
        <v>0</v>
      </c>
      <c r="BN130" s="345"/>
      <c r="BO130" s="272">
        <f t="shared" ref="BO130" si="161">SUM(BO126:BO129)</f>
        <v>0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62">AU111+AU124</f>
        <v>278353</v>
      </c>
      <c r="AV132" s="66">
        <f t="shared" si="162"/>
        <v>285917</v>
      </c>
      <c r="AW132" s="66">
        <f t="shared" si="162"/>
        <v>337557</v>
      </c>
      <c r="AX132" s="66">
        <f t="shared" si="162"/>
        <v>463665</v>
      </c>
      <c r="AY132" s="66">
        <f t="shared" si="162"/>
        <v>564547</v>
      </c>
      <c r="AZ132" s="66">
        <f t="shared" si="162"/>
        <v>726595</v>
      </c>
      <c r="BA132" s="216">
        <f>SUM(AT132:AZ132)</f>
        <v>2656634</v>
      </c>
      <c r="BB132" s="66">
        <v>837596</v>
      </c>
      <c r="BC132" s="66">
        <v>692392</v>
      </c>
      <c r="BD132" s="66">
        <v>641187</v>
      </c>
      <c r="BE132" s="66">
        <v>572637</v>
      </c>
      <c r="BF132" s="66">
        <f t="shared" ref="BF132:BO132" si="163">BF111+BF124</f>
        <v>429950</v>
      </c>
      <c r="BG132" s="66">
        <f t="shared" si="163"/>
        <v>340569</v>
      </c>
      <c r="BH132" s="66">
        <f t="shared" si="163"/>
        <v>321036</v>
      </c>
      <c r="BI132" s="66">
        <f t="shared" si="163"/>
        <v>313557</v>
      </c>
      <c r="BJ132" s="66">
        <f t="shared" si="163"/>
        <v>349931</v>
      </c>
      <c r="BK132" s="66">
        <f t="shared" si="163"/>
        <v>477816</v>
      </c>
      <c r="BL132" s="66">
        <f t="shared" si="163"/>
        <v>581891</v>
      </c>
      <c r="BM132" s="66">
        <f t="shared" si="163"/>
        <v>661982</v>
      </c>
      <c r="BN132" s="216">
        <f t="shared" si="163"/>
        <v>6292398</v>
      </c>
      <c r="BO132" s="185">
        <f t="shared" si="163"/>
        <v>6350563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49" priority="5" operator="lessThan">
      <formula>0</formula>
    </cfRule>
  </conditionalFormatting>
  <conditionalFormatting sqref="BN58">
    <cfRule type="cellIs" dxfId="48" priority="4" operator="lessThan">
      <formula>0</formula>
    </cfRule>
  </conditionalFormatting>
  <conditionalFormatting sqref="BN78">
    <cfRule type="cellIs" dxfId="47" priority="3" operator="lessThan">
      <formula>0</formula>
    </cfRule>
  </conditionalFormatting>
  <conditionalFormatting sqref="BN62">
    <cfRule type="cellIs" dxfId="46" priority="2" operator="lessThan">
      <formula>0</formula>
    </cfRule>
  </conditionalFormatting>
  <conditionalFormatting sqref="BN19">
    <cfRule type="cellIs" dxfId="45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U133"/>
  <sheetViews>
    <sheetView zoomScale="80" zoomScaleNormal="80" workbookViewId="0">
      <pane xSplit="1" ySplit="5" topLeftCell="N6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10.140625" hidden="1" customWidth="1" outlineLevel="1"/>
    <col min="35" max="35" width="13.1406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20.1406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8.5703125" style="3" bestFit="1" customWidth="1" collapsed="1"/>
    <col min="67" max="67" width="15.140625" bestFit="1" customWidth="1"/>
    <col min="69" max="69" width="10" bestFit="1" customWidth="1"/>
    <col min="70" max="70" width="10.5703125" bestFit="1" customWidth="1"/>
    <col min="71" max="71" width="21.7109375" bestFit="1" customWidth="1"/>
    <col min="73" max="73" width="12.28515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125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Customers!E131</f>
        <v>118</v>
      </c>
      <c r="AV7" s="124">
        <f>Customers!F131</f>
        <v>118</v>
      </c>
      <c r="AW7" s="124">
        <f>Customers!G131</f>
        <v>119</v>
      </c>
      <c r="AX7" s="124">
        <f>Customers!H131</f>
        <v>119</v>
      </c>
      <c r="AY7" s="124">
        <f>Customers!I131</f>
        <v>119</v>
      </c>
      <c r="AZ7" s="124">
        <f>Customers!J131</f>
        <v>119</v>
      </c>
      <c r="BA7" s="210">
        <f>AZ7</f>
        <v>119</v>
      </c>
      <c r="BB7" s="124">
        <v>121</v>
      </c>
      <c r="BC7" s="38">
        <v>121</v>
      </c>
      <c r="BD7" s="38">
        <v>121</v>
      </c>
      <c r="BE7" s="38">
        <v>121</v>
      </c>
      <c r="BF7" s="38">
        <f t="shared" ref="BF7:BM7" si="0">BE7</f>
        <v>121</v>
      </c>
      <c r="BG7" s="38">
        <f t="shared" si="0"/>
        <v>121</v>
      </c>
      <c r="BH7" s="38">
        <v>0</v>
      </c>
      <c r="BI7" s="38">
        <f t="shared" si="0"/>
        <v>0</v>
      </c>
      <c r="BJ7" s="38">
        <f t="shared" si="0"/>
        <v>0</v>
      </c>
      <c r="BK7" s="38">
        <v>0</v>
      </c>
      <c r="BL7" s="38">
        <f t="shared" si="0"/>
        <v>0</v>
      </c>
      <c r="BM7" s="38">
        <f t="shared" si="0"/>
        <v>0</v>
      </c>
      <c r="BN7" s="210">
        <v>0</v>
      </c>
      <c r="BO7" s="55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76413</v>
      </c>
      <c r="AV8" s="38">
        <f>ROUND(AV$11*'kWh Blocks by Rate Category'!D8,0)</f>
        <v>68165</v>
      </c>
      <c r="AW8" s="38">
        <f>ROUND(AW$11*'kWh Blocks by Rate Category'!E8,0)</f>
        <v>70978</v>
      </c>
      <c r="AX8" s="38">
        <f>ROUND(AX$11*'kWh Blocks by Rate Category'!F8,0)</f>
        <v>74799</v>
      </c>
      <c r="AY8" s="38">
        <f>ROUND(AY$11*'kWh Blocks by Rate Category'!G8,0)</f>
        <v>92733</v>
      </c>
      <c r="AZ8" s="38">
        <f>ROUND(AZ$11*'kWh Blocks by Rate Category'!H8,0)</f>
        <v>97565</v>
      </c>
      <c r="BA8" s="210">
        <f>SUM(AO8:AZ8)</f>
        <v>480653</v>
      </c>
      <c r="BB8" s="38">
        <v>132379</v>
      </c>
      <c r="BC8" s="38">
        <v>119537</v>
      </c>
      <c r="BD8" s="38">
        <v>117542</v>
      </c>
      <c r="BE8" s="38">
        <v>117106</v>
      </c>
      <c r="BF8" s="38">
        <f>ROUND(BF$11*'kWh Blocks by Rate Category'!N8,0)</f>
        <v>92459</v>
      </c>
      <c r="BG8" s="38">
        <f>ROUND(BG$11*'kWh Blocks by Rate Category'!O8,0)</f>
        <v>85112</v>
      </c>
      <c r="BH8" s="38">
        <f>ROUND(BH$11*'kWh Blocks by Rate Category'!P8,0)</f>
        <v>0</v>
      </c>
      <c r="BI8" s="38">
        <f>ROUND(BI$11*'kWh Blocks by Rate Category'!Q8,0)</f>
        <v>0</v>
      </c>
      <c r="BJ8" s="38">
        <f>ROUND(BJ$11*'kWh Blocks by Rate Category'!R8,0)</f>
        <v>0</v>
      </c>
      <c r="BK8" s="38">
        <f>ROUND(BK$11*'kWh Blocks by Rate Category'!S8,0)</f>
        <v>0</v>
      </c>
      <c r="BL8" s="38">
        <f>ROUND(BL$11*'kWh Blocks by Rate Category'!T8,0)</f>
        <v>0</v>
      </c>
      <c r="BM8" s="38">
        <f>ROUND(BM$11*'kWh Blocks by Rate Category'!U8,0)</f>
        <v>0</v>
      </c>
      <c r="BN8" s="210">
        <f>SUM(BB8:BM8)</f>
        <v>664135</v>
      </c>
      <c r="BO8" s="38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40717</v>
      </c>
      <c r="AV9" s="38">
        <f>ROUND(AV$11*'kWh Blocks by Rate Category'!D9,0)</f>
        <v>36322</v>
      </c>
      <c r="AW9" s="38">
        <f>ROUND(AW$11*'kWh Blocks by Rate Category'!E9,0)</f>
        <v>37821</v>
      </c>
      <c r="AX9" s="38">
        <f>ROUND(AX$11*'kWh Blocks by Rate Category'!F9,0)</f>
        <v>39856</v>
      </c>
      <c r="AY9" s="38">
        <f>ROUND(AY$11*'kWh Blocks by Rate Category'!G9,0)</f>
        <v>49413</v>
      </c>
      <c r="AZ9" s="38">
        <f>ROUND(AZ$11*'kWh Blocks by Rate Category'!H9,0)</f>
        <v>51988</v>
      </c>
      <c r="BA9" s="210">
        <f>SUM(AO9:AZ9)</f>
        <v>256117</v>
      </c>
      <c r="BB9" s="38">
        <v>70538</v>
      </c>
      <c r="BC9" s="38">
        <v>63695</v>
      </c>
      <c r="BD9" s="38">
        <v>62632</v>
      </c>
      <c r="BE9" s="38">
        <v>62400</v>
      </c>
      <c r="BF9" s="38">
        <f>ROUND(BF$11*'kWh Blocks by Rate Category'!N9,0)</f>
        <v>49266</v>
      </c>
      <c r="BG9" s="38">
        <f>ROUND(BG$11*'kWh Blocks by Rate Category'!O9,0)</f>
        <v>45352</v>
      </c>
      <c r="BH9" s="38">
        <f>ROUND(BH$11*'kWh Blocks by Rate Category'!P9,0)</f>
        <v>0</v>
      </c>
      <c r="BI9" s="38">
        <f>ROUND(BI$11*'kWh Blocks by Rate Category'!Q9,0)</f>
        <v>0</v>
      </c>
      <c r="BJ9" s="38">
        <f>ROUND(BJ$11*'kWh Blocks by Rate Category'!R9,0)</f>
        <v>0</v>
      </c>
      <c r="BK9" s="38">
        <f>ROUND(BK$11*'kWh Blocks by Rate Category'!S9,0)</f>
        <v>0</v>
      </c>
      <c r="BL9" s="38">
        <f>ROUND(BL$11*'kWh Blocks by Rate Category'!T9,0)</f>
        <v>0</v>
      </c>
      <c r="BM9" s="38">
        <f>ROUND(BM$11*'kWh Blocks by Rate Category'!U9,0)</f>
        <v>0</v>
      </c>
      <c r="BN9" s="210">
        <f>SUM(BB9:BM9)</f>
        <v>353883</v>
      </c>
      <c r="BO9" s="38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7764</v>
      </c>
      <c r="AV10" s="38">
        <f>ROUND(AV$11*'kWh Blocks by Rate Category'!D10,0)</f>
        <v>6926</v>
      </c>
      <c r="AW10" s="38">
        <f>ROUND(AW$11*'kWh Blocks by Rate Category'!E10,0)</f>
        <v>7212</v>
      </c>
      <c r="AX10" s="38">
        <f>ROUND(AX$11*'kWh Blocks by Rate Category'!F10,0)</f>
        <v>7600</v>
      </c>
      <c r="AY10" s="38">
        <f>ROUND(AY$11*'kWh Blocks by Rate Category'!G10,0)</f>
        <v>9422</v>
      </c>
      <c r="AZ10" s="38">
        <f>ROUND(AZ$11*'kWh Blocks by Rate Category'!H10,0)</f>
        <v>9913</v>
      </c>
      <c r="BA10" s="210">
        <f>SUM(AO10:AZ10)</f>
        <v>48837</v>
      </c>
      <c r="BB10" s="38">
        <v>13450</v>
      </c>
      <c r="BC10" s="38">
        <v>12145</v>
      </c>
      <c r="BD10" s="38">
        <v>11943</v>
      </c>
      <c r="BE10" s="38">
        <v>11898</v>
      </c>
      <c r="BF10" s="38">
        <f>ROUND(BF$11*'kWh Blocks by Rate Category'!N10,0)</f>
        <v>9394</v>
      </c>
      <c r="BG10" s="38">
        <f>ROUND(BG$11*'kWh Blocks by Rate Category'!O10,0)</f>
        <v>8648</v>
      </c>
      <c r="BH10" s="38">
        <f>ROUND(BH$11*'kWh Blocks by Rate Category'!P10,0)</f>
        <v>0</v>
      </c>
      <c r="BI10" s="38">
        <f>ROUND(BI$11*'kWh Blocks by Rate Category'!Q10,0)</f>
        <v>0</v>
      </c>
      <c r="BJ10" s="38">
        <f>ROUND(BJ$11*'kWh Blocks by Rate Category'!R10,0)</f>
        <v>0</v>
      </c>
      <c r="BK10" s="38">
        <f>ROUND(BK$11*'kWh Blocks by Rate Category'!S10,0)</f>
        <v>0</v>
      </c>
      <c r="BL10" s="38">
        <f>ROUND(BL$11*'kWh Blocks by Rate Category'!T10,0)</f>
        <v>0</v>
      </c>
      <c r="BM10" s="38">
        <f>ROUND(BM$11*'kWh Blocks by Rate Category'!U10,0)</f>
        <v>0</v>
      </c>
      <c r="BN10" s="210">
        <f>SUM(BB10:BM10)</f>
        <v>67478</v>
      </c>
      <c r="BO10" s="38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124894</v>
      </c>
      <c r="AV11" s="64">
        <f t="shared" si="1"/>
        <v>111413</v>
      </c>
      <c r="AW11" s="64">
        <f t="shared" si="1"/>
        <v>116010</v>
      </c>
      <c r="AX11" s="64">
        <f t="shared" si="1"/>
        <v>122255</v>
      </c>
      <c r="AY11" s="64">
        <f t="shared" si="1"/>
        <v>151568</v>
      </c>
      <c r="AZ11" s="64">
        <f t="shared" si="1"/>
        <v>159466</v>
      </c>
      <c r="BA11" s="196">
        <f>SUM(AO11:AZ11)</f>
        <v>785606</v>
      </c>
      <c r="BB11" s="64">
        <v>216367</v>
      </c>
      <c r="BC11" s="64">
        <v>195378</v>
      </c>
      <c r="BD11" s="64">
        <v>192117</v>
      </c>
      <c r="BE11" s="64">
        <v>191404</v>
      </c>
      <c r="BF11" s="64">
        <f t="shared" ref="BF11:BM11" si="2">IFERROR(ROUND(BF12*BF7,0),0)</f>
        <v>151119</v>
      </c>
      <c r="BG11" s="64">
        <f t="shared" si="2"/>
        <v>139111</v>
      </c>
      <c r="BH11" s="64">
        <f t="shared" si="2"/>
        <v>0</v>
      </c>
      <c r="BI11" s="64">
        <f t="shared" si="2"/>
        <v>0</v>
      </c>
      <c r="BJ11" s="64">
        <f t="shared" si="2"/>
        <v>0</v>
      </c>
      <c r="BK11" s="64">
        <f t="shared" si="2"/>
        <v>0</v>
      </c>
      <c r="BL11" s="64">
        <f t="shared" si="2"/>
        <v>0</v>
      </c>
      <c r="BM11" s="64">
        <f t="shared" si="2"/>
        <v>0</v>
      </c>
      <c r="BN11" s="196">
        <f>SUM(BB11:BM11)</f>
        <v>1085496</v>
      </c>
      <c r="BO11" s="147"/>
    </row>
    <row r="12" spans="1:67" ht="15" thickTop="1">
      <c r="A12" s="374" t="s">
        <v>54</v>
      </c>
      <c r="B12" s="84">
        <f>IF('kWh_Streetlight Data'!C106=0,"",'kWh_Streetlight Data'!C106)</f>
        <v>1815.3454545454545</v>
      </c>
      <c r="C12" s="108">
        <f>IF('kWh_Streetlight Data'!D106=0,"",'kWh_Streetlight Data'!D106)</f>
        <v>1713.4545454545455</v>
      </c>
      <c r="D12" s="108">
        <f>IF('kWh_Streetlight Data'!E106=0,"",'kWh_Streetlight Data'!E106)</f>
        <v>1411.9</v>
      </c>
      <c r="E12" s="108">
        <f>IF('kWh_Streetlight Data'!F106=0,"",'kWh_Streetlight Data'!F106)</f>
        <v>1865.0169491525423</v>
      </c>
      <c r="F12" s="108">
        <f>IF('kWh_Streetlight Data'!G106=0,"",'kWh_Streetlight Data'!G106)</f>
        <v>1186.6239316239316</v>
      </c>
      <c r="G12" s="108">
        <f>IF('kWh_Streetlight Data'!H106=0,"",'kWh_Streetlight Data'!H106)</f>
        <v>988.65599999999995</v>
      </c>
      <c r="H12" s="108">
        <f>IF('kWh_Streetlight Data'!I106=0,"",'kWh_Streetlight Data'!I106)</f>
        <v>993.35</v>
      </c>
      <c r="I12" s="108">
        <f>IF('kWh_Streetlight Data'!J106=0,"",'kWh_Streetlight Data'!J106)</f>
        <v>913.81034482758616</v>
      </c>
      <c r="J12" s="108">
        <f>IF('kWh_Streetlight Data'!K106=0,"",'kWh_Streetlight Data'!K106)</f>
        <v>851.43589743589746</v>
      </c>
      <c r="K12" s="108">
        <f>IF('kWh_Streetlight Data'!L106=0,"",'kWh_Streetlight Data'!L106)</f>
        <v>1056.6929824561403</v>
      </c>
      <c r="L12" s="108">
        <f>IF('kWh_Streetlight Data'!M106=0,"",'kWh_Streetlight Data'!M106)</f>
        <v>1209.593220338983</v>
      </c>
      <c r="M12" s="108">
        <f>IF('kWh_Streetlight Data'!N106=0,"",'kWh_Streetlight Data'!N106)</f>
        <v>1316.5517241379309</v>
      </c>
      <c r="N12" s="424">
        <f>IF('kWh_Streetlight Data'!O106=0,"",'kWh_Streetlight Data'!O106)</f>
        <v>1270.0956146657081</v>
      </c>
      <c r="O12" s="84">
        <f>IF('kWh_Streetlight Data'!P106=0,"",'kWh_Streetlight Data'!P106)</f>
        <v>1780.7586206896551</v>
      </c>
      <c r="P12" s="108">
        <f>IF('kWh_Streetlight Data'!Q106=0,"",'kWh_Streetlight Data'!Q106)</f>
        <v>1502.6637931034484</v>
      </c>
      <c r="Q12" s="108">
        <f>IF('kWh_Streetlight Data'!R106=0,"",'kWh_Streetlight Data'!R106)</f>
        <v>1671.4545454545455</v>
      </c>
      <c r="R12" s="108">
        <f>IF('kWh_Streetlight Data'!S106=0,"",'kWh_Streetlight Data'!S106)</f>
        <v>1498.1379310344828</v>
      </c>
      <c r="S12" s="108">
        <f>IF('kWh_Streetlight Data'!T106=0,"",'kWh_Streetlight Data'!T106)</f>
        <v>1065.6949152542372</v>
      </c>
      <c r="T12" s="108">
        <f>IF('kWh_Streetlight Data'!U106=0,"",'kWh_Streetlight Data'!U106)</f>
        <v>1245.4827586206898</v>
      </c>
      <c r="U12" s="108">
        <f>IF('kWh_Streetlight Data'!V106=0,"",'kWh_Streetlight Data'!V106)</f>
        <v>1101.1440677966102</v>
      </c>
      <c r="V12" s="108">
        <f>IF('kWh_Streetlight Data'!W106=0,"",'kWh_Streetlight Data'!W106)</f>
        <v>815.66949152542372</v>
      </c>
      <c r="W12" s="108">
        <f>IF('kWh_Streetlight Data'!X106=0,"",'kWh_Streetlight Data'!X106)</f>
        <v>1022.9831932773109</v>
      </c>
      <c r="X12" s="108">
        <f>IF('kWh_Streetlight Data'!Y106=0,"",'kWh_Streetlight Data'!Y106)</f>
        <v>893.71428571428567</v>
      </c>
      <c r="Y12" s="108">
        <f>IF('kWh_Streetlight Data'!Z106=0,"",'kWh_Streetlight Data'!Z106)</f>
        <v>1165.6525423728813</v>
      </c>
      <c r="Z12" s="108">
        <f>IF('kWh_Streetlight Data'!AA106=0,"",'kWh_Streetlight Data'!AA106)</f>
        <v>1385.6166666666666</v>
      </c>
      <c r="AA12" s="424">
        <f>IF('kWh_Streetlight Data'!AB106=0,"",'kWh_Streetlight Data'!AB106)</f>
        <v>1261.6445229681979</v>
      </c>
      <c r="AB12" s="129">
        <f>IF('kWh_Streetlight Data'!AC106=0,"",'kWh_Streetlight Data'!AC106)</f>
        <v>1768.3781512605042</v>
      </c>
      <c r="AC12" s="130">
        <f>IF('kWh_Streetlight Data'!AD106=0,"",'kWh_Streetlight Data'!AD106)</f>
        <v>1627.9663865546217</v>
      </c>
      <c r="AD12" s="130">
        <f>IF('kWh_Streetlight Data'!AE106=0,"",'kWh_Streetlight Data'!AE106)</f>
        <v>1679.873949579832</v>
      </c>
      <c r="AE12" s="130">
        <f>IF('kWh_Streetlight Data'!AF106=0,"",'kWh_Streetlight Data'!AF106)</f>
        <v>1382.3949579831933</v>
      </c>
      <c r="AF12" s="130">
        <f>IF('kWh_Streetlight Data'!AG106=0,"",'kWh_Streetlight Data'!AG106)</f>
        <v>1494.4453781512605</v>
      </c>
      <c r="AG12" s="130">
        <f>IF('kWh_Streetlight Data'!AH106=0,"",'kWh_Streetlight Data'!AH106)</f>
        <v>1214.8907563025209</v>
      </c>
      <c r="AH12" s="130">
        <f>IF('kWh_Streetlight Data'!AI106=0,"",'kWh_Streetlight Data'!AI106)</f>
        <v>1080.7750000000001</v>
      </c>
      <c r="AI12" s="130">
        <f>IF('kWh_Streetlight Data'!AJ106=0,"",'kWh_Streetlight Data'!AJ106)</f>
        <v>1103.0420168067226</v>
      </c>
      <c r="AJ12" s="130">
        <f>IF('kWh_Streetlight Data'!AK106=0,"",'kWh_Streetlight Data'!AK106)</f>
        <v>1050.206611570248</v>
      </c>
      <c r="AK12" s="130">
        <f>IF('kWh_Streetlight Data'!AL106=0,"",'kWh_Streetlight Data'!AL106)</f>
        <v>1131.6500000000001</v>
      </c>
      <c r="AL12" s="130">
        <f>IF('kWh_Streetlight Data'!AM106=0,"",'kWh_Streetlight Data'!AM106)</f>
        <v>1445.8083333333334</v>
      </c>
      <c r="AM12" s="130">
        <f>IF('kWh_Streetlight Data'!AN106=0,"",'kWh_Streetlight Data'!AN106)</f>
        <v>1317.9710144927535</v>
      </c>
      <c r="AN12" s="426">
        <f>IF('kWh_Streetlight Data'!AO106=0,"",'kWh_Streetlight Data'!AO106)</f>
        <v>1356.8808539944903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1058.4230225988701</v>
      </c>
      <c r="AV12" s="9">
        <f t="shared" si="3"/>
        <v>944.1739510532442</v>
      </c>
      <c r="AW12" s="9">
        <f t="shared" si="3"/>
        <v>974.87523409448534</v>
      </c>
      <c r="AX12" s="9">
        <f t="shared" si="3"/>
        <v>1027.3524227234755</v>
      </c>
      <c r="AY12" s="9">
        <f t="shared" si="3"/>
        <v>1273.6846986817325</v>
      </c>
      <c r="AZ12" s="9">
        <f t="shared" si="3"/>
        <v>1340.0464684324504</v>
      </c>
      <c r="BA12" s="211"/>
      <c r="BB12" s="17">
        <v>1788.1607421652045</v>
      </c>
      <c r="BC12" s="17">
        <v>1614.6949083708721</v>
      </c>
      <c r="BD12" s="17">
        <v>1587.7428316781259</v>
      </c>
      <c r="BE12" s="17">
        <v>1581.8499460567393</v>
      </c>
      <c r="BF12" s="17">
        <f t="shared" ref="BF12:BM12" si="4">IFERROR(AVERAGE(F12,S12,AF12),0)</f>
        <v>1248.9214083431432</v>
      </c>
      <c r="BG12" s="17">
        <f t="shared" si="4"/>
        <v>1149.6765049744035</v>
      </c>
      <c r="BH12" s="17">
        <f t="shared" si="4"/>
        <v>1058.4230225988701</v>
      </c>
      <c r="BI12" s="17">
        <f t="shared" si="4"/>
        <v>944.1739510532442</v>
      </c>
      <c r="BJ12" s="17">
        <f t="shared" si="4"/>
        <v>974.87523409448534</v>
      </c>
      <c r="BK12" s="17">
        <f t="shared" si="4"/>
        <v>1027.3524227234755</v>
      </c>
      <c r="BL12" s="17">
        <f t="shared" si="4"/>
        <v>1273.6846986817325</v>
      </c>
      <c r="BM12" s="17">
        <f t="shared" si="4"/>
        <v>1340.0464684324504</v>
      </c>
      <c r="BN12" s="211">
        <v>0</v>
      </c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>
        <f>$BG$7</f>
        <v>121</v>
      </c>
      <c r="BI15" s="38">
        <f t="shared" ref="BI15:BL15" si="5">$BG$7</f>
        <v>121</v>
      </c>
      <c r="BJ15" s="38">
        <f t="shared" si="5"/>
        <v>121</v>
      </c>
      <c r="BK15" s="38">
        <f t="shared" si="5"/>
        <v>121</v>
      </c>
      <c r="BL15" s="38">
        <f t="shared" si="5"/>
        <v>121</v>
      </c>
      <c r="BM15" s="38">
        <f>$BG$7</f>
        <v>121</v>
      </c>
      <c r="BN15" s="210">
        <f>IFERROR(ROUND(AVERAGE(BH15:BM15,BB7:BG7),0),0)</f>
        <v>121</v>
      </c>
      <c r="BO15" s="125">
        <f>Customers!L131</f>
        <v>123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>
        <f>ROUND(BH$19*'kWh Blocks by Rate Category'!P15,0)</f>
        <v>78356</v>
      </c>
      <c r="BI16" s="38">
        <f>ROUND(BI$19*'kWh Blocks by Rate Category'!Q15,0)</f>
        <v>69898</v>
      </c>
      <c r="BJ16" s="38">
        <f>ROUND(BJ$19*'kWh Blocks by Rate Category'!R15,0)</f>
        <v>72171</v>
      </c>
      <c r="BK16" s="38">
        <f>ROUND(BK$19*'kWh Blocks by Rate Category'!S15,0)</f>
        <v>76056</v>
      </c>
      <c r="BL16" s="38">
        <f>ROUND(BL$19*'kWh Blocks by Rate Category'!T15,0)</f>
        <v>94292</v>
      </c>
      <c r="BM16" s="38">
        <f>ROUND(BM$19*'kWh Blocks by Rate Category'!U15,0)</f>
        <v>99205</v>
      </c>
      <c r="BN16" s="210">
        <f>SUM(BB16:BM16)</f>
        <v>489978</v>
      </c>
      <c r="BO16" s="143">
        <f>ROUND(BO$19*'kWh Blocks by Rate Category'!W15,0)</f>
        <v>1173189</v>
      </c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>
        <f>ROUND(BH$19*'kWh Blocks by Rate Category'!P16,0)</f>
        <v>41752</v>
      </c>
      <c r="BI17" s="38">
        <f>ROUND(BI$19*'kWh Blocks by Rate Category'!Q16,0)</f>
        <v>37245</v>
      </c>
      <c r="BJ17" s="38">
        <f>ROUND(BJ$19*'kWh Blocks by Rate Category'!R16,0)</f>
        <v>38456</v>
      </c>
      <c r="BK17" s="38">
        <f>ROUND(BK$19*'kWh Blocks by Rate Category'!S16,0)</f>
        <v>40526</v>
      </c>
      <c r="BL17" s="38">
        <f>ROUND(BL$19*'kWh Blocks by Rate Category'!T16,0)</f>
        <v>50244</v>
      </c>
      <c r="BM17" s="38">
        <f>ROUND(BM$19*'kWh Blocks by Rate Category'!U16,0)</f>
        <v>52861</v>
      </c>
      <c r="BN17" s="210">
        <f>SUM(BB17:BM17)</f>
        <v>261084</v>
      </c>
      <c r="BO17" s="143">
        <f>ROUND(BO$19*'kWh Blocks by Rate Category'!W16,0)</f>
        <v>625133</v>
      </c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>
        <f>ROUND(BH$19*'kWh Blocks by Rate Category'!P17,0)</f>
        <v>7961</v>
      </c>
      <c r="BI18" s="38">
        <f>ROUND(BI$19*'kWh Blocks by Rate Category'!Q17,0)</f>
        <v>7102</v>
      </c>
      <c r="BJ18" s="38">
        <f>ROUND(BJ$19*'kWh Blocks by Rate Category'!R17,0)</f>
        <v>7333</v>
      </c>
      <c r="BK18" s="38">
        <f>ROUND(BK$19*'kWh Blocks by Rate Category'!S17,0)</f>
        <v>7727</v>
      </c>
      <c r="BL18" s="38">
        <f>ROUND(BL$19*'kWh Blocks by Rate Category'!T17,0)</f>
        <v>9580</v>
      </c>
      <c r="BM18" s="38">
        <f>ROUND(BM$19*'kWh Blocks by Rate Category'!U17,0)</f>
        <v>10079</v>
      </c>
      <c r="BN18" s="210">
        <f>SUM(BB18:BM18)</f>
        <v>49782</v>
      </c>
      <c r="BO18" s="143">
        <f>ROUND(BO$19*'kWh Blocks by Rate Category'!W17,0)</f>
        <v>119199</v>
      </c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>
        <f t="shared" ref="BH19:BJ19" si="6">IFERROR(ROUND(BH20*BH15,0),0)</f>
        <v>128069</v>
      </c>
      <c r="BI19" s="64">
        <f t="shared" si="6"/>
        <v>114245</v>
      </c>
      <c r="BJ19" s="64">
        <f t="shared" si="6"/>
        <v>117960</v>
      </c>
      <c r="BK19" s="64">
        <f t="shared" ref="BK19:BM19" si="7">IFERROR(ROUND(BK20*BK15,0),0)</f>
        <v>124310</v>
      </c>
      <c r="BL19" s="64">
        <f t="shared" si="7"/>
        <v>154116</v>
      </c>
      <c r="BM19" s="64">
        <f t="shared" si="7"/>
        <v>162146</v>
      </c>
      <c r="BN19" s="196">
        <f>SUM(BB19:BM19)</f>
        <v>800846</v>
      </c>
      <c r="BO19" s="147">
        <f>ROUND(BO15*BO20,0)</f>
        <v>1917521</v>
      </c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17">
        <f t="shared" ref="BH20:BM20" si="8">BH12</f>
        <v>1058.4230225988701</v>
      </c>
      <c r="BI20" s="17">
        <f t="shared" si="8"/>
        <v>944.1739510532442</v>
      </c>
      <c r="BJ20" s="17">
        <f t="shared" si="8"/>
        <v>974.87523409448534</v>
      </c>
      <c r="BK20" s="17">
        <f t="shared" si="8"/>
        <v>1027.3524227234755</v>
      </c>
      <c r="BL20" s="17">
        <f t="shared" si="8"/>
        <v>1273.6846986817325</v>
      </c>
      <c r="BM20" s="17">
        <f t="shared" si="8"/>
        <v>1340.0464684324504</v>
      </c>
      <c r="BN20" s="211">
        <f>IFERROR((BN19+BN11)/SUM(BH15:BM15,BB7:BG7)*12,0)</f>
        <v>15589.603305785124</v>
      </c>
      <c r="BO20" s="20">
        <f>BN20</f>
        <v>15589.603305785124</v>
      </c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Data'!C107=0,"",'kWh_Streetlight Data'!C107)</f>
        <v/>
      </c>
      <c r="C27" s="108" t="str">
        <f>IF('kWh_Streetlight Data'!D107=0,"",'kWh_Streetlight Data'!D107)</f>
        <v/>
      </c>
      <c r="D27" s="108" t="str">
        <f>IF('kWh_Streetlight Data'!E107=0,"",'kWh_Streetlight Data'!E107)</f>
        <v/>
      </c>
      <c r="E27" s="108" t="str">
        <f>IF('kWh_Streetlight Data'!F107=0,"",'kWh_Streetlight Data'!F107)</f>
        <v/>
      </c>
      <c r="F27" s="108" t="str">
        <f>IF('kWh_Streetlight Data'!G107=0,"",'kWh_Streetlight Data'!G107)</f>
        <v/>
      </c>
      <c r="G27" s="108" t="str">
        <f>IF('kWh_Streetlight Data'!H107=0,"",'kWh_Streetlight Data'!H107)</f>
        <v/>
      </c>
      <c r="H27" s="108" t="str">
        <f>IF('kWh_Streetlight Data'!I107=0,"",'kWh_Streetlight Data'!I107)</f>
        <v/>
      </c>
      <c r="I27" s="108" t="str">
        <f>IF('kWh_Streetlight Data'!J107=0,"",'kWh_Streetlight Data'!J107)</f>
        <v/>
      </c>
      <c r="J27" s="108" t="str">
        <f>IF('kWh_Streetlight Data'!K107=0,"",'kWh_Streetlight Data'!K107)</f>
        <v/>
      </c>
      <c r="K27" s="108" t="str">
        <f>IF('kWh_Streetlight Data'!L107=0,"",'kWh_Streetlight Data'!L107)</f>
        <v/>
      </c>
      <c r="L27" s="108" t="str">
        <f>IF('kWh_Streetlight Data'!M107=0,"",'kWh_Streetlight Data'!M107)</f>
        <v/>
      </c>
      <c r="M27" s="108" t="str">
        <f>IF('kWh_Streetlight Data'!N107=0,"",'kWh_Streetlight Data'!N107)</f>
        <v/>
      </c>
      <c r="N27" s="424" t="str">
        <f>IF('kWh_Streetlight Data'!O107=0,"",'kWh_Streetlight Data'!O107)</f>
        <v/>
      </c>
      <c r="O27" s="84" t="str">
        <f>IF('kWh_Streetlight Data'!P107=0,"",'kWh_Streetlight Data'!P107)</f>
        <v/>
      </c>
      <c r="P27" s="108" t="str">
        <f>IF('kWh_Streetlight Data'!Q107=0,"",'kWh_Streetlight Data'!Q107)</f>
        <v/>
      </c>
      <c r="Q27" s="108" t="str">
        <f>IF('kWh_Streetlight Data'!R107=0,"",'kWh_Streetlight Data'!R107)</f>
        <v/>
      </c>
      <c r="R27" s="108" t="str">
        <f>IF('kWh_Streetlight Data'!S107=0,"",'kWh_Streetlight Data'!S107)</f>
        <v/>
      </c>
      <c r="S27" s="108" t="str">
        <f>IF('kWh_Streetlight Data'!T107=0,"",'kWh_Streetlight Data'!T107)</f>
        <v/>
      </c>
      <c r="T27" s="108" t="str">
        <f>IF('kWh_Streetlight Data'!U107=0,"",'kWh_Streetlight Data'!U107)</f>
        <v/>
      </c>
      <c r="U27" s="108" t="str">
        <f>IF('kWh_Streetlight Data'!V107=0,"",'kWh_Streetlight Data'!V107)</f>
        <v/>
      </c>
      <c r="V27" s="108" t="str">
        <f>IF('kWh_Streetlight Data'!W107=0,"",'kWh_Streetlight Data'!W107)</f>
        <v/>
      </c>
      <c r="W27" s="108" t="str">
        <f>IF('kWh_Streetlight Data'!X107=0,"",'kWh_Streetlight Data'!X107)</f>
        <v/>
      </c>
      <c r="X27" s="108" t="str">
        <f>IF('kWh_Streetlight Data'!Y107=0,"",'kWh_Streetlight Data'!Y107)</f>
        <v/>
      </c>
      <c r="Y27" s="108" t="str">
        <f>IF('kWh_Streetlight Data'!Z107=0,"",'kWh_Streetlight Data'!Z107)</f>
        <v/>
      </c>
      <c r="Z27" s="108" t="str">
        <f>IF('kWh_Streetlight Data'!AA107=0,"",'kWh_Streetlight Data'!AA107)</f>
        <v/>
      </c>
      <c r="AA27" s="424" t="str">
        <f>IF('kWh_Streetlight Data'!AB107=0,"",'kWh_Streetlight Data'!AB107)</f>
        <v/>
      </c>
      <c r="AB27" s="129" t="str">
        <f>IF('kWh_Streetlight Data'!AC107=0,"",'kWh_Streetlight Data'!AC107)</f>
        <v/>
      </c>
      <c r="AC27" s="130" t="str">
        <f>IF('kWh_Streetlight Data'!AD107=0,"",'kWh_Streetlight Data'!AD107)</f>
        <v/>
      </c>
      <c r="AD27" s="130" t="str">
        <f>IF('kWh_Streetlight Data'!AE107=0,"",'kWh_Streetlight Data'!AE107)</f>
        <v/>
      </c>
      <c r="AE27" s="130" t="str">
        <f>IF('kWh_Streetlight Data'!AF107=0,"",'kWh_Streetlight Data'!AF107)</f>
        <v/>
      </c>
      <c r="AF27" s="130" t="str">
        <f>IF('kWh_Streetlight Data'!AG107=0,"",'kWh_Streetlight Data'!AG107)</f>
        <v/>
      </c>
      <c r="AG27" s="130" t="str">
        <f>IF('kWh_Streetlight Data'!AH107=0,"",'kWh_Streetlight Data'!AH107)</f>
        <v/>
      </c>
      <c r="AH27" s="108" t="str">
        <f>IF('kWh_Streetlight Data'!AI107=0,"",'kWh_Streetlight Data'!AI107)</f>
        <v/>
      </c>
      <c r="AI27" s="108" t="str">
        <f>IF('kWh_Streetlight Data'!AJ107=0,"",'kWh_Streetlight Data'!AJ107)</f>
        <v/>
      </c>
      <c r="AJ27" s="108" t="str">
        <f>IF('kWh_Streetlight Data'!AK107=0,"",'kWh_Streetlight Data'!AK107)</f>
        <v/>
      </c>
      <c r="AK27" s="108" t="str">
        <f>IF('kWh_Streetlight Data'!AL107=0,"",'kWh_Streetlight Data'!AL107)</f>
        <v/>
      </c>
      <c r="AL27" s="108" t="str">
        <f>IF('kWh_Streetlight Data'!AM107=0,"",'kWh_Streetlight Data'!AM107)</f>
        <v/>
      </c>
      <c r="AM27" s="108" t="str">
        <f>IF('kWh_Streetlight Data'!AN107=0,"",'kWh_Streetlight Data'!AN107)</f>
        <v/>
      </c>
      <c r="AN27" s="426" t="str">
        <f>IF('kWh_Streetlight Data'!AO107=0,"",'kWh_Streetlight Data'!AO107)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Customers!E133</f>
        <v>10</v>
      </c>
      <c r="AV29" s="124">
        <f>Customers!F133</f>
        <v>10</v>
      </c>
      <c r="AW29" s="124">
        <f>Customers!G133</f>
        <v>10</v>
      </c>
      <c r="AX29" s="124">
        <f>Customers!H133</f>
        <v>10</v>
      </c>
      <c r="AY29" s="124">
        <f>Customers!I133</f>
        <v>10</v>
      </c>
      <c r="AZ29" s="124">
        <f>Customers!J133</f>
        <v>10</v>
      </c>
      <c r="BA29" s="210">
        <f>AZ29</f>
        <v>10</v>
      </c>
      <c r="BB29" s="124">
        <v>10</v>
      </c>
      <c r="BC29" s="38">
        <v>10</v>
      </c>
      <c r="BD29" s="38">
        <v>10</v>
      </c>
      <c r="BE29" s="38">
        <v>10</v>
      </c>
      <c r="BF29" s="38">
        <f t="shared" ref="BF29:BJ29" si="9">BE29</f>
        <v>10</v>
      </c>
      <c r="BG29" s="38">
        <f t="shared" si="9"/>
        <v>10</v>
      </c>
      <c r="BH29" s="38">
        <v>0</v>
      </c>
      <c r="BI29" s="38">
        <v>0</v>
      </c>
      <c r="BJ29" s="38">
        <f t="shared" si="9"/>
        <v>0</v>
      </c>
      <c r="BK29" s="38">
        <v>0</v>
      </c>
      <c r="BL29" s="38">
        <v>0</v>
      </c>
      <c r="BM29" s="38">
        <v>0</v>
      </c>
      <c r="BN29" s="210">
        <v>0</v>
      </c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13351</v>
      </c>
      <c r="AV30" s="38">
        <f>ROUND(AV$33*'kWh Blocks by Rate Category'!D29,0)</f>
        <v>14573</v>
      </c>
      <c r="AW30" s="38">
        <f>ROUND(AW$33*'kWh Blocks by Rate Category'!E29,0)</f>
        <v>13352</v>
      </c>
      <c r="AX30" s="38">
        <f>ROUND(AX$33*'kWh Blocks by Rate Category'!F29,0)</f>
        <v>13487</v>
      </c>
      <c r="AY30" s="38">
        <f>ROUND(AY$33*'kWh Blocks by Rate Category'!G29,0)</f>
        <v>19731</v>
      </c>
      <c r="AZ30" s="38">
        <f>ROUND(AZ$33*'kWh Blocks by Rate Category'!H29,0)</f>
        <v>24757</v>
      </c>
      <c r="BA30" s="210">
        <f>SUM(AO30:AZ30)</f>
        <v>99251</v>
      </c>
      <c r="BB30" s="38">
        <v>28213</v>
      </c>
      <c r="BC30" s="38">
        <v>23296</v>
      </c>
      <c r="BD30" s="38">
        <v>24979</v>
      </c>
      <c r="BE30" s="38">
        <v>23974</v>
      </c>
      <c r="BF30" s="38">
        <f>ROUND(BF$33*'kWh Blocks by Rate Category'!N29,0)</f>
        <v>17636</v>
      </c>
      <c r="BG30" s="38">
        <f>ROUND(BG$33*'kWh Blocks by Rate Category'!O29,0)</f>
        <v>16157</v>
      </c>
      <c r="BH30" s="38">
        <f>ROUND(BH$33*'kWh Blocks by Rate Category'!P29,0)</f>
        <v>0</v>
      </c>
      <c r="BI30" s="38">
        <f>ROUND(BI$33*'kWh Blocks by Rate Category'!Q29,0)</f>
        <v>0</v>
      </c>
      <c r="BJ30" s="38">
        <f>ROUND(BJ$33*'kWh Blocks by Rate Category'!R29,0)</f>
        <v>0</v>
      </c>
      <c r="BK30" s="38">
        <f>ROUND(BK$33*'kWh Blocks by Rate Category'!S29,0)</f>
        <v>0</v>
      </c>
      <c r="BL30" s="38">
        <f>ROUND(BL$33*'kWh Blocks by Rate Category'!T29,0)</f>
        <v>0</v>
      </c>
      <c r="BM30" s="38">
        <f>ROUND(BM$33*'kWh Blocks by Rate Category'!U29,0)</f>
        <v>0</v>
      </c>
      <c r="BN30" s="210">
        <f>SUM(BB30:BM30)</f>
        <v>134255</v>
      </c>
      <c r="BO30" s="38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1271</v>
      </c>
      <c r="AV31" s="38">
        <f>ROUND(AV$33*'kWh Blocks by Rate Category'!D30,0)</f>
        <v>1388</v>
      </c>
      <c r="AW31" s="38">
        <f>ROUND(AW$33*'kWh Blocks by Rate Category'!E30,0)</f>
        <v>1271</v>
      </c>
      <c r="AX31" s="38">
        <f>ROUND(AX$33*'kWh Blocks by Rate Category'!F30,0)</f>
        <v>1284</v>
      </c>
      <c r="AY31" s="38">
        <f>ROUND(AY$33*'kWh Blocks by Rate Category'!G30,0)</f>
        <v>1879</v>
      </c>
      <c r="AZ31" s="38">
        <f>ROUND(AZ$33*'kWh Blocks by Rate Category'!H30,0)</f>
        <v>2357</v>
      </c>
      <c r="BA31" s="210">
        <f>SUM(AO31:AZ31)</f>
        <v>9450</v>
      </c>
      <c r="BB31" s="38">
        <v>2686</v>
      </c>
      <c r="BC31" s="38">
        <v>2218</v>
      </c>
      <c r="BD31" s="38">
        <v>2379</v>
      </c>
      <c r="BE31" s="38">
        <v>2283</v>
      </c>
      <c r="BF31" s="38">
        <f>ROUND(BF$33*'kWh Blocks by Rate Category'!N30,0)</f>
        <v>1679</v>
      </c>
      <c r="BG31" s="38">
        <f>ROUND(BG$33*'kWh Blocks by Rate Category'!O30,0)</f>
        <v>1538</v>
      </c>
      <c r="BH31" s="38">
        <f>ROUND(BH$33*'kWh Blocks by Rate Category'!P30,0)</f>
        <v>0</v>
      </c>
      <c r="BI31" s="38">
        <f>ROUND(BI$33*'kWh Blocks by Rate Category'!Q30,0)</f>
        <v>0</v>
      </c>
      <c r="BJ31" s="38">
        <f>ROUND(BJ$33*'kWh Blocks by Rate Category'!R30,0)</f>
        <v>0</v>
      </c>
      <c r="BK31" s="38">
        <f>ROUND(BK$33*'kWh Blocks by Rate Category'!S30,0)</f>
        <v>0</v>
      </c>
      <c r="BL31" s="38">
        <f>ROUND(BL$33*'kWh Blocks by Rate Category'!T30,0)</f>
        <v>0</v>
      </c>
      <c r="BM31" s="38">
        <f>ROUND(BM$33*'kWh Blocks by Rate Category'!U30,0)</f>
        <v>0</v>
      </c>
      <c r="BN31" s="210">
        <f>SUM(BB31:BM31)</f>
        <v>12783</v>
      </c>
      <c r="BO31" s="38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10">IFERROR(ROUND(AU34*AU29,0),0)</f>
        <v>14622</v>
      </c>
      <c r="AV33" s="64">
        <f t="shared" si="10"/>
        <v>15961</v>
      </c>
      <c r="AW33" s="64">
        <f t="shared" si="10"/>
        <v>14623</v>
      </c>
      <c r="AX33" s="64">
        <f t="shared" si="10"/>
        <v>14771</v>
      </c>
      <c r="AY33" s="64">
        <f t="shared" si="10"/>
        <v>21610</v>
      </c>
      <c r="AZ33" s="64">
        <f t="shared" si="10"/>
        <v>27114</v>
      </c>
      <c r="BA33" s="196">
        <f>SUM(AO33:AZ33)</f>
        <v>108701</v>
      </c>
      <c r="BB33" s="64">
        <v>30899</v>
      </c>
      <c r="BC33" s="64">
        <v>25514</v>
      </c>
      <c r="BD33" s="64">
        <v>27358</v>
      </c>
      <c r="BE33" s="64">
        <v>26257</v>
      </c>
      <c r="BF33" s="64">
        <f t="shared" ref="BF33:BM33" si="11">IFERROR(ROUND(BF34*BF29,0),0)</f>
        <v>19315</v>
      </c>
      <c r="BG33" s="64">
        <f t="shared" si="11"/>
        <v>17695</v>
      </c>
      <c r="BH33" s="64">
        <f t="shared" si="11"/>
        <v>0</v>
      </c>
      <c r="BI33" s="64">
        <f t="shared" si="11"/>
        <v>0</v>
      </c>
      <c r="BJ33" s="64">
        <f t="shared" si="11"/>
        <v>0</v>
      </c>
      <c r="BK33" s="64">
        <f t="shared" si="11"/>
        <v>0</v>
      </c>
      <c r="BL33" s="64">
        <f t="shared" si="11"/>
        <v>0</v>
      </c>
      <c r="BM33" s="64">
        <f t="shared" si="11"/>
        <v>0</v>
      </c>
      <c r="BN33" s="196">
        <f>SUM(BB33:BM33)</f>
        <v>147038</v>
      </c>
      <c r="BO33" s="147"/>
    </row>
    <row r="34" spans="1:67" ht="15.75" customHeight="1" thickTop="1">
      <c r="A34" s="374" t="s">
        <v>54</v>
      </c>
      <c r="B34" s="84">
        <f>IF('kWh_Streetlight Data'!C108=0,"",'kWh_Streetlight Data'!C108)</f>
        <v>2565.8000000000002</v>
      </c>
      <c r="C34" s="108">
        <f>IF('kWh_Streetlight Data'!D108=0,"",'kWh_Streetlight Data'!D108)</f>
        <v>2409.6</v>
      </c>
      <c r="D34" s="108">
        <f>IF('kWh_Streetlight Data'!E108=0,"",'kWh_Streetlight Data'!E108)</f>
        <v>1907.8</v>
      </c>
      <c r="E34" s="108">
        <f>IF('kWh_Streetlight Data'!F108=0,"",'kWh_Streetlight Data'!F108)</f>
        <v>2568.1</v>
      </c>
      <c r="F34" s="108">
        <f>IF('kWh_Streetlight Data'!G108=0,"",'kWh_Streetlight Data'!G108)</f>
        <v>1905.6</v>
      </c>
      <c r="G34" s="108">
        <f>IF('kWh_Streetlight Data'!H108=0,"",'kWh_Streetlight Data'!H108)</f>
        <v>1695.5</v>
      </c>
      <c r="H34" s="108">
        <f>IF('kWh_Streetlight Data'!I108=0,"",'kWh_Streetlight Data'!I108)</f>
        <v>1423.2727272727273</v>
      </c>
      <c r="I34" s="108">
        <f>IF('kWh_Streetlight Data'!J108=0,"",'kWh_Streetlight Data'!J108)</f>
        <v>1684.3</v>
      </c>
      <c r="J34" s="108">
        <f>IF('kWh_Streetlight Data'!K108=0,"",'kWh_Streetlight Data'!K108)</f>
        <v>1240.090909090909</v>
      </c>
      <c r="K34" s="108">
        <f>IF('kWh_Streetlight Data'!L108=0,"",'kWh_Streetlight Data'!L108)</f>
        <v>1604.7</v>
      </c>
      <c r="L34" s="108">
        <f>IF('kWh_Streetlight Data'!M108=0,"",'kWh_Streetlight Data'!M108)</f>
        <v>2082.6999999999998</v>
      </c>
      <c r="M34" s="108">
        <f>IF('kWh_Streetlight Data'!N108=0,"",'kWh_Streetlight Data'!N108)</f>
        <v>2201.5</v>
      </c>
      <c r="N34" s="424">
        <f>IF('kWh_Streetlight Data'!O108=0,"",'kWh_Streetlight Data'!O108)</f>
        <v>1930.7622950819673</v>
      </c>
      <c r="O34" s="84">
        <f>IF('kWh_Streetlight Data'!P108=0,"",'kWh_Streetlight Data'!P108)</f>
        <v>2716.6</v>
      </c>
      <c r="P34" s="108">
        <f>IF('kWh_Streetlight Data'!Q108=0,"",'kWh_Streetlight Data'!Q108)</f>
        <v>2233.4</v>
      </c>
      <c r="Q34" s="108">
        <f>IF('kWh_Streetlight Data'!R108=0,"",'kWh_Streetlight Data'!R108)</f>
        <v>2829.9</v>
      </c>
      <c r="R34" s="108">
        <f>IF('kWh_Streetlight Data'!S108=0,"",'kWh_Streetlight Data'!S108)</f>
        <v>2922.5</v>
      </c>
      <c r="S34" s="108">
        <f>IF('kWh_Streetlight Data'!T108=0,"",'kWh_Streetlight Data'!T108)</f>
        <v>1661.8</v>
      </c>
      <c r="T34" s="108">
        <f>IF('kWh_Streetlight Data'!U108=0,"",'kWh_Streetlight Data'!U108)</f>
        <v>1999.4</v>
      </c>
      <c r="U34" s="108">
        <f>IF('kWh_Streetlight Data'!V108=0,"",'kWh_Streetlight Data'!V108)</f>
        <v>1575.8</v>
      </c>
      <c r="V34" s="108">
        <f>IF('kWh_Streetlight Data'!W108=0,"",'kWh_Streetlight Data'!W108)</f>
        <v>1666.7</v>
      </c>
      <c r="W34" s="108">
        <f>IF('kWh_Streetlight Data'!X108=0,"",'kWh_Streetlight Data'!X108)</f>
        <v>1815.9</v>
      </c>
      <c r="X34" s="108">
        <f>IF('kWh_Streetlight Data'!Y108=0,"",'kWh_Streetlight Data'!Y108)</f>
        <v>1513.2</v>
      </c>
      <c r="Y34" s="108">
        <f>IF('kWh_Streetlight Data'!Z108=0,"",'kWh_Streetlight Data'!Z108)</f>
        <v>2276.6</v>
      </c>
      <c r="Z34" s="108">
        <f>IF('kWh_Streetlight Data'!AA108=0,"",'kWh_Streetlight Data'!AA108)</f>
        <v>3227.4</v>
      </c>
      <c r="AA34" s="424">
        <f>IF('kWh_Streetlight Data'!AB108=0,"",'kWh_Streetlight Data'!AB108)</f>
        <v>2203.2666666666669</v>
      </c>
      <c r="AB34" s="129">
        <f>IF('kWh_Streetlight Data'!AC108=0,"",'kWh_Streetlight Data'!AC108)</f>
        <v>3987.3</v>
      </c>
      <c r="AC34" s="130">
        <f>IF('kWh_Streetlight Data'!AD108=0,"",'kWh_Streetlight Data'!AD108)</f>
        <v>3011.2</v>
      </c>
      <c r="AD34" s="130">
        <f>IF('kWh_Streetlight Data'!AE108=0,"",'kWh_Streetlight Data'!AE108)</f>
        <v>3469.7</v>
      </c>
      <c r="AE34" s="130">
        <f>IF('kWh_Streetlight Data'!AF108=0,"",'kWh_Streetlight Data'!AF108)</f>
        <v>2386.5</v>
      </c>
      <c r="AF34" s="130">
        <f>IF('kWh_Streetlight Data'!AG108=0,"",'kWh_Streetlight Data'!AG108)</f>
        <v>2227.1</v>
      </c>
      <c r="AG34" s="130">
        <f>IF('kWh_Streetlight Data'!AH108=0,"",'kWh_Streetlight Data'!AH108)</f>
        <v>1613.5</v>
      </c>
      <c r="AH34" s="130">
        <f>IF('kWh_Streetlight Data'!AI108=0,"",'kWh_Streetlight Data'!AI108)</f>
        <v>1387.4</v>
      </c>
      <c r="AI34" s="130">
        <f>IF('kWh_Streetlight Data'!AJ108=0,"",'kWh_Streetlight Data'!AJ108)</f>
        <v>1437.3</v>
      </c>
      <c r="AJ34" s="130">
        <f>IF('kWh_Streetlight Data'!AK108=0,"",'kWh_Streetlight Data'!AK108)</f>
        <v>1330.8</v>
      </c>
      <c r="AK34" s="130">
        <f>IF('kWh_Streetlight Data'!AL108=0,"",'kWh_Streetlight Data'!AL108)</f>
        <v>1313.3</v>
      </c>
      <c r="AL34" s="130">
        <f>IF('kWh_Streetlight Data'!AM108=0,"",'kWh_Streetlight Data'!AM108)</f>
        <v>2123.6</v>
      </c>
      <c r="AM34" s="130">
        <f>IF('kWh_Streetlight Data'!AN108=0,"",'kWh_Streetlight Data'!AN108)</f>
        <v>2705.4</v>
      </c>
      <c r="AN34" s="426">
        <f>IF('kWh_Streetlight Data'!AO108=0,"",'kWh_Streetlight Data'!AO108)</f>
        <v>2249.4250000000002</v>
      </c>
      <c r="AO34" s="43"/>
      <c r="AP34" s="40"/>
      <c r="AQ34" s="40"/>
      <c r="AR34" s="40"/>
      <c r="AS34" s="40"/>
      <c r="AT34" s="17"/>
      <c r="AU34" s="9">
        <f t="shared" ref="AU34:AZ34" si="12">IFERROR(AVERAGE(AH34,U34,H34),0)</f>
        <v>1462.1575757575756</v>
      </c>
      <c r="AV34" s="9">
        <f t="shared" si="12"/>
        <v>1596.1000000000001</v>
      </c>
      <c r="AW34" s="9">
        <f t="shared" si="12"/>
        <v>1462.2636363636364</v>
      </c>
      <c r="AX34" s="9">
        <f t="shared" si="12"/>
        <v>1477.0666666666666</v>
      </c>
      <c r="AY34" s="9">
        <f t="shared" si="12"/>
        <v>2160.9666666666667</v>
      </c>
      <c r="AZ34" s="9">
        <f t="shared" si="12"/>
        <v>2711.4333333333334</v>
      </c>
      <c r="BA34" s="211"/>
      <c r="BB34" s="9">
        <v>3089.9</v>
      </c>
      <c r="BC34" s="17">
        <v>2551.4</v>
      </c>
      <c r="BD34" s="17">
        <v>2735.7999999999997</v>
      </c>
      <c r="BE34" s="17">
        <v>2625.7000000000003</v>
      </c>
      <c r="BF34" s="17">
        <f t="shared" ref="BF34:BM34" si="13">IFERROR(AVERAGE(F34,S34,AF34),0)</f>
        <v>1931.5</v>
      </c>
      <c r="BG34" s="17">
        <f t="shared" si="13"/>
        <v>1769.4666666666665</v>
      </c>
      <c r="BH34" s="17">
        <f t="shared" si="13"/>
        <v>1462.1575757575756</v>
      </c>
      <c r="BI34" s="17">
        <f t="shared" si="13"/>
        <v>1596.1000000000001</v>
      </c>
      <c r="BJ34" s="17">
        <f t="shared" si="13"/>
        <v>1462.2636363636364</v>
      </c>
      <c r="BK34" s="17">
        <f t="shared" si="13"/>
        <v>1477.0666666666666</v>
      </c>
      <c r="BL34" s="17">
        <f t="shared" si="13"/>
        <v>2160.9666666666667</v>
      </c>
      <c r="BM34" s="9">
        <f t="shared" si="13"/>
        <v>2711.4333333333329</v>
      </c>
      <c r="BN34" s="211">
        <v>0</v>
      </c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338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>
        <f>$BG$29</f>
        <v>10</v>
      </c>
      <c r="BI36" s="38">
        <f t="shared" ref="BI36:BM36" si="14">$BG$29</f>
        <v>10</v>
      </c>
      <c r="BJ36" s="38">
        <f t="shared" si="14"/>
        <v>10</v>
      </c>
      <c r="BK36" s="38">
        <f t="shared" si="14"/>
        <v>10</v>
      </c>
      <c r="BL36" s="38">
        <f t="shared" si="14"/>
        <v>10</v>
      </c>
      <c r="BM36" s="38">
        <f t="shared" si="14"/>
        <v>10</v>
      </c>
      <c r="BN36" s="210">
        <f>IFERROR(ROUND(AVERAGE(BH36:BM36,BB29:BG29),0),0)</f>
        <v>10</v>
      </c>
      <c r="BO36" s="146">
        <f>Customers!L133</f>
        <v>10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>
        <f>ROUND(BH$40*'kWh Blocks by Rate Category'!P36,0)</f>
        <v>13351</v>
      </c>
      <c r="BI37" s="38">
        <f>ROUND(BI$40*'kWh Blocks by Rate Category'!Q36,0)</f>
        <v>14573</v>
      </c>
      <c r="BJ37" s="38">
        <f>ROUND(BJ$40*'kWh Blocks by Rate Category'!R36,0)</f>
        <v>13352</v>
      </c>
      <c r="BK37" s="38">
        <f>ROUND(BK$40*'kWh Blocks by Rate Category'!S36,0)</f>
        <v>13487</v>
      </c>
      <c r="BL37" s="38">
        <f>ROUND(BL$40*'kWh Blocks by Rate Category'!T36,0)</f>
        <v>19731</v>
      </c>
      <c r="BM37" s="38">
        <f>ROUND(BM$40*'kWh Blocks by Rate Category'!U36,0)</f>
        <v>24757</v>
      </c>
      <c r="BN37" s="210">
        <f>SUM(BB37:BM37)</f>
        <v>99251</v>
      </c>
      <c r="BO37" s="38">
        <f>ROUND(BO$40*'kWh Blocks by Rate Category'!W36,0)</f>
        <v>233505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>
        <f>ROUND(BH$40*'kWh Blocks by Rate Category'!P37,0)</f>
        <v>1271</v>
      </c>
      <c r="BI38" s="38">
        <f>ROUND(BI$40*'kWh Blocks by Rate Category'!Q37,0)</f>
        <v>1388</v>
      </c>
      <c r="BJ38" s="38">
        <f>ROUND(BJ$40*'kWh Blocks by Rate Category'!R37,0)</f>
        <v>1271</v>
      </c>
      <c r="BK38" s="38">
        <f>ROUND(BK$40*'kWh Blocks by Rate Category'!S37,0)</f>
        <v>1284</v>
      </c>
      <c r="BL38" s="38">
        <f>ROUND(BL$40*'kWh Blocks by Rate Category'!T37,0)</f>
        <v>1879</v>
      </c>
      <c r="BM38" s="38">
        <f>ROUND(BM$40*'kWh Blocks by Rate Category'!U37,0)</f>
        <v>2357</v>
      </c>
      <c r="BN38" s="210">
        <f>SUM(BB38:BM38)</f>
        <v>9450</v>
      </c>
      <c r="BO38" s="38">
        <f>ROUND(BO$40*'kWh Blocks by Rate Category'!W37,0)</f>
        <v>22234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>
        <f>ROUND(BH$40*'kWh Blocks by Rate Category'!P38,0)</f>
        <v>0</v>
      </c>
      <c r="BI39" s="38">
        <f>ROUND(BI$40*'kWh Blocks by Rate Category'!Q38,0)</f>
        <v>0</v>
      </c>
      <c r="BJ39" s="38">
        <f>ROUND(BJ$40*'kWh Blocks by Rate Category'!R38,0)</f>
        <v>0</v>
      </c>
      <c r="BK39" s="38">
        <f>ROUND(BK$40*'kWh Blocks by Rate Category'!S38,0)</f>
        <v>0</v>
      </c>
      <c r="BL39" s="38">
        <f>ROUND(BL$40*'kWh Blocks by Rate Category'!T38,0)</f>
        <v>0</v>
      </c>
      <c r="BM39" s="38">
        <f>ROUND(BM$40*'kWh Blocks by Rate Category'!U38,0)</f>
        <v>0</v>
      </c>
      <c r="BN39" s="210">
        <f>SUM(BB39:BM39)</f>
        <v>0</v>
      </c>
      <c r="BO39" s="38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>
        <f t="shared" ref="BH40:BJ40" si="15">IFERROR(ROUND(BH41*BH36,0),0)</f>
        <v>14622</v>
      </c>
      <c r="BI40" s="64">
        <f t="shared" si="15"/>
        <v>15961</v>
      </c>
      <c r="BJ40" s="64">
        <f t="shared" si="15"/>
        <v>14623</v>
      </c>
      <c r="BK40" s="64">
        <f t="shared" ref="BK40:BM40" si="16">IFERROR(ROUND(BK41*BK36,0),0)</f>
        <v>14771</v>
      </c>
      <c r="BL40" s="64">
        <f t="shared" si="16"/>
        <v>21610</v>
      </c>
      <c r="BM40" s="64">
        <f t="shared" si="16"/>
        <v>27114</v>
      </c>
      <c r="BN40" s="196">
        <f>SUM(BB40:BM40)</f>
        <v>108701</v>
      </c>
      <c r="BO40" s="333">
        <f>ROUND(BO36*BO41,0)</f>
        <v>255739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17">
        <f t="shared" ref="BH41:BM41" si="17">BH34</f>
        <v>1462.1575757575756</v>
      </c>
      <c r="BI41" s="17">
        <f t="shared" si="17"/>
        <v>1596.1000000000001</v>
      </c>
      <c r="BJ41" s="17">
        <f t="shared" si="17"/>
        <v>1462.2636363636364</v>
      </c>
      <c r="BK41" s="17">
        <f t="shared" si="17"/>
        <v>1477.0666666666666</v>
      </c>
      <c r="BL41" s="17">
        <f t="shared" si="17"/>
        <v>2160.9666666666667</v>
      </c>
      <c r="BM41" s="17">
        <f t="shared" si="17"/>
        <v>2711.4333333333329</v>
      </c>
      <c r="BN41" s="211">
        <f>IFERROR((BN40+BN33)/SUM(BH36:BM36,BB29:BG29)*12,0)</f>
        <v>25573.9</v>
      </c>
      <c r="BO41" s="273">
        <f>BN41</f>
        <v>25573.9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Customers!E134</f>
        <v>2</v>
      </c>
      <c r="AV43" s="124">
        <f>Customers!F134</f>
        <v>2</v>
      </c>
      <c r="AW43" s="124">
        <f>Customers!G134</f>
        <v>2</v>
      </c>
      <c r="AX43" s="124">
        <f>Customers!H134</f>
        <v>2</v>
      </c>
      <c r="AY43" s="124">
        <f>Customers!I134</f>
        <v>2</v>
      </c>
      <c r="AZ43" s="124">
        <f>Customers!J134</f>
        <v>2</v>
      </c>
      <c r="BA43" s="210">
        <f>AZ43</f>
        <v>2</v>
      </c>
      <c r="BB43" s="124">
        <v>2</v>
      </c>
      <c r="BC43" s="38">
        <v>2</v>
      </c>
      <c r="BD43" s="38">
        <v>2</v>
      </c>
      <c r="BE43" s="38">
        <v>2</v>
      </c>
      <c r="BF43" s="38">
        <f t="shared" ref="BF43:BJ43" si="18">BE43</f>
        <v>2</v>
      </c>
      <c r="BG43" s="38">
        <f t="shared" si="18"/>
        <v>2</v>
      </c>
      <c r="BH43" s="38">
        <v>0</v>
      </c>
      <c r="BI43" s="38">
        <f t="shared" si="18"/>
        <v>0</v>
      </c>
      <c r="BJ43" s="38">
        <f t="shared" si="18"/>
        <v>0</v>
      </c>
      <c r="BK43" s="38">
        <v>0</v>
      </c>
      <c r="BL43" s="38">
        <v>0</v>
      </c>
      <c r="BM43" s="38">
        <v>0</v>
      </c>
      <c r="BN43" s="210">
        <v>0</v>
      </c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26473</v>
      </c>
      <c r="AV44" s="38">
        <f t="shared" ref="AV44:AZ44" si="19">AV47</f>
        <v>28643</v>
      </c>
      <c r="AW44" s="38">
        <f t="shared" si="19"/>
        <v>26723</v>
      </c>
      <c r="AX44" s="38">
        <f t="shared" si="19"/>
        <v>21693</v>
      </c>
      <c r="AY44" s="38">
        <f t="shared" si="19"/>
        <v>22537</v>
      </c>
      <c r="AZ44" s="38">
        <f t="shared" si="19"/>
        <v>21093</v>
      </c>
      <c r="BA44" s="210">
        <f>SUM(AO44:AZ44)</f>
        <v>147162</v>
      </c>
      <c r="BB44" s="38">
        <v>23510</v>
      </c>
      <c r="BC44" s="38">
        <v>19715</v>
      </c>
      <c r="BD44" s="38">
        <v>20816</v>
      </c>
      <c r="BE44" s="38">
        <v>21054</v>
      </c>
      <c r="BF44" s="38">
        <f>ROUND(BF$47*'kWh Blocks by Rate Category'!N43,0)</f>
        <v>19322</v>
      </c>
      <c r="BG44" s="38">
        <f>ROUND(BG$47*'kWh Blocks by Rate Category'!O43,0)</f>
        <v>19643</v>
      </c>
      <c r="BH44" s="38">
        <f>ROUND(BH$47*'kWh Blocks by Rate Category'!P43,0)</f>
        <v>0</v>
      </c>
      <c r="BI44" s="38">
        <f>ROUND(BI$47*'kWh Blocks by Rate Category'!Q43,0)</f>
        <v>0</v>
      </c>
      <c r="BJ44" s="38">
        <f>ROUND(BJ$47*'kWh Blocks by Rate Category'!R43,0)</f>
        <v>0</v>
      </c>
      <c r="BK44" s="38">
        <f>ROUND(BK$47*'kWh Blocks by Rate Category'!S43,0)</f>
        <v>0</v>
      </c>
      <c r="BL44" s="38">
        <f>ROUND(BL$47*'kWh Blocks by Rate Category'!T43,0)</f>
        <v>0</v>
      </c>
      <c r="BM44" s="38">
        <f>ROUND(BM$47*'kWh Blocks by Rate Category'!U43,0)</f>
        <v>0</v>
      </c>
      <c r="BN44" s="210">
        <f>SUM(BB44:BM44)</f>
        <v>124060</v>
      </c>
      <c r="BO44" s="38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2000</v>
      </c>
      <c r="BC45" s="38">
        <v>1677</v>
      </c>
      <c r="BD45" s="38">
        <v>1771</v>
      </c>
      <c r="BE45" s="38">
        <v>1791</v>
      </c>
      <c r="BF45" s="38">
        <f>ROUND(BF$47*'kWh Blocks by Rate Category'!N44,0)</f>
        <v>1644</v>
      </c>
      <c r="BG45" s="38">
        <f>ROUND(BG$47*'kWh Blocks by Rate Category'!O44,0)</f>
        <v>1671</v>
      </c>
      <c r="BH45" s="38">
        <f>ROUND(BH$47*'kWh Blocks by Rate Category'!P44,0)</f>
        <v>0</v>
      </c>
      <c r="BI45" s="38">
        <f>ROUND(BI$47*'kWh Blocks by Rate Category'!Q44,0)</f>
        <v>0</v>
      </c>
      <c r="BJ45" s="38">
        <f>ROUND(BJ$47*'kWh Blocks by Rate Category'!R44,0)</f>
        <v>0</v>
      </c>
      <c r="BK45" s="38">
        <f>ROUND(BK$47*'kWh Blocks by Rate Category'!S44,0)</f>
        <v>0</v>
      </c>
      <c r="BL45" s="38">
        <f>ROUND(BL$47*'kWh Blocks by Rate Category'!T44,0)</f>
        <v>0</v>
      </c>
      <c r="BM45" s="38">
        <f>ROUND(BM$47*'kWh Blocks by Rate Category'!U44,0)</f>
        <v>0</v>
      </c>
      <c r="BN45" s="210">
        <f>SUM(BB45:BM45)</f>
        <v>10554</v>
      </c>
      <c r="BO45" s="38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817</v>
      </c>
      <c r="BC46" s="38">
        <v>685</v>
      </c>
      <c r="BD46" s="38">
        <v>723</v>
      </c>
      <c r="BE46" s="38">
        <v>731</v>
      </c>
      <c r="BF46" s="38">
        <f>ROUND(BF$47*'kWh Blocks by Rate Category'!N45,0)</f>
        <v>671</v>
      </c>
      <c r="BG46" s="38">
        <f>ROUND(BG$47*'kWh Blocks by Rate Category'!O45,0)</f>
        <v>682</v>
      </c>
      <c r="BH46" s="38">
        <f>ROUND(BH$47*'kWh Blocks by Rate Category'!P45,0)</f>
        <v>0</v>
      </c>
      <c r="BI46" s="38">
        <f>ROUND(BI$47*'kWh Blocks by Rate Category'!Q45,0)</f>
        <v>0</v>
      </c>
      <c r="BJ46" s="38">
        <f>ROUND(BJ$47*'kWh Blocks by Rate Category'!R45,0)</f>
        <v>0</v>
      </c>
      <c r="BK46" s="38">
        <f>ROUND(BK$47*'kWh Blocks by Rate Category'!S45,0)</f>
        <v>0</v>
      </c>
      <c r="BL46" s="38">
        <f>ROUND(BL$47*'kWh Blocks by Rate Category'!T45,0)</f>
        <v>0</v>
      </c>
      <c r="BM46" s="38">
        <f>ROUND(BM$47*'kWh Blocks by Rate Category'!U45,0)</f>
        <v>0</v>
      </c>
      <c r="BN46" s="210">
        <f>SUM(BB46:BM46)</f>
        <v>4309</v>
      </c>
      <c r="BO46" s="38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20">IFERROR(ROUND(AU48*AU43,0),0)</f>
        <v>26473</v>
      </c>
      <c r="AV47" s="64">
        <f t="shared" si="20"/>
        <v>28643</v>
      </c>
      <c r="AW47" s="64">
        <f t="shared" si="20"/>
        <v>26723</v>
      </c>
      <c r="AX47" s="64">
        <f t="shared" si="20"/>
        <v>21693</v>
      </c>
      <c r="AY47" s="64">
        <f t="shared" si="20"/>
        <v>22537</v>
      </c>
      <c r="AZ47" s="64">
        <f t="shared" si="20"/>
        <v>21093</v>
      </c>
      <c r="BA47" s="196">
        <f>SUM(AO47:AZ47)</f>
        <v>147162</v>
      </c>
      <c r="BB47" s="64">
        <v>26327</v>
      </c>
      <c r="BC47" s="64">
        <v>22077</v>
      </c>
      <c r="BD47" s="64">
        <v>23310</v>
      </c>
      <c r="BE47" s="64">
        <v>23577</v>
      </c>
      <c r="BF47" s="64">
        <f t="shared" ref="BF47:BM47" si="21">IFERROR(ROUND(BF48*BF43,0),0)</f>
        <v>21637</v>
      </c>
      <c r="BG47" s="64">
        <f t="shared" si="21"/>
        <v>21997</v>
      </c>
      <c r="BH47" s="64">
        <f t="shared" si="21"/>
        <v>0</v>
      </c>
      <c r="BI47" s="64">
        <f t="shared" si="21"/>
        <v>0</v>
      </c>
      <c r="BJ47" s="64">
        <f t="shared" si="21"/>
        <v>0</v>
      </c>
      <c r="BK47" s="64">
        <f t="shared" si="21"/>
        <v>0</v>
      </c>
      <c r="BL47" s="64">
        <f t="shared" si="21"/>
        <v>0</v>
      </c>
      <c r="BM47" s="64">
        <f t="shared" si="21"/>
        <v>0</v>
      </c>
      <c r="BN47" s="196">
        <f>SUM(BB47:BM47)</f>
        <v>138925</v>
      </c>
      <c r="BO47" s="333"/>
    </row>
    <row r="48" spans="1:67" ht="15.75" customHeight="1" thickTop="1">
      <c r="A48" s="374" t="s">
        <v>54</v>
      </c>
      <c r="B48" s="129">
        <f>IF('kWh_Streetlight Data'!C109=0,"",'kWh_Streetlight Data'!C109)</f>
        <v>13515</v>
      </c>
      <c r="C48" s="130">
        <f>IF('kWh_Streetlight Data'!D109=0,"",'kWh_Streetlight Data'!D109)</f>
        <v>11465</v>
      </c>
      <c r="D48" s="130">
        <f>IF('kWh_Streetlight Data'!E109=0,"",'kWh_Streetlight Data'!E109)</f>
        <v>10155</v>
      </c>
      <c r="E48" s="130">
        <f>IF('kWh_Streetlight Data'!F109=0,"",'kWh_Streetlight Data'!F109)</f>
        <v>13710</v>
      </c>
      <c r="F48" s="130">
        <f>IF('kWh_Streetlight Data'!G109=0,"",'kWh_Streetlight Data'!G109)</f>
        <v>11730</v>
      </c>
      <c r="G48" s="130">
        <f>IF('kWh_Streetlight Data'!H109=0,"",'kWh_Streetlight Data'!H109)</f>
        <v>10465</v>
      </c>
      <c r="H48" s="130">
        <f>IF('kWh_Streetlight Data'!I109=0,"",'kWh_Streetlight Data'!I109)</f>
        <v>14010</v>
      </c>
      <c r="I48" s="130">
        <f>IF('kWh_Streetlight Data'!J109=0,"",'kWh_Streetlight Data'!J109)</f>
        <v>13815</v>
      </c>
      <c r="J48" s="130">
        <f>IF('kWh_Streetlight Data'!K109=0,"",'kWh_Streetlight Data'!K109)</f>
        <v>10985</v>
      </c>
      <c r="K48" s="130">
        <f>IF('kWh_Streetlight Data'!L109=0,"",'kWh_Streetlight Data'!L109)</f>
        <v>11250</v>
      </c>
      <c r="L48" s="130">
        <f>IF('kWh_Streetlight Data'!M109=0,"",'kWh_Streetlight Data'!M109)</f>
        <v>12180</v>
      </c>
      <c r="M48" s="130">
        <f>IF('kWh_Streetlight Data'!N109=0,"",'kWh_Streetlight Data'!N109)</f>
        <v>10880</v>
      </c>
      <c r="N48" s="424">
        <f>IF('kWh_Streetlight Data'!O109=0,"",'kWh_Streetlight Data'!O109)</f>
        <v>12013.333333333334</v>
      </c>
      <c r="O48" s="129">
        <f>IF('kWh_Streetlight Data'!P109=0,"",'kWh_Streetlight Data'!P109)</f>
        <v>12790</v>
      </c>
      <c r="P48" s="130">
        <f>IF('kWh_Streetlight Data'!Q109=0,"",'kWh_Streetlight Data'!Q109)</f>
        <v>10720</v>
      </c>
      <c r="Q48" s="130">
        <f>IF('kWh_Streetlight Data'!R109=0,"",'kWh_Streetlight Data'!R109)</f>
        <v>13415</v>
      </c>
      <c r="R48" s="130">
        <f>IF('kWh_Streetlight Data'!S109=0,"",'kWh_Streetlight Data'!S109)</f>
        <v>11940</v>
      </c>
      <c r="S48" s="130">
        <f>IF('kWh_Streetlight Data'!T109=0,"",'kWh_Streetlight Data'!T109)</f>
        <v>9565</v>
      </c>
      <c r="T48" s="130">
        <f>IF('kWh_Streetlight Data'!U109=0,"",'kWh_Streetlight Data'!U109)</f>
        <v>11935</v>
      </c>
      <c r="U48" s="130">
        <f>IF('kWh_Streetlight Data'!V109=0,"",'kWh_Streetlight Data'!V109)</f>
        <v>14270</v>
      </c>
      <c r="V48" s="130">
        <f>IF('kWh_Streetlight Data'!W109=0,"",'kWh_Streetlight Data'!W109)</f>
        <v>14100</v>
      </c>
      <c r="W48" s="130">
        <f>IF('kWh_Streetlight Data'!X109=0,"",'kWh_Streetlight Data'!X109)</f>
        <v>15235</v>
      </c>
      <c r="X48" s="130">
        <f>IF('kWh_Streetlight Data'!Y109=0,"",'kWh_Streetlight Data'!Y109)</f>
        <v>10515</v>
      </c>
      <c r="Y48" s="130">
        <f>IF('kWh_Streetlight Data'!Z109=0,"",'kWh_Streetlight Data'!Z109)</f>
        <v>11170</v>
      </c>
      <c r="Z48" s="130">
        <f>IF('kWh_Streetlight Data'!AA109=0,"",'kWh_Streetlight Data'!AA109)</f>
        <v>11465</v>
      </c>
      <c r="AA48" s="424">
        <f>IF('kWh_Streetlight Data'!AB109=0,"",'kWh_Streetlight Data'!AB109)</f>
        <v>12260</v>
      </c>
      <c r="AB48" s="129">
        <f>IF('kWh_Streetlight Data'!AC109=0,"",'kWh_Streetlight Data'!AC109)</f>
        <v>13185</v>
      </c>
      <c r="AC48" s="130">
        <f>IF('kWh_Streetlight Data'!AD109=0,"",'kWh_Streetlight Data'!AD109)</f>
        <v>10930</v>
      </c>
      <c r="AD48" s="130">
        <f>IF('kWh_Streetlight Data'!AE109=0,"",'kWh_Streetlight Data'!AE109)</f>
        <v>11395</v>
      </c>
      <c r="AE48" s="130">
        <f>IF('kWh_Streetlight Data'!AF109=0,"",'kWh_Streetlight Data'!AF109)</f>
        <v>9715</v>
      </c>
      <c r="AF48" s="130">
        <f>IF('kWh_Streetlight Data'!AG109=0,"",'kWh_Streetlight Data'!AG109)</f>
        <v>11160</v>
      </c>
      <c r="AG48" s="130">
        <f>IF('kWh_Streetlight Data'!AH109=0,"",'kWh_Streetlight Data'!AH109)</f>
        <v>10595</v>
      </c>
      <c r="AH48" s="130">
        <f>IF('kWh_Streetlight Data'!AI109=0,"",'kWh_Streetlight Data'!AI109)</f>
        <v>11430</v>
      </c>
      <c r="AI48" s="130">
        <f>IF('kWh_Streetlight Data'!AJ109=0,"",'kWh_Streetlight Data'!AJ109)</f>
        <v>15050</v>
      </c>
      <c r="AJ48" s="130">
        <f>IF('kWh_Streetlight Data'!AK109=0,"",'kWh_Streetlight Data'!AK109)</f>
        <v>13865</v>
      </c>
      <c r="AK48" s="130">
        <f>IF('kWh_Streetlight Data'!AL109=0,"",'kWh_Streetlight Data'!AL109)</f>
        <v>10775</v>
      </c>
      <c r="AL48" s="130">
        <f>IF('kWh_Streetlight Data'!AM109=0,"",'kWh_Streetlight Data'!AM109)</f>
        <v>10455</v>
      </c>
      <c r="AM48" s="130">
        <f>IF('kWh_Streetlight Data'!AN109=0,"",'kWh_Streetlight Data'!AN109)</f>
        <v>9295</v>
      </c>
      <c r="AN48" s="426">
        <f>IF('kWh_Streetlight Data'!AO109=0,"",'kWh_Streetlight Data'!AO109)</f>
        <v>11487.5</v>
      </c>
      <c r="AO48" s="43"/>
      <c r="AP48" s="40"/>
      <c r="AQ48" s="40"/>
      <c r="AR48" s="40"/>
      <c r="AS48" s="40"/>
      <c r="AT48" s="17"/>
      <c r="AU48" s="9">
        <f t="shared" ref="AU48:AZ48" si="22">IFERROR(AVERAGE(AH48,U48,H48),0)</f>
        <v>13236.666666666666</v>
      </c>
      <c r="AV48" s="9">
        <f t="shared" si="22"/>
        <v>14321.666666666666</v>
      </c>
      <c r="AW48" s="9">
        <f t="shared" si="22"/>
        <v>13361.666666666666</v>
      </c>
      <c r="AX48" s="9">
        <f t="shared" si="22"/>
        <v>10846.666666666666</v>
      </c>
      <c r="AY48" s="9">
        <f t="shared" si="22"/>
        <v>11268.333333333334</v>
      </c>
      <c r="AZ48" s="9">
        <f t="shared" si="22"/>
        <v>10546.666666666666</v>
      </c>
      <c r="BA48" s="211"/>
      <c r="BB48" s="9">
        <v>13163.333333333334</v>
      </c>
      <c r="BC48" s="17">
        <v>11038.333333333334</v>
      </c>
      <c r="BD48" s="17">
        <v>11655</v>
      </c>
      <c r="BE48" s="17">
        <v>11788.333333333334</v>
      </c>
      <c r="BF48" s="17">
        <f t="shared" ref="BF48:BM48" si="23">IFERROR(AVERAGE(F48,S48,AF48),0)</f>
        <v>10818.333333333334</v>
      </c>
      <c r="BG48" s="17">
        <f t="shared" si="23"/>
        <v>10998.333333333334</v>
      </c>
      <c r="BH48" s="17">
        <f t="shared" si="23"/>
        <v>13236.666666666666</v>
      </c>
      <c r="BI48" s="17">
        <f t="shared" si="23"/>
        <v>14321.666666666666</v>
      </c>
      <c r="BJ48" s="17">
        <f t="shared" si="23"/>
        <v>13361.666666666666</v>
      </c>
      <c r="BK48" s="17">
        <f t="shared" si="23"/>
        <v>10846.666666666666</v>
      </c>
      <c r="BL48" s="17">
        <f t="shared" si="23"/>
        <v>11268.333333333334</v>
      </c>
      <c r="BM48" s="9">
        <f t="shared" si="23"/>
        <v>10546.666666666666</v>
      </c>
      <c r="BN48" s="211">
        <f>IFERROR(BN47/BN43,0)</f>
        <v>0</v>
      </c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>
        <f>$BG$43</f>
        <v>2</v>
      </c>
      <c r="BI50" s="38">
        <f t="shared" ref="BI50:BM50" si="24">$BG$43</f>
        <v>2</v>
      </c>
      <c r="BJ50" s="38">
        <f t="shared" si="24"/>
        <v>2</v>
      </c>
      <c r="BK50" s="38">
        <f t="shared" si="24"/>
        <v>2</v>
      </c>
      <c r="BL50" s="38">
        <f t="shared" si="24"/>
        <v>2</v>
      </c>
      <c r="BM50" s="38">
        <f t="shared" si="24"/>
        <v>2</v>
      </c>
      <c r="BN50" s="210">
        <f>IFERROR(ROUND(AVERAGE(BH50:BM50,BB43:BG43),0),0)</f>
        <v>2</v>
      </c>
      <c r="BO50" s="146">
        <f>Customers!L134</f>
        <v>2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>
        <f>ROUND(BH$54*'kWh Blocks by Rate Category'!P50,0)</f>
        <v>23640</v>
      </c>
      <c r="BI51" s="38">
        <f>ROUND(BI$54*'kWh Blocks by Rate Category'!Q50,0)</f>
        <v>25578</v>
      </c>
      <c r="BJ51" s="38">
        <f>ROUND(BJ$54*'kWh Blocks by Rate Category'!R50,0)</f>
        <v>23863</v>
      </c>
      <c r="BK51" s="38">
        <f>ROUND(BK$54*'kWh Blocks by Rate Category'!S50,0)</f>
        <v>19372</v>
      </c>
      <c r="BL51" s="38">
        <f>ROUND(BL$54*'kWh Blocks by Rate Category'!T50,0)</f>
        <v>20125</v>
      </c>
      <c r="BM51" s="38">
        <f>ROUND(BM$54*'kWh Blocks by Rate Category'!U50,0)</f>
        <v>18836</v>
      </c>
      <c r="BN51" s="210">
        <f>SUM(BB51:BM51)</f>
        <v>131414</v>
      </c>
      <c r="BO51" s="38">
        <f>ROUND(BO$54*'kWh Blocks by Rate Category'!W50,0)</f>
        <v>255474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>
        <f>ROUND(BH$54*'kWh Blocks by Rate Category'!P51,0)</f>
        <v>2011</v>
      </c>
      <c r="BI52" s="38">
        <f>ROUND(BI$54*'kWh Blocks by Rate Category'!Q51,0)</f>
        <v>2176</v>
      </c>
      <c r="BJ52" s="38">
        <f>ROUND(BJ$54*'kWh Blocks by Rate Category'!R51,0)</f>
        <v>2030</v>
      </c>
      <c r="BK52" s="38">
        <f>ROUND(BK$54*'kWh Blocks by Rate Category'!S51,0)</f>
        <v>1648</v>
      </c>
      <c r="BL52" s="38">
        <f>ROUND(BL$54*'kWh Blocks by Rate Category'!T51,0)</f>
        <v>1712</v>
      </c>
      <c r="BM52" s="38">
        <f>ROUND(BM$54*'kWh Blocks by Rate Category'!U51,0)</f>
        <v>1603</v>
      </c>
      <c r="BN52" s="210">
        <f>SUM(BB52:BM52)</f>
        <v>11180</v>
      </c>
      <c r="BO52" s="38">
        <f>ROUND(BO$54*'kWh Blocks by Rate Category'!W51,0)</f>
        <v>21737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>
        <f>ROUND(BH$54*'kWh Blocks by Rate Category'!P52,0)</f>
        <v>821</v>
      </c>
      <c r="BI53" s="38">
        <f>ROUND(BI$54*'kWh Blocks by Rate Category'!Q52,0)</f>
        <v>889</v>
      </c>
      <c r="BJ53" s="38">
        <f>ROUND(BJ$54*'kWh Blocks by Rate Category'!R52,0)</f>
        <v>829</v>
      </c>
      <c r="BK53" s="38">
        <f>ROUND(BK$54*'kWh Blocks by Rate Category'!S52,0)</f>
        <v>673</v>
      </c>
      <c r="BL53" s="38">
        <f>ROUND(BL$54*'kWh Blocks by Rate Category'!T52,0)</f>
        <v>699</v>
      </c>
      <c r="BM53" s="38">
        <f>ROUND(BM$54*'kWh Blocks by Rate Category'!U52,0)</f>
        <v>654</v>
      </c>
      <c r="BN53" s="210">
        <f>SUM(BB53:BM53)</f>
        <v>4565</v>
      </c>
      <c r="BO53" s="38">
        <f>ROUND(BO$54*'kWh Blocks by Rate Category'!W52,0)</f>
        <v>8876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>
        <f t="shared" ref="BH54:BJ54" si="25">IFERROR(ROUND(BH55*BH50,0),0)</f>
        <v>26473</v>
      </c>
      <c r="BI54" s="64">
        <f t="shared" si="25"/>
        <v>28643</v>
      </c>
      <c r="BJ54" s="64">
        <f t="shared" si="25"/>
        <v>26723</v>
      </c>
      <c r="BK54" s="64">
        <f t="shared" ref="BK54:BM54" si="26">IFERROR(ROUND(BK55*BK50,0),0)</f>
        <v>21693</v>
      </c>
      <c r="BL54" s="64">
        <f t="shared" si="26"/>
        <v>22537</v>
      </c>
      <c r="BM54" s="64">
        <f t="shared" si="26"/>
        <v>21093</v>
      </c>
      <c r="BN54" s="196">
        <f>SUM(BB54:BM54)</f>
        <v>147162</v>
      </c>
      <c r="BO54" s="333">
        <f>ROUND(BO50*BO55,0)</f>
        <v>286087</v>
      </c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>
        <f t="shared" ref="BH55:BM55" si="27">BH48</f>
        <v>13236.666666666666</v>
      </c>
      <c r="BI55" s="17">
        <f t="shared" si="27"/>
        <v>14321.666666666666</v>
      </c>
      <c r="BJ55" s="17">
        <f t="shared" si="27"/>
        <v>13361.666666666666</v>
      </c>
      <c r="BK55" s="17">
        <f t="shared" si="27"/>
        <v>10846.666666666666</v>
      </c>
      <c r="BL55" s="17">
        <f t="shared" si="27"/>
        <v>11268.333333333334</v>
      </c>
      <c r="BM55" s="17">
        <f t="shared" si="27"/>
        <v>10546.666666666666</v>
      </c>
      <c r="BN55" s="211">
        <f>IFERROR((BN54+BN47)/SUM(BH50:BM50,BB43:BG43)*12,0)</f>
        <v>143043.5</v>
      </c>
      <c r="BO55" s="20">
        <f>BN55</f>
        <v>143043.5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455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30"/>
      <c r="AN57" s="336"/>
      <c r="AO57" s="100"/>
      <c r="AP57" s="87"/>
      <c r="AQ57" s="87"/>
      <c r="AR57" s="87"/>
      <c r="AS57" s="87"/>
      <c r="AT57" s="38"/>
      <c r="AU57" s="145">
        <v>1</v>
      </c>
      <c r="AV57" s="145">
        <v>1</v>
      </c>
      <c r="AW57" s="145">
        <v>1</v>
      </c>
      <c r="AX57" s="145">
        <v>1</v>
      </c>
      <c r="AY57" s="145">
        <v>1</v>
      </c>
      <c r="AZ57" s="145">
        <v>1</v>
      </c>
      <c r="BA57" s="204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M58" si="28">BE57</f>
        <v>1</v>
      </c>
      <c r="BG57" s="38">
        <f t="shared" si="28"/>
        <v>1</v>
      </c>
      <c r="BH57" s="38">
        <v>0</v>
      </c>
      <c r="BI57" s="38">
        <f t="shared" si="28"/>
        <v>0</v>
      </c>
      <c r="BJ57" s="38">
        <f t="shared" si="28"/>
        <v>0</v>
      </c>
      <c r="BK57" s="38">
        <f t="shared" si="28"/>
        <v>0</v>
      </c>
      <c r="BL57" s="38">
        <f t="shared" si="28"/>
        <v>0</v>
      </c>
      <c r="BM57" s="38">
        <f t="shared" si="28"/>
        <v>0</v>
      </c>
      <c r="BN57" s="210">
        <v>0</v>
      </c>
      <c r="BO57" s="156"/>
    </row>
    <row r="58" spans="1:67" ht="15.75" customHeight="1" thickBot="1">
      <c r="A58" s="201" t="s">
        <v>30</v>
      </c>
      <c r="B58" s="113" t="str">
        <f>IF('kWh_Streetlight Data'!C239=0,"",'kWh_Streetlight Data'!C239)</f>
        <v/>
      </c>
      <c r="C58" s="114" t="str">
        <f>IF('kWh_Streetlight Data'!D239=0,"",'kWh_Streetlight Data'!D239)</f>
        <v/>
      </c>
      <c r="D58" s="114" t="str">
        <f>IF('kWh_Streetlight Data'!E239=0,"",'kWh_Streetlight Data'!E239)</f>
        <v/>
      </c>
      <c r="E58" s="114" t="str">
        <f>IF('kWh_Streetlight Data'!F239=0,"",'kWh_Streetlight Data'!F239)</f>
        <v/>
      </c>
      <c r="F58" s="114" t="str">
        <f>IF('kWh_Streetlight Data'!G239=0,"",'kWh_Streetlight Data'!G239)</f>
        <v/>
      </c>
      <c r="G58" s="114" t="str">
        <f>IF('kWh_Streetlight Data'!H239=0,"",'kWh_Streetlight Data'!H239)</f>
        <v/>
      </c>
      <c r="H58" s="114" t="str">
        <f>IF('kWh_Streetlight Data'!I239=0,"",'kWh_Streetlight Data'!I239)</f>
        <v/>
      </c>
      <c r="I58" s="114" t="str">
        <f>IF('kWh_Streetlight Data'!J239=0,"",'kWh_Streetlight Data'!J239)</f>
        <v/>
      </c>
      <c r="J58" s="114" t="str">
        <f>IF('kWh_Streetlight Data'!K239=0,"",'kWh_Streetlight Data'!K239)</f>
        <v/>
      </c>
      <c r="K58" s="114" t="str">
        <f>IF('kWh_Streetlight Data'!L239=0,"",'kWh_Streetlight Data'!L239)</f>
        <v/>
      </c>
      <c r="L58" s="114" t="str">
        <f>IF('kWh_Streetlight Data'!M239=0,"",'kWh_Streetlight Data'!M239)</f>
        <v/>
      </c>
      <c r="M58" s="114" t="str">
        <f>IF('kWh_Streetlight Data'!N239=0,"",'kWh_Streetlight Data'!N239)</f>
        <v/>
      </c>
      <c r="N58" s="459" t="str">
        <f>IF('kWh_Streetlight Data'!O239=0,"",'kWh_Streetlight Data'!O239)</f>
        <v/>
      </c>
      <c r="O58" s="113" t="str">
        <f>IF('kWh_Streetlight Data'!P239=0,"",'kWh_Streetlight Data'!P239)</f>
        <v/>
      </c>
      <c r="P58" s="114" t="str">
        <f>IF('kWh_Streetlight Data'!Q239=0,"",'kWh_Streetlight Data'!Q239)</f>
        <v/>
      </c>
      <c r="Q58" s="114" t="str">
        <f>IF('kWh_Streetlight Data'!R239=0,"",'kWh_Streetlight Data'!R239)</f>
        <v/>
      </c>
      <c r="R58" s="114" t="str">
        <f>IF('kWh_Streetlight Data'!S239=0,"",'kWh_Streetlight Data'!S239)</f>
        <v/>
      </c>
      <c r="S58" s="114" t="str">
        <f>IF('kWh_Streetlight Data'!T239=0,"",'kWh_Streetlight Data'!T239)</f>
        <v/>
      </c>
      <c r="T58" s="114" t="str">
        <f>IF('kWh_Streetlight Data'!U239=0,"",'kWh_Streetlight Data'!U239)</f>
        <v/>
      </c>
      <c r="U58" s="114" t="str">
        <f>IF('kWh_Streetlight Data'!V239=0,"",'kWh_Streetlight Data'!V239)</f>
        <v/>
      </c>
      <c r="V58" s="114" t="str">
        <f>IF('kWh_Streetlight Data'!W239=0,"",'kWh_Streetlight Data'!W239)</f>
        <v/>
      </c>
      <c r="W58" s="114" t="str">
        <f>IF('kWh_Streetlight Data'!X239=0,"",'kWh_Streetlight Data'!X239)</f>
        <v/>
      </c>
      <c r="X58" s="114" t="str">
        <f>IF('kWh_Streetlight Data'!Y239=0,"",'kWh_Streetlight Data'!Y239)</f>
        <v/>
      </c>
      <c r="Y58" s="114" t="str">
        <f>IF('kWh_Streetlight Data'!Z239=0,"",'kWh_Streetlight Data'!Z239)</f>
        <v/>
      </c>
      <c r="Z58" s="114" t="str">
        <f>IF('kWh_Streetlight Data'!AA239=0,"",'kWh_Streetlight Data'!AA239)</f>
        <v/>
      </c>
      <c r="AA58" s="459" t="str">
        <f>IF('kWh_Streetlight Data'!AB239=0,"",'kWh_Streetlight Data'!AB239)</f>
        <v/>
      </c>
      <c r="AB58" s="473">
        <f>IF('kWh_Streetlight Data'!AC239=0,"",'kWh_Streetlight Data'!AC239)</f>
        <v>1172</v>
      </c>
      <c r="AC58" s="474">
        <f>IF('kWh_Streetlight Data'!AD239=0,"",'kWh_Streetlight Data'!AD239)</f>
        <v>1172</v>
      </c>
      <c r="AD58" s="474">
        <f>IF('kWh_Streetlight Data'!AE239=0,"",'kWh_Streetlight Data'!AE239)</f>
        <v>1172</v>
      </c>
      <c r="AE58" s="474">
        <f>IF('kWh_Streetlight Data'!AF239=0,"",'kWh_Streetlight Data'!AF239)</f>
        <v>1172</v>
      </c>
      <c r="AF58" s="474">
        <f>IF('kWh_Streetlight Data'!AG239=0,"",'kWh_Streetlight Data'!AG239)</f>
        <v>1172</v>
      </c>
      <c r="AG58" s="474">
        <f>IF('kWh_Streetlight Data'!AH239=0,"",'kWh_Streetlight Data'!AH239)</f>
        <v>1172</v>
      </c>
      <c r="AH58" s="474">
        <f>IF('kWh_Streetlight Data'!AI239=0,"",'kWh_Streetlight Data'!AI239)</f>
        <v>1172</v>
      </c>
      <c r="AI58" s="474">
        <f>IF('kWh_Streetlight Data'!AJ239=0,"",'kWh_Streetlight Data'!AJ239)</f>
        <v>1172</v>
      </c>
      <c r="AJ58" s="474">
        <f>IF('kWh_Streetlight Data'!AK239=0,"",'kWh_Streetlight Data'!AK239)</f>
        <v>1172</v>
      </c>
      <c r="AK58" s="474">
        <f>IF('kWh_Streetlight Data'!AL239=0,"",'kWh_Streetlight Data'!AL239)</f>
        <v>1172</v>
      </c>
      <c r="AL58" s="474">
        <f>IF('kWh_Streetlight Data'!AM239=0,"",'kWh_Streetlight Data'!AM239)</f>
        <v>1172</v>
      </c>
      <c r="AM58" s="474">
        <f>IF('kWh_Streetlight Data'!AN239=0,"",'kWh_Streetlight Data'!AN239)</f>
        <v>1172</v>
      </c>
      <c r="AN58" s="464">
        <f>IF('kWh_Streetlight Data'!AO239=0,"",'kWh_Streetlight Data'!AO239)</f>
        <v>1172</v>
      </c>
      <c r="AO58" s="151"/>
      <c r="AP58" s="152"/>
      <c r="AQ58" s="152"/>
      <c r="AR58" s="152"/>
      <c r="AS58" s="152"/>
      <c r="AT58" s="160"/>
      <c r="AU58" s="160">
        <f t="shared" ref="AU58:AZ58" si="29">ROUND(AH58,0)</f>
        <v>1172</v>
      </c>
      <c r="AV58" s="160">
        <f t="shared" si="29"/>
        <v>1172</v>
      </c>
      <c r="AW58" s="160">
        <f t="shared" si="29"/>
        <v>1172</v>
      </c>
      <c r="AX58" s="160">
        <f t="shared" si="29"/>
        <v>1172</v>
      </c>
      <c r="AY58" s="160">
        <f t="shared" si="29"/>
        <v>1172</v>
      </c>
      <c r="AZ58" s="160">
        <f t="shared" si="29"/>
        <v>1172</v>
      </c>
      <c r="BA58" s="213">
        <f>SUM(AO58:AZ58)</f>
        <v>7032</v>
      </c>
      <c r="BB58" s="160">
        <v>1172</v>
      </c>
      <c r="BC58" s="160">
        <v>1172</v>
      </c>
      <c r="BD58" s="160">
        <v>1172</v>
      </c>
      <c r="BE58" s="160">
        <v>1172</v>
      </c>
      <c r="BF58" s="160">
        <f t="shared" si="28"/>
        <v>1172</v>
      </c>
      <c r="BG58" s="160">
        <f t="shared" si="28"/>
        <v>1172</v>
      </c>
      <c r="BH58" s="160">
        <v>0</v>
      </c>
      <c r="BI58" s="160">
        <f t="shared" si="28"/>
        <v>0</v>
      </c>
      <c r="BJ58" s="160">
        <f t="shared" si="28"/>
        <v>0</v>
      </c>
      <c r="BK58" s="160">
        <f t="shared" si="28"/>
        <v>0</v>
      </c>
      <c r="BL58" s="160">
        <f t="shared" si="28"/>
        <v>0</v>
      </c>
      <c r="BM58" s="160">
        <f t="shared" si="28"/>
        <v>0</v>
      </c>
      <c r="BN58" s="213">
        <f>SUM(BB58:BM58)</f>
        <v>7032</v>
      </c>
      <c r="BO58" s="175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>
        <f>$BG$57</f>
        <v>1</v>
      </c>
      <c r="BI61" s="38">
        <f>BH61</f>
        <v>1</v>
      </c>
      <c r="BJ61" s="38">
        <f t="shared" ref="BJ61:BM61" si="30">BI61</f>
        <v>1</v>
      </c>
      <c r="BK61" s="38">
        <f t="shared" si="30"/>
        <v>1</v>
      </c>
      <c r="BL61" s="38">
        <f t="shared" si="30"/>
        <v>1</v>
      </c>
      <c r="BM61" s="38">
        <f t="shared" si="30"/>
        <v>1</v>
      </c>
      <c r="BN61" s="204">
        <f>BM61</f>
        <v>1</v>
      </c>
      <c r="BO61" s="175">
        <f>Customers!L135</f>
        <v>1</v>
      </c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>
        <f>BG58</f>
        <v>1172</v>
      </c>
      <c r="BI62" s="160">
        <f>BH62</f>
        <v>1172</v>
      </c>
      <c r="BJ62" s="160">
        <f t="shared" ref="BJ62:BM62" si="31">BI62</f>
        <v>1172</v>
      </c>
      <c r="BK62" s="160">
        <f t="shared" si="31"/>
        <v>1172</v>
      </c>
      <c r="BL62" s="160">
        <f t="shared" si="31"/>
        <v>1172</v>
      </c>
      <c r="BM62" s="160">
        <f t="shared" si="31"/>
        <v>1172</v>
      </c>
      <c r="BN62" s="213">
        <f>SUM(BH62:BM62)</f>
        <v>7032</v>
      </c>
      <c r="BO62" s="144">
        <f>BN62+BN58</f>
        <v>14064</v>
      </c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Data'!C110=0,"",'kWh_Streetlight Data'!C110)</f>
        <v/>
      </c>
      <c r="C69" s="130" t="str">
        <f>IF('kWh_Streetlight Data'!D110=0,"",'kWh_Streetlight Data'!D110)</f>
        <v/>
      </c>
      <c r="D69" s="130" t="str">
        <f>IF('kWh_Streetlight Data'!E110=0,"",'kWh_Streetlight Data'!E110)</f>
        <v/>
      </c>
      <c r="E69" s="130" t="str">
        <f>IF('kWh_Streetlight Data'!F110=0,"",'kWh_Streetlight Data'!F110)</f>
        <v/>
      </c>
      <c r="F69" s="130" t="str">
        <f>IF('kWh_Streetlight Data'!G110=0,"",'kWh_Streetlight Data'!G110)</f>
        <v/>
      </c>
      <c r="G69" s="130" t="str">
        <f>IF('kWh_Streetlight Data'!H110=0,"",'kWh_Streetlight Data'!H110)</f>
        <v/>
      </c>
      <c r="H69" s="130" t="str">
        <f>IF('kWh_Streetlight Data'!I110=0,"",'kWh_Streetlight Data'!I110)</f>
        <v/>
      </c>
      <c r="I69" s="130" t="str">
        <f>IF('kWh_Streetlight Data'!J110=0,"",'kWh_Streetlight Data'!J110)</f>
        <v/>
      </c>
      <c r="J69" s="130" t="str">
        <f>IF('kWh_Streetlight Data'!K110=0,"",'kWh_Streetlight Data'!K110)</f>
        <v/>
      </c>
      <c r="K69" s="130" t="str">
        <f>IF('kWh_Streetlight Data'!L110=0,"",'kWh_Streetlight Data'!L110)</f>
        <v/>
      </c>
      <c r="L69" s="130" t="str">
        <f>IF('kWh_Streetlight Data'!M110=0,"",'kWh_Streetlight Data'!M110)</f>
        <v/>
      </c>
      <c r="M69" s="130" t="str">
        <f>IF('kWh_Streetlight Data'!N110=0,"",'kWh_Streetlight Data'!N110)</f>
        <v/>
      </c>
      <c r="N69" s="424" t="str">
        <f>IF('kWh_Streetlight Data'!O110=0,"",'kWh_Streetlight Data'!O110)</f>
        <v/>
      </c>
      <c r="O69" s="84" t="str">
        <f>IF('kWh_Streetlight Data'!P110=0,"",'kWh_Streetlight Data'!P110)</f>
        <v/>
      </c>
      <c r="P69" s="108" t="str">
        <f>IF('kWh_Streetlight Data'!Q110=0,"",'kWh_Streetlight Data'!Q110)</f>
        <v/>
      </c>
      <c r="Q69" s="108" t="str">
        <f>IF('kWh_Streetlight Data'!R110=0,"",'kWh_Streetlight Data'!R110)</f>
        <v/>
      </c>
      <c r="R69" s="108" t="str">
        <f>IF('kWh_Streetlight Data'!S110=0,"",'kWh_Streetlight Data'!S110)</f>
        <v/>
      </c>
      <c r="S69" s="108" t="str">
        <f>IF('kWh_Streetlight Data'!T110=0,"",'kWh_Streetlight Data'!T110)</f>
        <v/>
      </c>
      <c r="T69" s="108" t="str">
        <f>IF('kWh_Streetlight Data'!U110=0,"",'kWh_Streetlight Data'!U110)</f>
        <v/>
      </c>
      <c r="U69" s="108" t="str">
        <f>IF('kWh_Streetlight Data'!V110=0,"",'kWh_Streetlight Data'!V110)</f>
        <v/>
      </c>
      <c r="V69" s="108" t="str">
        <f>IF('kWh_Streetlight Data'!W110=0,"",'kWh_Streetlight Data'!W110)</f>
        <v/>
      </c>
      <c r="W69" s="108" t="str">
        <f>IF('kWh_Streetlight Data'!X110=0,"",'kWh_Streetlight Data'!X110)</f>
        <v/>
      </c>
      <c r="X69" s="108" t="str">
        <f>IF('kWh_Streetlight Data'!Y110=0,"",'kWh_Streetlight Data'!Y110)</f>
        <v/>
      </c>
      <c r="Y69" s="108" t="str">
        <f>IF('kWh_Streetlight Data'!Z110=0,"",'kWh_Streetlight Data'!Z110)</f>
        <v/>
      </c>
      <c r="Z69" s="108" t="str">
        <f>IF('kWh_Streetlight Data'!AA110=0,"",'kWh_Streetlight Data'!AA110)</f>
        <v/>
      </c>
      <c r="AA69" s="424" t="str">
        <f>IF('kWh_Streetlight Data'!AB110=0,"",'kWh_Streetlight Data'!AB110)</f>
        <v/>
      </c>
      <c r="AB69" s="84" t="str">
        <f>IF('kWh_Streetlight Data'!AC110=0,"",'kWh_Streetlight Data'!AC110)</f>
        <v/>
      </c>
      <c r="AC69" s="108" t="str">
        <f>IF('kWh_Streetlight Data'!AD110=0,"",'kWh_Streetlight Data'!AD110)</f>
        <v/>
      </c>
      <c r="AD69" s="108" t="str">
        <f>IF('kWh_Streetlight Data'!AE110=0,"",'kWh_Streetlight Data'!AE110)</f>
        <v/>
      </c>
      <c r="AE69" s="108" t="str">
        <f>IF('kWh_Streetlight Data'!AF110=0,"",'kWh_Streetlight Data'!AF110)</f>
        <v/>
      </c>
      <c r="AF69" s="108" t="str">
        <f>IF('kWh_Streetlight Data'!AG110=0,"",'kWh_Streetlight Data'!AG110)</f>
        <v/>
      </c>
      <c r="AG69" s="108" t="str">
        <f>IF('kWh_Streetlight Data'!AH110=0,"",'kWh_Streetlight Data'!AH110)</f>
        <v/>
      </c>
      <c r="AH69" s="130" t="str">
        <f>IF('kWh_Streetlight Data'!AI110=0,"",'kWh_Streetlight Data'!AI110)</f>
        <v/>
      </c>
      <c r="AI69" s="130" t="str">
        <f>IF('kWh_Streetlight Data'!AJ110=0,"",'kWh_Streetlight Data'!AJ110)</f>
        <v/>
      </c>
      <c r="AJ69" s="130" t="str">
        <f>IF('kWh_Streetlight Data'!AK110=0,"",'kWh_Streetlight Data'!AK110)</f>
        <v/>
      </c>
      <c r="AK69" s="130" t="str">
        <f>IF('kWh_Streetlight Data'!AL110=0,"",'kWh_Streetlight Data'!AL110)</f>
        <v/>
      </c>
      <c r="AL69" s="130" t="str">
        <f>IF('kWh_Streetlight Data'!AM110=0,"",'kWh_Streetlight Data'!AM110)</f>
        <v/>
      </c>
      <c r="AM69" s="130" t="str">
        <f>IF('kWh_Streetlight Data'!AN110=0,"",'kWh_Streetlight Data'!AN110)</f>
        <v/>
      </c>
      <c r="AN69" s="424" t="str">
        <f>IF('kWh_Streetlight Data'!AO110=0,"",'kWh_Streetlight Data'!AO110)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Customers!E138</f>
        <v>4</v>
      </c>
      <c r="AV75" s="38">
        <f>Customers!F138</f>
        <v>4</v>
      </c>
      <c r="AW75" s="38">
        <f>Customers!G138</f>
        <v>4</v>
      </c>
      <c r="AX75" s="38">
        <f>Customers!H138</f>
        <v>4</v>
      </c>
      <c r="AY75" s="38">
        <f>Customers!I138</f>
        <v>4</v>
      </c>
      <c r="AZ75" s="38">
        <f>Customers!J138</f>
        <v>4</v>
      </c>
      <c r="BA75" s="210">
        <f>AZ75</f>
        <v>4</v>
      </c>
      <c r="BB75" s="124">
        <v>4</v>
      </c>
      <c r="BC75" s="38">
        <v>4</v>
      </c>
      <c r="BD75" s="38">
        <v>4</v>
      </c>
      <c r="BE75" s="38">
        <v>4</v>
      </c>
      <c r="BF75" s="38">
        <f t="shared" ref="BF75:BM75" si="32">BE75</f>
        <v>4</v>
      </c>
      <c r="BG75" s="38">
        <f t="shared" si="32"/>
        <v>4</v>
      </c>
      <c r="BH75" s="38">
        <v>0</v>
      </c>
      <c r="BI75" s="38">
        <f t="shared" si="32"/>
        <v>0</v>
      </c>
      <c r="BJ75" s="38">
        <f t="shared" si="32"/>
        <v>0</v>
      </c>
      <c r="BK75" s="38">
        <v>0</v>
      </c>
      <c r="BL75" s="38">
        <v>0</v>
      </c>
      <c r="BM75" s="38">
        <f t="shared" si="32"/>
        <v>0</v>
      </c>
      <c r="BN75" s="210">
        <v>0</v>
      </c>
      <c r="BO75" s="143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33">IF(AU78&gt;(AU75*250),AU75*250,AU78)</f>
        <v>1000</v>
      </c>
      <c r="AV76" s="38">
        <f t="shared" si="33"/>
        <v>1000</v>
      </c>
      <c r="AW76" s="38">
        <f t="shared" si="33"/>
        <v>1000</v>
      </c>
      <c r="AX76" s="38">
        <f t="shared" si="33"/>
        <v>1000</v>
      </c>
      <c r="AY76" s="38">
        <f t="shared" si="33"/>
        <v>1000</v>
      </c>
      <c r="AZ76" s="38">
        <f t="shared" si="33"/>
        <v>1000</v>
      </c>
      <c r="BA76" s="210">
        <f>SUM(AO76:AZ76)</f>
        <v>6000</v>
      </c>
      <c r="BB76" s="38">
        <v>1000</v>
      </c>
      <c r="BC76" s="38">
        <v>1000</v>
      </c>
      <c r="BD76" s="38">
        <v>1000</v>
      </c>
      <c r="BE76" s="38">
        <v>1000</v>
      </c>
      <c r="BF76" s="38">
        <f t="shared" ref="BF76:BM76" si="34">IF(BF78&gt;(BF75*250),BF75*250,BF78)</f>
        <v>1000</v>
      </c>
      <c r="BG76" s="38">
        <f t="shared" si="34"/>
        <v>1000</v>
      </c>
      <c r="BH76" s="38">
        <f t="shared" si="34"/>
        <v>0</v>
      </c>
      <c r="BI76" s="38">
        <f t="shared" si="34"/>
        <v>0</v>
      </c>
      <c r="BJ76" s="38">
        <f t="shared" si="34"/>
        <v>0</v>
      </c>
      <c r="BK76" s="38">
        <f t="shared" si="34"/>
        <v>0</v>
      </c>
      <c r="BL76" s="38">
        <f t="shared" si="34"/>
        <v>0</v>
      </c>
      <c r="BM76" s="38">
        <f t="shared" si="34"/>
        <v>0</v>
      </c>
      <c r="BN76" s="210">
        <f>SUM(BB76:BM76)</f>
        <v>6000</v>
      </c>
      <c r="BO76" s="143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35">ROUND(AU78-AU76,0)</f>
        <v>1037</v>
      </c>
      <c r="AV77" s="38">
        <f t="shared" si="35"/>
        <v>772</v>
      </c>
      <c r="AW77" s="38">
        <f t="shared" si="35"/>
        <v>922</v>
      </c>
      <c r="AX77" s="38">
        <f t="shared" si="35"/>
        <v>946</v>
      </c>
      <c r="AY77" s="38">
        <f t="shared" si="35"/>
        <v>1464</v>
      </c>
      <c r="AZ77" s="38">
        <f t="shared" si="35"/>
        <v>1850</v>
      </c>
      <c r="BA77" s="210">
        <f>SUM(AO77:AZ77)</f>
        <v>6991</v>
      </c>
      <c r="BB77" s="38">
        <v>2018</v>
      </c>
      <c r="BC77" s="38">
        <v>1817</v>
      </c>
      <c r="BD77" s="38">
        <v>2153</v>
      </c>
      <c r="BE77" s="38">
        <v>1986</v>
      </c>
      <c r="BF77" s="38">
        <f t="shared" ref="BF77:BM77" si="36">ROUND(BF78-BF76,0)</f>
        <v>1213</v>
      </c>
      <c r="BG77" s="38">
        <f t="shared" si="36"/>
        <v>1230</v>
      </c>
      <c r="BH77" s="38">
        <f t="shared" si="36"/>
        <v>0</v>
      </c>
      <c r="BI77" s="38">
        <f t="shared" si="36"/>
        <v>0</v>
      </c>
      <c r="BJ77" s="38">
        <f t="shared" si="36"/>
        <v>0</v>
      </c>
      <c r="BK77" s="38">
        <f t="shared" si="36"/>
        <v>0</v>
      </c>
      <c r="BL77" s="38">
        <f t="shared" si="36"/>
        <v>0</v>
      </c>
      <c r="BM77" s="38">
        <f t="shared" si="36"/>
        <v>0</v>
      </c>
      <c r="BN77" s="210">
        <f>SUM(BB77:BM77)</f>
        <v>10417</v>
      </c>
      <c r="BO77" s="156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37">IFERROR(ROUND(AU79*AU75,0),0)</f>
        <v>2037</v>
      </c>
      <c r="AV78" s="64">
        <f t="shared" si="37"/>
        <v>1772</v>
      </c>
      <c r="AW78" s="64">
        <f t="shared" si="37"/>
        <v>1922</v>
      </c>
      <c r="AX78" s="64">
        <f t="shared" si="37"/>
        <v>1946</v>
      </c>
      <c r="AY78" s="64">
        <f t="shared" si="37"/>
        <v>2464</v>
      </c>
      <c r="AZ78" s="64">
        <f t="shared" si="37"/>
        <v>2850</v>
      </c>
      <c r="BA78" s="196">
        <f>SUM(AO78:AZ78)</f>
        <v>12991</v>
      </c>
      <c r="BB78" s="64">
        <v>3018</v>
      </c>
      <c r="BC78" s="64">
        <v>2817</v>
      </c>
      <c r="BD78" s="64">
        <v>3153</v>
      </c>
      <c r="BE78" s="64">
        <v>2986</v>
      </c>
      <c r="BF78" s="64">
        <f t="shared" ref="BF78:BM78" si="38">IFERROR(ROUND(BF79*BF75,0),0)</f>
        <v>2213</v>
      </c>
      <c r="BG78" s="64">
        <f t="shared" si="38"/>
        <v>2230</v>
      </c>
      <c r="BH78" s="64">
        <f t="shared" si="38"/>
        <v>0</v>
      </c>
      <c r="BI78" s="64">
        <f t="shared" si="38"/>
        <v>0</v>
      </c>
      <c r="BJ78" s="64">
        <f t="shared" si="38"/>
        <v>0</v>
      </c>
      <c r="BK78" s="64">
        <f t="shared" si="38"/>
        <v>0</v>
      </c>
      <c r="BL78" s="64">
        <f t="shared" si="38"/>
        <v>0</v>
      </c>
      <c r="BM78" s="64">
        <f t="shared" si="38"/>
        <v>0</v>
      </c>
      <c r="BN78" s="196">
        <f>SUM(BB78:BM78)</f>
        <v>16417</v>
      </c>
      <c r="BO78" s="88"/>
    </row>
    <row r="79" spans="1:67" ht="15.75" customHeight="1" thickTop="1">
      <c r="A79" s="374" t="s">
        <v>54</v>
      </c>
      <c r="B79" s="84">
        <f>IF('kWh_Streetlight Data'!C111=0,"",'kWh_Streetlight Data'!C111)</f>
        <v>547.75</v>
      </c>
      <c r="C79" s="108">
        <f>IF('kWh_Streetlight Data'!D111=0,"",'kWh_Streetlight Data'!D111)</f>
        <v>590</v>
      </c>
      <c r="D79" s="108">
        <f>IF('kWh_Streetlight Data'!E111=0,"",'kWh_Streetlight Data'!E111)</f>
        <v>523.5</v>
      </c>
      <c r="E79" s="108">
        <f>IF('kWh_Streetlight Data'!F111=0,"",'kWh_Streetlight Data'!F111)</f>
        <v>708.5</v>
      </c>
      <c r="F79" s="108">
        <f>IF('kWh_Streetlight Data'!G111=0,"",'kWh_Streetlight Data'!G111)</f>
        <v>442.25</v>
      </c>
      <c r="G79" s="108">
        <f>IF('kWh_Streetlight Data'!H111=0,"",'kWh_Streetlight Data'!H111)</f>
        <v>383.75</v>
      </c>
      <c r="H79" s="108">
        <f>IF('kWh_Streetlight Data'!I111=0,"",'kWh_Streetlight Data'!I111)</f>
        <v>458.5</v>
      </c>
      <c r="I79" s="108">
        <f>IF('kWh_Streetlight Data'!J111=0,"",'kWh_Streetlight Data'!J111)</f>
        <v>459.75</v>
      </c>
      <c r="J79" s="108">
        <f>IF('kWh_Streetlight Data'!K111=0,"",'kWh_Streetlight Data'!K111)</f>
        <v>412.75</v>
      </c>
      <c r="K79" s="108">
        <f>IF('kWh_Streetlight Data'!L111=0,"",'kWh_Streetlight Data'!L111)</f>
        <v>342</v>
      </c>
      <c r="L79" s="108">
        <f>IF('kWh_Streetlight Data'!M111=0,"",'kWh_Streetlight Data'!M111)</f>
        <v>502.75</v>
      </c>
      <c r="M79" s="108">
        <f>IF('kWh_Streetlight Data'!N111=0,"",'kWh_Streetlight Data'!N111)</f>
        <v>560.25</v>
      </c>
      <c r="N79" s="424">
        <f>IF('kWh_Streetlight Data'!O111=0,"",'kWh_Streetlight Data'!O111)</f>
        <v>494.3125</v>
      </c>
      <c r="O79" s="84">
        <f>IF('kWh_Streetlight Data'!P111=0,"",'kWh_Streetlight Data'!P111)</f>
        <v>585.75</v>
      </c>
      <c r="P79" s="108">
        <f>IF('kWh_Streetlight Data'!Q111=0,"",'kWh_Streetlight Data'!Q111)</f>
        <v>549.25</v>
      </c>
      <c r="Q79" s="108">
        <f>IF('kWh_Streetlight Data'!R111=0,"",'kWh_Streetlight Data'!R111)</f>
        <v>644.25</v>
      </c>
      <c r="R79" s="108">
        <f>IF('kWh_Streetlight Data'!S111=0,"",'kWh_Streetlight Data'!S111)</f>
        <v>620.75</v>
      </c>
      <c r="S79" s="108">
        <f>IF('kWh_Streetlight Data'!T111=0,"",'kWh_Streetlight Data'!T111)</f>
        <v>462</v>
      </c>
      <c r="T79" s="108">
        <f>IF('kWh_Streetlight Data'!U111=0,"",'kWh_Streetlight Data'!U111)</f>
        <v>642.75</v>
      </c>
      <c r="U79" s="108">
        <f>IF('kWh_Streetlight Data'!V111=0,"",'kWh_Streetlight Data'!V111)</f>
        <v>487</v>
      </c>
      <c r="V79" s="108">
        <f>IF('kWh_Streetlight Data'!W111=0,"",'kWh_Streetlight Data'!W111)</f>
        <v>422</v>
      </c>
      <c r="W79" s="108">
        <f>IF('kWh_Streetlight Data'!X111=0,"",'kWh_Streetlight Data'!X111)</f>
        <v>568.25</v>
      </c>
      <c r="X79" s="108">
        <f>IF('kWh_Streetlight Data'!Y111=0,"",'kWh_Streetlight Data'!Y111)</f>
        <v>544.75</v>
      </c>
      <c r="Y79" s="108">
        <f>IF('kWh_Streetlight Data'!Z111=0,"",'kWh_Streetlight Data'!Z111)</f>
        <v>764.75</v>
      </c>
      <c r="Z79" s="108">
        <f>IF('kWh_Streetlight Data'!AA111=0,"",'kWh_Streetlight Data'!AA111)</f>
        <v>897.5</v>
      </c>
      <c r="AA79" s="424">
        <f>IF('kWh_Streetlight Data'!AB111=0,"",'kWh_Streetlight Data'!AB111)</f>
        <v>599.08333333333337</v>
      </c>
      <c r="AB79" s="129">
        <f>IF('kWh_Streetlight Data'!AC111=0,"",'kWh_Streetlight Data'!AC111)</f>
        <v>1129.75</v>
      </c>
      <c r="AC79" s="130">
        <f>IF('kWh_Streetlight Data'!AD111=0,"",'kWh_Streetlight Data'!AD111)</f>
        <v>973.25</v>
      </c>
      <c r="AD79" s="130">
        <f>IF('kWh_Streetlight Data'!AE111=0,"",'kWh_Streetlight Data'!AE111)</f>
        <v>1197</v>
      </c>
      <c r="AE79" s="130">
        <f>IF('kWh_Streetlight Data'!AF111=0,"",'kWh_Streetlight Data'!AF111)</f>
        <v>910</v>
      </c>
      <c r="AF79" s="130">
        <f>IF('kWh_Streetlight Data'!AG111=0,"",'kWh_Streetlight Data'!AG111)</f>
        <v>755.75</v>
      </c>
      <c r="AG79" s="130">
        <f>IF('kWh_Streetlight Data'!AH111=0,"",'kWh_Streetlight Data'!AH111)</f>
        <v>646.25</v>
      </c>
      <c r="AH79" s="130">
        <f>IF('kWh_Streetlight Data'!AI111=0,"",'kWh_Streetlight Data'!AI111)</f>
        <v>582.25</v>
      </c>
      <c r="AI79" s="130">
        <f>IF('kWh_Streetlight Data'!AJ111=0,"",'kWh_Streetlight Data'!AJ111)</f>
        <v>447.25</v>
      </c>
      <c r="AJ79" s="130">
        <f>IF('kWh_Streetlight Data'!AK111=0,"",'kWh_Streetlight Data'!AK111)</f>
        <v>460.25</v>
      </c>
      <c r="AK79" s="130">
        <f>IF('kWh_Streetlight Data'!AL111=0,"",'kWh_Streetlight Data'!AL111)</f>
        <v>572.5</v>
      </c>
      <c r="AL79" s="130">
        <f>IF('kWh_Streetlight Data'!AM111=0,"",'kWh_Streetlight Data'!AM111)</f>
        <v>580.5</v>
      </c>
      <c r="AM79" s="130">
        <f>IF('kWh_Streetlight Data'!AN111=0,"",'kWh_Streetlight Data'!AN111)</f>
        <v>680</v>
      </c>
      <c r="AN79" s="424">
        <f>IF('kWh_Streetlight Data'!AO111=0,"",'kWh_Streetlight Data'!AO111)</f>
        <v>744.5625</v>
      </c>
      <c r="AO79" s="34"/>
      <c r="AP79" s="35"/>
      <c r="AQ79" s="35"/>
      <c r="AR79" s="35"/>
      <c r="AS79" s="35"/>
      <c r="AT79" s="9"/>
      <c r="AU79" s="9">
        <f t="shared" ref="AU79:AZ79" si="39">IFERROR(AVERAGE(AH79,U79,H79),0)</f>
        <v>509.25</v>
      </c>
      <c r="AV79" s="9">
        <f t="shared" si="39"/>
        <v>443</v>
      </c>
      <c r="AW79" s="9">
        <f t="shared" si="39"/>
        <v>480.41666666666669</v>
      </c>
      <c r="AX79" s="9">
        <f t="shared" si="39"/>
        <v>486.41666666666669</v>
      </c>
      <c r="AY79" s="9">
        <f t="shared" si="39"/>
        <v>616</v>
      </c>
      <c r="AZ79" s="9">
        <f t="shared" si="39"/>
        <v>712.58333333333337</v>
      </c>
      <c r="BA79" s="211"/>
      <c r="BB79" s="9">
        <v>754.41666666666663</v>
      </c>
      <c r="BC79" s="17">
        <v>704.16666666666663</v>
      </c>
      <c r="BD79" s="17">
        <v>788.25</v>
      </c>
      <c r="BE79" s="17">
        <v>746.41666666666663</v>
      </c>
      <c r="BF79" s="17">
        <f t="shared" ref="BF79:BM79" si="40">IFERROR(AVERAGE(F79,S79,AF79),0)</f>
        <v>553.33333333333337</v>
      </c>
      <c r="BG79" s="17">
        <f t="shared" si="40"/>
        <v>557.58333333333337</v>
      </c>
      <c r="BH79" s="17">
        <f t="shared" si="40"/>
        <v>509.25</v>
      </c>
      <c r="BI79" s="17">
        <f t="shared" si="40"/>
        <v>443</v>
      </c>
      <c r="BJ79" s="17">
        <f t="shared" si="40"/>
        <v>480.41666666666669</v>
      </c>
      <c r="BK79" s="17">
        <f t="shared" si="40"/>
        <v>486.41666666666669</v>
      </c>
      <c r="BL79" s="17">
        <f t="shared" si="40"/>
        <v>616</v>
      </c>
      <c r="BM79" s="9">
        <f t="shared" si="40"/>
        <v>712.58333333333337</v>
      </c>
      <c r="BN79" s="211">
        <v>0</v>
      </c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Data'!C112=0,"",'kWh_Streetlight Data'!C112)</f>
        <v/>
      </c>
      <c r="C83" s="108" t="str">
        <f>IF('kWh_Streetlight Data'!D112=0,"",'kWh_Streetlight Data'!D112)</f>
        <v/>
      </c>
      <c r="D83" s="108" t="str">
        <f>IF('kWh_Streetlight Data'!E112=0,"",'kWh_Streetlight Data'!E112)</f>
        <v/>
      </c>
      <c r="E83" s="108" t="str">
        <f>IF('kWh_Streetlight Data'!F112=0,"",'kWh_Streetlight Data'!F112)</f>
        <v/>
      </c>
      <c r="F83" s="108" t="str">
        <f>IF('kWh_Streetlight Data'!G112=0,"",'kWh_Streetlight Data'!G112)</f>
        <v/>
      </c>
      <c r="G83" s="108" t="str">
        <f>IF('kWh_Streetlight Data'!H112=0,"",'kWh_Streetlight Data'!H112)</f>
        <v/>
      </c>
      <c r="H83" s="108" t="str">
        <f>IF('kWh_Streetlight Data'!I112=0,"",'kWh_Streetlight Data'!I112)</f>
        <v/>
      </c>
      <c r="I83" s="108" t="str">
        <f>IF('kWh_Streetlight Data'!J112=0,"",'kWh_Streetlight Data'!J112)</f>
        <v/>
      </c>
      <c r="J83" s="108" t="str">
        <f>IF('kWh_Streetlight Data'!K112=0,"",'kWh_Streetlight Data'!K112)</f>
        <v/>
      </c>
      <c r="K83" s="108" t="str">
        <f>IF('kWh_Streetlight Data'!L112=0,"",'kWh_Streetlight Data'!L112)</f>
        <v/>
      </c>
      <c r="L83" s="108" t="str">
        <f>IF('kWh_Streetlight Data'!M112=0,"",'kWh_Streetlight Data'!M112)</f>
        <v/>
      </c>
      <c r="M83" s="108" t="str">
        <f>IF('kWh_Streetlight Data'!N112=0,"",'kWh_Streetlight Data'!N112)</f>
        <v/>
      </c>
      <c r="N83" s="424" t="str">
        <f>IF('kWh_Streetlight Data'!O112=0,"",'kWh_Streetlight Data'!O112)</f>
        <v/>
      </c>
      <c r="O83" s="84" t="str">
        <f>IF('kWh_Streetlight Data'!P112=0,"",'kWh_Streetlight Data'!P112)</f>
        <v/>
      </c>
      <c r="P83" s="108" t="str">
        <f>IF('kWh_Streetlight Data'!Q112=0,"",'kWh_Streetlight Data'!Q112)</f>
        <v/>
      </c>
      <c r="Q83" s="108" t="str">
        <f>IF('kWh_Streetlight Data'!R112=0,"",'kWh_Streetlight Data'!R112)</f>
        <v/>
      </c>
      <c r="R83" s="108" t="str">
        <f>IF('kWh_Streetlight Data'!S112=0,"",'kWh_Streetlight Data'!S112)</f>
        <v/>
      </c>
      <c r="S83" s="108" t="str">
        <f>IF('kWh_Streetlight Data'!T112=0,"",'kWh_Streetlight Data'!T112)</f>
        <v/>
      </c>
      <c r="T83" s="108" t="str">
        <f>IF('kWh_Streetlight Data'!U112=0,"",'kWh_Streetlight Data'!U112)</f>
        <v/>
      </c>
      <c r="U83" s="108" t="str">
        <f>IF('kWh_Streetlight Data'!V112=0,"",'kWh_Streetlight Data'!V112)</f>
        <v/>
      </c>
      <c r="V83" s="108" t="str">
        <f>IF('kWh_Streetlight Data'!W112=0,"",'kWh_Streetlight Data'!W112)</f>
        <v/>
      </c>
      <c r="W83" s="108" t="str">
        <f>IF('kWh_Streetlight Data'!X112=0,"",'kWh_Streetlight Data'!X112)</f>
        <v/>
      </c>
      <c r="X83" s="108" t="str">
        <f>IF('kWh_Streetlight Data'!Y112=0,"",'kWh_Streetlight Data'!Y112)</f>
        <v/>
      </c>
      <c r="Y83" s="108" t="str">
        <f>IF('kWh_Streetlight Data'!Z112=0,"",'kWh_Streetlight Data'!Z112)</f>
        <v/>
      </c>
      <c r="Z83" s="108" t="str">
        <f>IF('kWh_Streetlight Data'!AA112=0,"",'kWh_Streetlight Data'!AA112)</f>
        <v/>
      </c>
      <c r="AA83" s="424" t="str">
        <f>IF('kWh_Streetlight Data'!AB112=0,"",'kWh_Streetlight Data'!AB112)</f>
        <v/>
      </c>
      <c r="AB83" s="442" t="str">
        <f>IF('kWh_Streetlight Data'!AC112=0,"",'kWh_Streetlight Data'!AC112)</f>
        <v/>
      </c>
      <c r="AC83" s="443" t="str">
        <f>IF('kWh_Streetlight Data'!AD112=0,"",'kWh_Streetlight Data'!AD112)</f>
        <v/>
      </c>
      <c r="AD83" s="443" t="str">
        <f>IF('kWh_Streetlight Data'!AE112=0,"",'kWh_Streetlight Data'!AE112)</f>
        <v/>
      </c>
      <c r="AE83" s="443" t="str">
        <f>IF('kWh_Streetlight Data'!AF112=0,"",'kWh_Streetlight Data'!AF112)</f>
        <v/>
      </c>
      <c r="AF83" s="443" t="str">
        <f>IF('kWh_Streetlight Data'!AG112=0,"",'kWh_Streetlight Data'!AG112)</f>
        <v/>
      </c>
      <c r="AG83" s="443" t="str">
        <f>IF('kWh_Streetlight Data'!AH112=0,"",'kWh_Streetlight Data'!AH112)</f>
        <v/>
      </c>
      <c r="AH83" s="108" t="str">
        <f>IF('kWh_Streetlight Data'!AI112=0,"",'kWh_Streetlight Data'!AI112)</f>
        <v/>
      </c>
      <c r="AI83" s="108" t="str">
        <f>IF('kWh_Streetlight Data'!AJ112=0,"",'kWh_Streetlight Data'!AJ112)</f>
        <v/>
      </c>
      <c r="AJ83" s="108" t="str">
        <f>IF('kWh_Streetlight Data'!AK112=0,"",'kWh_Streetlight Data'!AK112)</f>
        <v/>
      </c>
      <c r="AK83" s="108" t="str">
        <f>IF('kWh_Streetlight Data'!AL112=0,"",'kWh_Streetlight Data'!AL112)</f>
        <v/>
      </c>
      <c r="AL83" s="108" t="str">
        <f>IF('kWh_Streetlight Data'!AM112=0,"",'kWh_Streetlight Data'!AM112)</f>
        <v/>
      </c>
      <c r="AM83" s="108" t="str">
        <f>IF('kWh_Streetlight Data'!AN112=0,"",'kWh_Streetlight Data'!AN112)</f>
        <v/>
      </c>
      <c r="AN83" s="424" t="str">
        <f>IF('kWh_Streetlight Data'!AO112=0,"",'kWh_Streetlight Data'!AO112)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29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9"/>
      <c r="AN86" s="210"/>
      <c r="AO86" s="150"/>
      <c r="AP86" s="87"/>
      <c r="AQ86" s="87"/>
      <c r="AR86" s="87"/>
      <c r="AS86" s="87"/>
      <c r="AT86" s="38"/>
      <c r="AU86" s="38">
        <f>Customers!E139</f>
        <v>14</v>
      </c>
      <c r="AV86" s="38">
        <f>Customers!F139</f>
        <v>14</v>
      </c>
      <c r="AW86" s="38">
        <f>Customers!G139</f>
        <v>14</v>
      </c>
      <c r="AX86" s="38">
        <f>Customers!H139</f>
        <v>14</v>
      </c>
      <c r="AY86" s="38">
        <f>Customers!I139</f>
        <v>14</v>
      </c>
      <c r="AZ86" s="38">
        <f>Customers!J139</f>
        <v>14</v>
      </c>
      <c r="BA86" s="210">
        <f>AZ86</f>
        <v>14</v>
      </c>
      <c r="BB86" s="124">
        <v>14</v>
      </c>
      <c r="BC86" s="38">
        <v>14</v>
      </c>
      <c r="BD86" s="38">
        <v>14</v>
      </c>
      <c r="BE86" s="38">
        <v>14</v>
      </c>
      <c r="BF86" s="38">
        <f t="shared" ref="BF86:BM86" si="41">BE86</f>
        <v>14</v>
      </c>
      <c r="BG86" s="38">
        <f t="shared" si="41"/>
        <v>14</v>
      </c>
      <c r="BH86" s="38">
        <v>0</v>
      </c>
      <c r="BI86" s="38">
        <f t="shared" si="41"/>
        <v>0</v>
      </c>
      <c r="BJ86" s="38">
        <f t="shared" si="41"/>
        <v>0</v>
      </c>
      <c r="BK86" s="38">
        <v>0</v>
      </c>
      <c r="BL86" s="38">
        <v>0</v>
      </c>
      <c r="BM86" s="38">
        <f t="shared" si="41"/>
        <v>0</v>
      </c>
      <c r="BN86" s="210">
        <v>0</v>
      </c>
      <c r="BO86" s="143"/>
      <c r="BU86" s="229">
        <v>2023</v>
      </c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42">IFERROR(ROUND(AU88*AU86,0),0)</f>
        <v>38685</v>
      </c>
      <c r="AV87" s="160">
        <f t="shared" si="42"/>
        <v>39867</v>
      </c>
      <c r="AW87" s="160">
        <f t="shared" si="42"/>
        <v>34987</v>
      </c>
      <c r="AX87" s="160">
        <f t="shared" si="42"/>
        <v>39269</v>
      </c>
      <c r="AY87" s="160">
        <f t="shared" si="42"/>
        <v>49301</v>
      </c>
      <c r="AZ87" s="160">
        <f t="shared" si="42"/>
        <v>63858</v>
      </c>
      <c r="BA87" s="196">
        <f>SUM(AO87:AZ87)</f>
        <v>265967</v>
      </c>
      <c r="BB87" s="160">
        <v>65352</v>
      </c>
      <c r="BC87" s="160">
        <v>58804</v>
      </c>
      <c r="BD87" s="160">
        <v>57205</v>
      </c>
      <c r="BE87" s="160">
        <v>60473</v>
      </c>
      <c r="BF87" s="160">
        <f t="shared" ref="BF87:BM87" si="43">IFERROR(ROUND(BF88*BF86,0),0)</f>
        <v>49257</v>
      </c>
      <c r="BG87" s="160">
        <f t="shared" si="43"/>
        <v>45607</v>
      </c>
      <c r="BH87" s="160">
        <f t="shared" si="43"/>
        <v>0</v>
      </c>
      <c r="BI87" s="160">
        <f t="shared" si="43"/>
        <v>0</v>
      </c>
      <c r="BJ87" s="160">
        <f t="shared" si="43"/>
        <v>0</v>
      </c>
      <c r="BK87" s="160">
        <f t="shared" si="43"/>
        <v>0</v>
      </c>
      <c r="BL87" s="160">
        <f t="shared" si="43"/>
        <v>0</v>
      </c>
      <c r="BM87" s="160">
        <f t="shared" si="43"/>
        <v>0</v>
      </c>
      <c r="BN87" s="196">
        <f>SUM(BB87:BM87)</f>
        <v>336698</v>
      </c>
      <c r="BO87" s="144"/>
      <c r="BS87" t="s">
        <v>228</v>
      </c>
      <c r="BU87" s="202">
        <f>ROUND(BJ79*10+BK79*10+BL79*10+BM79*10,0)</f>
        <v>22954</v>
      </c>
    </row>
    <row r="88" spans="1:73" ht="15.75" customHeight="1" thickTop="1">
      <c r="A88" s="374" t="s">
        <v>54</v>
      </c>
      <c r="B88" s="84">
        <f>IF('kWh_Streetlight Data'!C113=0,"",'kWh_Streetlight Data'!C113)</f>
        <v>3806.5</v>
      </c>
      <c r="C88" s="108">
        <f>IF('kWh_Streetlight Data'!D113=0,"",'kWh_Streetlight Data'!D113)</f>
        <v>4221</v>
      </c>
      <c r="D88" s="108">
        <f>IF('kWh_Streetlight Data'!E113=0,"",'kWh_Streetlight Data'!E113)</f>
        <v>3349.0714285714284</v>
      </c>
      <c r="E88" s="108">
        <f>IF('kWh_Streetlight Data'!F113=0,"",'kWh_Streetlight Data'!F113)</f>
        <v>4785.7142857142853</v>
      </c>
      <c r="F88" s="108">
        <f>IF('kWh_Streetlight Data'!G113=0,"",'kWh_Streetlight Data'!G113)</f>
        <v>3556.0714285714284</v>
      </c>
      <c r="G88" s="108">
        <f>IF('kWh_Streetlight Data'!H113=0,"",'kWh_Streetlight Data'!H113)</f>
        <v>2639.7142857142858</v>
      </c>
      <c r="H88" s="108">
        <f>IF('kWh_Streetlight Data'!I113=0,"",'kWh_Streetlight Data'!I113)</f>
        <v>2792.0714285714284</v>
      </c>
      <c r="I88" s="108">
        <f>IF('kWh_Streetlight Data'!J113=0,"",'kWh_Streetlight Data'!J113)</f>
        <v>2676</v>
      </c>
      <c r="J88" s="108">
        <f>IF('kWh_Streetlight Data'!K113=0,"",'kWh_Streetlight Data'!K113)</f>
        <v>2457.1538461538462</v>
      </c>
      <c r="K88" s="108">
        <f>IF('kWh_Streetlight Data'!L113=0,"",'kWh_Streetlight Data'!L113)</f>
        <v>2979.6923076923076</v>
      </c>
      <c r="L88" s="108">
        <f>IF('kWh_Streetlight Data'!M113=0,"",'kWh_Streetlight Data'!M113)</f>
        <v>4142.2307692307695</v>
      </c>
      <c r="M88" s="108">
        <f>IF('kWh_Streetlight Data'!N113=0,"",'kWh_Streetlight Data'!N113)</f>
        <v>5045.4615384615381</v>
      </c>
      <c r="N88" s="424">
        <f>IF('kWh_Streetlight Data'!O113=0,"",'kWh_Streetlight Data'!O113)</f>
        <v>3539.9325153374234</v>
      </c>
      <c r="O88" s="84">
        <f>IF('kWh_Streetlight Data'!P113=0,"",'kWh_Streetlight Data'!P113)</f>
        <v>4809.2307692307695</v>
      </c>
      <c r="P88" s="108">
        <f>IF('kWh_Streetlight Data'!Q113=0,"",'kWh_Streetlight Data'!Q113)</f>
        <v>4024.5384615384614</v>
      </c>
      <c r="Q88" s="108">
        <f>IF('kWh_Streetlight Data'!R113=0,"",'kWh_Streetlight Data'!R113)</f>
        <v>4287.9333333333334</v>
      </c>
      <c r="R88" s="108">
        <f>IF('kWh_Streetlight Data'!S113=0,"",'kWh_Streetlight Data'!S113)</f>
        <v>4182</v>
      </c>
      <c r="S88" s="108">
        <f>IF('kWh_Streetlight Data'!T113=0,"",'kWh_Streetlight Data'!T113)</f>
        <v>3045.7857142857142</v>
      </c>
      <c r="T88" s="108">
        <f>IF('kWh_Streetlight Data'!U113=0,"",'kWh_Streetlight Data'!U113)</f>
        <v>3854.75</v>
      </c>
      <c r="U88" s="108">
        <f>IF('kWh_Streetlight Data'!V113=0,"",'kWh_Streetlight Data'!V113)</f>
        <v>2769.9166666666665</v>
      </c>
      <c r="V88" s="108">
        <f>IF('kWh_Streetlight Data'!W113=0,"",'kWh_Streetlight Data'!W113)</f>
        <v>2887.75</v>
      </c>
      <c r="W88" s="108">
        <f>IF('kWh_Streetlight Data'!X113=0,"",'kWh_Streetlight Data'!X113)</f>
        <v>2482.4285714285716</v>
      </c>
      <c r="X88" s="108">
        <f>IF('kWh_Streetlight Data'!Y113=0,"",'kWh_Streetlight Data'!Y113)</f>
        <v>2448.9230769230771</v>
      </c>
      <c r="Y88" s="108">
        <f>IF('kWh_Streetlight Data'!Z113=0,"",'kWh_Streetlight Data'!Z113)</f>
        <v>2903.0769230769229</v>
      </c>
      <c r="Z88" s="108">
        <f>IF('kWh_Streetlight Data'!AA113=0,"",'kWh_Streetlight Data'!AA113)</f>
        <v>4183.181818181818</v>
      </c>
      <c r="AA88" s="426">
        <f>IF('kWh_Streetlight Data'!AB113=0,"",'kWh_Streetlight Data'!AB113)</f>
        <v>3488.1225806451612</v>
      </c>
      <c r="AB88" s="442">
        <f>IF('kWh_Streetlight Data'!AC113=0,"",'kWh_Streetlight Data'!AC113)</f>
        <v>5388.363636363636</v>
      </c>
      <c r="AC88" s="443">
        <f>IF('kWh_Streetlight Data'!AD113=0,"",'kWh_Streetlight Data'!AD113)</f>
        <v>4355.363636363636</v>
      </c>
      <c r="AD88" s="443">
        <f>IF('kWh_Streetlight Data'!AE113=0,"",'kWh_Streetlight Data'!AE113)</f>
        <v>4621.166666666667</v>
      </c>
      <c r="AE88" s="443">
        <f>IF('kWh_Streetlight Data'!AF113=0,"",'kWh_Streetlight Data'!AF113)</f>
        <v>3990.8333333333335</v>
      </c>
      <c r="AF88" s="443">
        <f>IF('kWh_Streetlight Data'!AG113=0,"",'kWh_Streetlight Data'!AG113)</f>
        <v>3953.25</v>
      </c>
      <c r="AG88" s="443">
        <f>IF('kWh_Streetlight Data'!AH113=0,"",'kWh_Streetlight Data'!AH113)</f>
        <v>3278.5</v>
      </c>
      <c r="AH88" s="443">
        <f>IF('kWh_Streetlight Data'!AI113=0,"",'kWh_Streetlight Data'!AI113)</f>
        <v>2727.5833333333335</v>
      </c>
      <c r="AI88" s="443">
        <f>IF('kWh_Streetlight Data'!AJ113=0,"",'kWh_Streetlight Data'!AJ113)</f>
        <v>2979.1666666666665</v>
      </c>
      <c r="AJ88" s="443">
        <f>IF('kWh_Streetlight Data'!AK113=0,"",'kWh_Streetlight Data'!AK113)</f>
        <v>2557.5833333333335</v>
      </c>
      <c r="AK88" s="443">
        <f>IF('kWh_Streetlight Data'!AL113=0,"",'kWh_Streetlight Data'!AL113)</f>
        <v>2986.1666666666665</v>
      </c>
      <c r="AL88" s="443">
        <f>IF('kWh_Streetlight Data'!AM113=0,"",'kWh_Streetlight Data'!AM113)</f>
        <v>3519.2307692307691</v>
      </c>
      <c r="AM88" s="443">
        <f>IF('kWh_Streetlight Data'!AN113=0,"",'kWh_Streetlight Data'!AN113)</f>
        <v>4455.166666666667</v>
      </c>
      <c r="AN88" s="424">
        <f>IF('kWh_Streetlight Data'!AO113=0,"",'kWh_Streetlight Data'!AO113)</f>
        <v>3716.951048951049</v>
      </c>
      <c r="AO88" s="34"/>
      <c r="AP88" s="35"/>
      <c r="AQ88" s="35"/>
      <c r="AR88" s="35"/>
      <c r="AS88" s="35"/>
      <c r="AT88" s="9"/>
      <c r="AU88" s="9">
        <f t="shared" ref="AU88:AZ88" si="44">IFERROR(AVERAGE(AH88,U88,H88),0)</f>
        <v>2763.1904761904757</v>
      </c>
      <c r="AV88" s="9">
        <f t="shared" si="44"/>
        <v>2847.6388888888887</v>
      </c>
      <c r="AW88" s="9">
        <f t="shared" si="44"/>
        <v>2499.05525030525</v>
      </c>
      <c r="AX88" s="9">
        <f t="shared" si="44"/>
        <v>2804.9273504273501</v>
      </c>
      <c r="AY88" s="9">
        <f t="shared" si="44"/>
        <v>3521.5128205128203</v>
      </c>
      <c r="AZ88" s="9">
        <f t="shared" si="44"/>
        <v>4561.2700077700074</v>
      </c>
      <c r="BA88" s="211"/>
      <c r="BB88" s="9">
        <v>4668.0314685314688</v>
      </c>
      <c r="BC88" s="41">
        <v>4200.3006993006993</v>
      </c>
      <c r="BD88" s="41">
        <v>4086.0571428571434</v>
      </c>
      <c r="BE88" s="41">
        <v>4319.5158730158737</v>
      </c>
      <c r="BF88" s="41">
        <f t="shared" ref="BF88:BM88" si="45">IFERROR(AVERAGE(F88,S88,AF88),0)</f>
        <v>3518.3690476190477</v>
      </c>
      <c r="BG88" s="41">
        <f t="shared" si="45"/>
        <v>3257.6547619047619</v>
      </c>
      <c r="BH88" s="41">
        <f t="shared" si="45"/>
        <v>2763.1904761904766</v>
      </c>
      <c r="BI88" s="41">
        <f t="shared" si="45"/>
        <v>2847.6388888888887</v>
      </c>
      <c r="BJ88" s="41">
        <f t="shared" si="45"/>
        <v>2499.0552503052509</v>
      </c>
      <c r="BK88" s="41">
        <f t="shared" si="45"/>
        <v>2804.9273504273501</v>
      </c>
      <c r="BL88" s="41">
        <f t="shared" si="45"/>
        <v>3521.5128205128203</v>
      </c>
      <c r="BM88" s="9">
        <f t="shared" si="45"/>
        <v>4561.2700077700074</v>
      </c>
      <c r="BN88" s="211">
        <v>0</v>
      </c>
      <c r="BO88" s="20"/>
      <c r="BS88" t="s">
        <v>229</v>
      </c>
      <c r="BU88" s="1">
        <f>Customers!N139*4</f>
        <v>90844</v>
      </c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S89" s="2" t="s">
        <v>230</v>
      </c>
      <c r="BU89" s="239">
        <f>BN93+BN87+BN78</f>
        <v>632072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T90" s="234"/>
      <c r="BU90" s="202">
        <f>SUM(BU87:BU89)</f>
        <v>745870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S91" t="s">
        <v>2</v>
      </c>
      <c r="BT91" s="202"/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>
        <f t="shared" ref="BH92:BM92" si="46">$BG$86+$BG$75</f>
        <v>18</v>
      </c>
      <c r="BI92" s="38">
        <f t="shared" si="46"/>
        <v>18</v>
      </c>
      <c r="BJ92" s="38">
        <f t="shared" si="46"/>
        <v>18</v>
      </c>
      <c r="BK92" s="38">
        <f t="shared" si="46"/>
        <v>18</v>
      </c>
      <c r="BL92" s="38">
        <f t="shared" si="46"/>
        <v>18</v>
      </c>
      <c r="BM92" s="38">
        <f t="shared" si="46"/>
        <v>18</v>
      </c>
      <c r="BN92" s="210">
        <f>BM92</f>
        <v>18</v>
      </c>
      <c r="BO92" s="125">
        <f>Customers!L138+Customers!L139</f>
        <v>29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>
        <f t="shared" ref="BH93:BM93" si="47">ROUND((BH79*$BG$75)+(BH88*$BG$86),0)</f>
        <v>40722</v>
      </c>
      <c r="BI93" s="160">
        <f t="shared" si="47"/>
        <v>41639</v>
      </c>
      <c r="BJ93" s="160">
        <f t="shared" si="47"/>
        <v>36908</v>
      </c>
      <c r="BK93" s="160">
        <f t="shared" si="47"/>
        <v>41215</v>
      </c>
      <c r="BL93" s="160">
        <f t="shared" si="47"/>
        <v>51765</v>
      </c>
      <c r="BM93" s="160">
        <f t="shared" si="47"/>
        <v>66708</v>
      </c>
      <c r="BN93" s="196">
        <f>SUM(BB93:BM93)</f>
        <v>278957</v>
      </c>
      <c r="BO93" s="144">
        <f>BU90</f>
        <v>745870</v>
      </c>
      <c r="BR93" s="69"/>
      <c r="BS93" s="234"/>
    </row>
    <row r="94" spans="1:73" ht="15.75" customHeight="1" thickTop="1">
      <c r="A94" s="374" t="s">
        <v>54</v>
      </c>
      <c r="B94" s="84" t="str">
        <f>IF('kWh_Streetlight Data'!C114=0,"",'kWh_Streetlight Data'!C114)</f>
        <v/>
      </c>
      <c r="C94" s="108" t="str">
        <f>IF('kWh_Streetlight Data'!D114=0,"",'kWh_Streetlight Data'!D114)</f>
        <v/>
      </c>
      <c r="D94" s="108" t="str">
        <f>IF('kWh_Streetlight Data'!E114=0,"",'kWh_Streetlight Data'!E114)</f>
        <v/>
      </c>
      <c r="E94" s="108" t="str">
        <f>IF('kWh_Streetlight Data'!F114=0,"",'kWh_Streetlight Data'!F114)</f>
        <v/>
      </c>
      <c r="F94" s="108" t="str">
        <f>IF('kWh_Streetlight Data'!G114=0,"",'kWh_Streetlight Data'!G114)</f>
        <v/>
      </c>
      <c r="G94" s="108" t="str">
        <f>IF('kWh_Streetlight Data'!H114=0,"",'kWh_Streetlight Data'!H114)</f>
        <v/>
      </c>
      <c r="H94" s="108" t="str">
        <f>IF('kWh_Streetlight Data'!I114=0,"",'kWh_Streetlight Data'!I114)</f>
        <v/>
      </c>
      <c r="I94" s="108" t="str">
        <f>IF('kWh_Streetlight Data'!J114=0,"",'kWh_Streetlight Data'!J114)</f>
        <v/>
      </c>
      <c r="J94" s="108" t="str">
        <f>IF('kWh_Streetlight Data'!K114=0,"",'kWh_Streetlight Data'!K114)</f>
        <v/>
      </c>
      <c r="K94" s="108" t="str">
        <f>IF('kWh_Streetlight Data'!L114=0,"",'kWh_Streetlight Data'!L114)</f>
        <v/>
      </c>
      <c r="L94" s="130" t="str">
        <f>IF('kWh_Streetlight Data'!M114=0,"",'kWh_Streetlight Data'!M114)</f>
        <v/>
      </c>
      <c r="M94" s="130" t="str">
        <f>IF('kWh_Streetlight Data'!N114=0,"",'kWh_Streetlight Data'!N114)</f>
        <v/>
      </c>
      <c r="N94" s="425" t="str">
        <f>IF('kWh_Streetlight Data'!O114=0,"",'kWh_Streetlight Data'!O114)</f>
        <v/>
      </c>
      <c r="O94" s="84" t="str">
        <f>IF('kWh_Streetlight Data'!P114=0,"",'kWh_Streetlight Data'!P114)</f>
        <v/>
      </c>
      <c r="P94" s="108" t="str">
        <f>IF('kWh_Streetlight Data'!Q114=0,"",'kWh_Streetlight Data'!Q114)</f>
        <v/>
      </c>
      <c r="Q94" s="108" t="str">
        <f>IF('kWh_Streetlight Data'!R114=0,"",'kWh_Streetlight Data'!R114)</f>
        <v/>
      </c>
      <c r="R94" s="108" t="str">
        <f>IF('kWh_Streetlight Data'!S114=0,"",'kWh_Streetlight Data'!S114)</f>
        <v/>
      </c>
      <c r="S94" s="108" t="str">
        <f>IF('kWh_Streetlight Data'!T114=0,"",'kWh_Streetlight Data'!T114)</f>
        <v/>
      </c>
      <c r="T94" s="108" t="str">
        <f>IF('kWh_Streetlight Data'!U114=0,"",'kWh_Streetlight Data'!U114)</f>
        <v/>
      </c>
      <c r="U94" s="108" t="str">
        <f>IF('kWh_Streetlight Data'!V114=0,"",'kWh_Streetlight Data'!V114)</f>
        <v/>
      </c>
      <c r="V94" s="108" t="str">
        <f>IF('kWh_Streetlight Data'!W114=0,"",'kWh_Streetlight Data'!W114)</f>
        <v/>
      </c>
      <c r="W94" s="108" t="str">
        <f>IF('kWh_Streetlight Data'!X114=0,"",'kWh_Streetlight Data'!X114)</f>
        <v/>
      </c>
      <c r="X94" s="108" t="str">
        <f>IF('kWh_Streetlight Data'!Y114=0,"",'kWh_Streetlight Data'!Y114)</f>
        <v/>
      </c>
      <c r="Y94" s="108" t="str">
        <f>IF('kWh_Streetlight Data'!Z114=0,"",'kWh_Streetlight Data'!Z114)</f>
        <v/>
      </c>
      <c r="Z94" s="108" t="str">
        <f>IF('kWh_Streetlight Data'!AA114=0,"",'kWh_Streetlight Data'!AA114)</f>
        <v/>
      </c>
      <c r="AA94" s="426" t="str">
        <f>IF('kWh_Streetlight Data'!AB114=0,"",'kWh_Streetlight Data'!AB114)</f>
        <v/>
      </c>
      <c r="AB94" s="84" t="str">
        <f>IF('kWh_Streetlight Data'!AC114=0,"",'kWh_Streetlight Data'!AC114)</f>
        <v/>
      </c>
      <c r="AC94" s="108" t="str">
        <f>IF('kWh_Streetlight Data'!AD114=0,"",'kWh_Streetlight Data'!AD114)</f>
        <v/>
      </c>
      <c r="AD94" s="108" t="str">
        <f>IF('kWh_Streetlight Data'!AE114=0,"",'kWh_Streetlight Data'!AE114)</f>
        <v/>
      </c>
      <c r="AE94" s="108" t="str">
        <f>IF('kWh_Streetlight Data'!AF114=0,"",'kWh_Streetlight Data'!AF114)</f>
        <v/>
      </c>
      <c r="AF94" s="108" t="str">
        <f>IF('kWh_Streetlight Data'!AG114=0,"",'kWh_Streetlight Data'!AG114)</f>
        <v/>
      </c>
      <c r="AG94" s="108" t="str">
        <f>IF('kWh_Streetlight Data'!AH114=0,"",'kWh_Streetlight Data'!AH114)</f>
        <v/>
      </c>
      <c r="AH94" s="108" t="str">
        <f>IF('kWh_Streetlight Data'!AI114=0,"",'kWh_Streetlight Data'!AI114)</f>
        <v/>
      </c>
      <c r="AI94" s="108" t="str">
        <f>IF('kWh_Streetlight Data'!AJ114=0,"",'kWh_Streetlight Data'!AJ114)</f>
        <v/>
      </c>
      <c r="AJ94" s="108" t="str">
        <f>IF('kWh_Streetlight Data'!AK114=0,"",'kWh_Streetlight Data'!AK114)</f>
        <v/>
      </c>
      <c r="AK94" s="108" t="str">
        <f>IF('kWh_Streetlight Data'!AL114=0,"",'kWh_Streetlight Data'!AL114)</f>
        <v/>
      </c>
      <c r="AL94" s="108" t="str">
        <f>IF('kWh_Streetlight Data'!AM114=0,"",'kWh_Streetlight Data'!AM114)</f>
        <v/>
      </c>
      <c r="AM94" s="108" t="str">
        <f>IF('kWh_Streetlight Data'!AN114=0,"",'kWh_Streetlight Data'!AN114)</f>
        <v/>
      </c>
      <c r="AN94" s="424" t="str">
        <f>IF('kWh_Streetlight Data'!AO114=0,"",'kWh_Streetlight Data'!AO114)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482"/>
      <c r="BI94" s="482"/>
      <c r="BJ94" s="482"/>
      <c r="BK94" s="482"/>
      <c r="BL94" s="482"/>
      <c r="BM94" s="339"/>
      <c r="BN94" s="211">
        <f>IFERROR((BN78+BN87+BN93)/SUM(BH92:BM92,BB86:BG86,BB75:BG75,)*12,0)</f>
        <v>35115.111111111109</v>
      </c>
      <c r="BO94" s="20">
        <f>BN94</f>
        <v>35115.111111111109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3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9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9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48">AU7+AU22+AU29+AU43</f>
        <v>130</v>
      </c>
      <c r="AV98" s="9">
        <f t="shared" si="48"/>
        <v>130</v>
      </c>
      <c r="AW98" s="9">
        <f t="shared" si="48"/>
        <v>131</v>
      </c>
      <c r="AX98" s="9">
        <f t="shared" si="48"/>
        <v>131</v>
      </c>
      <c r="AY98" s="9">
        <f t="shared" si="48"/>
        <v>131</v>
      </c>
      <c r="AZ98" s="9">
        <f t="shared" si="48"/>
        <v>131</v>
      </c>
      <c r="BA98" s="138">
        <f t="shared" si="48"/>
        <v>131</v>
      </c>
      <c r="BB98" s="9">
        <v>133</v>
      </c>
      <c r="BC98" s="9">
        <v>133</v>
      </c>
      <c r="BD98" s="9">
        <v>133</v>
      </c>
      <c r="BE98" s="9">
        <v>133</v>
      </c>
      <c r="BF98" s="9">
        <f t="shared" ref="BF98:BO98" si="49">BF7+BF22+BF29+BF43</f>
        <v>133</v>
      </c>
      <c r="BG98" s="9">
        <f t="shared" si="49"/>
        <v>133</v>
      </c>
      <c r="BH98" s="9">
        <f t="shared" si="49"/>
        <v>0</v>
      </c>
      <c r="BI98" s="9">
        <f t="shared" si="49"/>
        <v>0</v>
      </c>
      <c r="BJ98" s="9">
        <f t="shared" si="49"/>
        <v>0</v>
      </c>
      <c r="BK98" s="9">
        <f t="shared" si="49"/>
        <v>0</v>
      </c>
      <c r="BL98" s="9">
        <f t="shared" si="49"/>
        <v>0</v>
      </c>
      <c r="BM98" s="9">
        <f t="shared" si="49"/>
        <v>0</v>
      </c>
      <c r="BN98" s="138">
        <f t="shared" si="49"/>
        <v>0</v>
      </c>
      <c r="BO98" s="58">
        <f t="shared" si="49"/>
        <v>0</v>
      </c>
    </row>
    <row r="99" spans="1:69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50">AU57</f>
        <v>1</v>
      </c>
      <c r="AV99" s="9">
        <f t="shared" si="50"/>
        <v>1</v>
      </c>
      <c r="AW99" s="9">
        <f t="shared" si="50"/>
        <v>1</v>
      </c>
      <c r="AX99" s="9">
        <f t="shared" si="50"/>
        <v>1</v>
      </c>
      <c r="AY99" s="9">
        <f t="shared" si="50"/>
        <v>1</v>
      </c>
      <c r="AZ99" s="9">
        <f t="shared" si="50"/>
        <v>1</v>
      </c>
      <c r="BA99" s="138">
        <f t="shared" si="50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51">BF57</f>
        <v>1</v>
      </c>
      <c r="BG99" s="9">
        <f t="shared" si="51"/>
        <v>1</v>
      </c>
      <c r="BH99" s="9">
        <f t="shared" si="51"/>
        <v>0</v>
      </c>
      <c r="BI99" s="9">
        <f t="shared" si="51"/>
        <v>0</v>
      </c>
      <c r="BJ99" s="9">
        <f t="shared" si="51"/>
        <v>0</v>
      </c>
      <c r="BK99" s="9">
        <f t="shared" si="51"/>
        <v>0</v>
      </c>
      <c r="BL99" s="9">
        <f t="shared" si="51"/>
        <v>0</v>
      </c>
      <c r="BM99" s="9">
        <f t="shared" si="51"/>
        <v>0</v>
      </c>
      <c r="BN99" s="138">
        <f t="shared" si="51"/>
        <v>0</v>
      </c>
      <c r="BO99" s="58">
        <f t="shared" si="51"/>
        <v>0</v>
      </c>
    </row>
    <row r="100" spans="1:69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52">AU65+AU75+AU81+AU86</f>
        <v>18</v>
      </c>
      <c r="AV100" s="9">
        <f t="shared" si="52"/>
        <v>18</v>
      </c>
      <c r="AW100" s="9">
        <f t="shared" si="52"/>
        <v>18</v>
      </c>
      <c r="AX100" s="9">
        <f t="shared" si="52"/>
        <v>18</v>
      </c>
      <c r="AY100" s="9">
        <f t="shared" si="52"/>
        <v>18</v>
      </c>
      <c r="AZ100" s="9">
        <f t="shared" si="52"/>
        <v>18</v>
      </c>
      <c r="BA100" s="138">
        <f t="shared" si="52"/>
        <v>18</v>
      </c>
      <c r="BB100" s="9">
        <v>18</v>
      </c>
      <c r="BC100" s="9">
        <v>18</v>
      </c>
      <c r="BD100" s="9">
        <v>18</v>
      </c>
      <c r="BE100" s="9">
        <v>18</v>
      </c>
      <c r="BF100" s="9">
        <f t="shared" ref="BF100:BO100" si="53">BF65+BF75+BF81+BF86</f>
        <v>18</v>
      </c>
      <c r="BG100" s="9">
        <f t="shared" si="53"/>
        <v>18</v>
      </c>
      <c r="BH100" s="9">
        <f t="shared" si="53"/>
        <v>0</v>
      </c>
      <c r="BI100" s="9">
        <f t="shared" si="53"/>
        <v>0</v>
      </c>
      <c r="BJ100" s="9">
        <f t="shared" si="53"/>
        <v>0</v>
      </c>
      <c r="BK100" s="9">
        <f t="shared" si="53"/>
        <v>0</v>
      </c>
      <c r="BL100" s="9">
        <f t="shared" si="53"/>
        <v>0</v>
      </c>
      <c r="BM100" s="9">
        <f t="shared" si="53"/>
        <v>0</v>
      </c>
      <c r="BN100" s="138">
        <f t="shared" si="53"/>
        <v>0</v>
      </c>
      <c r="BO100" s="58">
        <f t="shared" si="53"/>
        <v>0</v>
      </c>
    </row>
    <row r="101" spans="1:69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54">SUM(AU98:AU100)</f>
        <v>149</v>
      </c>
      <c r="AV101" s="73">
        <f t="shared" si="54"/>
        <v>149</v>
      </c>
      <c r="AW101" s="73">
        <f t="shared" si="54"/>
        <v>150</v>
      </c>
      <c r="AX101" s="73">
        <f t="shared" si="54"/>
        <v>150</v>
      </c>
      <c r="AY101" s="73">
        <f t="shared" si="54"/>
        <v>150</v>
      </c>
      <c r="AZ101" s="73">
        <f t="shared" si="54"/>
        <v>150</v>
      </c>
      <c r="BA101" s="249">
        <f t="shared" si="54"/>
        <v>150</v>
      </c>
      <c r="BB101" s="73">
        <v>152</v>
      </c>
      <c r="BC101" s="73">
        <v>152</v>
      </c>
      <c r="BD101" s="73">
        <v>152</v>
      </c>
      <c r="BE101" s="73">
        <v>152</v>
      </c>
      <c r="BF101" s="73">
        <f t="shared" ref="BF101:BO101" si="55">SUM(BF98:BF100)</f>
        <v>152</v>
      </c>
      <c r="BG101" s="73">
        <f t="shared" si="55"/>
        <v>152</v>
      </c>
      <c r="BH101" s="73">
        <f t="shared" si="55"/>
        <v>0</v>
      </c>
      <c r="BI101" s="73">
        <f t="shared" si="55"/>
        <v>0</v>
      </c>
      <c r="BJ101" s="73">
        <f t="shared" si="55"/>
        <v>0</v>
      </c>
      <c r="BK101" s="73">
        <f t="shared" si="55"/>
        <v>0</v>
      </c>
      <c r="BL101" s="73">
        <f t="shared" si="55"/>
        <v>0</v>
      </c>
      <c r="BM101" s="73">
        <f t="shared" si="55"/>
        <v>0</v>
      </c>
      <c r="BN101" s="249">
        <f t="shared" si="55"/>
        <v>0</v>
      </c>
      <c r="BO101" s="268">
        <f t="shared" si="55"/>
        <v>0</v>
      </c>
    </row>
    <row r="102" spans="1:69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56">AU15+AU36+AU50</f>
        <v>0</v>
      </c>
      <c r="AV102" s="9">
        <f t="shared" si="56"/>
        <v>0</v>
      </c>
      <c r="AW102" s="9">
        <f t="shared" si="56"/>
        <v>0</v>
      </c>
      <c r="AX102" s="9">
        <f t="shared" si="56"/>
        <v>0</v>
      </c>
      <c r="AY102" s="9">
        <f t="shared" si="56"/>
        <v>0</v>
      </c>
      <c r="AZ102" s="9">
        <f t="shared" si="56"/>
        <v>0</v>
      </c>
      <c r="BA102" s="138">
        <f t="shared" si="56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57">BF15+BF36+BF50</f>
        <v>0</v>
      </c>
      <c r="BG102" s="9">
        <f t="shared" si="57"/>
        <v>0</v>
      </c>
      <c r="BH102" s="9">
        <f t="shared" si="57"/>
        <v>133</v>
      </c>
      <c r="BI102" s="9">
        <f t="shared" si="57"/>
        <v>133</v>
      </c>
      <c r="BJ102" s="9">
        <f t="shared" si="57"/>
        <v>133</v>
      </c>
      <c r="BK102" s="9">
        <f t="shared" si="57"/>
        <v>133</v>
      </c>
      <c r="BL102" s="9">
        <f t="shared" si="57"/>
        <v>133</v>
      </c>
      <c r="BM102" s="9">
        <f t="shared" si="57"/>
        <v>133</v>
      </c>
      <c r="BN102" s="138">
        <f t="shared" si="57"/>
        <v>133</v>
      </c>
      <c r="BO102" s="266">
        <f t="shared" si="57"/>
        <v>135</v>
      </c>
    </row>
    <row r="103" spans="1:69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>
        <f t="shared" ref="BH103:BO103" si="58">BH61</f>
        <v>1</v>
      </c>
      <c r="BI103" s="9">
        <f t="shared" si="58"/>
        <v>1</v>
      </c>
      <c r="BJ103" s="9">
        <f t="shared" si="58"/>
        <v>1</v>
      </c>
      <c r="BK103" s="9">
        <f t="shared" si="58"/>
        <v>1</v>
      </c>
      <c r="BL103" s="9">
        <f t="shared" si="58"/>
        <v>1</v>
      </c>
      <c r="BM103" s="9">
        <f t="shared" si="58"/>
        <v>1</v>
      </c>
      <c r="BN103" s="138">
        <f t="shared" si="58"/>
        <v>1</v>
      </c>
      <c r="BO103" s="58">
        <f t="shared" si="58"/>
        <v>1</v>
      </c>
    </row>
    <row r="104" spans="1:69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59">AU92</f>
        <v>0</v>
      </c>
      <c r="AV104" s="9">
        <f t="shared" si="59"/>
        <v>0</v>
      </c>
      <c r="AW104" s="9">
        <f t="shared" si="59"/>
        <v>0</v>
      </c>
      <c r="AX104" s="9">
        <f t="shared" si="59"/>
        <v>0</v>
      </c>
      <c r="AY104" s="9">
        <f t="shared" si="59"/>
        <v>0</v>
      </c>
      <c r="AZ104" s="9">
        <f t="shared" si="59"/>
        <v>0</v>
      </c>
      <c r="BA104" s="138">
        <f t="shared" si="59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60">BF92</f>
        <v>0</v>
      </c>
      <c r="BG104" s="9">
        <f t="shared" si="60"/>
        <v>0</v>
      </c>
      <c r="BH104" s="9">
        <f t="shared" si="60"/>
        <v>18</v>
      </c>
      <c r="BI104" s="9">
        <f t="shared" si="60"/>
        <v>18</v>
      </c>
      <c r="BJ104" s="9">
        <f t="shared" si="60"/>
        <v>18</v>
      </c>
      <c r="BK104" s="9">
        <f t="shared" si="60"/>
        <v>18</v>
      </c>
      <c r="BL104" s="9">
        <f t="shared" si="60"/>
        <v>18</v>
      </c>
      <c r="BM104" s="9">
        <f t="shared" si="60"/>
        <v>18</v>
      </c>
      <c r="BN104" s="138">
        <f t="shared" si="60"/>
        <v>18</v>
      </c>
      <c r="BO104" s="58">
        <f t="shared" si="60"/>
        <v>29</v>
      </c>
    </row>
    <row r="105" spans="1:69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61">SUM(AU102:AU104)</f>
        <v>0</v>
      </c>
      <c r="AV105" s="73">
        <f t="shared" si="61"/>
        <v>0</v>
      </c>
      <c r="AW105" s="73">
        <f t="shared" si="61"/>
        <v>0</v>
      </c>
      <c r="AX105" s="73">
        <f t="shared" si="61"/>
        <v>0</v>
      </c>
      <c r="AY105" s="73">
        <f t="shared" si="61"/>
        <v>0</v>
      </c>
      <c r="AZ105" s="73">
        <f t="shared" si="61"/>
        <v>0</v>
      </c>
      <c r="BA105" s="249">
        <f t="shared" si="61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62">SUM(BF102:BF104)</f>
        <v>0</v>
      </c>
      <c r="BG105" s="73">
        <f t="shared" si="62"/>
        <v>0</v>
      </c>
      <c r="BH105" s="73">
        <f t="shared" si="62"/>
        <v>152</v>
      </c>
      <c r="BI105" s="73">
        <f t="shared" si="62"/>
        <v>152</v>
      </c>
      <c r="BJ105" s="73">
        <f t="shared" si="62"/>
        <v>152</v>
      </c>
      <c r="BK105" s="73">
        <f t="shared" si="62"/>
        <v>152</v>
      </c>
      <c r="BL105" s="73">
        <f t="shared" si="62"/>
        <v>152</v>
      </c>
      <c r="BM105" s="73">
        <f t="shared" si="62"/>
        <v>152</v>
      </c>
      <c r="BN105" s="249">
        <f t="shared" si="62"/>
        <v>152</v>
      </c>
      <c r="BO105" s="268">
        <f t="shared" si="62"/>
        <v>165</v>
      </c>
    </row>
    <row r="106" spans="1:69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63">AU105+AU101</f>
        <v>149</v>
      </c>
      <c r="AV106" s="251">
        <f t="shared" si="63"/>
        <v>149</v>
      </c>
      <c r="AW106" s="251">
        <f t="shared" si="63"/>
        <v>150</v>
      </c>
      <c r="AX106" s="251">
        <f t="shared" si="63"/>
        <v>150</v>
      </c>
      <c r="AY106" s="251">
        <f t="shared" si="63"/>
        <v>150</v>
      </c>
      <c r="AZ106" s="251">
        <f t="shared" si="63"/>
        <v>150</v>
      </c>
      <c r="BA106" s="255">
        <f t="shared" si="63"/>
        <v>150</v>
      </c>
      <c r="BB106" s="251">
        <v>152</v>
      </c>
      <c r="BC106" s="251">
        <v>152</v>
      </c>
      <c r="BD106" s="251">
        <v>152</v>
      </c>
      <c r="BE106" s="251">
        <v>152</v>
      </c>
      <c r="BF106" s="251">
        <f t="shared" si="63"/>
        <v>152</v>
      </c>
      <c r="BG106" s="251">
        <f t="shared" si="63"/>
        <v>152</v>
      </c>
      <c r="BH106" s="251">
        <f t="shared" si="63"/>
        <v>152</v>
      </c>
      <c r="BI106" s="251">
        <f t="shared" si="63"/>
        <v>152</v>
      </c>
      <c r="BJ106" s="251">
        <f t="shared" si="63"/>
        <v>152</v>
      </c>
      <c r="BK106" s="251">
        <f t="shared" si="63"/>
        <v>152</v>
      </c>
      <c r="BL106" s="251">
        <f t="shared" si="63"/>
        <v>152</v>
      </c>
      <c r="BM106" s="251">
        <f t="shared" si="63"/>
        <v>152</v>
      </c>
      <c r="BN106" s="255">
        <f t="shared" si="63"/>
        <v>152</v>
      </c>
      <c r="BO106" s="269">
        <f t="shared" si="63"/>
        <v>165</v>
      </c>
    </row>
    <row r="107" spans="1:69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9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64">AU11+AU26+AU33+AU47</f>
        <v>165989</v>
      </c>
      <c r="AV108" s="9">
        <f t="shared" si="64"/>
        <v>156017</v>
      </c>
      <c r="AW108" s="9">
        <f t="shared" si="64"/>
        <v>157356</v>
      </c>
      <c r="AX108" s="9">
        <f t="shared" si="64"/>
        <v>158719</v>
      </c>
      <c r="AY108" s="9">
        <f t="shared" si="64"/>
        <v>195715</v>
      </c>
      <c r="AZ108" s="9">
        <f t="shared" si="64"/>
        <v>207673</v>
      </c>
      <c r="BA108" s="138">
        <f t="shared" si="64"/>
        <v>1041469</v>
      </c>
      <c r="BB108" s="9">
        <v>273593</v>
      </c>
      <c r="BC108" s="9">
        <v>242969</v>
      </c>
      <c r="BD108" s="9">
        <v>242785</v>
      </c>
      <c r="BE108" s="9">
        <v>241238</v>
      </c>
      <c r="BF108" s="9">
        <f t="shared" ref="BF108:BO108" si="65">BF11+BF26+BF33+BF47</f>
        <v>192071</v>
      </c>
      <c r="BG108" s="9">
        <f t="shared" si="65"/>
        <v>178803</v>
      </c>
      <c r="BH108" s="9">
        <f t="shared" si="65"/>
        <v>0</v>
      </c>
      <c r="BI108" s="9">
        <f t="shared" si="65"/>
        <v>0</v>
      </c>
      <c r="BJ108" s="9">
        <f t="shared" si="65"/>
        <v>0</v>
      </c>
      <c r="BK108" s="9">
        <f t="shared" si="65"/>
        <v>0</v>
      </c>
      <c r="BL108" s="9">
        <f t="shared" si="65"/>
        <v>0</v>
      </c>
      <c r="BM108" s="9">
        <f t="shared" si="65"/>
        <v>0</v>
      </c>
      <c r="BN108" s="138">
        <f t="shared" si="65"/>
        <v>1371459</v>
      </c>
      <c r="BO108" s="58">
        <f t="shared" si="65"/>
        <v>0</v>
      </c>
    </row>
    <row r="109" spans="1:69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66">AU58</f>
        <v>1172</v>
      </c>
      <c r="AV109" s="9">
        <f t="shared" si="66"/>
        <v>1172</v>
      </c>
      <c r="AW109" s="9">
        <f t="shared" si="66"/>
        <v>1172</v>
      </c>
      <c r="AX109" s="9">
        <f t="shared" si="66"/>
        <v>1172</v>
      </c>
      <c r="AY109" s="9">
        <f t="shared" si="66"/>
        <v>1172</v>
      </c>
      <c r="AZ109" s="9">
        <f t="shared" si="66"/>
        <v>1172</v>
      </c>
      <c r="BA109" s="138">
        <f t="shared" si="66"/>
        <v>7032</v>
      </c>
      <c r="BB109" s="9">
        <v>1172</v>
      </c>
      <c r="BC109" s="9">
        <v>1172</v>
      </c>
      <c r="BD109" s="9">
        <v>1172</v>
      </c>
      <c r="BE109" s="9">
        <v>1172</v>
      </c>
      <c r="BF109" s="9">
        <f t="shared" ref="BF109:BO109" si="67">BF58</f>
        <v>1172</v>
      </c>
      <c r="BG109" s="9">
        <f t="shared" si="67"/>
        <v>1172</v>
      </c>
      <c r="BH109" s="9">
        <f t="shared" si="67"/>
        <v>0</v>
      </c>
      <c r="BI109" s="9">
        <f t="shared" si="67"/>
        <v>0</v>
      </c>
      <c r="BJ109" s="9">
        <f t="shared" si="67"/>
        <v>0</v>
      </c>
      <c r="BK109" s="9">
        <f t="shared" si="67"/>
        <v>0</v>
      </c>
      <c r="BL109" s="9">
        <f t="shared" si="67"/>
        <v>0</v>
      </c>
      <c r="BM109" s="9">
        <f t="shared" si="67"/>
        <v>0</v>
      </c>
      <c r="BN109" s="138">
        <f t="shared" si="67"/>
        <v>7032</v>
      </c>
      <c r="BO109" s="58">
        <f t="shared" si="67"/>
        <v>0</v>
      </c>
    </row>
    <row r="110" spans="1:69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68">AU68+AU78+AU82+AU87</f>
        <v>40722</v>
      </c>
      <c r="AV110" s="9">
        <f t="shared" si="68"/>
        <v>41639</v>
      </c>
      <c r="AW110" s="9">
        <f t="shared" si="68"/>
        <v>36909</v>
      </c>
      <c r="AX110" s="9">
        <f t="shared" si="68"/>
        <v>41215</v>
      </c>
      <c r="AY110" s="9">
        <f t="shared" si="68"/>
        <v>51765</v>
      </c>
      <c r="AZ110" s="9">
        <f t="shared" si="68"/>
        <v>66708</v>
      </c>
      <c r="BA110" s="138">
        <f t="shared" si="68"/>
        <v>278958</v>
      </c>
      <c r="BB110" s="9">
        <v>68370</v>
      </c>
      <c r="BC110" s="9">
        <v>61621</v>
      </c>
      <c r="BD110" s="9">
        <v>60358</v>
      </c>
      <c r="BE110" s="9">
        <v>63459</v>
      </c>
      <c r="BF110" s="9">
        <f t="shared" ref="BF110:BO110" si="69">BF68+BF78+BF82+BF87</f>
        <v>51470</v>
      </c>
      <c r="BG110" s="9">
        <f t="shared" si="69"/>
        <v>47837</v>
      </c>
      <c r="BH110" s="9">
        <f t="shared" si="69"/>
        <v>0</v>
      </c>
      <c r="BI110" s="9">
        <f t="shared" si="69"/>
        <v>0</v>
      </c>
      <c r="BJ110" s="9">
        <f t="shared" si="69"/>
        <v>0</v>
      </c>
      <c r="BK110" s="9">
        <f t="shared" si="69"/>
        <v>0</v>
      </c>
      <c r="BL110" s="9">
        <f t="shared" si="69"/>
        <v>0</v>
      </c>
      <c r="BM110" s="9">
        <f t="shared" si="69"/>
        <v>0</v>
      </c>
      <c r="BN110" s="138">
        <f t="shared" si="69"/>
        <v>353115</v>
      </c>
      <c r="BO110" s="58">
        <f t="shared" si="69"/>
        <v>0</v>
      </c>
    </row>
    <row r="111" spans="1:69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70">SUM(AU108:AU110)</f>
        <v>207883</v>
      </c>
      <c r="AV111" s="73">
        <f t="shared" si="70"/>
        <v>198828</v>
      </c>
      <c r="AW111" s="73">
        <f t="shared" si="70"/>
        <v>195437</v>
      </c>
      <c r="AX111" s="73">
        <f t="shared" si="70"/>
        <v>201106</v>
      </c>
      <c r="AY111" s="73">
        <f t="shared" si="70"/>
        <v>248652</v>
      </c>
      <c r="AZ111" s="73">
        <f t="shared" si="70"/>
        <v>275553</v>
      </c>
      <c r="BA111" s="249">
        <f t="shared" si="70"/>
        <v>1327459</v>
      </c>
      <c r="BB111" s="73">
        <v>343135</v>
      </c>
      <c r="BC111" s="73">
        <v>305762</v>
      </c>
      <c r="BD111" s="73">
        <v>304315</v>
      </c>
      <c r="BE111" s="73">
        <v>305869</v>
      </c>
      <c r="BF111" s="73">
        <f t="shared" ref="BF111:BO111" si="71">SUM(BF108:BF110)</f>
        <v>244713</v>
      </c>
      <c r="BG111" s="73">
        <f t="shared" si="71"/>
        <v>227812</v>
      </c>
      <c r="BH111" s="73">
        <f t="shared" si="71"/>
        <v>0</v>
      </c>
      <c r="BI111" s="73">
        <f t="shared" si="71"/>
        <v>0</v>
      </c>
      <c r="BJ111" s="73">
        <f t="shared" si="71"/>
        <v>0</v>
      </c>
      <c r="BK111" s="73">
        <f t="shared" si="71"/>
        <v>0</v>
      </c>
      <c r="BL111" s="73">
        <f t="shared" si="71"/>
        <v>0</v>
      </c>
      <c r="BM111" s="73">
        <f t="shared" si="71"/>
        <v>0</v>
      </c>
      <c r="BN111" s="249">
        <f t="shared" si="71"/>
        <v>1731606</v>
      </c>
      <c r="BO111" s="268">
        <f t="shared" si="71"/>
        <v>0</v>
      </c>
    </row>
    <row r="112" spans="1:69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72">AU19+AU40+AU54</f>
        <v>0</v>
      </c>
      <c r="AV112" s="9">
        <f t="shared" si="72"/>
        <v>0</v>
      </c>
      <c r="AW112" s="9">
        <f t="shared" si="72"/>
        <v>0</v>
      </c>
      <c r="AX112" s="9">
        <f t="shared" si="72"/>
        <v>0</v>
      </c>
      <c r="AY112" s="9">
        <f t="shared" si="72"/>
        <v>0</v>
      </c>
      <c r="AZ112" s="9">
        <f t="shared" si="72"/>
        <v>0</v>
      </c>
      <c r="BA112" s="138">
        <f t="shared" si="72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73">BF19+BF40+BF54</f>
        <v>0</v>
      </c>
      <c r="BG112" s="9">
        <f t="shared" si="73"/>
        <v>0</v>
      </c>
      <c r="BH112" s="9">
        <f t="shared" si="73"/>
        <v>169164</v>
      </c>
      <c r="BI112" s="9">
        <f t="shared" si="73"/>
        <v>158849</v>
      </c>
      <c r="BJ112" s="9">
        <f t="shared" si="73"/>
        <v>159306</v>
      </c>
      <c r="BK112" s="9">
        <f t="shared" si="73"/>
        <v>160774</v>
      </c>
      <c r="BL112" s="9">
        <f t="shared" si="73"/>
        <v>198263</v>
      </c>
      <c r="BM112" s="9">
        <f t="shared" si="73"/>
        <v>210353</v>
      </c>
      <c r="BN112" s="138">
        <f t="shared" si="73"/>
        <v>1056709</v>
      </c>
      <c r="BO112" s="58">
        <f t="shared" si="73"/>
        <v>2459347</v>
      </c>
      <c r="BQ112" s="234" t="s">
        <v>2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>
        <f t="shared" ref="BH113:BO113" si="74">BH62</f>
        <v>1172</v>
      </c>
      <c r="BI113" s="9">
        <f t="shared" si="74"/>
        <v>1172</v>
      </c>
      <c r="BJ113" s="9">
        <f t="shared" si="74"/>
        <v>1172</v>
      </c>
      <c r="BK113" s="9">
        <f t="shared" si="74"/>
        <v>1172</v>
      </c>
      <c r="BL113" s="9">
        <f t="shared" si="74"/>
        <v>1172</v>
      </c>
      <c r="BM113" s="9">
        <f t="shared" si="74"/>
        <v>1172</v>
      </c>
      <c r="BN113" s="138">
        <f t="shared" si="74"/>
        <v>7032</v>
      </c>
      <c r="BO113" s="58">
        <f t="shared" si="74"/>
        <v>14064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75">AU93</f>
        <v>0</v>
      </c>
      <c r="AV114" s="9">
        <f t="shared" si="75"/>
        <v>0</v>
      </c>
      <c r="AW114" s="9">
        <f t="shared" si="75"/>
        <v>0</v>
      </c>
      <c r="AX114" s="9">
        <f t="shared" si="75"/>
        <v>0</v>
      </c>
      <c r="AY114" s="9">
        <f t="shared" si="75"/>
        <v>0</v>
      </c>
      <c r="AZ114" s="9">
        <f t="shared" si="75"/>
        <v>0</v>
      </c>
      <c r="BA114" s="138">
        <f t="shared" si="75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76">BF93</f>
        <v>0</v>
      </c>
      <c r="BG114" s="9">
        <f t="shared" si="76"/>
        <v>0</v>
      </c>
      <c r="BH114" s="9">
        <f t="shared" si="76"/>
        <v>40722</v>
      </c>
      <c r="BI114" s="9">
        <f t="shared" si="76"/>
        <v>41639</v>
      </c>
      <c r="BJ114" s="9">
        <f t="shared" si="76"/>
        <v>36908</v>
      </c>
      <c r="BK114" s="9">
        <f t="shared" si="76"/>
        <v>41215</v>
      </c>
      <c r="BL114" s="9">
        <f t="shared" si="76"/>
        <v>51765</v>
      </c>
      <c r="BM114" s="9">
        <f t="shared" si="76"/>
        <v>66708</v>
      </c>
      <c r="BN114" s="138">
        <f t="shared" si="76"/>
        <v>278957</v>
      </c>
      <c r="BO114" s="58">
        <f t="shared" si="76"/>
        <v>745870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77">SUM(AU112:AU114)</f>
        <v>0</v>
      </c>
      <c r="AV115" s="73">
        <f t="shared" si="77"/>
        <v>0</v>
      </c>
      <c r="AW115" s="73">
        <f t="shared" si="77"/>
        <v>0</v>
      </c>
      <c r="AX115" s="73">
        <f t="shared" si="77"/>
        <v>0</v>
      </c>
      <c r="AY115" s="73">
        <f t="shared" si="77"/>
        <v>0</v>
      </c>
      <c r="AZ115" s="73">
        <f t="shared" si="77"/>
        <v>0</v>
      </c>
      <c r="BA115" s="249">
        <f t="shared" si="77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78">SUM(BF112:BF114)</f>
        <v>0</v>
      </c>
      <c r="BG115" s="73">
        <f t="shared" si="78"/>
        <v>0</v>
      </c>
      <c r="BH115" s="73">
        <f t="shared" si="78"/>
        <v>211058</v>
      </c>
      <c r="BI115" s="73">
        <f t="shared" si="78"/>
        <v>201660</v>
      </c>
      <c r="BJ115" s="73">
        <f t="shared" si="78"/>
        <v>197386</v>
      </c>
      <c r="BK115" s="73">
        <f t="shared" si="78"/>
        <v>203161</v>
      </c>
      <c r="BL115" s="73">
        <f t="shared" si="78"/>
        <v>251200</v>
      </c>
      <c r="BM115" s="73">
        <f t="shared" si="78"/>
        <v>278233</v>
      </c>
      <c r="BN115" s="249">
        <f t="shared" si="78"/>
        <v>1342698</v>
      </c>
      <c r="BO115" s="268">
        <f t="shared" si="78"/>
        <v>3219281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79">AU115+AU111</f>
        <v>207883</v>
      </c>
      <c r="AV116" s="251">
        <f t="shared" si="79"/>
        <v>198828</v>
      </c>
      <c r="AW116" s="251">
        <f t="shared" si="79"/>
        <v>195437</v>
      </c>
      <c r="AX116" s="251">
        <f t="shared" si="79"/>
        <v>201106</v>
      </c>
      <c r="AY116" s="251">
        <f t="shared" si="79"/>
        <v>248652</v>
      </c>
      <c r="AZ116" s="251">
        <f t="shared" si="79"/>
        <v>275553</v>
      </c>
      <c r="BA116" s="255">
        <f t="shared" si="79"/>
        <v>1327459</v>
      </c>
      <c r="BB116" s="251">
        <v>343135</v>
      </c>
      <c r="BC116" s="251">
        <v>305762</v>
      </c>
      <c r="BD116" s="251">
        <v>304315</v>
      </c>
      <c r="BE116" s="251">
        <v>305869</v>
      </c>
      <c r="BF116" s="251">
        <f t="shared" si="79"/>
        <v>244713</v>
      </c>
      <c r="BG116" s="251">
        <f t="shared" si="79"/>
        <v>227812</v>
      </c>
      <c r="BH116" s="251">
        <f t="shared" si="79"/>
        <v>211058</v>
      </c>
      <c r="BI116" s="251">
        <f t="shared" si="79"/>
        <v>201660</v>
      </c>
      <c r="BJ116" s="251">
        <f t="shared" si="79"/>
        <v>197386</v>
      </c>
      <c r="BK116" s="251">
        <f t="shared" si="79"/>
        <v>203161</v>
      </c>
      <c r="BL116" s="251">
        <f t="shared" si="79"/>
        <v>251200</v>
      </c>
      <c r="BM116" s="251">
        <f t="shared" si="79"/>
        <v>278233</v>
      </c>
      <c r="BN116" s="255">
        <f t="shared" si="79"/>
        <v>3074304</v>
      </c>
      <c r="BO116" s="269">
        <f t="shared" si="79"/>
        <v>3219281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23</v>
      </c>
      <c r="AV119" s="280">
        <f>AU119</f>
        <v>23</v>
      </c>
      <c r="AW119" s="280">
        <f>AV119</f>
        <v>23</v>
      </c>
      <c r="AX119" s="280">
        <f t="shared" ref="AX119:AZ119" si="80">AW119</f>
        <v>23</v>
      </c>
      <c r="AY119" s="280">
        <f t="shared" si="80"/>
        <v>23</v>
      </c>
      <c r="AZ119" s="280">
        <f t="shared" si="80"/>
        <v>23</v>
      </c>
      <c r="BA119" s="259"/>
      <c r="BB119" s="280">
        <v>23</v>
      </c>
      <c r="BC119" s="280">
        <v>23</v>
      </c>
      <c r="BD119" s="280">
        <v>23</v>
      </c>
      <c r="BE119" s="280">
        <v>23</v>
      </c>
      <c r="BF119" s="280">
        <f t="shared" ref="BF119:BM119" si="81">BE119</f>
        <v>23</v>
      </c>
      <c r="BG119" s="280">
        <f t="shared" si="81"/>
        <v>23</v>
      </c>
      <c r="BH119" s="280">
        <f t="shared" si="81"/>
        <v>23</v>
      </c>
      <c r="BI119" s="280">
        <f t="shared" si="81"/>
        <v>23</v>
      </c>
      <c r="BJ119" s="280">
        <f t="shared" si="81"/>
        <v>23</v>
      </c>
      <c r="BK119" s="280">
        <f t="shared" si="81"/>
        <v>23</v>
      </c>
      <c r="BL119" s="280">
        <f t="shared" si="81"/>
        <v>23</v>
      </c>
      <c r="BM119" s="280">
        <f t="shared" si="81"/>
        <v>23</v>
      </c>
      <c r="BN119" s="259"/>
      <c r="BO119" s="343">
        <f>BM119</f>
        <v>23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117768</v>
      </c>
      <c r="AU120" s="107">
        <v>134849.97976080957</v>
      </c>
      <c r="AV120" s="39">
        <f>ROUND(AW108/30*AV119,0)</f>
        <v>120640</v>
      </c>
      <c r="AW120" s="39">
        <f>ROUND(AX108/30*AW119,0)</f>
        <v>121685</v>
      </c>
      <c r="AX120" s="39">
        <f>ROUND(AY108/30*AX119,0)</f>
        <v>150048</v>
      </c>
      <c r="AY120" s="39">
        <f>ROUND(AZ108/30*AY119,0)</f>
        <v>159216</v>
      </c>
      <c r="AZ120" s="39">
        <f>ROUND(BB108/30*AZ119,0)</f>
        <v>209755</v>
      </c>
      <c r="BA120" s="215"/>
      <c r="BB120" s="346">
        <v>186276</v>
      </c>
      <c r="BC120" s="346">
        <v>186135</v>
      </c>
      <c r="BD120" s="346">
        <v>184949</v>
      </c>
      <c r="BE120" s="346">
        <v>147254</v>
      </c>
      <c r="BF120" s="346">
        <f>ROUND(BG108/30*BF119,0)</f>
        <v>137082</v>
      </c>
      <c r="BG120" s="57">
        <f>ROUND(BH112/30*BG119,0)</f>
        <v>129692</v>
      </c>
      <c r="BH120" s="57">
        <f>BI108/30*BH119</f>
        <v>0</v>
      </c>
      <c r="BI120" s="57">
        <f>BJ108/30*BI119</f>
        <v>0</v>
      </c>
      <c r="BJ120" s="57">
        <f>BK108/30*BJ119</f>
        <v>0</v>
      </c>
      <c r="BK120" s="57">
        <f>BL108/30*BK119</f>
        <v>0</v>
      </c>
      <c r="BL120" s="57">
        <f>BM108/30*BL119</f>
        <v>0</v>
      </c>
      <c r="BM120" s="57">
        <f>ROUND(BO108*0.11/30*BM119,0)</f>
        <v>0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26638</v>
      </c>
      <c r="AU121" s="107">
        <v>29730</v>
      </c>
      <c r="AV121" s="39">
        <f>ROUND(AW110/30*AV119,0)</f>
        <v>28297</v>
      </c>
      <c r="AW121" s="39">
        <f>ROUND(AX110/30*AW119,0)</f>
        <v>31598</v>
      </c>
      <c r="AX121" s="39">
        <f>ROUND(AY110/30*AX119,0)</f>
        <v>39687</v>
      </c>
      <c r="AY121" s="39">
        <f>ROUND(AZ110/30*AY119,0)</f>
        <v>51143</v>
      </c>
      <c r="AZ121" s="39">
        <f>ROUND(BB110/30*AZ119,0)</f>
        <v>52417</v>
      </c>
      <c r="BA121" s="215"/>
      <c r="BB121" s="57">
        <v>47243</v>
      </c>
      <c r="BC121" s="57">
        <v>46274</v>
      </c>
      <c r="BD121" s="57">
        <v>48652</v>
      </c>
      <c r="BE121" s="57">
        <v>39460</v>
      </c>
      <c r="BF121" s="57">
        <f>ROUND(BG110/30*BF119,0)</f>
        <v>36675</v>
      </c>
      <c r="BG121" s="57">
        <f>ROUND(BH114/30*BG119,0)</f>
        <v>31220</v>
      </c>
      <c r="BH121" s="57">
        <f>ROUND(BI110/30*BH119,0)</f>
        <v>0</v>
      </c>
      <c r="BI121" s="57">
        <f>ROUND(BJ110/30*BI119,0)</f>
        <v>0</v>
      </c>
      <c r="BJ121" s="57">
        <f>ROUND(BK110/30*BJ119,0)</f>
        <v>0</v>
      </c>
      <c r="BK121" s="57">
        <f>ROUND(BL110/30*BK119,0)</f>
        <v>0</v>
      </c>
      <c r="BL121" s="57">
        <f>ROUND(BM110/30*BL119,0)</f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-117768</v>
      </c>
      <c r="AV122" s="57">
        <f t="shared" ref="AV122:AZ123" si="82">-AU120</f>
        <v>-134849.97976080957</v>
      </c>
      <c r="AW122" s="57">
        <f t="shared" si="82"/>
        <v>-120640</v>
      </c>
      <c r="AX122" s="57">
        <f t="shared" si="82"/>
        <v>-121685</v>
      </c>
      <c r="AY122" s="57">
        <f t="shared" si="82"/>
        <v>-150048</v>
      </c>
      <c r="AZ122" s="57">
        <f t="shared" si="82"/>
        <v>-159216</v>
      </c>
      <c r="BA122" s="215"/>
      <c r="BB122" s="57">
        <v>-209755</v>
      </c>
      <c r="BC122" s="57">
        <v>-186276</v>
      </c>
      <c r="BD122" s="57">
        <v>-186135</v>
      </c>
      <c r="BE122" s="57">
        <v>-184949</v>
      </c>
      <c r="BF122" s="57">
        <f t="shared" ref="BF122:BM123" si="83">-BE120</f>
        <v>-147254</v>
      </c>
      <c r="BG122" s="57">
        <f t="shared" si="83"/>
        <v>-137082</v>
      </c>
      <c r="BH122" s="57">
        <v>0</v>
      </c>
      <c r="BI122" s="57">
        <f t="shared" si="83"/>
        <v>0</v>
      </c>
      <c r="BJ122" s="57">
        <f t="shared" si="83"/>
        <v>0</v>
      </c>
      <c r="BK122" s="57">
        <f t="shared" si="83"/>
        <v>0</v>
      </c>
      <c r="BL122" s="57">
        <f t="shared" si="83"/>
        <v>0</v>
      </c>
      <c r="BM122" s="57">
        <f t="shared" si="83"/>
        <v>0</v>
      </c>
      <c r="BN122" s="215"/>
      <c r="BO122" s="141">
        <f>-BM120</f>
        <v>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-26638</v>
      </c>
      <c r="AV123" s="57">
        <f t="shared" si="82"/>
        <v>-29730</v>
      </c>
      <c r="AW123" s="57">
        <f t="shared" si="82"/>
        <v>-28297</v>
      </c>
      <c r="AX123" s="57">
        <f t="shared" si="82"/>
        <v>-31598</v>
      </c>
      <c r="AY123" s="57">
        <f t="shared" si="82"/>
        <v>-39687</v>
      </c>
      <c r="AZ123" s="57">
        <f t="shared" si="82"/>
        <v>-51143</v>
      </c>
      <c r="BA123" s="215"/>
      <c r="BB123" s="57">
        <v>-52417</v>
      </c>
      <c r="BC123" s="57">
        <v>-47243</v>
      </c>
      <c r="BD123" s="57">
        <v>-46274</v>
      </c>
      <c r="BE123" s="57">
        <v>-48652</v>
      </c>
      <c r="BF123" s="57">
        <f t="shared" si="83"/>
        <v>-39460</v>
      </c>
      <c r="BG123" s="57">
        <f t="shared" si="83"/>
        <v>-36675</v>
      </c>
      <c r="BH123" s="57">
        <v>0</v>
      </c>
      <c r="BI123" s="57">
        <f t="shared" si="83"/>
        <v>0</v>
      </c>
      <c r="BJ123" s="57">
        <f t="shared" si="83"/>
        <v>0</v>
      </c>
      <c r="BK123" s="57">
        <f t="shared" si="83"/>
        <v>0</v>
      </c>
      <c r="BL123" s="57">
        <f t="shared" si="83"/>
        <v>0</v>
      </c>
      <c r="BM123" s="57">
        <f t="shared" si="83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20173.979760809569</v>
      </c>
      <c r="AV124" s="344">
        <f t="shared" ref="AV124:AZ124" si="84">SUM(AV120:AV123)</f>
        <v>-15642.979760809569</v>
      </c>
      <c r="AW124" s="344">
        <f t="shared" si="84"/>
        <v>4346</v>
      </c>
      <c r="AX124" s="344">
        <f t="shared" si="84"/>
        <v>36452</v>
      </c>
      <c r="AY124" s="344">
        <f t="shared" si="84"/>
        <v>20624</v>
      </c>
      <c r="AZ124" s="344">
        <f t="shared" si="84"/>
        <v>51813</v>
      </c>
      <c r="BA124" s="345"/>
      <c r="BB124" s="344">
        <v>-28653</v>
      </c>
      <c r="BC124" s="344">
        <v>-1110</v>
      </c>
      <c r="BD124" s="344">
        <v>1192</v>
      </c>
      <c r="BE124" s="344">
        <v>-46887</v>
      </c>
      <c r="BF124" s="344">
        <f t="shared" ref="BF124:BO124" si="85">SUM(BF120:BF123)</f>
        <v>-12957</v>
      </c>
      <c r="BG124" s="344">
        <f t="shared" si="85"/>
        <v>-12845</v>
      </c>
      <c r="BH124" s="344">
        <f t="shared" si="85"/>
        <v>0</v>
      </c>
      <c r="BI124" s="344">
        <f t="shared" si="85"/>
        <v>0</v>
      </c>
      <c r="BJ124" s="344">
        <f t="shared" si="85"/>
        <v>0</v>
      </c>
      <c r="BK124" s="344">
        <f t="shared" si="85"/>
        <v>0</v>
      </c>
      <c r="BL124" s="344">
        <f t="shared" si="85"/>
        <v>0</v>
      </c>
      <c r="BM124" s="344">
        <f t="shared" si="85"/>
        <v>0</v>
      </c>
      <c r="BN124" s="345"/>
      <c r="BO124" s="272">
        <f t="shared" si="85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23</v>
      </c>
      <c r="AV125" s="344">
        <f>AU125</f>
        <v>23</v>
      </c>
      <c r="AW125" s="344">
        <f>AV125</f>
        <v>23</v>
      </c>
      <c r="AX125" s="344">
        <f t="shared" ref="AX125:AZ125" si="86">AW125</f>
        <v>23</v>
      </c>
      <c r="AY125" s="344">
        <f t="shared" si="86"/>
        <v>23</v>
      </c>
      <c r="AZ125" s="344">
        <f t="shared" si="86"/>
        <v>23</v>
      </c>
      <c r="BA125" s="345"/>
      <c r="BB125" s="344">
        <v>23</v>
      </c>
      <c r="BC125" s="344">
        <v>23</v>
      </c>
      <c r="BD125" s="344">
        <v>23</v>
      </c>
      <c r="BE125" s="344">
        <v>23</v>
      </c>
      <c r="BF125" s="344">
        <f t="shared" ref="BF125:BM125" si="87">BE125</f>
        <v>23</v>
      </c>
      <c r="BG125" s="344">
        <f t="shared" si="87"/>
        <v>23</v>
      </c>
      <c r="BH125" s="344">
        <f t="shared" si="87"/>
        <v>23</v>
      </c>
      <c r="BI125" s="344">
        <f t="shared" si="87"/>
        <v>23</v>
      </c>
      <c r="BJ125" s="344">
        <f t="shared" si="87"/>
        <v>23</v>
      </c>
      <c r="BK125" s="344">
        <f t="shared" si="87"/>
        <v>23</v>
      </c>
      <c r="BL125" s="344">
        <f t="shared" si="87"/>
        <v>23</v>
      </c>
      <c r="BM125" s="344">
        <f t="shared" si="87"/>
        <v>23</v>
      </c>
      <c r="BN125" s="345"/>
      <c r="BO125" s="272">
        <f>BM125</f>
        <v>23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88">ROUND(AV112/30*AU125,0)</f>
        <v>0</v>
      </c>
      <c r="AV126" s="57">
        <f t="shared" si="88"/>
        <v>0</v>
      </c>
      <c r="AW126" s="57">
        <f t="shared" si="88"/>
        <v>0</v>
      </c>
      <c r="AX126" s="57">
        <f t="shared" si="88"/>
        <v>0</v>
      </c>
      <c r="AY126" s="57">
        <f t="shared" si="88"/>
        <v>0</v>
      </c>
      <c r="AZ126" s="57">
        <f t="shared" si="88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>BG112/30*BF125</f>
        <v>0</v>
      </c>
      <c r="BG126" s="57">
        <v>0</v>
      </c>
      <c r="BH126" s="57">
        <f>ROUND(BI112/30*BH125,0)</f>
        <v>121784</v>
      </c>
      <c r="BI126" s="57">
        <f>ROUND(BJ112/30*BI125,0)</f>
        <v>122135</v>
      </c>
      <c r="BJ126" s="57">
        <f>ROUND(BK112/30*BJ125,0)</f>
        <v>123260</v>
      </c>
      <c r="BK126" s="57">
        <f>ROUND(BL112/30*BK125,0)</f>
        <v>152002</v>
      </c>
      <c r="BL126" s="57">
        <f>ROUND(BM112/30*BL125,0)</f>
        <v>161271</v>
      </c>
      <c r="BM126" s="57">
        <f>ROUND(BO112*0.11/30*BM125,0)</f>
        <v>207405</v>
      </c>
      <c r="BN126" s="215"/>
      <c r="BO126" s="141">
        <v>210034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89">ROUND(AV114/30*AU125,0)</f>
        <v>0</v>
      </c>
      <c r="AV127" s="57">
        <f t="shared" si="89"/>
        <v>0</v>
      </c>
      <c r="AW127" s="57">
        <f t="shared" si="89"/>
        <v>0</v>
      </c>
      <c r="AX127" s="57">
        <f t="shared" si="89"/>
        <v>0</v>
      </c>
      <c r="AY127" s="57">
        <f t="shared" si="89"/>
        <v>0</v>
      </c>
      <c r="AZ127" s="57">
        <f t="shared" si="89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>ROUND(BG114/30*BF125,0)</f>
        <v>0</v>
      </c>
      <c r="BG127" s="57">
        <v>0</v>
      </c>
      <c r="BH127" s="57">
        <f>ROUND(BI114/30*BH125,0)</f>
        <v>31923</v>
      </c>
      <c r="BI127" s="57">
        <f>ROUND(BJ114/30*BI125,0)</f>
        <v>28296</v>
      </c>
      <c r="BJ127" s="57">
        <f>ROUND(BK114/30*BJ125,0)</f>
        <v>31598</v>
      </c>
      <c r="BK127" s="57">
        <f>ROUND(BL114/30*BK125,0)</f>
        <v>39687</v>
      </c>
      <c r="BL127" s="57">
        <f>ROUND(BM114/30*BL125,0)</f>
        <v>51143</v>
      </c>
      <c r="BM127" s="57">
        <f>ROUND(BO114*0.11/30*BM125,0)</f>
        <v>62902</v>
      </c>
      <c r="BN127" s="215"/>
      <c r="BO127" s="141">
        <v>82488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90">-AU126</f>
        <v>0</v>
      </c>
      <c r="AW128" s="57">
        <f t="shared" si="90"/>
        <v>0</v>
      </c>
      <c r="AX128" s="57">
        <f t="shared" si="90"/>
        <v>0</v>
      </c>
      <c r="AY128" s="57">
        <f t="shared" si="90"/>
        <v>0</v>
      </c>
      <c r="AZ128" s="57">
        <f t="shared" si="90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91">-BE126</f>
        <v>0</v>
      </c>
      <c r="BG128" s="57">
        <f t="shared" si="91"/>
        <v>0</v>
      </c>
      <c r="BH128" s="57">
        <f>-BG120</f>
        <v>-129692</v>
      </c>
      <c r="BI128" s="57">
        <f t="shared" si="91"/>
        <v>-121784</v>
      </c>
      <c r="BJ128" s="57">
        <f t="shared" si="91"/>
        <v>-122135</v>
      </c>
      <c r="BK128" s="57">
        <f t="shared" si="91"/>
        <v>-123260</v>
      </c>
      <c r="BL128" s="57">
        <f t="shared" si="91"/>
        <v>-152002</v>
      </c>
      <c r="BM128" s="57">
        <f t="shared" si="91"/>
        <v>-161271</v>
      </c>
      <c r="BN128" s="215"/>
      <c r="BO128" s="141">
        <f>-BM126</f>
        <v>-207405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90"/>
        <v>0</v>
      </c>
      <c r="AW129" s="57">
        <f t="shared" si="90"/>
        <v>0</v>
      </c>
      <c r="AX129" s="57">
        <f t="shared" si="90"/>
        <v>0</v>
      </c>
      <c r="AY129" s="57">
        <f t="shared" si="90"/>
        <v>0</v>
      </c>
      <c r="AZ129" s="57">
        <f t="shared" si="90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91"/>
        <v>0</v>
      </c>
      <c r="BG129" s="57">
        <f t="shared" si="91"/>
        <v>0</v>
      </c>
      <c r="BH129" s="57">
        <f>-BG121</f>
        <v>-31220</v>
      </c>
      <c r="BI129" s="57">
        <f t="shared" si="91"/>
        <v>-31923</v>
      </c>
      <c r="BJ129" s="57">
        <f t="shared" si="91"/>
        <v>-28296</v>
      </c>
      <c r="BK129" s="57">
        <f t="shared" si="91"/>
        <v>-31598</v>
      </c>
      <c r="BL129" s="57">
        <f t="shared" si="91"/>
        <v>-39687</v>
      </c>
      <c r="BM129" s="57">
        <f t="shared" si="91"/>
        <v>-51143</v>
      </c>
      <c r="BN129" s="215"/>
      <c r="BO129" s="141">
        <f>-BM127</f>
        <v>-62902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92">SUM(AV126:AV129)</f>
        <v>0</v>
      </c>
      <c r="AW130" s="344">
        <f t="shared" si="92"/>
        <v>0</v>
      </c>
      <c r="AX130" s="344">
        <f t="shared" si="92"/>
        <v>0</v>
      </c>
      <c r="AY130" s="344">
        <f t="shared" si="92"/>
        <v>0</v>
      </c>
      <c r="AZ130" s="344">
        <f t="shared" si="92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93">SUM(BF126:BF129)</f>
        <v>0</v>
      </c>
      <c r="BG130" s="344">
        <f t="shared" si="93"/>
        <v>0</v>
      </c>
      <c r="BH130" s="344">
        <f t="shared" si="93"/>
        <v>-7205</v>
      </c>
      <c r="BI130" s="344">
        <f t="shared" si="93"/>
        <v>-3276</v>
      </c>
      <c r="BJ130" s="344">
        <f t="shared" si="93"/>
        <v>4427</v>
      </c>
      <c r="BK130" s="344">
        <f t="shared" si="93"/>
        <v>36831</v>
      </c>
      <c r="BL130" s="344">
        <f t="shared" si="93"/>
        <v>20725</v>
      </c>
      <c r="BM130" s="344">
        <f t="shared" si="93"/>
        <v>57893</v>
      </c>
      <c r="BN130" s="345"/>
      <c r="BO130" s="272">
        <f t="shared" ref="BO130" si="94">SUM(BO126:BO129)</f>
        <v>22215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95">AU111+AU124</f>
        <v>228056.97976080957</v>
      </c>
      <c r="AV132" s="66">
        <f t="shared" si="95"/>
        <v>183185.02023919043</v>
      </c>
      <c r="AW132" s="66">
        <f t="shared" si="95"/>
        <v>199783</v>
      </c>
      <c r="AX132" s="66">
        <f t="shared" si="95"/>
        <v>237558</v>
      </c>
      <c r="AY132" s="66">
        <f t="shared" si="95"/>
        <v>269276</v>
      </c>
      <c r="AZ132" s="66">
        <f t="shared" si="95"/>
        <v>327366</v>
      </c>
      <c r="BA132" s="216">
        <f>SUM(AT132:AZ132)</f>
        <v>1445225</v>
      </c>
      <c r="BB132" s="66">
        <v>314482</v>
      </c>
      <c r="BC132" s="66">
        <v>304652</v>
      </c>
      <c r="BD132" s="66">
        <v>305507</v>
      </c>
      <c r="BE132" s="66">
        <v>258982</v>
      </c>
      <c r="BF132" s="66">
        <f t="shared" ref="BF132:BO132" si="96">BF111+BF124</f>
        <v>231756</v>
      </c>
      <c r="BG132" s="66">
        <f t="shared" si="96"/>
        <v>214967</v>
      </c>
      <c r="BH132" s="66">
        <f t="shared" si="96"/>
        <v>0</v>
      </c>
      <c r="BI132" s="66">
        <f t="shared" si="96"/>
        <v>0</v>
      </c>
      <c r="BJ132" s="66">
        <f t="shared" si="96"/>
        <v>0</v>
      </c>
      <c r="BK132" s="66">
        <f t="shared" si="96"/>
        <v>0</v>
      </c>
      <c r="BL132" s="66">
        <f t="shared" si="96"/>
        <v>0</v>
      </c>
      <c r="BM132" s="66">
        <f t="shared" si="96"/>
        <v>0</v>
      </c>
      <c r="BN132" s="216">
        <f t="shared" si="96"/>
        <v>1731606</v>
      </c>
      <c r="BO132" s="185">
        <f t="shared" si="96"/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44" priority="5" operator="lessThan">
      <formula>0</formula>
    </cfRule>
  </conditionalFormatting>
  <conditionalFormatting sqref="BN58">
    <cfRule type="cellIs" dxfId="43" priority="4" operator="lessThan">
      <formula>0</formula>
    </cfRule>
  </conditionalFormatting>
  <conditionalFormatting sqref="BN78">
    <cfRule type="cellIs" dxfId="42" priority="3" operator="lessThan">
      <formula>0</formula>
    </cfRule>
  </conditionalFormatting>
  <conditionalFormatting sqref="BN62">
    <cfRule type="cellIs" dxfId="41" priority="2" operator="lessThan">
      <formula>0</formula>
    </cfRule>
  </conditionalFormatting>
  <conditionalFormatting sqref="BN19">
    <cfRule type="cellIs" dxfId="40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S133"/>
  <sheetViews>
    <sheetView zoomScale="80" zoomScaleNormal="80" workbookViewId="0">
      <selection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7" width="13.5703125" hidden="1" customWidth="1" outlineLevel="1"/>
    <col min="8" max="8" width="13.140625" hidden="1" customWidth="1" outlineLevel="1"/>
    <col min="9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1" width="34.85546875" hidden="1" customWidth="1" outlineLevel="1"/>
    <col min="42" max="42" width="10.5703125" hidden="1" customWidth="1" outlineLevel="1"/>
    <col min="43" max="43" width="8.7109375" hidden="1" customWidth="1" outlineLevel="1"/>
    <col min="44" max="44" width="6.7109375" hidden="1" customWidth="1" outlineLevel="1"/>
    <col min="45" max="46" width="6.5703125" hidden="1" customWidth="1" outlineLevel="1"/>
    <col min="47" max="47" width="6" hidden="1" customWidth="1" outlineLevel="1"/>
    <col min="48" max="48" width="8.7109375" hidden="1" customWidth="1" outlineLevel="1"/>
    <col min="49" max="49" width="12.28515625" hidden="1" customWidth="1" outlineLevel="1"/>
    <col min="50" max="50" width="9.5703125" hidden="1" customWidth="1" outlineLevel="1"/>
    <col min="51" max="51" width="12" hidden="1" customWidth="1" outlineLevel="1"/>
    <col min="52" max="52" width="11.7109375" hidden="1" customWidth="1" outlineLevel="1"/>
    <col min="53" max="53" width="19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9.7109375" style="3" bestFit="1" customWidth="1" collapsed="1"/>
    <col min="67" max="67" width="13.5703125" customWidth="1"/>
    <col min="69" max="69" width="11.5703125" bestFit="1" customWidth="1"/>
  </cols>
  <sheetData>
    <row r="1" spans="1:68">
      <c r="A1" s="198" t="s">
        <v>0</v>
      </c>
    </row>
    <row r="2" spans="1:68" ht="15" thickBot="1">
      <c r="A2" s="198" t="s">
        <v>204</v>
      </c>
      <c r="AS2" s="37"/>
      <c r="BF2" s="37" t="s">
        <v>205</v>
      </c>
      <c r="BO2" s="134"/>
    </row>
    <row r="3" spans="1:68" ht="15" thickBot="1">
      <c r="A3" s="198" t="s">
        <v>231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8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8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18" t="s">
        <v>36</v>
      </c>
      <c r="AP5" s="519" t="s">
        <v>37</v>
      </c>
      <c r="AQ5" s="519" t="s">
        <v>38</v>
      </c>
      <c r="AR5" s="519" t="s">
        <v>39</v>
      </c>
      <c r="AS5" s="519" t="s">
        <v>40</v>
      </c>
      <c r="AT5" s="519" t="s">
        <v>41</v>
      </c>
      <c r="AU5" s="519" t="s">
        <v>42</v>
      </c>
      <c r="AV5" s="519" t="s">
        <v>43</v>
      </c>
      <c r="AW5" s="519" t="s">
        <v>44</v>
      </c>
      <c r="AX5" s="519" t="s">
        <v>45</v>
      </c>
      <c r="AY5" s="519" t="s">
        <v>46</v>
      </c>
      <c r="AZ5" s="519" t="s">
        <v>47</v>
      </c>
      <c r="BA5" s="531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8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8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48"/>
      <c r="AP7" s="149"/>
      <c r="AQ7" s="149"/>
      <c r="AR7" s="149"/>
      <c r="AS7" s="149"/>
      <c r="AT7" s="107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8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8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8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8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8" ht="15" thickTop="1">
      <c r="A12" s="374" t="s">
        <v>54</v>
      </c>
      <c r="B12" s="84">
        <f>IF('kWh_Streetlight Data'!C194=0,"",'kWh_Streetlight Data'!C194)</f>
        <v>1947.5344827586207</v>
      </c>
      <c r="C12" s="108">
        <f>IF('kWh_Streetlight Data'!D194=0,"",'kWh_Streetlight Data'!D194)</f>
        <v>1892.0086206896551</v>
      </c>
      <c r="D12" s="108">
        <f>IF('kWh_Streetlight Data'!E194=0,"",'kWh_Streetlight Data'!E194)</f>
        <v>1563.4117647058824</v>
      </c>
      <c r="E12" s="108">
        <f>IF('kWh_Streetlight Data'!F194=0,"",'kWh_Streetlight Data'!F194)</f>
        <v>1743.9557522123894</v>
      </c>
      <c r="F12" s="108">
        <f>IF('kWh_Streetlight Data'!G194=0,"",'kWh_Streetlight Data'!G194)</f>
        <v>1539.2105263157894</v>
      </c>
      <c r="G12" s="108">
        <f>IF('kWh_Streetlight Data'!H194=0,"",'kWh_Streetlight Data'!H194)</f>
        <v>934.95614035087715</v>
      </c>
      <c r="H12" s="108">
        <f>IF('kWh_Streetlight Data'!I194=0,"",'kWh_Streetlight Data'!I194)</f>
        <v>966.6194690265487</v>
      </c>
      <c r="I12" s="108">
        <f>IF('kWh_Streetlight Data'!J194=0,"",'kWh_Streetlight Data'!J194)</f>
        <v>957.86725663716811</v>
      </c>
      <c r="J12" s="108">
        <f>IF('kWh_Streetlight Data'!K194=0,"",'kWh_Streetlight Data'!K194)</f>
        <v>847.38260869565215</v>
      </c>
      <c r="K12" s="108">
        <f>IF('kWh_Streetlight Data'!L194=0,"",'kWh_Streetlight Data'!L194)</f>
        <v>1299.655172413793</v>
      </c>
      <c r="L12" s="108">
        <f>IF('kWh_Streetlight Data'!M194=0,"",'kWh_Streetlight Data'!M194)</f>
        <v>1107.4655172413793</v>
      </c>
      <c r="M12" s="108">
        <f>IF('kWh_Streetlight Data'!N194=0,"",'kWh_Streetlight Data'!N194)</f>
        <v>1599.7672413793102</v>
      </c>
      <c r="N12" s="424">
        <f>IF('kWh_Streetlight Data'!O194=0,"",'kWh_Streetlight Data'!O194)</f>
        <v>1368.7690079652425</v>
      </c>
      <c r="O12" s="84">
        <f>IF('kWh_Streetlight Data'!P194=0,"",'kWh_Streetlight Data'!P194)</f>
        <v>2050.8706896551726</v>
      </c>
      <c r="P12" s="108">
        <f>IF('kWh_Streetlight Data'!Q194=0,"",'kWh_Streetlight Data'!Q194)</f>
        <v>1896.9756097560976</v>
      </c>
      <c r="Q12" s="108">
        <f>IF('kWh_Streetlight Data'!R194=0,"",'kWh_Streetlight Data'!R194)</f>
        <v>1891.8559322033898</v>
      </c>
      <c r="R12" s="108">
        <f>IF('kWh_Streetlight Data'!S194=0,"",'kWh_Streetlight Data'!S194)</f>
        <v>1571.6147540983607</v>
      </c>
      <c r="S12" s="108">
        <f>IF('kWh_Streetlight Data'!T194=0,"",'kWh_Streetlight Data'!T194)</f>
        <v>1521.8376068376069</v>
      </c>
      <c r="T12" s="108">
        <f>IF('kWh_Streetlight Data'!U194=0,"",'kWh_Streetlight Data'!U194)</f>
        <v>1190.542372881356</v>
      </c>
      <c r="U12" s="108">
        <f>IF('kWh_Streetlight Data'!V194=0,"",'kWh_Streetlight Data'!V194)</f>
        <v>739.89655172413791</v>
      </c>
      <c r="V12" s="108">
        <f>IF('kWh_Streetlight Data'!W194=0,"",'kWh_Streetlight Data'!W194)</f>
        <v>813.65</v>
      </c>
      <c r="W12" s="108">
        <f>IF('kWh_Streetlight Data'!X194=0,"",'kWh_Streetlight Data'!X194)</f>
        <v>761.41880341880346</v>
      </c>
      <c r="X12" s="108">
        <f>IF('kWh_Streetlight Data'!Y194=0,"",'kWh_Streetlight Data'!Y194)</f>
        <v>981.18965517241384</v>
      </c>
      <c r="Y12" s="108">
        <f>IF('kWh_Streetlight Data'!Z194=0,"",'kWh_Streetlight Data'!Z194)</f>
        <v>1304.7166666666667</v>
      </c>
      <c r="Z12" s="108">
        <f>IF('kWh_Streetlight Data'!AA194=0,"",'kWh_Streetlight Data'!AA194)</f>
        <v>1646.175</v>
      </c>
      <c r="AA12" s="424">
        <f>IF('kWh_Streetlight Data'!AB194=0,"",'kWh_Streetlight Data'!AB194)</f>
        <v>1366.9859451862262</v>
      </c>
      <c r="AB12" s="129">
        <f>IF('kWh_Streetlight Data'!AC194=0,"",'kWh_Streetlight Data'!AC194)</f>
        <v>2352.6</v>
      </c>
      <c r="AC12" s="130">
        <f>IF('kWh_Streetlight Data'!AD194=0,"",'kWh_Streetlight Data'!AD194)</f>
        <v>1798.388429752066</v>
      </c>
      <c r="AD12" s="130">
        <f>IF('kWh_Streetlight Data'!AE194=0,"",'kWh_Streetlight Data'!AE194)</f>
        <v>2229.0487804878048</v>
      </c>
      <c r="AE12" s="130">
        <f>IF('kWh_Streetlight Data'!AF194=0,"",'kWh_Streetlight Data'!AF194)</f>
        <v>1759.7983193277312</v>
      </c>
      <c r="AF12" s="130">
        <f>IF('kWh_Streetlight Data'!AG194=0,"",'kWh_Streetlight Data'!AG194)</f>
        <v>1627.90756302521</v>
      </c>
      <c r="AG12" s="130">
        <f>IF('kWh_Streetlight Data'!AH194=0,"",'kWh_Streetlight Data'!AH194)</f>
        <v>1115.9083333333333</v>
      </c>
      <c r="AH12" s="130">
        <f>IF('kWh_Streetlight Data'!AI194=0,"",'kWh_Streetlight Data'!AI194)</f>
        <v>1046.6610169491526</v>
      </c>
      <c r="AI12" s="130">
        <f>IF('kWh_Streetlight Data'!AJ194=0,"",'kWh_Streetlight Data'!AJ194)</f>
        <v>1144.0588235294117</v>
      </c>
      <c r="AJ12" s="130">
        <f>IF('kWh_Streetlight Data'!AK194=0,"",'kWh_Streetlight Data'!AK194)</f>
        <v>542.2066115702479</v>
      </c>
      <c r="AK12" s="130">
        <f>IF('kWh_Streetlight Data'!AL194=0,"",'kWh_Streetlight Data'!AL194)</f>
        <v>1179.6942148760331</v>
      </c>
      <c r="AL12" s="130">
        <f>IF('kWh_Streetlight Data'!AM194=0,"",'kWh_Streetlight Data'!AM194)</f>
        <v>1443.1166666666666</v>
      </c>
      <c r="AM12" s="130">
        <f>IF('kWh_Streetlight Data'!AN194=0,"",'kWh_Streetlight Data'!AN194)</f>
        <v>1593.9166666666667</v>
      </c>
      <c r="AN12" s="426">
        <f>IF('kWh_Streetlight Data'!AO194=0,"",'kWh_Streetlight Data'!AO194)</f>
        <v>1487.5634975711312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8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 t="s">
        <v>2</v>
      </c>
      <c r="BL13" s="39" t="s">
        <v>2</v>
      </c>
      <c r="BM13" s="39" t="s">
        <v>2</v>
      </c>
      <c r="BN13" s="210"/>
      <c r="BO13" s="142"/>
    </row>
    <row r="14" spans="1:68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8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48"/>
      <c r="AP15" s="149"/>
      <c r="AQ15" s="149"/>
      <c r="AR15" s="149"/>
      <c r="AS15" s="149"/>
      <c r="AT15" s="107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>
        <f>Customers!L244</f>
        <v>131</v>
      </c>
    </row>
    <row r="16" spans="1:68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9"/>
      <c r="BJ16" s="39"/>
      <c r="BK16" s="38"/>
      <c r="BL16" s="38"/>
      <c r="BM16" s="38"/>
      <c r="BN16" s="210"/>
      <c r="BO16" s="143">
        <f>ROUND(BO$19*'kWh Blocks by Rate Category'!W15,0)</f>
        <v>788639</v>
      </c>
      <c r="BP16" t="s">
        <v>2</v>
      </c>
    </row>
    <row r="17" spans="1:71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9"/>
      <c r="BJ17" s="39"/>
      <c r="BK17" s="38"/>
      <c r="BL17" s="38"/>
      <c r="BM17" s="38"/>
      <c r="BN17" s="210"/>
      <c r="BO17" s="143">
        <f>ROUND(BO$19*'kWh Blocks by Rate Category'!W16,0)</f>
        <v>420226</v>
      </c>
    </row>
    <row r="18" spans="1:71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9"/>
      <c r="BJ18" s="39"/>
      <c r="BK18" s="38"/>
      <c r="BL18" s="38"/>
      <c r="BM18" s="38"/>
      <c r="BN18" s="210"/>
      <c r="BO18" s="143">
        <f>ROUND(BO$19*'kWh Blocks by Rate Category'!W17,0)</f>
        <v>80128</v>
      </c>
      <c r="BR18" t="s">
        <v>232</v>
      </c>
    </row>
    <row r="19" spans="1:71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88">
        <f>IFERROR(ROUND(BO20*BO15/12*BR19,0),0)</f>
        <v>1288993</v>
      </c>
      <c r="BR19">
        <v>7</v>
      </c>
      <c r="BS19" t="s">
        <v>233</v>
      </c>
    </row>
    <row r="20" spans="1:71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Wapekeka!BO20</f>
        <v>16867.951219512197</v>
      </c>
    </row>
    <row r="21" spans="1:71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1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71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71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71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71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1" ht="15" thickTop="1">
      <c r="A27" s="374" t="s">
        <v>54</v>
      </c>
      <c r="B27" s="84" t="str">
        <f>IF('kWh_Streetlight Data'!C195=0,"",'kWh_Streetlight Data'!C195)</f>
        <v/>
      </c>
      <c r="C27" s="108" t="str">
        <f>IF('kWh_Streetlight Data'!D195=0,"",'kWh_Streetlight Data'!D195)</f>
        <v/>
      </c>
      <c r="D27" s="108" t="str">
        <f>IF('kWh_Streetlight Data'!E195=0,"",'kWh_Streetlight Data'!E195)</f>
        <v/>
      </c>
      <c r="E27" s="108" t="str">
        <f>IF('kWh_Streetlight Data'!F195=0,"",'kWh_Streetlight Data'!F195)</f>
        <v/>
      </c>
      <c r="F27" s="108" t="str">
        <f>IF('kWh_Streetlight Data'!G195=0,"",'kWh_Streetlight Data'!G195)</f>
        <v/>
      </c>
      <c r="G27" s="108" t="str">
        <f>IF('kWh_Streetlight Data'!H195=0,"",'kWh_Streetlight Data'!H195)</f>
        <v/>
      </c>
      <c r="H27" s="108" t="str">
        <f>IF('kWh_Streetlight Data'!I195=0,"",'kWh_Streetlight Data'!I195)</f>
        <v/>
      </c>
      <c r="I27" s="108" t="str">
        <f>IF('kWh_Streetlight Data'!J195=0,"",'kWh_Streetlight Data'!J195)</f>
        <v/>
      </c>
      <c r="J27" s="108" t="str">
        <f>IF('kWh_Streetlight Data'!K195=0,"",'kWh_Streetlight Data'!K195)</f>
        <v/>
      </c>
      <c r="K27" s="108" t="str">
        <f>IF('kWh_Streetlight Data'!L195=0,"",'kWh_Streetlight Data'!L195)</f>
        <v/>
      </c>
      <c r="L27" s="108" t="str">
        <f>IF('kWh_Streetlight Data'!M195=0,"",'kWh_Streetlight Data'!M195)</f>
        <v/>
      </c>
      <c r="M27" s="108" t="str">
        <f>IF('kWh_Streetlight Data'!N195=0,"",'kWh_Streetlight Data'!N195)</f>
        <v/>
      </c>
      <c r="N27" s="424" t="str">
        <f>IF('kWh_Streetlight Data'!O195=0,"",'kWh_Streetlight Data'!O195)</f>
        <v/>
      </c>
      <c r="O27" s="84" t="str">
        <f>IF('kWh_Streetlight Data'!P195=0,"",'kWh_Streetlight Data'!P195)</f>
        <v/>
      </c>
      <c r="P27" s="108" t="str">
        <f>IF('kWh_Streetlight Data'!Q195=0,"",'kWh_Streetlight Data'!Q195)</f>
        <v/>
      </c>
      <c r="Q27" s="108" t="str">
        <f>IF('kWh_Streetlight Data'!R195=0,"",'kWh_Streetlight Data'!R195)</f>
        <v/>
      </c>
      <c r="R27" s="108" t="str">
        <f>IF('kWh_Streetlight Data'!S195=0,"",'kWh_Streetlight Data'!S195)</f>
        <v/>
      </c>
      <c r="S27" s="108" t="str">
        <f>IF('kWh_Streetlight Data'!T195=0,"",'kWh_Streetlight Data'!T195)</f>
        <v/>
      </c>
      <c r="T27" s="108" t="str">
        <f>IF('kWh_Streetlight Data'!U195=0,"",'kWh_Streetlight Data'!U195)</f>
        <v/>
      </c>
      <c r="U27" s="108" t="str">
        <f>IF('kWh_Streetlight Data'!V195=0,"",'kWh_Streetlight Data'!V195)</f>
        <v/>
      </c>
      <c r="V27" s="108" t="str">
        <f>IF('kWh_Streetlight Data'!W195=0,"",'kWh_Streetlight Data'!W195)</f>
        <v/>
      </c>
      <c r="W27" s="108" t="str">
        <f>IF('kWh_Streetlight Data'!X195=0,"",'kWh_Streetlight Data'!X195)</f>
        <v/>
      </c>
      <c r="X27" s="108" t="str">
        <f>IF('kWh_Streetlight Data'!Y195=0,"",'kWh_Streetlight Data'!Y195)</f>
        <v/>
      </c>
      <c r="Y27" s="108" t="str">
        <f>IF('kWh_Streetlight Data'!Z195=0,"",'kWh_Streetlight Data'!Z195)</f>
        <v/>
      </c>
      <c r="Z27" s="108" t="str">
        <f>IF('kWh_Streetlight Data'!AA195=0,"",'kWh_Streetlight Data'!AA195)</f>
        <v/>
      </c>
      <c r="AA27" s="424" t="str">
        <f>IF('kWh_Streetlight Data'!AB195=0,"",'kWh_Streetlight Data'!AB195)</f>
        <v/>
      </c>
      <c r="AB27" s="129" t="str">
        <f>IF('kWh_Streetlight Data'!AC195=0,"",'kWh_Streetlight Data'!AC195)</f>
        <v/>
      </c>
      <c r="AC27" s="130" t="str">
        <f>IF('kWh_Streetlight Data'!AD195=0,"",'kWh_Streetlight Data'!AD195)</f>
        <v/>
      </c>
      <c r="AD27" s="130" t="str">
        <f>IF('kWh_Streetlight Data'!AE195=0,"",'kWh_Streetlight Data'!AE195)</f>
        <v/>
      </c>
      <c r="AE27" s="130" t="str">
        <f>IF('kWh_Streetlight Data'!AF195=0,"",'kWh_Streetlight Data'!AF195)</f>
        <v/>
      </c>
      <c r="AF27" s="130" t="str">
        <f>IF('kWh_Streetlight Data'!AG195=0,"",'kWh_Streetlight Data'!AG195)</f>
        <v/>
      </c>
      <c r="AG27" s="130" t="str">
        <f>IF('kWh_Streetlight Data'!AH195=0,"",'kWh_Streetlight Data'!AH195)</f>
        <v/>
      </c>
      <c r="AH27" s="108" t="str">
        <f>IF('kWh_Streetlight Data'!AI195=0,"",'kWh_Streetlight Data'!AI195)</f>
        <v/>
      </c>
      <c r="AI27" s="108" t="str">
        <f>IF('kWh_Streetlight Data'!AJ195=0,"",'kWh_Streetlight Data'!AJ195)</f>
        <v/>
      </c>
      <c r="AJ27" s="108" t="str">
        <f>IF('kWh_Streetlight Data'!AK195=0,"",'kWh_Streetlight Data'!AK195)</f>
        <v/>
      </c>
      <c r="AK27" s="108" t="str">
        <f>IF('kWh_Streetlight Data'!AL195=0,"",'kWh_Streetlight Data'!AL195)</f>
        <v/>
      </c>
      <c r="AL27" s="108" t="str">
        <f>IF('kWh_Streetlight Data'!AM195=0,"",'kWh_Streetlight Data'!AM195)</f>
        <v/>
      </c>
      <c r="AM27" s="108" t="str">
        <f>IF('kWh_Streetlight Data'!AN195=0,"",'kWh_Streetlight Data'!AN195)</f>
        <v/>
      </c>
      <c r="AN27" s="426" t="str">
        <f>IF('kWh_Streetlight Data'!AO195=0,"",'kWh_Streetlight Data'!AO195)</f>
        <v/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71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1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71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71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71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>
        <f>IF('kWh_Streetlight Data'!C196=0,"",'kWh_Streetlight Data'!C196)</f>
        <v>2265.5</v>
      </c>
      <c r="C34" s="108">
        <f>IF('kWh_Streetlight Data'!D196=0,"",'kWh_Streetlight Data'!D196)</f>
        <v>2308</v>
      </c>
      <c r="D34" s="108">
        <f>IF('kWh_Streetlight Data'!E196=0,"",'kWh_Streetlight Data'!E196)</f>
        <v>2159.5</v>
      </c>
      <c r="E34" s="108">
        <f>IF('kWh_Streetlight Data'!F196=0,"",'kWh_Streetlight Data'!F196)</f>
        <v>1884.125</v>
      </c>
      <c r="F34" s="108">
        <f>IF('kWh_Streetlight Data'!G196=0,"",'kWh_Streetlight Data'!G196)</f>
        <v>1625.25</v>
      </c>
      <c r="G34" s="108">
        <f>IF('kWh_Streetlight Data'!H196=0,"",'kWh_Streetlight Data'!H196)</f>
        <v>672.125</v>
      </c>
      <c r="H34" s="108">
        <f>IF('kWh_Streetlight Data'!I196=0,"",'kWh_Streetlight Data'!I196)</f>
        <v>938.875</v>
      </c>
      <c r="I34" s="108">
        <f>IF('kWh_Streetlight Data'!J196=0,"",'kWh_Streetlight Data'!J196)</f>
        <v>1126.875</v>
      </c>
      <c r="J34" s="108">
        <f>IF('kWh_Streetlight Data'!K196=0,"",'kWh_Streetlight Data'!K196)</f>
        <v>732.11111111111109</v>
      </c>
      <c r="K34" s="108">
        <f>IF('kWh_Streetlight Data'!L196=0,"",'kWh_Streetlight Data'!L196)</f>
        <v>823.11111111111109</v>
      </c>
      <c r="L34" s="108">
        <f>IF('kWh_Streetlight Data'!M196=0,"",'kWh_Streetlight Data'!M196)</f>
        <v>787.5</v>
      </c>
      <c r="M34" s="108">
        <f>IF('kWh_Streetlight Data'!N196=0,"",'kWh_Streetlight Data'!N196)</f>
        <v>1161.7777777777778</v>
      </c>
      <c r="N34" s="424">
        <f>IF('kWh_Streetlight Data'!O196=0,"",'kWh_Streetlight Data'!O196)</f>
        <v>1359.5454545454545</v>
      </c>
      <c r="O34" s="84">
        <f>IF('kWh_Streetlight Data'!P196=0,"",'kWh_Streetlight Data'!P196)</f>
        <v>1807</v>
      </c>
      <c r="P34" s="108">
        <f>IF('kWh_Streetlight Data'!Q196=0,"",'kWh_Streetlight Data'!Q196)</f>
        <v>1549.8</v>
      </c>
      <c r="Q34" s="108">
        <f>IF('kWh_Streetlight Data'!R196=0,"",'kWh_Streetlight Data'!R196)</f>
        <v>1755</v>
      </c>
      <c r="R34" s="108">
        <f>IF('kWh_Streetlight Data'!S196=0,"",'kWh_Streetlight Data'!S196)</f>
        <v>1179.3333333333333</v>
      </c>
      <c r="S34" s="108">
        <f>IF('kWh_Streetlight Data'!T196=0,"",'kWh_Streetlight Data'!T196)</f>
        <v>1192.5</v>
      </c>
      <c r="T34" s="108">
        <f>IF('kWh_Streetlight Data'!U196=0,"",'kWh_Streetlight Data'!U196)</f>
        <v>693.22222222222217</v>
      </c>
      <c r="U34" s="108">
        <f>IF('kWh_Streetlight Data'!V196=0,"",'kWh_Streetlight Data'!V196)</f>
        <v>566.66666666666663</v>
      </c>
      <c r="V34" s="108">
        <f>IF('kWh_Streetlight Data'!W196=0,"",'kWh_Streetlight Data'!W196)</f>
        <v>851.3</v>
      </c>
      <c r="W34" s="108">
        <f>IF('kWh_Streetlight Data'!X196=0,"",'kWh_Streetlight Data'!X196)</f>
        <v>544</v>
      </c>
      <c r="X34" s="108">
        <f>IF('kWh_Streetlight Data'!Y196=0,"",'kWh_Streetlight Data'!Y196)</f>
        <v>701.9</v>
      </c>
      <c r="Y34" s="108">
        <f>IF('kWh_Streetlight Data'!Z196=0,"",'kWh_Streetlight Data'!Z196)</f>
        <v>1334.3</v>
      </c>
      <c r="Z34" s="108">
        <f>IF('kWh_Streetlight Data'!AA196=0,"",'kWh_Streetlight Data'!AA196)</f>
        <v>1480.8</v>
      </c>
      <c r="AA34" s="424">
        <f>IF('kWh_Streetlight Data'!AB196=0,"",'kWh_Streetlight Data'!AB196)</f>
        <v>1140.1666666666667</v>
      </c>
      <c r="AB34" s="129">
        <f>IF('kWh_Streetlight Data'!AC196=0,"",'kWh_Streetlight Data'!AC196)</f>
        <v>2216.1</v>
      </c>
      <c r="AC34" s="130">
        <f>IF('kWh_Streetlight Data'!AD196=0,"",'kWh_Streetlight Data'!AD196)</f>
        <v>1593.2</v>
      </c>
      <c r="AD34" s="130">
        <f>IF('kWh_Streetlight Data'!AE196=0,"",'kWh_Streetlight Data'!AE196)</f>
        <v>2196.1999999999998</v>
      </c>
      <c r="AE34" s="130">
        <f>IF('kWh_Streetlight Data'!AF196=0,"",'kWh_Streetlight Data'!AF196)</f>
        <v>1789</v>
      </c>
      <c r="AF34" s="130">
        <f>IF('kWh_Streetlight Data'!AG196=0,"",'kWh_Streetlight Data'!AG196)</f>
        <v>3252.8888888888887</v>
      </c>
      <c r="AG34" s="130">
        <f>IF('kWh_Streetlight Data'!AH196=0,"",'kWh_Streetlight Data'!AH196)</f>
        <v>2210.4</v>
      </c>
      <c r="AH34" s="130">
        <f>IF('kWh_Streetlight Data'!AI196=0,"",'kWh_Streetlight Data'!AI196)</f>
        <v>8903.6</v>
      </c>
      <c r="AI34" s="130">
        <f>IF('kWh_Streetlight Data'!AJ196=0,"",'kWh_Streetlight Data'!AJ196)</f>
        <v>1177.3</v>
      </c>
      <c r="AJ34" s="130">
        <f>IF('kWh_Streetlight Data'!AK196=0,"",'kWh_Streetlight Data'!AK196)</f>
        <v>653.20000000000005</v>
      </c>
      <c r="AK34" s="130">
        <f>IF('kWh_Streetlight Data'!AL196=0,"",'kWh_Streetlight Data'!AL196)</f>
        <v>1062.2</v>
      </c>
      <c r="AL34" s="130">
        <f>IF('kWh_Streetlight Data'!AM196=0,"",'kWh_Streetlight Data'!AM196)</f>
        <v>1314.8</v>
      </c>
      <c r="AM34" s="130">
        <f>IF('kWh_Streetlight Data'!AN196=0,"",'kWh_Streetlight Data'!AN196)</f>
        <v>1489.7</v>
      </c>
      <c r="AN34" s="426">
        <f>IF('kWh_Streetlight Data'!AO196=0,"",'kWh_Streetlight Data'!AO196)</f>
        <v>2313.7226890756301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48"/>
      <c r="AP36" s="149"/>
      <c r="AQ36" s="149"/>
      <c r="AR36" s="149"/>
      <c r="AS36" s="149"/>
      <c r="AT36" s="107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>
        <f>Customers!L245</f>
        <v>10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9"/>
      <c r="BJ37" s="39"/>
      <c r="BK37" s="38"/>
      <c r="BL37" s="38"/>
      <c r="BM37" s="38"/>
      <c r="BN37" s="210"/>
      <c r="BO37" s="143">
        <f>ROUND(BO$40*'kWh Blocks by Rate Category'!W36,0)</f>
        <v>102970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9"/>
      <c r="BJ38" s="39"/>
      <c r="BK38" s="38"/>
      <c r="BL38" s="38"/>
      <c r="BM38" s="38"/>
      <c r="BN38" s="210"/>
      <c r="BO38" s="143">
        <f>ROUND(BO$40*'kWh Blocks by Rate Category'!W37,0)</f>
        <v>9805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9"/>
      <c r="BJ39" s="39"/>
      <c r="BK39" s="38"/>
      <c r="BL39" s="38"/>
      <c r="BM39" s="38"/>
      <c r="BN39" s="210"/>
      <c r="BO39" s="143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88">
        <f>IFERROR(ROUND(BO41*BO36/12*$BR$19,0),0)</f>
        <v>112775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Wapekeka!BO41</f>
        <v>19332.900000000001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243"/>
      <c r="AD44" s="243"/>
      <c r="AE44" s="243"/>
      <c r="AF44" s="243"/>
      <c r="AG44" s="243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>
        <f>IF('kWh_Streetlight Data'!C197=0,"",'kWh_Streetlight Data'!C197)</f>
        <v>11000</v>
      </c>
      <c r="C48" s="130">
        <f>IF('kWh_Streetlight Data'!D197=0,"",'kWh_Streetlight Data'!D197)</f>
        <v>11800</v>
      </c>
      <c r="D48" s="130">
        <f>IF('kWh_Streetlight Data'!E197=0,"",'kWh_Streetlight Data'!E197)</f>
        <v>12120</v>
      </c>
      <c r="E48" s="130">
        <f>IF('kWh_Streetlight Data'!F197=0,"",'kWh_Streetlight Data'!F197)</f>
        <v>9200</v>
      </c>
      <c r="F48" s="130">
        <f>IF('kWh_Streetlight Data'!G197=0,"",'kWh_Streetlight Data'!G197)</f>
        <v>9080</v>
      </c>
      <c r="G48" s="130">
        <f>IF('kWh_Streetlight Data'!H197=0,"",'kWh_Streetlight Data'!H197)</f>
        <v>6840</v>
      </c>
      <c r="H48" s="130">
        <f>IF('kWh_Streetlight Data'!I197=0,"",'kWh_Streetlight Data'!I197)</f>
        <v>9360</v>
      </c>
      <c r="I48" s="130">
        <f>IF('kWh_Streetlight Data'!J197=0,"",'kWh_Streetlight Data'!J197)</f>
        <v>9040</v>
      </c>
      <c r="J48" s="130">
        <f>IF('kWh_Streetlight Data'!K197=0,"",'kWh_Streetlight Data'!K197)</f>
        <v>7840</v>
      </c>
      <c r="K48" s="130">
        <f>IF('kWh_Streetlight Data'!L197=0,"",'kWh_Streetlight Data'!L197)</f>
        <v>9200</v>
      </c>
      <c r="L48" s="130">
        <f>IF('kWh_Streetlight Data'!M197=0,"",'kWh_Streetlight Data'!M197)</f>
        <v>7200</v>
      </c>
      <c r="M48" s="130">
        <f>IF('kWh_Streetlight Data'!N197=0,"",'kWh_Streetlight Data'!N197)</f>
        <v>8640</v>
      </c>
      <c r="N48" s="424">
        <f>IF('kWh_Streetlight Data'!O197=0,"",'kWh_Streetlight Data'!O197)</f>
        <v>9276.6666666666661</v>
      </c>
      <c r="O48" s="129">
        <f>IF('kWh_Streetlight Data'!P197=0,"",'kWh_Streetlight Data'!P197)</f>
        <v>10640</v>
      </c>
      <c r="P48" s="130">
        <f>IF('kWh_Streetlight Data'!Q197=0,"",'kWh_Streetlight Data'!Q197)</f>
        <v>13600</v>
      </c>
      <c r="Q48" s="130">
        <f>IF('kWh_Streetlight Data'!R197=0,"",'kWh_Streetlight Data'!R197)</f>
        <v>10680</v>
      </c>
      <c r="R48" s="130">
        <f>IF('kWh_Streetlight Data'!S197=0,"",'kWh_Streetlight Data'!S197)</f>
        <v>8880</v>
      </c>
      <c r="S48" s="130">
        <f>IF('kWh_Streetlight Data'!T197=0,"",'kWh_Streetlight Data'!T197)</f>
        <v>9600</v>
      </c>
      <c r="T48" s="130">
        <f>IF('kWh_Streetlight Data'!U197=0,"",'kWh_Streetlight Data'!U197)</f>
        <v>9400</v>
      </c>
      <c r="U48" s="130">
        <f>IF('kWh_Streetlight Data'!V197=0,"",'kWh_Streetlight Data'!V197)</f>
        <v>7200</v>
      </c>
      <c r="V48" s="130">
        <f>IF('kWh_Streetlight Data'!W197=0,"",'kWh_Streetlight Data'!W197)</f>
        <v>8160</v>
      </c>
      <c r="W48" s="130">
        <f>IF('kWh_Streetlight Data'!X197=0,"",'kWh_Streetlight Data'!X197)</f>
        <v>6600</v>
      </c>
      <c r="X48" s="130">
        <f>IF('kWh_Streetlight Data'!Y197=0,"",'kWh_Streetlight Data'!Y197)</f>
        <v>7160</v>
      </c>
      <c r="Y48" s="130">
        <f>IF('kWh_Streetlight Data'!Z197=0,"",'kWh_Streetlight Data'!Z197)</f>
        <v>7880</v>
      </c>
      <c r="Z48" s="130">
        <f>IF('kWh_Streetlight Data'!AA197=0,"",'kWh_Streetlight Data'!AA197)</f>
        <v>6880</v>
      </c>
      <c r="AA48" s="424">
        <f>IF('kWh_Streetlight Data'!AB197=0,"",'kWh_Streetlight Data'!AB197)</f>
        <v>8890</v>
      </c>
      <c r="AB48" s="129">
        <f>IF('kWh_Streetlight Data'!AC197=0,"",'kWh_Streetlight Data'!AC197)</f>
        <v>10160</v>
      </c>
      <c r="AC48" s="130">
        <f>IF('kWh_Streetlight Data'!AD197=0,"",'kWh_Streetlight Data'!AD197)</f>
        <v>9840</v>
      </c>
      <c r="AD48" s="130">
        <f>IF('kWh_Streetlight Data'!AE197=0,"",'kWh_Streetlight Data'!AE197)</f>
        <v>9800</v>
      </c>
      <c r="AE48" s="130">
        <f>IF('kWh_Streetlight Data'!AF197=0,"",'kWh_Streetlight Data'!AF197)</f>
        <v>5960</v>
      </c>
      <c r="AF48" s="130">
        <f>IF('kWh_Streetlight Data'!AG197=0,"",'kWh_Streetlight Data'!AG197)</f>
        <v>9200</v>
      </c>
      <c r="AG48" s="130">
        <f>IF('kWh_Streetlight Data'!AH197=0,"",'kWh_Streetlight Data'!AH197)</f>
        <v>6160</v>
      </c>
      <c r="AH48" s="130">
        <f>IF('kWh_Streetlight Data'!AI197=0,"",'kWh_Streetlight Data'!AI197)</f>
        <v>6800</v>
      </c>
      <c r="AI48" s="130">
        <f>IF('kWh_Streetlight Data'!AJ197=0,"",'kWh_Streetlight Data'!AJ197)</f>
        <v>8280</v>
      </c>
      <c r="AJ48" s="130">
        <f>IF('kWh_Streetlight Data'!AK197=0,"",'kWh_Streetlight Data'!AK197)</f>
        <v>4040</v>
      </c>
      <c r="AK48" s="130">
        <f>IF('kWh_Streetlight Data'!AL197=0,"",'kWh_Streetlight Data'!AL197)</f>
        <v>6240</v>
      </c>
      <c r="AL48" s="130">
        <f>IF('kWh_Streetlight Data'!AM197=0,"",'kWh_Streetlight Data'!AM197)</f>
        <v>5800</v>
      </c>
      <c r="AM48" s="130">
        <f>IF('kWh_Streetlight Data'!AN197=0,"",'kWh_Streetlight Data'!AN197)</f>
        <v>3280</v>
      </c>
      <c r="AN48" s="426">
        <f>IF('kWh_Streetlight Data'!AO197=0,"",'kWh_Streetlight Data'!AO197)</f>
        <v>7130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48"/>
      <c r="AP50" s="149"/>
      <c r="AQ50" s="149"/>
      <c r="AR50" s="149"/>
      <c r="AS50" s="149"/>
      <c r="AT50" s="107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39"/>
      <c r="BJ50" s="39"/>
      <c r="BK50" s="109"/>
      <c r="BL50" s="39"/>
      <c r="BM50" s="39"/>
      <c r="BN50" s="210"/>
      <c r="BO50" s="125">
        <f>Customers!L246</f>
        <v>1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>
        <f>BO54</f>
        <v>59026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>
        <v>0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>
        <v>0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88">
        <f>IFERROR(ROUND(BO55*BO50/12*$BR$19,0),0)</f>
        <v>59026</v>
      </c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>
        <f>Wapekeka!BO55</f>
        <v>101187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113" t="str">
        <f>IF('kWh_Streetlight Data'!C247=0,"",'kWh_Streetlight Data'!C247)</f>
        <v/>
      </c>
      <c r="C58" s="114" t="str">
        <f>IF('kWh_Streetlight Data'!D247=0,"",'kWh_Streetlight Data'!D247)</f>
        <v/>
      </c>
      <c r="D58" s="114" t="str">
        <f>IF('kWh_Streetlight Data'!E247=0,"",'kWh_Streetlight Data'!E247)</f>
        <v/>
      </c>
      <c r="E58" s="114" t="str">
        <f>IF('kWh_Streetlight Data'!F247=0,"",'kWh_Streetlight Data'!F247)</f>
        <v/>
      </c>
      <c r="F58" s="114" t="str">
        <f>IF('kWh_Streetlight Data'!G247=0,"",'kWh_Streetlight Data'!G247)</f>
        <v/>
      </c>
      <c r="G58" s="114" t="str">
        <f>IF('kWh_Streetlight Data'!H247=0,"",'kWh_Streetlight Data'!H247)</f>
        <v/>
      </c>
      <c r="H58" s="114" t="str">
        <f>IF('kWh_Streetlight Data'!I247=0,"",'kWh_Streetlight Data'!I247)</f>
        <v/>
      </c>
      <c r="I58" s="114" t="str">
        <f>IF('kWh_Streetlight Data'!J247=0,"",'kWh_Streetlight Data'!J247)</f>
        <v/>
      </c>
      <c r="J58" s="114" t="str">
        <f>IF('kWh_Streetlight Data'!K247=0,"",'kWh_Streetlight Data'!K247)</f>
        <v/>
      </c>
      <c r="K58" s="114" t="str">
        <f>IF('kWh_Streetlight Data'!L247=0,"",'kWh_Streetlight Data'!L247)</f>
        <v/>
      </c>
      <c r="L58" s="114" t="str">
        <f>IF('kWh_Streetlight Data'!M247=0,"",'kWh_Streetlight Data'!M247)</f>
        <v/>
      </c>
      <c r="M58" s="114" t="str">
        <f>IF('kWh_Streetlight Data'!N247=0,"",'kWh_Streetlight Data'!N247)</f>
        <v/>
      </c>
      <c r="N58" s="459" t="str">
        <f>IF('kWh_Streetlight Data'!O247=0,"",'kWh_Streetlight Data'!O247)</f>
        <v/>
      </c>
      <c r="O58" s="113" t="str">
        <f>IF('kWh_Streetlight Data'!P247=0,"",'kWh_Streetlight Data'!P247)</f>
        <v/>
      </c>
      <c r="P58" s="114" t="str">
        <f>IF('kWh_Streetlight Data'!Q247=0,"",'kWh_Streetlight Data'!Q247)</f>
        <v/>
      </c>
      <c r="Q58" s="114" t="str">
        <f>IF('kWh_Streetlight Data'!R247=0,"",'kWh_Streetlight Data'!R247)</f>
        <v/>
      </c>
      <c r="R58" s="114" t="str">
        <f>IF('kWh_Streetlight Data'!S247=0,"",'kWh_Streetlight Data'!S247)</f>
        <v/>
      </c>
      <c r="S58" s="114" t="str">
        <f>IF('kWh_Streetlight Data'!T247=0,"",'kWh_Streetlight Data'!T247)</f>
        <v/>
      </c>
      <c r="T58" s="114" t="str">
        <f>IF('kWh_Streetlight Data'!U247=0,"",'kWh_Streetlight Data'!U247)</f>
        <v/>
      </c>
      <c r="U58" s="114" t="str">
        <f>IF('kWh_Streetlight Data'!V247=0,"",'kWh_Streetlight Data'!V247)</f>
        <v/>
      </c>
      <c r="V58" s="114" t="str">
        <f>IF('kWh_Streetlight Data'!W247=0,"",'kWh_Streetlight Data'!W247)</f>
        <v/>
      </c>
      <c r="W58" s="114" t="str">
        <f>IF('kWh_Streetlight Data'!X247=0,"",'kWh_Streetlight Data'!X247)</f>
        <v/>
      </c>
      <c r="X58" s="114" t="str">
        <f>IF('kWh_Streetlight Data'!Y247=0,"",'kWh_Streetlight Data'!Y247)</f>
        <v/>
      </c>
      <c r="Y58" s="114" t="str">
        <f>IF('kWh_Streetlight Data'!Z247=0,"",'kWh_Streetlight Data'!Z247)</f>
        <v/>
      </c>
      <c r="Z58" s="114" t="str">
        <f>IF('kWh_Streetlight Data'!AA247=0,"",'kWh_Streetlight Data'!AA247)</f>
        <v/>
      </c>
      <c r="AA58" s="459" t="str">
        <f>IF('kWh_Streetlight Data'!AB247=0,"",'kWh_Streetlight Data'!AB247)</f>
        <v/>
      </c>
      <c r="AB58" s="240" t="str">
        <f>IF('kWh_Streetlight Data'!AC247=0,"",'kWh_Streetlight Data'!AC247)</f>
        <v/>
      </c>
      <c r="AC58" s="117" t="str">
        <f>IF('kWh_Streetlight Data'!AD247=0,"",'kWh_Streetlight Data'!AD247)</f>
        <v/>
      </c>
      <c r="AD58" s="117" t="str">
        <f>IF('kWh_Streetlight Data'!AE247=0,"",'kWh_Streetlight Data'!AE247)</f>
        <v/>
      </c>
      <c r="AE58" s="117" t="str">
        <f>IF('kWh_Streetlight Data'!AF247=0,"",'kWh_Streetlight Data'!AF247)</f>
        <v/>
      </c>
      <c r="AF58" s="117" t="str">
        <f>IF('kWh_Streetlight Data'!AG247=0,"",'kWh_Streetlight Data'!AG247)</f>
        <v/>
      </c>
      <c r="AG58" s="117" t="str">
        <f>IF('kWh_Streetlight Data'!AH247=0,"",'kWh_Streetlight Data'!AH247)</f>
        <v/>
      </c>
      <c r="AH58" s="117" t="str">
        <f>IF('kWh_Streetlight Data'!AI247=0,"",'kWh_Streetlight Data'!AI247)</f>
        <v/>
      </c>
      <c r="AI58" s="117" t="str">
        <f>IF('kWh_Streetlight Data'!AJ247=0,"",'kWh_Streetlight Data'!AJ247)</f>
        <v/>
      </c>
      <c r="AJ58" s="117" t="str">
        <f>IF('kWh_Streetlight Data'!AK247=0,"",'kWh_Streetlight Data'!AK247)</f>
        <v/>
      </c>
      <c r="AK58" s="117" t="str">
        <f>IF('kWh_Streetlight Data'!AL247=0,"",'kWh_Streetlight Data'!AL247)</f>
        <v/>
      </c>
      <c r="AL58" s="117" t="str">
        <f>IF('kWh_Streetlight Data'!AM247=0,"",'kWh_Streetlight Data'!AM247)</f>
        <v/>
      </c>
      <c r="AM58" s="117" t="str">
        <f>IF('kWh_Streetlight Data'!AN247=0,"",'kWh_Streetlight Data'!AN247)</f>
        <v/>
      </c>
      <c r="AN58" s="464" t="str">
        <f>IF('kWh_Streetlight Data'!AO247=0,"",'kWh_Streetlight Data'!AO247)</f>
        <v/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129" t="str">
        <f>IF('kWh_Streetlight Data'!C198=0,"",'kWh_Streetlight Data'!C198)</f>
        <v/>
      </c>
      <c r="C69" s="130" t="str">
        <f>IF('kWh_Streetlight Data'!D198=0,"",'kWh_Streetlight Data'!D198)</f>
        <v/>
      </c>
      <c r="D69" s="130" t="str">
        <f>IF('kWh_Streetlight Data'!E198=0,"",'kWh_Streetlight Data'!E198)</f>
        <v/>
      </c>
      <c r="E69" s="130" t="str">
        <f>IF('kWh_Streetlight Data'!F198=0,"",'kWh_Streetlight Data'!F198)</f>
        <v/>
      </c>
      <c r="F69" s="130" t="str">
        <f>IF('kWh_Streetlight Data'!G198=0,"",'kWh_Streetlight Data'!G198)</f>
        <v/>
      </c>
      <c r="G69" s="130" t="str">
        <f>IF('kWh_Streetlight Data'!H198=0,"",'kWh_Streetlight Data'!H198)</f>
        <v/>
      </c>
      <c r="H69" s="130" t="str">
        <f>IF('kWh_Streetlight Data'!I198=0,"",'kWh_Streetlight Data'!I198)</f>
        <v/>
      </c>
      <c r="I69" s="130" t="str">
        <f>IF('kWh_Streetlight Data'!J198=0,"",'kWh_Streetlight Data'!J198)</f>
        <v/>
      </c>
      <c r="J69" s="130" t="str">
        <f>IF('kWh_Streetlight Data'!K198=0,"",'kWh_Streetlight Data'!K198)</f>
        <v/>
      </c>
      <c r="K69" s="130" t="str">
        <f>IF('kWh_Streetlight Data'!L198=0,"",'kWh_Streetlight Data'!L198)</f>
        <v/>
      </c>
      <c r="L69" s="130" t="str">
        <f>IF('kWh_Streetlight Data'!M198=0,"",'kWh_Streetlight Data'!M198)</f>
        <v/>
      </c>
      <c r="M69" s="130" t="str">
        <f>IF('kWh_Streetlight Data'!N198=0,"",'kWh_Streetlight Data'!N198)</f>
        <v/>
      </c>
      <c r="N69" s="424" t="str">
        <f>IF('kWh_Streetlight Data'!O198=0,"",'kWh_Streetlight Data'!O198)</f>
        <v/>
      </c>
      <c r="O69" s="84" t="str">
        <f>IF('kWh_Streetlight Data'!P198=0,"",'kWh_Streetlight Data'!P198)</f>
        <v/>
      </c>
      <c r="P69" s="108" t="str">
        <f>IF('kWh_Streetlight Data'!Q198=0,"",'kWh_Streetlight Data'!Q198)</f>
        <v/>
      </c>
      <c r="Q69" s="108" t="str">
        <f>IF('kWh_Streetlight Data'!R198=0,"",'kWh_Streetlight Data'!R198)</f>
        <v/>
      </c>
      <c r="R69" s="108" t="str">
        <f>IF('kWh_Streetlight Data'!S198=0,"",'kWh_Streetlight Data'!S198)</f>
        <v/>
      </c>
      <c r="S69" s="108" t="str">
        <f>IF('kWh_Streetlight Data'!T198=0,"",'kWh_Streetlight Data'!T198)</f>
        <v/>
      </c>
      <c r="T69" s="108" t="str">
        <f>IF('kWh_Streetlight Data'!U198=0,"",'kWh_Streetlight Data'!U198)</f>
        <v/>
      </c>
      <c r="U69" s="108" t="str">
        <f>IF('kWh_Streetlight Data'!V198=0,"",'kWh_Streetlight Data'!V198)</f>
        <v/>
      </c>
      <c r="V69" s="108" t="str">
        <f>IF('kWh_Streetlight Data'!W198=0,"",'kWh_Streetlight Data'!W198)</f>
        <v/>
      </c>
      <c r="W69" s="108" t="str">
        <f>IF('kWh_Streetlight Data'!X198=0,"",'kWh_Streetlight Data'!X198)</f>
        <v/>
      </c>
      <c r="X69" s="108" t="str">
        <f>IF('kWh_Streetlight Data'!Y198=0,"",'kWh_Streetlight Data'!Y198)</f>
        <v/>
      </c>
      <c r="Y69" s="108" t="str">
        <f>IF('kWh_Streetlight Data'!Z198=0,"",'kWh_Streetlight Data'!Z198)</f>
        <v/>
      </c>
      <c r="Z69" s="108" t="str">
        <f>IF('kWh_Streetlight Data'!AA198=0,"",'kWh_Streetlight Data'!AA198)</f>
        <v/>
      </c>
      <c r="AA69" s="424" t="str">
        <f>IF('kWh_Streetlight Data'!AB198=0,"",'kWh_Streetlight Data'!AB198)</f>
        <v/>
      </c>
      <c r="AB69" s="84" t="str">
        <f>IF('kWh_Streetlight Data'!AC198=0,"",'kWh_Streetlight Data'!AC198)</f>
        <v/>
      </c>
      <c r="AC69" s="108" t="str">
        <f>IF('kWh_Streetlight Data'!AD198=0,"",'kWh_Streetlight Data'!AD198)</f>
        <v/>
      </c>
      <c r="AD69" s="108" t="str">
        <f>IF('kWh_Streetlight Data'!AE198=0,"",'kWh_Streetlight Data'!AE198)</f>
        <v/>
      </c>
      <c r="AE69" s="108" t="str">
        <f>IF('kWh_Streetlight Data'!AF198=0,"",'kWh_Streetlight Data'!AF198)</f>
        <v/>
      </c>
      <c r="AF69" s="108" t="str">
        <f>IF('kWh_Streetlight Data'!AG198=0,"",'kWh_Streetlight Data'!AG198)</f>
        <v/>
      </c>
      <c r="AG69" s="108" t="str">
        <f>IF('kWh_Streetlight Data'!AH198=0,"",'kWh_Streetlight Data'!AH198)</f>
        <v/>
      </c>
      <c r="AH69" s="130" t="str">
        <f>IF('kWh_Streetlight Data'!AI198=0,"",'kWh_Streetlight Data'!AI198)</f>
        <v/>
      </c>
      <c r="AI69" s="130" t="str">
        <f>IF('kWh_Streetlight Data'!AJ198=0,"",'kWh_Streetlight Data'!AJ198)</f>
        <v/>
      </c>
      <c r="AJ69" s="130" t="str">
        <f>IF('kWh_Streetlight Data'!AK198=0,"",'kWh_Streetlight Data'!AK198)</f>
        <v/>
      </c>
      <c r="AK69" s="130" t="str">
        <f>IF('kWh_Streetlight Data'!AL198=0,"",'kWh_Streetlight Data'!AL198)</f>
        <v/>
      </c>
      <c r="AL69" s="130" t="str">
        <f>IF('kWh_Streetlight Data'!AM198=0,"",'kWh_Streetlight Data'!AM198)</f>
        <v/>
      </c>
      <c r="AM69" s="130" t="str">
        <f>IF('kWh_Streetlight Data'!AN198=0,"",'kWh_Streetlight Data'!AN198)</f>
        <v/>
      </c>
      <c r="AN69" s="424" t="str">
        <f>IF('kWh_Streetlight Data'!AO198=0,"",'kWh_Streetlight Data'!AO198)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84">
        <f>IF('kWh_Streetlight Data'!C199=0,"",'kWh_Streetlight Data'!C199)</f>
        <v>611.20000000000005</v>
      </c>
      <c r="C79" s="108">
        <f>IF('kWh_Streetlight Data'!D199=0,"",'kWh_Streetlight Data'!D199)</f>
        <v>587</v>
      </c>
      <c r="D79" s="108">
        <f>IF('kWh_Streetlight Data'!E199=0,"",'kWh_Streetlight Data'!E199)</f>
        <v>614.75</v>
      </c>
      <c r="E79" s="108">
        <f>IF('kWh_Streetlight Data'!F199=0,"",'kWh_Streetlight Data'!F199)</f>
        <v>580</v>
      </c>
      <c r="F79" s="108">
        <f>IF('kWh_Streetlight Data'!G199=0,"",'kWh_Streetlight Data'!G199)</f>
        <v>659.75</v>
      </c>
      <c r="G79" s="108">
        <f>IF('kWh_Streetlight Data'!H199=0,"",'kWh_Streetlight Data'!H199)</f>
        <v>417.75</v>
      </c>
      <c r="H79" s="108">
        <f>IF('kWh_Streetlight Data'!I199=0,"",'kWh_Streetlight Data'!I199)</f>
        <v>651.20000000000005</v>
      </c>
      <c r="I79" s="108">
        <f>IF('kWh_Streetlight Data'!J199=0,"",'kWh_Streetlight Data'!J199)</f>
        <v>461</v>
      </c>
      <c r="J79" s="108">
        <f>IF('kWh_Streetlight Data'!K199=0,"",'kWh_Streetlight Data'!K199)</f>
        <v>365.2</v>
      </c>
      <c r="K79" s="108">
        <f>IF('kWh_Streetlight Data'!L199=0,"",'kWh_Streetlight Data'!L199)</f>
        <v>512</v>
      </c>
      <c r="L79" s="108">
        <f>IF('kWh_Streetlight Data'!M199=0,"",'kWh_Streetlight Data'!M199)</f>
        <v>404.6</v>
      </c>
      <c r="M79" s="108">
        <f>IF('kWh_Streetlight Data'!N199=0,"",'kWh_Streetlight Data'!N199)</f>
        <v>436.4</v>
      </c>
      <c r="N79" s="424">
        <f>IF('kWh_Streetlight Data'!O199=0,"",'kWh_Streetlight Data'!O199)</f>
        <v>522</v>
      </c>
      <c r="O79" s="84">
        <f>IF('kWh_Streetlight Data'!P199=0,"",'kWh_Streetlight Data'!P199)</f>
        <v>459</v>
      </c>
      <c r="P79" s="108">
        <f>IF('kWh_Streetlight Data'!Q199=0,"",'kWh_Streetlight Data'!Q199)</f>
        <v>427.2</v>
      </c>
      <c r="Q79" s="108">
        <f>IF('kWh_Streetlight Data'!R199=0,"",'kWh_Streetlight Data'!R199)</f>
        <v>389.2</v>
      </c>
      <c r="R79" s="108">
        <f>IF('kWh_Streetlight Data'!S199=0,"",'kWh_Streetlight Data'!S199)</f>
        <v>408.6</v>
      </c>
      <c r="S79" s="108">
        <f>IF('kWh_Streetlight Data'!T199=0,"",'kWh_Streetlight Data'!T199)</f>
        <v>471.2</v>
      </c>
      <c r="T79" s="108">
        <f>IF('kWh_Streetlight Data'!U199=0,"",'kWh_Streetlight Data'!U199)</f>
        <v>368.4</v>
      </c>
      <c r="U79" s="108">
        <f>IF('kWh_Streetlight Data'!V199=0,"",'kWh_Streetlight Data'!V199)</f>
        <v>236</v>
      </c>
      <c r="V79" s="108">
        <f>IF('kWh_Streetlight Data'!W199=0,"",'kWh_Streetlight Data'!W199)</f>
        <v>356.6</v>
      </c>
      <c r="W79" s="108">
        <f>IF('kWh_Streetlight Data'!X199=0,"",'kWh_Streetlight Data'!X199)</f>
        <v>313</v>
      </c>
      <c r="X79" s="108">
        <f>IF('kWh_Streetlight Data'!Y199=0,"",'kWh_Streetlight Data'!Y199)</f>
        <v>341.8</v>
      </c>
      <c r="Y79" s="108">
        <f>IF('kWh_Streetlight Data'!Z199=0,"",'kWh_Streetlight Data'!Z199)</f>
        <v>446.2</v>
      </c>
      <c r="Z79" s="108">
        <f>IF('kWh_Streetlight Data'!AA199=0,"",'kWh_Streetlight Data'!AA199)</f>
        <v>456.6</v>
      </c>
      <c r="AA79" s="424">
        <f>IF('kWh_Streetlight Data'!AB199=0,"",'kWh_Streetlight Data'!AB199)</f>
        <v>389.48333333333335</v>
      </c>
      <c r="AB79" s="129">
        <f>IF('kWh_Streetlight Data'!AC199=0,"",'kWh_Streetlight Data'!AC199)</f>
        <v>483.8</v>
      </c>
      <c r="AC79" s="130">
        <f>IF('kWh_Streetlight Data'!AD199=0,"",'kWh_Streetlight Data'!AD199)</f>
        <v>481.2</v>
      </c>
      <c r="AD79" s="130">
        <f>IF('kWh_Streetlight Data'!AE199=0,"",'kWh_Streetlight Data'!AE199)</f>
        <v>956.6</v>
      </c>
      <c r="AE79" s="130">
        <f>IF('kWh_Streetlight Data'!AF199=0,"",'kWh_Streetlight Data'!AF199)</f>
        <v>866</v>
      </c>
      <c r="AF79" s="130">
        <f>IF('kWh_Streetlight Data'!AG199=0,"",'kWh_Streetlight Data'!AG199)</f>
        <v>686.6</v>
      </c>
      <c r="AG79" s="130">
        <f>IF('kWh_Streetlight Data'!AH199=0,"",'kWh_Streetlight Data'!AH199)</f>
        <v>339.2</v>
      </c>
      <c r="AH79" s="130">
        <f>IF('kWh_Streetlight Data'!AI199=0,"",'kWh_Streetlight Data'!AI199)</f>
        <v>454</v>
      </c>
      <c r="AI79" s="130">
        <f>IF('kWh_Streetlight Data'!AJ199=0,"",'kWh_Streetlight Data'!AJ199)</f>
        <v>667.4</v>
      </c>
      <c r="AJ79" s="130">
        <f>IF('kWh_Streetlight Data'!AK199=0,"",'kWh_Streetlight Data'!AK199)</f>
        <v>362</v>
      </c>
      <c r="AK79" s="130">
        <f>IF('kWh_Streetlight Data'!AL199=0,"",'kWh_Streetlight Data'!AL199)</f>
        <v>639.6</v>
      </c>
      <c r="AL79" s="130">
        <f>IF('kWh_Streetlight Data'!AM199=0,"",'kWh_Streetlight Data'!AM199)</f>
        <v>601.79999999999995</v>
      </c>
      <c r="AM79" s="130">
        <f>IF('kWh_Streetlight Data'!AN199=0,"",'kWh_Streetlight Data'!AN199)</f>
        <v>679.4</v>
      </c>
      <c r="AN79" s="424">
        <f>IF('kWh_Streetlight Data'!AO199=0,"",'kWh_Streetlight Data'!AO199)</f>
        <v>601.4666666666667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Data'!C200=0,"",'kWh_Streetlight Data'!C200)</f>
        <v/>
      </c>
      <c r="C83" s="108" t="str">
        <f>IF('kWh_Streetlight Data'!D200=0,"",'kWh_Streetlight Data'!D200)</f>
        <v/>
      </c>
      <c r="D83" s="108" t="str">
        <f>IF('kWh_Streetlight Data'!E200=0,"",'kWh_Streetlight Data'!E200)</f>
        <v/>
      </c>
      <c r="E83" s="108" t="str">
        <f>IF('kWh_Streetlight Data'!F200=0,"",'kWh_Streetlight Data'!F200)</f>
        <v/>
      </c>
      <c r="F83" s="108" t="str">
        <f>IF('kWh_Streetlight Data'!G200=0,"",'kWh_Streetlight Data'!G200)</f>
        <v/>
      </c>
      <c r="G83" s="108" t="str">
        <f>IF('kWh_Streetlight Data'!H200=0,"",'kWh_Streetlight Data'!H200)</f>
        <v/>
      </c>
      <c r="H83" s="108" t="str">
        <f>IF('kWh_Streetlight Data'!I200=0,"",'kWh_Streetlight Data'!I200)</f>
        <v/>
      </c>
      <c r="I83" s="108" t="str">
        <f>IF('kWh_Streetlight Data'!J200=0,"",'kWh_Streetlight Data'!J200)</f>
        <v/>
      </c>
      <c r="J83" s="108" t="str">
        <f>IF('kWh_Streetlight Data'!K200=0,"",'kWh_Streetlight Data'!K200)</f>
        <v/>
      </c>
      <c r="K83" s="108" t="str">
        <f>IF('kWh_Streetlight Data'!L200=0,"",'kWh_Streetlight Data'!L200)</f>
        <v/>
      </c>
      <c r="L83" s="108" t="str">
        <f>IF('kWh_Streetlight Data'!M200=0,"",'kWh_Streetlight Data'!M200)</f>
        <v/>
      </c>
      <c r="M83" s="108" t="str">
        <f>IF('kWh_Streetlight Data'!N200=0,"",'kWh_Streetlight Data'!N200)</f>
        <v/>
      </c>
      <c r="N83" s="424" t="str">
        <f>IF('kWh_Streetlight Data'!O200=0,"",'kWh_Streetlight Data'!O200)</f>
        <v/>
      </c>
      <c r="O83" s="84" t="str">
        <f>IF('kWh_Streetlight Data'!P200=0,"",'kWh_Streetlight Data'!P200)</f>
        <v/>
      </c>
      <c r="P83" s="108" t="str">
        <f>IF('kWh_Streetlight Data'!Q200=0,"",'kWh_Streetlight Data'!Q200)</f>
        <v/>
      </c>
      <c r="Q83" s="108" t="str">
        <f>IF('kWh_Streetlight Data'!R200=0,"",'kWh_Streetlight Data'!R200)</f>
        <v/>
      </c>
      <c r="R83" s="108" t="str">
        <f>IF('kWh_Streetlight Data'!S200=0,"",'kWh_Streetlight Data'!S200)</f>
        <v/>
      </c>
      <c r="S83" s="108" t="str">
        <f>IF('kWh_Streetlight Data'!T200=0,"",'kWh_Streetlight Data'!T200)</f>
        <v/>
      </c>
      <c r="T83" s="108" t="str">
        <f>IF('kWh_Streetlight Data'!U200=0,"",'kWh_Streetlight Data'!U200)</f>
        <v/>
      </c>
      <c r="U83" s="108" t="str">
        <f>IF('kWh_Streetlight Data'!V200=0,"",'kWh_Streetlight Data'!V200)</f>
        <v/>
      </c>
      <c r="V83" s="108" t="str">
        <f>IF('kWh_Streetlight Data'!W200=0,"",'kWh_Streetlight Data'!W200)</f>
        <v/>
      </c>
      <c r="W83" s="108" t="str">
        <f>IF('kWh_Streetlight Data'!X200=0,"",'kWh_Streetlight Data'!X200)</f>
        <v/>
      </c>
      <c r="X83" s="108" t="str">
        <f>IF('kWh_Streetlight Data'!Y200=0,"",'kWh_Streetlight Data'!Y200)</f>
        <v/>
      </c>
      <c r="Y83" s="108" t="str">
        <f>IF('kWh_Streetlight Data'!Z200=0,"",'kWh_Streetlight Data'!Z200)</f>
        <v/>
      </c>
      <c r="Z83" s="108" t="str">
        <f>IF('kWh_Streetlight Data'!AA200=0,"",'kWh_Streetlight Data'!AA200)</f>
        <v/>
      </c>
      <c r="AA83" s="424" t="str">
        <f>IF('kWh_Streetlight Data'!AB200=0,"",'kWh_Streetlight Data'!AB200)</f>
        <v/>
      </c>
      <c r="AB83" s="442" t="str">
        <f>IF('kWh_Streetlight Data'!AC200=0,"",'kWh_Streetlight Data'!AC200)</f>
        <v/>
      </c>
      <c r="AC83" s="443" t="str">
        <f>IF('kWh_Streetlight Data'!AD200=0,"",'kWh_Streetlight Data'!AD200)</f>
        <v/>
      </c>
      <c r="AD83" s="443" t="str">
        <f>IF('kWh_Streetlight Data'!AE200=0,"",'kWh_Streetlight Data'!AE200)</f>
        <v/>
      </c>
      <c r="AE83" s="443" t="str">
        <f>IF('kWh_Streetlight Data'!AF200=0,"",'kWh_Streetlight Data'!AF200)</f>
        <v/>
      </c>
      <c r="AF83" s="443" t="str">
        <f>IF('kWh_Streetlight Data'!AG200=0,"",'kWh_Streetlight Data'!AG200)</f>
        <v/>
      </c>
      <c r="AG83" s="443" t="str">
        <f>IF('kWh_Streetlight Data'!AH200=0,"",'kWh_Streetlight Data'!AH200)</f>
        <v/>
      </c>
      <c r="AH83" s="108" t="str">
        <f>IF('kWh_Streetlight Data'!AI200=0,"",'kWh_Streetlight Data'!AI200)</f>
        <v/>
      </c>
      <c r="AI83" s="108" t="str">
        <f>IF('kWh_Streetlight Data'!AJ200=0,"",'kWh_Streetlight Data'!AJ200)</f>
        <v/>
      </c>
      <c r="AJ83" s="108" t="str">
        <f>IF('kWh_Streetlight Data'!AK200=0,"",'kWh_Streetlight Data'!AK200)</f>
        <v/>
      </c>
      <c r="AK83" s="108" t="str">
        <f>IF('kWh_Streetlight Data'!AL200=0,"",'kWh_Streetlight Data'!AL200)</f>
        <v/>
      </c>
      <c r="AL83" s="108" t="str">
        <f>IF('kWh_Streetlight Data'!AM200=0,"",'kWh_Streetlight Data'!AM200)</f>
        <v/>
      </c>
      <c r="AM83" s="108" t="str">
        <f>IF('kWh_Streetlight Data'!AN200=0,"",'kWh_Streetlight Data'!AN200)</f>
        <v/>
      </c>
      <c r="AN83" s="424" t="str">
        <f>IF('kWh_Streetlight Data'!AO200=0,"",'kWh_Streetlight Data'!AO200)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Data'!C201=0,"",'kWh_Streetlight Data'!C201)</f>
        <v>5429.833333333333</v>
      </c>
      <c r="C88" s="108">
        <f>IF('kWh_Streetlight Data'!D201=0,"",'kWh_Streetlight Data'!D201)</f>
        <v>4710</v>
      </c>
      <c r="D88" s="108">
        <f>IF('kWh_Streetlight Data'!E201=0,"",'kWh_Streetlight Data'!E201)</f>
        <v>4357.6153846153848</v>
      </c>
      <c r="E88" s="108">
        <f>IF('kWh_Streetlight Data'!F201=0,"",'kWh_Streetlight Data'!F201)</f>
        <v>4023.9166666666665</v>
      </c>
      <c r="F88" s="108">
        <f>IF('kWh_Streetlight Data'!G201=0,"",'kWh_Streetlight Data'!G201)</f>
        <v>4708.416666666667</v>
      </c>
      <c r="G88" s="108">
        <f>IF('kWh_Streetlight Data'!H201=0,"",'kWh_Streetlight Data'!H201)</f>
        <v>2088.3333333333335</v>
      </c>
      <c r="H88" s="108">
        <f>IF('kWh_Streetlight Data'!I201=0,"",'kWh_Streetlight Data'!I201)</f>
        <v>2116.6666666666665</v>
      </c>
      <c r="I88" s="108">
        <f>IF('kWh_Streetlight Data'!J201=0,"",'kWh_Streetlight Data'!J201)</f>
        <v>1395.4615384615386</v>
      </c>
      <c r="J88" s="108" t="str">
        <f>IF('kWh_Streetlight Data'!K201=0,"",'kWh_Streetlight Data'!K201)</f>
        <v/>
      </c>
      <c r="K88" s="108">
        <f>IF('kWh_Streetlight Data'!L201=0,"",'kWh_Streetlight Data'!L201)</f>
        <v>2531.2777777777778</v>
      </c>
      <c r="L88" s="108">
        <f>IF('kWh_Streetlight Data'!M201=0,"",'kWh_Streetlight Data'!M201)</f>
        <v>2316.8461538461538</v>
      </c>
      <c r="M88" s="108">
        <f>IF('kWh_Streetlight Data'!N201=0,"",'kWh_Streetlight Data'!N201)</f>
        <v>3312.3846153846152</v>
      </c>
      <c r="N88" s="424">
        <f>IF('kWh_Streetlight Data'!O201=0,"",'kWh_Streetlight Data'!O201)</f>
        <v>2670.6835443037976</v>
      </c>
      <c r="O88" s="84">
        <f>IF('kWh_Streetlight Data'!P201=0,"",'kWh_Streetlight Data'!P201)</f>
        <v>4396.5384615384619</v>
      </c>
      <c r="P88" s="108">
        <f>IF('kWh_Streetlight Data'!Q201=0,"",'kWh_Streetlight Data'!Q201)</f>
        <v>4396.9230769230771</v>
      </c>
      <c r="Q88" s="108">
        <f>IF('kWh_Streetlight Data'!R201=0,"",'kWh_Streetlight Data'!R201)</f>
        <v>3948.2307692307691</v>
      </c>
      <c r="R88" s="108">
        <f>IF('kWh_Streetlight Data'!S201=0,"",'kWh_Streetlight Data'!S201)</f>
        <v>3761</v>
      </c>
      <c r="S88" s="108">
        <f>IF('kWh_Streetlight Data'!T201=0,"",'kWh_Streetlight Data'!T201)</f>
        <v>3477.2142857142858</v>
      </c>
      <c r="T88" s="108">
        <f>IF('kWh_Streetlight Data'!U201=0,"",'kWh_Streetlight Data'!U201)</f>
        <v>2160.7692307692309</v>
      </c>
      <c r="U88" s="108">
        <f>IF('kWh_Streetlight Data'!V201=0,"",'kWh_Streetlight Data'!V201)</f>
        <v>1371.9230769230769</v>
      </c>
      <c r="V88" s="108">
        <f>IF('kWh_Streetlight Data'!W201=0,"",'kWh_Streetlight Data'!W201)</f>
        <v>1732.3333333333333</v>
      </c>
      <c r="W88" s="108">
        <f>IF('kWh_Streetlight Data'!X201=0,"",'kWh_Streetlight Data'!X201)</f>
        <v>1438</v>
      </c>
      <c r="X88" s="108">
        <f>IF('kWh_Streetlight Data'!Y201=0,"",'kWh_Streetlight Data'!Y201)</f>
        <v>2028.0833333333333</v>
      </c>
      <c r="Y88" s="108">
        <f>IF('kWh_Streetlight Data'!Z201=0,"",'kWh_Streetlight Data'!Z201)</f>
        <v>2476.9230769230771</v>
      </c>
      <c r="Z88" s="108">
        <f>IF('kWh_Streetlight Data'!AA201=0,"",'kWh_Streetlight Data'!AA201)</f>
        <v>2825</v>
      </c>
      <c r="AA88" s="426">
        <f>IF('kWh_Streetlight Data'!AB201=0,"",'kWh_Streetlight Data'!AB201)</f>
        <v>2856.503184713376</v>
      </c>
      <c r="AB88" s="442">
        <f>IF('kWh_Streetlight Data'!AC201=0,"",'kWh_Streetlight Data'!AC201)</f>
        <v>4079.2307692307691</v>
      </c>
      <c r="AC88" s="443">
        <f>IF('kWh_Streetlight Data'!AD201=0,"",'kWh_Streetlight Data'!AD201)</f>
        <v>2945</v>
      </c>
      <c r="AD88" s="443">
        <f>IF('kWh_Streetlight Data'!AE201=0,"",'kWh_Streetlight Data'!AE201)</f>
        <v>3775.6153846153848</v>
      </c>
      <c r="AE88" s="443">
        <f>IF('kWh_Streetlight Data'!AF201=0,"",'kWh_Streetlight Data'!AF201)</f>
        <v>3100.0769230769229</v>
      </c>
      <c r="AF88" s="443">
        <f>IF('kWh_Streetlight Data'!AG201=0,"",'kWh_Streetlight Data'!AG201)</f>
        <v>2931.6153846153848</v>
      </c>
      <c r="AG88" s="443">
        <f>IF('kWh_Streetlight Data'!AH201=0,"",'kWh_Streetlight Data'!AH201)</f>
        <v>2093.3333333333335</v>
      </c>
      <c r="AH88" s="443">
        <f>IF('kWh_Streetlight Data'!AI201=0,"",'kWh_Streetlight Data'!AI201)</f>
        <v>1747.3333333333333</v>
      </c>
      <c r="AI88" s="443">
        <f>IF('kWh_Streetlight Data'!AJ201=0,"",'kWh_Streetlight Data'!AJ201)</f>
        <v>2095.5</v>
      </c>
      <c r="AJ88" s="443">
        <f>IF('kWh_Streetlight Data'!AK201=0,"",'kWh_Streetlight Data'!AK201)</f>
        <v>2032</v>
      </c>
      <c r="AK88" s="443">
        <f>IF('kWh_Streetlight Data'!AL201=0,"",'kWh_Streetlight Data'!AL201)</f>
        <v>2236.6666666666665</v>
      </c>
      <c r="AL88" s="443">
        <f>IF('kWh_Streetlight Data'!AM201=0,"",'kWh_Streetlight Data'!AM201)</f>
        <v>1826.0588235294117</v>
      </c>
      <c r="AM88" s="443">
        <f>IF('kWh_Streetlight Data'!AN201=0,"",'kWh_Streetlight Data'!AN201)</f>
        <v>3269.625</v>
      </c>
      <c r="AN88" s="424">
        <f>IF('kWh_Streetlight Data'!AO201=0,"",'kWh_Streetlight Data'!AO201)</f>
        <v>2671.679012345679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39"/>
      <c r="BJ92" s="39"/>
      <c r="BK92" s="109"/>
      <c r="BL92" s="39"/>
      <c r="BM92" s="39"/>
      <c r="BN92" s="210"/>
      <c r="BO92" s="133">
        <f>Customers!L247</f>
        <v>40</v>
      </c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64"/>
      <c r="BJ93" s="64"/>
      <c r="BK93" s="160"/>
      <c r="BL93" s="160"/>
      <c r="BM93" s="160"/>
      <c r="BN93" s="196"/>
      <c r="BO93" s="144">
        <f>IFERROR(ROUND(BO94*BO92/12*BR19,0),0)</f>
        <v>524166</v>
      </c>
    </row>
    <row r="94" spans="1:67" ht="15.75" customHeight="1" thickTop="1">
      <c r="A94" s="374" t="s">
        <v>54</v>
      </c>
      <c r="B94" s="84" t="str">
        <f>IF('kWh_Streetlight Data'!C202=0,"",'kWh_Streetlight Data'!C202)</f>
        <v/>
      </c>
      <c r="C94" s="108" t="str">
        <f>IF('kWh_Streetlight Data'!D202=0,"",'kWh_Streetlight Data'!D202)</f>
        <v/>
      </c>
      <c r="D94" s="108" t="str">
        <f>IF('kWh_Streetlight Data'!E202=0,"",'kWh_Streetlight Data'!E202)</f>
        <v/>
      </c>
      <c r="E94" s="108" t="str">
        <f>IF('kWh_Streetlight Data'!F202=0,"",'kWh_Streetlight Data'!F202)</f>
        <v/>
      </c>
      <c r="F94" s="108" t="str">
        <f>IF('kWh_Streetlight Data'!G202=0,"",'kWh_Streetlight Data'!G202)</f>
        <v/>
      </c>
      <c r="G94" s="108" t="str">
        <f>IF('kWh_Streetlight Data'!H202=0,"",'kWh_Streetlight Data'!H202)</f>
        <v/>
      </c>
      <c r="H94" s="108" t="str">
        <f>IF('kWh_Streetlight Data'!I202=0,"",'kWh_Streetlight Data'!I202)</f>
        <v/>
      </c>
      <c r="I94" s="108" t="str">
        <f>IF('kWh_Streetlight Data'!J202=0,"",'kWh_Streetlight Data'!J202)</f>
        <v/>
      </c>
      <c r="J94" s="108" t="str">
        <f>IF('kWh_Streetlight Data'!K202=0,"",'kWh_Streetlight Data'!K202)</f>
        <v/>
      </c>
      <c r="K94" s="108" t="str">
        <f>IF('kWh_Streetlight Data'!L202=0,"",'kWh_Streetlight Data'!L202)</f>
        <v/>
      </c>
      <c r="L94" s="130" t="str">
        <f>IF('kWh_Streetlight Data'!M202=0,"",'kWh_Streetlight Data'!M202)</f>
        <v/>
      </c>
      <c r="M94" s="130" t="str">
        <f>IF('kWh_Streetlight Data'!N202=0,"",'kWh_Streetlight Data'!N202)</f>
        <v/>
      </c>
      <c r="N94" s="425" t="str">
        <f>IF('kWh_Streetlight Data'!O202=0,"",'kWh_Streetlight Data'!O202)</f>
        <v/>
      </c>
      <c r="O94" s="84" t="str">
        <f>IF('kWh_Streetlight Data'!P202=0,"",'kWh_Streetlight Data'!P202)</f>
        <v/>
      </c>
      <c r="P94" s="108" t="str">
        <f>IF('kWh_Streetlight Data'!Q202=0,"",'kWh_Streetlight Data'!Q202)</f>
        <v/>
      </c>
      <c r="Q94" s="108" t="str">
        <f>IF('kWh_Streetlight Data'!R202=0,"",'kWh_Streetlight Data'!R202)</f>
        <v/>
      </c>
      <c r="R94" s="108" t="str">
        <f>IF('kWh_Streetlight Data'!S202=0,"",'kWh_Streetlight Data'!S202)</f>
        <v/>
      </c>
      <c r="S94" s="108" t="str">
        <f>IF('kWh_Streetlight Data'!T202=0,"",'kWh_Streetlight Data'!T202)</f>
        <v/>
      </c>
      <c r="T94" s="108" t="str">
        <f>IF('kWh_Streetlight Data'!U202=0,"",'kWh_Streetlight Data'!U202)</f>
        <v/>
      </c>
      <c r="U94" s="108" t="str">
        <f>IF('kWh_Streetlight Data'!V202=0,"",'kWh_Streetlight Data'!V202)</f>
        <v/>
      </c>
      <c r="V94" s="108" t="str">
        <f>IF('kWh_Streetlight Data'!W202=0,"",'kWh_Streetlight Data'!W202)</f>
        <v/>
      </c>
      <c r="W94" s="108" t="str">
        <f>IF('kWh_Streetlight Data'!X202=0,"",'kWh_Streetlight Data'!X202)</f>
        <v/>
      </c>
      <c r="X94" s="108" t="str">
        <f>IF('kWh_Streetlight Data'!Y202=0,"",'kWh_Streetlight Data'!Y202)</f>
        <v/>
      </c>
      <c r="Y94" s="108" t="str">
        <f>IF('kWh_Streetlight Data'!Z202=0,"",'kWh_Streetlight Data'!Z202)</f>
        <v/>
      </c>
      <c r="Z94" s="108" t="str">
        <f>IF('kWh_Streetlight Data'!AA202=0,"",'kWh_Streetlight Data'!AA202)</f>
        <v/>
      </c>
      <c r="AA94" s="426" t="str">
        <f>IF('kWh_Streetlight Data'!AB202=0,"",'kWh_Streetlight Data'!AB202)</f>
        <v/>
      </c>
      <c r="AB94" s="84" t="str">
        <f>IF('kWh_Streetlight Data'!AC202=0,"",'kWh_Streetlight Data'!AC202)</f>
        <v/>
      </c>
      <c r="AC94" s="108" t="str">
        <f>IF('kWh_Streetlight Data'!AD202=0,"",'kWh_Streetlight Data'!AD202)</f>
        <v/>
      </c>
      <c r="AD94" s="108" t="str">
        <f>IF('kWh_Streetlight Data'!AE202=0,"",'kWh_Streetlight Data'!AE202)</f>
        <v/>
      </c>
      <c r="AE94" s="108" t="str">
        <f>IF('kWh_Streetlight Data'!AF202=0,"",'kWh_Streetlight Data'!AF202)</f>
        <v/>
      </c>
      <c r="AF94" s="108" t="str">
        <f>IF('kWh_Streetlight Data'!AG202=0,"",'kWh_Streetlight Data'!AG202)</f>
        <v/>
      </c>
      <c r="AG94" s="108" t="str">
        <f>IF('kWh_Streetlight Data'!AH202=0,"",'kWh_Streetlight Data'!AH202)</f>
        <v/>
      </c>
      <c r="AH94" s="108" t="str">
        <f>IF('kWh_Streetlight Data'!AI202=0,"",'kWh_Streetlight Data'!AI202)</f>
        <v/>
      </c>
      <c r="AI94" s="108" t="str">
        <f>IF('kWh_Streetlight Data'!AJ202=0,"",'kWh_Streetlight Data'!AJ202)</f>
        <v/>
      </c>
      <c r="AJ94" s="108" t="str">
        <f>IF('kWh_Streetlight Data'!AK202=0,"",'kWh_Streetlight Data'!AK202)</f>
        <v/>
      </c>
      <c r="AK94" s="108" t="str">
        <f>IF('kWh_Streetlight Data'!AL202=0,"",'kWh_Streetlight Data'!AL202)</f>
        <v/>
      </c>
      <c r="AL94" s="108" t="str">
        <f>IF('kWh_Streetlight Data'!AM202=0,"",'kWh_Streetlight Data'!AM202)</f>
        <v/>
      </c>
      <c r="AM94" s="108" t="str">
        <f>IF('kWh_Streetlight Data'!AN202=0,"",'kWh_Streetlight Data'!AN202)</f>
        <v/>
      </c>
      <c r="AN94" s="424" t="str">
        <f>IF('kWh_Streetlight Data'!AO202=0,"",'kWh_Streetlight Data'!AO202)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108"/>
      <c r="BL94" s="108"/>
      <c r="BM94" s="108"/>
      <c r="BN94" s="211"/>
      <c r="BO94" s="133">
        <f>Wapekeka!BO94</f>
        <v>22464.25</v>
      </c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>
        <f>BO7+BO22+BO29+BO43</f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>
        <f>BO57</f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>
        <f t="shared" ref="BO101" si="0">SUM(BO98:BO100)</f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>
        <f>BO15+BO36+BO50</f>
        <v>142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>
        <f>BO92</f>
        <v>40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>
        <f t="shared" ref="BO105" si="1">SUM(BO102:BO104)</f>
        <v>182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>
        <f t="shared" ref="BO106" si="2">BO105+BO101</f>
        <v>182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>
        <f>BO11+BO26+BO33+BO47</f>
        <v>0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>
        <f>BO58</f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>
        <f>BO68+BO78+BO82+BO87</f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>
        <f t="shared" ref="BO111" si="3">SUM(BO108:BO110)</f>
        <v>0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>
        <f>BO19+BO40+BO54</f>
        <v>1460794</v>
      </c>
    </row>
    <row r="113" spans="1:69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9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>
        <f>BO93</f>
        <v>524166</v>
      </c>
    </row>
    <row r="115" spans="1:69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>
        <f t="shared" ref="BO115" si="4">SUM(BO112:BO114)</f>
        <v>1984960</v>
      </c>
    </row>
    <row r="116" spans="1:69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>
        <f t="shared" ref="BO116" si="5">BO115+BO111</f>
        <v>1984960</v>
      </c>
      <c r="BQ116" s="294" t="s">
        <v>2</v>
      </c>
    </row>
    <row r="117" spans="1:69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9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9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/>
      <c r="AV119" s="280"/>
      <c r="AW119" s="280"/>
      <c r="AX119" s="280"/>
      <c r="AY119" s="280"/>
      <c r="AZ119" s="280"/>
      <c r="BA119" s="259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59"/>
      <c r="BO119" s="343">
        <v>23</v>
      </c>
    </row>
    <row r="120" spans="1:69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/>
      <c r="AU120" s="107"/>
      <c r="AV120" s="39"/>
      <c r="AW120" s="39"/>
      <c r="AX120" s="39"/>
      <c r="AY120" s="39"/>
      <c r="AZ120" s="39"/>
      <c r="BA120" s="215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215"/>
      <c r="BO120" s="141">
        <v>0</v>
      </c>
    </row>
    <row r="121" spans="1:69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/>
      <c r="AU121" s="107"/>
      <c r="AV121" s="39"/>
      <c r="AW121" s="39"/>
      <c r="AX121" s="39"/>
      <c r="AY121" s="39"/>
      <c r="AZ121" s="39"/>
      <c r="BA121" s="215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215"/>
      <c r="BO121" s="141">
        <v>0</v>
      </c>
    </row>
    <row r="122" spans="1:69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/>
      <c r="AV122" s="57"/>
      <c r="AW122" s="57"/>
      <c r="AX122" s="57"/>
      <c r="AY122" s="57"/>
      <c r="AZ122" s="57"/>
      <c r="BA122" s="215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215"/>
      <c r="BO122" s="141">
        <f>-BM120</f>
        <v>0</v>
      </c>
    </row>
    <row r="123" spans="1:69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/>
      <c r="AV123" s="57"/>
      <c r="AW123" s="57"/>
      <c r="AX123" s="57"/>
      <c r="AY123" s="57"/>
      <c r="AZ123" s="57"/>
      <c r="BA123" s="215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215"/>
      <c r="BO123" s="141">
        <f>-BM121</f>
        <v>0</v>
      </c>
    </row>
    <row r="124" spans="1:69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/>
      <c r="AV124" s="344"/>
      <c r="AW124" s="344"/>
      <c r="AX124" s="344"/>
      <c r="AY124" s="344"/>
      <c r="AZ124" s="344"/>
      <c r="BA124" s="345"/>
      <c r="BB124" s="344"/>
      <c r="BC124" s="344"/>
      <c r="BD124" s="344"/>
      <c r="BE124" s="344"/>
      <c r="BF124" s="344"/>
      <c r="BG124" s="344"/>
      <c r="BH124" s="344"/>
      <c r="BI124" s="344"/>
      <c r="BJ124" s="344"/>
      <c r="BK124" s="344"/>
      <c r="BL124" s="344"/>
      <c r="BM124" s="344"/>
      <c r="BN124" s="345"/>
      <c r="BO124" s="272">
        <f t="shared" ref="BO124" si="6">SUM(BO120:BO123)</f>
        <v>0</v>
      </c>
    </row>
    <row r="125" spans="1:69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>
        <v>23</v>
      </c>
    </row>
    <row r="126" spans="1:69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>
        <v>214034</v>
      </c>
    </row>
    <row r="127" spans="1:69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>
        <v>75779</v>
      </c>
    </row>
    <row r="128" spans="1:69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>
        <f t="shared" ref="BO130" si="7">SUM(BO126:BO129)</f>
        <v>289813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/>
      <c r="AU132" s="66"/>
      <c r="AV132" s="66"/>
      <c r="AW132" s="66"/>
      <c r="AX132" s="66"/>
      <c r="AY132" s="66"/>
      <c r="AZ132" s="66"/>
      <c r="BA132" s="21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216"/>
      <c r="BO132" s="185">
        <f>BO111+BO124</f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9FF99"/>
  </sheetPr>
  <dimension ref="A1:W149"/>
  <sheetViews>
    <sheetView zoomScale="70" zoomScaleNormal="70" workbookViewId="0">
      <pane xSplit="1" ySplit="5" topLeftCell="E6" activePane="bottomRight" state="frozen"/>
      <selection pane="bottomRight" activeCell="R29" sqref="R29"/>
      <selection pane="bottomLeft" activeCell="O138" sqref="O138"/>
      <selection pane="topRight" activeCell="O138" sqref="O138"/>
    </sheetView>
  </sheetViews>
  <sheetFormatPr defaultRowHeight="14.45" outlineLevelCol="1"/>
  <cols>
    <col min="1" max="1" width="55.5703125" style="2" bestFit="1" customWidth="1"/>
    <col min="2" max="2" width="15.85546875" hidden="1" customWidth="1" outlineLevel="1"/>
    <col min="3" max="3" width="15.42578125" hidden="1" customWidth="1" outlineLevel="1"/>
    <col min="4" max="4" width="16.42578125" hidden="1" customWidth="1" outlineLevel="1"/>
    <col min="5" max="7" width="15.85546875" customWidth="1" outlineLevel="1"/>
    <col min="8" max="8" width="16.42578125" customWidth="1" outlineLevel="1"/>
    <col min="9" max="9" width="15.42578125" customWidth="1" outlineLevel="1"/>
    <col min="10" max="10" width="16.42578125" customWidth="1" outlineLevel="1"/>
    <col min="11" max="11" width="15.42578125" bestFit="1" customWidth="1" outlineLevel="1"/>
    <col min="12" max="12" width="18.42578125" customWidth="1" outlineLevel="1"/>
    <col min="13" max="13" width="15.85546875" customWidth="1" outlineLevel="1"/>
    <col min="14" max="14" width="16.7109375" bestFit="1" customWidth="1" outlineLevel="1"/>
    <col min="15" max="15" width="22.42578125" customWidth="1"/>
    <col min="17" max="17" width="13.28515625" bestFit="1" customWidth="1"/>
  </cols>
  <sheetData>
    <row r="1" spans="1:15">
      <c r="A1" s="198" t="s">
        <v>0</v>
      </c>
    </row>
    <row r="2" spans="1:15" ht="15" thickBot="1">
      <c r="A2" s="198" t="s">
        <v>31</v>
      </c>
    </row>
    <row r="3" spans="1:15" ht="29.45" thickBot="1">
      <c r="A3" s="198" t="s">
        <v>32</v>
      </c>
      <c r="B3" s="534" t="s">
        <v>33</v>
      </c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6"/>
      <c r="O3" s="516" t="s">
        <v>34</v>
      </c>
    </row>
    <row r="4" spans="1:15" s="3" customFormat="1" ht="15" thickBot="1">
      <c r="A4"/>
      <c r="B4" s="537" t="s">
        <v>35</v>
      </c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9"/>
      <c r="O4" s="517">
        <v>2023</v>
      </c>
    </row>
    <row r="5" spans="1:15">
      <c r="A5" s="198"/>
      <c r="B5" s="518" t="s">
        <v>36</v>
      </c>
      <c r="C5" s="519" t="s">
        <v>37</v>
      </c>
      <c r="D5" s="519" t="s">
        <v>38</v>
      </c>
      <c r="E5" s="519" t="s">
        <v>39</v>
      </c>
      <c r="F5" s="519" t="s">
        <v>40</v>
      </c>
      <c r="G5" s="519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1" t="s">
        <v>17</v>
      </c>
      <c r="O5" s="521"/>
    </row>
    <row r="6" spans="1:15">
      <c r="A6" s="198" t="s">
        <v>48</v>
      </c>
      <c r="B6" s="200"/>
      <c r="C6" s="9"/>
      <c r="D6" s="9"/>
      <c r="E6" s="9"/>
      <c r="F6" s="9"/>
      <c r="G6" s="9"/>
      <c r="H6" s="22"/>
      <c r="I6" s="22"/>
      <c r="J6" s="22"/>
      <c r="K6" s="22"/>
      <c r="L6" s="22"/>
      <c r="M6" s="22"/>
      <c r="N6" s="23"/>
      <c r="O6" s="23"/>
    </row>
    <row r="7" spans="1:15">
      <c r="A7" s="2" t="s">
        <v>49</v>
      </c>
      <c r="B7" s="123"/>
      <c r="C7" s="109"/>
      <c r="D7" s="109"/>
      <c r="E7" s="108">
        <f>Armstrong!BE7+'Bearskin Lake'!BE7+Biscotasing!BE7+'Deer Lake'!BE7+'Fort Severn'!BE7+'Gull Bay'!BE7+Hillsport!BE7+Kasabonika!BE7+Kingfisher!BE7+Lansdowne!BE7+'Marten Falls'!BE7+Oba!BE7+Sachigo!BE7+'Sandy Lake'!BE7+Sultan!BE7+Wapekeka!BE7+Weagamow!BE7+Webequie!BE7+'Cat Lake'!BE7+Pikangikum!BE7+'Big Trout Lake'!BE7+'Poplar Hill'!BE7+'North Spirit'!BE7+Keewaywin!BE7+'Muskrat Dam'!BE7+Wunnumin!BE7+Wawakepewin!BE7</f>
        <v>2891</v>
      </c>
      <c r="F7" s="108">
        <f>Armstrong!BF7+'Bearskin Lake'!BF7+Biscotasing!BF7+'Deer Lake'!BF7+'Fort Severn'!BF7+'Gull Bay'!BF7+Hillsport!BF7+Kasabonika!BF7+Kingfisher!BF7+Lansdowne!BF7+'Marten Falls'!BF7+Oba!BF7+Sachigo!BF7+'Sandy Lake'!BF7+Sultan!BF7+Wapekeka!BF7+Weagamow!BF7+Webequie!BF7+'Cat Lake'!BF7+Pikangikum!BF7+'Big Trout Lake'!BF7+'Poplar Hill'!BF7+'North Spirit'!BF7+Keewaywin!BF7+'Muskrat Dam'!BF7+Wunnumin!BF7+Wawakepewin!BF7</f>
        <v>2891</v>
      </c>
      <c r="G7" s="108">
        <f>Armstrong!BG7+'Bearskin Lake'!BG7+Biscotasing!BG7+'Deer Lake'!BG7+'Fort Severn'!BG7+'Gull Bay'!BG7+Hillsport!BG7+Kasabonika!BG7+Kingfisher!BG7+Lansdowne!BG7+'Marten Falls'!BG7+Oba!BG7+Sachigo!BG7+'Sandy Lake'!BG7+Sultan!BG7+Wapekeka!BG7+Weagamow!BG7+Webequie!BG7+'Cat Lake'!BG7+Pikangikum!BG7+'Big Trout Lake'!BG7+'Poplar Hill'!BG7+'North Spirit'!BG7+Keewaywin!BG7+'Muskrat Dam'!BG7+Wunnumin!BG7+Wawakepewin!BG7</f>
        <v>2891</v>
      </c>
      <c r="H7" s="71">
        <f>Armstrong!BH7+'Bearskin Lake'!BH7+Biscotasing!BH7+'Deer Lake'!BH7+'Fort Severn'!BH7+'Gull Bay'!BH7+Hillsport!BH7+Kasabonika!BH7+Kingfisher!BH7+Lansdowne!BH7+'Marten Falls'!BH7+Oba!BH7+Sachigo!BH7+'Sandy Lake'!BH7+Sultan!BH7+Wapekeka!BH7+Weagamow!BH7+Webequie!BH7+'Cat Lake'!BH7+Pikangikum!BH7+'Big Trout Lake'!BH7+'Poplar Hill'!BH7+'North Spirit'!BH7+Keewaywin!BH7+'Muskrat Dam'!BH7+Wunnumin!BH7+Wawakepewin!BH7</f>
        <v>2509</v>
      </c>
      <c r="I7" s="71">
        <f>Armstrong!BI7+'Bearskin Lake'!BI7+Biscotasing!BI7+'Deer Lake'!BI7+'Fort Severn'!BI7+'Gull Bay'!BI7+Hillsport!BI7+Kasabonika!BI7+Kingfisher!BI7+Lansdowne!BI7+'Marten Falls'!BI7+Oba!BI7+Sachigo!BI7+'Sandy Lake'!BI7+Sultan!BI7+Wapekeka!BI7+Weagamow!BI7+Webequie!BI7+'Cat Lake'!BI7+Pikangikum!BI7+'Big Trout Lake'!BI7+'Poplar Hill'!BI7+'North Spirit'!BI7+Keewaywin!BI7+'Muskrat Dam'!BI7+Wunnumin!BI7+Wawakepewin!BI7</f>
        <v>2509</v>
      </c>
      <c r="J7" s="71">
        <f>Armstrong!BJ7+'Bearskin Lake'!BJ7+Biscotasing!BJ7+'Deer Lake'!BJ7+'Fort Severn'!BJ7+'Gull Bay'!BJ7+Hillsport!BJ7+Kasabonika!BJ7+Kingfisher!BJ7+Lansdowne!BJ7+'Marten Falls'!BJ7+Oba!BJ7+Sachigo!BJ7+'Sandy Lake'!BJ7+Sultan!BJ7+Wapekeka!BJ7+Weagamow!BJ7+Webequie!BJ7+'Cat Lake'!BJ7+Pikangikum!BJ7+'Big Trout Lake'!BJ7+'Poplar Hill'!BJ7+'North Spirit'!BJ7+Keewaywin!BJ7+'Muskrat Dam'!BJ7+Wunnumin!BJ7+Wawakepewin!BJ7</f>
        <v>2509</v>
      </c>
      <c r="K7" s="71">
        <f>Armstrong!BK7+'Bearskin Lake'!BK7+Biscotasing!BK7+'Deer Lake'!BK7+'Fort Severn'!BK7+'Gull Bay'!BK7+Hillsport!BK7+Kasabonika!BK7+Kingfisher!BK7+Lansdowne!BK7+'Marten Falls'!BK7+Oba!BK7+Sachigo!BK7+'Sandy Lake'!BK7+Sultan!BK7+Wapekeka!BK7+Weagamow!BK7+Webequie!BK7+'Cat Lake'!BK7+Pikangikum!BK7+'Big Trout Lake'!BK7+'Poplar Hill'!BK7+'North Spirit'!BK7+Keewaywin!BK7+'Muskrat Dam'!BK7+Wunnumin!BK7+Wawakepewin!BK7</f>
        <v>2509</v>
      </c>
      <c r="L7" s="71">
        <f>Armstrong!BL7+'Bearskin Lake'!BL7+Biscotasing!BL7+'Deer Lake'!BL7+'Fort Severn'!BL7+'Gull Bay'!BL7+Hillsport!BL7+Kasabonika!BL7+Kingfisher!BL7+Lansdowne!BL7+'Marten Falls'!BL7+Oba!BL7+Sachigo!BL7+'Sandy Lake'!BL7+Sultan!BL7+Wapekeka!BL7+Weagamow!BL7+Webequie!BL7+'Cat Lake'!BL7+Pikangikum!BL7+'Big Trout Lake'!BL7+'Poplar Hill'!BL7+'North Spirit'!BL7+Keewaywin!BL7+'Muskrat Dam'!BL7+Wunnumin!BL7+Wawakepewin!BL7</f>
        <v>2509</v>
      </c>
      <c r="M7" s="71">
        <f>Armstrong!BM7+'Bearskin Lake'!BM7+Biscotasing!BM7+'Deer Lake'!BM7+'Fort Severn'!BM7+'Gull Bay'!BM7+Hillsport!BM7+Kasabonika!BM7+Kingfisher!BM7+Lansdowne!BM7+'Marten Falls'!BM7+Oba!BM7+Sachigo!BM7+'Sandy Lake'!BM7+Sultan!BM7+Wapekeka!BM7+Weagamow!BM7+Webequie!BM7+'Cat Lake'!BM7+Pikangikum!BM7+'Big Trout Lake'!BM7+'Poplar Hill'!BM7+'North Spirit'!BM7+Keewaywin!BM7+'Muskrat Dam'!BM7+Wunnumin!BM7+Wawakepewin!BM7</f>
        <v>2509</v>
      </c>
      <c r="N7" s="70">
        <f>Armstrong!BN7+'Bearskin Lake'!BN7+Biscotasing!BN7+'Deer Lake'!BN7+'Fort Severn'!BN7+'Gull Bay'!BN7+Hillsport!BN7+Kasabonika!BN7+Kingfisher!BN7+Lansdowne!BN7+'Marten Falls'!BN7+Oba!BN7+Sachigo!BN7+'Sandy Lake'!BN7+Sultan!BN7+Wapekeka!BN7+Weagamow!BN7+Webequie!BN7+'Cat Lake'!BN7+Pikangikum!BN7+'Big Trout Lake'!BN7+'Poplar Hill'!BN7+'North Spirit'!BN7+Keewaywin!BN7+'Muskrat Dam'!BN7+Wunnumin!BN7+Wawakepewin!BN7</f>
        <v>2509</v>
      </c>
      <c r="O7" s="70">
        <f>Armstrong!BO7+'Bearskin Lake'!BO7+Biscotasing!BO7+'Deer Lake'!BO7+'Fort Severn'!BO7+'Gull Bay'!BO7+Hillsport!BO7+Kasabonika!BO7+Kingfisher!BO7+Lansdowne!BO7+'Marten Falls'!BO7+Oba!BO7+Sachigo!BO7+'Sandy Lake'!BO7+Sultan!BO7+Wapekeka!BO7+Weagamow!BO7+Webequie!BO7+'Cat Lake'!BO7+Pikangikum!BO7+'Big Trout Lake'!BO7+'Poplar Hill'!BO7+'North Spirit'!BO7+Keewaywin!BO7+'Muskrat Dam'!BO7+Wunnumin!BO7+Wawakepewin!BO7</f>
        <v>1592</v>
      </c>
    </row>
    <row r="8" spans="1:15">
      <c r="A8" s="2" t="s">
        <v>50</v>
      </c>
      <c r="B8" s="123"/>
      <c r="C8" s="109"/>
      <c r="D8" s="109"/>
      <c r="E8" s="108">
        <f>Armstrong!BE8+'Bearskin Lake'!BE8+Biscotasing!BE8+'Deer Lake'!BE8+'Fort Severn'!BE8+'Gull Bay'!BE8+Hillsport!BE8+Kasabonika!BE8+Kingfisher!BE8+Lansdowne!BE8+'Marten Falls'!BE8+Oba!BE8+Sachigo!BE8+'Sandy Lake'!BE8+Sultan!BE8+Wapekeka!BE8+Weagamow!BE8+Webequie!BE8+'Cat Lake'!BE8+Pikangikum!BE8+'Big Trout Lake'!BE8+'Poplar Hill'!BE8+'North Spirit'!BE8+Keewaywin!BE8+'Muskrat Dam'!BE8+Wunnumin!BE8+Wawakepewin!BE8</f>
        <v>2710780</v>
      </c>
      <c r="F8" s="108">
        <f>Armstrong!BF8+'Bearskin Lake'!BF8+Biscotasing!BF8+'Deer Lake'!BF8+'Fort Severn'!BF8+'Gull Bay'!BF8+Hillsport!BF8+Kasabonika!BF8+Kingfisher!BF8+Lansdowne!BF8+'Marten Falls'!BF8+Oba!BF8+Sachigo!BF8+'Sandy Lake'!BF8+Sultan!BF8+Wapekeka!BF8+Weagamow!BF8+Webequie!BF8+'Cat Lake'!BF8+Pikangikum!BF8+'Big Trout Lake'!BF8+'Poplar Hill'!BF8+'North Spirit'!BF8+Keewaywin!BF8+'Muskrat Dam'!BF8+Wunnumin!BF8+Wawakepewin!BF8</f>
        <v>2393487</v>
      </c>
      <c r="G8" s="108">
        <f>Armstrong!BG8+'Bearskin Lake'!BG8+Biscotasing!BG8+'Deer Lake'!BG8+'Fort Severn'!BG8+'Gull Bay'!BG8+Hillsport!BG8+Kasabonika!BG8+Kingfisher!BG8+Lansdowne!BG8+'Marten Falls'!BG8+Oba!BG8+Sachigo!BG8+'Sandy Lake'!BG8+Sultan!BG8+Wapekeka!BG8+Weagamow!BG8+Webequie!BG8+'Cat Lake'!BG8+Pikangikum!BG8+'Big Trout Lake'!BG8+'Poplar Hill'!BG8+'North Spirit'!BG8+Keewaywin!BG8+'Muskrat Dam'!BG8+Wunnumin!BG8+Wawakepewin!BG8</f>
        <v>1973576</v>
      </c>
      <c r="H8" s="71">
        <f>Armstrong!BH8+'Bearskin Lake'!BH8+Biscotasing!BH8+'Deer Lake'!BH8+'Fort Severn'!BH8+'Gull Bay'!BH8+Hillsport!BH8+Kasabonika!BH8+Kingfisher!BH8+Lansdowne!BH8+'Marten Falls'!BH8+Oba!BH8+Sachigo!BH8+'Sandy Lake'!BH8+Sultan!BH8+Wapekeka!BH8+Weagamow!BH8+Webequie!BH8+'Cat Lake'!BH8+Pikangikum!BH8+'Big Trout Lake'!BH8+'Poplar Hill'!BH8+'North Spirit'!BH8+Keewaywin!BH8+'Muskrat Dam'!BH8+Wunnumin!BH8+Wawakepewin!BH8</f>
        <v>1409439</v>
      </c>
      <c r="I8" s="71">
        <f>Armstrong!BI8+'Bearskin Lake'!BI8+Biscotasing!BI8+'Deer Lake'!BI8+'Fort Severn'!BI8+'Gull Bay'!BI8+Hillsport!BI8+Kasabonika!BI8+Kingfisher!BI8+Lansdowne!BI8+'Marten Falls'!BI8+Oba!BI8+Sachigo!BI8+'Sandy Lake'!BI8+Sultan!BI8+Wapekeka!BI8+Weagamow!BI8+Webequie!BI8+'Cat Lake'!BI8+Pikangikum!BI8+'Big Trout Lake'!BI8+'Poplar Hill'!BI8+'North Spirit'!BI8+Keewaywin!BI8+'Muskrat Dam'!BI8+Wunnumin!BI8+Wawakepewin!BI8</f>
        <v>1446119</v>
      </c>
      <c r="J8" s="71">
        <f>Armstrong!BJ8+'Bearskin Lake'!BJ8+Biscotasing!BJ8+'Deer Lake'!BJ8+'Fort Severn'!BJ8+'Gull Bay'!BJ8+Hillsport!BJ8+Kasabonika!BJ8+Kingfisher!BJ8+Lansdowne!BJ8+'Marten Falls'!BJ8+Oba!BJ8+Sachigo!BJ8+'Sandy Lake'!BJ8+Sultan!BJ8+Wapekeka!BJ8+Weagamow!BJ8+Webequie!BJ8+'Cat Lake'!BJ8+Pikangikum!BJ8+'Big Trout Lake'!BJ8+'Poplar Hill'!BJ8+'North Spirit'!BJ8+Keewaywin!BJ8+'Muskrat Dam'!BJ8+Wunnumin!BJ8+Wawakepewin!BJ8</f>
        <v>1347714</v>
      </c>
      <c r="K8" s="71">
        <f>Armstrong!BK8+'Bearskin Lake'!BK8+Biscotasing!BK8+'Deer Lake'!BK8+'Fort Severn'!BK8+'Gull Bay'!BK8+Hillsport!BK8+Kasabonika!BK8+Kingfisher!BK8+Lansdowne!BK8+'Marten Falls'!BK8+Oba!BK8+Sachigo!BK8+'Sandy Lake'!BK8+Sultan!BK8+Wapekeka!BK8+Weagamow!BK8+Webequie!BK8+'Cat Lake'!BK8+Pikangikum!BK8+'Big Trout Lake'!BK8+'Poplar Hill'!BK8+'North Spirit'!BK8+Keewaywin!BK8+'Muskrat Dam'!BK8+Wunnumin!BK8+Wawakepewin!BK8</f>
        <v>1693015</v>
      </c>
      <c r="L8" s="71">
        <f>Armstrong!BL8+'Bearskin Lake'!BL8+Biscotasing!BL8+'Deer Lake'!BL8+'Fort Severn'!BL8+'Gull Bay'!BL8+Hillsport!BL8+Kasabonika!BL8+Kingfisher!BL8+Lansdowne!BL8+'Marten Falls'!BL8+Oba!BL8+Sachigo!BL8+'Sandy Lake'!BL8+Sultan!BL8+Wapekeka!BL8+Weagamow!BL8+Webequie!BL8+'Cat Lake'!BL8+Pikangikum!BL8+'Big Trout Lake'!BL8+'Poplar Hill'!BL8+'North Spirit'!BL8+Keewaywin!BL8+'Muskrat Dam'!BL8+Wunnumin!BL8+Wawakepewin!BL8</f>
        <v>2097198</v>
      </c>
      <c r="M8" s="71">
        <f>Armstrong!BM8+'Bearskin Lake'!BM8+Biscotasing!BM8+'Deer Lake'!BM8+'Fort Severn'!BM8+'Gull Bay'!BM8+Hillsport!BM8+Kasabonika!BM8+Kingfisher!BM8+Lansdowne!BM8+'Marten Falls'!BM8+Oba!BM8+Sachigo!BM8+'Sandy Lake'!BM8+Sultan!BM8+Wapekeka!BM8+Weagamow!BM8+Webequie!BM8+'Cat Lake'!BM8+Pikangikum!BM8+'Big Trout Lake'!BM8+'Poplar Hill'!BM8+'North Spirit'!BM8+Keewaywin!BM8+'Muskrat Dam'!BM8+Wunnumin!BM8+Wawakepewin!BM8</f>
        <v>2238469</v>
      </c>
      <c r="N8" s="70">
        <f>Armstrong!BN8+'Bearskin Lake'!BN8+Biscotasing!BN8+'Deer Lake'!BN8+'Fort Severn'!BN8+'Gull Bay'!BN8+Hillsport!BN8+Kasabonika!BN8+Kingfisher!BN8+Lansdowne!BN8+'Marten Falls'!BN8+Oba!BN8+Sachigo!BN8+'Sandy Lake'!BN8+Sultan!BN8+Wapekeka!BN8+Weagamow!BN8+Webequie!BN8+'Cat Lake'!BN8+Pikangikum!BN8+'Big Trout Lake'!BN8+'Poplar Hill'!BN8+'North Spirit'!BN8+Keewaywin!BN8+'Muskrat Dam'!BN8+Wunnumin!BN8+Wawakepewin!BN8</f>
        <v>26704262</v>
      </c>
      <c r="O8" s="70">
        <f>Armstrong!BO8+'Bearskin Lake'!BO8+Biscotasing!BO8+'Deer Lake'!BO8+'Fort Severn'!BO8+'Gull Bay'!BO8+Hillsport!BO8+Kasabonika!BO8+Kingfisher!BO8+Lansdowne!BO8+'Marten Falls'!BO8+Oba!BO8+Sachigo!BO8+'Sandy Lake'!BO8+Sultan!BO8+Wapekeka!BO8+Weagamow!BO8+Webequie!BO8+'Cat Lake'!BO8+Pikangikum!BO8+'Big Trout Lake'!BO8+'Poplar Hill'!BO8+'North Spirit'!BO8+Keewaywin!BO8+'Muskrat Dam'!BO8+Wunnumin!BO8+Wawakepewin!BO8</f>
        <v>20296760</v>
      </c>
    </row>
    <row r="9" spans="1:15">
      <c r="A9" s="2" t="s">
        <v>51</v>
      </c>
      <c r="B9" s="123"/>
      <c r="C9" s="109"/>
      <c r="D9" s="109"/>
      <c r="E9" s="108">
        <f>Armstrong!BE9+'Bearskin Lake'!BE9+Biscotasing!BE9+'Deer Lake'!BE9+'Fort Severn'!BE9+'Gull Bay'!BE9+Hillsport!BE9+Kasabonika!BE9+Kingfisher!BE9+Lansdowne!BE9+'Marten Falls'!BE9+Oba!BE9+Sachigo!BE9+'Sandy Lake'!BE9+Sultan!BE9+Wapekeka!BE9+Weagamow!BE9+Webequie!BE9+'Cat Lake'!BE9+Pikangikum!BE9+'Big Trout Lake'!BE9+'Poplar Hill'!BE9+'North Spirit'!BE9+Keewaywin!BE9+'Muskrat Dam'!BE9+Wunnumin!BE9+Wawakepewin!BE9</f>
        <v>1444438</v>
      </c>
      <c r="F9" s="108">
        <f>Armstrong!BF9+'Bearskin Lake'!BF9+Biscotasing!BF9+'Deer Lake'!BF9+'Fort Severn'!BF9+'Gull Bay'!BF9+Hillsport!BF9+Kasabonika!BF9+Kingfisher!BF9+Lansdowne!BF9+'Marten Falls'!BF9+Oba!BF9+Sachigo!BF9+'Sandy Lake'!BF9+Sultan!BF9+Wapekeka!BF9+Weagamow!BF9+Webequie!BF9+'Cat Lake'!BF9+Pikangikum!BF9+'Big Trout Lake'!BF9+'Poplar Hill'!BF9+'North Spirit'!BF9+Keewaywin!BF9+'Muskrat Dam'!BF9+Wunnumin!BF9+Wawakepewin!BF9</f>
        <v>1275370</v>
      </c>
      <c r="G9" s="108">
        <f>Armstrong!BG9+'Bearskin Lake'!BG9+Biscotasing!BG9+'Deer Lake'!BG9+'Fort Severn'!BG9+'Gull Bay'!BG9+Hillsport!BG9+Kasabonika!BG9+Kingfisher!BG9+Lansdowne!BG9+'Marten Falls'!BG9+Oba!BG9+Sachigo!BG9+'Sandy Lake'!BG9+Sultan!BG9+Wapekeka!BG9+Weagamow!BG9+Webequie!BG9+'Cat Lake'!BG9+Pikangikum!BG9+'Big Trout Lake'!BG9+'Poplar Hill'!BG9+'North Spirit'!BG9+Keewaywin!BG9+'Muskrat Dam'!BG9+Wunnumin!BG9+Wawakepewin!BG9</f>
        <v>1051616</v>
      </c>
      <c r="H9" s="71">
        <f>Armstrong!BH9+'Bearskin Lake'!BH9+Biscotasing!BH9+'Deer Lake'!BH9+'Fort Severn'!BH9+'Gull Bay'!BH9+Hillsport!BH9+Kasabonika!BH9+Kingfisher!BH9+Lansdowne!BH9+'Marten Falls'!BH9+Oba!BH9+Sachigo!BH9+'Sandy Lake'!BH9+Sultan!BH9+Wapekeka!BH9+Weagamow!BH9+Webequie!BH9+'Cat Lake'!BH9+Pikangikum!BH9+'Big Trout Lake'!BH9+'Poplar Hill'!BH9+'North Spirit'!BH9+Keewaywin!BH9+'Muskrat Dam'!BH9+Wunnumin!BH9+Wawakepewin!BH9</f>
        <v>751019</v>
      </c>
      <c r="I9" s="71">
        <f>Armstrong!BI9+'Bearskin Lake'!BI9+Biscotasing!BI9+'Deer Lake'!BI9+'Fort Severn'!BI9+'Gull Bay'!BI9+Hillsport!BI9+Kasabonika!BI9+Kingfisher!BI9+Lansdowne!BI9+'Marten Falls'!BI9+Oba!BI9+Sachigo!BI9+'Sandy Lake'!BI9+Sultan!BI9+Wapekeka!BI9+Weagamow!BI9+Webequie!BI9+'Cat Lake'!BI9+Pikangikum!BI9+'Big Trout Lake'!BI9+'Poplar Hill'!BI9+'North Spirit'!BI9+Keewaywin!BI9+'Muskrat Dam'!BI9+Wunnumin!BI9+Wawakepewin!BI9</f>
        <v>770563</v>
      </c>
      <c r="J9" s="71">
        <f>Armstrong!BJ9+'Bearskin Lake'!BJ9+Biscotasing!BJ9+'Deer Lake'!BJ9+'Fort Severn'!BJ9+'Gull Bay'!BJ9+Hillsport!BJ9+Kasabonika!BJ9+Kingfisher!BJ9+Lansdowne!BJ9+'Marten Falls'!BJ9+Oba!BJ9+Sachigo!BJ9+'Sandy Lake'!BJ9+Sultan!BJ9+Wapekeka!BJ9+Weagamow!BJ9+Webequie!BJ9+'Cat Lake'!BJ9+Pikangikum!BJ9+'Big Trout Lake'!BJ9+'Poplar Hill'!BJ9+'North Spirit'!BJ9+Keewaywin!BJ9+'Muskrat Dam'!BJ9+Wunnumin!BJ9+Wawakepewin!BJ9</f>
        <v>718125</v>
      </c>
      <c r="K9" s="71">
        <f>Armstrong!BK9+'Bearskin Lake'!BK9+Biscotasing!BK9+'Deer Lake'!BK9+'Fort Severn'!BK9+'Gull Bay'!BK9+Hillsport!BK9+Kasabonika!BK9+Kingfisher!BK9+Lansdowne!BK9+'Marten Falls'!BK9+Oba!BK9+Sachigo!BK9+'Sandy Lake'!BK9+Sultan!BK9+Wapekeka!BK9+Weagamow!BK9+Webequie!BK9+'Cat Lake'!BK9+Pikangikum!BK9+'Big Trout Lake'!BK9+'Poplar Hill'!BK9+'North Spirit'!BK9+Keewaywin!BK9+'Muskrat Dam'!BK9+Wunnumin!BK9+Wawakepewin!BK9</f>
        <v>902122</v>
      </c>
      <c r="L9" s="71">
        <f>Armstrong!BL9+'Bearskin Lake'!BL9+Biscotasing!BL9+'Deer Lake'!BL9+'Fort Severn'!BL9+'Gull Bay'!BL9+Hillsport!BL9+Kasabonika!BL9+Kingfisher!BL9+Lansdowne!BL9+'Marten Falls'!BL9+Oba!BL9+Sachigo!BL9+'Sandy Lake'!BL9+Sultan!BL9+Wapekeka!BL9+Weagamow!BL9+Webequie!BL9+'Cat Lake'!BL9+Pikangikum!BL9+'Big Trout Lake'!BL9+'Poplar Hill'!BL9+'North Spirit'!BL9+Keewaywin!BL9+'Muskrat Dam'!BL9+Wunnumin!BL9+Wawakepewin!BL9</f>
        <v>1117490</v>
      </c>
      <c r="M9" s="71">
        <f>Armstrong!BM9+'Bearskin Lake'!BM9+Biscotasing!BM9+'Deer Lake'!BM9+'Fort Severn'!BM9+'Gull Bay'!BM9+Hillsport!BM9+Kasabonika!BM9+Kingfisher!BM9+Lansdowne!BM9+'Marten Falls'!BM9+Oba!BM9+Sachigo!BM9+'Sandy Lake'!BM9+Sultan!BM9+Wapekeka!BM9+Weagamow!BM9+Webequie!BM9+'Cat Lake'!BM9+Pikangikum!BM9+'Big Trout Lake'!BM9+'Poplar Hill'!BM9+'North Spirit'!BM9+Keewaywin!BM9+'Muskrat Dam'!BM9+Wunnumin!BM9+Wawakepewin!BM9</f>
        <v>1192768</v>
      </c>
      <c r="N9" s="70">
        <f>Armstrong!BN9+'Bearskin Lake'!BN9+Biscotasing!BN9+'Deer Lake'!BN9+'Fort Severn'!BN9+'Gull Bay'!BN9+Hillsport!BN9+Kasabonika!BN9+Kingfisher!BN9+Lansdowne!BN9+'Marten Falls'!BN9+Oba!BN9+Sachigo!BN9+'Sandy Lake'!BN9+Sultan!BN9+Wapekeka!BN9+Weagamow!BN9+Webequie!BN9+'Cat Lake'!BN9+Pikangikum!BN9+'Big Trout Lake'!BN9+'Poplar Hill'!BN9+'North Spirit'!BN9+Keewaywin!BN9+'Muskrat Dam'!BN9+Wunnumin!BN9+Wawakepewin!BN9</f>
        <v>14229344</v>
      </c>
      <c r="O9" s="70">
        <f>Armstrong!BO9+'Bearskin Lake'!BO9+Biscotasing!BO9+'Deer Lake'!BO9+'Fort Severn'!BO9+'Gull Bay'!BO9+Hillsport!BO9+Kasabonika!BO9+Kingfisher!BO9+Lansdowne!BO9+'Marten Falls'!BO9+Oba!BO9+Sachigo!BO9+'Sandy Lake'!BO9+Sultan!BO9+Wapekeka!BO9+Weagamow!BO9+Webequie!BO9+'Cat Lake'!BO9+Pikangikum!BO9+'Big Trout Lake'!BO9+'Poplar Hill'!BO9+'North Spirit'!BO9+Keewaywin!BO9+'Muskrat Dam'!BO9+Wunnumin!BO9+Wawakepewin!BO9</f>
        <v>10815113</v>
      </c>
    </row>
    <row r="10" spans="1:15">
      <c r="A10" s="2" t="s">
        <v>52</v>
      </c>
      <c r="B10" s="123"/>
      <c r="C10" s="109"/>
      <c r="D10" s="109"/>
      <c r="E10" s="108">
        <f>Armstrong!BE10+'Bearskin Lake'!BE10+Biscotasing!BE10+'Deer Lake'!BE10+'Fort Severn'!BE10+'Gull Bay'!BE10+Hillsport!BE10+Kasabonika!BE10+Kingfisher!BE10+Lansdowne!BE10+'Marten Falls'!BE10+Oba!BE10+Sachigo!BE10+'Sandy Lake'!BE10+Sultan!BE10+Wapekeka!BE10+Weagamow!BE10+Webequie!BE10+'Cat Lake'!BE10+Pikangikum!BE10+'Big Trout Lake'!BE10+'Poplar Hill'!BE10+'North Spirit'!BE10+Keewaywin!BE10+'Muskrat Dam'!BE10+Wunnumin!BE10+Wawakepewin!BE10</f>
        <v>275424</v>
      </c>
      <c r="F10" s="108">
        <f>Armstrong!BF10+'Bearskin Lake'!BF10+Biscotasing!BF10+'Deer Lake'!BF10+'Fort Severn'!BF10+'Gull Bay'!BF10+Hillsport!BF10+Kasabonika!BF10+Kingfisher!BF10+Lansdowne!BF10+'Marten Falls'!BF10+Oba!BF10+Sachigo!BF10+'Sandy Lake'!BF10+Sultan!BF10+Wapekeka!BF10+Weagamow!BF10+Webequie!BF10+'Cat Lake'!BF10+Pikangikum!BF10+'Big Trout Lake'!BF10+'Poplar Hill'!BF10+'North Spirit'!BF10+Keewaywin!BF10+'Muskrat Dam'!BF10+Wunnumin!BF10+Wawakepewin!BF10</f>
        <v>243186</v>
      </c>
      <c r="G10" s="108">
        <f>Armstrong!BG10+'Bearskin Lake'!BG10+Biscotasing!BG10+'Deer Lake'!BG10+'Fort Severn'!BG10+'Gull Bay'!BG10+Hillsport!BG10+Kasabonika!BG10+Kingfisher!BG10+Lansdowne!BG10+'Marten Falls'!BG10+Oba!BG10+Sachigo!BG10+'Sandy Lake'!BG10+Sultan!BG10+Wapekeka!BG10+Weagamow!BG10+Webequie!BG10+'Cat Lake'!BG10+Pikangikum!BG10+'Big Trout Lake'!BG10+'Poplar Hill'!BG10+'North Spirit'!BG10+Keewaywin!BG10+'Muskrat Dam'!BG10+Wunnumin!BG10+Wawakepewin!BG10</f>
        <v>200520</v>
      </c>
      <c r="H10" s="71">
        <f>Armstrong!BH10+'Bearskin Lake'!BH10+Biscotasing!BH10+'Deer Lake'!BH10+'Fort Severn'!BH10+'Gull Bay'!BH10+Hillsport!BH10+Kasabonika!BH10+Kingfisher!BH10+Lansdowne!BH10+'Marten Falls'!BH10+Oba!BH10+Sachigo!BH10+'Sandy Lake'!BH10+Sultan!BH10+Wapekeka!BH10+Weagamow!BH10+Webequie!BH10+'Cat Lake'!BH10+Pikangikum!BH10+'Big Trout Lake'!BH10+'Poplar Hill'!BH10+'North Spirit'!BH10+Keewaywin!BH10+'Muskrat Dam'!BH10+Wunnumin!BH10+Wawakepewin!BH10</f>
        <v>143202</v>
      </c>
      <c r="I10" s="71">
        <f>Armstrong!BI10+'Bearskin Lake'!BI10+Biscotasing!BI10+'Deer Lake'!BI10+'Fort Severn'!BI10+'Gull Bay'!BI10+Hillsport!BI10+Kasabonika!BI10+Kingfisher!BI10+Lansdowne!BI10+'Marten Falls'!BI10+Oba!BI10+Sachigo!BI10+'Sandy Lake'!BI10+Sultan!BI10+Wapekeka!BI10+Weagamow!BI10+Webequie!BI10+'Cat Lake'!BI10+Pikangikum!BI10+'Big Trout Lake'!BI10+'Poplar Hill'!BI10+'North Spirit'!BI10+Keewaywin!BI10+'Muskrat Dam'!BI10+Wunnumin!BI10+Wawakepewin!BI10</f>
        <v>146929</v>
      </c>
      <c r="J10" s="71">
        <f>Armstrong!BJ10+'Bearskin Lake'!BJ10+Biscotasing!BJ10+'Deer Lake'!BJ10+'Fort Severn'!BJ10+'Gull Bay'!BJ10+Hillsport!BJ10+Kasabonika!BJ10+Kingfisher!BJ10+Lansdowne!BJ10+'Marten Falls'!BJ10+Oba!BJ10+Sachigo!BJ10+'Sandy Lake'!BJ10+Sultan!BJ10+Wapekeka!BJ10+Weagamow!BJ10+Webequie!BJ10+'Cat Lake'!BJ10+Pikangikum!BJ10+'Big Trout Lake'!BJ10+'Poplar Hill'!BJ10+'North Spirit'!BJ10+Keewaywin!BJ10+'Muskrat Dam'!BJ10+Wunnumin!BJ10+Wawakepewin!BJ10</f>
        <v>136930</v>
      </c>
      <c r="K10" s="71">
        <f>Armstrong!BK10+'Bearskin Lake'!BK10+Biscotasing!BK10+'Deer Lake'!BK10+'Fort Severn'!BK10+'Gull Bay'!BK10+Hillsport!BK10+Kasabonika!BK10+Kingfisher!BK10+Lansdowne!BK10+'Marten Falls'!BK10+Oba!BK10+Sachigo!BK10+'Sandy Lake'!BK10+Sultan!BK10+Wapekeka!BK10+Weagamow!BK10+Webequie!BK10+'Cat Lake'!BK10+Pikangikum!BK10+'Big Trout Lake'!BK10+'Poplar Hill'!BK10+'North Spirit'!BK10+Keewaywin!BK10+'Muskrat Dam'!BK10+Wunnumin!BK10+Wawakepewin!BK10</f>
        <v>172013</v>
      </c>
      <c r="L10" s="71">
        <f>Armstrong!BL10+'Bearskin Lake'!BL10+Biscotasing!BL10+'Deer Lake'!BL10+'Fort Severn'!BL10+'Gull Bay'!BL10+Hillsport!BL10+Kasabonika!BL10+Kingfisher!BL10+Lansdowne!BL10+'Marten Falls'!BL10+Oba!BL10+Sachigo!BL10+'Sandy Lake'!BL10+Sultan!BL10+Wapekeka!BL10+Weagamow!BL10+Webequie!BL10+'Cat Lake'!BL10+Pikangikum!BL10+'Big Trout Lake'!BL10+'Poplar Hill'!BL10+'North Spirit'!BL10+Keewaywin!BL10+'Muskrat Dam'!BL10+Wunnumin!BL10+Wawakepewin!BL10</f>
        <v>213082</v>
      </c>
      <c r="M10" s="71">
        <f>Armstrong!BM10+'Bearskin Lake'!BM10+Biscotasing!BM10+'Deer Lake'!BM10+'Fort Severn'!BM10+'Gull Bay'!BM10+Hillsport!BM10+Kasabonika!BM10+Kingfisher!BM10+Lansdowne!BM10+'Marten Falls'!BM10+Oba!BM10+Sachigo!BM10+'Sandy Lake'!BM10+Sultan!BM10+Wapekeka!BM10+Weagamow!BM10+Webequie!BM10+'Cat Lake'!BM10+Pikangikum!BM10+'Big Trout Lake'!BM10+'Poplar Hill'!BM10+'North Spirit'!BM10+Keewaywin!BM10+'Muskrat Dam'!BM10+Wunnumin!BM10+Wawakepewin!BM10</f>
        <v>227435</v>
      </c>
      <c r="N10" s="70">
        <f>Armstrong!BN10+'Bearskin Lake'!BN10+Biscotasing!BN10+'Deer Lake'!BN10+'Fort Severn'!BN10+'Gull Bay'!BN10+Hillsport!BN10+Kasabonika!BN10+Kingfisher!BN10+Lansdowne!BN10+'Marten Falls'!BN10+Oba!BN10+Sachigo!BN10+'Sandy Lake'!BN10+Sultan!BN10+Wapekeka!BN10+Weagamow!BN10+Webequie!BN10+'Cat Lake'!BN10+Pikangikum!BN10+'Big Trout Lake'!BN10+'Poplar Hill'!BN10+'North Spirit'!BN10+Keewaywin!BN10+'Muskrat Dam'!BN10+Wunnumin!BN10+Wawakepewin!BN10</f>
        <v>2713223</v>
      </c>
      <c r="O10" s="70">
        <f>Armstrong!BO10+'Bearskin Lake'!BO10+Biscotasing!BO10+'Deer Lake'!BO10+'Fort Severn'!BO10+'Gull Bay'!BO10+Hillsport!BO10+Kasabonika!BO10+Kingfisher!BO10+Lansdowne!BO10+'Marten Falls'!BO10+Oba!BO10+Sachigo!BO10+'Sandy Lake'!BO10+Sultan!BO10+Wapekeka!BO10+Weagamow!BO10+Webequie!BO10+'Cat Lake'!BO10+Pikangikum!BO10+'Big Trout Lake'!BO10+'Poplar Hill'!BO10+'North Spirit'!BO10+Keewaywin!BO10+'Muskrat Dam'!BO10+Wunnumin!BO10+Wawakepewin!BO10</f>
        <v>2062199</v>
      </c>
    </row>
    <row r="11" spans="1:15" ht="15" thickBot="1">
      <c r="A11" s="199" t="s">
        <v>30</v>
      </c>
      <c r="B11" s="240"/>
      <c r="C11" s="117"/>
      <c r="D11" s="117"/>
      <c r="E11" s="114">
        <f>Armstrong!BE11+'Bearskin Lake'!BE11+Biscotasing!BE11+'Deer Lake'!BE11+'Fort Severn'!BE11+'Gull Bay'!BE11+Hillsport!BE11+Kasabonika!BE11+Kingfisher!BE11+Lansdowne!BE11+'Marten Falls'!BE11+Oba!BE11+Sachigo!BE11+'Sandy Lake'!BE11+Sultan!BE11+Wapekeka!BE11+Weagamow!BE11+Webequie!BE11+'Cat Lake'!BE11+Pikangikum!BE11+'Big Trout Lake'!BE11+'Poplar Hill'!BE11+'North Spirit'!BE11+Keewaywin!BE11+'Muskrat Dam'!BE11+Wunnumin!BE11+Wawakepewin!BE11</f>
        <v>4430642</v>
      </c>
      <c r="F11" s="114">
        <f>Armstrong!BF11+'Bearskin Lake'!BF11+Biscotasing!BF11+'Deer Lake'!BF11+'Fort Severn'!BF11+'Gull Bay'!BF11+Hillsport!BF11+Kasabonika!BF11+Kingfisher!BF11+Lansdowne!BF11+'Marten Falls'!BF11+Oba!BF11+Sachigo!BF11+'Sandy Lake'!BF11+Sultan!BF11+Wapekeka!BF11+Weagamow!BF11+Webequie!BF11+'Cat Lake'!BF11+Pikangikum!BF11+'Big Trout Lake'!BF11+'Poplar Hill'!BF11+'North Spirit'!BF11+Keewaywin!BF11+'Muskrat Dam'!BF11+Wunnumin!BF11+Wawakepewin!BF11</f>
        <v>3912038</v>
      </c>
      <c r="G11" s="114">
        <f>Armstrong!BG11+'Bearskin Lake'!BG11+Biscotasing!BG11+'Deer Lake'!BG11+'Fort Severn'!BG11+'Gull Bay'!BG11+Hillsport!BG11+Kasabonika!BG11+Kingfisher!BG11+Lansdowne!BG11+'Marten Falls'!BG11+Oba!BG11+Sachigo!BG11+'Sandy Lake'!BG11+Sultan!BG11+Wapekeka!BG11+Weagamow!BG11+Webequie!BG11+'Cat Lake'!BG11+Pikangikum!BG11+'Big Trout Lake'!BG11+'Poplar Hill'!BG11+'North Spirit'!BG11+Keewaywin!BG11+'Muskrat Dam'!BG11+Wunnumin!BG11+Wawakepewin!BG11</f>
        <v>3225712</v>
      </c>
      <c r="H11" s="114">
        <f>Armstrong!BH11+'Bearskin Lake'!BH11+Biscotasing!BH11+'Deer Lake'!BH11+'Fort Severn'!BH11+'Gull Bay'!BH11+Hillsport!BH11+Kasabonika!BH11+Kingfisher!BH11+Lansdowne!BH11+'Marten Falls'!BH11+Oba!BH11+Sachigo!BH11+'Sandy Lake'!BH11+Sultan!BH11+Wapekeka!BH11+Weagamow!BH11+Webequie!BH11+'Cat Lake'!BH11+Pikangikum!BH11+'Big Trout Lake'!BH11+'Poplar Hill'!BH11+'North Spirit'!BH11+Keewaywin!BH11+'Muskrat Dam'!BH11+Wunnumin!BH11+Wawakepewin!BH11</f>
        <v>2303662</v>
      </c>
      <c r="I11" s="114">
        <f>Armstrong!BI11+'Bearskin Lake'!BI11+Biscotasing!BI11+'Deer Lake'!BI11+'Fort Severn'!BI11+'Gull Bay'!BI11+Hillsport!BI11+Kasabonika!BI11+Kingfisher!BI11+Lansdowne!BI11+'Marten Falls'!BI11+Oba!BI11+Sachigo!BI11+'Sandy Lake'!BI11+Sultan!BI11+Wapekeka!BI11+Weagamow!BI11+Webequie!BI11+'Cat Lake'!BI11+Pikangikum!BI11+'Big Trout Lake'!BI11+'Poplar Hill'!BI11+'North Spirit'!BI11+Keewaywin!BI11+'Muskrat Dam'!BI11+Wunnumin!BI11+Wawakepewin!BI11</f>
        <v>2363612</v>
      </c>
      <c r="J11" s="114">
        <f>Armstrong!BJ11+'Bearskin Lake'!BJ11+Biscotasing!BJ11+'Deer Lake'!BJ11+'Fort Severn'!BJ11+'Gull Bay'!BJ11+Hillsport!BJ11+Kasabonika!BJ11+Kingfisher!BJ11+Lansdowne!BJ11+'Marten Falls'!BJ11+Oba!BJ11+Sachigo!BJ11+'Sandy Lake'!BJ11+Sultan!BJ11+Wapekeka!BJ11+Weagamow!BJ11+Webequie!BJ11+'Cat Lake'!BJ11+Pikangikum!BJ11+'Big Trout Lake'!BJ11+'Poplar Hill'!BJ11+'North Spirit'!BJ11+Keewaywin!BJ11+'Muskrat Dam'!BJ11+Wunnumin!BJ11+Wawakepewin!BJ11</f>
        <v>2202773</v>
      </c>
      <c r="K11" s="114">
        <f>Armstrong!BK11+'Bearskin Lake'!BK11+Biscotasing!BK11+'Deer Lake'!BK11+'Fort Severn'!BK11+'Gull Bay'!BK11+Hillsport!BK11+Kasabonika!BK11+Kingfisher!BK11+Lansdowne!BK11+'Marten Falls'!BK11+Oba!BK11+Sachigo!BK11+'Sandy Lake'!BK11+Sultan!BK11+Wapekeka!BK11+Weagamow!BK11+Webequie!BK11+'Cat Lake'!BK11+Pikangikum!BK11+'Big Trout Lake'!BK11+'Poplar Hill'!BK11+'North Spirit'!BK11+Keewaywin!BK11+'Muskrat Dam'!BK11+Wunnumin!BK11+Wawakepewin!BK11</f>
        <v>2767151</v>
      </c>
      <c r="L11" s="114">
        <f>Armstrong!BL11+'Bearskin Lake'!BL11+Biscotasing!BL11+'Deer Lake'!BL11+'Fort Severn'!BL11+'Gull Bay'!BL11+Hillsport!BL11+Kasabonika!BL11+Kingfisher!BL11+Lansdowne!BL11+'Marten Falls'!BL11+Oba!BL11+Sachigo!BL11+'Sandy Lake'!BL11+Sultan!BL11+Wapekeka!BL11+Weagamow!BL11+Webequie!BL11+'Cat Lake'!BL11+Pikangikum!BL11+'Big Trout Lake'!BL11+'Poplar Hill'!BL11+'North Spirit'!BL11+Keewaywin!BL11+'Muskrat Dam'!BL11+Wunnumin!BL11+Wawakepewin!BL11</f>
        <v>3427771</v>
      </c>
      <c r="M11" s="114">
        <f>Armstrong!BM11+'Bearskin Lake'!BM11+Biscotasing!BM11+'Deer Lake'!BM11+'Fort Severn'!BM11+'Gull Bay'!BM11+Hillsport!BM11+Kasabonika!BM11+Kingfisher!BM11+Lansdowne!BM11+'Marten Falls'!BM11+Oba!BM11+Sachigo!BM11+'Sandy Lake'!BM11+Sultan!BM11+Wapekeka!BM11+Weagamow!BM11+Webequie!BM11+'Cat Lake'!BM11+Pikangikum!BM11+'Big Trout Lake'!BM11+'Poplar Hill'!BM11+'North Spirit'!BM11+Keewaywin!BM11+'Muskrat Dam'!BM11+Wunnumin!BM11+Wawakepewin!BM11</f>
        <v>3658670</v>
      </c>
      <c r="N11" s="484">
        <f>Armstrong!BN11+'Bearskin Lake'!BN11+Biscotasing!BN11+'Deer Lake'!BN11+'Fort Severn'!BN11+'Gull Bay'!BN11+Hillsport!BN11+Kasabonika!BN11+Kingfisher!BN11+Lansdowne!BN11+'Marten Falls'!BN11+Oba!BN11+Sachigo!BN11+'Sandy Lake'!BN11+Sultan!BN11+Wapekeka!BN11+Weagamow!BN11+Webequie!BN11+'Cat Lake'!BN11+Pikangikum!BN11+'Big Trout Lake'!BN11+'Poplar Hill'!BN11+'North Spirit'!BN11+Keewaywin!BN11+'Muskrat Dam'!BN11+Wunnumin!BN11+Wawakepewin!BN11</f>
        <v>43646831</v>
      </c>
      <c r="O11" s="484">
        <f>Armstrong!BO11+'Bearskin Lake'!BO11+Biscotasing!BO11+'Deer Lake'!BO11+'Fort Severn'!BO11+'Gull Bay'!BO11+Hillsport!BO11+Kasabonika!BO11+Kingfisher!BO11+Lansdowne!BO11+'Marten Falls'!BO11+Oba!BO11+Sachigo!BO11+'Sandy Lake'!BO11+Sultan!BO11+Wapekeka!BO11+Weagamow!BO11+Webequie!BO11+'Cat Lake'!BO11+Pikangikum!BO11+'Big Trout Lake'!BO11+'Poplar Hill'!BO11+'North Spirit'!BO11+Keewaywin!BO11+'Muskrat Dam'!BO11+Wunnumin!BO11+Wawakepewin!BO11</f>
        <v>33174074</v>
      </c>
    </row>
    <row r="12" spans="1:15" ht="15" thickTop="1">
      <c r="A12" s="198" t="s">
        <v>53</v>
      </c>
      <c r="B12" s="52"/>
      <c r="C12" s="39"/>
      <c r="D12" s="39"/>
      <c r="E12" s="9"/>
      <c r="F12" s="9"/>
      <c r="G12" s="9"/>
      <c r="H12" s="9"/>
      <c r="I12" s="9"/>
      <c r="J12" s="9"/>
      <c r="K12" s="9"/>
      <c r="L12" s="9"/>
      <c r="M12" s="9"/>
      <c r="N12" s="58"/>
      <c r="O12" s="58"/>
    </row>
    <row r="13" spans="1:15">
      <c r="A13" s="2" t="s">
        <v>49</v>
      </c>
      <c r="B13" s="123"/>
      <c r="C13" s="109"/>
      <c r="D13" s="109"/>
      <c r="E13" s="108">
        <f>Armstrong!BE15+'Bearskin Lake'!BE15+Biscotasing!BE15+'Deer Lake'!BE15+'Fort Severn'!BE15+'Gull Bay'!BE15+Hillsport!BE15+Kasabonika!BE15+Kingfisher!BE15+Lansdowne!BE15+'Marten Falls'!BE15+Oba!BE15+Sachigo!BE15+'Sandy Lake'!BE15+Sultan!BE15+Wapekeka!BE15+Weagamow!BE15+Webequie!BE15+'Cat Lake'!BE15+Pikangikum!BE15+'Big Trout Lake'!BE15+'Poplar Hill'!BE15+'North Spirit'!BE15+Keewaywin!BE15+'Muskrat Dam'!BE15+Wunnumin!BE15+Wawakepewin!BE15</f>
        <v>463</v>
      </c>
      <c r="F13" s="108">
        <f>Armstrong!BF15+'Bearskin Lake'!BF15+Biscotasing!BF15+'Deer Lake'!BF15+'Fort Severn'!BF15+'Gull Bay'!BF15+Hillsport!BF15+Kasabonika!BF15+Kingfisher!BF15+Lansdowne!BF15+'Marten Falls'!BF15+Oba!BF15+Sachigo!BF15+'Sandy Lake'!BF15+Sultan!BF15+Wapekeka!BF15+Weagamow!BF15+Webequie!BF15+'Cat Lake'!BF15+Pikangikum!BF15+'Big Trout Lake'!BF15+'Poplar Hill'!BF15+'North Spirit'!BF15+Keewaywin!BF15+'Muskrat Dam'!BF15+Wunnumin!BF15+Wawakepewin!BF15</f>
        <v>463</v>
      </c>
      <c r="G13" s="108">
        <f>Armstrong!BG15+'Bearskin Lake'!BG15+Biscotasing!BG15+'Deer Lake'!BG15+'Fort Severn'!BG15+'Gull Bay'!BG15+Hillsport!BG15+Kasabonika!BG15+Kingfisher!BG15+Lansdowne!BG15+'Marten Falls'!BG15+Oba!BG15+Sachigo!BG15+'Sandy Lake'!BG15+Sultan!BG15+Wapekeka!BG15+Weagamow!BG15+Webequie!BG15+'Cat Lake'!BG15+Pikangikum!BG15+'Big Trout Lake'!BG15+'Poplar Hill'!BG15+'North Spirit'!BG15+Keewaywin!BG15+'Muskrat Dam'!BG15+Wunnumin!BG15+Wawakepewin!BG15</f>
        <v>463</v>
      </c>
      <c r="H13" s="71">
        <f>Armstrong!BH15+'Bearskin Lake'!BH15+Biscotasing!BH15+'Deer Lake'!BH15+'Fort Severn'!BH15+'Gull Bay'!BH15+Hillsport!BH15+Kasabonika!BH15+Kingfisher!BH15+Lansdowne!BH15+'Marten Falls'!BH15+Oba!BH15+Sachigo!BH15+'Sandy Lake'!BH15+Sultan!BH15+Wapekeka!BH15+Weagamow!BH15+Webequie!BH15+'Cat Lake'!BH15+Pikangikum!BH15+'Big Trout Lake'!BH15+'Poplar Hill'!BH15+'North Spirit'!BH15+Keewaywin!BH15+'Muskrat Dam'!BH15+Wunnumin!BH15+Wawakepewin!BH15</f>
        <v>863</v>
      </c>
      <c r="I13" s="71">
        <f>Armstrong!BI15+'Bearskin Lake'!BI15+Biscotasing!BI15+'Deer Lake'!BI15+'Fort Severn'!BI15+'Gull Bay'!BI15+Hillsport!BI15+Kasabonika!BI15+Kingfisher!BI15+Lansdowne!BI15+'Marten Falls'!BI15+Oba!BI15+Sachigo!BI15+'Sandy Lake'!BI15+Sultan!BI15+Wapekeka!BI15+Weagamow!BI15+Webequie!BI15+'Cat Lake'!BI15+Pikangikum!BI15+'Big Trout Lake'!BI15+'Poplar Hill'!BI15+'North Spirit'!BI15+Keewaywin!BI15+'Muskrat Dam'!BI15+Wunnumin!BI15+Wawakepewin!BI15</f>
        <v>863</v>
      </c>
      <c r="J13" s="71">
        <f>Armstrong!BJ15+'Bearskin Lake'!BJ15+Biscotasing!BJ15+'Deer Lake'!BJ15+'Fort Severn'!BJ15+'Gull Bay'!BJ15+Hillsport!BJ15+Kasabonika!BJ15+Kingfisher!BJ15+Lansdowne!BJ15+'Marten Falls'!BJ15+Oba!BJ15+Sachigo!BJ15+'Sandy Lake'!BJ15+Sultan!BJ15+Wapekeka!BJ15+Weagamow!BJ15+Webequie!BJ15+'Cat Lake'!BJ15+Pikangikum!BJ15+'Big Trout Lake'!BJ15+'Poplar Hill'!BJ15+'North Spirit'!BJ15+Keewaywin!BJ15+'Muskrat Dam'!BJ15+Wunnumin!BJ15+Wawakepewin!BJ15</f>
        <v>863</v>
      </c>
      <c r="K13" s="71">
        <f>Armstrong!BK15+'Bearskin Lake'!BK15+Biscotasing!BK15+'Deer Lake'!BK15+'Fort Severn'!BK15+'Gull Bay'!BK15+Hillsport!BK15+Kasabonika!BK15+Kingfisher!BK15+Lansdowne!BK15+'Marten Falls'!BK15+Oba!BK15+Sachigo!BK15+'Sandy Lake'!BK15+Sultan!BK15+Wapekeka!BK15+Weagamow!BK15+Webequie!BK15+'Cat Lake'!BK15+Pikangikum!BK15+'Big Trout Lake'!BK15+'Poplar Hill'!BK15+'North Spirit'!BK15+Keewaywin!BK15+'Muskrat Dam'!BK15+Wunnumin!BK15+Wawakepewin!BK15</f>
        <v>863</v>
      </c>
      <c r="L13" s="71">
        <f>Armstrong!BL15+'Bearskin Lake'!BL15+Biscotasing!BL15+'Deer Lake'!BL15+'Fort Severn'!BL15+'Gull Bay'!BL15+Hillsport!BL15+Kasabonika!BL15+Kingfisher!BL15+Lansdowne!BL15+'Marten Falls'!BL15+Oba!BL15+Sachigo!BL15+'Sandy Lake'!BL15+Sultan!BL15+Wapekeka!BL15+Weagamow!BL15+Webequie!BL15+'Cat Lake'!BL15+Pikangikum!BL15+'Big Trout Lake'!BL15+'Poplar Hill'!BL15+'North Spirit'!BL15+Keewaywin!BL15+'Muskrat Dam'!BL15+Wunnumin!BL15+Wawakepewin!BL15</f>
        <v>863</v>
      </c>
      <c r="M13" s="71">
        <f>Armstrong!BM15+'Bearskin Lake'!BM15+Biscotasing!BM15+'Deer Lake'!BM15+'Fort Severn'!BM15+'Gull Bay'!BM15+Hillsport!BM15+Kasabonika!BM15+Kingfisher!BM15+Lansdowne!BM15+'Marten Falls'!BM15+Oba!BM15+Sachigo!BM15+'Sandy Lake'!BM15+Sultan!BM15+Wapekeka!BM15+Weagamow!BM15+Webequie!BM15+'Cat Lake'!BM15+Pikangikum!BM15+'Big Trout Lake'!BM15+'Poplar Hill'!BM15+'North Spirit'!BM15+Keewaywin!BM15+'Muskrat Dam'!BM15+Wunnumin!BM15+Wawakepewin!BM15</f>
        <v>863</v>
      </c>
      <c r="N13" s="70">
        <f>Armstrong!BN15+'Bearskin Lake'!BN15+Biscotasing!BN15+'Deer Lake'!BN15+'Fort Severn'!BN15+'Gull Bay'!BN15+Hillsport!BN15+Kasabonika!BN15+Kingfisher!BN15+Lansdowne!BN15+'Marten Falls'!BN15+Oba!BN15+Sachigo!BN15+'Sandy Lake'!BN15+Sultan!BN15+Wapekeka!BN15+Weagamow!BN15+Webequie!BN15+'Cat Lake'!BN15+Pikangikum!BN15+'Big Trout Lake'!BN15+'Poplar Hill'!BN15+'North Spirit'!BN15+Keewaywin!BN15+'Muskrat Dam'!BN15+Wunnumin!BN15+Wawakepewin!BN15</f>
        <v>854</v>
      </c>
      <c r="O13" s="70">
        <f>Armstrong!BO15+'Bearskin Lake'!BO15+Biscotasing!BO15+'Deer Lake'!BO15+'Fort Severn'!BO15+'Gull Bay'!BO15+Hillsport!BO15+Kasabonika!BO15+Kingfisher!BO15+Lansdowne!BO15+'Marten Falls'!BO15+Oba!BO15+Sachigo!BO15+'Sandy Lake'!BO15+Sultan!BO15+Wapekeka!BO15+Weagamow!BO15+Webequie!BO15+'Cat Lake'!BO15+Pikangikum!BO15+'Big Trout Lake'!BO15+'Poplar Hill'!BO15+'North Spirit'!BO15+Keewaywin!BO15+'Muskrat Dam'!BO15+Wunnumin!BO15+Wawakepewin!BO15</f>
        <v>2346</v>
      </c>
    </row>
    <row r="14" spans="1:15">
      <c r="A14" s="2" t="s">
        <v>50</v>
      </c>
      <c r="B14" s="123"/>
      <c r="C14" s="109"/>
      <c r="D14" s="109"/>
      <c r="E14" s="108">
        <f>Armstrong!BE16+'Bearskin Lake'!BE16+Biscotasing!BE16+'Deer Lake'!BE16+'Fort Severn'!BE16+'Gull Bay'!BE16+Hillsport!BE16+Kasabonika!BE16+Kingfisher!BE16+Lansdowne!BE16+'Marten Falls'!BE16+Oba!BE16+Sachigo!BE16+'Sandy Lake'!BE16+Sultan!BE16+Wapekeka!BE16+Weagamow!BE16+Webequie!BE16+'Cat Lake'!BE16+Pikangikum!BE16+'Big Trout Lake'!BE16+'Poplar Hill'!BE16+'North Spirit'!BE16+Keewaywin!BE16+'Muskrat Dam'!BE16+Wunnumin!BE16+Wawakepewin!BE16</f>
        <v>411843</v>
      </c>
      <c r="F14" s="108">
        <f>Armstrong!BF16+'Bearskin Lake'!BF16+Biscotasing!BF16+'Deer Lake'!BF16+'Fort Severn'!BF16+'Gull Bay'!BF16+Hillsport!BF16+Kasabonika!BF16+Kingfisher!BF16+Lansdowne!BF16+'Marten Falls'!BF16+Oba!BF16+Sachigo!BF16+'Sandy Lake'!BF16+Sultan!BF16+Wapekeka!BF16+Weagamow!BF16+Webequie!BF16+'Cat Lake'!BF16+Pikangikum!BF16+'Big Trout Lake'!BF16+'Poplar Hill'!BF16+'North Spirit'!BF16+Keewaywin!BF16+'Muskrat Dam'!BF16+Wunnumin!BF16+Wawakepewin!BF16</f>
        <v>364112</v>
      </c>
      <c r="G14" s="108">
        <f>Armstrong!BG16+'Bearskin Lake'!BG16+Biscotasing!BG16+'Deer Lake'!BG16+'Fort Severn'!BG16+'Gull Bay'!BG16+Hillsport!BG16+Kasabonika!BG16+Kingfisher!BG16+Lansdowne!BG16+'Marten Falls'!BG16+Oba!BG16+Sachigo!BG16+'Sandy Lake'!BG16+Sultan!BG16+Wapekeka!BG16+Weagamow!BG16+Webequie!BG16+'Cat Lake'!BG16+Pikangikum!BG16+'Big Trout Lake'!BG16+'Poplar Hill'!BG16+'North Spirit'!BG16+Keewaywin!BG16+'Muskrat Dam'!BG16+Wunnumin!BG16+Wawakepewin!BG16</f>
        <v>272740</v>
      </c>
      <c r="H14" s="71">
        <f>Armstrong!BH16+'Bearskin Lake'!BH16+Biscotasing!BH16+'Deer Lake'!BH16+'Fort Severn'!BH16+'Gull Bay'!BH16+Hillsport!BH16+Kasabonika!BH16+Kingfisher!BH16+Lansdowne!BH16+'Marten Falls'!BH16+Oba!BH16+Sachigo!BH16+'Sandy Lake'!BH16+Sultan!BH16+Wapekeka!BH16+Weagamow!BH16+Webequie!BH16+'Cat Lake'!BH16+Pikangikum!BH16+'Big Trout Lake'!BH16+'Poplar Hill'!BH16+'North Spirit'!BH16+Keewaywin!BH16+'Muskrat Dam'!BH16+Wunnumin!BH16+Wawakepewin!BH16</f>
        <v>459145</v>
      </c>
      <c r="I14" s="71">
        <f>Armstrong!BI16+'Bearskin Lake'!BI16+Biscotasing!BI16+'Deer Lake'!BI16+'Fort Severn'!BI16+'Gull Bay'!BI16+Hillsport!BI16+Kasabonika!BI16+Kingfisher!BI16+Lansdowne!BI16+'Marten Falls'!BI16+Oba!BI16+Sachigo!BI16+'Sandy Lake'!BI16+Sultan!BI16+Wapekeka!BI16+Weagamow!BI16+Webequie!BI16+'Cat Lake'!BI16+Pikangikum!BI16+'Big Trout Lake'!BI16+'Poplar Hill'!BI16+'North Spirit'!BI16+Keewaywin!BI16+'Muskrat Dam'!BI16+Wunnumin!BI16+Wawakepewin!BI16</f>
        <v>496529</v>
      </c>
      <c r="J14" s="71">
        <f>Armstrong!BJ16+'Bearskin Lake'!BJ16+Biscotasing!BJ16+'Deer Lake'!BJ16+'Fort Severn'!BJ16+'Gull Bay'!BJ16+Hillsport!BJ16+Kasabonika!BJ16+Kingfisher!BJ16+Lansdowne!BJ16+'Marten Falls'!BJ16+Oba!BJ16+Sachigo!BJ16+'Sandy Lake'!BJ16+Sultan!BJ16+Wapekeka!BJ16+Weagamow!BJ16+Webequie!BJ16+'Cat Lake'!BJ16+Pikangikum!BJ16+'Big Trout Lake'!BJ16+'Poplar Hill'!BJ16+'North Spirit'!BJ16+Keewaywin!BJ16+'Muskrat Dam'!BJ16+Wunnumin!BJ16+Wawakepewin!BJ16</f>
        <v>510096</v>
      </c>
      <c r="K14" s="71">
        <f>Armstrong!BK16+'Bearskin Lake'!BK16+Biscotasing!BK16+'Deer Lake'!BK16+'Fort Severn'!BK16+'Gull Bay'!BK16+Hillsport!BK16+Kasabonika!BK16+Kingfisher!BK16+Lansdowne!BK16+'Marten Falls'!BK16+Oba!BK16+Sachigo!BK16+'Sandy Lake'!BK16+Sultan!BK16+Wapekeka!BK16+Weagamow!BK16+Webequie!BK16+'Cat Lake'!BK16+Pikangikum!BK16+'Big Trout Lake'!BK16+'Poplar Hill'!BK16+'North Spirit'!BK16+Keewaywin!BK16+'Muskrat Dam'!BK16+Wunnumin!BK16+Wawakepewin!BK16</f>
        <v>522180</v>
      </c>
      <c r="L14" s="71">
        <f>Armstrong!BL16+'Bearskin Lake'!BL16+Biscotasing!BL16+'Deer Lake'!BL16+'Fort Severn'!BL16+'Gull Bay'!BL16+Hillsport!BL16+Kasabonika!BL16+Kingfisher!BL16+Lansdowne!BL16+'Marten Falls'!BL16+Oba!BL16+Sachigo!BL16+'Sandy Lake'!BL16+Sultan!BL16+Wapekeka!BL16+Weagamow!BL16+Webequie!BL16+'Cat Lake'!BL16+Pikangikum!BL16+'Big Trout Lake'!BL16+'Poplar Hill'!BL16+'North Spirit'!BL16+Keewaywin!BL16+'Muskrat Dam'!BL16+Wunnumin!BL16+Wawakepewin!BL16</f>
        <v>590282</v>
      </c>
      <c r="M14" s="71">
        <f>Armstrong!BM16+'Bearskin Lake'!BM16+Biscotasing!BM16+'Deer Lake'!BM16+'Fort Severn'!BM16+'Gull Bay'!BM16+Hillsport!BM16+Kasabonika!BM16+Kingfisher!BM16+Lansdowne!BM16+'Marten Falls'!BM16+Oba!BM16+Sachigo!BM16+'Sandy Lake'!BM16+Sultan!BM16+Wapekeka!BM16+Weagamow!BM16+Webequie!BM16+'Cat Lake'!BM16+Pikangikum!BM16+'Big Trout Lake'!BM16+'Poplar Hill'!BM16+'North Spirit'!BM16+Keewaywin!BM16+'Muskrat Dam'!BM16+Wunnumin!BM16+Wawakepewin!BM16</f>
        <v>692712</v>
      </c>
      <c r="N14" s="70">
        <f>Armstrong!BN16+'Bearskin Lake'!BN16+Biscotasing!BN16+'Deer Lake'!BN16+'Fort Severn'!BN16+'Gull Bay'!BN16+Hillsport!BN16+Kasabonika!BN16+Kingfisher!BN16+Lansdowne!BN16+'Marten Falls'!BN16+Oba!BN16+Sachigo!BN16+'Sandy Lake'!BN16+Sultan!BN16+Wapekeka!BN16+Weagamow!BN16+Webequie!BN16+'Cat Lake'!BN16+Pikangikum!BN16+'Big Trout Lake'!BN16+'Poplar Hill'!BN16+'North Spirit'!BN16+Keewaywin!BN16+'Muskrat Dam'!BN16+Wunnumin!BN16+Wawakepewin!BN16</f>
        <v>5869897</v>
      </c>
      <c r="O14" s="70">
        <f>Armstrong!BO16+'Bearskin Lake'!BO16+Biscotasing!BO16+'Deer Lake'!BO16+'Fort Severn'!BO16+'Gull Bay'!BO16+Hillsport!BO16+Kasabonika!BO16+Kingfisher!BO16+Lansdowne!BO16+'Marten Falls'!BO16+Oba!BO16+Sachigo!BO16+'Sandy Lake'!BO16+Sultan!BO16+Wapekeka!BO16+Weagamow!BO16+Webequie!BO16+'Cat Lake'!BO16+Pikangikum!BO16+'Big Trout Lake'!BO16+'Poplar Hill'!BO16+'North Spirit'!BO16+Keewaywin!BO16+'Muskrat Dam'!BO16+Wunnumin!BO16+Wawakepewin!BO16</f>
        <v>17494992</v>
      </c>
    </row>
    <row r="15" spans="1:15">
      <c r="A15" s="2" t="s">
        <v>51</v>
      </c>
      <c r="B15" s="123"/>
      <c r="C15" s="109"/>
      <c r="D15" s="109"/>
      <c r="E15" s="108">
        <f>Armstrong!BE17+'Bearskin Lake'!BE17+Biscotasing!BE17+'Deer Lake'!BE17+'Fort Severn'!BE17+'Gull Bay'!BE17+Hillsport!BE17+Kasabonika!BE17+Kingfisher!BE17+Lansdowne!BE17+'Marten Falls'!BE17+Oba!BE17+Sachigo!BE17+'Sandy Lake'!BE17+Sultan!BE17+Wapekeka!BE17+Weagamow!BE17+Webequie!BE17+'Cat Lake'!BE17+Pikangikum!BE17+'Big Trout Lake'!BE17+'Poplar Hill'!BE17+'North Spirit'!BE17+Keewaywin!BE17+'Muskrat Dam'!BE17+Wunnumin!BE17+Wawakepewin!BE17</f>
        <v>219450</v>
      </c>
      <c r="F15" s="108">
        <f>Armstrong!BF17+'Bearskin Lake'!BF17+Biscotasing!BF17+'Deer Lake'!BF17+'Fort Severn'!BF17+'Gull Bay'!BF17+Hillsport!BF17+Kasabonika!BF17+Kingfisher!BF17+Lansdowne!BF17+'Marten Falls'!BF17+Oba!BF17+Sachigo!BF17+'Sandy Lake'!BF17+Sultan!BF17+Wapekeka!BF17+Weagamow!BF17+Webequie!BF17+'Cat Lake'!BF17+Pikangikum!BF17+'Big Trout Lake'!BF17+'Poplar Hill'!BF17+'North Spirit'!BF17+Keewaywin!BF17+'Muskrat Dam'!BF17+Wunnumin!BF17+Wawakepewin!BF17</f>
        <v>194017</v>
      </c>
      <c r="G15" s="108">
        <f>Armstrong!BG17+'Bearskin Lake'!BG17+Biscotasing!BG17+'Deer Lake'!BG17+'Fort Severn'!BG17+'Gull Bay'!BG17+Hillsport!BG17+Kasabonika!BG17+Kingfisher!BG17+Lansdowne!BG17+'Marten Falls'!BG17+Oba!BG17+Sachigo!BG17+'Sandy Lake'!BG17+Sultan!BG17+Wapekeka!BG17+Weagamow!BG17+Webequie!BG17+'Cat Lake'!BG17+Pikangikum!BG17+'Big Trout Lake'!BG17+'Poplar Hill'!BG17+'North Spirit'!BG17+Keewaywin!BG17+'Muskrat Dam'!BG17+Wunnumin!BG17+Wawakepewin!BG17</f>
        <v>145329</v>
      </c>
      <c r="H15" s="71">
        <f>Armstrong!BH17+'Bearskin Lake'!BH17+Biscotasing!BH17+'Deer Lake'!BH17+'Fort Severn'!BH17+'Gull Bay'!BH17+Hillsport!BH17+Kasabonika!BH17+Kingfisher!BH17+Lansdowne!BH17+'Marten Falls'!BH17+Oba!BH17+Sachigo!BH17+'Sandy Lake'!BH17+Sultan!BH17+Wapekeka!BH17+Weagamow!BH17+Webequie!BH17+'Cat Lake'!BH17+Pikangikum!BH17+'Big Trout Lake'!BH17+'Poplar Hill'!BH17+'North Spirit'!BH17+Keewaywin!BH17+'Muskrat Dam'!BH17+Wunnumin!BH17+Wawakepewin!BH17</f>
        <v>244655</v>
      </c>
      <c r="I15" s="71">
        <f>Armstrong!BI17+'Bearskin Lake'!BI17+Biscotasing!BI17+'Deer Lake'!BI17+'Fort Severn'!BI17+'Gull Bay'!BI17+Hillsport!BI17+Kasabonika!BI17+Kingfisher!BI17+Lansdowne!BI17+'Marten Falls'!BI17+Oba!BI17+Sachigo!BI17+'Sandy Lake'!BI17+Sultan!BI17+Wapekeka!BI17+Weagamow!BI17+Webequie!BI17+'Cat Lake'!BI17+Pikangikum!BI17+'Big Trout Lake'!BI17+'Poplar Hill'!BI17+'North Spirit'!BI17+Keewaywin!BI17+'Muskrat Dam'!BI17+Wunnumin!BI17+Wawakepewin!BI17</f>
        <v>264575</v>
      </c>
      <c r="J15" s="71">
        <f>Armstrong!BJ17+'Bearskin Lake'!BJ17+Biscotasing!BJ17+'Deer Lake'!BJ17+'Fort Severn'!BJ17+'Gull Bay'!BJ17+Hillsport!BJ17+Kasabonika!BJ17+Kingfisher!BJ17+Lansdowne!BJ17+'Marten Falls'!BJ17+Oba!BJ17+Sachigo!BJ17+'Sandy Lake'!BJ17+Sultan!BJ17+Wapekeka!BJ17+Weagamow!BJ17+Webequie!BJ17+'Cat Lake'!BJ17+Pikangikum!BJ17+'Big Trout Lake'!BJ17+'Poplar Hill'!BJ17+'North Spirit'!BJ17+Keewaywin!BJ17+'Muskrat Dam'!BJ17+Wunnumin!BJ17+Wawakepewin!BJ17</f>
        <v>271804</v>
      </c>
      <c r="K15" s="71">
        <f>Armstrong!BK17+'Bearskin Lake'!BK17+Biscotasing!BK17+'Deer Lake'!BK17+'Fort Severn'!BK17+'Gull Bay'!BK17+Hillsport!BK17+Kasabonika!BK17+Kingfisher!BK17+Lansdowne!BK17+'Marten Falls'!BK17+Oba!BK17+Sachigo!BK17+'Sandy Lake'!BK17+Sultan!BK17+Wapekeka!BK17+Weagamow!BK17+Webequie!BK17+'Cat Lake'!BK17+Pikangikum!BK17+'Big Trout Lake'!BK17+'Poplar Hill'!BK17+'North Spirit'!BK17+Keewaywin!BK17+'Muskrat Dam'!BK17+Wunnumin!BK17+Wawakepewin!BK17</f>
        <v>278243</v>
      </c>
      <c r="L15" s="71">
        <f>Armstrong!BL17+'Bearskin Lake'!BL17+Biscotasing!BL17+'Deer Lake'!BL17+'Fort Severn'!BL17+'Gull Bay'!BL17+Hillsport!BL17+Kasabonika!BL17+Kingfisher!BL17+Lansdowne!BL17+'Marten Falls'!BL17+Oba!BL17+Sachigo!BL17+'Sandy Lake'!BL17+Sultan!BL17+Wapekeka!BL17+Weagamow!BL17+Webequie!BL17+'Cat Lake'!BL17+Pikangikum!BL17+'Big Trout Lake'!BL17+'Poplar Hill'!BL17+'North Spirit'!BL17+Keewaywin!BL17+'Muskrat Dam'!BL17+Wunnumin!BL17+Wawakepewin!BL17</f>
        <v>314532</v>
      </c>
      <c r="M15" s="71">
        <f>Armstrong!BM17+'Bearskin Lake'!BM17+Biscotasing!BM17+'Deer Lake'!BM17+'Fort Severn'!BM17+'Gull Bay'!BM17+Hillsport!BM17+Kasabonika!BM17+Kingfisher!BM17+Lansdowne!BM17+'Marten Falls'!BM17+Oba!BM17+Sachigo!BM17+'Sandy Lake'!BM17+Sultan!BM17+Wapekeka!BM17+Weagamow!BM17+Webequie!BM17+'Cat Lake'!BM17+Pikangikum!BM17+'Big Trout Lake'!BM17+'Poplar Hill'!BM17+'North Spirit'!BM17+Keewaywin!BM17+'Muskrat Dam'!BM17+Wunnumin!BM17+Wawakepewin!BM17</f>
        <v>369111</v>
      </c>
      <c r="N15" s="70">
        <f>Armstrong!BN17+'Bearskin Lake'!BN17+Biscotasing!BN17+'Deer Lake'!BN17+'Fort Severn'!BN17+'Gull Bay'!BN17+Hillsport!BN17+Kasabonika!BN17+Kingfisher!BN17+Lansdowne!BN17+'Marten Falls'!BN17+Oba!BN17+Sachigo!BN17+'Sandy Lake'!BN17+Sultan!BN17+Wapekeka!BN17+Weagamow!BN17+Webequie!BN17+'Cat Lake'!BN17+Pikangikum!BN17+'Big Trout Lake'!BN17+'Poplar Hill'!BN17+'North Spirit'!BN17+Keewaywin!BN17+'Muskrat Dam'!BN17+Wunnumin!BN17+Wawakepewin!BN17</f>
        <v>3127770</v>
      </c>
      <c r="O15" s="70">
        <f>Armstrong!BO17+'Bearskin Lake'!BO17+Biscotasing!BO17+'Deer Lake'!BO17+'Fort Severn'!BO17+'Gull Bay'!BO17+Hillsport!BO17+Kasabonika!BO17+Kingfisher!BO17+Lansdowne!BO17+'Marten Falls'!BO17+Oba!BO17+Sachigo!BO17+'Sandy Lake'!BO17+Sultan!BO17+Wapekeka!BO17+Weagamow!BO17+Webequie!BO17+'Cat Lake'!BO17+Pikangikum!BO17+'Big Trout Lake'!BO17+'Poplar Hill'!BO17+'North Spirit'!BO17+Keewaywin!BO17+'Muskrat Dam'!BO17+Wunnumin!BO17+Wawakepewin!BO17</f>
        <v>9322198</v>
      </c>
    </row>
    <row r="16" spans="1:15">
      <c r="A16" s="2" t="s">
        <v>52</v>
      </c>
      <c r="B16" s="123"/>
      <c r="C16" s="127"/>
      <c r="D16" s="109"/>
      <c r="E16" s="108">
        <f>Armstrong!BE18+'Bearskin Lake'!BE18+Biscotasing!BE18+'Deer Lake'!BE18+'Fort Severn'!BE18+'Gull Bay'!BE18+Hillsport!BE18+Kasabonika!BE18+Kingfisher!BE18+Lansdowne!BE18+'Marten Falls'!BE18+Oba!BE18+Sachigo!BE18+'Sandy Lake'!BE18+Sultan!BE18+Wapekeka!BE18+Weagamow!BE18+Webequie!BE18+'Cat Lake'!BE18+Pikangikum!BE18+'Big Trout Lake'!BE18+'Poplar Hill'!BE18+'North Spirit'!BE18+Keewaywin!BE18+'Muskrat Dam'!BE18+Wunnumin!BE18+Wawakepewin!BE18</f>
        <v>41844</v>
      </c>
      <c r="F16" s="108">
        <f>Armstrong!BF18+'Bearskin Lake'!BF18+Biscotasing!BF18+'Deer Lake'!BF18+'Fort Severn'!BF18+'Gull Bay'!BF18+Hillsport!BF18+Kasabonika!BF18+Kingfisher!BF18+Lansdowne!BF18+'Marten Falls'!BF18+Oba!BF18+Sachigo!BF18+'Sandy Lake'!BF18+Sultan!BF18+Wapekeka!BF18+Weagamow!BF18+Webequie!BF18+'Cat Lake'!BF18+Pikangikum!BF18+'Big Trout Lake'!BF18+'Poplar Hill'!BF18+'North Spirit'!BF18+Keewaywin!BF18+'Muskrat Dam'!BF18+Wunnumin!BF18+Wawakepewin!BF18</f>
        <v>36995</v>
      </c>
      <c r="G16" s="108">
        <f>Armstrong!BG18+'Bearskin Lake'!BG18+Biscotasing!BG18+'Deer Lake'!BG18+'Fort Severn'!BG18+'Gull Bay'!BG18+Hillsport!BG18+Kasabonika!BG18+Kingfisher!BG18+Lansdowne!BG18+'Marten Falls'!BG18+Oba!BG18+Sachigo!BG18+'Sandy Lake'!BG18+Sultan!BG18+Wapekeka!BG18+Weagamow!BG18+Webequie!BG18+'Cat Lake'!BG18+Pikangikum!BG18+'Big Trout Lake'!BG18+'Poplar Hill'!BG18+'North Spirit'!BG18+Keewaywin!BG18+'Muskrat Dam'!BG18+Wunnumin!BG18+Wawakepewin!BG18</f>
        <v>27711</v>
      </c>
      <c r="H16" s="71">
        <f>Armstrong!BH18+'Bearskin Lake'!BH18+Biscotasing!BH18+'Deer Lake'!BH18+'Fort Severn'!BH18+'Gull Bay'!BH18+Hillsport!BH18+Kasabonika!BH18+Kingfisher!BH18+Lansdowne!BH18+'Marten Falls'!BH18+Oba!BH18+Sachigo!BH18+'Sandy Lake'!BH18+Sultan!BH18+Wapekeka!BH18+Weagamow!BH18+Webequie!BH18+'Cat Lake'!BH18+Pikangikum!BH18+'Big Trout Lake'!BH18+'Poplar Hill'!BH18+'North Spirit'!BH18+Keewaywin!BH18+'Muskrat Dam'!BH18+Wunnumin!BH18+Wawakepewin!BH18</f>
        <v>46650</v>
      </c>
      <c r="I16" s="71">
        <f>Armstrong!BI18+'Bearskin Lake'!BI18+Biscotasing!BI18+'Deer Lake'!BI18+'Fort Severn'!BI18+'Gull Bay'!BI18+Hillsport!BI18+Kasabonika!BI18+Kingfisher!BI18+Lansdowne!BI18+'Marten Falls'!BI18+Oba!BI18+Sachigo!BI18+'Sandy Lake'!BI18+Sultan!BI18+Wapekeka!BI18+Weagamow!BI18+Webequie!BI18+'Cat Lake'!BI18+Pikangikum!BI18+'Big Trout Lake'!BI18+'Poplar Hill'!BI18+'North Spirit'!BI18+Keewaywin!BI18+'Muskrat Dam'!BI18+Wunnumin!BI18+Wawakepewin!BI18</f>
        <v>50449</v>
      </c>
      <c r="J16" s="71">
        <f>Armstrong!BJ18+'Bearskin Lake'!BJ18+Biscotasing!BJ18+'Deer Lake'!BJ18+'Fort Severn'!BJ18+'Gull Bay'!BJ18+Hillsport!BJ18+Kasabonika!BJ18+Kingfisher!BJ18+Lansdowne!BJ18+'Marten Falls'!BJ18+Oba!BJ18+Sachigo!BJ18+'Sandy Lake'!BJ18+Sultan!BJ18+Wapekeka!BJ18+Weagamow!BJ18+Webequie!BJ18+'Cat Lake'!BJ18+Pikangikum!BJ18+'Big Trout Lake'!BJ18+'Poplar Hill'!BJ18+'North Spirit'!BJ18+Keewaywin!BJ18+'Muskrat Dam'!BJ18+Wunnumin!BJ18+Wawakepewin!BJ18</f>
        <v>51827</v>
      </c>
      <c r="K16" s="71">
        <f>Armstrong!BK18+'Bearskin Lake'!BK18+Biscotasing!BK18+'Deer Lake'!BK18+'Fort Severn'!BK18+'Gull Bay'!BK18+Hillsport!BK18+Kasabonika!BK18+Kingfisher!BK18+Lansdowne!BK18+'Marten Falls'!BK18+Oba!BK18+Sachigo!BK18+'Sandy Lake'!BK18+Sultan!BK18+Wapekeka!BK18+Weagamow!BK18+Webequie!BK18+'Cat Lake'!BK18+Pikangikum!BK18+'Big Trout Lake'!BK18+'Poplar Hill'!BK18+'North Spirit'!BK18+Keewaywin!BK18+'Muskrat Dam'!BK18+Wunnumin!BK18+Wawakepewin!BK18</f>
        <v>53055</v>
      </c>
      <c r="L16" s="71">
        <f>Armstrong!BL18+'Bearskin Lake'!BL18+Biscotasing!BL18+'Deer Lake'!BL18+'Fort Severn'!BL18+'Gull Bay'!BL18+Hillsport!BL18+Kasabonika!BL18+Kingfisher!BL18+Lansdowne!BL18+'Marten Falls'!BL18+Oba!BL18+Sachigo!BL18+'Sandy Lake'!BL18+Sultan!BL18+Wapekeka!BL18+Weagamow!BL18+Webequie!BL18+'Cat Lake'!BL18+Pikangikum!BL18+'Big Trout Lake'!BL18+'Poplar Hill'!BL18+'North Spirit'!BL18+Keewaywin!BL18+'Muskrat Dam'!BL18+Wunnumin!BL18+Wawakepewin!BL18</f>
        <v>59974</v>
      </c>
      <c r="M16" s="71">
        <f>Armstrong!BM18+'Bearskin Lake'!BM18+Biscotasing!BM18+'Deer Lake'!BM18+'Fort Severn'!BM18+'Gull Bay'!BM18+Hillsport!BM18+Kasabonika!BM18+Kingfisher!BM18+Lansdowne!BM18+'Marten Falls'!BM18+Oba!BM18+Sachigo!BM18+'Sandy Lake'!BM18+Sultan!BM18+Wapekeka!BM18+Weagamow!BM18+Webequie!BM18+'Cat Lake'!BM18+Pikangikum!BM18+'Big Trout Lake'!BM18+'Poplar Hill'!BM18+'North Spirit'!BM18+Keewaywin!BM18+'Muskrat Dam'!BM18+Wunnumin!BM18+Wawakepewin!BM18</f>
        <v>70381</v>
      </c>
      <c r="N16" s="70">
        <f>Armstrong!BN18+'Bearskin Lake'!BN18+Biscotasing!BN18+'Deer Lake'!BN18+'Fort Severn'!BN18+'Gull Bay'!BN18+Hillsport!BN18+Kasabonika!BN18+Kingfisher!BN18+Lansdowne!BN18+'Marten Falls'!BN18+Oba!BN18+Sachigo!BN18+'Sandy Lake'!BN18+Sultan!BN18+Wapekeka!BN18+Weagamow!BN18+Webequie!BN18+'Cat Lake'!BN18+Pikangikum!BN18+'Big Trout Lake'!BN18+'Poplar Hill'!BN18+'North Spirit'!BN18+Keewaywin!BN18+'Muskrat Dam'!BN18+Wunnumin!BN18+Wawakepewin!BN18</f>
        <v>596396</v>
      </c>
      <c r="O16" s="70">
        <f>Armstrong!BO18+'Bearskin Lake'!BO18+Biscotasing!BO18+'Deer Lake'!BO18+'Fort Severn'!BO18+'Gull Bay'!BO18+Hillsport!BO18+Kasabonika!BO18+Kingfisher!BO18+Lansdowne!BO18+'Marten Falls'!BO18+Oba!BO18+Sachigo!BO18+'Sandy Lake'!BO18+Sultan!BO18+Wapekeka!BO18+Weagamow!BO18+Webequie!BO18+'Cat Lake'!BO18+Pikangikum!BO18+'Big Trout Lake'!BO18+'Poplar Hill'!BO18+'North Spirit'!BO18+Keewaywin!BO18+'Muskrat Dam'!BO18+Wunnumin!BO18+Wawakepewin!BO18</f>
        <v>1777535</v>
      </c>
    </row>
    <row r="17" spans="1:15" ht="15" thickBot="1">
      <c r="A17" s="199" t="s">
        <v>30</v>
      </c>
      <c r="B17" s="240"/>
      <c r="C17" s="117"/>
      <c r="D17" s="117"/>
      <c r="E17" s="114">
        <f>Armstrong!BE19+'Bearskin Lake'!BE19+Biscotasing!BE19+'Deer Lake'!BE19+'Fort Severn'!BE19+'Gull Bay'!BE19+Hillsport!BE19+Kasabonika!BE19+Kingfisher!BE19+Lansdowne!BE19+'Marten Falls'!BE19+Oba!BE19+Sachigo!BE19+'Sandy Lake'!BE19+Sultan!BE19+Wapekeka!BE19+Weagamow!BE19+Webequie!BE19+'Cat Lake'!BE19+Pikangikum!BE19+'Big Trout Lake'!BE19+'Poplar Hill'!BE19+'North Spirit'!BE19+Keewaywin!BE19+'Muskrat Dam'!BE19+Wunnumin!BE19+Wawakepewin!BE19</f>
        <v>673137</v>
      </c>
      <c r="F17" s="114">
        <f>Armstrong!BF19+'Bearskin Lake'!BF19+Biscotasing!BF19+'Deer Lake'!BF19+'Fort Severn'!BF19+'Gull Bay'!BF19+Hillsport!BF19+Kasabonika!BF19+Kingfisher!BF19+Lansdowne!BF19+'Marten Falls'!BF19+Oba!BF19+Sachigo!BF19+'Sandy Lake'!BF19+Sultan!BF19+Wapekeka!BF19+Weagamow!BF19+Webequie!BF19+'Cat Lake'!BF19+Pikangikum!BF19+'Big Trout Lake'!BF19+'Poplar Hill'!BF19+'North Spirit'!BF19+Keewaywin!BF19+'Muskrat Dam'!BF19+Wunnumin!BF19+Wawakepewin!BF19</f>
        <v>595123</v>
      </c>
      <c r="G17" s="114">
        <f>Armstrong!BG19+'Bearskin Lake'!BG19+Biscotasing!BG19+'Deer Lake'!BG19+'Fort Severn'!BG19+'Gull Bay'!BG19+Hillsport!BG19+Kasabonika!BG19+Kingfisher!BG19+Lansdowne!BG19+'Marten Falls'!BG19+Oba!BG19+Sachigo!BG19+'Sandy Lake'!BG19+Sultan!BG19+Wapekeka!BG19+Weagamow!BG19+Webequie!BG19+'Cat Lake'!BG19+Pikangikum!BG19+'Big Trout Lake'!BG19+'Poplar Hill'!BG19+'North Spirit'!BG19+Keewaywin!BG19+'Muskrat Dam'!BG19+Wunnumin!BG19+Wawakepewin!BG19</f>
        <v>445780</v>
      </c>
      <c r="H17" s="114">
        <f>Armstrong!BH19+'Bearskin Lake'!BH19+Biscotasing!BH19+'Deer Lake'!BH19+'Fort Severn'!BH19+'Gull Bay'!BH19+Hillsport!BH19+Kasabonika!BH19+Kingfisher!BH19+Lansdowne!BH19+'Marten Falls'!BH19+Oba!BH19+Sachigo!BH19+'Sandy Lake'!BH19+Sultan!BH19+Wapekeka!BH19+Weagamow!BH19+Webequie!BH19+'Cat Lake'!BH19+Pikangikum!BH19+'Big Trout Lake'!BH19+'Poplar Hill'!BH19+'North Spirit'!BH19+Keewaywin!BH19+'Muskrat Dam'!BH19+Wunnumin!BH19+Wawakepewin!BH19</f>
        <v>750450</v>
      </c>
      <c r="I17" s="114">
        <f>Armstrong!BI19+'Bearskin Lake'!BI19+Biscotasing!BI19+'Deer Lake'!BI19+'Fort Severn'!BI19+'Gull Bay'!BI19+Hillsport!BI19+Kasabonika!BI19+Kingfisher!BI19+Lansdowne!BI19+'Marten Falls'!BI19+Oba!BI19+Sachigo!BI19+'Sandy Lake'!BI19+Sultan!BI19+Wapekeka!BI19+Weagamow!BI19+Webequie!BI19+'Cat Lake'!BI19+Pikangikum!BI19+'Big Trout Lake'!BI19+'Poplar Hill'!BI19+'North Spirit'!BI19+Keewaywin!BI19+'Muskrat Dam'!BI19+Wunnumin!BI19+Wawakepewin!BI19</f>
        <v>811552</v>
      </c>
      <c r="J17" s="114">
        <f>Armstrong!BJ19+'Bearskin Lake'!BJ19+Biscotasing!BJ19+'Deer Lake'!BJ19+'Fort Severn'!BJ19+'Gull Bay'!BJ19+Hillsport!BJ19+Kasabonika!BJ19+Kingfisher!BJ19+Lansdowne!BJ19+'Marten Falls'!BJ19+Oba!BJ19+Sachigo!BJ19+'Sandy Lake'!BJ19+Sultan!BJ19+Wapekeka!BJ19+Weagamow!BJ19+Webequie!BJ19+'Cat Lake'!BJ19+Pikangikum!BJ19+'Big Trout Lake'!BJ19+'Poplar Hill'!BJ19+'North Spirit'!BJ19+Keewaywin!BJ19+'Muskrat Dam'!BJ19+Wunnumin!BJ19+Wawakepewin!BJ19</f>
        <v>833727</v>
      </c>
      <c r="K17" s="114">
        <f>Armstrong!BK19+'Bearskin Lake'!BK19+Biscotasing!BK19+'Deer Lake'!BK19+'Fort Severn'!BK19+'Gull Bay'!BK19+Hillsport!BK19+Kasabonika!BK19+Kingfisher!BK19+Lansdowne!BK19+'Marten Falls'!BK19+Oba!BK19+Sachigo!BK19+'Sandy Lake'!BK19+Sultan!BK19+Wapekeka!BK19+Weagamow!BK19+Webequie!BK19+'Cat Lake'!BK19+Pikangikum!BK19+'Big Trout Lake'!BK19+'Poplar Hill'!BK19+'North Spirit'!BK19+Keewaywin!BK19+'Muskrat Dam'!BK19+Wunnumin!BK19+Wawakepewin!BK19</f>
        <v>853479</v>
      </c>
      <c r="L17" s="114">
        <f>Armstrong!BL19+'Bearskin Lake'!BL19+Biscotasing!BL19+'Deer Lake'!BL19+'Fort Severn'!BL19+'Gull Bay'!BL19+Hillsport!BL19+Kasabonika!BL19+Kingfisher!BL19+Lansdowne!BL19+'Marten Falls'!BL19+Oba!BL19+Sachigo!BL19+'Sandy Lake'!BL19+Sultan!BL19+Wapekeka!BL19+Weagamow!BL19+Webequie!BL19+'Cat Lake'!BL19+Pikangikum!BL19+'Big Trout Lake'!BL19+'Poplar Hill'!BL19+'North Spirit'!BL19+Keewaywin!BL19+'Muskrat Dam'!BL19+Wunnumin!BL19+Wawakepewin!BL19</f>
        <v>964787</v>
      </c>
      <c r="M17" s="114">
        <f>Armstrong!BM19+'Bearskin Lake'!BM19+Biscotasing!BM19+'Deer Lake'!BM19+'Fort Severn'!BM19+'Gull Bay'!BM19+Hillsport!BM19+Kasabonika!BM19+Kingfisher!BM19+Lansdowne!BM19+'Marten Falls'!BM19+Oba!BM19+Sachigo!BM19+'Sandy Lake'!BM19+Sultan!BM19+Wapekeka!BM19+Weagamow!BM19+Webequie!BM19+'Cat Lake'!BM19+Pikangikum!BM19+'Big Trout Lake'!BM19+'Poplar Hill'!BM19+'North Spirit'!BM19+Keewaywin!BM19+'Muskrat Dam'!BM19+Wunnumin!BM19+Wawakepewin!BM19</f>
        <v>1132204</v>
      </c>
      <c r="N17" s="484">
        <f>Armstrong!BN19+'Bearskin Lake'!BN19+Biscotasing!BN19+'Deer Lake'!BN19+'Fort Severn'!BN19+'Gull Bay'!BN19+Hillsport!BN19+Kasabonika!BN19+Kingfisher!BN19+Lansdowne!BN19+'Marten Falls'!BN19+Oba!BN19+Sachigo!BN19+'Sandy Lake'!BN19+Sultan!BN19+Wapekeka!BN19+Weagamow!BN19+Webequie!BN19+'Cat Lake'!BN19+Pikangikum!BN19+'Big Trout Lake'!BN19+'Poplar Hill'!BN19+'North Spirit'!BN19+Keewaywin!BN19+'Muskrat Dam'!BN19+Wunnumin!BN19+Wawakepewin!BN19</f>
        <v>9594062</v>
      </c>
      <c r="O17" s="484">
        <f>Armstrong!BO19+'Bearskin Lake'!BO19+Biscotasing!BO19+'Deer Lake'!BO19+'Fort Severn'!BO19+'Gull Bay'!BO19+Hillsport!BO19+Kasabonika!BO19+Kingfisher!BO19+Lansdowne!BO19+'Marten Falls'!BO19+Oba!BO19+Sachigo!BO19+'Sandy Lake'!BO19+Sultan!BO19+Wapekeka!BO19+Weagamow!BO19+Webequie!BO19+'Cat Lake'!BO19+Pikangikum!BO19+'Big Trout Lake'!BO19+'Poplar Hill'!BO19+'North Spirit'!BO19+Keewaywin!BO19+'Muskrat Dam'!BO19+Wunnumin!BO19+Wawakepewin!BO19</f>
        <v>28594723</v>
      </c>
    </row>
    <row r="18" spans="1:15" ht="15" thickTop="1">
      <c r="A18" s="2" t="s">
        <v>54</v>
      </c>
      <c r="B18" s="52"/>
      <c r="C18" s="39"/>
      <c r="D18" s="39"/>
      <c r="E18" s="9"/>
      <c r="F18" s="9"/>
      <c r="G18" s="9"/>
      <c r="H18" s="9"/>
      <c r="I18" s="9"/>
      <c r="J18" s="9"/>
      <c r="K18" s="9"/>
      <c r="L18" s="9"/>
      <c r="M18" s="9"/>
      <c r="N18" s="58"/>
      <c r="O18" s="58"/>
    </row>
    <row r="19" spans="1:15">
      <c r="A19" s="198" t="s">
        <v>55</v>
      </c>
      <c r="B19" s="89"/>
      <c r="C19" s="67"/>
      <c r="D19" s="67"/>
      <c r="E19" s="19"/>
      <c r="F19" s="19"/>
      <c r="G19" s="19"/>
      <c r="H19" s="19"/>
      <c r="I19" s="19"/>
      <c r="J19" s="19"/>
      <c r="K19" s="19"/>
      <c r="L19" s="19"/>
      <c r="M19" s="19"/>
      <c r="N19" s="59"/>
      <c r="O19" s="59"/>
    </row>
    <row r="20" spans="1:15">
      <c r="A20" s="2" t="s">
        <v>49</v>
      </c>
      <c r="B20" s="123"/>
      <c r="C20" s="109"/>
      <c r="D20" s="109"/>
      <c r="E20" s="108">
        <f>Armstrong!BE22+'Bearskin Lake'!BE22+Biscotasing!BE22+'Deer Lake'!BE22+'Fort Severn'!BE22+'Gull Bay'!BE22+Hillsport!BE22+Kasabonika!BE22+Kingfisher!BE22+Lansdowne!BE22+'Marten Falls'!BE22+Oba!BE22+Sachigo!BE22+'Sandy Lake'!BE22+Sultan!BE22+Wapekeka!BE22+Weagamow!BE22+Webequie!BE22+'Cat Lake'!BE22+Pikangikum!BE22+'Big Trout Lake'!BE22+'Poplar Hill'!BE22+'North Spirit'!BE22+Keewaywin!BE22+'Muskrat Dam'!BE22+Wunnumin!BE22+Wawakepewin!BE22</f>
        <v>142</v>
      </c>
      <c r="F20" s="108">
        <f>Armstrong!BF22+'Bearskin Lake'!BF22+Biscotasing!BF22+'Deer Lake'!BF22+'Fort Severn'!BF22+'Gull Bay'!BF22+Hillsport!BF22+Kasabonika!BF22+Kingfisher!BF22+Lansdowne!BF22+'Marten Falls'!BF22+Oba!BF22+Sachigo!BF22+'Sandy Lake'!BF22+Sultan!BF22+Wapekeka!BF22+Weagamow!BF22+Webequie!BF22+'Cat Lake'!BF22+Pikangikum!BF22+'Big Trout Lake'!BF22+'Poplar Hill'!BF22+'North Spirit'!BF22+Keewaywin!BF22+'Muskrat Dam'!BF22+Wunnumin!BF22+Wawakepewin!BF22</f>
        <v>142</v>
      </c>
      <c r="G20" s="108">
        <f>Armstrong!BG22+'Bearskin Lake'!BG22+Biscotasing!BG22+'Deer Lake'!BG22+'Fort Severn'!BG22+'Gull Bay'!BG22+Hillsport!BG22+Kasabonika!BG22+Kingfisher!BG22+Lansdowne!BG22+'Marten Falls'!BG22+Oba!BG22+Sachigo!BG22+'Sandy Lake'!BG22+Sultan!BG22+Wapekeka!BG22+Weagamow!BG22+Webequie!BG22+'Cat Lake'!BG22+Pikangikum!BG22+'Big Trout Lake'!BG22+'Poplar Hill'!BG22+'North Spirit'!BG22+Keewaywin!BG22+'Muskrat Dam'!BG22+Wunnumin!BG22+Wawakepewin!BG22</f>
        <v>142</v>
      </c>
      <c r="H20" s="71">
        <f>Armstrong!BH22+'Bearskin Lake'!BH22+Biscotasing!BH22+'Deer Lake'!BH22+'Fort Severn'!BH22+'Gull Bay'!BH22+Hillsport!BH22+Kasabonika!BH22+Kingfisher!BH22+Lansdowne!BH22+'Marten Falls'!BH22+Oba!BH22+Sachigo!BH22+'Sandy Lake'!BH22+Sultan!BH22+Wapekeka!BH22+Weagamow!BH22+Webequie!BH22+'Cat Lake'!BH22+Pikangikum!BH22+'Big Trout Lake'!BH22+'Poplar Hill'!BH22+'North Spirit'!BH22+Keewaywin!BH22+'Muskrat Dam'!BH22+Wunnumin!BH22+Wawakepewin!BH22</f>
        <v>142</v>
      </c>
      <c r="I20" s="71">
        <f>Armstrong!BI22+'Bearskin Lake'!BI22+Biscotasing!BI22+'Deer Lake'!BI22+'Fort Severn'!BI22+'Gull Bay'!BI22+Hillsport!BI22+Kasabonika!BI22+Kingfisher!BI22+Lansdowne!BI22+'Marten Falls'!BI22+Oba!BI22+Sachigo!BI22+'Sandy Lake'!BI22+Sultan!BI22+Wapekeka!BI22+Weagamow!BI22+Webequie!BI22+'Cat Lake'!BI22+Pikangikum!BI22+'Big Trout Lake'!BI22+'Poplar Hill'!BI22+'North Spirit'!BI22+Keewaywin!BI22+'Muskrat Dam'!BI22+Wunnumin!BI22+Wawakepewin!BI22</f>
        <v>142</v>
      </c>
      <c r="J20" s="71">
        <f>Armstrong!BJ22+'Bearskin Lake'!BJ22+Biscotasing!BJ22+'Deer Lake'!BJ22+'Fort Severn'!BJ22+'Gull Bay'!BJ22+Hillsport!BJ22+Kasabonika!BJ22+Kingfisher!BJ22+Lansdowne!BJ22+'Marten Falls'!BJ22+Oba!BJ22+Sachigo!BJ22+'Sandy Lake'!BJ22+Sultan!BJ22+Wapekeka!BJ22+Weagamow!BJ22+Webequie!BJ22+'Cat Lake'!BJ22+Pikangikum!BJ22+'Big Trout Lake'!BJ22+'Poplar Hill'!BJ22+'North Spirit'!BJ22+Keewaywin!BJ22+'Muskrat Dam'!BJ22+Wunnumin!BJ22+Wawakepewin!BJ22</f>
        <v>142</v>
      </c>
      <c r="K20" s="71">
        <f>Armstrong!BK22+'Bearskin Lake'!BK22+Biscotasing!BK22+'Deer Lake'!BK22+'Fort Severn'!BK22+'Gull Bay'!BK22+Hillsport!BK22+Kasabonika!BK22+Kingfisher!BK22+Lansdowne!BK22+'Marten Falls'!BK22+Oba!BK22+Sachigo!BK22+'Sandy Lake'!BK22+Sultan!BK22+Wapekeka!BK22+Weagamow!BK22+Webequie!BK22+'Cat Lake'!BK22+Pikangikum!BK22+'Big Trout Lake'!BK22+'Poplar Hill'!BK22+'North Spirit'!BK22+Keewaywin!BK22+'Muskrat Dam'!BK22+Wunnumin!BK22+Wawakepewin!BK22</f>
        <v>142</v>
      </c>
      <c r="L20" s="71">
        <f>Armstrong!BL22+'Bearskin Lake'!BL22+Biscotasing!BL22+'Deer Lake'!BL22+'Fort Severn'!BL22+'Gull Bay'!BL22+Hillsport!BL22+Kasabonika!BL22+Kingfisher!BL22+Lansdowne!BL22+'Marten Falls'!BL22+Oba!BL22+Sachigo!BL22+'Sandy Lake'!BL22+Sultan!BL22+Wapekeka!BL22+Weagamow!BL22+Webequie!BL22+'Cat Lake'!BL22+Pikangikum!BL22+'Big Trout Lake'!BL22+'Poplar Hill'!BL22+'North Spirit'!BL22+Keewaywin!BL22+'Muskrat Dam'!BL22+Wunnumin!BL22+Wawakepewin!BL22</f>
        <v>142</v>
      </c>
      <c r="M20" s="71">
        <f>Armstrong!BM22+'Bearskin Lake'!BM22+Biscotasing!BM22+'Deer Lake'!BM22+'Fort Severn'!BM22+'Gull Bay'!BM22+Hillsport!BM22+Kasabonika!BM22+Kingfisher!BM22+Lansdowne!BM22+'Marten Falls'!BM22+Oba!BM22+Sachigo!BM22+'Sandy Lake'!BM22+Sultan!BM22+Wapekeka!BM22+Weagamow!BM22+Webequie!BM22+'Cat Lake'!BM22+Pikangikum!BM22+'Big Trout Lake'!BM22+'Poplar Hill'!BM22+'North Spirit'!BM22+Keewaywin!BM22+'Muskrat Dam'!BM22+Wunnumin!BM22+Wawakepewin!BM22</f>
        <v>142</v>
      </c>
      <c r="N20" s="70">
        <f>Armstrong!BN22+'Bearskin Lake'!BN22+Biscotasing!BN22+'Deer Lake'!BN22+'Fort Severn'!BN22+'Gull Bay'!BN22+Hillsport!BN22+Kasabonika!BN22+Kingfisher!BN22+Lansdowne!BN22+'Marten Falls'!BN22+Oba!BN22+Sachigo!BN22+'Sandy Lake'!BN22+Sultan!BN22+Wapekeka!BN22+Weagamow!BN22+Webequie!BN22+'Cat Lake'!BN22+Pikangikum!BN22+'Big Trout Lake'!BN22+'Poplar Hill'!BN22+'North Spirit'!BN22+Keewaywin!BN22+'Muskrat Dam'!BN22+Wunnumin!BN22+Wawakepewin!BN22</f>
        <v>142</v>
      </c>
      <c r="O20" s="70">
        <f>Armstrong!BO22+'Bearskin Lake'!BO22+Biscotasing!BO22+'Deer Lake'!BO22+'Fort Severn'!BO22+'Gull Bay'!BO22+Hillsport!BO22+Kasabonika!BO22+Kingfisher!BO22+Lansdowne!BO22+'Marten Falls'!BO22+Oba!BO22+Sachigo!BO22+'Sandy Lake'!BO22+Sultan!BO22+Wapekeka!BO22+Weagamow!BO22+Webequie!BO22+'Cat Lake'!BO22+Pikangikum!BO22+'Big Trout Lake'!BO22+'Poplar Hill'!BO22+'North Spirit'!BO22+Keewaywin!BO22+'Muskrat Dam'!BO22+Wunnumin!BO22+Wawakepewin!BO22</f>
        <v>142</v>
      </c>
    </row>
    <row r="21" spans="1:15">
      <c r="A21" s="2" t="s">
        <v>50</v>
      </c>
      <c r="B21" s="123"/>
      <c r="C21" s="109"/>
      <c r="D21" s="109"/>
      <c r="E21" s="108">
        <f>Armstrong!BE23+'Bearskin Lake'!BE23+Biscotasing!BE23+'Deer Lake'!BE23+'Fort Severn'!BE23+'Gull Bay'!BE23+Hillsport!BE23+Kasabonika!BE23+Kingfisher!BE23+Lansdowne!BE23+'Marten Falls'!BE23+Oba!BE23+Sachigo!BE23+'Sandy Lake'!BE23+Sultan!BE23+Wapekeka!BE23+Weagamow!BE23+Webequie!BE23+'Cat Lake'!BE23+Pikangikum!BE23+'Big Trout Lake'!BE23+'Poplar Hill'!BE23+'North Spirit'!BE23+Keewaywin!BE23+'Muskrat Dam'!BE23+Wunnumin!BE23+Wawakepewin!BE23</f>
        <v>54944</v>
      </c>
      <c r="F21" s="108">
        <f>Armstrong!BF23+'Bearskin Lake'!BF23+Biscotasing!BF23+'Deer Lake'!BF23+'Fort Severn'!BF23+'Gull Bay'!BF23+Hillsport!BF23+Kasabonika!BF23+Kingfisher!BF23+Lansdowne!BF23+'Marten Falls'!BF23+Oba!BF23+Sachigo!BF23+'Sandy Lake'!BF23+Sultan!BF23+Wapekeka!BF23+Weagamow!BF23+Webequie!BF23+'Cat Lake'!BF23+Pikangikum!BF23+'Big Trout Lake'!BF23+'Poplar Hill'!BF23+'North Spirit'!BF23+Keewaywin!BF23+'Muskrat Dam'!BF23+Wunnumin!BF23+Wawakepewin!BF23</f>
        <v>0</v>
      </c>
      <c r="G21" s="108">
        <f>Armstrong!BG23+'Bearskin Lake'!BG23+Biscotasing!BG23+'Deer Lake'!BG23+'Fort Severn'!BG23+'Gull Bay'!BG23+Hillsport!BG23+Kasabonika!BG23+Kingfisher!BG23+Lansdowne!BG23+'Marten Falls'!BG23+Oba!BG23+Sachigo!BG23+'Sandy Lake'!BG23+Sultan!BG23+Wapekeka!BG23+Weagamow!BG23+Webequie!BG23+'Cat Lake'!BG23+Pikangikum!BG23+'Big Trout Lake'!BG23+'Poplar Hill'!BG23+'North Spirit'!BG23+Keewaywin!BG23+'Muskrat Dam'!BG23+Wunnumin!BG23+Wawakepewin!BG23</f>
        <v>0</v>
      </c>
      <c r="H21" s="71">
        <f>Armstrong!BH23+'Bearskin Lake'!BH23+Biscotasing!BH23+'Deer Lake'!BH23+'Fort Severn'!BH23+'Gull Bay'!BH23+Hillsport!BH23+Kasabonika!BH23+Kingfisher!BH23+Lansdowne!BH23+'Marten Falls'!BH23+Oba!BH23+Sachigo!BH23+'Sandy Lake'!BH23+Sultan!BH23+Wapekeka!BH23+Weagamow!BH23+Webequie!BH23+'Cat Lake'!BH23+Pikangikum!BH23+'Big Trout Lake'!BH23+'Poplar Hill'!BH23+'North Spirit'!BH23+Keewaywin!BH23+'Muskrat Dam'!BH23+Wunnumin!BH23+Wawakepewin!BH23</f>
        <v>65484</v>
      </c>
      <c r="I21" s="71">
        <f>Armstrong!BI23+'Bearskin Lake'!BI23+Biscotasing!BI23+'Deer Lake'!BI23+'Fort Severn'!BI23+'Gull Bay'!BI23+Hillsport!BI23+Kasabonika!BI23+Kingfisher!BI23+Lansdowne!BI23+'Marten Falls'!BI23+Oba!BI23+Sachigo!BI23+'Sandy Lake'!BI23+Sultan!BI23+Wapekeka!BI23+Weagamow!BI23+Webequie!BI23+'Cat Lake'!BI23+Pikangikum!BI23+'Big Trout Lake'!BI23+'Poplar Hill'!BI23+'North Spirit'!BI23+Keewaywin!BI23+'Muskrat Dam'!BI23+Wunnumin!BI23+Wawakepewin!BI23</f>
        <v>0</v>
      </c>
      <c r="J21" s="71">
        <f>Armstrong!BJ23+'Bearskin Lake'!BJ23+Biscotasing!BJ23+'Deer Lake'!BJ23+'Fort Severn'!BJ23+'Gull Bay'!BJ23+Hillsport!BJ23+Kasabonika!BJ23+Kingfisher!BJ23+Lansdowne!BJ23+'Marten Falls'!BJ23+Oba!BJ23+Sachigo!BJ23+'Sandy Lake'!BJ23+Sultan!BJ23+Wapekeka!BJ23+Weagamow!BJ23+Webequie!BJ23+'Cat Lake'!BJ23+Pikangikum!BJ23+'Big Trout Lake'!BJ23+'Poplar Hill'!BJ23+'North Spirit'!BJ23+Keewaywin!BJ23+'Muskrat Dam'!BJ23+Wunnumin!BJ23+Wawakepewin!BJ23</f>
        <v>0</v>
      </c>
      <c r="K21" s="71">
        <f>Armstrong!BK23+'Bearskin Lake'!BK23+Biscotasing!BK23+'Deer Lake'!BK23+'Fort Severn'!BK23+'Gull Bay'!BK23+Hillsport!BK23+Kasabonika!BK23+Kingfisher!BK23+Lansdowne!BK23+'Marten Falls'!BK23+Oba!BK23+Sachigo!BK23+'Sandy Lake'!BK23+Sultan!BK23+Wapekeka!BK23+Weagamow!BK23+Webequie!BK23+'Cat Lake'!BK23+Pikangikum!BK23+'Big Trout Lake'!BK23+'Poplar Hill'!BK23+'North Spirit'!BK23+Keewaywin!BK23+'Muskrat Dam'!BK23+Wunnumin!BK23+Wawakepewin!BK23</f>
        <v>77367</v>
      </c>
      <c r="L21" s="71">
        <f>Armstrong!BL23+'Bearskin Lake'!BL23+Biscotasing!BL23+'Deer Lake'!BL23+'Fort Severn'!BL23+'Gull Bay'!BL23+Hillsport!BL23+Kasabonika!BL23+Kingfisher!BL23+Lansdowne!BL23+'Marten Falls'!BL23+Oba!BL23+Sachigo!BL23+'Sandy Lake'!BL23+Sultan!BL23+Wapekeka!BL23+Weagamow!BL23+Webequie!BL23+'Cat Lake'!BL23+Pikangikum!BL23+'Big Trout Lake'!BL23+'Poplar Hill'!BL23+'North Spirit'!BL23+Keewaywin!BL23+'Muskrat Dam'!BL23+Wunnumin!BL23+Wawakepewin!BL23</f>
        <v>0</v>
      </c>
      <c r="M21" s="71">
        <f>Armstrong!BM23+'Bearskin Lake'!BM23+Biscotasing!BM23+'Deer Lake'!BM23+'Fort Severn'!BM23+'Gull Bay'!BM23+Hillsport!BM23+Kasabonika!BM23+Kingfisher!BM23+Lansdowne!BM23+'Marten Falls'!BM23+Oba!BM23+Sachigo!BM23+'Sandy Lake'!BM23+Sultan!BM23+Wapekeka!BM23+Weagamow!BM23+Webequie!BM23+'Cat Lake'!BM23+Pikangikum!BM23+'Big Trout Lake'!BM23+'Poplar Hill'!BM23+'North Spirit'!BM23+Keewaywin!BM23+'Muskrat Dam'!BM23+Wunnumin!BM23+Wawakepewin!BM23</f>
        <v>0</v>
      </c>
      <c r="N21" s="70">
        <f>Armstrong!BN23+'Bearskin Lake'!BN23+Biscotasing!BN23+'Deer Lake'!BN23+'Fort Severn'!BN23+'Gull Bay'!BN23+Hillsport!BN23+Kasabonika!BN23+Kingfisher!BN23+Lansdowne!BN23+'Marten Falls'!BN23+Oba!BN23+Sachigo!BN23+'Sandy Lake'!BN23+Sultan!BN23+Wapekeka!BN23+Weagamow!BN23+Webequie!BN23+'Cat Lake'!BN23+Pikangikum!BN23+'Big Trout Lake'!BN23+'Poplar Hill'!BN23+'North Spirit'!BN23+Keewaywin!BN23+'Muskrat Dam'!BN23+Wunnumin!BN23+Wawakepewin!BN23</f>
        <v>250508</v>
      </c>
      <c r="O21" s="70">
        <f>Armstrong!BO23+'Bearskin Lake'!BO23+Biscotasing!BO23+'Deer Lake'!BO23+'Fort Severn'!BO23+'Gull Bay'!BO23+Hillsport!BO23+Kasabonika!BO23+Kingfisher!BO23+Lansdowne!BO23+'Marten Falls'!BO23+Oba!BO23+Sachigo!BO23+'Sandy Lake'!BO23+Sultan!BO23+Wapekeka!BO23+Weagamow!BO23+Webequie!BO23+'Cat Lake'!BO23+Pikangikum!BO23+'Big Trout Lake'!BO23+'Poplar Hill'!BO23+'North Spirit'!BO23+Keewaywin!BO23+'Muskrat Dam'!BO23+Wunnumin!BO23+Wawakepewin!BO23</f>
        <v>250507</v>
      </c>
    </row>
    <row r="22" spans="1:15">
      <c r="A22" s="2" t="s">
        <v>51</v>
      </c>
      <c r="B22" s="123"/>
      <c r="C22" s="109"/>
      <c r="D22" s="109"/>
      <c r="E22" s="108">
        <f>Armstrong!BE24+'Bearskin Lake'!BE24+Biscotasing!BE24+'Deer Lake'!BE24+'Fort Severn'!BE24+'Gull Bay'!BE24+Hillsport!BE24+Kasabonika!BE24+Kingfisher!BE24+Lansdowne!BE24+'Marten Falls'!BE24+Oba!BE24+Sachigo!BE24+'Sandy Lake'!BE24+Sultan!BE24+Wapekeka!BE24+Weagamow!BE24+Webequie!BE24+'Cat Lake'!BE24+Pikangikum!BE24+'Big Trout Lake'!BE24+'Poplar Hill'!BE24+'North Spirit'!BE24+Keewaywin!BE24+'Muskrat Dam'!BE24+Wunnumin!BE24+Wawakepewin!BE24</f>
        <v>18608</v>
      </c>
      <c r="F22" s="108">
        <f>Armstrong!BF24+'Bearskin Lake'!BF24+Biscotasing!BF24+'Deer Lake'!BF24+'Fort Severn'!BF24+'Gull Bay'!BF24+Hillsport!BF24+Kasabonika!BF24+Kingfisher!BF24+Lansdowne!BF24+'Marten Falls'!BF24+Oba!BF24+Sachigo!BF24+'Sandy Lake'!BF24+Sultan!BF24+Wapekeka!BF24+Weagamow!BF24+Webequie!BF24+'Cat Lake'!BF24+Pikangikum!BF24+'Big Trout Lake'!BF24+'Poplar Hill'!BF24+'North Spirit'!BF24+Keewaywin!BF24+'Muskrat Dam'!BF24+Wunnumin!BF24+Wawakepewin!BF24</f>
        <v>0</v>
      </c>
      <c r="G22" s="108">
        <f>Armstrong!BG24+'Bearskin Lake'!BG24+Biscotasing!BG24+'Deer Lake'!BG24+'Fort Severn'!BG24+'Gull Bay'!BG24+Hillsport!BG24+Kasabonika!BG24+Kingfisher!BG24+Lansdowne!BG24+'Marten Falls'!BG24+Oba!BG24+Sachigo!BG24+'Sandy Lake'!BG24+Sultan!BG24+Wapekeka!BG24+Weagamow!BG24+Webequie!BG24+'Cat Lake'!BG24+Pikangikum!BG24+'Big Trout Lake'!BG24+'Poplar Hill'!BG24+'North Spirit'!BG24+Keewaywin!BG24+'Muskrat Dam'!BG24+Wunnumin!BG24+Wawakepewin!BG24</f>
        <v>0</v>
      </c>
      <c r="H22" s="71">
        <f>Armstrong!BH24+'Bearskin Lake'!BH24+Biscotasing!BH24+'Deer Lake'!BH24+'Fort Severn'!BH24+'Gull Bay'!BH24+Hillsport!BH24+Kasabonika!BH24+Kingfisher!BH24+Lansdowne!BH24+'Marten Falls'!BH24+Oba!BH24+Sachigo!BH24+'Sandy Lake'!BH24+Sultan!BH24+Wapekeka!BH24+Weagamow!BH24+Webequie!BH24+'Cat Lake'!BH24+Pikangikum!BH24+'Big Trout Lake'!BH24+'Poplar Hill'!BH24+'North Spirit'!BH24+Keewaywin!BH24+'Muskrat Dam'!BH24+Wunnumin!BH24+Wawakepewin!BH24</f>
        <v>22177</v>
      </c>
      <c r="I22" s="71">
        <f>Armstrong!BI24+'Bearskin Lake'!BI24+Biscotasing!BI24+'Deer Lake'!BI24+'Fort Severn'!BI24+'Gull Bay'!BI24+Hillsport!BI24+Kasabonika!BI24+Kingfisher!BI24+Lansdowne!BI24+'Marten Falls'!BI24+Oba!BI24+Sachigo!BI24+'Sandy Lake'!BI24+Sultan!BI24+Wapekeka!BI24+Weagamow!BI24+Webequie!BI24+'Cat Lake'!BI24+Pikangikum!BI24+'Big Trout Lake'!BI24+'Poplar Hill'!BI24+'North Spirit'!BI24+Keewaywin!BI24+'Muskrat Dam'!BI24+Wunnumin!BI24+Wawakepewin!BI24</f>
        <v>0</v>
      </c>
      <c r="J22" s="71">
        <f>Armstrong!BJ24+'Bearskin Lake'!BJ24+Biscotasing!BJ24+'Deer Lake'!BJ24+'Fort Severn'!BJ24+'Gull Bay'!BJ24+Hillsport!BJ24+Kasabonika!BJ24+Kingfisher!BJ24+Lansdowne!BJ24+'Marten Falls'!BJ24+Oba!BJ24+Sachigo!BJ24+'Sandy Lake'!BJ24+Sultan!BJ24+Wapekeka!BJ24+Weagamow!BJ24+Webequie!BJ24+'Cat Lake'!BJ24+Pikangikum!BJ24+'Big Trout Lake'!BJ24+'Poplar Hill'!BJ24+'North Spirit'!BJ24+Keewaywin!BJ24+'Muskrat Dam'!BJ24+Wunnumin!BJ24+Wawakepewin!BJ24</f>
        <v>0</v>
      </c>
      <c r="K22" s="71">
        <f>Armstrong!BK24+'Bearskin Lake'!BK24+Biscotasing!BK24+'Deer Lake'!BK24+'Fort Severn'!BK24+'Gull Bay'!BK24+Hillsport!BK24+Kasabonika!BK24+Kingfisher!BK24+Lansdowne!BK24+'Marten Falls'!BK24+Oba!BK24+Sachigo!BK24+'Sandy Lake'!BK24+Sultan!BK24+Wapekeka!BK24+Weagamow!BK24+Webequie!BK24+'Cat Lake'!BK24+Pikangikum!BK24+'Big Trout Lake'!BK24+'Poplar Hill'!BK24+'North Spirit'!BK24+Keewaywin!BK24+'Muskrat Dam'!BK24+Wunnumin!BK24+Wawakepewin!BK24</f>
        <v>26201</v>
      </c>
      <c r="L22" s="71">
        <f>Armstrong!BL24+'Bearskin Lake'!BL24+Biscotasing!BL24+'Deer Lake'!BL24+'Fort Severn'!BL24+'Gull Bay'!BL24+Hillsport!BL24+Kasabonika!BL24+Kingfisher!BL24+Lansdowne!BL24+'Marten Falls'!BL24+Oba!BL24+Sachigo!BL24+'Sandy Lake'!BL24+Sultan!BL24+Wapekeka!BL24+Weagamow!BL24+Webequie!BL24+'Cat Lake'!BL24+Pikangikum!BL24+'Big Trout Lake'!BL24+'Poplar Hill'!BL24+'North Spirit'!BL24+Keewaywin!BL24+'Muskrat Dam'!BL24+Wunnumin!BL24+Wawakepewin!BL24</f>
        <v>0</v>
      </c>
      <c r="M22" s="71">
        <f>Armstrong!BM24+'Bearskin Lake'!BM24+Biscotasing!BM24+'Deer Lake'!BM24+'Fort Severn'!BM24+'Gull Bay'!BM24+Hillsport!BM24+Kasabonika!BM24+Kingfisher!BM24+Lansdowne!BM24+'Marten Falls'!BM24+Oba!BM24+Sachigo!BM24+'Sandy Lake'!BM24+Sultan!BM24+Wapekeka!BM24+Weagamow!BM24+Webequie!BM24+'Cat Lake'!BM24+Pikangikum!BM24+'Big Trout Lake'!BM24+'Poplar Hill'!BM24+'North Spirit'!BM24+Keewaywin!BM24+'Muskrat Dam'!BM24+Wunnumin!BM24+Wawakepewin!BM24</f>
        <v>0</v>
      </c>
      <c r="N22" s="70">
        <f>Armstrong!BN24+'Bearskin Lake'!BN24+Biscotasing!BN24+'Deer Lake'!BN24+'Fort Severn'!BN24+'Gull Bay'!BN24+Hillsport!BN24+Kasabonika!BN24+Kingfisher!BN24+Lansdowne!BN24+'Marten Falls'!BN24+Oba!BN24+Sachigo!BN24+'Sandy Lake'!BN24+Sultan!BN24+Wapekeka!BN24+Weagamow!BN24+Webequie!BN24+'Cat Lake'!BN24+Pikangikum!BN24+'Big Trout Lake'!BN24+'Poplar Hill'!BN24+'North Spirit'!BN24+Keewaywin!BN24+'Muskrat Dam'!BN24+Wunnumin!BN24+Wawakepewin!BN24</f>
        <v>84837</v>
      </c>
      <c r="O22" s="70">
        <f>Armstrong!BO24+'Bearskin Lake'!BO24+Biscotasing!BO24+'Deer Lake'!BO24+'Fort Severn'!BO24+'Gull Bay'!BO24+Hillsport!BO24+Kasabonika!BO24+Kingfisher!BO24+Lansdowne!BO24+'Marten Falls'!BO24+Oba!BO24+Sachigo!BO24+'Sandy Lake'!BO24+Sultan!BO24+Wapekeka!BO24+Weagamow!BO24+Webequie!BO24+'Cat Lake'!BO24+Pikangikum!BO24+'Big Trout Lake'!BO24+'Poplar Hill'!BO24+'North Spirit'!BO24+Keewaywin!BO24+'Muskrat Dam'!BO24+Wunnumin!BO24+Wawakepewin!BO24</f>
        <v>84836</v>
      </c>
    </row>
    <row r="23" spans="1:15">
      <c r="A23" s="2" t="s">
        <v>52</v>
      </c>
      <c r="B23" s="123"/>
      <c r="C23" s="109"/>
      <c r="D23" s="109"/>
      <c r="E23" s="108">
        <f>Armstrong!BE25+'Bearskin Lake'!BE25+Biscotasing!BE25+'Deer Lake'!BE25+'Fort Severn'!BE25+'Gull Bay'!BE25+Hillsport!BE25+Kasabonika!BE25+Kingfisher!BE25+Lansdowne!BE25+'Marten Falls'!BE25+Oba!BE25+Sachigo!BE25+'Sandy Lake'!BE25+Sultan!BE25+Wapekeka!BE25+Weagamow!BE25+Webequie!BE25+'Cat Lake'!BE25+Pikangikum!BE25+'Big Trout Lake'!BE25+'Poplar Hill'!BE25+'North Spirit'!BE25+Keewaywin!BE25+'Muskrat Dam'!BE25+Wunnumin!BE25+Wawakepewin!BE25</f>
        <v>9775</v>
      </c>
      <c r="F23" s="108">
        <f>Armstrong!BF25+'Bearskin Lake'!BF25+Biscotasing!BF25+'Deer Lake'!BF25+'Fort Severn'!BF25+'Gull Bay'!BF25+Hillsport!BF25+Kasabonika!BF25+Kingfisher!BF25+Lansdowne!BF25+'Marten Falls'!BF25+Oba!BF25+Sachigo!BF25+'Sandy Lake'!BF25+Sultan!BF25+Wapekeka!BF25+Weagamow!BF25+Webequie!BF25+'Cat Lake'!BF25+Pikangikum!BF25+'Big Trout Lake'!BF25+'Poplar Hill'!BF25+'North Spirit'!BF25+Keewaywin!BF25+'Muskrat Dam'!BF25+Wunnumin!BF25+Wawakepewin!BF25</f>
        <v>0</v>
      </c>
      <c r="G23" s="108">
        <f>Armstrong!BG25+'Bearskin Lake'!BG25+Biscotasing!BG25+'Deer Lake'!BG25+'Fort Severn'!BG25+'Gull Bay'!BG25+Hillsport!BG25+Kasabonika!BG25+Kingfisher!BG25+Lansdowne!BG25+'Marten Falls'!BG25+Oba!BG25+Sachigo!BG25+'Sandy Lake'!BG25+Sultan!BG25+Wapekeka!BG25+Weagamow!BG25+Webequie!BG25+'Cat Lake'!BG25+Pikangikum!BG25+'Big Trout Lake'!BG25+'Poplar Hill'!BG25+'North Spirit'!BG25+Keewaywin!BG25+'Muskrat Dam'!BG25+Wunnumin!BG25+Wawakepewin!BG25</f>
        <v>0</v>
      </c>
      <c r="H23" s="71">
        <f>Armstrong!BH25+'Bearskin Lake'!BH25+Biscotasing!BH25+'Deer Lake'!BH25+'Fort Severn'!BH25+'Gull Bay'!BH25+Hillsport!BH25+Kasabonika!BH25+Kingfisher!BH25+Lansdowne!BH25+'Marten Falls'!BH25+Oba!BH25+Sachigo!BH25+'Sandy Lake'!BH25+Sultan!BH25+Wapekeka!BH25+Weagamow!BH25+Webequie!BH25+'Cat Lake'!BH25+Pikangikum!BH25+'Big Trout Lake'!BH25+'Poplar Hill'!BH25+'North Spirit'!BH25+Keewaywin!BH25+'Muskrat Dam'!BH25+Wunnumin!BH25+Wawakepewin!BH25</f>
        <v>11652</v>
      </c>
      <c r="I23" s="71">
        <f>Armstrong!BI25+'Bearskin Lake'!BI25+Biscotasing!BI25+'Deer Lake'!BI25+'Fort Severn'!BI25+'Gull Bay'!BI25+Hillsport!BI25+Kasabonika!BI25+Kingfisher!BI25+Lansdowne!BI25+'Marten Falls'!BI25+Oba!BI25+Sachigo!BI25+'Sandy Lake'!BI25+Sultan!BI25+Wapekeka!BI25+Weagamow!BI25+Webequie!BI25+'Cat Lake'!BI25+Pikangikum!BI25+'Big Trout Lake'!BI25+'Poplar Hill'!BI25+'North Spirit'!BI25+Keewaywin!BI25+'Muskrat Dam'!BI25+Wunnumin!BI25+Wawakepewin!BI25</f>
        <v>0</v>
      </c>
      <c r="J23" s="71">
        <f>Armstrong!BJ25+'Bearskin Lake'!BJ25+Biscotasing!BJ25+'Deer Lake'!BJ25+'Fort Severn'!BJ25+'Gull Bay'!BJ25+Hillsport!BJ25+Kasabonika!BJ25+Kingfisher!BJ25+Lansdowne!BJ25+'Marten Falls'!BJ25+Oba!BJ25+Sachigo!BJ25+'Sandy Lake'!BJ25+Sultan!BJ25+Wapekeka!BJ25+Weagamow!BJ25+Webequie!BJ25+'Cat Lake'!BJ25+Pikangikum!BJ25+'Big Trout Lake'!BJ25+'Poplar Hill'!BJ25+'North Spirit'!BJ25+Keewaywin!BJ25+'Muskrat Dam'!BJ25+Wunnumin!BJ25+Wawakepewin!BJ25</f>
        <v>0</v>
      </c>
      <c r="K23" s="71">
        <f>Armstrong!BK25+'Bearskin Lake'!BK25+Biscotasing!BK25+'Deer Lake'!BK25+'Fort Severn'!BK25+'Gull Bay'!BK25+Hillsport!BK25+Kasabonika!BK25+Kingfisher!BK25+Lansdowne!BK25+'Marten Falls'!BK25+Oba!BK25+Sachigo!BK25+'Sandy Lake'!BK25+Sultan!BK25+Wapekeka!BK25+Weagamow!BK25+Webequie!BK25+'Cat Lake'!BK25+Pikangikum!BK25+'Big Trout Lake'!BK25+'Poplar Hill'!BK25+'North Spirit'!BK25+Keewaywin!BK25+'Muskrat Dam'!BK25+Wunnumin!BK25+Wawakepewin!BK25</f>
        <v>13766</v>
      </c>
      <c r="L23" s="71">
        <f>Armstrong!BL25+'Bearskin Lake'!BL25+Biscotasing!BL25+'Deer Lake'!BL25+'Fort Severn'!BL25+'Gull Bay'!BL25+Hillsport!BL25+Kasabonika!BL25+Kingfisher!BL25+Lansdowne!BL25+'Marten Falls'!BL25+Oba!BL25+Sachigo!BL25+'Sandy Lake'!BL25+Sultan!BL25+Wapekeka!BL25+Weagamow!BL25+Webequie!BL25+'Cat Lake'!BL25+Pikangikum!BL25+'Big Trout Lake'!BL25+'Poplar Hill'!BL25+'North Spirit'!BL25+Keewaywin!BL25+'Muskrat Dam'!BL25+Wunnumin!BL25+Wawakepewin!BL25</f>
        <v>0</v>
      </c>
      <c r="M23" s="71">
        <f>Armstrong!BM25+'Bearskin Lake'!BM25+Biscotasing!BM25+'Deer Lake'!BM25+'Fort Severn'!BM25+'Gull Bay'!BM25+Hillsport!BM25+Kasabonika!BM25+Kingfisher!BM25+Lansdowne!BM25+'Marten Falls'!BM25+Oba!BM25+Sachigo!BM25+'Sandy Lake'!BM25+Sultan!BM25+Wapekeka!BM25+Weagamow!BM25+Webequie!BM25+'Cat Lake'!BM25+Pikangikum!BM25+'Big Trout Lake'!BM25+'Poplar Hill'!BM25+'North Spirit'!BM25+Keewaywin!BM25+'Muskrat Dam'!BM25+Wunnumin!BM25+Wawakepewin!BM25</f>
        <v>0</v>
      </c>
      <c r="N23" s="70">
        <f>Armstrong!BN25+'Bearskin Lake'!BN25+Biscotasing!BN25+'Deer Lake'!BN25+'Fort Severn'!BN25+'Gull Bay'!BN25+Hillsport!BN25+Kasabonika!BN25+Kingfisher!BN25+Lansdowne!BN25+'Marten Falls'!BN25+Oba!BN25+Sachigo!BN25+'Sandy Lake'!BN25+Sultan!BN25+Wapekeka!BN25+Weagamow!BN25+Webequie!BN25+'Cat Lake'!BN25+Pikangikum!BN25+'Big Trout Lake'!BN25+'Poplar Hill'!BN25+'North Spirit'!BN25+Keewaywin!BN25+'Muskrat Dam'!BN25+Wunnumin!BN25+Wawakepewin!BN25</f>
        <v>44573</v>
      </c>
      <c r="O23" s="70">
        <f>Armstrong!BO25+'Bearskin Lake'!BO25+Biscotasing!BO25+'Deer Lake'!BO25+'Fort Severn'!BO25+'Gull Bay'!BO25+Hillsport!BO25+Kasabonika!BO25+Kingfisher!BO25+Lansdowne!BO25+'Marten Falls'!BO25+Oba!BO25+Sachigo!BO25+'Sandy Lake'!BO25+Sultan!BO25+Wapekeka!BO25+Weagamow!BO25+Webequie!BO25+'Cat Lake'!BO25+Pikangikum!BO25+'Big Trout Lake'!BO25+'Poplar Hill'!BO25+'North Spirit'!BO25+Keewaywin!BO25+'Muskrat Dam'!BO25+Wunnumin!BO25+Wawakepewin!BO25</f>
        <v>44574</v>
      </c>
    </row>
    <row r="24" spans="1:15" ht="15" thickBot="1">
      <c r="A24" s="199" t="s">
        <v>30</v>
      </c>
      <c r="B24" s="240"/>
      <c r="C24" s="117"/>
      <c r="D24" s="117"/>
      <c r="E24" s="114">
        <f>Armstrong!BE26+'Bearskin Lake'!BE26+Biscotasing!BE26+'Deer Lake'!BE26+'Fort Severn'!BE26+'Gull Bay'!BE26+Hillsport!BE26+Kasabonika!BE26+Kingfisher!BE26+Lansdowne!BE26+'Marten Falls'!BE26+Oba!BE26+Sachigo!BE26+'Sandy Lake'!BE26+Sultan!BE26+Wapekeka!BE26+Weagamow!BE26+Webequie!BE26+'Cat Lake'!BE26+Pikangikum!BE26+'Big Trout Lake'!BE26+'Poplar Hill'!BE26+'North Spirit'!BE26+Keewaywin!BE26+'Muskrat Dam'!BE26+Wunnumin!BE26+Wawakepewin!BE26</f>
        <v>83327</v>
      </c>
      <c r="F24" s="114">
        <f>Armstrong!BF26+'Bearskin Lake'!BF26+Biscotasing!BF26+'Deer Lake'!BF26+'Fort Severn'!BF26+'Gull Bay'!BF26+Hillsport!BF26+Kasabonika!BF26+Kingfisher!BF26+Lansdowne!BF26+'Marten Falls'!BF26+Oba!BF26+Sachigo!BF26+'Sandy Lake'!BF26+Sultan!BF26+Wapekeka!BF26+Weagamow!BF26+Webequie!BF26+'Cat Lake'!BF26+Pikangikum!BF26+'Big Trout Lake'!BF26+'Poplar Hill'!BF26+'North Spirit'!BF26+Keewaywin!BF26+'Muskrat Dam'!BF26+Wunnumin!BF26+Wawakepewin!BF26</f>
        <v>0</v>
      </c>
      <c r="G24" s="114">
        <f>Armstrong!BG26+'Bearskin Lake'!BG26+Biscotasing!BG26+'Deer Lake'!BG26+'Fort Severn'!BG26+'Gull Bay'!BG26+Hillsport!BG26+Kasabonika!BG26+Kingfisher!BG26+Lansdowne!BG26+'Marten Falls'!BG26+Oba!BG26+Sachigo!BG26+'Sandy Lake'!BG26+Sultan!BG26+Wapekeka!BG26+Weagamow!BG26+Webequie!BG26+'Cat Lake'!BG26+Pikangikum!BG26+'Big Trout Lake'!BG26+'Poplar Hill'!BG26+'North Spirit'!BG26+Keewaywin!BG26+'Muskrat Dam'!BG26+Wunnumin!BG26+Wawakepewin!BG26</f>
        <v>0</v>
      </c>
      <c r="H24" s="114">
        <f>Armstrong!BH26+'Bearskin Lake'!BH26+Biscotasing!BH26+'Deer Lake'!BH26+'Fort Severn'!BH26+'Gull Bay'!BH26+Hillsport!BH26+Kasabonika!BH26+Kingfisher!BH26+Lansdowne!BH26+'Marten Falls'!BH26+Oba!BH26+Sachigo!BH26+'Sandy Lake'!BH26+Sultan!BH26+Wapekeka!BH26+Weagamow!BH26+Webequie!BH26+'Cat Lake'!BH26+Pikangikum!BH26+'Big Trout Lake'!BH26+'Poplar Hill'!BH26+'North Spirit'!BH26+Keewaywin!BH26+'Muskrat Dam'!BH26+Wunnumin!BH26+Wawakepewin!BH26</f>
        <v>99311</v>
      </c>
      <c r="I24" s="114">
        <f>Armstrong!BI26+'Bearskin Lake'!BI26+Biscotasing!BI26+'Deer Lake'!BI26+'Fort Severn'!BI26+'Gull Bay'!BI26+Hillsport!BI26+Kasabonika!BI26+Kingfisher!BI26+Lansdowne!BI26+'Marten Falls'!BI26+Oba!BI26+Sachigo!BI26+'Sandy Lake'!BI26+Sultan!BI26+Wapekeka!BI26+Weagamow!BI26+Webequie!BI26+'Cat Lake'!BI26+Pikangikum!BI26+'Big Trout Lake'!BI26+'Poplar Hill'!BI26+'North Spirit'!BI26+Keewaywin!BI26+'Muskrat Dam'!BI26+Wunnumin!BI26+Wawakepewin!BI26</f>
        <v>0</v>
      </c>
      <c r="J24" s="114">
        <f>Armstrong!BJ26+'Bearskin Lake'!BJ26+Biscotasing!BJ26+'Deer Lake'!BJ26+'Fort Severn'!BJ26+'Gull Bay'!BJ26+Hillsport!BJ26+Kasabonika!BJ26+Kingfisher!BJ26+Lansdowne!BJ26+'Marten Falls'!BJ26+Oba!BJ26+Sachigo!BJ26+'Sandy Lake'!BJ26+Sultan!BJ26+Wapekeka!BJ26+Weagamow!BJ26+Webequie!BJ26+'Cat Lake'!BJ26+Pikangikum!BJ26+'Big Trout Lake'!BJ26+'Poplar Hill'!BJ26+'North Spirit'!BJ26+Keewaywin!BJ26+'Muskrat Dam'!BJ26+Wunnumin!BJ26+Wawakepewin!BJ26</f>
        <v>0</v>
      </c>
      <c r="K24" s="114">
        <f>Armstrong!BK26+'Bearskin Lake'!BK26+Biscotasing!BK26+'Deer Lake'!BK26+'Fort Severn'!BK26+'Gull Bay'!BK26+Hillsport!BK26+Kasabonika!BK26+Kingfisher!BK26+Lansdowne!BK26+'Marten Falls'!BK26+Oba!BK26+Sachigo!BK26+'Sandy Lake'!BK26+Sultan!BK26+Wapekeka!BK26+Weagamow!BK26+Webequie!BK26+'Cat Lake'!BK26+Pikangikum!BK26+'Big Trout Lake'!BK26+'Poplar Hill'!BK26+'North Spirit'!BK26+Keewaywin!BK26+'Muskrat Dam'!BK26+Wunnumin!BK26+Wawakepewin!BK26</f>
        <v>117335</v>
      </c>
      <c r="L24" s="114">
        <f>Armstrong!BL26+'Bearskin Lake'!BL26+Biscotasing!BL26+'Deer Lake'!BL26+'Fort Severn'!BL26+'Gull Bay'!BL26+Hillsport!BL26+Kasabonika!BL26+Kingfisher!BL26+Lansdowne!BL26+'Marten Falls'!BL26+Oba!BL26+Sachigo!BL26+'Sandy Lake'!BL26+Sultan!BL26+Wapekeka!BL26+Weagamow!BL26+Webequie!BL26+'Cat Lake'!BL26+Pikangikum!BL26+'Big Trout Lake'!BL26+'Poplar Hill'!BL26+'North Spirit'!BL26+Keewaywin!BL26+'Muskrat Dam'!BL26+Wunnumin!BL26+Wawakepewin!BL26</f>
        <v>0</v>
      </c>
      <c r="M24" s="114">
        <f>Armstrong!BM26+'Bearskin Lake'!BM26+Biscotasing!BM26+'Deer Lake'!BM26+'Fort Severn'!BM26+'Gull Bay'!BM26+Hillsport!BM26+Kasabonika!BM26+Kingfisher!BM26+Lansdowne!BM26+'Marten Falls'!BM26+Oba!BM26+Sachigo!BM26+'Sandy Lake'!BM26+Sultan!BM26+Wapekeka!BM26+Weagamow!BM26+Webequie!BM26+'Cat Lake'!BM26+Pikangikum!BM26+'Big Trout Lake'!BM26+'Poplar Hill'!BM26+'North Spirit'!BM26+Keewaywin!BM26+'Muskrat Dam'!BM26+Wunnumin!BM26+Wawakepewin!BM26</f>
        <v>0</v>
      </c>
      <c r="N24" s="484">
        <f>Armstrong!BN26+'Bearskin Lake'!BN26+Biscotasing!BN26+'Deer Lake'!BN26+'Fort Severn'!BN26+'Gull Bay'!BN26+Hillsport!BN26+Kasabonika!BN26+Kingfisher!BN26+Lansdowne!BN26+'Marten Falls'!BN26+Oba!BN26+Sachigo!BN26+'Sandy Lake'!BN26+Sultan!BN26+Wapekeka!BN26+Weagamow!BN26+Webequie!BN26+'Cat Lake'!BN26+Pikangikum!BN26+'Big Trout Lake'!BN26+'Poplar Hill'!BN26+'North Spirit'!BN26+Keewaywin!BN26+'Muskrat Dam'!BN26+Wunnumin!BN26+Wawakepewin!BN26</f>
        <v>379918</v>
      </c>
      <c r="O24" s="484">
        <f>Armstrong!BO26+'Bearskin Lake'!BO26+Biscotasing!BO26+'Deer Lake'!BO26+'Fort Severn'!BO26+'Gull Bay'!BO26+Hillsport!BO26+Kasabonika!BO26+Kingfisher!BO26+Lansdowne!BO26+'Marten Falls'!BO26+Oba!BO26+Sachigo!BO26+'Sandy Lake'!BO26+Sultan!BO26+Wapekeka!BO26+Weagamow!BO26+Webequie!BO26+'Cat Lake'!BO26+Pikangikum!BO26+'Big Trout Lake'!BO26+'Poplar Hill'!BO26+'North Spirit'!BO26+Keewaywin!BO26+'Muskrat Dam'!BO26+Wunnumin!BO26+Wawakepewin!BO26</f>
        <v>379918</v>
      </c>
    </row>
    <row r="25" spans="1:15" ht="15" thickTop="1">
      <c r="A25" s="2" t="s">
        <v>54</v>
      </c>
      <c r="B25" s="52"/>
      <c r="C25" s="39"/>
      <c r="D25" s="39"/>
      <c r="E25" s="9"/>
      <c r="F25" s="9"/>
      <c r="G25" s="9"/>
      <c r="H25" s="9"/>
      <c r="I25" s="9"/>
      <c r="J25" s="9"/>
      <c r="K25" s="9"/>
      <c r="L25" s="9"/>
      <c r="M25" s="9"/>
      <c r="N25" s="58"/>
      <c r="O25" s="58"/>
    </row>
    <row r="26" spans="1:15">
      <c r="A26" s="198" t="s">
        <v>56</v>
      </c>
      <c r="B26" s="89"/>
      <c r="C26" s="67"/>
      <c r="D26" s="67"/>
      <c r="E26" s="19"/>
      <c r="F26" s="19"/>
      <c r="G26" s="19"/>
      <c r="H26" s="19"/>
      <c r="I26" s="19"/>
      <c r="J26" s="19"/>
      <c r="K26" s="19"/>
      <c r="L26" s="19"/>
      <c r="M26" s="19"/>
      <c r="N26" s="59"/>
      <c r="O26" s="59"/>
    </row>
    <row r="27" spans="1:15">
      <c r="A27" s="2" t="s">
        <v>49</v>
      </c>
      <c r="B27" s="123"/>
      <c r="C27" s="109"/>
      <c r="D27" s="109"/>
      <c r="E27" s="108">
        <f>Armstrong!BE29+'Bearskin Lake'!BE29+Biscotasing!BE29+'Deer Lake'!BE29+'Fort Severn'!BE29+'Gull Bay'!BE29+Hillsport!BE29+Kasabonika!BE29+Kingfisher!BE29+Lansdowne!BE29+'Marten Falls'!BE29+Oba!BE29+Sachigo!BE29+'Sandy Lake'!BE29+Sultan!BE29+Wapekeka!BE29+Weagamow!BE29+Webequie!BE29+'Cat Lake'!BE29+Pikangikum!BE29+'Big Trout Lake'!BE29+'Poplar Hill'!BE29+'North Spirit'!BE29+Keewaywin!BE29+'Muskrat Dam'!BE29+Wunnumin!BE29+Wawakepewin!BE29</f>
        <v>306</v>
      </c>
      <c r="F27" s="108">
        <f>Armstrong!BF29+'Bearskin Lake'!BF29+Biscotasing!BF29+'Deer Lake'!BF29+'Fort Severn'!BF29+'Gull Bay'!BF29+Hillsport!BF29+Kasabonika!BF29+Kingfisher!BF29+Lansdowne!BF29+'Marten Falls'!BF29+Oba!BF29+Sachigo!BF29+'Sandy Lake'!BF29+Sultan!BF29+Wapekeka!BF29+Weagamow!BF29+Webequie!BF29+'Cat Lake'!BF29+Pikangikum!BF29+'Big Trout Lake'!BF29+'Poplar Hill'!BF29+'North Spirit'!BF29+Keewaywin!BF29+'Muskrat Dam'!BF29+Wunnumin!BF29+Wawakepewin!BF29</f>
        <v>306</v>
      </c>
      <c r="G27" s="108">
        <f>Armstrong!BG29+'Bearskin Lake'!BG29+Biscotasing!BG29+'Deer Lake'!BG29+'Fort Severn'!BG29+'Gull Bay'!BG29+Hillsport!BG29+Kasabonika!BG29+Kingfisher!BG29+Lansdowne!BG29+'Marten Falls'!BG29+Oba!BG29+Sachigo!BG29+'Sandy Lake'!BG29+Sultan!BG29+Wapekeka!BG29+Weagamow!BG29+Webequie!BG29+'Cat Lake'!BG29+Pikangikum!BG29+'Big Trout Lake'!BG29+'Poplar Hill'!BG29+'North Spirit'!BG29+Keewaywin!BG29+'Muskrat Dam'!BG29+Wunnumin!BG29+Wawakepewin!BG29</f>
        <v>306</v>
      </c>
      <c r="H27" s="71">
        <f>Armstrong!BH29+'Bearskin Lake'!BH29+Biscotasing!BH29+'Deer Lake'!BH29+'Fort Severn'!BH29+'Gull Bay'!BH29+Hillsport!BH29+Kasabonika!BH29+Kingfisher!BH29+Lansdowne!BH29+'Marten Falls'!BH29+Oba!BH29+Sachigo!BH29+'Sandy Lake'!BH29+Sultan!BH29+Wapekeka!BH29+Weagamow!BH29+Webequie!BH29+'Cat Lake'!BH29+Pikangikum!BH29+'Big Trout Lake'!BH29+'Poplar Hill'!BH29+'North Spirit'!BH29+Keewaywin!BH29+'Muskrat Dam'!BH29+Wunnumin!BH29+Wawakepewin!BH29</f>
        <v>271</v>
      </c>
      <c r="I27" s="71">
        <f>Armstrong!BI29+'Bearskin Lake'!BI29+Biscotasing!BI29+'Deer Lake'!BI29+'Fort Severn'!BI29+'Gull Bay'!BI29+Hillsport!BI29+Kasabonika!BI29+Kingfisher!BI29+Lansdowne!BI29+'Marten Falls'!BI29+Oba!BI29+Sachigo!BI29+'Sandy Lake'!BI29+Sultan!BI29+Wapekeka!BI29+Weagamow!BI29+Webequie!BI29+'Cat Lake'!BI29+Pikangikum!BI29+'Big Trout Lake'!BI29+'Poplar Hill'!BI29+'North Spirit'!BI29+Keewaywin!BI29+'Muskrat Dam'!BI29+Wunnumin!BI29+Wawakepewin!BI29</f>
        <v>271</v>
      </c>
      <c r="J27" s="71">
        <f>Armstrong!BJ29+'Bearskin Lake'!BJ29+Biscotasing!BJ29+'Deer Lake'!BJ29+'Fort Severn'!BJ29+'Gull Bay'!BJ29+Hillsport!BJ29+Kasabonika!BJ29+Kingfisher!BJ29+Lansdowne!BJ29+'Marten Falls'!BJ29+Oba!BJ29+Sachigo!BJ29+'Sandy Lake'!BJ29+Sultan!BJ29+Wapekeka!BJ29+Weagamow!BJ29+Webequie!BJ29+'Cat Lake'!BJ29+Pikangikum!BJ29+'Big Trout Lake'!BJ29+'Poplar Hill'!BJ29+'North Spirit'!BJ29+Keewaywin!BJ29+'Muskrat Dam'!BJ29+Wunnumin!BJ29+Wawakepewin!BJ29</f>
        <v>271</v>
      </c>
      <c r="K27" s="71">
        <f>Armstrong!BK29+'Bearskin Lake'!BK29+Biscotasing!BK29+'Deer Lake'!BK29+'Fort Severn'!BK29+'Gull Bay'!BK29+Hillsport!BK29+Kasabonika!BK29+Kingfisher!BK29+Lansdowne!BK29+'Marten Falls'!BK29+Oba!BK29+Sachigo!BK29+'Sandy Lake'!BK29+Sultan!BK29+Wapekeka!BK29+Weagamow!BK29+Webequie!BK29+'Cat Lake'!BK29+Pikangikum!BK29+'Big Trout Lake'!BK29+'Poplar Hill'!BK29+'North Spirit'!BK29+Keewaywin!BK29+'Muskrat Dam'!BK29+Wunnumin!BK29+Wawakepewin!BK29</f>
        <v>271</v>
      </c>
      <c r="L27" s="71">
        <f>Armstrong!BL29+'Bearskin Lake'!BL29+Biscotasing!BL29+'Deer Lake'!BL29+'Fort Severn'!BL29+'Gull Bay'!BL29+Hillsport!BL29+Kasabonika!BL29+Kingfisher!BL29+Lansdowne!BL29+'Marten Falls'!BL29+Oba!BL29+Sachigo!BL29+'Sandy Lake'!BL29+Sultan!BL29+Wapekeka!BL29+Weagamow!BL29+Webequie!BL29+'Cat Lake'!BL29+Pikangikum!BL29+'Big Trout Lake'!BL29+'Poplar Hill'!BL29+'North Spirit'!BL29+Keewaywin!BL29+'Muskrat Dam'!BL29+Wunnumin!BL29+Wawakepewin!BL29</f>
        <v>271</v>
      </c>
      <c r="M27" s="71">
        <f>Armstrong!BM29+'Bearskin Lake'!BM29+Biscotasing!BM29+'Deer Lake'!BM29+'Fort Severn'!BM29+'Gull Bay'!BM29+Hillsport!BM29+Kasabonika!BM29+Kingfisher!BM29+Lansdowne!BM29+'Marten Falls'!BM29+Oba!BM29+Sachigo!BM29+'Sandy Lake'!BM29+Sultan!BM29+Wapekeka!BM29+Weagamow!BM29+Webequie!BM29+'Cat Lake'!BM29+Pikangikum!BM29+'Big Trout Lake'!BM29+'Poplar Hill'!BM29+'North Spirit'!BM29+Keewaywin!BM29+'Muskrat Dam'!BM29+Wunnumin!BM29+Wawakepewin!BM29</f>
        <v>271</v>
      </c>
      <c r="N27" s="70">
        <f>Armstrong!BN29+'Bearskin Lake'!BN29+Biscotasing!BN29+'Deer Lake'!BN29+'Fort Severn'!BN29+'Gull Bay'!BN29+Hillsport!BN29+Kasabonika!BN29+Kingfisher!BN29+Lansdowne!BN29+'Marten Falls'!BN29+Oba!BN29+Sachigo!BN29+'Sandy Lake'!BN29+Sultan!BN29+Wapekeka!BN29+Weagamow!BN29+Webequie!BN29+'Cat Lake'!BN29+Pikangikum!BN29+'Big Trout Lake'!BN29+'Poplar Hill'!BN29+'North Spirit'!BN29+Keewaywin!BN29+'Muskrat Dam'!BN29+Wunnumin!BN29+Wawakepewin!BN29</f>
        <v>271</v>
      </c>
      <c r="O27" s="70">
        <f>Armstrong!BO29+'Bearskin Lake'!BO29+Biscotasing!BO29+'Deer Lake'!BO29+'Fort Severn'!BO29+'Gull Bay'!BO29+Hillsport!BO29+Kasabonika!BO29+Kingfisher!BO29+Lansdowne!BO29+'Marten Falls'!BO29+Oba!BO29+Sachigo!BO29+'Sandy Lake'!BO29+Sultan!BO29+Wapekeka!BO29+Weagamow!BO29+Webequie!BO29+'Cat Lake'!BO29+Pikangikum!BO29+'Big Trout Lake'!BO29+'Poplar Hill'!BO29+'North Spirit'!BO29+Keewaywin!BO29+'Muskrat Dam'!BO29+Wunnumin!BO29+Wawakepewin!BO29</f>
        <v>188</v>
      </c>
    </row>
    <row r="28" spans="1:15">
      <c r="A28" s="2" t="s">
        <v>57</v>
      </c>
      <c r="B28" s="123"/>
      <c r="C28" s="109"/>
      <c r="D28" s="109"/>
      <c r="E28" s="108">
        <f>Armstrong!BE30+'Bearskin Lake'!BE30+Biscotasing!BE30+'Deer Lake'!BE30+'Fort Severn'!BE30+'Gull Bay'!BE30+Hillsport!BE30+Kasabonika!BE30+Kingfisher!BE30+Lansdowne!BE30+'Marten Falls'!BE30+Oba!BE30+Sachigo!BE30+'Sandy Lake'!BE30+Sultan!BE30+Wapekeka!BE30+Weagamow!BE30+Webequie!BE30+'Cat Lake'!BE30+Pikangikum!BE30+'Big Trout Lake'!BE30+'Poplar Hill'!BE30+'North Spirit'!BE30+Keewaywin!BE30+'Muskrat Dam'!BE30+Wunnumin!BE30+Wawakepewin!BE30</f>
        <v>619671</v>
      </c>
      <c r="F28" s="108">
        <f>Armstrong!BF30+'Bearskin Lake'!BF30+Biscotasing!BF30+'Deer Lake'!BF30+'Fort Severn'!BF30+'Gull Bay'!BF30+Hillsport!BF30+Kasabonika!BF30+Kingfisher!BF30+Lansdowne!BF30+'Marten Falls'!BF30+Oba!BF30+Sachigo!BF30+'Sandy Lake'!BF30+Sultan!BF30+Wapekeka!BF30+Weagamow!BF30+Webequie!BF30+'Cat Lake'!BF30+Pikangikum!BF30+'Big Trout Lake'!BF30+'Poplar Hill'!BF30+'North Spirit'!BF30+Keewaywin!BF30+'Muskrat Dam'!BF30+Wunnumin!BF30+Wawakepewin!BF30</f>
        <v>507281</v>
      </c>
      <c r="G28" s="108">
        <f>Armstrong!BG30+'Bearskin Lake'!BG30+Biscotasing!BG30+'Deer Lake'!BG30+'Fort Severn'!BG30+'Gull Bay'!BG30+Hillsport!BG30+Kasabonika!BG30+Kingfisher!BG30+Lansdowne!BG30+'Marten Falls'!BG30+Oba!BG30+Sachigo!BG30+'Sandy Lake'!BG30+Sultan!BG30+Wapekeka!BG30+Weagamow!BG30+Webequie!BG30+'Cat Lake'!BG30+Pikangikum!BG30+'Big Trout Lake'!BG30+'Poplar Hill'!BG30+'North Spirit'!BG30+Keewaywin!BG30+'Muskrat Dam'!BG30+Wunnumin!BG30+Wawakepewin!BG30</f>
        <v>434328</v>
      </c>
      <c r="H28" s="71">
        <f>Armstrong!BH30+'Bearskin Lake'!BH30+Biscotasing!BH30+'Deer Lake'!BH30+'Fort Severn'!BH30+'Gull Bay'!BH30+Hillsport!BH30+Kasabonika!BH30+Kingfisher!BH30+Lansdowne!BH30+'Marten Falls'!BH30+Oba!BH30+Sachigo!BH30+'Sandy Lake'!BH30+Sultan!BH30+Wapekeka!BH30+Weagamow!BH30+Webequie!BH30+'Cat Lake'!BH30+Pikangikum!BH30+'Big Trout Lake'!BH30+'Poplar Hill'!BH30+'North Spirit'!BH30+Keewaywin!BH30+'Muskrat Dam'!BH30+Wunnumin!BH30+Wawakepewin!BH30</f>
        <v>366213</v>
      </c>
      <c r="I28" s="71">
        <f>Armstrong!BI30+'Bearskin Lake'!BI30+Biscotasing!BI30+'Deer Lake'!BI30+'Fort Severn'!BI30+'Gull Bay'!BI30+Hillsport!BI30+Kasabonika!BI30+Kingfisher!BI30+Lansdowne!BI30+'Marten Falls'!BI30+Oba!BI30+Sachigo!BI30+'Sandy Lake'!BI30+Sultan!BI30+Wapekeka!BI30+Weagamow!BI30+Webequie!BI30+'Cat Lake'!BI30+Pikangikum!BI30+'Big Trout Lake'!BI30+'Poplar Hill'!BI30+'North Spirit'!BI30+Keewaywin!BI30+'Muskrat Dam'!BI30+Wunnumin!BI30+Wawakepewin!BI30</f>
        <v>364085</v>
      </c>
      <c r="J28" s="71">
        <f>Armstrong!BJ30+'Bearskin Lake'!BJ30+Biscotasing!BJ30+'Deer Lake'!BJ30+'Fort Severn'!BJ30+'Gull Bay'!BJ30+Hillsport!BJ30+Kasabonika!BJ30+Kingfisher!BJ30+Lansdowne!BJ30+'Marten Falls'!BJ30+Oba!BJ30+Sachigo!BJ30+'Sandy Lake'!BJ30+Sultan!BJ30+Wapekeka!BJ30+Weagamow!BJ30+Webequie!BJ30+'Cat Lake'!BJ30+Pikangikum!BJ30+'Big Trout Lake'!BJ30+'Poplar Hill'!BJ30+'North Spirit'!BJ30+Keewaywin!BJ30+'Muskrat Dam'!BJ30+Wunnumin!BJ30+Wawakepewin!BJ30</f>
        <v>329055</v>
      </c>
      <c r="K28" s="71">
        <f>Armstrong!BK30+'Bearskin Lake'!BK30+Biscotasing!BK30+'Deer Lake'!BK30+'Fort Severn'!BK30+'Gull Bay'!BK30+Hillsport!BK30+Kasabonika!BK30+Kingfisher!BK30+Lansdowne!BK30+'Marten Falls'!BK30+Oba!BK30+Sachigo!BK30+'Sandy Lake'!BK30+Sultan!BK30+Wapekeka!BK30+Weagamow!BK30+Webequie!BK30+'Cat Lake'!BK30+Pikangikum!BK30+'Big Trout Lake'!BK30+'Poplar Hill'!BK30+'North Spirit'!BK30+Keewaywin!BK30+'Muskrat Dam'!BK30+Wunnumin!BK30+Wawakepewin!BK30</f>
        <v>374668</v>
      </c>
      <c r="L28" s="71">
        <f>Armstrong!BL30+'Bearskin Lake'!BL30+Biscotasing!BL30+'Deer Lake'!BL30+'Fort Severn'!BL30+'Gull Bay'!BL30+Hillsport!BL30+Kasabonika!BL30+Kingfisher!BL30+Lansdowne!BL30+'Marten Falls'!BL30+Oba!BL30+Sachigo!BL30+'Sandy Lake'!BL30+Sultan!BL30+Wapekeka!BL30+Weagamow!BL30+Webequie!BL30+'Cat Lake'!BL30+Pikangikum!BL30+'Big Trout Lake'!BL30+'Poplar Hill'!BL30+'North Spirit'!BL30+Keewaywin!BL30+'Muskrat Dam'!BL30+Wunnumin!BL30+Wawakepewin!BL30</f>
        <v>471283</v>
      </c>
      <c r="M28" s="71">
        <f>Armstrong!BM30+'Bearskin Lake'!BM30+Biscotasing!BM30+'Deer Lake'!BM30+'Fort Severn'!BM30+'Gull Bay'!BM30+Hillsport!BM30+Kasabonika!BM30+Kingfisher!BM30+Lansdowne!BM30+'Marten Falls'!BM30+Oba!BM30+Sachigo!BM30+'Sandy Lake'!BM30+Sultan!BM30+Wapekeka!BM30+Weagamow!BM30+Webequie!BM30+'Cat Lake'!BM30+Pikangikum!BM30+'Big Trout Lake'!BM30+'Poplar Hill'!BM30+'North Spirit'!BM30+Keewaywin!BM30+'Muskrat Dam'!BM30+Wunnumin!BM30+Wawakepewin!BM30</f>
        <v>536488</v>
      </c>
      <c r="N28" s="70">
        <f>Armstrong!BN30+'Bearskin Lake'!BN30+Biscotasing!BN30+'Deer Lake'!BN30+'Fort Severn'!BN30+'Gull Bay'!BN30+Hillsport!BN30+Kasabonika!BN30+Kingfisher!BN30+Lansdowne!BN30+'Marten Falls'!BN30+Oba!BN30+Sachigo!BN30+'Sandy Lake'!BN30+Sultan!BN30+Wapekeka!BN30+Weagamow!BN30+Webequie!BN30+'Cat Lake'!BN30+Pikangikum!BN30+'Big Trout Lake'!BN30+'Poplar Hill'!BN30+'North Spirit'!BN30+Keewaywin!BN30+'Muskrat Dam'!BN30+Wunnumin!BN30+Wawakepewin!BN30</f>
        <v>6283733</v>
      </c>
      <c r="O28" s="70">
        <f>Armstrong!BO30+'Bearskin Lake'!BO30+Biscotasing!BO30+'Deer Lake'!BO30+'Fort Severn'!BO30+'Gull Bay'!BO30+Hillsport!BO30+Kasabonika!BO30+Kingfisher!BO30+Lansdowne!BO30+'Marten Falls'!BO30+Oba!BO30+Sachigo!BO30+'Sandy Lake'!BO30+Sultan!BO30+Wapekeka!BO30+Weagamow!BO30+Webequie!BO30+'Cat Lake'!BO30+Pikangikum!BO30+'Big Trout Lake'!BO30+'Poplar Hill'!BO30+'North Spirit'!BO30+Keewaywin!BO30+'Muskrat Dam'!BO30+Wunnumin!BO30+Wawakepewin!BO30</f>
        <v>5036875</v>
      </c>
    </row>
    <row r="29" spans="1:15">
      <c r="A29" s="2" t="s">
        <v>58</v>
      </c>
      <c r="B29" s="123"/>
      <c r="C29" s="109"/>
      <c r="D29" s="109"/>
      <c r="E29" s="108">
        <f>Armstrong!BE31+'Bearskin Lake'!BE31+Biscotasing!BE31+'Deer Lake'!BE31+'Fort Severn'!BE31+'Gull Bay'!BE31+Hillsport!BE31+Kasabonika!BE31+Kingfisher!BE31+Lansdowne!BE31+'Marten Falls'!BE31+Oba!BE31+Sachigo!BE31+'Sandy Lake'!BE31+Sultan!BE31+Wapekeka!BE31+Weagamow!BE31+Webequie!BE31+'Cat Lake'!BE31+Pikangikum!BE31+'Big Trout Lake'!BE31+'Poplar Hill'!BE31+'North Spirit'!BE31+Keewaywin!BE31+'Muskrat Dam'!BE31+Wunnumin!BE31+Wawakepewin!BE31</f>
        <v>56198</v>
      </c>
      <c r="F29" s="108">
        <f>Armstrong!BF31+'Bearskin Lake'!BF31+Biscotasing!BF31+'Deer Lake'!BF31+'Fort Severn'!BF31+'Gull Bay'!BF31+Hillsport!BF31+Kasabonika!BF31+Kingfisher!BF31+Lansdowne!BF31+'Marten Falls'!BF31+Oba!BF31+Sachigo!BF31+'Sandy Lake'!BF31+Sultan!BF31+Wapekeka!BF31+Weagamow!BF31+Webequie!BF31+'Cat Lake'!BF31+Pikangikum!BF31+'Big Trout Lake'!BF31+'Poplar Hill'!BF31+'North Spirit'!BF31+Keewaywin!BF31+'Muskrat Dam'!BF31+Wunnumin!BF31+Wawakepewin!BF31</f>
        <v>45982</v>
      </c>
      <c r="G29" s="108">
        <f>Armstrong!BG31+'Bearskin Lake'!BG31+Biscotasing!BG31+'Deer Lake'!BG31+'Fort Severn'!BG31+'Gull Bay'!BG31+Hillsport!BG31+Kasabonika!BG31+Kingfisher!BG31+Lansdowne!BG31+'Marten Falls'!BG31+Oba!BG31+Sachigo!BG31+'Sandy Lake'!BG31+Sultan!BG31+Wapekeka!BG31+Weagamow!BG31+Webequie!BG31+'Cat Lake'!BG31+Pikangikum!BG31+'Big Trout Lake'!BG31+'Poplar Hill'!BG31+'North Spirit'!BG31+Keewaywin!BG31+'Muskrat Dam'!BG31+Wunnumin!BG31+Wawakepewin!BG31</f>
        <v>39550</v>
      </c>
      <c r="H29" s="71">
        <f>Armstrong!BH31+'Bearskin Lake'!BH31+Biscotasing!BH31+'Deer Lake'!BH31+'Fort Severn'!BH31+'Gull Bay'!BH31+Hillsport!BH31+Kasabonika!BH31+Kingfisher!BH31+Lansdowne!BH31+'Marten Falls'!BH31+Oba!BH31+Sachigo!BH31+'Sandy Lake'!BH31+Sultan!BH31+Wapekeka!BH31+Weagamow!BH31+Webequie!BH31+'Cat Lake'!BH31+Pikangikum!BH31+'Big Trout Lake'!BH31+'Poplar Hill'!BH31+'North Spirit'!BH31+Keewaywin!BH31+'Muskrat Dam'!BH31+Wunnumin!BH31+Wawakepewin!BH31</f>
        <v>32874</v>
      </c>
      <c r="I29" s="71">
        <f>Armstrong!BI31+'Bearskin Lake'!BI31+Biscotasing!BI31+'Deer Lake'!BI31+'Fort Severn'!BI31+'Gull Bay'!BI31+Hillsport!BI31+Kasabonika!BI31+Kingfisher!BI31+Lansdowne!BI31+'Marten Falls'!BI31+Oba!BI31+Sachigo!BI31+'Sandy Lake'!BI31+Sultan!BI31+Wapekeka!BI31+Weagamow!BI31+Webequie!BI31+'Cat Lake'!BI31+Pikangikum!BI31+'Big Trout Lake'!BI31+'Poplar Hill'!BI31+'North Spirit'!BI31+Keewaywin!BI31+'Muskrat Dam'!BI31+Wunnumin!BI31+Wawakepewin!BI31</f>
        <v>32547</v>
      </c>
      <c r="J29" s="71">
        <f>Armstrong!BJ31+'Bearskin Lake'!BJ31+Biscotasing!BJ31+'Deer Lake'!BJ31+'Fort Severn'!BJ31+'Gull Bay'!BJ31+Hillsport!BJ31+Kasabonika!BJ31+Kingfisher!BJ31+Lansdowne!BJ31+'Marten Falls'!BJ31+Oba!BJ31+Sachigo!BJ31+'Sandy Lake'!BJ31+Sultan!BJ31+Wapekeka!BJ31+Weagamow!BJ31+Webequie!BJ31+'Cat Lake'!BJ31+Pikangikum!BJ31+'Big Trout Lake'!BJ31+'Poplar Hill'!BJ31+'North Spirit'!BJ31+Keewaywin!BJ31+'Muskrat Dam'!BJ31+Wunnumin!BJ31+Wawakepewin!BJ31</f>
        <v>29377</v>
      </c>
      <c r="K29" s="71">
        <f>Armstrong!BK31+'Bearskin Lake'!BK31+Biscotasing!BK31+'Deer Lake'!BK31+'Fort Severn'!BK31+'Gull Bay'!BK31+Hillsport!BK31+Kasabonika!BK31+Kingfisher!BK31+Lansdowne!BK31+'Marten Falls'!BK31+Oba!BK31+Sachigo!BK31+'Sandy Lake'!BK31+Sultan!BK31+Wapekeka!BK31+Weagamow!BK31+Webequie!BK31+'Cat Lake'!BK31+Pikangikum!BK31+'Big Trout Lake'!BK31+'Poplar Hill'!BK31+'North Spirit'!BK31+Keewaywin!BK31+'Muskrat Dam'!BK31+Wunnumin!BK31+Wawakepewin!BK31</f>
        <v>33648</v>
      </c>
      <c r="L29" s="71">
        <f>Armstrong!BL31+'Bearskin Lake'!BL31+Biscotasing!BL31+'Deer Lake'!BL31+'Fort Severn'!BL31+'Gull Bay'!BL31+Hillsport!BL31+Kasabonika!BL31+Kingfisher!BL31+Lansdowne!BL31+'Marten Falls'!BL31+Oba!BL31+Sachigo!BL31+'Sandy Lake'!BL31+Sultan!BL31+Wapekeka!BL31+Weagamow!BL31+Webequie!BL31+'Cat Lake'!BL31+Pikangikum!BL31+'Big Trout Lake'!BL31+'Poplar Hill'!BL31+'North Spirit'!BL31+Keewaywin!BL31+'Muskrat Dam'!BL31+Wunnumin!BL31+Wawakepewin!BL31</f>
        <v>41920</v>
      </c>
      <c r="M29" s="71">
        <f>Armstrong!BM31+'Bearskin Lake'!BM31+Biscotasing!BM31+'Deer Lake'!BM31+'Fort Severn'!BM31+'Gull Bay'!BM31+Hillsport!BM31+Kasabonika!BM31+Kingfisher!BM31+Lansdowne!BM31+'Marten Falls'!BM31+Oba!BM31+Sachigo!BM31+'Sandy Lake'!BM31+Sultan!BM31+Wapekeka!BM31+Weagamow!BM31+Webequie!BM31+'Cat Lake'!BM31+Pikangikum!BM31+'Big Trout Lake'!BM31+'Poplar Hill'!BM31+'North Spirit'!BM31+Keewaywin!BM31+'Muskrat Dam'!BM31+Wunnumin!BM31+Wawakepewin!BM31</f>
        <v>48293</v>
      </c>
      <c r="N29" s="70">
        <f>Armstrong!BN31+'Bearskin Lake'!BN31+Biscotasing!BN31+'Deer Lake'!BN31+'Fort Severn'!BN31+'Gull Bay'!BN31+Hillsport!BN31+Kasabonika!BN31+Kingfisher!BN31+Lansdowne!BN31+'Marten Falls'!BN31+Oba!BN31+Sachigo!BN31+'Sandy Lake'!BN31+Sultan!BN31+Wapekeka!BN31+Weagamow!BN31+Webequie!BN31+'Cat Lake'!BN31+Pikangikum!BN31+'Big Trout Lake'!BN31+'Poplar Hill'!BN31+'North Spirit'!BN31+Keewaywin!BN31+'Muskrat Dam'!BN31+Wunnumin!BN31+Wawakepewin!BN31</f>
        <v>567300</v>
      </c>
      <c r="O29" s="70">
        <f>Armstrong!BO31+'Bearskin Lake'!BO31+Biscotasing!BO31+'Deer Lake'!BO31+'Fort Severn'!BO31+'Gull Bay'!BO31+Hillsport!BO31+Kasabonika!BO31+Kingfisher!BO31+Lansdowne!BO31+'Marten Falls'!BO31+Oba!BO31+Sachigo!BO31+'Sandy Lake'!BO31+Sultan!BO31+Wapekeka!BO31+Weagamow!BO31+Webequie!BO31+'Cat Lake'!BO31+Pikangikum!BO31+'Big Trout Lake'!BO31+'Poplar Hill'!BO31+'North Spirit'!BO31+Keewaywin!BO31+'Muskrat Dam'!BO31+Wunnumin!BO31+Wawakepewin!BO31</f>
        <v>448577</v>
      </c>
    </row>
    <row r="30" spans="1:15">
      <c r="A30" s="2" t="s">
        <v>52</v>
      </c>
      <c r="B30" s="123"/>
      <c r="C30" s="109"/>
      <c r="D30" s="109"/>
      <c r="E30" s="108">
        <f>Armstrong!BE32+'Bearskin Lake'!BE32+Biscotasing!BE32+'Deer Lake'!BE32+'Fort Severn'!BE32+'Gull Bay'!BE32+Hillsport!BE32+Kasabonika!BE32+Kingfisher!BE32+Lansdowne!BE32+'Marten Falls'!BE32+Oba!BE32+Sachigo!BE32+'Sandy Lake'!BE32+Sultan!BE32+Wapekeka!BE32+Weagamow!BE32+Webequie!BE32+'Cat Lake'!BE32+Pikangikum!BE32+'Big Trout Lake'!BE32+'Poplar Hill'!BE32+'North Spirit'!BE32+Keewaywin!BE32+'Muskrat Dam'!BE32+Wunnumin!BE32+Wawakepewin!BE32</f>
        <v>0</v>
      </c>
      <c r="F30" s="108">
        <f>Armstrong!BF32+'Bearskin Lake'!BF32+Biscotasing!BF32+'Deer Lake'!BF32+'Fort Severn'!BF32+'Gull Bay'!BF32+Hillsport!BF32+Kasabonika!BF32+Kingfisher!BF32+Lansdowne!BF32+'Marten Falls'!BF32+Oba!BF32+Sachigo!BF32+'Sandy Lake'!BF32+Sultan!BF32+Wapekeka!BF32+Weagamow!BF32+Webequie!BF32+'Cat Lake'!BF32+Pikangikum!BF32+'Big Trout Lake'!BF32+'Poplar Hill'!BF32+'North Spirit'!BF32+Keewaywin!BF32+'Muskrat Dam'!BF32+Wunnumin!BF32+Wawakepewin!BF32</f>
        <v>0</v>
      </c>
      <c r="G30" s="108">
        <f>Armstrong!BG32+'Bearskin Lake'!BG32+Biscotasing!BG32+'Deer Lake'!BG32+'Fort Severn'!BG32+'Gull Bay'!BG32+Hillsport!BG32+Kasabonika!BG32+Kingfisher!BG32+Lansdowne!BG32+'Marten Falls'!BG32+Oba!BG32+Sachigo!BG32+'Sandy Lake'!BG32+Sultan!BG32+Wapekeka!BG32+Weagamow!BG32+Webequie!BG32+'Cat Lake'!BG32+Pikangikum!BG32+'Big Trout Lake'!BG32+'Poplar Hill'!BG32+'North Spirit'!BG32+Keewaywin!BG32+'Muskrat Dam'!BG32+Wunnumin!BG32+Wawakepewin!BG32</f>
        <v>0</v>
      </c>
      <c r="H30" s="71">
        <f>Armstrong!BH32+'Bearskin Lake'!BH32+Biscotasing!BH32+'Deer Lake'!BH32+'Fort Severn'!BH32+'Gull Bay'!BH32+Hillsport!BH32+Kasabonika!BH32+Kingfisher!BH32+Lansdowne!BH32+'Marten Falls'!BH32+Oba!BH32+Sachigo!BH32+'Sandy Lake'!BH32+Sultan!BH32+Wapekeka!BH32+Weagamow!BH32+Webequie!BH32+'Cat Lake'!BH32+Pikangikum!BH32+'Big Trout Lake'!BH32+'Poplar Hill'!BH32+'North Spirit'!BH32+Keewaywin!BH32+'Muskrat Dam'!BH32+Wunnumin!BH32+Wawakepewin!BH32</f>
        <v>0</v>
      </c>
      <c r="I30" s="71">
        <f>Armstrong!BI32+'Bearskin Lake'!BI32+Biscotasing!BI32+'Deer Lake'!BI32+'Fort Severn'!BI32+'Gull Bay'!BI32+Hillsport!BI32+Kasabonika!BI32+Kingfisher!BI32+Lansdowne!BI32+'Marten Falls'!BI32+Oba!BI32+Sachigo!BI32+'Sandy Lake'!BI32+Sultan!BI32+Wapekeka!BI32+Weagamow!BI32+Webequie!BI32+'Cat Lake'!BI32+Pikangikum!BI32+'Big Trout Lake'!BI32+'Poplar Hill'!BI32+'North Spirit'!BI32+Keewaywin!BI32+'Muskrat Dam'!BI32+Wunnumin!BI32+Wawakepewin!BI32</f>
        <v>0</v>
      </c>
      <c r="J30" s="71">
        <f>Armstrong!BJ32+'Bearskin Lake'!BJ32+Biscotasing!BJ32+'Deer Lake'!BJ32+'Fort Severn'!BJ32+'Gull Bay'!BJ32+Hillsport!BJ32+Kasabonika!BJ32+Kingfisher!BJ32+Lansdowne!BJ32+'Marten Falls'!BJ32+Oba!BJ32+Sachigo!BJ32+'Sandy Lake'!BJ32+Sultan!BJ32+Wapekeka!BJ32+Weagamow!BJ32+Webequie!BJ32+'Cat Lake'!BJ32+Pikangikum!BJ32+'Big Trout Lake'!BJ32+'Poplar Hill'!BJ32+'North Spirit'!BJ32+Keewaywin!BJ32+'Muskrat Dam'!BJ32+Wunnumin!BJ32+Wawakepewin!BJ32</f>
        <v>0</v>
      </c>
      <c r="K30" s="71">
        <f>Armstrong!BK32+'Bearskin Lake'!BK32+Biscotasing!BK32+'Deer Lake'!BK32+'Fort Severn'!BK32+'Gull Bay'!BK32+Hillsport!BK32+Kasabonika!BK32+Kingfisher!BK32+Lansdowne!BK32+'Marten Falls'!BK32+Oba!BK32+Sachigo!BK32+'Sandy Lake'!BK32+Sultan!BK32+Wapekeka!BK32+Weagamow!BK32+Webequie!BK32+'Cat Lake'!BK32+Pikangikum!BK32+'Big Trout Lake'!BK32+'Poplar Hill'!BK32+'North Spirit'!BK32+Keewaywin!BK32+'Muskrat Dam'!BK32+Wunnumin!BK32+Wawakepewin!BK32</f>
        <v>0</v>
      </c>
      <c r="L30" s="71">
        <f>Armstrong!BL32+'Bearskin Lake'!BL32+Biscotasing!BL32+'Deer Lake'!BL32+'Fort Severn'!BL32+'Gull Bay'!BL32+Hillsport!BL32+Kasabonika!BL32+Kingfisher!BL32+Lansdowne!BL32+'Marten Falls'!BL32+Oba!BL32+Sachigo!BL32+'Sandy Lake'!BL32+Sultan!BL32+Wapekeka!BL32+Weagamow!BL32+Webequie!BL32+'Cat Lake'!BL32+Pikangikum!BL32+'Big Trout Lake'!BL32+'Poplar Hill'!BL32+'North Spirit'!BL32+Keewaywin!BL32+'Muskrat Dam'!BL32+Wunnumin!BL32+Wawakepewin!BL32</f>
        <v>0</v>
      </c>
      <c r="M30" s="71">
        <f>Armstrong!BM32+'Bearskin Lake'!BM32+Biscotasing!BM32+'Deer Lake'!BM32+'Fort Severn'!BM32+'Gull Bay'!BM32+Hillsport!BM32+Kasabonika!BM32+Kingfisher!BM32+Lansdowne!BM32+'Marten Falls'!BM32+Oba!BM32+Sachigo!BM32+'Sandy Lake'!BM32+Sultan!BM32+Wapekeka!BM32+Weagamow!BM32+Webequie!BM32+'Cat Lake'!BM32+Pikangikum!BM32+'Big Trout Lake'!BM32+'Poplar Hill'!BM32+'North Spirit'!BM32+Keewaywin!BM32+'Muskrat Dam'!BM32+Wunnumin!BM32+Wawakepewin!BM32</f>
        <v>0</v>
      </c>
      <c r="N30" s="70">
        <f>Armstrong!BN32+'Bearskin Lake'!BN32+Biscotasing!BN32+'Deer Lake'!BN32+'Fort Severn'!BN32+'Gull Bay'!BN32+Hillsport!BN32+Kasabonika!BN32+Kingfisher!BN32+Lansdowne!BN32+'Marten Falls'!BN32+Oba!BN32+Sachigo!BN32+'Sandy Lake'!BN32+Sultan!BN32+Wapekeka!BN32+Weagamow!BN32+Webequie!BN32+'Cat Lake'!BN32+Pikangikum!BN32+'Big Trout Lake'!BN32+'Poplar Hill'!BN32+'North Spirit'!BN32+Keewaywin!BN32+'Muskrat Dam'!BN32+Wunnumin!BN32+Wawakepewin!BN32</f>
        <v>0</v>
      </c>
      <c r="O30" s="70">
        <f>Armstrong!BO32+'Bearskin Lake'!BO32+Biscotasing!BO32+'Deer Lake'!BO32+'Fort Severn'!BO32+'Gull Bay'!BO32+Hillsport!BO32+Kasabonika!BO32+Kingfisher!BO32+Lansdowne!BO32+'Marten Falls'!BO32+Oba!BO32+Sachigo!BO32+'Sandy Lake'!BO32+Sultan!BO32+Wapekeka!BO32+Weagamow!BO32+Webequie!BO32+'Cat Lake'!BO32+Pikangikum!BO32+'Big Trout Lake'!BO32+'Poplar Hill'!BO32+'North Spirit'!BO32+Keewaywin!BO32+'Muskrat Dam'!BO32+Wunnumin!BO32+Wawakepewin!BO32</f>
        <v>0</v>
      </c>
    </row>
    <row r="31" spans="1:15" ht="15" thickBot="1">
      <c r="A31" s="199" t="s">
        <v>30</v>
      </c>
      <c r="B31" s="240"/>
      <c r="C31" s="117"/>
      <c r="D31" s="117"/>
      <c r="E31" s="114">
        <f>Armstrong!BE33+'Bearskin Lake'!BE33+Biscotasing!BE33+'Deer Lake'!BE33+'Fort Severn'!BE33+'Gull Bay'!BE33+Hillsport!BE33+Kasabonika!BE33+Kingfisher!BE33+Lansdowne!BE33+'Marten Falls'!BE33+Oba!BE33+Sachigo!BE33+'Sandy Lake'!BE33+Sultan!BE33+Wapekeka!BE33+Weagamow!BE33+Webequie!BE33+'Cat Lake'!BE33+Pikangikum!BE33+'Big Trout Lake'!BE33+'Poplar Hill'!BE33+'North Spirit'!BE33+Keewaywin!BE33+'Muskrat Dam'!BE33+Wunnumin!BE33+Wawakepewin!BE33</f>
        <v>675869</v>
      </c>
      <c r="F31" s="114">
        <f>Armstrong!BF33+'Bearskin Lake'!BF33+Biscotasing!BF33+'Deer Lake'!BF33+'Fort Severn'!BF33+'Gull Bay'!BF33+Hillsport!BF33+Kasabonika!BF33+Kingfisher!BF33+Lansdowne!BF33+'Marten Falls'!BF33+Oba!BF33+Sachigo!BF33+'Sandy Lake'!BF33+Sultan!BF33+Wapekeka!BF33+Weagamow!BF33+Webequie!BF33+'Cat Lake'!BF33+Pikangikum!BF33+'Big Trout Lake'!BF33+'Poplar Hill'!BF33+'North Spirit'!BF33+Keewaywin!BF33+'Muskrat Dam'!BF33+Wunnumin!BF33+Wawakepewin!BF33</f>
        <v>553263</v>
      </c>
      <c r="G31" s="114">
        <f>Armstrong!BG33+'Bearskin Lake'!BG33+Biscotasing!BG33+'Deer Lake'!BG33+'Fort Severn'!BG33+'Gull Bay'!BG33+Hillsport!BG33+Kasabonika!BG33+Kingfisher!BG33+Lansdowne!BG33+'Marten Falls'!BG33+Oba!BG33+Sachigo!BG33+'Sandy Lake'!BG33+Sultan!BG33+Wapekeka!BG33+Weagamow!BG33+Webequie!BG33+'Cat Lake'!BG33+Pikangikum!BG33+'Big Trout Lake'!BG33+'Poplar Hill'!BG33+'North Spirit'!BG33+Keewaywin!BG33+'Muskrat Dam'!BG33+Wunnumin!BG33+Wawakepewin!BG33</f>
        <v>473878</v>
      </c>
      <c r="H31" s="114">
        <f>Armstrong!BH33+'Bearskin Lake'!BH33+Biscotasing!BH33+'Deer Lake'!BH33+'Fort Severn'!BH33+'Gull Bay'!BH33+Hillsport!BH33+Kasabonika!BH33+Kingfisher!BH33+Lansdowne!BH33+'Marten Falls'!BH33+Oba!BH33+Sachigo!BH33+'Sandy Lake'!BH33+Sultan!BH33+Wapekeka!BH33+Weagamow!BH33+Webequie!BH33+'Cat Lake'!BH33+Pikangikum!BH33+'Big Trout Lake'!BH33+'Poplar Hill'!BH33+'North Spirit'!BH33+Keewaywin!BH33+'Muskrat Dam'!BH33+Wunnumin!BH33+Wawakepewin!BH33</f>
        <v>399087</v>
      </c>
      <c r="I31" s="114">
        <f>Armstrong!BI33+'Bearskin Lake'!BI33+Biscotasing!BI33+'Deer Lake'!BI33+'Fort Severn'!BI33+'Gull Bay'!BI33+Hillsport!BI33+Kasabonika!BI33+Kingfisher!BI33+Lansdowne!BI33+'Marten Falls'!BI33+Oba!BI33+Sachigo!BI33+'Sandy Lake'!BI33+Sultan!BI33+Wapekeka!BI33+Weagamow!BI33+Webequie!BI33+'Cat Lake'!BI33+Pikangikum!BI33+'Big Trout Lake'!BI33+'Poplar Hill'!BI33+'North Spirit'!BI33+Keewaywin!BI33+'Muskrat Dam'!BI33+Wunnumin!BI33+Wawakepewin!BI33</f>
        <v>396632</v>
      </c>
      <c r="J31" s="114">
        <f>Armstrong!BJ33+'Bearskin Lake'!BJ33+Biscotasing!BJ33+'Deer Lake'!BJ33+'Fort Severn'!BJ33+'Gull Bay'!BJ33+Hillsport!BJ33+Kasabonika!BJ33+Kingfisher!BJ33+Lansdowne!BJ33+'Marten Falls'!BJ33+Oba!BJ33+Sachigo!BJ33+'Sandy Lake'!BJ33+Sultan!BJ33+Wapekeka!BJ33+Weagamow!BJ33+Webequie!BJ33+'Cat Lake'!BJ33+Pikangikum!BJ33+'Big Trout Lake'!BJ33+'Poplar Hill'!BJ33+'North Spirit'!BJ33+Keewaywin!BJ33+'Muskrat Dam'!BJ33+Wunnumin!BJ33+Wawakepewin!BJ33</f>
        <v>358432</v>
      </c>
      <c r="K31" s="114">
        <f>Armstrong!BK33+'Bearskin Lake'!BK33+Biscotasing!BK33+'Deer Lake'!BK33+'Fort Severn'!BK33+'Gull Bay'!BK33+Hillsport!BK33+Kasabonika!BK33+Kingfisher!BK33+Lansdowne!BK33+'Marten Falls'!BK33+Oba!BK33+Sachigo!BK33+'Sandy Lake'!BK33+Sultan!BK33+Wapekeka!BK33+Weagamow!BK33+Webequie!BK33+'Cat Lake'!BK33+Pikangikum!BK33+'Big Trout Lake'!BK33+'Poplar Hill'!BK33+'North Spirit'!BK33+Keewaywin!BK33+'Muskrat Dam'!BK33+Wunnumin!BK33+Wawakepewin!BK33</f>
        <v>408316</v>
      </c>
      <c r="L31" s="114">
        <f>Armstrong!BL33+'Bearskin Lake'!BL33+Biscotasing!BL33+'Deer Lake'!BL33+'Fort Severn'!BL33+'Gull Bay'!BL33+Hillsport!BL33+Kasabonika!BL33+Kingfisher!BL33+Lansdowne!BL33+'Marten Falls'!BL33+Oba!BL33+Sachigo!BL33+'Sandy Lake'!BL33+Sultan!BL33+Wapekeka!BL33+Weagamow!BL33+Webequie!BL33+'Cat Lake'!BL33+Pikangikum!BL33+'Big Trout Lake'!BL33+'Poplar Hill'!BL33+'North Spirit'!BL33+Keewaywin!BL33+'Muskrat Dam'!BL33+Wunnumin!BL33+Wawakepewin!BL33</f>
        <v>513203</v>
      </c>
      <c r="M31" s="114">
        <f>Armstrong!BM33+'Bearskin Lake'!BM33+Biscotasing!BM33+'Deer Lake'!BM33+'Fort Severn'!BM33+'Gull Bay'!BM33+Hillsport!BM33+Kasabonika!BM33+Kingfisher!BM33+Lansdowne!BM33+'Marten Falls'!BM33+Oba!BM33+Sachigo!BM33+'Sandy Lake'!BM33+Sultan!BM33+Wapekeka!BM33+Weagamow!BM33+Webequie!BM33+'Cat Lake'!BM33+Pikangikum!BM33+'Big Trout Lake'!BM33+'Poplar Hill'!BM33+'North Spirit'!BM33+Keewaywin!BM33+'Muskrat Dam'!BM33+Wunnumin!BM33+Wawakepewin!BM33</f>
        <v>584781</v>
      </c>
      <c r="N31" s="484">
        <f>Armstrong!BN33+'Bearskin Lake'!BN33+Biscotasing!BN33+'Deer Lake'!BN33+'Fort Severn'!BN33+'Gull Bay'!BN33+Hillsport!BN33+Kasabonika!BN33+Kingfisher!BN33+Lansdowne!BN33+'Marten Falls'!BN33+Oba!BN33+Sachigo!BN33+'Sandy Lake'!BN33+Sultan!BN33+Wapekeka!BN33+Weagamow!BN33+Webequie!BN33+'Cat Lake'!BN33+Pikangikum!BN33+'Big Trout Lake'!BN33+'Poplar Hill'!BN33+'North Spirit'!BN33+Keewaywin!BN33+'Muskrat Dam'!BN33+Wunnumin!BN33+Wawakepewin!BN33</f>
        <v>6851033</v>
      </c>
      <c r="O31" s="484">
        <f>Armstrong!BO33+'Bearskin Lake'!BO33+Biscotasing!BO33+'Deer Lake'!BO33+'Fort Severn'!BO33+'Gull Bay'!BO33+Hillsport!BO33+Kasabonika!BO33+Kingfisher!BO33+Lansdowne!BO33+'Marten Falls'!BO33+Oba!BO33+Sachigo!BO33+'Sandy Lake'!BO33+Sultan!BO33+Wapekeka!BO33+Weagamow!BO33+Webequie!BO33+'Cat Lake'!BO33+Pikangikum!BO33+'Big Trout Lake'!BO33+'Poplar Hill'!BO33+'North Spirit'!BO33+Keewaywin!BO33+'Muskrat Dam'!BO33+Wunnumin!BO33+Wawakepewin!BO33</f>
        <v>5485452</v>
      </c>
    </row>
    <row r="32" spans="1:15" ht="15.75" customHeight="1" thickTop="1">
      <c r="A32" s="2" t="s">
        <v>54</v>
      </c>
      <c r="B32" s="52"/>
      <c r="C32" s="39"/>
      <c r="D32" s="39"/>
      <c r="E32" s="9"/>
      <c r="F32" s="9"/>
      <c r="G32" s="9"/>
      <c r="H32" s="9"/>
      <c r="I32" s="9"/>
      <c r="J32" s="9"/>
      <c r="K32" s="9"/>
      <c r="L32" s="9"/>
      <c r="M32" s="9"/>
      <c r="N32" s="58"/>
      <c r="O32" s="58"/>
    </row>
    <row r="33" spans="1:15" ht="15.75" customHeight="1">
      <c r="A33" s="198" t="s">
        <v>59</v>
      </c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58"/>
      <c r="O33" s="58"/>
    </row>
    <row r="34" spans="1:15" ht="15.75" customHeight="1">
      <c r="A34" s="2" t="s">
        <v>49</v>
      </c>
      <c r="B34" s="123"/>
      <c r="C34" s="109"/>
      <c r="D34" s="109"/>
      <c r="E34" s="108">
        <f>Armstrong!BE36+'Bearskin Lake'!BE36+Biscotasing!BE36+'Deer Lake'!BE36+'Fort Severn'!BE36+'Gull Bay'!BE36+Hillsport!BE36+Kasabonika!BE36+Kingfisher!BE36+Lansdowne!BE36+'Marten Falls'!BE36+Oba!BE36+Sachigo!BE36+'Sandy Lake'!BE36+Sultan!BE36+Wapekeka!BE36+Weagamow!BE36+Webequie!BE36+'Cat Lake'!BE36+Pikangikum!BE36+'Big Trout Lake'!BE36+'Poplar Hill'!BE36+'North Spirit'!BE36+Keewaywin!BE36+'Muskrat Dam'!BE36+Wunnumin!BE36+Wawakepewin!BE36</f>
        <v>11</v>
      </c>
      <c r="F34" s="108">
        <f>Armstrong!BF36+'Bearskin Lake'!BF36+Biscotasing!BF36+'Deer Lake'!BF36+'Fort Severn'!BF36+'Gull Bay'!BF36+Hillsport!BF36+Kasabonika!BF36+Kingfisher!BF36+Lansdowne!BF36+'Marten Falls'!BF36+Oba!BF36+Sachigo!BF36+'Sandy Lake'!BF36+Sultan!BF36+Wapekeka!BF36+Weagamow!BF36+Webequie!BF36+'Cat Lake'!BF36+Pikangikum!BF36+'Big Trout Lake'!BF36+'Poplar Hill'!BF36+'North Spirit'!BF36+Keewaywin!BF36+'Muskrat Dam'!BF36+Wunnumin!BF36+Wawakepewin!BF36</f>
        <v>11</v>
      </c>
      <c r="G34" s="108">
        <f>Armstrong!BG36+'Bearskin Lake'!BG36+Biscotasing!BG36+'Deer Lake'!BG36+'Fort Severn'!BG36+'Gull Bay'!BG36+Hillsport!BG36+Kasabonika!BG36+Kingfisher!BG36+Lansdowne!BG36+'Marten Falls'!BG36+Oba!BG36+Sachigo!BG36+'Sandy Lake'!BG36+Sultan!BG36+Wapekeka!BG36+Weagamow!BG36+Webequie!BG36+'Cat Lake'!BG36+Pikangikum!BG36+'Big Trout Lake'!BG36+'Poplar Hill'!BG36+'North Spirit'!BG36+Keewaywin!BG36+'Muskrat Dam'!BG36+Wunnumin!BG36+Wawakepewin!BG36</f>
        <v>11</v>
      </c>
      <c r="H34" s="71">
        <f>Armstrong!BH36+'Bearskin Lake'!BH36+Biscotasing!BH36+'Deer Lake'!BH36+'Fort Severn'!BH36+'Gull Bay'!BH36+Hillsport!BH36+Kasabonika!BH36+Kingfisher!BH36+Lansdowne!BH36+'Marten Falls'!BH36+Oba!BH36+Sachigo!BH36+'Sandy Lake'!BH36+Sultan!BH36+Wapekeka!BH36+Weagamow!BH36+Webequie!BH36+'Cat Lake'!BH36+Pikangikum!BH36+'Big Trout Lake'!BH36+'Poplar Hill'!BH36+'North Spirit'!BH36+Keewaywin!BH36+'Muskrat Dam'!BH36+Wunnumin!BH36+Wawakepewin!BH36</f>
        <v>46</v>
      </c>
      <c r="I34" s="71">
        <f>Armstrong!BI36+'Bearskin Lake'!BI36+Biscotasing!BI36+'Deer Lake'!BI36+'Fort Severn'!BI36+'Gull Bay'!BI36+Hillsport!BI36+Kasabonika!BI36+Kingfisher!BI36+Lansdowne!BI36+'Marten Falls'!BI36+Oba!BI36+Sachigo!BI36+'Sandy Lake'!BI36+Sultan!BI36+Wapekeka!BI36+Weagamow!BI36+Webequie!BI36+'Cat Lake'!BI36+Pikangikum!BI36+'Big Trout Lake'!BI36+'Poplar Hill'!BI36+'North Spirit'!BI36+Keewaywin!BI36+'Muskrat Dam'!BI36+Wunnumin!BI36+Wawakepewin!BI36</f>
        <v>46</v>
      </c>
      <c r="J34" s="71">
        <f>Armstrong!BJ36+'Bearskin Lake'!BJ36+Biscotasing!BJ36+'Deer Lake'!BJ36+'Fort Severn'!BJ36+'Gull Bay'!BJ36+Hillsport!BJ36+Kasabonika!BJ36+Kingfisher!BJ36+Lansdowne!BJ36+'Marten Falls'!BJ36+Oba!BJ36+Sachigo!BJ36+'Sandy Lake'!BJ36+Sultan!BJ36+Wapekeka!BJ36+Weagamow!BJ36+Webequie!BJ36+'Cat Lake'!BJ36+Pikangikum!BJ36+'Big Trout Lake'!BJ36+'Poplar Hill'!BJ36+'North Spirit'!BJ36+Keewaywin!BJ36+'Muskrat Dam'!BJ36+Wunnumin!BJ36+Wawakepewin!BJ36</f>
        <v>46</v>
      </c>
      <c r="K34" s="71">
        <f>Armstrong!BK36+'Bearskin Lake'!BK36+Biscotasing!BK36+'Deer Lake'!BK36+'Fort Severn'!BK36+'Gull Bay'!BK36+Hillsport!BK36+Kasabonika!BK36+Kingfisher!BK36+Lansdowne!BK36+'Marten Falls'!BK36+Oba!BK36+Sachigo!BK36+'Sandy Lake'!BK36+Sultan!BK36+Wapekeka!BK36+Weagamow!BK36+Webequie!BK36+'Cat Lake'!BK36+Pikangikum!BK36+'Big Trout Lake'!BK36+'Poplar Hill'!BK36+'North Spirit'!BK36+Keewaywin!BK36+'Muskrat Dam'!BK36+Wunnumin!BK36+Wawakepewin!BK36</f>
        <v>46</v>
      </c>
      <c r="L34" s="71">
        <f>Armstrong!BL36+'Bearskin Lake'!BL36+Biscotasing!BL36+'Deer Lake'!BL36+'Fort Severn'!BL36+'Gull Bay'!BL36+Hillsport!BL36+Kasabonika!BL36+Kingfisher!BL36+Lansdowne!BL36+'Marten Falls'!BL36+Oba!BL36+Sachigo!BL36+'Sandy Lake'!BL36+Sultan!BL36+Wapekeka!BL36+Weagamow!BL36+Webequie!BL36+'Cat Lake'!BL36+Pikangikum!BL36+'Big Trout Lake'!BL36+'Poplar Hill'!BL36+'North Spirit'!BL36+Keewaywin!BL36+'Muskrat Dam'!BL36+Wunnumin!BL36+Wawakepewin!BL36</f>
        <v>46</v>
      </c>
      <c r="M34" s="71">
        <f>Armstrong!BM36+'Bearskin Lake'!BM36+Biscotasing!BM36+'Deer Lake'!BM36+'Fort Severn'!BM36+'Gull Bay'!BM36+Hillsport!BM36+Kasabonika!BM36+Kingfisher!BM36+Lansdowne!BM36+'Marten Falls'!BM36+Oba!BM36+Sachigo!BM36+'Sandy Lake'!BM36+Sultan!BM36+Wapekeka!BM36+Weagamow!BM36+Webequie!BM36+'Cat Lake'!BM36+Pikangikum!BM36+'Big Trout Lake'!BM36+'Poplar Hill'!BM36+'North Spirit'!BM36+Keewaywin!BM36+'Muskrat Dam'!BM36+Wunnumin!BM36+Wawakepewin!BM36</f>
        <v>46</v>
      </c>
      <c r="N34" s="70">
        <f>Armstrong!BN36+'Bearskin Lake'!BN36+Biscotasing!BN36+'Deer Lake'!BN36+'Fort Severn'!BN36+'Gull Bay'!BN36+Hillsport!BN36+Kasabonika!BN36+Kingfisher!BN36+Lansdowne!BN36+'Marten Falls'!BN36+Oba!BN36+Sachigo!BN36+'Sandy Lake'!BN36+Sultan!BN36+Wapekeka!BN36+Weagamow!BN36+Webequie!BN36+'Cat Lake'!BN36+Pikangikum!BN36+'Big Trout Lake'!BN36+'Poplar Hill'!BN36+'North Spirit'!BN36+Keewaywin!BN36+'Muskrat Dam'!BN36+Wunnumin!BN36+Wawakepewin!BN36</f>
        <v>46</v>
      </c>
      <c r="O34" s="70">
        <f>Armstrong!BO36+'Bearskin Lake'!BO36+Biscotasing!BO36+'Deer Lake'!BO36+'Fort Severn'!BO36+'Gull Bay'!BO36+Hillsport!BO36+Kasabonika!BO36+Kingfisher!BO36+Lansdowne!BO36+'Marten Falls'!BO36+Oba!BO36+Sachigo!BO36+'Sandy Lake'!BO36+Sultan!BO36+Wapekeka!BO36+Weagamow!BO36+Webequie!BO36+'Cat Lake'!BO36+Pikangikum!BO36+'Big Trout Lake'!BO36+'Poplar Hill'!BO36+'North Spirit'!BO36+Keewaywin!BO36+'Muskrat Dam'!BO36+Wunnumin!BO36+Wawakepewin!BO36</f>
        <v>171</v>
      </c>
    </row>
    <row r="35" spans="1:15" ht="15.75" customHeight="1">
      <c r="A35" s="2" t="s">
        <v>57</v>
      </c>
      <c r="B35" s="123"/>
      <c r="C35" s="109"/>
      <c r="D35" s="109"/>
      <c r="E35" s="108">
        <f>Armstrong!BE37+'Bearskin Lake'!BE37+Biscotasing!BE37+'Deer Lake'!BE37+'Fort Severn'!BE37+'Gull Bay'!BE37+Hillsport!BE37+Kasabonika!BE37+Kingfisher!BE37+Lansdowne!BE37+'Marten Falls'!BE37+Oba!BE37+Sachigo!BE37+'Sandy Lake'!BE37+Sultan!BE37+Wapekeka!BE37+Weagamow!BE37+Webequie!BE37+'Cat Lake'!BE37+Pikangikum!BE37+'Big Trout Lake'!BE37+'Poplar Hill'!BE37+'North Spirit'!BE37+Keewaywin!BE37+'Muskrat Dam'!BE37+Wunnumin!BE37+Wawakepewin!BE37</f>
        <v>19329</v>
      </c>
      <c r="F35" s="108">
        <f>Armstrong!BF37+'Bearskin Lake'!BF37+Biscotasing!BF37+'Deer Lake'!BF37+'Fort Severn'!BF37+'Gull Bay'!BF37+Hillsport!BF37+Kasabonika!BF37+Kingfisher!BF37+Lansdowne!BF37+'Marten Falls'!BF37+Oba!BF37+Sachigo!BF37+'Sandy Lake'!BF37+Sultan!BF37+Wapekeka!BF37+Weagamow!BF37+Webequie!BF37+'Cat Lake'!BF37+Pikangikum!BF37+'Big Trout Lake'!BF37+'Poplar Hill'!BF37+'North Spirit'!BF37+Keewaywin!BF37+'Muskrat Dam'!BF37+Wunnumin!BF37+Wawakepewin!BF37</f>
        <v>15565</v>
      </c>
      <c r="G35" s="108">
        <f>Armstrong!BG37+'Bearskin Lake'!BG37+Biscotasing!BG37+'Deer Lake'!BG37+'Fort Severn'!BG37+'Gull Bay'!BG37+Hillsport!BG37+Kasabonika!BG37+Kingfisher!BG37+Lansdowne!BG37+'Marten Falls'!BG37+Oba!BG37+Sachigo!BG37+'Sandy Lake'!BG37+Sultan!BG37+Wapekeka!BG37+Weagamow!BG37+Webequie!BG37+'Cat Lake'!BG37+Pikangikum!BG37+'Big Trout Lake'!BG37+'Poplar Hill'!BG37+'North Spirit'!BG37+Keewaywin!BG37+'Muskrat Dam'!BG37+Wunnumin!BG37+Wawakepewin!BG37</f>
        <v>10094</v>
      </c>
      <c r="H35" s="71">
        <f>Armstrong!BH37+'Bearskin Lake'!BH37+Biscotasing!BH37+'Deer Lake'!BH37+'Fort Severn'!BH37+'Gull Bay'!BH37+Hillsport!BH37+Kasabonika!BH37+Kingfisher!BH37+Lansdowne!BH37+'Marten Falls'!BH37+Oba!BH37+Sachigo!BH37+'Sandy Lake'!BH37+Sultan!BH37+Wapekeka!BH37+Weagamow!BH37+Webequie!BH37+'Cat Lake'!BH37+Pikangikum!BH37+'Big Trout Lake'!BH37+'Poplar Hill'!BH37+'North Spirit'!BH37+Keewaywin!BH37+'Muskrat Dam'!BH37+Wunnumin!BH37+Wawakepewin!BH37</f>
        <v>50938</v>
      </c>
      <c r="I35" s="71">
        <f>Armstrong!BI37+'Bearskin Lake'!BI37+Biscotasing!BI37+'Deer Lake'!BI37+'Fort Severn'!BI37+'Gull Bay'!BI37+Hillsport!BI37+Kasabonika!BI37+Kingfisher!BI37+Lansdowne!BI37+'Marten Falls'!BI37+Oba!BI37+Sachigo!BI37+'Sandy Lake'!BI37+Sultan!BI37+Wapekeka!BI37+Weagamow!BI37+Webequie!BI37+'Cat Lake'!BI37+Pikangikum!BI37+'Big Trout Lake'!BI37+'Poplar Hill'!BI37+'North Spirit'!BI37+Keewaywin!BI37+'Muskrat Dam'!BI37+Wunnumin!BI37+Wawakepewin!BI37</f>
        <v>52271</v>
      </c>
      <c r="J35" s="71">
        <f>Armstrong!BJ37+'Bearskin Lake'!BJ37+Biscotasing!BJ37+'Deer Lake'!BJ37+'Fort Severn'!BJ37+'Gull Bay'!BJ37+Hillsport!BJ37+Kasabonika!BJ37+Kingfisher!BJ37+Lansdowne!BJ37+'Marten Falls'!BJ37+Oba!BJ37+Sachigo!BJ37+'Sandy Lake'!BJ37+Sultan!BJ37+Wapekeka!BJ37+Weagamow!BJ37+Webequie!BJ37+'Cat Lake'!BJ37+Pikangikum!BJ37+'Big Trout Lake'!BJ37+'Poplar Hill'!BJ37+'North Spirit'!BJ37+Keewaywin!BJ37+'Muskrat Dam'!BJ37+Wunnumin!BJ37+Wawakepewin!BJ37</f>
        <v>80131</v>
      </c>
      <c r="K35" s="71">
        <f>Armstrong!BK37+'Bearskin Lake'!BK37+Biscotasing!BK37+'Deer Lake'!BK37+'Fort Severn'!BK37+'Gull Bay'!BK37+Hillsport!BK37+Kasabonika!BK37+Kingfisher!BK37+Lansdowne!BK37+'Marten Falls'!BK37+Oba!BK37+Sachigo!BK37+'Sandy Lake'!BK37+Sultan!BK37+Wapekeka!BK37+Weagamow!BK37+Webequie!BK37+'Cat Lake'!BK37+Pikangikum!BK37+'Big Trout Lake'!BK37+'Poplar Hill'!BK37+'North Spirit'!BK37+Keewaywin!BK37+'Muskrat Dam'!BK37+Wunnumin!BK37+Wawakepewin!BK37</f>
        <v>63240</v>
      </c>
      <c r="L35" s="71">
        <f>Armstrong!BL37+'Bearskin Lake'!BL37+Biscotasing!BL37+'Deer Lake'!BL37+'Fort Severn'!BL37+'Gull Bay'!BL37+Hillsport!BL37+Kasabonika!BL37+Kingfisher!BL37+Lansdowne!BL37+'Marten Falls'!BL37+Oba!BL37+Sachigo!BL37+'Sandy Lake'!BL37+Sultan!BL37+Wapekeka!BL37+Weagamow!BL37+Webequie!BL37+'Cat Lake'!BL37+Pikangikum!BL37+'Big Trout Lake'!BL37+'Poplar Hill'!BL37+'North Spirit'!BL37+Keewaywin!BL37+'Muskrat Dam'!BL37+Wunnumin!BL37+Wawakepewin!BL37</f>
        <v>89752</v>
      </c>
      <c r="M35" s="71">
        <f>Armstrong!BM37+'Bearskin Lake'!BM37+Biscotasing!BM37+'Deer Lake'!BM37+'Fort Severn'!BM37+'Gull Bay'!BM37+Hillsport!BM37+Kasabonika!BM37+Kingfisher!BM37+Lansdowne!BM37+'Marten Falls'!BM37+Oba!BM37+Sachigo!BM37+'Sandy Lake'!BM37+Sultan!BM37+Wapekeka!BM37+Weagamow!BM37+Webequie!BM37+'Cat Lake'!BM37+Pikangikum!BM37+'Big Trout Lake'!BM37+'Poplar Hill'!BM37+'North Spirit'!BM37+Keewaywin!BM37+'Muskrat Dam'!BM37+Wunnumin!BM37+Wawakepewin!BM37</f>
        <v>93409</v>
      </c>
      <c r="N35" s="70">
        <f>Armstrong!BN37+'Bearskin Lake'!BN37+Biscotasing!BN37+'Deer Lake'!BN37+'Fort Severn'!BN37+'Gull Bay'!BN37+Hillsport!BN37+Kasabonika!BN37+Kingfisher!BN37+Lansdowne!BN37+'Marten Falls'!BN37+Oba!BN37+Sachigo!BN37+'Sandy Lake'!BN37+Sultan!BN37+Wapekeka!BN37+Weagamow!BN37+Webequie!BN37+'Cat Lake'!BN37+Pikangikum!BN37+'Big Trout Lake'!BN37+'Poplar Hill'!BN37+'North Spirit'!BN37+Keewaywin!BN37+'Muskrat Dam'!BN37+Wunnumin!BN37+Wawakepewin!BN37</f>
        <v>575465</v>
      </c>
      <c r="O35" s="70">
        <f>Armstrong!BO37+'Bearskin Lake'!BO37+Biscotasing!BO37+'Deer Lake'!BO37+'Fort Severn'!BO37+'Gull Bay'!BO37+Hillsport!BO37+Kasabonika!BO37+Kingfisher!BO37+Lansdowne!BO37+'Marten Falls'!BO37+Oba!BO37+Sachigo!BO37+'Sandy Lake'!BO37+Sultan!BO37+Wapekeka!BO37+Weagamow!BO37+Webequie!BO37+'Cat Lake'!BO37+Pikangikum!BO37+'Big Trout Lake'!BO37+'Poplar Hill'!BO37+'North Spirit'!BO37+Keewaywin!BO37+'Muskrat Dam'!BO37+Wunnumin!BO37+Wawakepewin!BO37</f>
        <v>2436570</v>
      </c>
    </row>
    <row r="36" spans="1:15" ht="15.75" customHeight="1">
      <c r="A36" s="2" t="s">
        <v>58</v>
      </c>
      <c r="B36" s="123"/>
      <c r="C36" s="109"/>
      <c r="D36" s="109"/>
      <c r="E36" s="108">
        <f>Armstrong!BE38+'Bearskin Lake'!BE38+Biscotasing!BE38+'Deer Lake'!BE38+'Fort Severn'!BE38+'Gull Bay'!BE38+Hillsport!BE38+Kasabonika!BE38+Kingfisher!BE38+Lansdowne!BE38+'Marten Falls'!BE38+Oba!BE38+Sachigo!BE38+'Sandy Lake'!BE38+Sultan!BE38+Wapekeka!BE38+Weagamow!BE38+Webequie!BE38+'Cat Lake'!BE38+Pikangikum!BE38+'Big Trout Lake'!BE38+'Poplar Hill'!BE38+'North Spirit'!BE38+Keewaywin!BE38+'Muskrat Dam'!BE38+Wunnumin!BE38+Wawakepewin!BE38</f>
        <v>1840</v>
      </c>
      <c r="F36" s="108">
        <f>Armstrong!BF38+'Bearskin Lake'!BF38+Biscotasing!BF38+'Deer Lake'!BF38+'Fort Severn'!BF38+'Gull Bay'!BF38+Hillsport!BF38+Kasabonika!BF38+Kingfisher!BF38+Lansdowne!BF38+'Marten Falls'!BF38+Oba!BF38+Sachigo!BF38+'Sandy Lake'!BF38+Sultan!BF38+Wapekeka!BF38+Weagamow!BF38+Webequie!BF38+'Cat Lake'!BF38+Pikangikum!BF38+'Big Trout Lake'!BF38+'Poplar Hill'!BF38+'North Spirit'!BF38+Keewaywin!BF38+'Muskrat Dam'!BF38+Wunnumin!BF38+Wawakepewin!BF38</f>
        <v>1482</v>
      </c>
      <c r="G36" s="108">
        <f>Armstrong!BG38+'Bearskin Lake'!BG38+Biscotasing!BG38+'Deer Lake'!BG38+'Fort Severn'!BG38+'Gull Bay'!BG38+Hillsport!BG38+Kasabonika!BG38+Kingfisher!BG38+Lansdowne!BG38+'Marten Falls'!BG38+Oba!BG38+Sachigo!BG38+'Sandy Lake'!BG38+Sultan!BG38+Wapekeka!BG38+Weagamow!BG38+Webequie!BG38+'Cat Lake'!BG38+Pikangikum!BG38+'Big Trout Lake'!BG38+'Poplar Hill'!BG38+'North Spirit'!BG38+Keewaywin!BG38+'Muskrat Dam'!BG38+Wunnumin!BG38+Wawakepewin!BG38</f>
        <v>961</v>
      </c>
      <c r="H36" s="71">
        <f>Armstrong!BH38+'Bearskin Lake'!BH38+Biscotasing!BH38+'Deer Lake'!BH38+'Fort Severn'!BH38+'Gull Bay'!BH38+Hillsport!BH38+Kasabonika!BH38+Kingfisher!BH38+Lansdowne!BH38+'Marten Falls'!BH38+Oba!BH38+Sachigo!BH38+'Sandy Lake'!BH38+Sultan!BH38+Wapekeka!BH38+Weagamow!BH38+Webequie!BH38+'Cat Lake'!BH38+Pikangikum!BH38+'Big Trout Lake'!BH38+'Poplar Hill'!BH38+'North Spirit'!BH38+Keewaywin!BH38+'Muskrat Dam'!BH38+Wunnumin!BH38+Wawakepewin!BH38</f>
        <v>4850</v>
      </c>
      <c r="I36" s="71">
        <f>Armstrong!BI38+'Bearskin Lake'!BI38+Biscotasing!BI38+'Deer Lake'!BI38+'Fort Severn'!BI38+'Gull Bay'!BI38+Hillsport!BI38+Kasabonika!BI38+Kingfisher!BI38+Lansdowne!BI38+'Marten Falls'!BI38+Oba!BI38+Sachigo!BI38+'Sandy Lake'!BI38+Sultan!BI38+Wapekeka!BI38+Weagamow!BI38+Webequie!BI38+'Cat Lake'!BI38+Pikangikum!BI38+'Big Trout Lake'!BI38+'Poplar Hill'!BI38+'North Spirit'!BI38+Keewaywin!BI38+'Muskrat Dam'!BI38+Wunnumin!BI38+Wawakepewin!BI38</f>
        <v>4978</v>
      </c>
      <c r="J36" s="71">
        <f>Armstrong!BJ38+'Bearskin Lake'!BJ38+Biscotasing!BJ38+'Deer Lake'!BJ38+'Fort Severn'!BJ38+'Gull Bay'!BJ38+Hillsport!BJ38+Kasabonika!BJ38+Kingfisher!BJ38+Lansdowne!BJ38+'Marten Falls'!BJ38+Oba!BJ38+Sachigo!BJ38+'Sandy Lake'!BJ38+Sultan!BJ38+Wapekeka!BJ38+Weagamow!BJ38+Webequie!BJ38+'Cat Lake'!BJ38+Pikangikum!BJ38+'Big Trout Lake'!BJ38+'Poplar Hill'!BJ38+'North Spirit'!BJ38+Keewaywin!BJ38+'Muskrat Dam'!BJ38+Wunnumin!BJ38+Wawakepewin!BJ38</f>
        <v>7630</v>
      </c>
      <c r="K36" s="71">
        <f>Armstrong!BK38+'Bearskin Lake'!BK38+Biscotasing!BK38+'Deer Lake'!BK38+'Fort Severn'!BK38+'Gull Bay'!BK38+Hillsport!BK38+Kasabonika!BK38+Kingfisher!BK38+Lansdowne!BK38+'Marten Falls'!BK38+Oba!BK38+Sachigo!BK38+'Sandy Lake'!BK38+Sultan!BK38+Wapekeka!BK38+Weagamow!BK38+Webequie!BK38+'Cat Lake'!BK38+Pikangikum!BK38+'Big Trout Lake'!BK38+'Poplar Hill'!BK38+'North Spirit'!BK38+Keewaywin!BK38+'Muskrat Dam'!BK38+Wunnumin!BK38+Wawakepewin!BK38</f>
        <v>6021</v>
      </c>
      <c r="L36" s="71">
        <f>Armstrong!BL38+'Bearskin Lake'!BL38+Biscotasing!BL38+'Deer Lake'!BL38+'Fort Severn'!BL38+'Gull Bay'!BL38+Hillsport!BL38+Kasabonika!BL38+Kingfisher!BL38+Lansdowne!BL38+'Marten Falls'!BL38+Oba!BL38+Sachigo!BL38+'Sandy Lake'!BL38+Sultan!BL38+Wapekeka!BL38+Weagamow!BL38+Webequie!BL38+'Cat Lake'!BL38+Pikangikum!BL38+'Big Trout Lake'!BL38+'Poplar Hill'!BL38+'North Spirit'!BL38+Keewaywin!BL38+'Muskrat Dam'!BL38+Wunnumin!BL38+Wawakepewin!BL38</f>
        <v>8546</v>
      </c>
      <c r="M36" s="71">
        <f>Armstrong!BM38+'Bearskin Lake'!BM38+Biscotasing!BM38+'Deer Lake'!BM38+'Fort Severn'!BM38+'Gull Bay'!BM38+Hillsport!BM38+Kasabonika!BM38+Kingfisher!BM38+Lansdowne!BM38+'Marten Falls'!BM38+Oba!BM38+Sachigo!BM38+'Sandy Lake'!BM38+Sultan!BM38+Wapekeka!BM38+Weagamow!BM38+Webequie!BM38+'Cat Lake'!BM38+Pikangikum!BM38+'Big Trout Lake'!BM38+'Poplar Hill'!BM38+'North Spirit'!BM38+Keewaywin!BM38+'Muskrat Dam'!BM38+Wunnumin!BM38+Wawakepewin!BM38</f>
        <v>8894</v>
      </c>
      <c r="N36" s="70">
        <f>Armstrong!BN38+'Bearskin Lake'!BN38+Biscotasing!BN38+'Deer Lake'!BN38+'Fort Severn'!BN38+'Gull Bay'!BN38+Hillsport!BN38+Kasabonika!BN38+Kingfisher!BN38+Lansdowne!BN38+'Marten Falls'!BN38+Oba!BN38+Sachigo!BN38+'Sandy Lake'!BN38+Sultan!BN38+Wapekeka!BN38+Weagamow!BN38+Webequie!BN38+'Cat Lake'!BN38+Pikangikum!BN38+'Big Trout Lake'!BN38+'Poplar Hill'!BN38+'North Spirit'!BN38+Keewaywin!BN38+'Muskrat Dam'!BN38+Wunnumin!BN38+Wawakepewin!BN38</f>
        <v>54794</v>
      </c>
      <c r="O36" s="70">
        <f>Armstrong!BO38+'Bearskin Lake'!BO38+Biscotasing!BO38+'Deer Lake'!BO38+'Fort Severn'!BO38+'Gull Bay'!BO38+Hillsport!BO38+Kasabonika!BO38+Kingfisher!BO38+Lansdowne!BO38+'Marten Falls'!BO38+Oba!BO38+Sachigo!BO38+'Sandy Lake'!BO38+Sultan!BO38+Wapekeka!BO38+Weagamow!BO38+Webequie!BO38+'Cat Lake'!BO38+Pikangikum!BO38+'Big Trout Lake'!BO38+'Poplar Hill'!BO38+'North Spirit'!BO38+Keewaywin!BO38+'Muskrat Dam'!BO38+Wunnumin!BO38+Wawakepewin!BO38</f>
        <v>232008</v>
      </c>
    </row>
    <row r="37" spans="1:15" ht="15.75" customHeight="1">
      <c r="A37" s="2" t="s">
        <v>52</v>
      </c>
      <c r="B37" s="123"/>
      <c r="C37" s="109"/>
      <c r="D37" s="109"/>
      <c r="E37" s="108">
        <f>Armstrong!BE39+'Bearskin Lake'!BE39+Biscotasing!BE39+'Deer Lake'!BE39+'Fort Severn'!BE39+'Gull Bay'!BE39+Hillsport!BE39+Kasabonika!BE39+Kingfisher!BE39+Lansdowne!BE39+'Marten Falls'!BE39+Oba!BE39+Sachigo!BE39+'Sandy Lake'!BE39+Sultan!BE39+Wapekeka!BE39+Weagamow!BE39+Webequie!BE39+'Cat Lake'!BE39+Pikangikum!BE39+'Big Trout Lake'!BE39+'Poplar Hill'!BE39+'North Spirit'!BE39+Keewaywin!BE39+'Muskrat Dam'!BE39+Wunnumin!BE39+Wawakepewin!BE39</f>
        <v>0</v>
      </c>
      <c r="F37" s="108">
        <f>Armstrong!BF39+'Bearskin Lake'!BF39+Biscotasing!BF39+'Deer Lake'!BF39+'Fort Severn'!BF39+'Gull Bay'!BF39+Hillsport!BF39+Kasabonika!BF39+Kingfisher!BF39+Lansdowne!BF39+'Marten Falls'!BF39+Oba!BF39+Sachigo!BF39+'Sandy Lake'!BF39+Sultan!BF39+Wapekeka!BF39+Weagamow!BF39+Webequie!BF39+'Cat Lake'!BF39+Pikangikum!BF39+'Big Trout Lake'!BF39+'Poplar Hill'!BF39+'North Spirit'!BF39+Keewaywin!BF39+'Muskrat Dam'!BF39+Wunnumin!BF39+Wawakepewin!BF39</f>
        <v>0</v>
      </c>
      <c r="G37" s="108">
        <f>Armstrong!BG39+'Bearskin Lake'!BG39+Biscotasing!BG39+'Deer Lake'!BG39+'Fort Severn'!BG39+'Gull Bay'!BG39+Hillsport!BG39+Kasabonika!BG39+Kingfisher!BG39+Lansdowne!BG39+'Marten Falls'!BG39+Oba!BG39+Sachigo!BG39+'Sandy Lake'!BG39+Sultan!BG39+Wapekeka!BG39+Weagamow!BG39+Webequie!BG39+'Cat Lake'!BG39+Pikangikum!BG39+'Big Trout Lake'!BG39+'Poplar Hill'!BG39+'North Spirit'!BG39+Keewaywin!BG39+'Muskrat Dam'!BG39+Wunnumin!BG39+Wawakepewin!BG39</f>
        <v>0</v>
      </c>
      <c r="H37" s="71">
        <f>Armstrong!BH39+'Bearskin Lake'!BH39+Biscotasing!BH39+'Deer Lake'!BH39+'Fort Severn'!BH39+'Gull Bay'!BH39+Hillsport!BH39+Kasabonika!BH39+Kingfisher!BH39+Lansdowne!BH39+'Marten Falls'!BH39+Oba!BH39+Sachigo!BH39+'Sandy Lake'!BH39+Sultan!BH39+Wapekeka!BH39+Weagamow!BH39+Webequie!BH39+'Cat Lake'!BH39+Pikangikum!BH39+'Big Trout Lake'!BH39+'Poplar Hill'!BH39+'North Spirit'!BH39+Keewaywin!BH39+'Muskrat Dam'!BH39+Wunnumin!BH39+Wawakepewin!BH39</f>
        <v>0</v>
      </c>
      <c r="I37" s="71">
        <f>Armstrong!BI39+'Bearskin Lake'!BI39+Biscotasing!BI39+'Deer Lake'!BI39+'Fort Severn'!BI39+'Gull Bay'!BI39+Hillsport!BI39+Kasabonika!BI39+Kingfisher!BI39+Lansdowne!BI39+'Marten Falls'!BI39+Oba!BI39+Sachigo!BI39+'Sandy Lake'!BI39+Sultan!BI39+Wapekeka!BI39+Weagamow!BI39+Webequie!BI39+'Cat Lake'!BI39+Pikangikum!BI39+'Big Trout Lake'!BI39+'Poplar Hill'!BI39+'North Spirit'!BI39+Keewaywin!BI39+'Muskrat Dam'!BI39+Wunnumin!BI39+Wawakepewin!BI39</f>
        <v>0</v>
      </c>
      <c r="J37" s="71">
        <f>Armstrong!BJ39+'Bearskin Lake'!BJ39+Biscotasing!BJ39+'Deer Lake'!BJ39+'Fort Severn'!BJ39+'Gull Bay'!BJ39+Hillsport!BJ39+Kasabonika!BJ39+Kingfisher!BJ39+Lansdowne!BJ39+'Marten Falls'!BJ39+Oba!BJ39+Sachigo!BJ39+'Sandy Lake'!BJ39+Sultan!BJ39+Wapekeka!BJ39+Weagamow!BJ39+Webequie!BJ39+'Cat Lake'!BJ39+Pikangikum!BJ39+'Big Trout Lake'!BJ39+'Poplar Hill'!BJ39+'North Spirit'!BJ39+Keewaywin!BJ39+'Muskrat Dam'!BJ39+Wunnumin!BJ39+Wawakepewin!BJ39</f>
        <v>0</v>
      </c>
      <c r="K37" s="71">
        <f>Armstrong!BK39+'Bearskin Lake'!BK39+Biscotasing!BK39+'Deer Lake'!BK39+'Fort Severn'!BK39+'Gull Bay'!BK39+Hillsport!BK39+Kasabonika!BK39+Kingfisher!BK39+Lansdowne!BK39+'Marten Falls'!BK39+Oba!BK39+Sachigo!BK39+'Sandy Lake'!BK39+Sultan!BK39+Wapekeka!BK39+Weagamow!BK39+Webequie!BK39+'Cat Lake'!BK39+Pikangikum!BK39+'Big Trout Lake'!BK39+'Poplar Hill'!BK39+'North Spirit'!BK39+Keewaywin!BK39+'Muskrat Dam'!BK39+Wunnumin!BK39+Wawakepewin!BK39</f>
        <v>0</v>
      </c>
      <c r="L37" s="71">
        <f>Armstrong!BL39+'Bearskin Lake'!BL39+Biscotasing!BL39+'Deer Lake'!BL39+'Fort Severn'!BL39+'Gull Bay'!BL39+Hillsport!BL39+Kasabonika!BL39+Kingfisher!BL39+Lansdowne!BL39+'Marten Falls'!BL39+Oba!BL39+Sachigo!BL39+'Sandy Lake'!BL39+Sultan!BL39+Wapekeka!BL39+Weagamow!BL39+Webequie!BL39+'Cat Lake'!BL39+Pikangikum!BL39+'Big Trout Lake'!BL39+'Poplar Hill'!BL39+'North Spirit'!BL39+Keewaywin!BL39+'Muskrat Dam'!BL39+Wunnumin!BL39+Wawakepewin!BL39</f>
        <v>0</v>
      </c>
      <c r="M37" s="71">
        <f>Armstrong!BM39+'Bearskin Lake'!BM39+Biscotasing!BM39+'Deer Lake'!BM39+'Fort Severn'!BM39+'Gull Bay'!BM39+Hillsport!BM39+Kasabonika!BM39+Kingfisher!BM39+Lansdowne!BM39+'Marten Falls'!BM39+Oba!BM39+Sachigo!BM39+'Sandy Lake'!BM39+Sultan!BM39+Wapekeka!BM39+Weagamow!BM39+Webequie!BM39+'Cat Lake'!BM39+Pikangikum!BM39+'Big Trout Lake'!BM39+'Poplar Hill'!BM39+'North Spirit'!BM39+Keewaywin!BM39+'Muskrat Dam'!BM39+Wunnumin!BM39+Wawakepewin!BM39</f>
        <v>0</v>
      </c>
      <c r="N37" s="70">
        <f>Armstrong!BN39+'Bearskin Lake'!BN39+Biscotasing!BN39+'Deer Lake'!BN39+'Fort Severn'!BN39+'Gull Bay'!BN39+Hillsport!BN39+Kasabonika!BN39+Kingfisher!BN39+Lansdowne!BN39+'Marten Falls'!BN39+Oba!BN39+Sachigo!BN39+'Sandy Lake'!BN39+Sultan!BN39+Wapekeka!BN39+Weagamow!BN39+Webequie!BN39+'Cat Lake'!BN39+Pikangikum!BN39+'Big Trout Lake'!BN39+'Poplar Hill'!BN39+'North Spirit'!BN39+Keewaywin!BN39+'Muskrat Dam'!BN39+Wunnumin!BN39+Wawakepewin!BN39</f>
        <v>0</v>
      </c>
      <c r="O37" s="70">
        <f>Armstrong!BO39+'Bearskin Lake'!BO39+Biscotasing!BO39+'Deer Lake'!BO39+'Fort Severn'!BO39+'Gull Bay'!BO39+Hillsport!BO39+Kasabonika!BO39+Kingfisher!BO39+Lansdowne!BO39+'Marten Falls'!BO39+Oba!BO39+Sachigo!BO39+'Sandy Lake'!BO39+Sultan!BO39+Wapekeka!BO39+Weagamow!BO39+Webequie!BO39+'Cat Lake'!BO39+Pikangikum!BO39+'Big Trout Lake'!BO39+'Poplar Hill'!BO39+'North Spirit'!BO39+Keewaywin!BO39+'Muskrat Dam'!BO39+Wunnumin!BO39+Wawakepewin!BO39</f>
        <v>0</v>
      </c>
    </row>
    <row r="38" spans="1:15" ht="15.75" customHeight="1" thickBot="1">
      <c r="A38" s="199" t="s">
        <v>30</v>
      </c>
      <c r="B38" s="240"/>
      <c r="C38" s="117"/>
      <c r="D38" s="117"/>
      <c r="E38" s="114">
        <f>Armstrong!BE40+'Bearskin Lake'!BE40+Biscotasing!BE40+'Deer Lake'!BE40+'Fort Severn'!BE40+'Gull Bay'!BE40+Hillsport!BE40+Kasabonika!BE40+Kingfisher!BE40+Lansdowne!BE40+'Marten Falls'!BE40+Oba!BE40+Sachigo!BE40+'Sandy Lake'!BE40+Sultan!BE40+Wapekeka!BE40+Weagamow!BE40+Webequie!BE40+'Cat Lake'!BE40+Pikangikum!BE40+'Big Trout Lake'!BE40+'Poplar Hill'!BE40+'North Spirit'!BE40+Keewaywin!BE40+'Muskrat Dam'!BE40+Wunnumin!BE40+Wawakepewin!BE40</f>
        <v>21169</v>
      </c>
      <c r="F38" s="114">
        <f>Armstrong!BF40+'Bearskin Lake'!BF40+Biscotasing!BF40+'Deer Lake'!BF40+'Fort Severn'!BF40+'Gull Bay'!BF40+Hillsport!BF40+Kasabonika!BF40+Kingfisher!BF40+Lansdowne!BF40+'Marten Falls'!BF40+Oba!BF40+Sachigo!BF40+'Sandy Lake'!BF40+Sultan!BF40+Wapekeka!BF40+Weagamow!BF40+Webequie!BF40+'Cat Lake'!BF40+Pikangikum!BF40+'Big Trout Lake'!BF40+'Poplar Hill'!BF40+'North Spirit'!BF40+Keewaywin!BF40+'Muskrat Dam'!BF40+Wunnumin!BF40+Wawakepewin!BF40</f>
        <v>17047</v>
      </c>
      <c r="G38" s="114">
        <f>Armstrong!BG40+'Bearskin Lake'!BG40+Biscotasing!BG40+'Deer Lake'!BG40+'Fort Severn'!BG40+'Gull Bay'!BG40+Hillsport!BG40+Kasabonika!BG40+Kingfisher!BG40+Lansdowne!BG40+'Marten Falls'!BG40+Oba!BG40+Sachigo!BG40+'Sandy Lake'!BG40+Sultan!BG40+Wapekeka!BG40+Weagamow!BG40+Webequie!BG40+'Cat Lake'!BG40+Pikangikum!BG40+'Big Trout Lake'!BG40+'Poplar Hill'!BG40+'North Spirit'!BG40+Keewaywin!BG40+'Muskrat Dam'!BG40+Wunnumin!BG40+Wawakepewin!BG40</f>
        <v>11055</v>
      </c>
      <c r="H38" s="114">
        <f>Armstrong!BH40+'Bearskin Lake'!BH40+Biscotasing!BH40+'Deer Lake'!BH40+'Fort Severn'!BH40+'Gull Bay'!BH40+Hillsport!BH40+Kasabonika!BH40+Kingfisher!BH40+Lansdowne!BH40+'Marten Falls'!BH40+Oba!BH40+Sachigo!BH40+'Sandy Lake'!BH40+Sultan!BH40+Wapekeka!BH40+Weagamow!BH40+Webequie!BH40+'Cat Lake'!BH40+Pikangikum!BH40+'Big Trout Lake'!BH40+'Poplar Hill'!BH40+'North Spirit'!BH40+Keewaywin!BH40+'Muskrat Dam'!BH40+Wunnumin!BH40+Wawakepewin!BH40</f>
        <v>55788</v>
      </c>
      <c r="I38" s="114">
        <f>Armstrong!BI40+'Bearskin Lake'!BI40+Biscotasing!BI40+'Deer Lake'!BI40+'Fort Severn'!BI40+'Gull Bay'!BI40+Hillsport!BI40+Kasabonika!BI40+Kingfisher!BI40+Lansdowne!BI40+'Marten Falls'!BI40+Oba!BI40+Sachigo!BI40+'Sandy Lake'!BI40+Sultan!BI40+Wapekeka!BI40+Weagamow!BI40+Webequie!BI40+'Cat Lake'!BI40+Pikangikum!BI40+'Big Trout Lake'!BI40+'Poplar Hill'!BI40+'North Spirit'!BI40+Keewaywin!BI40+'Muskrat Dam'!BI40+Wunnumin!BI40+Wawakepewin!BI40</f>
        <v>57249</v>
      </c>
      <c r="J38" s="114">
        <f>Armstrong!BJ40+'Bearskin Lake'!BJ40+Biscotasing!BJ40+'Deer Lake'!BJ40+'Fort Severn'!BJ40+'Gull Bay'!BJ40+Hillsport!BJ40+Kasabonika!BJ40+Kingfisher!BJ40+Lansdowne!BJ40+'Marten Falls'!BJ40+Oba!BJ40+Sachigo!BJ40+'Sandy Lake'!BJ40+Sultan!BJ40+Wapekeka!BJ40+Weagamow!BJ40+Webequie!BJ40+'Cat Lake'!BJ40+Pikangikum!BJ40+'Big Trout Lake'!BJ40+'Poplar Hill'!BJ40+'North Spirit'!BJ40+Keewaywin!BJ40+'Muskrat Dam'!BJ40+Wunnumin!BJ40+Wawakepewin!BJ40</f>
        <v>87761</v>
      </c>
      <c r="K38" s="114">
        <f>Armstrong!BK40+'Bearskin Lake'!BK40+Biscotasing!BK40+'Deer Lake'!BK40+'Fort Severn'!BK40+'Gull Bay'!BK40+Hillsport!BK40+Kasabonika!BK40+Kingfisher!BK40+Lansdowne!BK40+'Marten Falls'!BK40+Oba!BK40+Sachigo!BK40+'Sandy Lake'!BK40+Sultan!BK40+Wapekeka!BK40+Weagamow!BK40+Webequie!BK40+'Cat Lake'!BK40+Pikangikum!BK40+'Big Trout Lake'!BK40+'Poplar Hill'!BK40+'North Spirit'!BK40+Keewaywin!BK40+'Muskrat Dam'!BK40+Wunnumin!BK40+Wawakepewin!BK40</f>
        <v>69261</v>
      </c>
      <c r="L38" s="114">
        <f>Armstrong!BL40+'Bearskin Lake'!BL40+Biscotasing!BL40+'Deer Lake'!BL40+'Fort Severn'!BL40+'Gull Bay'!BL40+Hillsport!BL40+Kasabonika!BL40+Kingfisher!BL40+Lansdowne!BL40+'Marten Falls'!BL40+Oba!BL40+Sachigo!BL40+'Sandy Lake'!BL40+Sultan!BL40+Wapekeka!BL40+Weagamow!BL40+Webequie!BL40+'Cat Lake'!BL40+Pikangikum!BL40+'Big Trout Lake'!BL40+'Poplar Hill'!BL40+'North Spirit'!BL40+Keewaywin!BL40+'Muskrat Dam'!BL40+Wunnumin!BL40+Wawakepewin!BL40</f>
        <v>98298</v>
      </c>
      <c r="M38" s="114">
        <f>Armstrong!BM40+'Bearskin Lake'!BM40+Biscotasing!BM40+'Deer Lake'!BM40+'Fort Severn'!BM40+'Gull Bay'!BM40+Hillsport!BM40+Kasabonika!BM40+Kingfisher!BM40+Lansdowne!BM40+'Marten Falls'!BM40+Oba!BM40+Sachigo!BM40+'Sandy Lake'!BM40+Sultan!BM40+Wapekeka!BM40+Weagamow!BM40+Webequie!BM40+'Cat Lake'!BM40+Pikangikum!BM40+'Big Trout Lake'!BM40+'Poplar Hill'!BM40+'North Spirit'!BM40+Keewaywin!BM40+'Muskrat Dam'!BM40+Wunnumin!BM40+Wawakepewin!BM40</f>
        <v>102303</v>
      </c>
      <c r="N38" s="484">
        <f>Armstrong!BN40+'Bearskin Lake'!BN40+Biscotasing!BN40+'Deer Lake'!BN40+'Fort Severn'!BN40+'Gull Bay'!BN40+Hillsport!BN40+Kasabonika!BN40+Kingfisher!BN40+Lansdowne!BN40+'Marten Falls'!BN40+Oba!BN40+Sachigo!BN40+'Sandy Lake'!BN40+Sultan!BN40+Wapekeka!BN40+Weagamow!BN40+Webequie!BN40+'Cat Lake'!BN40+Pikangikum!BN40+'Big Trout Lake'!BN40+'Poplar Hill'!BN40+'North Spirit'!BN40+Keewaywin!BN40+'Muskrat Dam'!BN40+Wunnumin!BN40+Wawakepewin!BN40</f>
        <v>630259</v>
      </c>
      <c r="O38" s="484">
        <f>Armstrong!BO40+'Bearskin Lake'!BO40+Biscotasing!BO40+'Deer Lake'!BO40+'Fort Severn'!BO40+'Gull Bay'!BO40+Hillsport!BO40+Kasabonika!BO40+Kingfisher!BO40+Lansdowne!BO40+'Marten Falls'!BO40+Oba!BO40+Sachigo!BO40+'Sandy Lake'!BO40+Sultan!BO40+Wapekeka!BO40+Weagamow!BO40+Webequie!BO40+'Cat Lake'!BO40+Pikangikum!BO40+'Big Trout Lake'!BO40+'Poplar Hill'!BO40+'North Spirit'!BO40+Keewaywin!BO40+'Muskrat Dam'!BO40+Wunnumin!BO40+Wawakepewin!BO40</f>
        <v>2668578</v>
      </c>
    </row>
    <row r="39" spans="1:15" ht="15.75" customHeight="1" thickTop="1">
      <c r="A39" s="2" t="s">
        <v>54</v>
      </c>
      <c r="B39" s="52"/>
      <c r="C39" s="39"/>
      <c r="D39" s="39"/>
      <c r="E39" s="9"/>
      <c r="F39" s="9"/>
      <c r="G39" s="9"/>
      <c r="H39" s="9"/>
      <c r="I39" s="9"/>
      <c r="J39" s="9"/>
      <c r="K39" s="9"/>
      <c r="L39" s="9"/>
      <c r="M39" s="9"/>
      <c r="N39" s="58"/>
      <c r="O39" s="58"/>
    </row>
    <row r="40" spans="1:15" ht="15" customHeight="1">
      <c r="A40" s="198" t="s">
        <v>60</v>
      </c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9"/>
      <c r="O40" s="59"/>
    </row>
    <row r="41" spans="1:15" ht="15" customHeight="1">
      <c r="A41" s="2" t="s">
        <v>49</v>
      </c>
      <c r="B41" s="123"/>
      <c r="C41" s="109"/>
      <c r="D41" s="109"/>
      <c r="E41" s="108">
        <f>Armstrong!BE43+'Bearskin Lake'!BE43+Biscotasing!BE43+'Deer Lake'!BE43+'Fort Severn'!BE43+'Gull Bay'!BE43+Hillsport!BE43+Kasabonika!BE43+Kingfisher!BE43+Lansdowne!BE43+'Marten Falls'!BE43+Oba!BE43+Sachigo!BE43+'Sandy Lake'!BE43+Sultan!BE43+Wapekeka!BE43+Weagamow!BE43+Webequie!BE43+'Cat Lake'!BE43+Pikangikum!BE43+'Big Trout Lake'!BE43+'Poplar Hill'!BE43+'North Spirit'!BE43+Keewaywin!BE43+'Muskrat Dam'!BE43+Wunnumin!BE43+Wawakepewin!BE43</f>
        <v>56</v>
      </c>
      <c r="F41" s="108">
        <f>Armstrong!BF43+'Bearskin Lake'!BF43+Biscotasing!BF43+'Deer Lake'!BF43+'Fort Severn'!BF43+'Gull Bay'!BF43+Hillsport!BF43+Kasabonika!BF43+Kingfisher!BF43+Lansdowne!BF43+'Marten Falls'!BF43+Oba!BF43+Sachigo!BF43+'Sandy Lake'!BF43+Sultan!BF43+Wapekeka!BF43+Weagamow!BF43+Webequie!BF43+'Cat Lake'!BF43+Pikangikum!BF43+'Big Trout Lake'!BF43+'Poplar Hill'!BF43+'North Spirit'!BF43+Keewaywin!BF43+'Muskrat Dam'!BF43+Wunnumin!BF43+Wawakepewin!BF43</f>
        <v>56</v>
      </c>
      <c r="G41" s="108">
        <f>Armstrong!BG43+'Bearskin Lake'!BG43+Biscotasing!BG43+'Deer Lake'!BG43+'Fort Severn'!BG43+'Gull Bay'!BG43+Hillsport!BG43+Kasabonika!BG43+Kingfisher!BG43+Lansdowne!BG43+'Marten Falls'!BG43+Oba!BG43+Sachigo!BG43+'Sandy Lake'!BG43+Sultan!BG43+Wapekeka!BG43+Weagamow!BG43+Webequie!BG43+'Cat Lake'!BG43+Pikangikum!BG43+'Big Trout Lake'!BG43+'Poplar Hill'!BG43+'North Spirit'!BG43+Keewaywin!BG43+'Muskrat Dam'!BG43+Wunnumin!BG43+Wawakepewin!BG43</f>
        <v>56</v>
      </c>
      <c r="H41" s="71">
        <f>Armstrong!BH43+'Bearskin Lake'!BH43+Biscotasing!BH43+'Deer Lake'!BH43+'Fort Severn'!BH43+'Gull Bay'!BH43+Hillsport!BH43+Kasabonika!BH43+Kingfisher!BH43+Lansdowne!BH43+'Marten Falls'!BH43+Oba!BH43+Sachigo!BH43+'Sandy Lake'!BH43+Sultan!BH43+Wapekeka!BH43+Weagamow!BH43+Webequie!BH43+'Cat Lake'!BH43+Pikangikum!BH43+'Big Trout Lake'!BH43+'Poplar Hill'!BH43+'North Spirit'!BH43+Keewaywin!BH43+'Muskrat Dam'!BH43+Wunnumin!BH43+Wawakepewin!BH43</f>
        <v>50</v>
      </c>
      <c r="I41" s="71">
        <f>Armstrong!BI43+'Bearskin Lake'!BI43+Biscotasing!BI43+'Deer Lake'!BI43+'Fort Severn'!BI43+'Gull Bay'!BI43+Hillsport!BI43+Kasabonika!BI43+Kingfisher!BI43+Lansdowne!BI43+'Marten Falls'!BI43+Oba!BI43+Sachigo!BI43+'Sandy Lake'!BI43+Sultan!BI43+Wapekeka!BI43+Weagamow!BI43+Webequie!BI43+'Cat Lake'!BI43+Pikangikum!BI43+'Big Trout Lake'!BI43+'Poplar Hill'!BI43+'North Spirit'!BI43+Keewaywin!BI43+'Muskrat Dam'!BI43+Wunnumin!BI43+Wawakepewin!BI43</f>
        <v>50</v>
      </c>
      <c r="J41" s="71">
        <f>Armstrong!BJ43+'Bearskin Lake'!BJ43+Biscotasing!BJ43+'Deer Lake'!BJ43+'Fort Severn'!BJ43+'Gull Bay'!BJ43+Hillsport!BJ43+Kasabonika!BJ43+Kingfisher!BJ43+Lansdowne!BJ43+'Marten Falls'!BJ43+Oba!BJ43+Sachigo!BJ43+'Sandy Lake'!BJ43+Sultan!BJ43+Wapekeka!BJ43+Weagamow!BJ43+Webequie!BJ43+'Cat Lake'!BJ43+Pikangikum!BJ43+'Big Trout Lake'!BJ43+'Poplar Hill'!BJ43+'North Spirit'!BJ43+Keewaywin!BJ43+'Muskrat Dam'!BJ43+Wunnumin!BJ43+Wawakepewin!BJ43</f>
        <v>50</v>
      </c>
      <c r="K41" s="71">
        <f>Armstrong!BK43+'Bearskin Lake'!BK43+Biscotasing!BK43+'Deer Lake'!BK43+'Fort Severn'!BK43+'Gull Bay'!BK43+Hillsport!BK43+Kasabonika!BK43+Kingfisher!BK43+Lansdowne!BK43+'Marten Falls'!BK43+Oba!BK43+Sachigo!BK43+'Sandy Lake'!BK43+Sultan!BK43+Wapekeka!BK43+Weagamow!BK43+Webequie!BK43+'Cat Lake'!BK43+Pikangikum!BK43+'Big Trout Lake'!BK43+'Poplar Hill'!BK43+'North Spirit'!BK43+Keewaywin!BK43+'Muskrat Dam'!BK43+Wunnumin!BK43+Wawakepewin!BK43</f>
        <v>50</v>
      </c>
      <c r="L41" s="71">
        <f>Armstrong!BL43+'Bearskin Lake'!BL43+Biscotasing!BL43+'Deer Lake'!BL43+'Fort Severn'!BL43+'Gull Bay'!BL43+Hillsport!BL43+Kasabonika!BL43+Kingfisher!BL43+Lansdowne!BL43+'Marten Falls'!BL43+Oba!BL43+Sachigo!BL43+'Sandy Lake'!BL43+Sultan!BL43+Wapekeka!BL43+Weagamow!BL43+Webequie!BL43+'Cat Lake'!BL43+Pikangikum!BL43+'Big Trout Lake'!BL43+'Poplar Hill'!BL43+'North Spirit'!BL43+Keewaywin!BL43+'Muskrat Dam'!BL43+Wunnumin!BL43+Wawakepewin!BL43</f>
        <v>50</v>
      </c>
      <c r="M41" s="71">
        <f>Armstrong!BM43+'Bearskin Lake'!BM43+Biscotasing!BM43+'Deer Lake'!BM43+'Fort Severn'!BM43+'Gull Bay'!BM43+Hillsport!BM43+Kasabonika!BM43+Kingfisher!BM43+Lansdowne!BM43+'Marten Falls'!BM43+Oba!BM43+Sachigo!BM43+'Sandy Lake'!BM43+Sultan!BM43+Wapekeka!BM43+Weagamow!BM43+Webequie!BM43+'Cat Lake'!BM43+Pikangikum!BM43+'Big Trout Lake'!BM43+'Poplar Hill'!BM43+'North Spirit'!BM43+Keewaywin!BM43+'Muskrat Dam'!BM43+Wunnumin!BM43+Wawakepewin!BM43</f>
        <v>50</v>
      </c>
      <c r="N41" s="70">
        <f>Armstrong!BN43+'Bearskin Lake'!BN43+Biscotasing!BN43+'Deer Lake'!BN43+'Fort Severn'!BN43+'Gull Bay'!BN43+Hillsport!BN43+Kasabonika!BN43+Kingfisher!BN43+Lansdowne!BN43+'Marten Falls'!BN43+Oba!BN43+Sachigo!BN43+'Sandy Lake'!BN43+Sultan!BN43+Wapekeka!BN43+Weagamow!BN43+Webequie!BN43+'Cat Lake'!BN43+Pikangikum!BN43+'Big Trout Lake'!BN43+'Poplar Hill'!BN43+'North Spirit'!BN43+Keewaywin!BN43+'Muskrat Dam'!BN43+Wunnumin!BN43+Wawakepewin!BN43</f>
        <v>50</v>
      </c>
      <c r="O41" s="70">
        <f>Armstrong!BO43+'Bearskin Lake'!BO43+Biscotasing!BO43+'Deer Lake'!BO43+'Fort Severn'!BO43+'Gull Bay'!BO43+Hillsport!BO43+Kasabonika!BO43+Kingfisher!BO43+Lansdowne!BO43+'Marten Falls'!BO43+Oba!BO43+Sachigo!BO43+'Sandy Lake'!BO43+Sultan!BO43+Wapekeka!BO43+Weagamow!BO43+Webequie!BO43+'Cat Lake'!BO43+Pikangikum!BO43+'Big Trout Lake'!BO43+'Poplar Hill'!BO43+'North Spirit'!BO43+Keewaywin!BO43+'Muskrat Dam'!BO43+Wunnumin!BO43+Wawakepewin!BO43</f>
        <v>27</v>
      </c>
    </row>
    <row r="42" spans="1:15" ht="15" customHeight="1">
      <c r="A42" s="2" t="s">
        <v>61</v>
      </c>
      <c r="B42" s="123"/>
      <c r="C42" s="109"/>
      <c r="D42" s="109"/>
      <c r="E42" s="108">
        <f>Armstrong!BE44+'Bearskin Lake'!BE44+Biscotasing!BE44+'Deer Lake'!BE44+'Fort Severn'!BE44+'Gull Bay'!BE44+Hillsport!BE44+Kasabonika!BE44+Kingfisher!BE44+Lansdowne!BE44+'Marten Falls'!BE44+Oba!BE44+Sachigo!BE44+'Sandy Lake'!BE44+Sultan!BE44+Wapekeka!BE44+Weagamow!BE44+Webequie!BE44+'Cat Lake'!BE44+Pikangikum!BE44+'Big Trout Lake'!BE44+'Poplar Hill'!BE44+'North Spirit'!BE44+Keewaywin!BE44+'Muskrat Dam'!BE44+Wunnumin!BE44+Wawakepewin!BE44</f>
        <v>432761</v>
      </c>
      <c r="F42" s="108">
        <f>Armstrong!BF44+'Bearskin Lake'!BF44+Biscotasing!BF44+'Deer Lake'!BF44+'Fort Severn'!BF44+'Gull Bay'!BF44+Hillsport!BF44+Kasabonika!BF44+Kingfisher!BF44+Lansdowne!BF44+'Marten Falls'!BF44+Oba!BF44+Sachigo!BF44+'Sandy Lake'!BF44+Sultan!BF44+Wapekeka!BF44+Weagamow!BF44+Webequie!BF44+'Cat Lake'!BF44+Pikangikum!BF44+'Big Trout Lake'!BF44+'Poplar Hill'!BF44+'North Spirit'!BF44+Keewaywin!BF44+'Muskrat Dam'!BF44+Wunnumin!BF44+Wawakepewin!BF44</f>
        <v>396796</v>
      </c>
      <c r="G42" s="108">
        <f>Armstrong!BG44+'Bearskin Lake'!BG44+Biscotasing!BG44+'Deer Lake'!BG44+'Fort Severn'!BG44+'Gull Bay'!BG44+Hillsport!BG44+Kasabonika!BG44+Kingfisher!BG44+Lansdowne!BG44+'Marten Falls'!BG44+Oba!BG44+Sachigo!BG44+'Sandy Lake'!BG44+Sultan!BG44+Wapekeka!BG44+Weagamow!BG44+Webequie!BG44+'Cat Lake'!BG44+Pikangikum!BG44+'Big Trout Lake'!BG44+'Poplar Hill'!BG44+'North Spirit'!BG44+Keewaywin!BG44+'Muskrat Dam'!BG44+Wunnumin!BG44+Wawakepewin!BG44</f>
        <v>391891</v>
      </c>
      <c r="H42" s="71">
        <f>Armstrong!BH44+'Bearskin Lake'!BH44+Biscotasing!BH44+'Deer Lake'!BH44+'Fort Severn'!BH44+'Gull Bay'!BH44+Hillsport!BH44+Kasabonika!BH44+Kingfisher!BH44+Lansdowne!BH44+'Marten Falls'!BH44+Oba!BH44+Sachigo!BH44+'Sandy Lake'!BH44+Sultan!BH44+Wapekeka!BH44+Weagamow!BH44+Webequie!BH44+'Cat Lake'!BH44+Pikangikum!BH44+'Big Trout Lake'!BH44+'Poplar Hill'!BH44+'North Spirit'!BH44+Keewaywin!BH44+'Muskrat Dam'!BH44+Wunnumin!BH44+Wawakepewin!BH44</f>
        <v>306951</v>
      </c>
      <c r="I42" s="71">
        <f>Armstrong!BI44+'Bearskin Lake'!BI44+Biscotasing!BI44+'Deer Lake'!BI44+'Fort Severn'!BI44+'Gull Bay'!BI44+Hillsport!BI44+Kasabonika!BI44+Kingfisher!BI44+Lansdowne!BI44+'Marten Falls'!BI44+Oba!BI44+Sachigo!BI44+'Sandy Lake'!BI44+Sultan!BI44+Wapekeka!BI44+Weagamow!BI44+Webequie!BI44+'Cat Lake'!BI44+Pikangikum!BI44+'Big Trout Lake'!BI44+'Poplar Hill'!BI44+'North Spirit'!BI44+Keewaywin!BI44+'Muskrat Dam'!BI44+Wunnumin!BI44+Wawakepewin!BI44</f>
        <v>339394</v>
      </c>
      <c r="J42" s="71">
        <f>Armstrong!BJ44+'Bearskin Lake'!BJ44+Biscotasing!BJ44+'Deer Lake'!BJ44+'Fort Severn'!BJ44+'Gull Bay'!BJ44+Hillsport!BJ44+Kasabonika!BJ44+Kingfisher!BJ44+Lansdowne!BJ44+'Marten Falls'!BJ44+Oba!BJ44+Sachigo!BJ44+'Sandy Lake'!BJ44+Sultan!BJ44+Wapekeka!BJ44+Weagamow!BJ44+Webequie!BJ44+'Cat Lake'!BJ44+Pikangikum!BJ44+'Big Trout Lake'!BJ44+'Poplar Hill'!BJ44+'North Spirit'!BJ44+Keewaywin!BJ44+'Muskrat Dam'!BJ44+Wunnumin!BJ44+Wawakepewin!BJ44</f>
        <v>321120</v>
      </c>
      <c r="K42" s="71">
        <f>Armstrong!BK44+'Bearskin Lake'!BK44+Biscotasing!BK44+'Deer Lake'!BK44+'Fort Severn'!BK44+'Gull Bay'!BK44+Hillsport!BK44+Kasabonika!BK44+Kingfisher!BK44+Lansdowne!BK44+'Marten Falls'!BK44+Oba!BK44+Sachigo!BK44+'Sandy Lake'!BK44+Sultan!BK44+Wapekeka!BK44+Weagamow!BK44+Webequie!BK44+'Cat Lake'!BK44+Pikangikum!BK44+'Big Trout Lake'!BK44+'Poplar Hill'!BK44+'North Spirit'!BK44+Keewaywin!BK44+'Muskrat Dam'!BK44+Wunnumin!BK44+Wawakepewin!BK44</f>
        <v>327709</v>
      </c>
      <c r="L42" s="71">
        <f>Armstrong!BL44+'Bearskin Lake'!BL44+Biscotasing!BL44+'Deer Lake'!BL44+'Fort Severn'!BL44+'Gull Bay'!BL44+Hillsport!BL44+Kasabonika!BL44+Kingfisher!BL44+Lansdowne!BL44+'Marten Falls'!BL44+Oba!BL44+Sachigo!BL44+'Sandy Lake'!BL44+Sultan!BL44+Wapekeka!BL44+Weagamow!BL44+Webequie!BL44+'Cat Lake'!BL44+Pikangikum!BL44+'Big Trout Lake'!BL44+'Poplar Hill'!BL44+'North Spirit'!BL44+Keewaywin!BL44+'Muskrat Dam'!BL44+Wunnumin!BL44+Wawakepewin!BL44</f>
        <v>368077</v>
      </c>
      <c r="M42" s="71">
        <f>Armstrong!BM44+'Bearskin Lake'!BM44+Biscotasing!BM44+'Deer Lake'!BM44+'Fort Severn'!BM44+'Gull Bay'!BM44+Hillsport!BM44+Kasabonika!BM44+Kingfisher!BM44+Lansdowne!BM44+'Marten Falls'!BM44+Oba!BM44+Sachigo!BM44+'Sandy Lake'!BM44+Sultan!BM44+Wapekeka!BM44+Weagamow!BM44+Webequie!BM44+'Cat Lake'!BM44+Pikangikum!BM44+'Big Trout Lake'!BM44+'Poplar Hill'!BM44+'North Spirit'!BM44+Keewaywin!BM44+'Muskrat Dam'!BM44+Wunnumin!BM44+Wawakepewin!BM44</f>
        <v>422472</v>
      </c>
      <c r="N42" s="70">
        <f>Armstrong!BN44+'Bearskin Lake'!BN44+Biscotasing!BN44+'Deer Lake'!BN44+'Fort Severn'!BN44+'Gull Bay'!BN44+Hillsport!BN44+Kasabonika!BN44+Kingfisher!BN44+Lansdowne!BN44+'Marten Falls'!BN44+Oba!BN44+Sachigo!BN44+'Sandy Lake'!BN44+Sultan!BN44+Wapekeka!BN44+Weagamow!BN44+Webequie!BN44+'Cat Lake'!BN44+Pikangikum!BN44+'Big Trout Lake'!BN44+'Poplar Hill'!BN44+'North Spirit'!BN44+Keewaywin!BN44+'Muskrat Dam'!BN44+Wunnumin!BN44+Wawakepewin!BN44</f>
        <v>4783501</v>
      </c>
      <c r="O42" s="70">
        <f>Armstrong!BO44+'Bearskin Lake'!BO44+Biscotasing!BO44+'Deer Lake'!BO44+'Fort Severn'!BO44+'Gull Bay'!BO44+Hillsport!BO44+Kasabonika!BO44+Kingfisher!BO44+Lansdowne!BO44+'Marten Falls'!BO44+Oba!BO44+Sachigo!BO44+'Sandy Lake'!BO44+Sultan!BO44+Wapekeka!BO44+Weagamow!BO44+Webequie!BO44+'Cat Lake'!BO44+Pikangikum!BO44+'Big Trout Lake'!BO44+'Poplar Hill'!BO44+'North Spirit'!BO44+Keewaywin!BO44+'Muskrat Dam'!BO44+Wunnumin!BO44+Wawakepewin!BO44</f>
        <v>3488309</v>
      </c>
    </row>
    <row r="43" spans="1:15" ht="15" customHeight="1">
      <c r="A43" s="2" t="s">
        <v>62</v>
      </c>
      <c r="B43" s="123"/>
      <c r="C43" s="109"/>
      <c r="D43" s="109"/>
      <c r="E43" s="108">
        <f>Armstrong!BE45+'Bearskin Lake'!BE45+Biscotasing!BE45+'Deer Lake'!BE45+'Fort Severn'!BE45+'Gull Bay'!BE45+Hillsport!BE45+Kasabonika!BE45+Kingfisher!BE45+Lansdowne!BE45+'Marten Falls'!BE45+Oba!BE45+Sachigo!BE45+'Sandy Lake'!BE45+Sultan!BE45+Wapekeka!BE45+Weagamow!BE45+Webequie!BE45+'Cat Lake'!BE45+Pikangikum!BE45+'Big Trout Lake'!BE45+'Poplar Hill'!BE45+'North Spirit'!BE45+Keewaywin!BE45+'Muskrat Dam'!BE45+Wunnumin!BE45+Wawakepewin!BE45</f>
        <v>35983</v>
      </c>
      <c r="F43" s="108">
        <f>Armstrong!BF45+'Bearskin Lake'!BF45+Biscotasing!BF45+'Deer Lake'!BF45+'Fort Severn'!BF45+'Gull Bay'!BF45+Hillsport!BF45+Kasabonika!BF45+Kingfisher!BF45+Lansdowne!BF45+'Marten Falls'!BF45+Oba!BF45+Sachigo!BF45+'Sandy Lake'!BF45+Sultan!BF45+Wapekeka!BF45+Weagamow!BF45+Webequie!BF45+'Cat Lake'!BF45+Pikangikum!BF45+'Big Trout Lake'!BF45+'Poplar Hill'!BF45+'North Spirit'!BF45+Keewaywin!BF45+'Muskrat Dam'!BF45+Wunnumin!BF45+Wawakepewin!BF45</f>
        <v>33118</v>
      </c>
      <c r="G43" s="108">
        <f>Armstrong!BG45+'Bearskin Lake'!BG45+Biscotasing!BG45+'Deer Lake'!BG45+'Fort Severn'!BG45+'Gull Bay'!BG45+Hillsport!BG45+Kasabonika!BG45+Kingfisher!BG45+Lansdowne!BG45+'Marten Falls'!BG45+Oba!BG45+Sachigo!BG45+'Sandy Lake'!BG45+Sultan!BG45+Wapekeka!BG45+Weagamow!BG45+Webequie!BG45+'Cat Lake'!BG45+Pikangikum!BG45+'Big Trout Lake'!BG45+'Poplar Hill'!BG45+'North Spirit'!BG45+Keewaywin!BG45+'Muskrat Dam'!BG45+Wunnumin!BG45+Wawakepewin!BG45</f>
        <v>33186</v>
      </c>
      <c r="H43" s="71">
        <f>Armstrong!BH45+'Bearskin Lake'!BH45+Biscotasing!BH45+'Deer Lake'!BH45+'Fort Severn'!BH45+'Gull Bay'!BH45+Hillsport!BH45+Kasabonika!BH45+Kingfisher!BH45+Lansdowne!BH45+'Marten Falls'!BH45+Oba!BH45+Sachigo!BH45+'Sandy Lake'!BH45+Sultan!BH45+Wapekeka!BH45+Weagamow!BH45+Webequie!BH45+'Cat Lake'!BH45+Pikangikum!BH45+'Big Trout Lake'!BH45+'Poplar Hill'!BH45+'North Spirit'!BH45+Keewaywin!BH45+'Muskrat Dam'!BH45+Wunnumin!BH45+Wawakepewin!BH45</f>
        <v>26036</v>
      </c>
      <c r="I43" s="71">
        <f>Armstrong!BI45+'Bearskin Lake'!BI45+Biscotasing!BI45+'Deer Lake'!BI45+'Fort Severn'!BI45+'Gull Bay'!BI45+Hillsport!BI45+Kasabonika!BI45+Kingfisher!BI45+Lansdowne!BI45+'Marten Falls'!BI45+Oba!BI45+Sachigo!BI45+'Sandy Lake'!BI45+Sultan!BI45+Wapekeka!BI45+Weagamow!BI45+Webequie!BI45+'Cat Lake'!BI45+Pikangikum!BI45+'Big Trout Lake'!BI45+'Poplar Hill'!BI45+'North Spirit'!BI45+Keewaywin!BI45+'Muskrat Dam'!BI45+Wunnumin!BI45+Wawakepewin!BI45</f>
        <v>28746</v>
      </c>
      <c r="J43" s="71">
        <f>Armstrong!BJ45+'Bearskin Lake'!BJ45+Biscotasing!BJ45+'Deer Lake'!BJ45+'Fort Severn'!BJ45+'Gull Bay'!BJ45+Hillsport!BJ45+Kasabonika!BJ45+Kingfisher!BJ45+Lansdowne!BJ45+'Marten Falls'!BJ45+Oba!BJ45+Sachigo!BJ45+'Sandy Lake'!BJ45+Sultan!BJ45+Wapekeka!BJ45+Weagamow!BJ45+Webequie!BJ45+'Cat Lake'!BJ45+Pikangikum!BJ45+'Big Trout Lake'!BJ45+'Poplar Hill'!BJ45+'North Spirit'!BJ45+Keewaywin!BJ45+'Muskrat Dam'!BJ45+Wunnumin!BJ45+Wawakepewin!BJ45</f>
        <v>27120</v>
      </c>
      <c r="K43" s="71">
        <f>Armstrong!BK45+'Bearskin Lake'!BK45+Biscotasing!BK45+'Deer Lake'!BK45+'Fort Severn'!BK45+'Gull Bay'!BK45+Hillsport!BK45+Kasabonika!BK45+Kingfisher!BK45+Lansdowne!BK45+'Marten Falls'!BK45+Oba!BK45+Sachigo!BK45+'Sandy Lake'!BK45+Sultan!BK45+Wapekeka!BK45+Weagamow!BK45+Webequie!BK45+'Cat Lake'!BK45+Pikangikum!BK45+'Big Trout Lake'!BK45+'Poplar Hill'!BK45+'North Spirit'!BK45+Keewaywin!BK45+'Muskrat Dam'!BK45+Wunnumin!BK45+Wawakepewin!BK45</f>
        <v>27520</v>
      </c>
      <c r="L43" s="71">
        <f>Armstrong!BL45+'Bearskin Lake'!BL45+Biscotasing!BL45+'Deer Lake'!BL45+'Fort Severn'!BL45+'Gull Bay'!BL45+Hillsport!BL45+Kasabonika!BL45+Kingfisher!BL45+Lansdowne!BL45+'Marten Falls'!BL45+Oba!BL45+Sachigo!BL45+'Sandy Lake'!BL45+Sultan!BL45+Wapekeka!BL45+Weagamow!BL45+Webequie!BL45+'Cat Lake'!BL45+Pikangikum!BL45+'Big Trout Lake'!BL45+'Poplar Hill'!BL45+'North Spirit'!BL45+Keewaywin!BL45+'Muskrat Dam'!BL45+Wunnumin!BL45+Wawakepewin!BL45</f>
        <v>30582</v>
      </c>
      <c r="M43" s="71">
        <f>Armstrong!BM45+'Bearskin Lake'!BM45+Biscotasing!BM45+'Deer Lake'!BM45+'Fort Severn'!BM45+'Gull Bay'!BM45+Hillsport!BM45+Kasabonika!BM45+Kingfisher!BM45+Lansdowne!BM45+'Marten Falls'!BM45+Oba!BM45+Sachigo!BM45+'Sandy Lake'!BM45+Sultan!BM45+Wapekeka!BM45+Weagamow!BM45+Webequie!BM45+'Cat Lake'!BM45+Pikangikum!BM45+'Big Trout Lake'!BM45+'Poplar Hill'!BM45+'North Spirit'!BM45+Keewaywin!BM45+'Muskrat Dam'!BM45+Wunnumin!BM45+Wawakepewin!BM45</f>
        <v>35028</v>
      </c>
      <c r="N43" s="70">
        <f>Armstrong!BN45+'Bearskin Lake'!BN45+Biscotasing!BN45+'Deer Lake'!BN45+'Fort Severn'!BN45+'Gull Bay'!BN45+Hillsport!BN45+Kasabonika!BN45+Kingfisher!BN45+Lansdowne!BN45+'Marten Falls'!BN45+Oba!BN45+Sachigo!BN45+'Sandy Lake'!BN45+Sultan!BN45+Wapekeka!BN45+Weagamow!BN45+Webequie!BN45+'Cat Lake'!BN45+Pikangikum!BN45+'Big Trout Lake'!BN45+'Poplar Hill'!BN45+'North Spirit'!BN45+Keewaywin!BN45+'Muskrat Dam'!BN45+Wunnumin!BN45+Wawakepewin!BN45</f>
        <v>400338</v>
      </c>
      <c r="O43" s="70">
        <f>Armstrong!BO45+'Bearskin Lake'!BO45+Biscotasing!BO45+'Deer Lake'!BO45+'Fort Severn'!BO45+'Gull Bay'!BO45+Hillsport!BO45+Kasabonika!BO45+Kingfisher!BO45+Lansdowne!BO45+'Marten Falls'!BO45+Oba!BO45+Sachigo!BO45+'Sandy Lake'!BO45+Sultan!BO45+Wapekeka!BO45+Weagamow!BO45+Webequie!BO45+'Cat Lake'!BO45+Pikangikum!BO45+'Big Trout Lake'!BO45+'Poplar Hill'!BO45+'North Spirit'!BO45+Keewaywin!BO45+'Muskrat Dam'!BO45+Wunnumin!BO45+Wawakepewin!BO45</f>
        <v>287505</v>
      </c>
    </row>
    <row r="44" spans="1:15" ht="15" customHeight="1">
      <c r="A44" s="2" t="s">
        <v>52</v>
      </c>
      <c r="B44" s="123"/>
      <c r="C44" s="109"/>
      <c r="D44" s="109"/>
      <c r="E44" s="108">
        <f>Armstrong!BE46+'Bearskin Lake'!BE46+Biscotasing!BE46+'Deer Lake'!BE46+'Fort Severn'!BE46+'Gull Bay'!BE46+Hillsport!BE46+Kasabonika!BE46+Kingfisher!BE46+Lansdowne!BE46+'Marten Falls'!BE46+Oba!BE46+Sachigo!BE46+'Sandy Lake'!BE46+Sultan!BE46+Wapekeka!BE46+Weagamow!BE46+Webequie!BE46+'Cat Lake'!BE46+Pikangikum!BE46+'Big Trout Lake'!BE46+'Poplar Hill'!BE46+'North Spirit'!BE46+Keewaywin!BE46+'Muskrat Dam'!BE46+Wunnumin!BE46+Wawakepewin!BE46</f>
        <v>14694</v>
      </c>
      <c r="F44" s="108">
        <f>Armstrong!BF46+'Bearskin Lake'!BF46+Biscotasing!BF46+'Deer Lake'!BF46+'Fort Severn'!BF46+'Gull Bay'!BF46+Hillsport!BF46+Kasabonika!BF46+Kingfisher!BF46+Lansdowne!BF46+'Marten Falls'!BF46+Oba!BF46+Sachigo!BF46+'Sandy Lake'!BF46+Sultan!BF46+Wapekeka!BF46+Weagamow!BF46+Webequie!BF46+'Cat Lake'!BF46+Pikangikum!BF46+'Big Trout Lake'!BF46+'Poplar Hill'!BF46+'North Spirit'!BF46+Keewaywin!BF46+'Muskrat Dam'!BF46+Wunnumin!BF46+Wawakepewin!BF46</f>
        <v>13521</v>
      </c>
      <c r="G44" s="108">
        <f>Armstrong!BG46+'Bearskin Lake'!BG46+Biscotasing!BG46+'Deer Lake'!BG46+'Fort Severn'!BG46+'Gull Bay'!BG46+Hillsport!BG46+Kasabonika!BG46+Kingfisher!BG46+Lansdowne!BG46+'Marten Falls'!BG46+Oba!BG46+Sachigo!BG46+'Sandy Lake'!BG46+Sultan!BG46+Wapekeka!BG46+Weagamow!BG46+Webequie!BG46+'Cat Lake'!BG46+Pikangikum!BG46+'Big Trout Lake'!BG46+'Poplar Hill'!BG46+'North Spirit'!BG46+Keewaywin!BG46+'Muskrat Dam'!BG46+Wunnumin!BG46+Wawakepewin!BG46</f>
        <v>13551</v>
      </c>
      <c r="H44" s="71">
        <f>Armstrong!BH46+'Bearskin Lake'!BH46+Biscotasing!BH46+'Deer Lake'!BH46+'Fort Severn'!BH46+'Gull Bay'!BH46+Hillsport!BH46+Kasabonika!BH46+Kingfisher!BH46+Lansdowne!BH46+'Marten Falls'!BH46+Oba!BH46+Sachigo!BH46+'Sandy Lake'!BH46+Sultan!BH46+Wapekeka!BH46+Weagamow!BH46+Webequie!BH46+'Cat Lake'!BH46+Pikangikum!BH46+'Big Trout Lake'!BH46+'Poplar Hill'!BH46+'North Spirit'!BH46+Keewaywin!BH46+'Muskrat Dam'!BH46+Wunnumin!BH46+Wawakepewin!BH46</f>
        <v>10631</v>
      </c>
      <c r="I44" s="71">
        <f>Armstrong!BI46+'Bearskin Lake'!BI46+Biscotasing!BI46+'Deer Lake'!BI46+'Fort Severn'!BI46+'Gull Bay'!BI46+Hillsport!BI46+Kasabonika!BI46+Kingfisher!BI46+Lansdowne!BI46+'Marten Falls'!BI46+Oba!BI46+Sachigo!BI46+'Sandy Lake'!BI46+Sultan!BI46+Wapekeka!BI46+Weagamow!BI46+Webequie!BI46+'Cat Lake'!BI46+Pikangikum!BI46+'Big Trout Lake'!BI46+'Poplar Hill'!BI46+'North Spirit'!BI46+Keewaywin!BI46+'Muskrat Dam'!BI46+Wunnumin!BI46+Wawakepewin!BI46</f>
        <v>11737</v>
      </c>
      <c r="J44" s="71">
        <f>Armstrong!BJ46+'Bearskin Lake'!BJ46+Biscotasing!BJ46+'Deer Lake'!BJ46+'Fort Severn'!BJ46+'Gull Bay'!BJ46+Hillsport!BJ46+Kasabonika!BJ46+Kingfisher!BJ46+Lansdowne!BJ46+'Marten Falls'!BJ46+Oba!BJ46+Sachigo!BJ46+'Sandy Lake'!BJ46+Sultan!BJ46+Wapekeka!BJ46+Weagamow!BJ46+Webequie!BJ46+'Cat Lake'!BJ46+Pikangikum!BJ46+'Big Trout Lake'!BJ46+'Poplar Hill'!BJ46+'North Spirit'!BJ46+Keewaywin!BJ46+'Muskrat Dam'!BJ46+Wunnumin!BJ46+Wawakepewin!BJ46</f>
        <v>11072</v>
      </c>
      <c r="K44" s="71">
        <f>Armstrong!BK46+'Bearskin Lake'!BK46+Biscotasing!BK46+'Deer Lake'!BK46+'Fort Severn'!BK46+'Gull Bay'!BK46+Hillsport!BK46+Kasabonika!BK46+Kingfisher!BK46+Lansdowne!BK46+'Marten Falls'!BK46+Oba!BK46+Sachigo!BK46+'Sandy Lake'!BK46+Sultan!BK46+Wapekeka!BK46+Weagamow!BK46+Webequie!BK46+'Cat Lake'!BK46+Pikangikum!BK46+'Big Trout Lake'!BK46+'Poplar Hill'!BK46+'North Spirit'!BK46+Keewaywin!BK46+'Muskrat Dam'!BK46+Wunnumin!BK46+Wawakepewin!BK46</f>
        <v>11236</v>
      </c>
      <c r="L44" s="71">
        <f>Armstrong!BL46+'Bearskin Lake'!BL46+Biscotasing!BL46+'Deer Lake'!BL46+'Fort Severn'!BL46+'Gull Bay'!BL46+Hillsport!BL46+Kasabonika!BL46+Kingfisher!BL46+Lansdowne!BL46+'Marten Falls'!BL46+Oba!BL46+Sachigo!BL46+'Sandy Lake'!BL46+Sultan!BL46+Wapekeka!BL46+Weagamow!BL46+Webequie!BL46+'Cat Lake'!BL46+Pikangikum!BL46+'Big Trout Lake'!BL46+'Poplar Hill'!BL46+'North Spirit'!BL46+Keewaywin!BL46+'Muskrat Dam'!BL46+Wunnumin!BL46+Wawakepewin!BL46</f>
        <v>12488</v>
      </c>
      <c r="M44" s="71">
        <f>Armstrong!BM46+'Bearskin Lake'!BM46+Biscotasing!BM46+'Deer Lake'!BM46+'Fort Severn'!BM46+'Gull Bay'!BM46+Hillsport!BM46+Kasabonika!BM46+Kingfisher!BM46+Lansdowne!BM46+'Marten Falls'!BM46+Oba!BM46+Sachigo!BM46+'Sandy Lake'!BM46+Sultan!BM46+Wapekeka!BM46+Weagamow!BM46+Webequie!BM46+'Cat Lake'!BM46+Pikangikum!BM46+'Big Trout Lake'!BM46+'Poplar Hill'!BM46+'North Spirit'!BM46+Keewaywin!BM46+'Muskrat Dam'!BM46+Wunnumin!BM46+Wawakepewin!BM46</f>
        <v>14303</v>
      </c>
      <c r="N44" s="70">
        <f>Armstrong!BN46+'Bearskin Lake'!BN46+Biscotasing!BN46+'Deer Lake'!BN46+'Fort Severn'!BN46+'Gull Bay'!BN46+Hillsport!BN46+Kasabonika!BN46+Kingfisher!BN46+Lansdowne!BN46+'Marten Falls'!BN46+Oba!BN46+Sachigo!BN46+'Sandy Lake'!BN46+Sultan!BN46+Wapekeka!BN46+Weagamow!BN46+Webequie!BN46+'Cat Lake'!BN46+Pikangikum!BN46+'Big Trout Lake'!BN46+'Poplar Hill'!BN46+'North Spirit'!BN46+Keewaywin!BN46+'Muskrat Dam'!BN46+Wunnumin!BN46+Wawakepewin!BN46</f>
        <v>163464</v>
      </c>
      <c r="O44" s="70">
        <f>Armstrong!BO46+'Bearskin Lake'!BO46+Biscotasing!BO46+'Deer Lake'!BO46+'Fort Severn'!BO46+'Gull Bay'!BO46+Hillsport!BO46+Kasabonika!BO46+Kingfisher!BO46+Lansdowne!BO46+'Marten Falls'!BO46+Oba!BO46+Sachigo!BO46+'Sandy Lake'!BO46+Sultan!BO46+Wapekeka!BO46+Weagamow!BO46+Webequie!BO46+'Cat Lake'!BO46+Pikangikum!BO46+'Big Trout Lake'!BO46+'Poplar Hill'!BO46+'North Spirit'!BO46+Keewaywin!BO46+'Muskrat Dam'!BO46+Wunnumin!BO46+Wawakepewin!BO46</f>
        <v>117394</v>
      </c>
    </row>
    <row r="45" spans="1:15" ht="15.75" customHeight="1" thickBot="1">
      <c r="A45" s="199" t="s">
        <v>30</v>
      </c>
      <c r="B45" s="240"/>
      <c r="C45" s="117"/>
      <c r="D45" s="117"/>
      <c r="E45" s="114">
        <f>Armstrong!BE47+'Bearskin Lake'!BE47+Biscotasing!BE47+'Deer Lake'!BE47+'Fort Severn'!BE47+'Gull Bay'!BE47+Hillsport!BE47+Kasabonika!BE47+Kingfisher!BE47+Lansdowne!BE47+'Marten Falls'!BE47+Oba!BE47+Sachigo!BE47+'Sandy Lake'!BE47+Sultan!BE47+Wapekeka!BE47+Weagamow!BE47+Webequie!BE47+'Cat Lake'!BE47+Pikangikum!BE47+'Big Trout Lake'!BE47+'Poplar Hill'!BE47+'North Spirit'!BE47+Keewaywin!BE47+'Muskrat Dam'!BE47+Wunnumin!BE47+Wawakepewin!BE47</f>
        <v>483436</v>
      </c>
      <c r="F45" s="114">
        <f>Armstrong!BF47+'Bearskin Lake'!BF47+Biscotasing!BF47+'Deer Lake'!BF47+'Fort Severn'!BF47+'Gull Bay'!BF47+Hillsport!BF47+Kasabonika!BF47+Kingfisher!BF47+Lansdowne!BF47+'Marten Falls'!BF47+Oba!BF47+Sachigo!BF47+'Sandy Lake'!BF47+Sultan!BF47+Wapekeka!BF47+Weagamow!BF47+Webequie!BF47+'Cat Lake'!BF47+Pikangikum!BF47+'Big Trout Lake'!BF47+'Poplar Hill'!BF47+'North Spirit'!BF47+Keewaywin!BF47+'Muskrat Dam'!BF47+Wunnumin!BF47+Wawakepewin!BF47</f>
        <v>443436</v>
      </c>
      <c r="G45" s="114">
        <f>Armstrong!BG47+'Bearskin Lake'!BG47+Biscotasing!BG47+'Deer Lake'!BG47+'Fort Severn'!BG47+'Gull Bay'!BG47+Hillsport!BG47+Kasabonika!BG47+Kingfisher!BG47+Lansdowne!BG47+'Marten Falls'!BG47+Oba!BG47+Sachigo!BG47+'Sandy Lake'!BG47+Sultan!BG47+Wapekeka!BG47+Weagamow!BG47+Webequie!BG47+'Cat Lake'!BG47+Pikangikum!BG47+'Big Trout Lake'!BG47+'Poplar Hill'!BG47+'North Spirit'!BG47+Keewaywin!BG47+'Muskrat Dam'!BG47+Wunnumin!BG47+Wawakepewin!BG47</f>
        <v>438628</v>
      </c>
      <c r="H45" s="114">
        <f>Armstrong!BH47+'Bearskin Lake'!BH47+Biscotasing!BH47+'Deer Lake'!BH47+'Fort Severn'!BH47+'Gull Bay'!BH47+Hillsport!BH47+Kasabonika!BH47+Kingfisher!BH47+Lansdowne!BH47+'Marten Falls'!BH47+Oba!BH47+Sachigo!BH47+'Sandy Lake'!BH47+Sultan!BH47+Wapekeka!BH47+Weagamow!BH47+Webequie!BH47+'Cat Lake'!BH47+Pikangikum!BH47+'Big Trout Lake'!BH47+'Poplar Hill'!BH47+'North Spirit'!BH47+Keewaywin!BH47+'Muskrat Dam'!BH47+Wunnumin!BH47+Wawakepewin!BH47</f>
        <v>343617</v>
      </c>
      <c r="I45" s="114">
        <f>Armstrong!BI47+'Bearskin Lake'!BI47+Biscotasing!BI47+'Deer Lake'!BI47+'Fort Severn'!BI47+'Gull Bay'!BI47+Hillsport!BI47+Kasabonika!BI47+Kingfisher!BI47+Lansdowne!BI47+'Marten Falls'!BI47+Oba!BI47+Sachigo!BI47+'Sandy Lake'!BI47+Sultan!BI47+Wapekeka!BI47+Weagamow!BI47+Webequie!BI47+'Cat Lake'!BI47+Pikangikum!BI47+'Big Trout Lake'!BI47+'Poplar Hill'!BI47+'North Spirit'!BI47+Keewaywin!BI47+'Muskrat Dam'!BI47+Wunnumin!BI47+Wawakepewin!BI47</f>
        <v>379878</v>
      </c>
      <c r="J45" s="114">
        <f>Armstrong!BJ47+'Bearskin Lake'!BJ47+Biscotasing!BJ47+'Deer Lake'!BJ47+'Fort Severn'!BJ47+'Gull Bay'!BJ47+Hillsport!BJ47+Kasabonika!BJ47+Kingfisher!BJ47+Lansdowne!BJ47+'Marten Falls'!BJ47+Oba!BJ47+Sachigo!BJ47+'Sandy Lake'!BJ47+Sultan!BJ47+Wapekeka!BJ47+Weagamow!BJ47+Webequie!BJ47+'Cat Lake'!BJ47+Pikangikum!BJ47+'Big Trout Lake'!BJ47+'Poplar Hill'!BJ47+'North Spirit'!BJ47+Keewaywin!BJ47+'Muskrat Dam'!BJ47+Wunnumin!BJ47+Wawakepewin!BJ47</f>
        <v>359312</v>
      </c>
      <c r="K45" s="114">
        <f>Armstrong!BK47+'Bearskin Lake'!BK47+Biscotasing!BK47+'Deer Lake'!BK47+'Fort Severn'!BK47+'Gull Bay'!BK47+Hillsport!BK47+Kasabonika!BK47+Kingfisher!BK47+Lansdowne!BK47+'Marten Falls'!BK47+Oba!BK47+Sachigo!BK47+'Sandy Lake'!BK47+Sultan!BK47+Wapekeka!BK47+Weagamow!BK47+Webequie!BK47+'Cat Lake'!BK47+Pikangikum!BK47+'Big Trout Lake'!BK47+'Poplar Hill'!BK47+'North Spirit'!BK47+Keewaywin!BK47+'Muskrat Dam'!BK47+Wunnumin!BK47+Wawakepewin!BK47</f>
        <v>366464</v>
      </c>
      <c r="L45" s="114">
        <f>Armstrong!BL47+'Bearskin Lake'!BL47+Biscotasing!BL47+'Deer Lake'!BL47+'Fort Severn'!BL47+'Gull Bay'!BL47+Hillsport!BL47+Kasabonika!BL47+Kingfisher!BL47+Lansdowne!BL47+'Marten Falls'!BL47+Oba!BL47+Sachigo!BL47+'Sandy Lake'!BL47+Sultan!BL47+Wapekeka!BL47+Weagamow!BL47+Webequie!BL47+'Cat Lake'!BL47+Pikangikum!BL47+'Big Trout Lake'!BL47+'Poplar Hill'!BL47+'North Spirit'!BL47+Keewaywin!BL47+'Muskrat Dam'!BL47+Wunnumin!BL47+Wawakepewin!BL47</f>
        <v>411149</v>
      </c>
      <c r="M45" s="114">
        <f>Armstrong!BM47+'Bearskin Lake'!BM47+Biscotasing!BM47+'Deer Lake'!BM47+'Fort Severn'!BM47+'Gull Bay'!BM47+Hillsport!BM47+Kasabonika!BM47+Kingfisher!BM47+Lansdowne!BM47+'Marten Falls'!BM47+Oba!BM47+Sachigo!BM47+'Sandy Lake'!BM47+Sultan!BM47+Wapekeka!BM47+Weagamow!BM47+Webequie!BM47+'Cat Lake'!BM47+Pikangikum!BM47+'Big Trout Lake'!BM47+'Poplar Hill'!BM47+'North Spirit'!BM47+Keewaywin!BM47+'Muskrat Dam'!BM47+Wunnumin!BM47+Wawakepewin!BM47</f>
        <v>471807</v>
      </c>
      <c r="N45" s="484">
        <f>Armstrong!BN47+'Bearskin Lake'!BN47+Biscotasing!BN47+'Deer Lake'!BN47+'Fort Severn'!BN47+'Gull Bay'!BN47+Hillsport!BN47+Kasabonika!BN47+Kingfisher!BN47+Lansdowne!BN47+'Marten Falls'!BN47+Oba!BN47+Sachigo!BN47+'Sandy Lake'!BN47+Sultan!BN47+Wapekeka!BN47+Weagamow!BN47+Webequie!BN47+'Cat Lake'!BN47+Pikangikum!BN47+'Big Trout Lake'!BN47+'Poplar Hill'!BN47+'North Spirit'!BN47+Keewaywin!BN47+'Muskrat Dam'!BN47+Wunnumin!BN47+Wawakepewin!BN47</f>
        <v>5347307</v>
      </c>
      <c r="O45" s="484">
        <f>Armstrong!BO47+'Bearskin Lake'!BO47+Biscotasing!BO47+'Deer Lake'!BO47+'Fort Severn'!BO47+'Gull Bay'!BO47+Hillsport!BO47+Kasabonika!BO47+Kingfisher!BO47+Lansdowne!BO47+'Marten Falls'!BO47+Oba!BO47+Sachigo!BO47+'Sandy Lake'!BO47+Sultan!BO47+Wapekeka!BO47+Weagamow!BO47+Webequie!BO47+'Cat Lake'!BO47+Pikangikum!BO47+'Big Trout Lake'!BO47+'Poplar Hill'!BO47+'North Spirit'!BO47+Keewaywin!BO47+'Muskrat Dam'!BO47+Wunnumin!BO47+Wawakepewin!BO47</f>
        <v>3896911</v>
      </c>
    </row>
    <row r="46" spans="1:15" ht="15.75" customHeight="1" thickTop="1">
      <c r="A46" s="2" t="s">
        <v>54</v>
      </c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60"/>
      <c r="O46" s="60"/>
    </row>
    <row r="47" spans="1:15" ht="15.75" customHeight="1">
      <c r="A47" s="198" t="s">
        <v>63</v>
      </c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58"/>
      <c r="O47" s="58"/>
    </row>
    <row r="48" spans="1:15" ht="15.75" customHeight="1">
      <c r="A48" s="2" t="s">
        <v>49</v>
      </c>
      <c r="B48" s="123"/>
      <c r="C48" s="109"/>
      <c r="D48" s="109"/>
      <c r="E48" s="108">
        <f>Armstrong!BE50+'Bearskin Lake'!BE50+Biscotasing!BE50+'Deer Lake'!BE50+'Fort Severn'!BE50+'Gull Bay'!BE50+Hillsport!BE50+Kasabonika!BE50+Kingfisher!BE50+Lansdowne!BE50+'Marten Falls'!BE50+Oba!BE50+Sachigo!BE50+'Sandy Lake'!BE50+Sultan!BE50+Wapekeka!BE50+Weagamow!BE50+Webequie!BE50+'Cat Lake'!BE50+Pikangikum!BE50+'Big Trout Lake'!BE50+'Poplar Hill'!BE50+'North Spirit'!BE50+Keewaywin!BE50+'Muskrat Dam'!BE50+Wunnumin!BE50+Wawakepewin!BE50</f>
        <v>4</v>
      </c>
      <c r="F48" s="108">
        <f>Armstrong!BF50+'Bearskin Lake'!BF50+Biscotasing!BF50+'Deer Lake'!BF50+'Fort Severn'!BF50+'Gull Bay'!BF50+Hillsport!BF50+Kasabonika!BF50+Kingfisher!BF50+Lansdowne!BF50+'Marten Falls'!BF50+Oba!BF50+Sachigo!BF50+'Sandy Lake'!BF50+Sultan!BF50+Wapekeka!BF50+Weagamow!BF50+Webequie!BF50+'Cat Lake'!BF50+Pikangikum!BF50+'Big Trout Lake'!BF50+'Poplar Hill'!BF50+'North Spirit'!BF50+Keewaywin!BF50+'Muskrat Dam'!BF50+Wunnumin!BF50+Wawakepewin!BF50</f>
        <v>4</v>
      </c>
      <c r="G48" s="108">
        <f>Armstrong!BG50+'Bearskin Lake'!BG50+Biscotasing!BG50+'Deer Lake'!BG50+'Fort Severn'!BG50+'Gull Bay'!BG50+Hillsport!BG50+Kasabonika!BG50+Kingfisher!BG50+Lansdowne!BG50+'Marten Falls'!BG50+Oba!BG50+Sachigo!BG50+'Sandy Lake'!BG50+Sultan!BG50+Wapekeka!BG50+Weagamow!BG50+Webequie!BG50+'Cat Lake'!BG50+Pikangikum!BG50+'Big Trout Lake'!BG50+'Poplar Hill'!BG50+'North Spirit'!BG50+Keewaywin!BG50+'Muskrat Dam'!BG50+Wunnumin!BG50+Wawakepewin!BG50</f>
        <v>4</v>
      </c>
      <c r="H48" s="71">
        <f>Armstrong!BH50+'Bearskin Lake'!BH50+Biscotasing!BH50+'Deer Lake'!BH50+'Fort Severn'!BH50+'Gull Bay'!BH50+Hillsport!BH50+Kasabonika!BH50+Kingfisher!BH50+Lansdowne!BH50+'Marten Falls'!BH50+Oba!BH50+Sachigo!BH50+'Sandy Lake'!BH50+Sultan!BH50+Wapekeka!BH50+Weagamow!BH50+Webequie!BH50+'Cat Lake'!BH50+Pikangikum!BH50+'Big Trout Lake'!BH50+'Poplar Hill'!BH50+'North Spirit'!BH50+Keewaywin!BH50+'Muskrat Dam'!BH50+Wunnumin!BH50+Wawakepewin!BH50</f>
        <v>10</v>
      </c>
      <c r="I48" s="71">
        <f>Armstrong!BI50+'Bearskin Lake'!BI50+Biscotasing!BI50+'Deer Lake'!BI50+'Fort Severn'!BI50+'Gull Bay'!BI50+Hillsport!BI50+Kasabonika!BI50+Kingfisher!BI50+Lansdowne!BI50+'Marten Falls'!BI50+Oba!BI50+Sachigo!BI50+'Sandy Lake'!BI50+Sultan!BI50+Wapekeka!BI50+Weagamow!BI50+Webequie!BI50+'Cat Lake'!BI50+Pikangikum!BI50+'Big Trout Lake'!BI50+'Poplar Hill'!BI50+'North Spirit'!BI50+Keewaywin!BI50+'Muskrat Dam'!BI50+Wunnumin!BI50+Wawakepewin!BI50</f>
        <v>10</v>
      </c>
      <c r="J48" s="71">
        <f>Armstrong!BJ50+'Bearskin Lake'!BJ50+Biscotasing!BJ50+'Deer Lake'!BJ50+'Fort Severn'!BJ50+'Gull Bay'!BJ50+Hillsport!BJ50+Kasabonika!BJ50+Kingfisher!BJ50+Lansdowne!BJ50+'Marten Falls'!BJ50+Oba!BJ50+Sachigo!BJ50+'Sandy Lake'!BJ50+Sultan!BJ50+Wapekeka!BJ50+Weagamow!BJ50+Webequie!BJ50+'Cat Lake'!BJ50+Pikangikum!BJ50+'Big Trout Lake'!BJ50+'Poplar Hill'!BJ50+'North Spirit'!BJ50+Keewaywin!BJ50+'Muskrat Dam'!BJ50+Wunnumin!BJ50+Wawakepewin!BJ50</f>
        <v>10</v>
      </c>
      <c r="K48" s="71">
        <f>Armstrong!BK50+'Bearskin Lake'!BK50+Biscotasing!BK50+'Deer Lake'!BK50+'Fort Severn'!BK50+'Gull Bay'!BK50+Hillsport!BK50+Kasabonika!BK50+Kingfisher!BK50+Lansdowne!BK50+'Marten Falls'!BK50+Oba!BK50+Sachigo!BK50+'Sandy Lake'!BK50+Sultan!BK50+Wapekeka!BK50+Weagamow!BK50+Webequie!BK50+'Cat Lake'!BK50+Pikangikum!BK50+'Big Trout Lake'!BK50+'Poplar Hill'!BK50+'North Spirit'!BK50+Keewaywin!BK50+'Muskrat Dam'!BK50+Wunnumin!BK50+Wawakepewin!BK50</f>
        <v>10</v>
      </c>
      <c r="L48" s="71">
        <f>Armstrong!BL50+'Bearskin Lake'!BL50+Biscotasing!BL50+'Deer Lake'!BL50+'Fort Severn'!BL50+'Gull Bay'!BL50+Hillsport!BL50+Kasabonika!BL50+Kingfisher!BL50+Lansdowne!BL50+'Marten Falls'!BL50+Oba!BL50+Sachigo!BL50+'Sandy Lake'!BL50+Sultan!BL50+Wapekeka!BL50+Weagamow!BL50+Webequie!BL50+'Cat Lake'!BL50+Pikangikum!BL50+'Big Trout Lake'!BL50+'Poplar Hill'!BL50+'North Spirit'!BL50+Keewaywin!BL50+'Muskrat Dam'!BL50+Wunnumin!BL50+Wawakepewin!BL50</f>
        <v>10</v>
      </c>
      <c r="M48" s="71">
        <f>Armstrong!BM50+'Bearskin Lake'!BM50+Biscotasing!BM50+'Deer Lake'!BM50+'Fort Severn'!BM50+'Gull Bay'!BM50+Hillsport!BM50+Kasabonika!BM50+Kingfisher!BM50+Lansdowne!BM50+'Marten Falls'!BM50+Oba!BM50+Sachigo!BM50+'Sandy Lake'!BM50+Sultan!BM50+Wapekeka!BM50+Weagamow!BM50+Webequie!BM50+'Cat Lake'!BM50+Pikangikum!BM50+'Big Trout Lake'!BM50+'Poplar Hill'!BM50+'North Spirit'!BM50+Keewaywin!BM50+'Muskrat Dam'!BM50+Wunnumin!BM50+Wawakepewin!BM50</f>
        <v>10</v>
      </c>
      <c r="N48" s="70">
        <f>Armstrong!BN50+'Bearskin Lake'!BN50+Biscotasing!BN50+'Deer Lake'!BN50+'Fort Severn'!BN50+'Gull Bay'!BN50+Hillsport!BN50+Kasabonika!BN50+Kingfisher!BN50+Lansdowne!BN50+'Marten Falls'!BN50+Oba!BN50+Sachigo!BN50+'Sandy Lake'!BN50+Sultan!BN50+Wapekeka!BN50+Weagamow!BN50+Webequie!BN50+'Cat Lake'!BN50+Pikangikum!BN50+'Big Trout Lake'!BN50+'Poplar Hill'!BN50+'North Spirit'!BN50+Keewaywin!BN50+'Muskrat Dam'!BN50+Wunnumin!BN50+Wawakepewin!BN50</f>
        <v>10</v>
      </c>
      <c r="O48" s="70">
        <f>Armstrong!BO50+'Bearskin Lake'!BO50+Biscotasing!BO50+'Deer Lake'!BO50+'Fort Severn'!BO50+'Gull Bay'!BO50+Hillsport!BO50+Kasabonika!BO50+Kingfisher!BO50+Lansdowne!BO50+'Marten Falls'!BO50+Oba!BO50+Sachigo!BO50+'Sandy Lake'!BO50+Sultan!BO50+Wapekeka!BO50+Weagamow!BO50+Webequie!BO50+'Cat Lake'!BO50+Pikangikum!BO50+'Big Trout Lake'!BO50+'Poplar Hill'!BO50+'North Spirit'!BO50+Keewaywin!BO50+'Muskrat Dam'!BO50+Wunnumin!BO50+Wawakepewin!BO50</f>
        <v>41</v>
      </c>
    </row>
    <row r="49" spans="1:15" ht="15.75" customHeight="1">
      <c r="A49" s="2" t="s">
        <v>61</v>
      </c>
      <c r="B49" s="123"/>
      <c r="C49" s="109"/>
      <c r="D49" s="109"/>
      <c r="E49" s="108">
        <f>Armstrong!BE51+'Bearskin Lake'!BE51+Biscotasing!BE51+'Deer Lake'!BE51+'Fort Severn'!BE51+'Gull Bay'!BE51+Hillsport!BE51+Kasabonika!BE51+Kingfisher!BE51+Lansdowne!BE51+'Marten Falls'!BE51+Oba!BE51+Sachigo!BE51+'Sandy Lake'!BE51+Sultan!BE51+Wapekeka!BE51+Weagamow!BE51+Webequie!BE51+'Cat Lake'!BE51+Pikangikum!BE51+'Big Trout Lake'!BE51+'Poplar Hill'!BE51+'North Spirit'!BE51+Keewaywin!BE51+'Muskrat Dam'!BE51+Wunnumin!BE51+Wawakepewin!BE51</f>
        <v>64010</v>
      </c>
      <c r="F49" s="108">
        <f>Armstrong!BF51+'Bearskin Lake'!BF51+Biscotasing!BF51+'Deer Lake'!BF51+'Fort Severn'!BF51+'Gull Bay'!BF51+Hillsport!BF51+Kasabonika!BF51+Kingfisher!BF51+Lansdowne!BF51+'Marten Falls'!BF51+Oba!BF51+Sachigo!BF51+'Sandy Lake'!BF51+Sultan!BF51+Wapekeka!BF51+Weagamow!BF51+Webequie!BF51+'Cat Lake'!BF51+Pikangikum!BF51+'Big Trout Lake'!BF51+'Poplar Hill'!BF51+'North Spirit'!BF51+Keewaywin!BF51+'Muskrat Dam'!BF51+Wunnumin!BF51+Wawakepewin!BF51</f>
        <v>57363</v>
      </c>
      <c r="G49" s="108">
        <f>Armstrong!BG51+'Bearskin Lake'!BG51+Biscotasing!BG51+'Deer Lake'!BG51+'Fort Severn'!BG51+'Gull Bay'!BG51+Hillsport!BG51+Kasabonika!BG51+Kingfisher!BG51+Lansdowne!BG51+'Marten Falls'!BG51+Oba!BG51+Sachigo!BG51+'Sandy Lake'!BG51+Sultan!BG51+Wapekeka!BG51+Weagamow!BG51+Webequie!BG51+'Cat Lake'!BG51+Pikangikum!BG51+'Big Trout Lake'!BG51+'Poplar Hill'!BG51+'North Spirit'!BG51+Keewaywin!BG51+'Muskrat Dam'!BG51+Wunnumin!BG51+Wawakepewin!BG51</f>
        <v>58149</v>
      </c>
      <c r="H49" s="71">
        <f>Armstrong!BH51+'Bearskin Lake'!BH51+Biscotasing!BH51+'Deer Lake'!BH51+'Fort Severn'!BH51+'Gull Bay'!BH51+Hillsport!BH51+Kasabonika!BH51+Kingfisher!BH51+Lansdowne!BH51+'Marten Falls'!BH51+Oba!BH51+Sachigo!BH51+'Sandy Lake'!BH51+Sultan!BH51+Wapekeka!BH51+Weagamow!BH51+Webequie!BH51+'Cat Lake'!BH51+Pikangikum!BH51+'Big Trout Lake'!BH51+'Poplar Hill'!BH51+'North Spirit'!BH51+Keewaywin!BH51+'Muskrat Dam'!BH51+Wunnumin!BH51+Wawakepewin!BH51</f>
        <v>93876</v>
      </c>
      <c r="I49" s="71">
        <f>Armstrong!BI51+'Bearskin Lake'!BI51+Biscotasing!BI51+'Deer Lake'!BI51+'Fort Severn'!BI51+'Gull Bay'!BI51+Hillsport!BI51+Kasabonika!BI51+Kingfisher!BI51+Lansdowne!BI51+'Marten Falls'!BI51+Oba!BI51+Sachigo!BI51+'Sandy Lake'!BI51+Sultan!BI51+Wapekeka!BI51+Weagamow!BI51+Webequie!BI51+'Cat Lake'!BI51+Pikangikum!BI51+'Big Trout Lake'!BI51+'Poplar Hill'!BI51+'North Spirit'!BI51+Keewaywin!BI51+'Muskrat Dam'!BI51+Wunnumin!BI51+Wawakepewin!BI51</f>
        <v>74244</v>
      </c>
      <c r="J49" s="71">
        <f>Armstrong!BJ51+'Bearskin Lake'!BJ51+Biscotasing!BJ51+'Deer Lake'!BJ51+'Fort Severn'!BJ51+'Gull Bay'!BJ51+Hillsport!BJ51+Kasabonika!BJ51+Kingfisher!BJ51+Lansdowne!BJ51+'Marten Falls'!BJ51+Oba!BJ51+Sachigo!BJ51+'Sandy Lake'!BJ51+Sultan!BJ51+Wapekeka!BJ51+Weagamow!BJ51+Webequie!BJ51+'Cat Lake'!BJ51+Pikangikum!BJ51+'Big Trout Lake'!BJ51+'Poplar Hill'!BJ51+'North Spirit'!BJ51+Keewaywin!BJ51+'Muskrat Dam'!BJ51+Wunnumin!BJ51+Wawakepewin!BJ51</f>
        <v>72384</v>
      </c>
      <c r="K49" s="71">
        <f>Armstrong!BK51+'Bearskin Lake'!BK51+Biscotasing!BK51+'Deer Lake'!BK51+'Fort Severn'!BK51+'Gull Bay'!BK51+Hillsport!BK51+Kasabonika!BK51+Kingfisher!BK51+Lansdowne!BK51+'Marten Falls'!BK51+Oba!BK51+Sachigo!BK51+'Sandy Lake'!BK51+Sultan!BK51+Wapekeka!BK51+Weagamow!BK51+Webequie!BK51+'Cat Lake'!BK51+Pikangikum!BK51+'Big Trout Lake'!BK51+'Poplar Hill'!BK51+'North Spirit'!BK51+Keewaywin!BK51+'Muskrat Dam'!BK51+Wunnumin!BK51+Wawakepewin!BK51</f>
        <v>57781</v>
      </c>
      <c r="L49" s="71">
        <f>Armstrong!BL51+'Bearskin Lake'!BL51+Biscotasing!BL51+'Deer Lake'!BL51+'Fort Severn'!BL51+'Gull Bay'!BL51+Hillsport!BL51+Kasabonika!BL51+Kingfisher!BL51+Lansdowne!BL51+'Marten Falls'!BL51+Oba!BL51+Sachigo!BL51+'Sandy Lake'!BL51+Sultan!BL51+Wapekeka!BL51+Weagamow!BL51+Webequie!BL51+'Cat Lake'!BL51+Pikangikum!BL51+'Big Trout Lake'!BL51+'Poplar Hill'!BL51+'North Spirit'!BL51+Keewaywin!BL51+'Muskrat Dam'!BL51+Wunnumin!BL51+Wawakepewin!BL51</f>
        <v>92035</v>
      </c>
      <c r="M49" s="71">
        <f>Armstrong!BM51+'Bearskin Lake'!BM51+Biscotasing!BM51+'Deer Lake'!BM51+'Fort Severn'!BM51+'Gull Bay'!BM51+Hillsport!BM51+Kasabonika!BM51+Kingfisher!BM51+Lansdowne!BM51+'Marten Falls'!BM51+Oba!BM51+Sachigo!BM51+'Sandy Lake'!BM51+Sultan!BM51+Wapekeka!BM51+Weagamow!BM51+Webequie!BM51+'Cat Lake'!BM51+Pikangikum!BM51+'Big Trout Lake'!BM51+'Poplar Hill'!BM51+'North Spirit'!BM51+Keewaywin!BM51+'Muskrat Dam'!BM51+Wunnumin!BM51+Wawakepewin!BM51</f>
        <v>87355</v>
      </c>
      <c r="N49" s="70">
        <f>Armstrong!BN51+'Bearskin Lake'!BN51+Biscotasing!BN51+'Deer Lake'!BN51+'Fort Severn'!BN51+'Gull Bay'!BN51+Hillsport!BN51+Kasabonika!BN51+Kingfisher!BN51+Lansdowne!BN51+'Marten Falls'!BN51+Oba!BN51+Sachigo!BN51+'Sandy Lake'!BN51+Sultan!BN51+Wapekeka!BN51+Weagamow!BN51+Webequie!BN51+'Cat Lake'!BN51+Pikangikum!BN51+'Big Trout Lake'!BN51+'Poplar Hill'!BN51+'North Spirit'!BN51+Keewaywin!BN51+'Muskrat Dam'!BN51+Wunnumin!BN51+Wawakepewin!BN51</f>
        <v>924024</v>
      </c>
      <c r="O49" s="70">
        <f>Armstrong!BO51+'Bearskin Lake'!BO51+Biscotasing!BO51+'Deer Lake'!BO51+'Fort Severn'!BO51+'Gull Bay'!BO51+Hillsport!BO51+Kasabonika!BO51+Kingfisher!BO51+Lansdowne!BO51+'Marten Falls'!BO51+Oba!BO51+Sachigo!BO51+'Sandy Lake'!BO51+Sultan!BO51+Wapekeka!BO51+Weagamow!BO51+Webequie!BO51+'Cat Lake'!BO51+Pikangikum!BO51+'Big Trout Lake'!BO51+'Poplar Hill'!BO51+'North Spirit'!BO51+Keewaywin!BO51+'Muskrat Dam'!BO51+Wunnumin!BO51+Wawakepewin!BO51</f>
        <v>2982483</v>
      </c>
    </row>
    <row r="50" spans="1:15" ht="15.75" customHeight="1">
      <c r="A50" s="2" t="s">
        <v>62</v>
      </c>
      <c r="B50" s="123"/>
      <c r="C50" s="109"/>
      <c r="D50" s="109"/>
      <c r="E50" s="108">
        <f>Armstrong!BE52+'Bearskin Lake'!BE52+Biscotasing!BE52+'Deer Lake'!BE52+'Fort Severn'!BE52+'Gull Bay'!BE52+Hillsport!BE52+Kasabonika!BE52+Kingfisher!BE52+Lansdowne!BE52+'Marten Falls'!BE52+Oba!BE52+Sachigo!BE52+'Sandy Lake'!BE52+Sultan!BE52+Wapekeka!BE52+Weagamow!BE52+Webequie!BE52+'Cat Lake'!BE52+Pikangikum!BE52+'Big Trout Lake'!BE52+'Poplar Hill'!BE52+'North Spirit'!BE52+Keewaywin!BE52+'Muskrat Dam'!BE52+Wunnumin!BE52+Wawakepewin!BE52</f>
        <v>0</v>
      </c>
      <c r="F50" s="108">
        <f>Armstrong!BF52+'Bearskin Lake'!BF52+Biscotasing!BF52+'Deer Lake'!BF52+'Fort Severn'!BF52+'Gull Bay'!BF52+Hillsport!BF52+Kasabonika!BF52+Kingfisher!BF52+Lansdowne!BF52+'Marten Falls'!BF52+Oba!BF52+Sachigo!BF52+'Sandy Lake'!BF52+Sultan!BF52+Wapekeka!BF52+Weagamow!BF52+Webequie!BF52+'Cat Lake'!BF52+Pikangikum!BF52+'Big Trout Lake'!BF52+'Poplar Hill'!BF52+'North Spirit'!BF52+Keewaywin!BF52+'Muskrat Dam'!BF52+Wunnumin!BF52+Wawakepewin!BF52</f>
        <v>0</v>
      </c>
      <c r="G50" s="108">
        <f>Armstrong!BG52+'Bearskin Lake'!BG52+Biscotasing!BG52+'Deer Lake'!BG52+'Fort Severn'!BG52+'Gull Bay'!BG52+Hillsport!BG52+Kasabonika!BG52+Kingfisher!BG52+Lansdowne!BG52+'Marten Falls'!BG52+Oba!BG52+Sachigo!BG52+'Sandy Lake'!BG52+Sultan!BG52+Wapekeka!BG52+Weagamow!BG52+Webequie!BG52+'Cat Lake'!BG52+Pikangikum!BG52+'Big Trout Lake'!BG52+'Poplar Hill'!BG52+'North Spirit'!BG52+Keewaywin!BG52+'Muskrat Dam'!BG52+Wunnumin!BG52+Wawakepewin!BG52</f>
        <v>0</v>
      </c>
      <c r="H50" s="71">
        <f>Armstrong!BH52+'Bearskin Lake'!BH52+Biscotasing!BH52+'Deer Lake'!BH52+'Fort Severn'!BH52+'Gull Bay'!BH52+Hillsport!BH52+Kasabonika!BH52+Kingfisher!BH52+Lansdowne!BH52+'Marten Falls'!BH52+Oba!BH52+Sachigo!BH52+'Sandy Lake'!BH52+Sultan!BH52+Wapekeka!BH52+Weagamow!BH52+Webequie!BH52+'Cat Lake'!BH52+Pikangikum!BH52+'Big Trout Lake'!BH52+'Poplar Hill'!BH52+'North Spirit'!BH52+Keewaywin!BH52+'Muskrat Dam'!BH52+Wunnumin!BH52+Wawakepewin!BH52</f>
        <v>3782</v>
      </c>
      <c r="I50" s="71">
        <f>Armstrong!BI52+'Bearskin Lake'!BI52+Biscotasing!BI52+'Deer Lake'!BI52+'Fort Severn'!BI52+'Gull Bay'!BI52+Hillsport!BI52+Kasabonika!BI52+Kingfisher!BI52+Lansdowne!BI52+'Marten Falls'!BI52+Oba!BI52+Sachigo!BI52+'Sandy Lake'!BI52+Sultan!BI52+Wapekeka!BI52+Weagamow!BI52+Webequie!BI52+'Cat Lake'!BI52+Pikangikum!BI52+'Big Trout Lake'!BI52+'Poplar Hill'!BI52+'North Spirit'!BI52+Keewaywin!BI52+'Muskrat Dam'!BI52+Wunnumin!BI52+Wawakepewin!BI52</f>
        <v>3917</v>
      </c>
      <c r="J50" s="71">
        <f>Armstrong!BJ52+'Bearskin Lake'!BJ52+Biscotasing!BJ52+'Deer Lake'!BJ52+'Fort Severn'!BJ52+'Gull Bay'!BJ52+Hillsport!BJ52+Kasabonika!BJ52+Kingfisher!BJ52+Lansdowne!BJ52+'Marten Falls'!BJ52+Oba!BJ52+Sachigo!BJ52+'Sandy Lake'!BJ52+Sultan!BJ52+Wapekeka!BJ52+Weagamow!BJ52+Webequie!BJ52+'Cat Lake'!BJ52+Pikangikum!BJ52+'Big Trout Lake'!BJ52+'Poplar Hill'!BJ52+'North Spirit'!BJ52+Keewaywin!BJ52+'Muskrat Dam'!BJ52+Wunnumin!BJ52+Wawakepewin!BJ52</f>
        <v>3658</v>
      </c>
      <c r="K50" s="71">
        <f>Armstrong!BK52+'Bearskin Lake'!BK52+Biscotasing!BK52+'Deer Lake'!BK52+'Fort Severn'!BK52+'Gull Bay'!BK52+Hillsport!BK52+Kasabonika!BK52+Kingfisher!BK52+Lansdowne!BK52+'Marten Falls'!BK52+Oba!BK52+Sachigo!BK52+'Sandy Lake'!BK52+Sultan!BK52+Wapekeka!BK52+Weagamow!BK52+Webequie!BK52+'Cat Lake'!BK52+Pikangikum!BK52+'Big Trout Lake'!BK52+'Poplar Hill'!BK52+'North Spirit'!BK52+Keewaywin!BK52+'Muskrat Dam'!BK52+Wunnumin!BK52+Wawakepewin!BK52</f>
        <v>3062</v>
      </c>
      <c r="L50" s="71">
        <f>Armstrong!BL52+'Bearskin Lake'!BL52+Biscotasing!BL52+'Deer Lake'!BL52+'Fort Severn'!BL52+'Gull Bay'!BL52+Hillsport!BL52+Kasabonika!BL52+Kingfisher!BL52+Lansdowne!BL52+'Marten Falls'!BL52+Oba!BL52+Sachigo!BL52+'Sandy Lake'!BL52+Sultan!BL52+Wapekeka!BL52+Weagamow!BL52+Webequie!BL52+'Cat Lake'!BL52+Pikangikum!BL52+'Big Trout Lake'!BL52+'Poplar Hill'!BL52+'North Spirit'!BL52+Keewaywin!BL52+'Muskrat Dam'!BL52+Wunnumin!BL52+Wawakepewin!BL52</f>
        <v>3523</v>
      </c>
      <c r="M50" s="71">
        <f>Armstrong!BM52+'Bearskin Lake'!BM52+Biscotasing!BM52+'Deer Lake'!BM52+'Fort Severn'!BM52+'Gull Bay'!BM52+Hillsport!BM52+Kasabonika!BM52+Kingfisher!BM52+Lansdowne!BM52+'Marten Falls'!BM52+Oba!BM52+Sachigo!BM52+'Sandy Lake'!BM52+Sultan!BM52+Wapekeka!BM52+Weagamow!BM52+Webequie!BM52+'Cat Lake'!BM52+Pikangikum!BM52+'Big Trout Lake'!BM52+'Poplar Hill'!BM52+'North Spirit'!BM52+Keewaywin!BM52+'Muskrat Dam'!BM52+Wunnumin!BM52+Wawakepewin!BM52</f>
        <v>3383</v>
      </c>
      <c r="N50" s="70">
        <f>Armstrong!BN52+'Bearskin Lake'!BN52+Biscotasing!BN52+'Deer Lake'!BN52+'Fort Severn'!BN52+'Gull Bay'!BN52+Hillsport!BN52+Kasabonika!BN52+Kingfisher!BN52+Lansdowne!BN52+'Marten Falls'!BN52+Oba!BN52+Sachigo!BN52+'Sandy Lake'!BN52+Sultan!BN52+Wapekeka!BN52+Weagamow!BN52+Webequie!BN52+'Cat Lake'!BN52+Pikangikum!BN52+'Big Trout Lake'!BN52+'Poplar Hill'!BN52+'North Spirit'!BN52+Keewaywin!BN52+'Muskrat Dam'!BN52+Wunnumin!BN52+Wawakepewin!BN52</f>
        <v>21325</v>
      </c>
      <c r="O50" s="70">
        <f>Armstrong!BO52+'Bearskin Lake'!BO52+Biscotasing!BO52+'Deer Lake'!BO52+'Fort Severn'!BO52+'Gull Bay'!BO52+Hillsport!BO52+Kasabonika!BO52+Kingfisher!BO52+Lansdowne!BO52+'Marten Falls'!BO52+Oba!BO52+Sachigo!BO52+'Sandy Lake'!BO52+Sultan!BO52+Wapekeka!BO52+Weagamow!BO52+Webequie!BO52+'Cat Lake'!BO52+Pikangikum!BO52+'Big Trout Lake'!BO52+'Poplar Hill'!BO52+'North Spirit'!BO52+Keewaywin!BO52+'Muskrat Dam'!BO52+Wunnumin!BO52+Wawakepewin!BO52</f>
        <v>131528</v>
      </c>
    </row>
    <row r="51" spans="1:15" ht="15.75" customHeight="1">
      <c r="A51" s="2" t="s">
        <v>52</v>
      </c>
      <c r="B51" s="123"/>
      <c r="C51" s="109"/>
      <c r="D51" s="109"/>
      <c r="E51" s="108">
        <f>Armstrong!BE53+'Bearskin Lake'!BE53+Biscotasing!BE53+'Deer Lake'!BE53+'Fort Severn'!BE53+'Gull Bay'!BE53+Hillsport!BE53+Kasabonika!BE53+Kingfisher!BE53+Lansdowne!BE53+'Marten Falls'!BE53+Oba!BE53+Sachigo!BE53+'Sandy Lake'!BE53+Sultan!BE53+Wapekeka!BE53+Weagamow!BE53+Webequie!BE53+'Cat Lake'!BE53+Pikangikum!BE53+'Big Trout Lake'!BE53+'Poplar Hill'!BE53+'North Spirit'!BE53+Keewaywin!BE53+'Muskrat Dam'!BE53+Wunnumin!BE53+Wawakepewin!BE53</f>
        <v>0</v>
      </c>
      <c r="F51" s="108">
        <f>Armstrong!BF53+'Bearskin Lake'!BF53+Biscotasing!BF53+'Deer Lake'!BF53+'Fort Severn'!BF53+'Gull Bay'!BF53+Hillsport!BF53+Kasabonika!BF53+Kingfisher!BF53+Lansdowne!BF53+'Marten Falls'!BF53+Oba!BF53+Sachigo!BF53+'Sandy Lake'!BF53+Sultan!BF53+Wapekeka!BF53+Weagamow!BF53+Webequie!BF53+'Cat Lake'!BF53+Pikangikum!BF53+'Big Trout Lake'!BF53+'Poplar Hill'!BF53+'North Spirit'!BF53+Keewaywin!BF53+'Muskrat Dam'!BF53+Wunnumin!BF53+Wawakepewin!BF53</f>
        <v>0</v>
      </c>
      <c r="G51" s="108">
        <f>Armstrong!BG53+'Bearskin Lake'!BG53+Biscotasing!BG53+'Deer Lake'!BG53+'Fort Severn'!BG53+'Gull Bay'!BG53+Hillsport!BG53+Kasabonika!BG53+Kingfisher!BG53+Lansdowne!BG53+'Marten Falls'!BG53+Oba!BG53+Sachigo!BG53+'Sandy Lake'!BG53+Sultan!BG53+Wapekeka!BG53+Weagamow!BG53+Webequie!BG53+'Cat Lake'!BG53+Pikangikum!BG53+'Big Trout Lake'!BG53+'Poplar Hill'!BG53+'North Spirit'!BG53+Keewaywin!BG53+'Muskrat Dam'!BG53+Wunnumin!BG53+Wawakepewin!BG53</f>
        <v>0</v>
      </c>
      <c r="H51" s="71">
        <f>Armstrong!BH53+'Bearskin Lake'!BH53+Biscotasing!BH53+'Deer Lake'!BH53+'Fort Severn'!BH53+'Gull Bay'!BH53+Hillsport!BH53+Kasabonika!BH53+Kingfisher!BH53+Lansdowne!BH53+'Marten Falls'!BH53+Oba!BH53+Sachigo!BH53+'Sandy Lake'!BH53+Sultan!BH53+Wapekeka!BH53+Weagamow!BH53+Webequie!BH53+'Cat Lake'!BH53+Pikangikum!BH53+'Big Trout Lake'!BH53+'Poplar Hill'!BH53+'North Spirit'!BH53+Keewaywin!BH53+'Muskrat Dam'!BH53+Wunnumin!BH53+Wawakepewin!BH53</f>
        <v>1544</v>
      </c>
      <c r="I51" s="71">
        <f>Armstrong!BI53+'Bearskin Lake'!BI53+Biscotasing!BI53+'Deer Lake'!BI53+'Fort Severn'!BI53+'Gull Bay'!BI53+Hillsport!BI53+Kasabonika!BI53+Kingfisher!BI53+Lansdowne!BI53+'Marten Falls'!BI53+Oba!BI53+Sachigo!BI53+'Sandy Lake'!BI53+Sultan!BI53+Wapekeka!BI53+Weagamow!BI53+Webequie!BI53+'Cat Lake'!BI53+Pikangikum!BI53+'Big Trout Lake'!BI53+'Poplar Hill'!BI53+'North Spirit'!BI53+Keewaywin!BI53+'Muskrat Dam'!BI53+Wunnumin!BI53+Wawakepewin!BI53</f>
        <v>1600</v>
      </c>
      <c r="J51" s="71">
        <f>Armstrong!BJ53+'Bearskin Lake'!BJ53+Biscotasing!BJ53+'Deer Lake'!BJ53+'Fort Severn'!BJ53+'Gull Bay'!BJ53+Hillsport!BJ53+Kasabonika!BJ53+Kingfisher!BJ53+Lansdowne!BJ53+'Marten Falls'!BJ53+Oba!BJ53+Sachigo!BJ53+'Sandy Lake'!BJ53+Sultan!BJ53+Wapekeka!BJ53+Weagamow!BJ53+Webequie!BJ53+'Cat Lake'!BJ53+Pikangikum!BJ53+'Big Trout Lake'!BJ53+'Poplar Hill'!BJ53+'North Spirit'!BJ53+Keewaywin!BJ53+'Muskrat Dam'!BJ53+Wunnumin!BJ53+Wawakepewin!BJ53</f>
        <v>1494</v>
      </c>
      <c r="K51" s="71">
        <f>Armstrong!BK53+'Bearskin Lake'!BK53+Biscotasing!BK53+'Deer Lake'!BK53+'Fort Severn'!BK53+'Gull Bay'!BK53+Hillsport!BK53+Kasabonika!BK53+Kingfisher!BK53+Lansdowne!BK53+'Marten Falls'!BK53+Oba!BK53+Sachigo!BK53+'Sandy Lake'!BK53+Sultan!BK53+Wapekeka!BK53+Weagamow!BK53+Webequie!BK53+'Cat Lake'!BK53+Pikangikum!BK53+'Big Trout Lake'!BK53+'Poplar Hill'!BK53+'North Spirit'!BK53+Keewaywin!BK53+'Muskrat Dam'!BK53+Wunnumin!BK53+Wawakepewin!BK53</f>
        <v>1250</v>
      </c>
      <c r="L51" s="71">
        <f>Armstrong!BL53+'Bearskin Lake'!BL53+Biscotasing!BL53+'Deer Lake'!BL53+'Fort Severn'!BL53+'Gull Bay'!BL53+Hillsport!BL53+Kasabonika!BL53+Kingfisher!BL53+Lansdowne!BL53+'Marten Falls'!BL53+Oba!BL53+Sachigo!BL53+'Sandy Lake'!BL53+Sultan!BL53+Wapekeka!BL53+Weagamow!BL53+Webequie!BL53+'Cat Lake'!BL53+Pikangikum!BL53+'Big Trout Lake'!BL53+'Poplar Hill'!BL53+'North Spirit'!BL53+Keewaywin!BL53+'Muskrat Dam'!BL53+Wunnumin!BL53+Wawakepewin!BL53</f>
        <v>1438</v>
      </c>
      <c r="M51" s="71">
        <f>Armstrong!BM53+'Bearskin Lake'!BM53+Biscotasing!BM53+'Deer Lake'!BM53+'Fort Severn'!BM53+'Gull Bay'!BM53+Hillsport!BM53+Kasabonika!BM53+Kingfisher!BM53+Lansdowne!BM53+'Marten Falls'!BM53+Oba!BM53+Sachigo!BM53+'Sandy Lake'!BM53+Sultan!BM53+Wapekeka!BM53+Weagamow!BM53+Webequie!BM53+'Cat Lake'!BM53+Pikangikum!BM53+'Big Trout Lake'!BM53+'Poplar Hill'!BM53+'North Spirit'!BM53+Keewaywin!BM53+'Muskrat Dam'!BM53+Wunnumin!BM53+Wawakepewin!BM53</f>
        <v>1381</v>
      </c>
      <c r="N51" s="70">
        <f>Armstrong!BN53+'Bearskin Lake'!BN53+Biscotasing!BN53+'Deer Lake'!BN53+'Fort Severn'!BN53+'Gull Bay'!BN53+Hillsport!BN53+Kasabonika!BN53+Kingfisher!BN53+Lansdowne!BN53+'Marten Falls'!BN53+Oba!BN53+Sachigo!BN53+'Sandy Lake'!BN53+Sultan!BN53+Wapekeka!BN53+Weagamow!BN53+Webequie!BN53+'Cat Lake'!BN53+Pikangikum!BN53+'Big Trout Lake'!BN53+'Poplar Hill'!BN53+'North Spirit'!BN53+Keewaywin!BN53+'Muskrat Dam'!BN53+Wunnumin!BN53+Wawakepewin!BN53</f>
        <v>8707</v>
      </c>
      <c r="O51" s="70">
        <f>Armstrong!BO53+'Bearskin Lake'!BO53+Biscotasing!BO53+'Deer Lake'!BO53+'Fort Severn'!BO53+'Gull Bay'!BO53+Hillsport!BO53+Kasabonika!BO53+Kingfisher!BO53+Lansdowne!BO53+'Marten Falls'!BO53+Oba!BO53+Sachigo!BO53+'Sandy Lake'!BO53+Sultan!BO53+Wapekeka!BO53+Weagamow!BO53+Webequie!BO53+'Cat Lake'!BO53+Pikangikum!BO53+'Big Trout Lake'!BO53+'Poplar Hill'!BO53+'North Spirit'!BO53+Keewaywin!BO53+'Muskrat Dam'!BO53+Wunnumin!BO53+Wawakepewin!BO53</f>
        <v>53706</v>
      </c>
    </row>
    <row r="52" spans="1:15" ht="15.75" customHeight="1" thickBot="1">
      <c r="A52" s="199" t="s">
        <v>30</v>
      </c>
      <c r="B52" s="240"/>
      <c r="C52" s="117"/>
      <c r="D52" s="117"/>
      <c r="E52" s="114">
        <f>Armstrong!BE54+'Bearskin Lake'!BE54+Biscotasing!BE54+'Deer Lake'!BE54+'Fort Severn'!BE54+'Gull Bay'!BE54+Hillsport!BE54+Kasabonika!BE54+Kingfisher!BE54+Lansdowne!BE54+'Marten Falls'!BE54+Oba!BE54+Sachigo!BE54+'Sandy Lake'!BE54+Sultan!BE54+Wapekeka!BE54+Weagamow!BE54+Webequie!BE54+'Cat Lake'!BE54+Pikangikum!BE54+'Big Trout Lake'!BE54+'Poplar Hill'!BE54+'North Spirit'!BE54+Keewaywin!BE54+'Muskrat Dam'!BE54+Wunnumin!BE54+Wawakepewin!BE54</f>
        <v>64010</v>
      </c>
      <c r="F52" s="114">
        <f>Armstrong!BF54+'Bearskin Lake'!BF54+Biscotasing!BF54+'Deer Lake'!BF54+'Fort Severn'!BF54+'Gull Bay'!BF54+Hillsport!BF54+Kasabonika!BF54+Kingfisher!BF54+Lansdowne!BF54+'Marten Falls'!BF54+Oba!BF54+Sachigo!BF54+'Sandy Lake'!BF54+Sultan!BF54+Wapekeka!BF54+Weagamow!BF54+Webequie!BF54+'Cat Lake'!BF54+Pikangikum!BF54+'Big Trout Lake'!BF54+'Poplar Hill'!BF54+'North Spirit'!BF54+Keewaywin!BF54+'Muskrat Dam'!BF54+Wunnumin!BF54+Wawakepewin!BF54</f>
        <v>57363</v>
      </c>
      <c r="G52" s="114">
        <f>Armstrong!BG54+'Bearskin Lake'!BG54+Biscotasing!BG54+'Deer Lake'!BG54+'Fort Severn'!BG54+'Gull Bay'!BG54+Hillsport!BG54+Kasabonika!BG54+Kingfisher!BG54+Lansdowne!BG54+'Marten Falls'!BG54+Oba!BG54+Sachigo!BG54+'Sandy Lake'!BG54+Sultan!BG54+Wapekeka!BG54+Weagamow!BG54+Webequie!BG54+'Cat Lake'!BG54+Pikangikum!BG54+'Big Trout Lake'!BG54+'Poplar Hill'!BG54+'North Spirit'!BG54+Keewaywin!BG54+'Muskrat Dam'!BG54+Wunnumin!BG54+Wawakepewin!BG54</f>
        <v>58149</v>
      </c>
      <c r="H52" s="114">
        <f>Armstrong!BH54+'Bearskin Lake'!BH54+Biscotasing!BH54+'Deer Lake'!BH54+'Fort Severn'!BH54+'Gull Bay'!BH54+Hillsport!BH54+Kasabonika!BH54+Kingfisher!BH54+Lansdowne!BH54+'Marten Falls'!BH54+Oba!BH54+Sachigo!BH54+'Sandy Lake'!BH54+Sultan!BH54+Wapekeka!BH54+Weagamow!BH54+Webequie!BH54+'Cat Lake'!BH54+Pikangikum!BH54+'Big Trout Lake'!BH54+'Poplar Hill'!BH54+'North Spirit'!BH54+Keewaywin!BH54+'Muskrat Dam'!BH54+Wunnumin!BH54+Wawakepewin!BH54</f>
        <v>99203</v>
      </c>
      <c r="I52" s="114">
        <f>Armstrong!BI54+'Bearskin Lake'!BI54+Biscotasing!BI54+'Deer Lake'!BI54+'Fort Severn'!BI54+'Gull Bay'!BI54+Hillsport!BI54+Kasabonika!BI54+Kingfisher!BI54+Lansdowne!BI54+'Marten Falls'!BI54+Oba!BI54+Sachigo!BI54+'Sandy Lake'!BI54+Sultan!BI54+Wapekeka!BI54+Weagamow!BI54+Webequie!BI54+'Cat Lake'!BI54+Pikangikum!BI54+'Big Trout Lake'!BI54+'Poplar Hill'!BI54+'North Spirit'!BI54+Keewaywin!BI54+'Muskrat Dam'!BI54+Wunnumin!BI54+Wawakepewin!BI54</f>
        <v>79760</v>
      </c>
      <c r="J52" s="114">
        <f>Armstrong!BJ54+'Bearskin Lake'!BJ54+Biscotasing!BJ54+'Deer Lake'!BJ54+'Fort Severn'!BJ54+'Gull Bay'!BJ54+Hillsport!BJ54+Kasabonika!BJ54+Kingfisher!BJ54+Lansdowne!BJ54+'Marten Falls'!BJ54+Oba!BJ54+Sachigo!BJ54+'Sandy Lake'!BJ54+Sultan!BJ54+Wapekeka!BJ54+Weagamow!BJ54+Webequie!BJ54+'Cat Lake'!BJ54+Pikangikum!BJ54+'Big Trout Lake'!BJ54+'Poplar Hill'!BJ54+'North Spirit'!BJ54+Keewaywin!BJ54+'Muskrat Dam'!BJ54+Wunnumin!BJ54+Wawakepewin!BJ54</f>
        <v>77537</v>
      </c>
      <c r="K52" s="114">
        <f>Armstrong!BK54+'Bearskin Lake'!BK54+Biscotasing!BK54+'Deer Lake'!BK54+'Fort Severn'!BK54+'Gull Bay'!BK54+Hillsport!BK54+Kasabonika!BK54+Kingfisher!BK54+Lansdowne!BK54+'Marten Falls'!BK54+Oba!BK54+Sachigo!BK54+'Sandy Lake'!BK54+Sultan!BK54+Wapekeka!BK54+Weagamow!BK54+Webequie!BK54+'Cat Lake'!BK54+Pikangikum!BK54+'Big Trout Lake'!BK54+'Poplar Hill'!BK54+'North Spirit'!BK54+Keewaywin!BK54+'Muskrat Dam'!BK54+Wunnumin!BK54+Wawakepewin!BK54</f>
        <v>62093</v>
      </c>
      <c r="L52" s="114">
        <f>Armstrong!BL54+'Bearskin Lake'!BL54+Biscotasing!BL54+'Deer Lake'!BL54+'Fort Severn'!BL54+'Gull Bay'!BL54+Hillsport!BL54+Kasabonika!BL54+Kingfisher!BL54+Lansdowne!BL54+'Marten Falls'!BL54+Oba!BL54+Sachigo!BL54+'Sandy Lake'!BL54+Sultan!BL54+Wapekeka!BL54+Weagamow!BL54+Webequie!BL54+'Cat Lake'!BL54+Pikangikum!BL54+'Big Trout Lake'!BL54+'Poplar Hill'!BL54+'North Spirit'!BL54+Keewaywin!BL54+'Muskrat Dam'!BL54+Wunnumin!BL54+Wawakepewin!BL54</f>
        <v>96997</v>
      </c>
      <c r="M52" s="114">
        <f>Armstrong!BM54+'Bearskin Lake'!BM54+Biscotasing!BM54+'Deer Lake'!BM54+'Fort Severn'!BM54+'Gull Bay'!BM54+Hillsport!BM54+Kasabonika!BM54+Kingfisher!BM54+Lansdowne!BM54+'Marten Falls'!BM54+Oba!BM54+Sachigo!BM54+'Sandy Lake'!BM54+Sultan!BM54+Wapekeka!BM54+Weagamow!BM54+Webequie!BM54+'Cat Lake'!BM54+Pikangikum!BM54+'Big Trout Lake'!BM54+'Poplar Hill'!BM54+'North Spirit'!BM54+Keewaywin!BM54+'Muskrat Dam'!BM54+Wunnumin!BM54+Wawakepewin!BM54</f>
        <v>92118</v>
      </c>
      <c r="N52" s="484">
        <f>Armstrong!BN54+'Bearskin Lake'!BN54+Biscotasing!BN54+'Deer Lake'!BN54+'Fort Severn'!BN54+'Gull Bay'!BN54+Hillsport!BN54+Kasabonika!BN54+Kingfisher!BN54+Lansdowne!BN54+'Marten Falls'!BN54+Oba!BN54+Sachigo!BN54+'Sandy Lake'!BN54+Sultan!BN54+Wapekeka!BN54+Weagamow!BN54+Webequie!BN54+'Cat Lake'!BN54+Pikangikum!BN54+'Big Trout Lake'!BN54+'Poplar Hill'!BN54+'North Spirit'!BN54+Keewaywin!BN54+'Muskrat Dam'!BN54+Wunnumin!BN54+Wawakepewin!BN54</f>
        <v>954057</v>
      </c>
      <c r="O52" s="484">
        <f>Armstrong!BO54+'Bearskin Lake'!BO54+Biscotasing!BO54+'Deer Lake'!BO54+'Fort Severn'!BO54+'Gull Bay'!BO54+Hillsport!BO54+Kasabonika!BO54+Kingfisher!BO54+Lansdowne!BO54+'Marten Falls'!BO54+Oba!BO54+Sachigo!BO54+'Sandy Lake'!BO54+Sultan!BO54+Wapekeka!BO54+Weagamow!BO54+Webequie!BO54+'Cat Lake'!BO54+Pikangikum!BO54+'Big Trout Lake'!BO54+'Poplar Hill'!BO54+'North Spirit'!BO54+Keewaywin!BO54+'Muskrat Dam'!BO54+Wunnumin!BO54+Wawakepewin!BO54</f>
        <v>3167718</v>
      </c>
    </row>
    <row r="53" spans="1:15" ht="15.75" customHeight="1" thickTop="1">
      <c r="A53" s="2" t="s">
        <v>54</v>
      </c>
      <c r="B53" s="52"/>
      <c r="C53" s="39"/>
      <c r="D53" s="39"/>
      <c r="E53" s="9"/>
      <c r="F53" s="9"/>
      <c r="G53" s="9"/>
      <c r="H53" s="9"/>
      <c r="I53" s="9"/>
      <c r="J53" s="9"/>
      <c r="K53" s="9"/>
      <c r="L53" s="9"/>
      <c r="M53" s="9"/>
      <c r="N53" s="58"/>
      <c r="O53" s="58"/>
    </row>
    <row r="54" spans="1:15" ht="15" customHeight="1">
      <c r="A54" s="198" t="s">
        <v>64</v>
      </c>
      <c r="B54" s="24"/>
      <c r="C54" s="2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61"/>
      <c r="O54" s="61"/>
    </row>
    <row r="55" spans="1:15" ht="15" customHeight="1">
      <c r="A55" s="2" t="s">
        <v>49</v>
      </c>
      <c r="B55" s="123"/>
      <c r="C55" s="109"/>
      <c r="D55" s="109"/>
      <c r="E55" s="108">
        <f>Armstrong!BE57+'Bearskin Lake'!BE57+Biscotasing!BE57+'Deer Lake'!BE57+'Fort Severn'!BE57+'Gull Bay'!BE57+Hillsport!BE57+Kasabonika!BE57+Kingfisher!BE57+Lansdowne!BE57+'Marten Falls'!BE57+Oba!BE57+Sachigo!BE57+'Sandy Lake'!BE57+Sultan!BE57+Wapekeka!BE57+Weagamow!BE57+Webequie!BE57+'Cat Lake'!BE57+Pikangikum!BE57+'Big Trout Lake'!BE57+'Poplar Hill'!BE57+'North Spirit'!BE57+Keewaywin!BE57+'Muskrat Dam'!BE57+Wunnumin!BE57+Wawakepewin!BE57</f>
        <v>8</v>
      </c>
      <c r="F55" s="108">
        <f>Armstrong!BF57+'Bearskin Lake'!BF57+Biscotasing!BF57+'Deer Lake'!BF57+'Fort Severn'!BF57+'Gull Bay'!BF57+Hillsport!BF57+Kasabonika!BF57+Kingfisher!BF57+Lansdowne!BF57+'Marten Falls'!BF57+Oba!BF57+Sachigo!BF57+'Sandy Lake'!BF57+Sultan!BF57+Wapekeka!BF57+Weagamow!BF57+Webequie!BF57+'Cat Lake'!BF57+Pikangikum!BF57+'Big Trout Lake'!BF57+'Poplar Hill'!BF57+'North Spirit'!BF57+Keewaywin!BF57+'Muskrat Dam'!BF57+Wunnumin!BF57+Wawakepewin!BF57</f>
        <v>8</v>
      </c>
      <c r="G55" s="108">
        <f>Armstrong!BG57+'Bearskin Lake'!BG57+Biscotasing!BG57+'Deer Lake'!BG57+'Fort Severn'!BG57+'Gull Bay'!BG57+Hillsport!BG57+Kasabonika!BG57+Kingfisher!BG57+Lansdowne!BG57+'Marten Falls'!BG57+Oba!BG57+Sachigo!BG57+'Sandy Lake'!BG57+Sultan!BG57+Wapekeka!BG57+Weagamow!BG57+Webequie!BG57+'Cat Lake'!BG57+Pikangikum!BG57+'Big Trout Lake'!BG57+'Poplar Hill'!BG57+'North Spirit'!BG57+Keewaywin!BG57+'Muskrat Dam'!BG57+Wunnumin!BG57+Wawakepewin!BG57</f>
        <v>8</v>
      </c>
      <c r="H55" s="71">
        <f>Armstrong!BH57+'Bearskin Lake'!BH57+Biscotasing!BH57+'Deer Lake'!BH57+'Fort Severn'!BH57+'Gull Bay'!BH57+Hillsport!BH57+Kasabonika!BH57+Kingfisher!BH57+Lansdowne!BH57+'Marten Falls'!BH57+Oba!BH57+Sachigo!BH57+'Sandy Lake'!BH57+Sultan!BH57+Wapekeka!BH57+Weagamow!BH57+Webequie!BH57+'Cat Lake'!BH57+Pikangikum!BH57+'Big Trout Lake'!BH57+'Poplar Hill'!BH57+'North Spirit'!BH57+Keewaywin!BH57+'Muskrat Dam'!BH57+Wunnumin!BH57+Wawakepewin!BH57</f>
        <v>6</v>
      </c>
      <c r="I55" s="71">
        <f>Armstrong!BI57+'Bearskin Lake'!BI57+Biscotasing!BI57+'Deer Lake'!BI57+'Fort Severn'!BI57+'Gull Bay'!BI57+Hillsport!BI57+Kasabonika!BI57+Kingfisher!BI57+Lansdowne!BI57+'Marten Falls'!BI57+Oba!BI57+Sachigo!BI57+'Sandy Lake'!BI57+Sultan!BI57+Wapekeka!BI57+Weagamow!BI57+Webequie!BI57+'Cat Lake'!BI57+Pikangikum!BI57+'Big Trout Lake'!BI57+'Poplar Hill'!BI57+'North Spirit'!BI57+Keewaywin!BI57+'Muskrat Dam'!BI57+Wunnumin!BI57+Wawakepewin!BI57</f>
        <v>6</v>
      </c>
      <c r="J55" s="71">
        <f>Armstrong!BJ57+'Bearskin Lake'!BJ57+Biscotasing!BJ57+'Deer Lake'!BJ57+'Fort Severn'!BJ57+'Gull Bay'!BJ57+Hillsport!BJ57+Kasabonika!BJ57+Kingfisher!BJ57+Lansdowne!BJ57+'Marten Falls'!BJ57+Oba!BJ57+Sachigo!BJ57+'Sandy Lake'!BJ57+Sultan!BJ57+Wapekeka!BJ57+Weagamow!BJ57+Webequie!BJ57+'Cat Lake'!BJ57+Pikangikum!BJ57+'Big Trout Lake'!BJ57+'Poplar Hill'!BJ57+'North Spirit'!BJ57+Keewaywin!BJ57+'Muskrat Dam'!BJ57+Wunnumin!BJ57+Wawakepewin!BJ57</f>
        <v>6</v>
      </c>
      <c r="K55" s="71">
        <f>Armstrong!BK57+'Bearskin Lake'!BK57+Biscotasing!BK57+'Deer Lake'!BK57+'Fort Severn'!BK57+'Gull Bay'!BK57+Hillsport!BK57+Kasabonika!BK57+Kingfisher!BK57+Lansdowne!BK57+'Marten Falls'!BK57+Oba!BK57+Sachigo!BK57+'Sandy Lake'!BK57+Sultan!BK57+Wapekeka!BK57+Weagamow!BK57+Webequie!BK57+'Cat Lake'!BK57+Pikangikum!BK57+'Big Trout Lake'!BK57+'Poplar Hill'!BK57+'North Spirit'!BK57+Keewaywin!BK57+'Muskrat Dam'!BK57+Wunnumin!BK57+Wawakepewin!BK57</f>
        <v>6</v>
      </c>
      <c r="L55" s="71">
        <f>Armstrong!BL57+'Bearskin Lake'!BL57+Biscotasing!BL57+'Deer Lake'!BL57+'Fort Severn'!BL57+'Gull Bay'!BL57+Hillsport!BL57+Kasabonika!BL57+Kingfisher!BL57+Lansdowne!BL57+'Marten Falls'!BL57+Oba!BL57+Sachigo!BL57+'Sandy Lake'!BL57+Sultan!BL57+Wapekeka!BL57+Weagamow!BL57+Webequie!BL57+'Cat Lake'!BL57+Pikangikum!BL57+'Big Trout Lake'!BL57+'Poplar Hill'!BL57+'North Spirit'!BL57+Keewaywin!BL57+'Muskrat Dam'!BL57+Wunnumin!BL57+Wawakepewin!BL57</f>
        <v>6</v>
      </c>
      <c r="M55" s="71">
        <f>Armstrong!BM57+'Bearskin Lake'!BM57+Biscotasing!BM57+'Deer Lake'!BM57+'Fort Severn'!BM57+'Gull Bay'!BM57+Hillsport!BM57+Kasabonika!BM57+Kingfisher!BM57+Lansdowne!BM57+'Marten Falls'!BM57+Oba!BM57+Sachigo!BM57+'Sandy Lake'!BM57+Sultan!BM57+Wapekeka!BM57+Weagamow!BM57+Webequie!BM57+'Cat Lake'!BM57+Pikangikum!BM57+'Big Trout Lake'!BM57+'Poplar Hill'!BM57+'North Spirit'!BM57+Keewaywin!BM57+'Muskrat Dam'!BM57+Wunnumin!BM57+Wawakepewin!BM57</f>
        <v>6</v>
      </c>
      <c r="N55" s="70">
        <f>Armstrong!BN57+'Bearskin Lake'!BN57+Biscotasing!BN57+'Deer Lake'!BN57+'Fort Severn'!BN57+'Gull Bay'!BN57+Hillsport!BN57+Kasabonika!BN57+Kingfisher!BN57+Lansdowne!BN57+'Marten Falls'!BN57+Oba!BN57+Sachigo!BN57+'Sandy Lake'!BN57+Sultan!BN57+Wapekeka!BN57+Weagamow!BN57+Webequie!BN57+'Cat Lake'!BN57+Pikangikum!BN57+'Big Trout Lake'!BN57+'Poplar Hill'!BN57+'North Spirit'!BN57+Keewaywin!BN57+'Muskrat Dam'!BN57+Wunnumin!BN57+Wawakepewin!BN57</f>
        <v>6</v>
      </c>
      <c r="O55" s="70">
        <f>Armstrong!BO57+'Bearskin Lake'!BO57+Biscotasing!BO57+'Deer Lake'!BO57+'Fort Severn'!BO57+'Gull Bay'!BO57+Hillsport!BO57+Kasabonika!BO57+Kingfisher!BO57+Lansdowne!BO57+'Marten Falls'!BO57+Oba!BO57+Sachigo!BO57+'Sandy Lake'!BO57+Sultan!BO57+Wapekeka!BO57+Weagamow!BO57+Webequie!BO57+'Cat Lake'!BO57+Pikangikum!BO57+'Big Trout Lake'!BO57+'Poplar Hill'!BO57+'North Spirit'!BO57+Keewaywin!BO57+'Muskrat Dam'!BO57+Wunnumin!BO57+Wawakepewin!BO57</f>
        <v>5</v>
      </c>
    </row>
    <row r="56" spans="1:15" ht="15.75" customHeight="1" thickBot="1">
      <c r="A56" s="199" t="s">
        <v>30</v>
      </c>
      <c r="B56" s="240"/>
      <c r="C56" s="117"/>
      <c r="D56" s="117"/>
      <c r="E56" s="114">
        <f>Armstrong!BE58+'Bearskin Lake'!BE58+Biscotasing!BE58+'Deer Lake'!BE58+'Fort Severn'!BE58+'Gull Bay'!BE58+Hillsport!BE58+Kasabonika!BE58+Kingfisher!BE58+Lansdowne!BE58+'Marten Falls'!BE58+Oba!BE58+Sachigo!BE58+'Sandy Lake'!BE58+Sultan!BE58+Wapekeka!BE58+Weagamow!BE58+Webequie!BE58+'Cat Lake'!BE58+Pikangikum!BE58+'Big Trout Lake'!BE58+'Poplar Hill'!BE58+'North Spirit'!BE58+Keewaywin!BE58+'Muskrat Dam'!BE58+Wunnumin!BE58+Wawakepewin!BE58</f>
        <v>20334</v>
      </c>
      <c r="F56" s="114">
        <f>Armstrong!BF58+'Bearskin Lake'!BF58+Biscotasing!BF58+'Deer Lake'!BF58+'Fort Severn'!BF58+'Gull Bay'!BF58+Hillsport!BF58+Kasabonika!BF58+Kingfisher!BF58+Lansdowne!BF58+'Marten Falls'!BF58+Oba!BF58+Sachigo!BF58+'Sandy Lake'!BF58+Sultan!BF58+Wapekeka!BF58+Weagamow!BF58+Webequie!BF58+'Cat Lake'!BF58+Pikangikum!BF58+'Big Trout Lake'!BF58+'Poplar Hill'!BF58+'North Spirit'!BF58+Keewaywin!BF58+'Muskrat Dam'!BF58+Wunnumin!BF58+Wawakepewin!BF58</f>
        <v>20334</v>
      </c>
      <c r="G56" s="114">
        <f>Armstrong!BG58+'Bearskin Lake'!BG58+Biscotasing!BG58+'Deer Lake'!BG58+'Fort Severn'!BG58+'Gull Bay'!BG58+Hillsport!BG58+Kasabonika!BG58+Kingfisher!BG58+Lansdowne!BG58+'Marten Falls'!BG58+Oba!BG58+Sachigo!BG58+'Sandy Lake'!BG58+Sultan!BG58+Wapekeka!BG58+Weagamow!BG58+Webequie!BG58+'Cat Lake'!BG58+Pikangikum!BG58+'Big Trout Lake'!BG58+'Poplar Hill'!BG58+'North Spirit'!BG58+Keewaywin!BG58+'Muskrat Dam'!BG58+Wunnumin!BG58+Wawakepewin!BG58</f>
        <v>20334</v>
      </c>
      <c r="H56" s="116">
        <f>Armstrong!BH58+'Bearskin Lake'!BH58+Biscotasing!BH58+'Deer Lake'!BH58+'Fort Severn'!BH58+'Gull Bay'!BH58+Hillsport!BH58+Kasabonika!BH58+Kingfisher!BH58+Lansdowne!BH58+'Marten Falls'!BH58+Oba!BH58+Sachigo!BH58+'Sandy Lake'!BH58+Sultan!BH58+Wapekeka!BH58+Weagamow!BH58+Webequie!BH58+'Cat Lake'!BH58+Pikangikum!BH58+'Big Trout Lake'!BH58+'Poplar Hill'!BH58+'North Spirit'!BH58+Keewaywin!BH58+'Muskrat Dam'!BH58+Wunnumin!BH58+Wawakepewin!BH58</f>
        <v>15454</v>
      </c>
      <c r="I56" s="116">
        <f>Armstrong!BI58+'Bearskin Lake'!BI58+Biscotasing!BI58+'Deer Lake'!BI58+'Fort Severn'!BI58+'Gull Bay'!BI58+Hillsport!BI58+Kasabonika!BI58+Kingfisher!BI58+Lansdowne!BI58+'Marten Falls'!BI58+Oba!BI58+Sachigo!BI58+'Sandy Lake'!BI58+Sultan!BI58+Wapekeka!BI58+Weagamow!BI58+Webequie!BI58+'Cat Lake'!BI58+Pikangikum!BI58+'Big Trout Lake'!BI58+'Poplar Hill'!BI58+'North Spirit'!BI58+Keewaywin!BI58+'Muskrat Dam'!BI58+Wunnumin!BI58+Wawakepewin!BI58</f>
        <v>15454</v>
      </c>
      <c r="J56" s="116">
        <f>Armstrong!BJ58+'Bearskin Lake'!BJ58+Biscotasing!BJ58+'Deer Lake'!BJ58+'Fort Severn'!BJ58+'Gull Bay'!BJ58+Hillsport!BJ58+Kasabonika!BJ58+Kingfisher!BJ58+Lansdowne!BJ58+'Marten Falls'!BJ58+Oba!BJ58+Sachigo!BJ58+'Sandy Lake'!BJ58+Sultan!BJ58+Wapekeka!BJ58+Weagamow!BJ58+Webequie!BJ58+'Cat Lake'!BJ58+Pikangikum!BJ58+'Big Trout Lake'!BJ58+'Poplar Hill'!BJ58+'North Spirit'!BJ58+Keewaywin!BJ58+'Muskrat Dam'!BJ58+Wunnumin!BJ58+Wawakepewin!BJ58</f>
        <v>15454</v>
      </c>
      <c r="K56" s="116">
        <f>Armstrong!BK58+'Bearskin Lake'!BK58+Biscotasing!BK58+'Deer Lake'!BK58+'Fort Severn'!BK58+'Gull Bay'!BK58+Hillsport!BK58+Kasabonika!BK58+Kingfisher!BK58+Lansdowne!BK58+'Marten Falls'!BK58+Oba!BK58+Sachigo!BK58+'Sandy Lake'!BK58+Sultan!BK58+Wapekeka!BK58+Weagamow!BK58+Webequie!BK58+'Cat Lake'!BK58+Pikangikum!BK58+'Big Trout Lake'!BK58+'Poplar Hill'!BK58+'North Spirit'!BK58+Keewaywin!BK58+'Muskrat Dam'!BK58+Wunnumin!BK58+Wawakepewin!BK58</f>
        <v>15454</v>
      </c>
      <c r="L56" s="116">
        <f>Armstrong!BL58+'Bearskin Lake'!BL58+Biscotasing!BL58+'Deer Lake'!BL58+'Fort Severn'!BL58+'Gull Bay'!BL58+Hillsport!BL58+Kasabonika!BL58+Kingfisher!BL58+Lansdowne!BL58+'Marten Falls'!BL58+Oba!BL58+Sachigo!BL58+'Sandy Lake'!BL58+Sultan!BL58+Wapekeka!BL58+Weagamow!BL58+Webequie!BL58+'Cat Lake'!BL58+Pikangikum!BL58+'Big Trout Lake'!BL58+'Poplar Hill'!BL58+'North Spirit'!BL58+Keewaywin!BL58+'Muskrat Dam'!BL58+Wunnumin!BL58+Wawakepewin!BL58</f>
        <v>15454</v>
      </c>
      <c r="M56" s="116">
        <f>Armstrong!BM58+'Bearskin Lake'!BM58+Biscotasing!BM58+'Deer Lake'!BM58+'Fort Severn'!BM58+'Gull Bay'!BM58+Hillsport!BM58+Kasabonika!BM58+Kingfisher!BM58+Lansdowne!BM58+'Marten Falls'!BM58+Oba!BM58+Sachigo!BM58+'Sandy Lake'!BM58+Sultan!BM58+Wapekeka!BM58+Weagamow!BM58+Webequie!BM58+'Cat Lake'!BM58+Pikangikum!BM58+'Big Trout Lake'!BM58+'Poplar Hill'!BM58+'North Spirit'!BM58+Keewaywin!BM58+'Muskrat Dam'!BM58+Wunnumin!BM58+Wawakepewin!BM58</f>
        <v>15454</v>
      </c>
      <c r="N56" s="485">
        <f>Armstrong!BN58+'Bearskin Lake'!BN58+Biscotasing!BN58+'Deer Lake'!BN58+'Fort Severn'!BN58+'Gull Bay'!BN58+Hillsport!BN58+Kasabonika!BN58+Kingfisher!BN58+Lansdowne!BN58+'Marten Falls'!BN58+Oba!BN58+Sachigo!BN58+'Sandy Lake'!BN58+Sultan!BN58+Wapekeka!BN58+Weagamow!BN58+Webequie!BN58+'Cat Lake'!BN58+Pikangikum!BN58+'Big Trout Lake'!BN58+'Poplar Hill'!BN58+'North Spirit'!BN58+Keewaywin!BN58+'Muskrat Dam'!BN58+Wunnumin!BN58+Wawakepewin!BN58</f>
        <v>214728</v>
      </c>
      <c r="O56" s="485">
        <f>Armstrong!BO58+'Bearskin Lake'!BO58+Biscotasing!BO58+'Deer Lake'!BO58+'Fort Severn'!BO58+'Gull Bay'!BO58+Hillsport!BO58+Kasabonika!BO58+Kingfisher!BO58+Lansdowne!BO58+'Marten Falls'!BO58+Oba!BO58+Sachigo!BO58+'Sandy Lake'!BO58+Sultan!BO58+Wapekeka!BO58+Weagamow!BO58+Webequie!BO58+'Cat Lake'!BO58+Pikangikum!BO58+'Big Trout Lake'!BO58+'Poplar Hill'!BO58+'North Spirit'!BO58+Keewaywin!BO58+'Muskrat Dam'!BO58+Wunnumin!BO58+Wawakepewin!BO58</f>
        <v>165048</v>
      </c>
    </row>
    <row r="57" spans="1:15" ht="15.75" customHeight="1" thickTop="1"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58"/>
      <c r="O57" s="58"/>
    </row>
    <row r="58" spans="1:15" ht="15" customHeight="1">
      <c r="A58" s="198" t="s">
        <v>65</v>
      </c>
      <c r="B58" s="24"/>
      <c r="C58" s="25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61"/>
      <c r="O58" s="61"/>
    </row>
    <row r="59" spans="1:15" ht="15" customHeight="1">
      <c r="A59" s="2" t="s">
        <v>49</v>
      </c>
      <c r="B59" s="123"/>
      <c r="C59" s="109"/>
      <c r="D59" s="109"/>
      <c r="E59" s="108">
        <f>Armstrong!BE61+'Bearskin Lake'!BE61+Biscotasing!BE61+'Deer Lake'!BE61+'Fort Severn'!BE61+'Gull Bay'!BE61+Hillsport!BE61+Kasabonika!BE61+Kingfisher!BE61+Lansdowne!BE61+'Marten Falls'!BE61+Oba!BE61+Sachigo!BE61+'Sandy Lake'!BE61+Sultan!BE61+Wapekeka!BE61+Weagamow!BE61+Webequie!BE61+'Cat Lake'!BE61+Pikangikum!BE61+'Big Trout Lake'!BE61+'Poplar Hill'!BE61+'North Spirit'!BE61+Keewaywin!BE61+'Muskrat Dam'!BE61+Wunnumin!BE61+Wawakepewin!BE61</f>
        <v>0</v>
      </c>
      <c r="F59" s="108">
        <f>Armstrong!BF61+'Bearskin Lake'!BF61+Biscotasing!BF61+'Deer Lake'!BF61+'Fort Severn'!BF61+'Gull Bay'!BF61+Hillsport!BF61+Kasabonika!BF61+Kingfisher!BF61+Lansdowne!BF61+'Marten Falls'!BF61+Oba!BF61+Sachigo!BF61+'Sandy Lake'!BF61+Sultan!BF61+Wapekeka!BF61+Weagamow!BF61+Webequie!BF61+'Cat Lake'!BF61+Pikangikum!BF61+'Big Trout Lake'!BF61+'Poplar Hill'!BF61+'North Spirit'!BF61+Keewaywin!BF61+'Muskrat Dam'!BF61+Wunnumin!BF61+Wawakepewin!BF61</f>
        <v>0</v>
      </c>
      <c r="G59" s="108">
        <f>Armstrong!BG61+'Bearskin Lake'!BG61+Biscotasing!BG61+'Deer Lake'!BG61+'Fort Severn'!BG61+'Gull Bay'!BG61+Hillsport!BG61+Kasabonika!BG61+Kingfisher!BG61+Lansdowne!BG61+'Marten Falls'!BG61+Oba!BG61+Sachigo!BG61+'Sandy Lake'!BG61+Sultan!BG61+Wapekeka!BG61+Weagamow!BG61+Webequie!BG61+'Cat Lake'!BG61+Pikangikum!BG61+'Big Trout Lake'!BG61+'Poplar Hill'!BG61+'North Spirit'!BG61+Keewaywin!BG61+'Muskrat Dam'!BG61+Wunnumin!BG61+Wawakepewin!BG61</f>
        <v>0</v>
      </c>
      <c r="H59" s="71">
        <f>Armstrong!BH61+'Bearskin Lake'!BH61+Biscotasing!BH61+'Deer Lake'!BH61+'Fort Severn'!BH61+'Gull Bay'!BH61+Hillsport!BH61+Kasabonika!BH61+Kingfisher!BH61+Lansdowne!BH61+'Marten Falls'!BH61+Oba!BH61+Sachigo!BH61+'Sandy Lake'!BH61+Sultan!BH61+Wapekeka!BH61+Weagamow!BH61+Webequie!BH61+'Cat Lake'!BH61+Pikangikum!BH61+'Big Trout Lake'!BH61+'Poplar Hill'!BH61+'North Spirit'!BH61+Keewaywin!BH61+'Muskrat Dam'!BH61+Wunnumin!BH61+Wawakepewin!BH61</f>
        <v>2</v>
      </c>
      <c r="I59" s="71">
        <f>Armstrong!BI61+'Bearskin Lake'!BI61+Biscotasing!BI61+'Deer Lake'!BI61+'Fort Severn'!BI61+'Gull Bay'!BI61+Hillsport!BI61+Kasabonika!BI61+Kingfisher!BI61+Lansdowne!BI61+'Marten Falls'!BI61+Oba!BI61+Sachigo!BI61+'Sandy Lake'!BI61+Sultan!BI61+Wapekeka!BI61+Weagamow!BI61+Webequie!BI61+'Cat Lake'!BI61+Pikangikum!BI61+'Big Trout Lake'!BI61+'Poplar Hill'!BI61+'North Spirit'!BI61+Keewaywin!BI61+'Muskrat Dam'!BI61+Wunnumin!BI61+Wawakepewin!BI61</f>
        <v>2</v>
      </c>
      <c r="J59" s="71">
        <f>Armstrong!BJ61+'Bearskin Lake'!BJ61+Biscotasing!BJ61+'Deer Lake'!BJ61+'Fort Severn'!BJ61+'Gull Bay'!BJ61+Hillsport!BJ61+Kasabonika!BJ61+Kingfisher!BJ61+Lansdowne!BJ61+'Marten Falls'!BJ61+Oba!BJ61+Sachigo!BJ61+'Sandy Lake'!BJ61+Sultan!BJ61+Wapekeka!BJ61+Weagamow!BJ61+Webequie!BJ61+'Cat Lake'!BJ61+Pikangikum!BJ61+'Big Trout Lake'!BJ61+'Poplar Hill'!BJ61+'North Spirit'!BJ61+Keewaywin!BJ61+'Muskrat Dam'!BJ61+Wunnumin!BJ61+Wawakepewin!BJ61</f>
        <v>2</v>
      </c>
      <c r="K59" s="71">
        <f>Armstrong!BK61+'Bearskin Lake'!BK61+Biscotasing!BK61+'Deer Lake'!BK61+'Fort Severn'!BK61+'Gull Bay'!BK61+Hillsport!BK61+Kasabonika!BK61+Kingfisher!BK61+Lansdowne!BK61+'Marten Falls'!BK61+Oba!BK61+Sachigo!BK61+'Sandy Lake'!BK61+Sultan!BK61+Wapekeka!BK61+Weagamow!BK61+Webequie!BK61+'Cat Lake'!BK61+Pikangikum!BK61+'Big Trout Lake'!BK61+'Poplar Hill'!BK61+'North Spirit'!BK61+Keewaywin!BK61+'Muskrat Dam'!BK61+Wunnumin!BK61+Wawakepewin!BK61</f>
        <v>2</v>
      </c>
      <c r="L59" s="71">
        <f>Armstrong!BL61+'Bearskin Lake'!BL61+Biscotasing!BL61+'Deer Lake'!BL61+'Fort Severn'!BL61+'Gull Bay'!BL61+Hillsport!BL61+Kasabonika!BL61+Kingfisher!BL61+Lansdowne!BL61+'Marten Falls'!BL61+Oba!BL61+Sachigo!BL61+'Sandy Lake'!BL61+Sultan!BL61+Wapekeka!BL61+Weagamow!BL61+Webequie!BL61+'Cat Lake'!BL61+Pikangikum!BL61+'Big Trout Lake'!BL61+'Poplar Hill'!BL61+'North Spirit'!BL61+Keewaywin!BL61+'Muskrat Dam'!BL61+Wunnumin!BL61+Wawakepewin!BL61</f>
        <v>2</v>
      </c>
      <c r="M59" s="71">
        <f>Armstrong!BM61+'Bearskin Lake'!BM61+Biscotasing!BM61+'Deer Lake'!BM61+'Fort Severn'!BM61+'Gull Bay'!BM61+Hillsport!BM61+Kasabonika!BM61+Kingfisher!BM61+Lansdowne!BM61+'Marten Falls'!BM61+Oba!BM61+Sachigo!BM61+'Sandy Lake'!BM61+Sultan!BM61+Wapekeka!BM61+Weagamow!BM61+Webequie!BM61+'Cat Lake'!BM61+Pikangikum!BM61+'Big Trout Lake'!BM61+'Poplar Hill'!BM61+'North Spirit'!BM61+Keewaywin!BM61+'Muskrat Dam'!BM61+Wunnumin!BM61+Wawakepewin!BM61</f>
        <v>2</v>
      </c>
      <c r="N59" s="70">
        <f>Armstrong!BN61+'Bearskin Lake'!BN61+Biscotasing!BN61+'Deer Lake'!BN61+'Fort Severn'!BN61+'Gull Bay'!BN61+Hillsport!BN61+Kasabonika!BN61+Kingfisher!BN61+Lansdowne!BN61+'Marten Falls'!BN61+Oba!BN61+Sachigo!BN61+'Sandy Lake'!BN61+Sultan!BN61+Wapekeka!BN61+Weagamow!BN61+Webequie!BN61+'Cat Lake'!BN61+Pikangikum!BN61+'Big Trout Lake'!BN61+'Poplar Hill'!BN61+'North Spirit'!BN61+Keewaywin!BN61+'Muskrat Dam'!BN61+Wunnumin!BN61+Wawakepewin!BN61</f>
        <v>2</v>
      </c>
      <c r="O59" s="70">
        <f>Armstrong!BO61+'Bearskin Lake'!BO61+Biscotasing!BO61+'Deer Lake'!BO61+'Fort Severn'!BO61+'Gull Bay'!BO61+Hillsport!BO61+Kasabonika!BO61+Kingfisher!BO61+Lansdowne!BO61+'Marten Falls'!BO61+Oba!BO61+Sachigo!BO61+'Sandy Lake'!BO61+Sultan!BO61+Wapekeka!BO61+Weagamow!BO61+Webequie!BO61+'Cat Lake'!BO61+Pikangikum!BO61+'Big Trout Lake'!BO61+'Poplar Hill'!BO61+'North Spirit'!BO61+Keewaywin!BO61+'Muskrat Dam'!BO61+Wunnumin!BO61+Wawakepewin!BO61</f>
        <v>3</v>
      </c>
    </row>
    <row r="60" spans="1:15" ht="15.75" customHeight="1" thickBot="1">
      <c r="A60" s="199" t="s">
        <v>30</v>
      </c>
      <c r="B60" s="240"/>
      <c r="C60" s="117"/>
      <c r="D60" s="117"/>
      <c r="E60" s="114">
        <f>Armstrong!BE62+'Bearskin Lake'!BE62+Biscotasing!BE62+'Deer Lake'!BE62+'Fort Severn'!BE62+'Gull Bay'!BE62+Hillsport!BE62+Kasabonika!BE62+Kingfisher!BE62+Lansdowne!BE62+'Marten Falls'!BE62+Oba!BE62+Sachigo!BE62+'Sandy Lake'!BE62+Sultan!BE62+Wapekeka!BE62+Weagamow!BE62+Webequie!BE62+'Cat Lake'!BE62+Pikangikum!BE62+'Big Trout Lake'!BE62+'Poplar Hill'!BE62+'North Spirit'!BE62+Keewaywin!BE62+'Muskrat Dam'!BE62+Wunnumin!BE62+Wawakepewin!BE62</f>
        <v>0</v>
      </c>
      <c r="F60" s="114">
        <f>Armstrong!BF62+'Bearskin Lake'!BF62+Biscotasing!BF62+'Deer Lake'!BF62+'Fort Severn'!BF62+'Gull Bay'!BF62+Hillsport!BF62+Kasabonika!BF62+Kingfisher!BF62+Lansdowne!BF62+'Marten Falls'!BF62+Oba!BF62+Sachigo!BF62+'Sandy Lake'!BF62+Sultan!BF62+Wapekeka!BF62+Weagamow!BF62+Webequie!BF62+'Cat Lake'!BF62+Pikangikum!BF62+'Big Trout Lake'!BF62+'Poplar Hill'!BF62+'North Spirit'!BF62+Keewaywin!BF62+'Muskrat Dam'!BF62+Wunnumin!BF62+Wawakepewin!BF62</f>
        <v>0</v>
      </c>
      <c r="G60" s="114">
        <f>Armstrong!BG62+'Bearskin Lake'!BG62+Biscotasing!BG62+'Deer Lake'!BG62+'Fort Severn'!BG62+'Gull Bay'!BG62+Hillsport!BG62+Kasabonika!BG62+Kingfisher!BG62+Lansdowne!BG62+'Marten Falls'!BG62+Oba!BG62+Sachigo!BG62+'Sandy Lake'!BG62+Sultan!BG62+Wapekeka!BG62+Weagamow!BG62+Webequie!BG62+'Cat Lake'!BG62+Pikangikum!BG62+'Big Trout Lake'!BG62+'Poplar Hill'!BG62+'North Spirit'!BG62+Keewaywin!BG62+'Muskrat Dam'!BG62+Wunnumin!BG62+Wawakepewin!BG62</f>
        <v>0</v>
      </c>
      <c r="H60" s="116">
        <f>Armstrong!BH62+'Bearskin Lake'!BH62+Biscotasing!BH62+'Deer Lake'!BH62+'Fort Severn'!BH62+'Gull Bay'!BH62+Hillsport!BH62+Kasabonika!BH62+Kingfisher!BH62+Lansdowne!BH62+'Marten Falls'!BH62+Oba!BH62+Sachigo!BH62+'Sandy Lake'!BH62+Sultan!BH62+Wapekeka!BH62+Weagamow!BH62+Webequie!BH62+'Cat Lake'!BH62+Pikangikum!BH62+'Big Trout Lake'!BH62+'Poplar Hill'!BH62+'North Spirit'!BH62+Keewaywin!BH62+'Muskrat Dam'!BH62+Wunnumin!BH62+Wawakepewin!BH62</f>
        <v>4880</v>
      </c>
      <c r="I60" s="116">
        <f>Armstrong!BI62+'Bearskin Lake'!BI62+Biscotasing!BI62+'Deer Lake'!BI62+'Fort Severn'!BI62+'Gull Bay'!BI62+Hillsport!BI62+Kasabonika!BI62+Kingfisher!BI62+Lansdowne!BI62+'Marten Falls'!BI62+Oba!BI62+Sachigo!BI62+'Sandy Lake'!BI62+Sultan!BI62+Wapekeka!BI62+Weagamow!BI62+Webequie!BI62+'Cat Lake'!BI62+Pikangikum!BI62+'Big Trout Lake'!BI62+'Poplar Hill'!BI62+'North Spirit'!BI62+Keewaywin!BI62+'Muskrat Dam'!BI62+Wunnumin!BI62+Wawakepewin!BI62</f>
        <v>4880</v>
      </c>
      <c r="J60" s="116">
        <f>Armstrong!BJ62+'Bearskin Lake'!BJ62+Biscotasing!BJ62+'Deer Lake'!BJ62+'Fort Severn'!BJ62+'Gull Bay'!BJ62+Hillsport!BJ62+Kasabonika!BJ62+Kingfisher!BJ62+Lansdowne!BJ62+'Marten Falls'!BJ62+Oba!BJ62+Sachigo!BJ62+'Sandy Lake'!BJ62+Sultan!BJ62+Wapekeka!BJ62+Weagamow!BJ62+Webequie!BJ62+'Cat Lake'!BJ62+Pikangikum!BJ62+'Big Trout Lake'!BJ62+'Poplar Hill'!BJ62+'North Spirit'!BJ62+Keewaywin!BJ62+'Muskrat Dam'!BJ62+Wunnumin!BJ62+Wawakepewin!BJ62</f>
        <v>4880</v>
      </c>
      <c r="K60" s="116">
        <f>Armstrong!BK62+'Bearskin Lake'!BK62+Biscotasing!BK62+'Deer Lake'!BK62+'Fort Severn'!BK62+'Gull Bay'!BK62+Hillsport!BK62+Kasabonika!BK62+Kingfisher!BK62+Lansdowne!BK62+'Marten Falls'!BK62+Oba!BK62+Sachigo!BK62+'Sandy Lake'!BK62+Sultan!BK62+Wapekeka!BK62+Weagamow!BK62+Webequie!BK62+'Cat Lake'!BK62+Pikangikum!BK62+'Big Trout Lake'!BK62+'Poplar Hill'!BK62+'North Spirit'!BK62+Keewaywin!BK62+'Muskrat Dam'!BK62+Wunnumin!BK62+Wawakepewin!BK62</f>
        <v>4880</v>
      </c>
      <c r="L60" s="116">
        <f>Armstrong!BL62+'Bearskin Lake'!BL62+Biscotasing!BL62+'Deer Lake'!BL62+'Fort Severn'!BL62+'Gull Bay'!BL62+Hillsport!BL62+Kasabonika!BL62+Kingfisher!BL62+Lansdowne!BL62+'Marten Falls'!BL62+Oba!BL62+Sachigo!BL62+'Sandy Lake'!BL62+Sultan!BL62+Wapekeka!BL62+Weagamow!BL62+Webequie!BL62+'Cat Lake'!BL62+Pikangikum!BL62+'Big Trout Lake'!BL62+'Poplar Hill'!BL62+'North Spirit'!BL62+Keewaywin!BL62+'Muskrat Dam'!BL62+Wunnumin!BL62+Wawakepewin!BL62</f>
        <v>4880</v>
      </c>
      <c r="M60" s="116">
        <f>Armstrong!BM62+'Bearskin Lake'!BM62+Biscotasing!BM62+'Deer Lake'!BM62+'Fort Severn'!BM62+'Gull Bay'!BM62+Hillsport!BM62+Kasabonika!BM62+Kingfisher!BM62+Lansdowne!BM62+'Marten Falls'!BM62+Oba!BM62+Sachigo!BM62+'Sandy Lake'!BM62+Sultan!BM62+Wapekeka!BM62+Weagamow!BM62+Webequie!BM62+'Cat Lake'!BM62+Pikangikum!BM62+'Big Trout Lake'!BM62+'Poplar Hill'!BM62+'North Spirit'!BM62+Keewaywin!BM62+'Muskrat Dam'!BM62+Wunnumin!BM62+Wawakepewin!BM62</f>
        <v>4880</v>
      </c>
      <c r="N60" s="485">
        <f>Armstrong!BN62+'Bearskin Lake'!BN62+Biscotasing!BN62+'Deer Lake'!BN62+'Fort Severn'!BN62+'Gull Bay'!BN62+Hillsport!BN62+Kasabonika!BN62+Kingfisher!BN62+Lansdowne!BN62+'Marten Falls'!BN62+Oba!BN62+Sachigo!BN62+'Sandy Lake'!BN62+Sultan!BN62+Wapekeka!BN62+Weagamow!BN62+Webequie!BN62+'Cat Lake'!BN62+Pikangikum!BN62+'Big Trout Lake'!BN62+'Poplar Hill'!BN62+'North Spirit'!BN62+Keewaywin!BN62+'Muskrat Dam'!BN62+Wunnumin!BN62+Wawakepewin!BN62</f>
        <v>29280</v>
      </c>
      <c r="O60" s="485">
        <f>Armstrong!BO62+'Bearskin Lake'!BO62+Biscotasing!BO62+'Deer Lake'!BO62+'Fort Severn'!BO62+'Gull Bay'!BO62+Hillsport!BO62+Kasabonika!BO62+Kingfisher!BO62+Lansdowne!BO62+'Marten Falls'!BO62+Oba!BO62+Sachigo!BO62+'Sandy Lake'!BO62+Sultan!BO62+Wapekeka!BO62+Weagamow!BO62+Webequie!BO62+'Cat Lake'!BO62+Pikangikum!BO62+'Big Trout Lake'!BO62+'Poplar Hill'!BO62+'North Spirit'!BO62+Keewaywin!BO62+'Muskrat Dam'!BO62+Wunnumin!BO62+Wawakepewin!BO62</f>
        <v>78960</v>
      </c>
    </row>
    <row r="61" spans="1:15" s="2" customFormat="1" ht="16.5" customHeight="1" thickTop="1">
      <c r="A61" s="199"/>
      <c r="B61" s="118"/>
      <c r="C61" s="82"/>
      <c r="D61" s="82"/>
      <c r="E61" s="108"/>
      <c r="F61" s="108"/>
      <c r="G61" s="108"/>
      <c r="H61" s="71"/>
      <c r="I61" s="71"/>
      <c r="J61" s="71"/>
      <c r="K61" s="71"/>
      <c r="L61" s="71"/>
      <c r="M61" s="71"/>
      <c r="N61" s="70"/>
      <c r="O61" s="70"/>
    </row>
    <row r="62" spans="1:15" ht="15" customHeight="1">
      <c r="A62" s="198" t="s">
        <v>66</v>
      </c>
      <c r="B62" s="24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61"/>
      <c r="O62" s="61"/>
    </row>
    <row r="63" spans="1:15" ht="15" customHeight="1">
      <c r="A63" s="2" t="s">
        <v>49</v>
      </c>
      <c r="B63" s="123"/>
      <c r="C63" s="109"/>
      <c r="D63" s="109"/>
      <c r="E63" s="108">
        <f>Armstrong!BE65+'Bearskin Lake'!BE65+Biscotasing!BE65+'Deer Lake'!BE65+'Fort Severn'!BE65+'Gull Bay'!BE65+Hillsport!BE65+Kasabonika!BE65+Kingfisher!BE65+Lansdowne!BE65+'Marten Falls'!BE65+Oba!BE65+Sachigo!BE65+'Sandy Lake'!BE65+Sultan!BE65+Wapekeka!BE65+Weagamow!BE65+Webequie!BE65+'Cat Lake'!BE65+Pikangikum!BE65+'Big Trout Lake'!BE65+'Poplar Hill'!BE65+'North Spirit'!BE65+Keewaywin!BE65+'Muskrat Dam'!BE65+Wunnumin!BE65+Wawakepewin!BE65</f>
        <v>4</v>
      </c>
      <c r="F63" s="108">
        <f>Armstrong!BF65+'Bearskin Lake'!BF65+Biscotasing!BF65+'Deer Lake'!BF65+'Fort Severn'!BF65+'Gull Bay'!BF65+Hillsport!BF65+Kasabonika!BF65+Kingfisher!BF65+Lansdowne!BF65+'Marten Falls'!BF65+Oba!BF65+Sachigo!BF65+'Sandy Lake'!BF65+Sultan!BF65+Wapekeka!BF65+Weagamow!BF65+Webequie!BF65+'Cat Lake'!BF65+Pikangikum!BF65+'Big Trout Lake'!BF65+'Poplar Hill'!BF65+'North Spirit'!BF65+Keewaywin!BF65+'Muskrat Dam'!BF65+Wunnumin!BF65+Wawakepewin!BF65</f>
        <v>4</v>
      </c>
      <c r="G63" s="108">
        <f>Armstrong!BG65+'Bearskin Lake'!BG65+Biscotasing!BG65+'Deer Lake'!BG65+'Fort Severn'!BG65+'Gull Bay'!BG65+Hillsport!BG65+Kasabonika!BG65+Kingfisher!BG65+Lansdowne!BG65+'Marten Falls'!BG65+Oba!BG65+Sachigo!BG65+'Sandy Lake'!BG65+Sultan!BG65+Wapekeka!BG65+Weagamow!BG65+Webequie!BG65+'Cat Lake'!BG65+Pikangikum!BG65+'Big Trout Lake'!BG65+'Poplar Hill'!BG65+'North Spirit'!BG65+Keewaywin!BG65+'Muskrat Dam'!BG65+Wunnumin!BG65+Wawakepewin!BG65</f>
        <v>4</v>
      </c>
      <c r="H63" s="71">
        <f>Armstrong!BH65+'Bearskin Lake'!BH65+Biscotasing!BH65+'Deer Lake'!BH65+'Fort Severn'!BH65+'Gull Bay'!BH65+Hillsport!BH65+Kasabonika!BH65+Kingfisher!BH65+Lansdowne!BH65+'Marten Falls'!BH65+Oba!BH65+Sachigo!BH65+'Sandy Lake'!BH65+Sultan!BH65+Wapekeka!BH65+Weagamow!BH65+Webequie!BH65+'Cat Lake'!BH65+Pikangikum!BH65+'Big Trout Lake'!BH65+'Poplar Hill'!BH65+'North Spirit'!BH65+Keewaywin!BH65+'Muskrat Dam'!BH65+Wunnumin!BH65+Wawakepewin!BH65</f>
        <v>4</v>
      </c>
      <c r="I63" s="71">
        <f>Armstrong!BI65+'Bearskin Lake'!BI65+Biscotasing!BI65+'Deer Lake'!BI65+'Fort Severn'!BI65+'Gull Bay'!BI65+Hillsport!BI65+Kasabonika!BI65+Kingfisher!BI65+Lansdowne!BI65+'Marten Falls'!BI65+Oba!BI65+Sachigo!BI65+'Sandy Lake'!BI65+Sultan!BI65+Wapekeka!BI65+Weagamow!BI65+Webequie!BI65+'Cat Lake'!BI65+Pikangikum!BI65+'Big Trout Lake'!BI65+'Poplar Hill'!BI65+'North Spirit'!BI65+Keewaywin!BI65+'Muskrat Dam'!BI65+Wunnumin!BI65+Wawakepewin!BI65</f>
        <v>4</v>
      </c>
      <c r="J63" s="71">
        <f>Armstrong!BJ65+'Bearskin Lake'!BJ65+Biscotasing!BJ65+'Deer Lake'!BJ65+'Fort Severn'!BJ65+'Gull Bay'!BJ65+Hillsport!BJ65+Kasabonika!BJ65+Kingfisher!BJ65+Lansdowne!BJ65+'Marten Falls'!BJ65+Oba!BJ65+Sachigo!BJ65+'Sandy Lake'!BJ65+Sultan!BJ65+Wapekeka!BJ65+Weagamow!BJ65+Webequie!BJ65+'Cat Lake'!BJ65+Pikangikum!BJ65+'Big Trout Lake'!BJ65+'Poplar Hill'!BJ65+'North Spirit'!BJ65+Keewaywin!BJ65+'Muskrat Dam'!BJ65+Wunnumin!BJ65+Wawakepewin!BJ65</f>
        <v>4</v>
      </c>
      <c r="K63" s="71">
        <f>Armstrong!BK65+'Bearskin Lake'!BK65+Biscotasing!BK65+'Deer Lake'!BK65+'Fort Severn'!BK65+'Gull Bay'!BK65+Hillsport!BK65+Kasabonika!BK65+Kingfisher!BK65+Lansdowne!BK65+'Marten Falls'!BK65+Oba!BK65+Sachigo!BK65+'Sandy Lake'!BK65+Sultan!BK65+Wapekeka!BK65+Weagamow!BK65+Webequie!BK65+'Cat Lake'!BK65+Pikangikum!BK65+'Big Trout Lake'!BK65+'Poplar Hill'!BK65+'North Spirit'!BK65+Keewaywin!BK65+'Muskrat Dam'!BK65+Wunnumin!BK65+Wawakepewin!BK65</f>
        <v>4</v>
      </c>
      <c r="L63" s="71">
        <f>Armstrong!BL65+'Bearskin Lake'!BL65+Biscotasing!BL65+'Deer Lake'!BL65+'Fort Severn'!BL65+'Gull Bay'!BL65+Hillsport!BL65+Kasabonika!BL65+Kingfisher!BL65+Lansdowne!BL65+'Marten Falls'!BL65+Oba!BL65+Sachigo!BL65+'Sandy Lake'!BL65+Sultan!BL65+Wapekeka!BL65+Weagamow!BL65+Webequie!BL65+'Cat Lake'!BL65+Pikangikum!BL65+'Big Trout Lake'!BL65+'Poplar Hill'!BL65+'North Spirit'!BL65+Keewaywin!BL65+'Muskrat Dam'!BL65+Wunnumin!BL65+Wawakepewin!BL65</f>
        <v>4</v>
      </c>
      <c r="M63" s="71">
        <f>Armstrong!BM65+'Bearskin Lake'!BM65+Biscotasing!BM65+'Deer Lake'!BM65+'Fort Severn'!BM65+'Gull Bay'!BM65+Hillsport!BM65+Kasabonika!BM65+Kingfisher!BM65+Lansdowne!BM65+'Marten Falls'!BM65+Oba!BM65+Sachigo!BM65+'Sandy Lake'!BM65+Sultan!BM65+Wapekeka!BM65+Weagamow!BM65+Webequie!BM65+'Cat Lake'!BM65+Pikangikum!BM65+'Big Trout Lake'!BM65+'Poplar Hill'!BM65+'North Spirit'!BM65+Keewaywin!BM65+'Muskrat Dam'!BM65+Wunnumin!BM65+Wawakepewin!BM65</f>
        <v>4</v>
      </c>
      <c r="N63" s="70">
        <f>Armstrong!BN65+'Bearskin Lake'!BN65+Biscotasing!BN65+'Deer Lake'!BN65+'Fort Severn'!BN65+'Gull Bay'!BN65+Hillsport!BN65+Kasabonika!BN65+Kingfisher!BN65+Lansdowne!BN65+'Marten Falls'!BN65+Oba!BN65+Sachigo!BN65+'Sandy Lake'!BN65+Sultan!BN65+Wapekeka!BN65+Weagamow!BN65+Webequie!BN65+'Cat Lake'!BN65+Pikangikum!BN65+'Big Trout Lake'!BN65+'Poplar Hill'!BN65+'North Spirit'!BN65+Keewaywin!BN65+'Muskrat Dam'!BN65+Wunnumin!BN65+Wawakepewin!BN65</f>
        <v>4</v>
      </c>
      <c r="O63" s="70">
        <f>Armstrong!BO65+'Bearskin Lake'!BO65+Biscotasing!BO65+'Deer Lake'!BO65+'Fort Severn'!BO65+'Gull Bay'!BO65+Hillsport!BO65+Kasabonika!BO65+Kingfisher!BO65+Lansdowne!BO65+'Marten Falls'!BO65+Oba!BO65+Sachigo!BO65+'Sandy Lake'!BO65+Sultan!BO65+Wapekeka!BO65+Weagamow!BO65+Webequie!BO65+'Cat Lake'!BO65+Pikangikum!BO65+'Big Trout Lake'!BO65+'Poplar Hill'!BO65+'North Spirit'!BO65+Keewaywin!BO65+'Muskrat Dam'!BO65+Wunnumin!BO65+Wawakepewin!BO65</f>
        <v>4</v>
      </c>
    </row>
    <row r="64" spans="1:15" ht="15" customHeight="1">
      <c r="A64" s="2" t="s">
        <v>67</v>
      </c>
      <c r="B64" s="123"/>
      <c r="C64" s="109"/>
      <c r="D64" s="109"/>
      <c r="E64" s="108">
        <f>Armstrong!BE66+'Bearskin Lake'!BE66+Biscotasing!BE66+'Deer Lake'!BE66+'Fort Severn'!BE66+'Gull Bay'!BE66+Hillsport!BE66+Kasabonika!BE66+Kingfisher!BE66+Lansdowne!BE66+'Marten Falls'!BE66+Oba!BE66+Sachigo!BE66+'Sandy Lake'!BE66+Sultan!BE66+Wapekeka!BE66+Weagamow!BE66+Webequie!BE66+'Cat Lake'!BE66+Pikangikum!BE66+'Big Trout Lake'!BE66+'Poplar Hill'!BE66+'North Spirit'!BE66+Keewaywin!BE66+'Muskrat Dam'!BE66+Wunnumin!BE66+Wawakepewin!BE66</f>
        <v>1000</v>
      </c>
      <c r="F64" s="108">
        <f>Armstrong!BF66+'Bearskin Lake'!BF66+Biscotasing!BF66+'Deer Lake'!BF66+'Fort Severn'!BF66+'Gull Bay'!BF66+Hillsport!BF66+Kasabonika!BF66+Kingfisher!BF66+Lansdowne!BF66+'Marten Falls'!BF66+Oba!BF66+Sachigo!BF66+'Sandy Lake'!BF66+Sultan!BF66+Wapekeka!BF66+Weagamow!BF66+Webequie!BF66+'Cat Lake'!BF66+Pikangikum!BF66+'Big Trout Lake'!BF66+'Poplar Hill'!BF66+'North Spirit'!BF66+Keewaywin!BF66+'Muskrat Dam'!BF66+Wunnumin!BF66+Wawakepewin!BF66</f>
        <v>1000</v>
      </c>
      <c r="G64" s="108">
        <f>Armstrong!BG66+'Bearskin Lake'!BG66+Biscotasing!BG66+'Deer Lake'!BG66+'Fort Severn'!BG66+'Gull Bay'!BG66+Hillsport!BG66+Kasabonika!BG66+Kingfisher!BG66+Lansdowne!BG66+'Marten Falls'!BG66+Oba!BG66+Sachigo!BG66+'Sandy Lake'!BG66+Sultan!BG66+Wapekeka!BG66+Weagamow!BG66+Webequie!BG66+'Cat Lake'!BG66+Pikangikum!BG66+'Big Trout Lake'!BG66+'Poplar Hill'!BG66+'North Spirit'!BG66+Keewaywin!BG66+'Muskrat Dam'!BG66+Wunnumin!BG66+Wawakepewin!BG66</f>
        <v>1000</v>
      </c>
      <c r="H64" s="71">
        <f>Armstrong!BH66+'Bearskin Lake'!BH66+Biscotasing!BH66+'Deer Lake'!BH66+'Fort Severn'!BH66+'Gull Bay'!BH66+Hillsport!BH66+Kasabonika!BH66+Kingfisher!BH66+Lansdowne!BH66+'Marten Falls'!BH66+Oba!BH66+Sachigo!BH66+'Sandy Lake'!BH66+Sultan!BH66+Wapekeka!BH66+Weagamow!BH66+Webequie!BH66+'Cat Lake'!BH66+Pikangikum!BH66+'Big Trout Lake'!BH66+'Poplar Hill'!BH66+'North Spirit'!BH66+Keewaywin!BH66+'Muskrat Dam'!BH66+Wunnumin!BH66+Wawakepewin!BH66</f>
        <v>1000</v>
      </c>
      <c r="I64" s="71">
        <f>Armstrong!BI66+'Bearskin Lake'!BI66+Biscotasing!BI66+'Deer Lake'!BI66+'Fort Severn'!BI66+'Gull Bay'!BI66+Hillsport!BI66+Kasabonika!BI66+Kingfisher!BI66+Lansdowne!BI66+'Marten Falls'!BI66+Oba!BI66+Sachigo!BI66+'Sandy Lake'!BI66+Sultan!BI66+Wapekeka!BI66+Weagamow!BI66+Webequie!BI66+'Cat Lake'!BI66+Pikangikum!BI66+'Big Trout Lake'!BI66+'Poplar Hill'!BI66+'North Spirit'!BI66+Keewaywin!BI66+'Muskrat Dam'!BI66+Wunnumin!BI66+Wawakepewin!BI66</f>
        <v>1000</v>
      </c>
      <c r="J64" s="71">
        <f>Armstrong!BJ66+'Bearskin Lake'!BJ66+Biscotasing!BJ66+'Deer Lake'!BJ66+'Fort Severn'!BJ66+'Gull Bay'!BJ66+Hillsport!BJ66+Kasabonika!BJ66+Kingfisher!BJ66+Lansdowne!BJ66+'Marten Falls'!BJ66+Oba!BJ66+Sachigo!BJ66+'Sandy Lake'!BJ66+Sultan!BJ66+Wapekeka!BJ66+Weagamow!BJ66+Webequie!BJ66+'Cat Lake'!BJ66+Pikangikum!BJ66+'Big Trout Lake'!BJ66+'Poplar Hill'!BJ66+'North Spirit'!BJ66+Keewaywin!BJ66+'Muskrat Dam'!BJ66+Wunnumin!BJ66+Wawakepewin!BJ66</f>
        <v>1000</v>
      </c>
      <c r="K64" s="71">
        <f>Armstrong!BK66+'Bearskin Lake'!BK66+Biscotasing!BK66+'Deer Lake'!BK66+'Fort Severn'!BK66+'Gull Bay'!BK66+Hillsport!BK66+Kasabonika!BK66+Kingfisher!BK66+Lansdowne!BK66+'Marten Falls'!BK66+Oba!BK66+Sachigo!BK66+'Sandy Lake'!BK66+Sultan!BK66+Wapekeka!BK66+Weagamow!BK66+Webequie!BK66+'Cat Lake'!BK66+Pikangikum!BK66+'Big Trout Lake'!BK66+'Poplar Hill'!BK66+'North Spirit'!BK66+Keewaywin!BK66+'Muskrat Dam'!BK66+Wunnumin!BK66+Wawakepewin!BK66</f>
        <v>1000</v>
      </c>
      <c r="L64" s="71">
        <f>Armstrong!BL66+'Bearskin Lake'!BL66+Biscotasing!BL66+'Deer Lake'!BL66+'Fort Severn'!BL66+'Gull Bay'!BL66+Hillsport!BL66+Kasabonika!BL66+Kingfisher!BL66+Lansdowne!BL66+'Marten Falls'!BL66+Oba!BL66+Sachigo!BL66+'Sandy Lake'!BL66+Sultan!BL66+Wapekeka!BL66+Weagamow!BL66+Webequie!BL66+'Cat Lake'!BL66+Pikangikum!BL66+'Big Trout Lake'!BL66+'Poplar Hill'!BL66+'North Spirit'!BL66+Keewaywin!BL66+'Muskrat Dam'!BL66+Wunnumin!BL66+Wawakepewin!BL66</f>
        <v>1000</v>
      </c>
      <c r="M64" s="71">
        <f>Armstrong!BM66+'Bearskin Lake'!BM66+Biscotasing!BM66+'Deer Lake'!BM66+'Fort Severn'!BM66+'Gull Bay'!BM66+Hillsport!BM66+Kasabonika!BM66+Kingfisher!BM66+Lansdowne!BM66+'Marten Falls'!BM66+Oba!BM66+Sachigo!BM66+'Sandy Lake'!BM66+Sultan!BM66+Wapekeka!BM66+Weagamow!BM66+Webequie!BM66+'Cat Lake'!BM66+Pikangikum!BM66+'Big Trout Lake'!BM66+'Poplar Hill'!BM66+'North Spirit'!BM66+Keewaywin!BM66+'Muskrat Dam'!BM66+Wunnumin!BM66+Wawakepewin!BM66</f>
        <v>1000</v>
      </c>
      <c r="N64" s="70">
        <f>Armstrong!BN66+'Bearskin Lake'!BN66+Biscotasing!BN66+'Deer Lake'!BN66+'Fort Severn'!BN66+'Gull Bay'!BN66+Hillsport!BN66+Kasabonika!BN66+Kingfisher!BN66+Lansdowne!BN66+'Marten Falls'!BN66+Oba!BN66+Sachigo!BN66+'Sandy Lake'!BN66+Sultan!BN66+Wapekeka!BN66+Weagamow!BN66+Webequie!BN66+'Cat Lake'!BN66+Pikangikum!BN66+'Big Trout Lake'!BN66+'Poplar Hill'!BN66+'North Spirit'!BN66+Keewaywin!BN66+'Muskrat Dam'!BN66+Wunnumin!BN66+Wawakepewin!BN66</f>
        <v>12000</v>
      </c>
      <c r="O64" s="70">
        <f>Armstrong!BO66+'Bearskin Lake'!BO66+Biscotasing!BO66+'Deer Lake'!BO66+'Fort Severn'!BO66+'Gull Bay'!BO66+Hillsport!BO66+Kasabonika!BO66+Kingfisher!BO66+Lansdowne!BO66+'Marten Falls'!BO66+Oba!BO66+Sachigo!BO66+'Sandy Lake'!BO66+Sultan!BO66+Wapekeka!BO66+Weagamow!BO66+Webequie!BO66+'Cat Lake'!BO66+Pikangikum!BO66+'Big Trout Lake'!BO66+'Poplar Hill'!BO66+'North Spirit'!BO66+Keewaywin!BO66+'Muskrat Dam'!BO66+Wunnumin!BO66+Wawakepewin!BO66</f>
        <v>12000</v>
      </c>
    </row>
    <row r="65" spans="1:15" ht="15" customHeight="1">
      <c r="A65" s="2" t="s">
        <v>52</v>
      </c>
      <c r="B65" s="123"/>
      <c r="C65" s="109"/>
      <c r="D65" s="109"/>
      <c r="E65" s="108">
        <f>Armstrong!BE67+'Bearskin Lake'!BE67+Biscotasing!BE67+'Deer Lake'!BE67+'Fort Severn'!BE67+'Gull Bay'!BE67+Hillsport!BE67+Kasabonika!BE67+Kingfisher!BE67+Lansdowne!BE67+'Marten Falls'!BE67+Oba!BE67+Sachigo!BE67+'Sandy Lake'!BE67+Sultan!BE67+Wapekeka!BE67+Weagamow!BE67+Webequie!BE67+'Cat Lake'!BE67+Pikangikum!BE67+'Big Trout Lake'!BE67+'Poplar Hill'!BE67+'North Spirit'!BE67+Keewaywin!BE67+'Muskrat Dam'!BE67+Wunnumin!BE67+Wawakepewin!BE67</f>
        <v>651</v>
      </c>
      <c r="F65" s="108">
        <f>Armstrong!BF67+'Bearskin Lake'!BF67+Biscotasing!BF67+'Deer Lake'!BF67+'Fort Severn'!BF67+'Gull Bay'!BF67+Hillsport!BF67+Kasabonika!BF67+Kingfisher!BF67+Lansdowne!BF67+'Marten Falls'!BF67+Oba!BF67+Sachigo!BF67+'Sandy Lake'!BF67+Sultan!BF67+Wapekeka!BF67+Weagamow!BF67+Webequie!BF67+'Cat Lake'!BF67+Pikangikum!BF67+'Big Trout Lake'!BF67+'Poplar Hill'!BF67+'North Spirit'!BF67+Keewaywin!BF67+'Muskrat Dam'!BF67+Wunnumin!BF67+Wawakepewin!BF67</f>
        <v>1117</v>
      </c>
      <c r="G65" s="108">
        <f>Armstrong!BG67+'Bearskin Lake'!BG67+Biscotasing!BG67+'Deer Lake'!BG67+'Fort Severn'!BG67+'Gull Bay'!BG67+Hillsport!BG67+Kasabonika!BG67+Kingfisher!BG67+Lansdowne!BG67+'Marten Falls'!BG67+Oba!BG67+Sachigo!BG67+'Sandy Lake'!BG67+Sultan!BG67+Wapekeka!BG67+Weagamow!BG67+Webequie!BG67+'Cat Lake'!BG67+Pikangikum!BG67+'Big Trout Lake'!BG67+'Poplar Hill'!BG67+'North Spirit'!BG67+Keewaywin!BG67+'Muskrat Dam'!BG67+Wunnumin!BG67+Wawakepewin!BG67</f>
        <v>980</v>
      </c>
      <c r="H65" s="71">
        <f>Armstrong!BH67+'Bearskin Lake'!BH67+Biscotasing!BH67+'Deer Lake'!BH67+'Fort Severn'!BH67+'Gull Bay'!BH67+Hillsport!BH67+Kasabonika!BH67+Kingfisher!BH67+Lansdowne!BH67+'Marten Falls'!BH67+Oba!BH67+Sachigo!BH67+'Sandy Lake'!BH67+Sultan!BH67+Wapekeka!BH67+Weagamow!BH67+Webequie!BH67+'Cat Lake'!BH67+Pikangikum!BH67+'Big Trout Lake'!BH67+'Poplar Hill'!BH67+'North Spirit'!BH67+Keewaywin!BH67+'Muskrat Dam'!BH67+Wunnumin!BH67+Wawakepewin!BH67</f>
        <v>456</v>
      </c>
      <c r="I65" s="71">
        <f>Armstrong!BI67+'Bearskin Lake'!BI67+Biscotasing!BI67+'Deer Lake'!BI67+'Fort Severn'!BI67+'Gull Bay'!BI67+Hillsport!BI67+Kasabonika!BI67+Kingfisher!BI67+Lansdowne!BI67+'Marten Falls'!BI67+Oba!BI67+Sachigo!BI67+'Sandy Lake'!BI67+Sultan!BI67+Wapekeka!BI67+Weagamow!BI67+Webequie!BI67+'Cat Lake'!BI67+Pikangikum!BI67+'Big Trout Lake'!BI67+'Poplar Hill'!BI67+'North Spirit'!BI67+Keewaywin!BI67+'Muskrat Dam'!BI67+Wunnumin!BI67+Wawakepewin!BI67</f>
        <v>870</v>
      </c>
      <c r="J65" s="71">
        <f>Armstrong!BJ67+'Bearskin Lake'!BJ67+Biscotasing!BJ67+'Deer Lake'!BJ67+'Fort Severn'!BJ67+'Gull Bay'!BJ67+Hillsport!BJ67+Kasabonika!BJ67+Kingfisher!BJ67+Lansdowne!BJ67+'Marten Falls'!BJ67+Oba!BJ67+Sachigo!BJ67+'Sandy Lake'!BJ67+Sultan!BJ67+Wapekeka!BJ67+Weagamow!BJ67+Webequie!BJ67+'Cat Lake'!BJ67+Pikangikum!BJ67+'Big Trout Lake'!BJ67+'Poplar Hill'!BJ67+'North Spirit'!BJ67+Keewaywin!BJ67+'Muskrat Dam'!BJ67+Wunnumin!BJ67+Wawakepewin!BJ67</f>
        <v>683</v>
      </c>
      <c r="K65" s="71">
        <f>Armstrong!BK67+'Bearskin Lake'!BK67+Biscotasing!BK67+'Deer Lake'!BK67+'Fort Severn'!BK67+'Gull Bay'!BK67+Hillsport!BK67+Kasabonika!BK67+Kingfisher!BK67+Lansdowne!BK67+'Marten Falls'!BK67+Oba!BK67+Sachigo!BK67+'Sandy Lake'!BK67+Sultan!BK67+Wapekeka!BK67+Weagamow!BK67+Webequie!BK67+'Cat Lake'!BK67+Pikangikum!BK67+'Big Trout Lake'!BK67+'Poplar Hill'!BK67+'North Spirit'!BK67+Keewaywin!BK67+'Muskrat Dam'!BK67+Wunnumin!BK67+Wawakepewin!BK67</f>
        <v>1058</v>
      </c>
      <c r="L65" s="71">
        <f>Armstrong!BL67+'Bearskin Lake'!BL67+Biscotasing!BL67+'Deer Lake'!BL67+'Fort Severn'!BL67+'Gull Bay'!BL67+Hillsport!BL67+Kasabonika!BL67+Kingfisher!BL67+Lansdowne!BL67+'Marten Falls'!BL67+Oba!BL67+Sachigo!BL67+'Sandy Lake'!BL67+Sultan!BL67+Wapekeka!BL67+Weagamow!BL67+Webequie!BL67+'Cat Lake'!BL67+Pikangikum!BL67+'Big Trout Lake'!BL67+'Poplar Hill'!BL67+'North Spirit'!BL67+Keewaywin!BL67+'Muskrat Dam'!BL67+Wunnumin!BL67+Wawakepewin!BL67</f>
        <v>2087</v>
      </c>
      <c r="M65" s="71">
        <f>Armstrong!BM67+'Bearskin Lake'!BM67+Biscotasing!BM67+'Deer Lake'!BM67+'Fort Severn'!BM67+'Gull Bay'!BM67+Hillsport!BM67+Kasabonika!BM67+Kingfisher!BM67+Lansdowne!BM67+'Marten Falls'!BM67+Oba!BM67+Sachigo!BM67+'Sandy Lake'!BM67+Sultan!BM67+Wapekeka!BM67+Weagamow!BM67+Webequie!BM67+'Cat Lake'!BM67+Pikangikum!BM67+'Big Trout Lake'!BM67+'Poplar Hill'!BM67+'North Spirit'!BM67+Keewaywin!BM67+'Muskrat Dam'!BM67+Wunnumin!BM67+Wawakepewin!BM67</f>
        <v>1620</v>
      </c>
      <c r="N65" s="70">
        <f>Armstrong!BN67+'Bearskin Lake'!BN67+Biscotasing!BN67+'Deer Lake'!BN67+'Fort Severn'!BN67+'Gull Bay'!BN67+Hillsport!BN67+Kasabonika!BN67+Kingfisher!BN67+Lansdowne!BN67+'Marten Falls'!BN67+Oba!BN67+Sachigo!BN67+'Sandy Lake'!BN67+Sultan!BN67+Wapekeka!BN67+Weagamow!BN67+Webequie!BN67+'Cat Lake'!BN67+Pikangikum!BN67+'Big Trout Lake'!BN67+'Poplar Hill'!BN67+'North Spirit'!BN67+Keewaywin!BN67+'Muskrat Dam'!BN67+Wunnumin!BN67+Wawakepewin!BN67</f>
        <v>14132</v>
      </c>
      <c r="O65" s="70">
        <f>Armstrong!BO67+'Bearskin Lake'!BO67+Biscotasing!BO67+'Deer Lake'!BO67+'Fort Severn'!BO67+'Gull Bay'!BO67+Hillsport!BO67+Kasabonika!BO67+Kingfisher!BO67+Lansdowne!BO67+'Marten Falls'!BO67+Oba!BO67+Sachigo!BO67+'Sandy Lake'!BO67+Sultan!BO67+Wapekeka!BO67+Weagamow!BO67+Webequie!BO67+'Cat Lake'!BO67+Pikangikum!BO67+'Big Trout Lake'!BO67+'Poplar Hill'!BO67+'North Spirit'!BO67+Keewaywin!BO67+'Muskrat Dam'!BO67+Wunnumin!BO67+Wawakepewin!BO67</f>
        <v>14132</v>
      </c>
    </row>
    <row r="66" spans="1:15" ht="15.75" customHeight="1" thickBot="1">
      <c r="A66" s="199" t="s">
        <v>30</v>
      </c>
      <c r="B66" s="240"/>
      <c r="C66" s="117"/>
      <c r="D66" s="117"/>
      <c r="E66" s="114">
        <f>Armstrong!BE68+'Bearskin Lake'!BE68+Biscotasing!BE68+'Deer Lake'!BE68+'Fort Severn'!BE68+'Gull Bay'!BE68+Hillsport!BE68+Kasabonika!BE68+Kingfisher!BE68+Lansdowne!BE68+'Marten Falls'!BE68+Oba!BE68+Sachigo!BE68+'Sandy Lake'!BE68+Sultan!BE68+Wapekeka!BE68+Weagamow!BE68+Webequie!BE68+'Cat Lake'!BE68+Pikangikum!BE68+'Big Trout Lake'!BE68+'Poplar Hill'!BE68+'North Spirit'!BE68+Keewaywin!BE68+'Muskrat Dam'!BE68+Wunnumin!BE68+Wawakepewin!BE68</f>
        <v>1651</v>
      </c>
      <c r="F66" s="114">
        <f>Armstrong!BF68+'Bearskin Lake'!BF68+Biscotasing!BF68+'Deer Lake'!BF68+'Fort Severn'!BF68+'Gull Bay'!BF68+Hillsport!BF68+Kasabonika!BF68+Kingfisher!BF68+Lansdowne!BF68+'Marten Falls'!BF68+Oba!BF68+Sachigo!BF68+'Sandy Lake'!BF68+Sultan!BF68+Wapekeka!BF68+Weagamow!BF68+Webequie!BF68+'Cat Lake'!BF68+Pikangikum!BF68+'Big Trout Lake'!BF68+'Poplar Hill'!BF68+'North Spirit'!BF68+Keewaywin!BF68+'Muskrat Dam'!BF68+Wunnumin!BF68+Wawakepewin!BF68</f>
        <v>2117</v>
      </c>
      <c r="G66" s="114">
        <f>Armstrong!BG68+'Bearskin Lake'!BG68+Biscotasing!BG68+'Deer Lake'!BG68+'Fort Severn'!BG68+'Gull Bay'!BG68+Hillsport!BG68+Kasabonika!BG68+Kingfisher!BG68+Lansdowne!BG68+'Marten Falls'!BG68+Oba!BG68+Sachigo!BG68+'Sandy Lake'!BG68+Sultan!BG68+Wapekeka!BG68+Weagamow!BG68+Webequie!BG68+'Cat Lake'!BG68+Pikangikum!BG68+'Big Trout Lake'!BG68+'Poplar Hill'!BG68+'North Spirit'!BG68+Keewaywin!BG68+'Muskrat Dam'!BG68+Wunnumin!BG68+Wawakepewin!BG68</f>
        <v>1980</v>
      </c>
      <c r="H66" s="114">
        <f>Armstrong!BH68+'Bearskin Lake'!BH68+Biscotasing!BH68+'Deer Lake'!BH68+'Fort Severn'!BH68+'Gull Bay'!BH68+Hillsport!BH68+Kasabonika!BH68+Kingfisher!BH68+Lansdowne!BH68+'Marten Falls'!BH68+Oba!BH68+Sachigo!BH68+'Sandy Lake'!BH68+Sultan!BH68+Wapekeka!BH68+Weagamow!BH68+Webequie!BH68+'Cat Lake'!BH68+Pikangikum!BH68+'Big Trout Lake'!BH68+'Poplar Hill'!BH68+'North Spirit'!BH68+Keewaywin!BH68+'Muskrat Dam'!BH68+Wunnumin!BH68+Wawakepewin!BH68</f>
        <v>1456</v>
      </c>
      <c r="I66" s="114">
        <f>Armstrong!BI68+'Bearskin Lake'!BI68+Biscotasing!BI68+'Deer Lake'!BI68+'Fort Severn'!BI68+'Gull Bay'!BI68+Hillsport!BI68+Kasabonika!BI68+Kingfisher!BI68+Lansdowne!BI68+'Marten Falls'!BI68+Oba!BI68+Sachigo!BI68+'Sandy Lake'!BI68+Sultan!BI68+Wapekeka!BI68+Weagamow!BI68+Webequie!BI68+'Cat Lake'!BI68+Pikangikum!BI68+'Big Trout Lake'!BI68+'Poplar Hill'!BI68+'North Spirit'!BI68+Keewaywin!BI68+'Muskrat Dam'!BI68+Wunnumin!BI68+Wawakepewin!BI68</f>
        <v>1870</v>
      </c>
      <c r="J66" s="114">
        <f>Armstrong!BJ68+'Bearskin Lake'!BJ68+Biscotasing!BJ68+'Deer Lake'!BJ68+'Fort Severn'!BJ68+'Gull Bay'!BJ68+Hillsport!BJ68+Kasabonika!BJ68+Kingfisher!BJ68+Lansdowne!BJ68+'Marten Falls'!BJ68+Oba!BJ68+Sachigo!BJ68+'Sandy Lake'!BJ68+Sultan!BJ68+Wapekeka!BJ68+Weagamow!BJ68+Webequie!BJ68+'Cat Lake'!BJ68+Pikangikum!BJ68+'Big Trout Lake'!BJ68+'Poplar Hill'!BJ68+'North Spirit'!BJ68+Keewaywin!BJ68+'Muskrat Dam'!BJ68+Wunnumin!BJ68+Wawakepewin!BJ68</f>
        <v>1683</v>
      </c>
      <c r="K66" s="114">
        <f>Armstrong!BK68+'Bearskin Lake'!BK68+Biscotasing!BK68+'Deer Lake'!BK68+'Fort Severn'!BK68+'Gull Bay'!BK68+Hillsport!BK68+Kasabonika!BK68+Kingfisher!BK68+Lansdowne!BK68+'Marten Falls'!BK68+Oba!BK68+Sachigo!BK68+'Sandy Lake'!BK68+Sultan!BK68+Wapekeka!BK68+Weagamow!BK68+Webequie!BK68+'Cat Lake'!BK68+Pikangikum!BK68+'Big Trout Lake'!BK68+'Poplar Hill'!BK68+'North Spirit'!BK68+Keewaywin!BK68+'Muskrat Dam'!BK68+Wunnumin!BK68+Wawakepewin!BK68</f>
        <v>2058</v>
      </c>
      <c r="L66" s="114">
        <f>Armstrong!BL68+'Bearskin Lake'!BL68+Biscotasing!BL68+'Deer Lake'!BL68+'Fort Severn'!BL68+'Gull Bay'!BL68+Hillsport!BL68+Kasabonika!BL68+Kingfisher!BL68+Lansdowne!BL68+'Marten Falls'!BL68+Oba!BL68+Sachigo!BL68+'Sandy Lake'!BL68+Sultan!BL68+Wapekeka!BL68+Weagamow!BL68+Webequie!BL68+'Cat Lake'!BL68+Pikangikum!BL68+'Big Trout Lake'!BL68+'Poplar Hill'!BL68+'North Spirit'!BL68+Keewaywin!BL68+'Muskrat Dam'!BL68+Wunnumin!BL68+Wawakepewin!BL68</f>
        <v>3087</v>
      </c>
      <c r="M66" s="114">
        <f>Armstrong!BM68+'Bearskin Lake'!BM68+Biscotasing!BM68+'Deer Lake'!BM68+'Fort Severn'!BM68+'Gull Bay'!BM68+Hillsport!BM68+Kasabonika!BM68+Kingfisher!BM68+Lansdowne!BM68+'Marten Falls'!BM68+Oba!BM68+Sachigo!BM68+'Sandy Lake'!BM68+Sultan!BM68+Wapekeka!BM68+Weagamow!BM68+Webequie!BM68+'Cat Lake'!BM68+Pikangikum!BM68+'Big Trout Lake'!BM68+'Poplar Hill'!BM68+'North Spirit'!BM68+Keewaywin!BM68+'Muskrat Dam'!BM68+Wunnumin!BM68+Wawakepewin!BM68</f>
        <v>2620</v>
      </c>
      <c r="N66" s="484">
        <f>Armstrong!BN68+'Bearskin Lake'!BN68+Biscotasing!BN68+'Deer Lake'!BN68+'Fort Severn'!BN68+'Gull Bay'!BN68+Hillsport!BN68+Kasabonika!BN68+Kingfisher!BN68+Lansdowne!BN68+'Marten Falls'!BN68+Oba!BN68+Sachigo!BN68+'Sandy Lake'!BN68+Sultan!BN68+Wapekeka!BN68+Weagamow!BN68+Webequie!BN68+'Cat Lake'!BN68+Pikangikum!BN68+'Big Trout Lake'!BN68+'Poplar Hill'!BN68+'North Spirit'!BN68+Keewaywin!BN68+'Muskrat Dam'!BN68+Wunnumin!BN68+Wawakepewin!BN68</f>
        <v>26132</v>
      </c>
      <c r="O66" s="484">
        <f>Armstrong!BO68+'Bearskin Lake'!BO68+Biscotasing!BO68+'Deer Lake'!BO68+'Fort Severn'!BO68+'Gull Bay'!BO68+Hillsport!BO68+Kasabonika!BO68+Kingfisher!BO68+Lansdowne!BO68+'Marten Falls'!BO68+Oba!BO68+Sachigo!BO68+'Sandy Lake'!BO68+Sultan!BO68+Wapekeka!BO68+Weagamow!BO68+Webequie!BO68+'Cat Lake'!BO68+Pikangikum!BO68+'Big Trout Lake'!BO68+'Poplar Hill'!BO68+'North Spirit'!BO68+Keewaywin!BO68+'Muskrat Dam'!BO68+Wunnumin!BO68+Wawakepewin!BO68</f>
        <v>26132</v>
      </c>
    </row>
    <row r="67" spans="1:15" ht="15.75" customHeight="1" thickTop="1">
      <c r="A67" s="2" t="s">
        <v>54</v>
      </c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60"/>
      <c r="O67" s="60"/>
    </row>
    <row r="68" spans="1:15" ht="15" customHeight="1">
      <c r="A68" s="198" t="s">
        <v>68</v>
      </c>
      <c r="B68" s="89"/>
      <c r="C68" s="67"/>
      <c r="D68" s="67"/>
      <c r="E68" s="19"/>
      <c r="F68" s="19"/>
      <c r="G68" s="19"/>
      <c r="H68" s="19"/>
      <c r="I68" s="19"/>
      <c r="J68" s="19"/>
      <c r="K68" s="19"/>
      <c r="L68" s="19"/>
      <c r="M68" s="19"/>
      <c r="N68" s="59"/>
      <c r="O68" s="59"/>
    </row>
    <row r="69" spans="1:15" ht="15" customHeight="1">
      <c r="A69" s="2" t="s">
        <v>49</v>
      </c>
      <c r="B69" s="123"/>
      <c r="C69" s="109"/>
      <c r="D69" s="109"/>
      <c r="E69" s="108">
        <f>Armstrong!BE75+'Bearskin Lake'!BE75+Biscotasing!BE75+'Deer Lake'!BE75+'Fort Severn'!BE75+'Gull Bay'!BE75+Hillsport!BE75+Kasabonika!BE75+Kingfisher!BE75+Lansdowne!BE75+'Marten Falls'!BE75+Oba!BE75+Sachigo!BE75+'Sandy Lake'!BE75+Sultan!BE75+Wapekeka!BE75+Weagamow!BE75+Webequie!BE75+'Cat Lake'!BE75+Pikangikum!BE75+'Big Trout Lake'!BE75+'Poplar Hill'!BE75+'North Spirit'!BE75+Keewaywin!BE75+'Muskrat Dam'!BE75+Wunnumin!BE75+Wawakepewin!BE75</f>
        <v>141</v>
      </c>
      <c r="F69" s="108">
        <f>Armstrong!BF75+'Bearskin Lake'!BF75+Biscotasing!BF75+'Deer Lake'!BF75+'Fort Severn'!BF75+'Gull Bay'!BF75+Hillsport!BF75+Kasabonika!BF75+Kingfisher!BF75+Lansdowne!BF75+'Marten Falls'!BF75+Oba!BF75+Sachigo!BF75+'Sandy Lake'!BF75+Sultan!BF75+Wapekeka!BF75+Weagamow!BF75+Webequie!BF75+'Cat Lake'!BF75+Pikangikum!BF75+'Big Trout Lake'!BF75+'Poplar Hill'!BF75+'North Spirit'!BF75+Keewaywin!BF75+'Muskrat Dam'!BF75+Wunnumin!BF75+Wawakepewin!BF75</f>
        <v>141</v>
      </c>
      <c r="G69" s="108">
        <f>Armstrong!BG75+'Bearskin Lake'!BG75+Biscotasing!BG75+'Deer Lake'!BG75+'Fort Severn'!BG75+'Gull Bay'!BG75+Hillsport!BG75+Kasabonika!BG75+Kingfisher!BG75+Lansdowne!BG75+'Marten Falls'!BG75+Oba!BG75+Sachigo!BG75+'Sandy Lake'!BG75+Sultan!BG75+Wapekeka!BG75+Weagamow!BG75+Webequie!BG75+'Cat Lake'!BG75+Pikangikum!BG75+'Big Trout Lake'!BG75+'Poplar Hill'!BG75+'North Spirit'!BG75+Keewaywin!BG75+'Muskrat Dam'!BG75+Wunnumin!BG75+Wawakepewin!BG75</f>
        <v>141</v>
      </c>
      <c r="H69" s="71">
        <f>Armstrong!BH75+'Bearskin Lake'!BH75+Biscotasing!BH75+'Deer Lake'!BH75+'Fort Severn'!BH75+'Gull Bay'!BH75+Hillsport!BH75+Kasabonika!BH75+Kingfisher!BH75+Lansdowne!BH75+'Marten Falls'!BH75+Oba!BH75+Sachigo!BH75+'Sandy Lake'!BH75+Sultan!BH75+Wapekeka!BH75+Weagamow!BH75+Webequie!BH75+'Cat Lake'!BH75+Pikangikum!BH75+'Big Trout Lake'!BH75+'Poplar Hill'!BH75+'North Spirit'!BH75+Keewaywin!BH75+'Muskrat Dam'!BH75+Wunnumin!BH75+Wawakepewin!BH75</f>
        <v>121</v>
      </c>
      <c r="I69" s="71">
        <f>Armstrong!BI75+'Bearskin Lake'!BI75+Biscotasing!BI75+'Deer Lake'!BI75+'Fort Severn'!BI75+'Gull Bay'!BI75+Hillsport!BI75+Kasabonika!BI75+Kingfisher!BI75+Lansdowne!BI75+'Marten Falls'!BI75+Oba!BI75+Sachigo!BI75+'Sandy Lake'!BI75+Sultan!BI75+Wapekeka!BI75+Weagamow!BI75+Webequie!BI75+'Cat Lake'!BI75+Pikangikum!BI75+'Big Trout Lake'!BI75+'Poplar Hill'!BI75+'North Spirit'!BI75+Keewaywin!BI75+'Muskrat Dam'!BI75+Wunnumin!BI75+Wawakepewin!BI75</f>
        <v>121</v>
      </c>
      <c r="J69" s="71">
        <f>Armstrong!BJ75+'Bearskin Lake'!BJ75+Biscotasing!BJ75+'Deer Lake'!BJ75+'Fort Severn'!BJ75+'Gull Bay'!BJ75+Hillsport!BJ75+Kasabonika!BJ75+Kingfisher!BJ75+Lansdowne!BJ75+'Marten Falls'!BJ75+Oba!BJ75+Sachigo!BJ75+'Sandy Lake'!BJ75+Sultan!BJ75+Wapekeka!BJ75+Weagamow!BJ75+Webequie!BJ75+'Cat Lake'!BJ75+Pikangikum!BJ75+'Big Trout Lake'!BJ75+'Poplar Hill'!BJ75+'North Spirit'!BJ75+Keewaywin!BJ75+'Muskrat Dam'!BJ75+Wunnumin!BJ75+Wawakepewin!BJ75</f>
        <v>133</v>
      </c>
      <c r="K69" s="71">
        <f>Armstrong!BK75+'Bearskin Lake'!BK75+Biscotasing!BK75+'Deer Lake'!BK75+'Fort Severn'!BK75+'Gull Bay'!BK75+Hillsport!BK75+Kasabonika!BK75+Kingfisher!BK75+Lansdowne!BK75+'Marten Falls'!BK75+Oba!BK75+Sachigo!BK75+'Sandy Lake'!BK75+Sultan!BK75+Wapekeka!BK75+Weagamow!BK75+Webequie!BK75+'Cat Lake'!BK75+Pikangikum!BK75+'Big Trout Lake'!BK75+'Poplar Hill'!BK75+'North Spirit'!BK75+Keewaywin!BK75+'Muskrat Dam'!BK75+Wunnumin!BK75+Wawakepewin!BK75</f>
        <v>133</v>
      </c>
      <c r="L69" s="71">
        <f>Armstrong!BL75+'Bearskin Lake'!BL75+Biscotasing!BL75+'Deer Lake'!BL75+'Fort Severn'!BL75+'Gull Bay'!BL75+Hillsport!BL75+Kasabonika!BL75+Kingfisher!BL75+Lansdowne!BL75+'Marten Falls'!BL75+Oba!BL75+Sachigo!BL75+'Sandy Lake'!BL75+Sultan!BL75+Wapekeka!BL75+Weagamow!BL75+Webequie!BL75+'Cat Lake'!BL75+Pikangikum!BL75+'Big Trout Lake'!BL75+'Poplar Hill'!BL75+'North Spirit'!BL75+Keewaywin!BL75+'Muskrat Dam'!BL75+Wunnumin!BL75+Wawakepewin!BL75</f>
        <v>133</v>
      </c>
      <c r="M69" s="71">
        <f>Armstrong!BM75+'Bearskin Lake'!BM75+Biscotasing!BM75+'Deer Lake'!BM75+'Fort Severn'!BM75+'Gull Bay'!BM75+Hillsport!BM75+Kasabonika!BM75+Kingfisher!BM75+Lansdowne!BM75+'Marten Falls'!BM75+Oba!BM75+Sachigo!BM75+'Sandy Lake'!BM75+Sultan!BM75+Wapekeka!BM75+Weagamow!BM75+Webequie!BM75+'Cat Lake'!BM75+Pikangikum!BM75+'Big Trout Lake'!BM75+'Poplar Hill'!BM75+'North Spirit'!BM75+Keewaywin!BM75+'Muskrat Dam'!BM75+Wunnumin!BM75+Wawakepewin!BM75</f>
        <v>133</v>
      </c>
      <c r="N69" s="70">
        <f>Armstrong!BN75+'Bearskin Lake'!BN75+Biscotasing!BN75+'Deer Lake'!BN75+'Fort Severn'!BN75+'Gull Bay'!BN75+Hillsport!BN75+Kasabonika!BN75+Kingfisher!BN75+Lansdowne!BN75+'Marten Falls'!BN75+Oba!BN75+Sachigo!BN75+'Sandy Lake'!BN75+Sultan!BN75+Wapekeka!BN75+Weagamow!BN75+Webequie!BN75+'Cat Lake'!BN75+Pikangikum!BN75+'Big Trout Lake'!BN75+'Poplar Hill'!BN75+'North Spirit'!BN75+Keewaywin!BN75+'Muskrat Dam'!BN75+Wunnumin!BN75+Wawakepewin!BN75</f>
        <v>125</v>
      </c>
      <c r="O69" s="70">
        <f>Armstrong!BO75+'Bearskin Lake'!BO75+Biscotasing!BO75+'Deer Lake'!BO75+'Fort Severn'!BO75+'Gull Bay'!BO75+Hillsport!BO75+Kasabonika!BO75+Kingfisher!BO75+Lansdowne!BO75+'Marten Falls'!BO75+Oba!BO75+Sachigo!BO75+'Sandy Lake'!BO75+Sultan!BO75+Wapekeka!BO75+Weagamow!BO75+Webequie!BO75+'Cat Lake'!BO75+Pikangikum!BO75+'Big Trout Lake'!BO75+'Poplar Hill'!BO75+'North Spirit'!BO75+Keewaywin!BO75+'Muskrat Dam'!BO75+Wunnumin!BO75+Wawakepewin!BO75</f>
        <v>70</v>
      </c>
    </row>
    <row r="70" spans="1:15" ht="15" customHeight="1">
      <c r="A70" s="2" t="s">
        <v>67</v>
      </c>
      <c r="B70" s="123"/>
      <c r="C70" s="109"/>
      <c r="D70" s="109"/>
      <c r="E70" s="108">
        <f>Armstrong!BE76+'Bearskin Lake'!BE76+Biscotasing!BE76+'Deer Lake'!BE76+'Fort Severn'!BE76+'Gull Bay'!BE76+Hillsport!BE76+Kasabonika!BE76+Kingfisher!BE76+Lansdowne!BE76+'Marten Falls'!BE76+Oba!BE76+Sachigo!BE76+'Sandy Lake'!BE76+Sultan!BE76+Wapekeka!BE76+Weagamow!BE76+Webequie!BE76+'Cat Lake'!BE76+Pikangikum!BE76+'Big Trout Lake'!BE76+'Poplar Hill'!BE76+'North Spirit'!BE76+Keewaywin!BE76+'Muskrat Dam'!BE76+Wunnumin!BE76+Wawakepewin!BE76</f>
        <v>34500</v>
      </c>
      <c r="F70" s="108">
        <f>Armstrong!BF76+'Bearskin Lake'!BF76+Biscotasing!BF76+'Deer Lake'!BF76+'Fort Severn'!BF76+'Gull Bay'!BF76+Hillsport!BF76+Kasabonika!BF76+Kingfisher!BF76+Lansdowne!BF76+'Marten Falls'!BF76+Oba!BF76+Sachigo!BF76+'Sandy Lake'!BF76+Sultan!BF76+Wapekeka!BF76+Weagamow!BF76+Webequie!BF76+'Cat Lake'!BF76+Pikangikum!BF76+'Big Trout Lake'!BF76+'Poplar Hill'!BF76+'North Spirit'!BF76+Keewaywin!BF76+'Muskrat Dam'!BF76+Wunnumin!BF76+Wawakepewin!BF76</f>
        <v>34500</v>
      </c>
      <c r="G70" s="108">
        <f>Armstrong!BG76+'Bearskin Lake'!BG76+Biscotasing!BG76+'Deer Lake'!BG76+'Fort Severn'!BG76+'Gull Bay'!BG76+Hillsport!BG76+Kasabonika!BG76+Kingfisher!BG76+Lansdowne!BG76+'Marten Falls'!BG76+Oba!BG76+Sachigo!BG76+'Sandy Lake'!BG76+Sultan!BG76+Wapekeka!BG76+Weagamow!BG76+Webequie!BG76+'Cat Lake'!BG76+Pikangikum!BG76+'Big Trout Lake'!BG76+'Poplar Hill'!BG76+'North Spirit'!BG76+Keewaywin!BG76+'Muskrat Dam'!BG76+Wunnumin!BG76+Wawakepewin!BG76</f>
        <v>34500</v>
      </c>
      <c r="H70" s="71">
        <f>Armstrong!BH76+'Bearskin Lake'!BH76+Biscotasing!BH76+'Deer Lake'!BH76+'Fort Severn'!BH76+'Gull Bay'!BH76+Hillsport!BH76+Kasabonika!BH76+Kingfisher!BH76+Lansdowne!BH76+'Marten Falls'!BH76+Oba!BH76+Sachigo!BH76+'Sandy Lake'!BH76+Sultan!BH76+Wapekeka!BH76+Weagamow!BH76+Webequie!BH76+'Cat Lake'!BH76+Pikangikum!BH76+'Big Trout Lake'!BH76+'Poplar Hill'!BH76+'North Spirit'!BH76+Keewaywin!BH76+'Muskrat Dam'!BH76+Wunnumin!BH76+Wawakepewin!BH76</f>
        <v>29500</v>
      </c>
      <c r="I70" s="71">
        <f>Armstrong!BI76+'Bearskin Lake'!BI76+Biscotasing!BI76+'Deer Lake'!BI76+'Fort Severn'!BI76+'Gull Bay'!BI76+Hillsport!BI76+Kasabonika!BI76+Kingfisher!BI76+Lansdowne!BI76+'Marten Falls'!BI76+Oba!BI76+Sachigo!BI76+'Sandy Lake'!BI76+Sultan!BI76+Wapekeka!BI76+Weagamow!BI76+Webequie!BI76+'Cat Lake'!BI76+Pikangikum!BI76+'Big Trout Lake'!BI76+'Poplar Hill'!BI76+'North Spirit'!BI76+Keewaywin!BI76+'Muskrat Dam'!BI76+Wunnumin!BI76+Wawakepewin!BI76</f>
        <v>29500</v>
      </c>
      <c r="J70" s="71">
        <f>Armstrong!BJ76+'Bearskin Lake'!BJ76+Biscotasing!BJ76+'Deer Lake'!BJ76+'Fort Severn'!BJ76+'Gull Bay'!BJ76+Hillsport!BJ76+Kasabonika!BJ76+Kingfisher!BJ76+Lansdowne!BJ76+'Marten Falls'!BJ76+Oba!BJ76+Sachigo!BJ76+'Sandy Lake'!BJ76+Sultan!BJ76+Wapekeka!BJ76+Weagamow!BJ76+Webequie!BJ76+'Cat Lake'!BJ76+Pikangikum!BJ76+'Big Trout Lake'!BJ76+'Poplar Hill'!BJ76+'North Spirit'!BJ76+Keewaywin!BJ76+'Muskrat Dam'!BJ76+Wunnumin!BJ76+Wawakepewin!BJ76</f>
        <v>32500</v>
      </c>
      <c r="K70" s="71">
        <f>Armstrong!BK76+'Bearskin Lake'!BK76+Biscotasing!BK76+'Deer Lake'!BK76+'Fort Severn'!BK76+'Gull Bay'!BK76+Hillsport!BK76+Kasabonika!BK76+Kingfisher!BK76+Lansdowne!BK76+'Marten Falls'!BK76+Oba!BK76+Sachigo!BK76+'Sandy Lake'!BK76+Sultan!BK76+Wapekeka!BK76+Weagamow!BK76+Webequie!BK76+'Cat Lake'!BK76+Pikangikum!BK76+'Big Trout Lake'!BK76+'Poplar Hill'!BK76+'North Spirit'!BK76+Keewaywin!BK76+'Muskrat Dam'!BK76+Wunnumin!BK76+Wawakepewin!BK76</f>
        <v>32500</v>
      </c>
      <c r="L70" s="71">
        <f>Armstrong!BL76+'Bearskin Lake'!BL76+Biscotasing!BL76+'Deer Lake'!BL76+'Fort Severn'!BL76+'Gull Bay'!BL76+Hillsport!BL76+Kasabonika!BL76+Kingfisher!BL76+Lansdowne!BL76+'Marten Falls'!BL76+Oba!BL76+Sachigo!BL76+'Sandy Lake'!BL76+Sultan!BL76+Wapekeka!BL76+Weagamow!BL76+Webequie!BL76+'Cat Lake'!BL76+Pikangikum!BL76+'Big Trout Lake'!BL76+'Poplar Hill'!BL76+'North Spirit'!BL76+Keewaywin!BL76+'Muskrat Dam'!BL76+Wunnumin!BL76+Wawakepewin!BL76</f>
        <v>32500</v>
      </c>
      <c r="M70" s="71">
        <f>Armstrong!BM76+'Bearskin Lake'!BM76+Biscotasing!BM76+'Deer Lake'!BM76+'Fort Severn'!BM76+'Gull Bay'!BM76+Hillsport!BM76+Kasabonika!BM76+Kingfisher!BM76+Lansdowne!BM76+'Marten Falls'!BM76+Oba!BM76+Sachigo!BM76+'Sandy Lake'!BM76+Sultan!BM76+Wapekeka!BM76+Weagamow!BM76+Webequie!BM76+'Cat Lake'!BM76+Pikangikum!BM76+'Big Trout Lake'!BM76+'Poplar Hill'!BM76+'North Spirit'!BM76+Keewaywin!BM76+'Muskrat Dam'!BM76+Wunnumin!BM76+Wawakepewin!BM76</f>
        <v>32500</v>
      </c>
      <c r="N70" s="70">
        <f>Armstrong!BN76+'Bearskin Lake'!BN76+Biscotasing!BN76+'Deer Lake'!BN76+'Fort Severn'!BN76+'Gull Bay'!BN76+Hillsport!BN76+Kasabonika!BN76+Kingfisher!BN76+Lansdowne!BN76+'Marten Falls'!BN76+Oba!BN76+Sachigo!BN76+'Sandy Lake'!BN76+Sultan!BN76+Wapekeka!BN76+Weagamow!BN76+Webequie!BN76+'Cat Lake'!BN76+Pikangikum!BN76+'Big Trout Lake'!BN76+'Poplar Hill'!BN76+'North Spirit'!BN76+Keewaywin!BN76+'Muskrat Dam'!BN76+Wunnumin!BN76+Wawakepewin!BN76</f>
        <v>396750</v>
      </c>
      <c r="O70" s="70">
        <f>Armstrong!BO76+'Bearskin Lake'!BO76+Biscotasing!BO76+'Deer Lake'!BO76+'Fort Severn'!BO76+'Gull Bay'!BO76+Hillsport!BO76+Kasabonika!BO76+Kingfisher!BO76+Lansdowne!BO76+'Marten Falls'!BO76+Oba!BO76+Sachigo!BO76+'Sandy Lake'!BO76+Sultan!BO76+Wapekeka!BO76+Weagamow!BO76+Webequie!BO76+'Cat Lake'!BO76+Pikangikum!BO76+'Big Trout Lake'!BO76+'Poplar Hill'!BO76+'North Spirit'!BO76+Keewaywin!BO76+'Muskrat Dam'!BO76+Wunnumin!BO76+Wawakepewin!BO76</f>
        <v>33000</v>
      </c>
    </row>
    <row r="71" spans="1:15" ht="15" customHeight="1">
      <c r="A71" s="2" t="s">
        <v>52</v>
      </c>
      <c r="B71" s="123"/>
      <c r="C71" s="109"/>
      <c r="D71" s="109"/>
      <c r="E71" s="108">
        <f>Armstrong!BE77+'Bearskin Lake'!BE77+Biscotasing!BE77+'Deer Lake'!BE77+'Fort Severn'!BE77+'Gull Bay'!BE77+Hillsport!BE77+Kasabonika!BE77+Kingfisher!BE77+Lansdowne!BE77+'Marten Falls'!BE77+Oba!BE77+Sachigo!BE77+'Sandy Lake'!BE77+Sultan!BE77+Wapekeka!BE77+Weagamow!BE77+Webequie!BE77+'Cat Lake'!BE77+Pikangikum!BE77+'Big Trout Lake'!BE77+'Poplar Hill'!BE77+'North Spirit'!BE77+Keewaywin!BE77+'Muskrat Dam'!BE77+Wunnumin!BE77+Wawakepewin!BE77</f>
        <v>127890</v>
      </c>
      <c r="F71" s="108">
        <f>Armstrong!BF77+'Bearskin Lake'!BF77+Biscotasing!BF77+'Deer Lake'!BF77+'Fort Severn'!BF77+'Gull Bay'!BF77+Hillsport!BF77+Kasabonika!BF77+Kingfisher!BF77+Lansdowne!BF77+'Marten Falls'!BF77+Oba!BF77+Sachigo!BF77+'Sandy Lake'!BF77+Sultan!BF77+Wapekeka!BF77+Weagamow!BF77+Webequie!BF77+'Cat Lake'!BF77+Pikangikum!BF77+'Big Trout Lake'!BF77+'Poplar Hill'!BF77+'North Spirit'!BF77+Keewaywin!BF77+'Muskrat Dam'!BF77+Wunnumin!BF77+Wawakepewin!BF77</f>
        <v>105968</v>
      </c>
      <c r="G71" s="108">
        <f>Armstrong!BG77+'Bearskin Lake'!BG77+Biscotasing!BG77+'Deer Lake'!BG77+'Fort Severn'!BG77+'Gull Bay'!BG77+Hillsport!BG77+Kasabonika!BG77+Kingfisher!BG77+Lansdowne!BG77+'Marten Falls'!BG77+Oba!BG77+Sachigo!BG77+'Sandy Lake'!BG77+Sultan!BG77+Wapekeka!BG77+Weagamow!BG77+Webequie!BG77+'Cat Lake'!BG77+Pikangikum!BG77+'Big Trout Lake'!BG77+'Poplar Hill'!BG77+'North Spirit'!BG77+Keewaywin!BG77+'Muskrat Dam'!BG77+Wunnumin!BG77+Wawakepewin!BG77</f>
        <v>84734</v>
      </c>
      <c r="H71" s="71">
        <f>Armstrong!BH77+'Bearskin Lake'!BH77+Biscotasing!BH77+'Deer Lake'!BH77+'Fort Severn'!BH77+'Gull Bay'!BH77+Hillsport!BH77+Kasabonika!BH77+Kingfisher!BH77+Lansdowne!BH77+'Marten Falls'!BH77+Oba!BH77+Sachigo!BH77+'Sandy Lake'!BH77+Sultan!BH77+Wapekeka!BH77+Weagamow!BH77+Webequie!BH77+'Cat Lake'!BH77+Pikangikum!BH77+'Big Trout Lake'!BH77+'Poplar Hill'!BH77+'North Spirit'!BH77+Keewaywin!BH77+'Muskrat Dam'!BH77+Wunnumin!BH77+Wawakepewin!BH77</f>
        <v>60969</v>
      </c>
      <c r="I71" s="71">
        <f>Armstrong!BI77+'Bearskin Lake'!BI77+Biscotasing!BI77+'Deer Lake'!BI77+'Fort Severn'!BI77+'Gull Bay'!BI77+Hillsport!BI77+Kasabonika!BI77+Kingfisher!BI77+Lansdowne!BI77+'Marten Falls'!BI77+Oba!BI77+Sachigo!BI77+'Sandy Lake'!BI77+Sultan!BI77+Wapekeka!BI77+Weagamow!BI77+Webequie!BI77+'Cat Lake'!BI77+Pikangikum!BI77+'Big Trout Lake'!BI77+'Poplar Hill'!BI77+'North Spirit'!BI77+Keewaywin!BI77+'Muskrat Dam'!BI77+Wunnumin!BI77+Wawakepewin!BI77</f>
        <v>47803</v>
      </c>
      <c r="J71" s="71">
        <f>Armstrong!BJ77+'Bearskin Lake'!BJ77+Biscotasing!BJ77+'Deer Lake'!BJ77+'Fort Severn'!BJ77+'Gull Bay'!BJ77+Hillsport!BJ77+Kasabonika!BJ77+Kingfisher!BJ77+Lansdowne!BJ77+'Marten Falls'!BJ77+Oba!BJ77+Sachigo!BJ77+'Sandy Lake'!BJ77+Sultan!BJ77+Wapekeka!BJ77+Weagamow!BJ77+Webequie!BJ77+'Cat Lake'!BJ77+Pikangikum!BJ77+'Big Trout Lake'!BJ77+'Poplar Hill'!BJ77+'North Spirit'!BJ77+Keewaywin!BJ77+'Muskrat Dam'!BJ77+Wunnumin!BJ77+Wawakepewin!BJ77</f>
        <v>65100</v>
      </c>
      <c r="K71" s="71">
        <f>Armstrong!BK77+'Bearskin Lake'!BK77+Biscotasing!BK77+'Deer Lake'!BK77+'Fort Severn'!BK77+'Gull Bay'!BK77+Hillsport!BK77+Kasabonika!BK77+Kingfisher!BK77+Lansdowne!BK77+'Marten Falls'!BK77+Oba!BK77+Sachigo!BK77+'Sandy Lake'!BK77+Sultan!BK77+Wapekeka!BK77+Weagamow!BK77+Webequie!BK77+'Cat Lake'!BK77+Pikangikum!BK77+'Big Trout Lake'!BK77+'Poplar Hill'!BK77+'North Spirit'!BK77+Keewaywin!BK77+'Muskrat Dam'!BK77+Wunnumin!BK77+Wawakepewin!BK77</f>
        <v>95356</v>
      </c>
      <c r="L71" s="71">
        <f>Armstrong!BL77+'Bearskin Lake'!BL77+Biscotasing!BL77+'Deer Lake'!BL77+'Fort Severn'!BL77+'Gull Bay'!BL77+Hillsport!BL77+Kasabonika!BL77+Kingfisher!BL77+Lansdowne!BL77+'Marten Falls'!BL77+Oba!BL77+Sachigo!BL77+'Sandy Lake'!BL77+Sultan!BL77+Wapekeka!BL77+Weagamow!BL77+Webequie!BL77+'Cat Lake'!BL77+Pikangikum!BL77+'Big Trout Lake'!BL77+'Poplar Hill'!BL77+'North Spirit'!BL77+Keewaywin!BL77+'Muskrat Dam'!BL77+Wunnumin!BL77+Wawakepewin!BL77</f>
        <v>116018</v>
      </c>
      <c r="M71" s="71">
        <f>Armstrong!BM77+'Bearskin Lake'!BM77+Biscotasing!BM77+'Deer Lake'!BM77+'Fort Severn'!BM77+'Gull Bay'!BM77+Hillsport!BM77+Kasabonika!BM77+Kingfisher!BM77+Lansdowne!BM77+'Marten Falls'!BM77+Oba!BM77+Sachigo!BM77+'Sandy Lake'!BM77+Sultan!BM77+Wapekeka!BM77+Weagamow!BM77+Webequie!BM77+'Cat Lake'!BM77+Pikangikum!BM77+'Big Trout Lake'!BM77+'Poplar Hill'!BM77+'North Spirit'!BM77+Keewaywin!BM77+'Muskrat Dam'!BM77+Wunnumin!BM77+Wawakepewin!BM77</f>
        <v>148501</v>
      </c>
      <c r="N71" s="70">
        <f>Armstrong!BN77+'Bearskin Lake'!BN77+Biscotasing!BN77+'Deer Lake'!BN77+'Fort Severn'!BN77+'Gull Bay'!BN77+Hillsport!BN77+Kasabonika!BN77+Kingfisher!BN77+Lansdowne!BN77+'Marten Falls'!BN77+Oba!BN77+Sachigo!BN77+'Sandy Lake'!BN77+Sultan!BN77+Wapekeka!BN77+Weagamow!BN77+Webequie!BN77+'Cat Lake'!BN77+Pikangikum!BN77+'Big Trout Lake'!BN77+'Poplar Hill'!BN77+'North Spirit'!BN77+Keewaywin!BN77+'Muskrat Dam'!BN77+Wunnumin!BN77+Wawakepewin!BN77</f>
        <v>1317286</v>
      </c>
      <c r="O71" s="70">
        <f>Armstrong!BO77+'Bearskin Lake'!BO77+Biscotasing!BO77+'Deer Lake'!BO77+'Fort Severn'!BO77+'Gull Bay'!BO77+Hillsport!BO77+Kasabonika!BO77+Kingfisher!BO77+Lansdowne!BO77+'Marten Falls'!BO77+Oba!BO77+Sachigo!BO77+'Sandy Lake'!BO77+Sultan!BO77+Wapekeka!BO77+Weagamow!BO77+Webequie!BO77+'Cat Lake'!BO77+Pikangikum!BO77+'Big Trout Lake'!BO77+'Poplar Hill'!BO77+'North Spirit'!BO77+Keewaywin!BO77+'Muskrat Dam'!BO77+Wunnumin!BO77+Wawakepewin!BO77</f>
        <v>1214388</v>
      </c>
    </row>
    <row r="72" spans="1:15" ht="15.75" customHeight="1" thickBot="1">
      <c r="A72" s="199" t="s">
        <v>30</v>
      </c>
      <c r="B72" s="240"/>
      <c r="C72" s="117"/>
      <c r="D72" s="117"/>
      <c r="E72" s="114">
        <f>Armstrong!BE78+'Bearskin Lake'!BE78+Biscotasing!BE78+'Deer Lake'!BE78+'Fort Severn'!BE78+'Gull Bay'!BE78+Hillsport!BE78+Kasabonika!BE78+Kingfisher!BE78+Lansdowne!BE78+'Marten Falls'!BE78+Oba!BE78+Sachigo!BE78+'Sandy Lake'!BE78+Sultan!BE78+Wapekeka!BE78+Weagamow!BE78+Webequie!BE78+'Cat Lake'!BE78+Pikangikum!BE78+'Big Trout Lake'!BE78+'Poplar Hill'!BE78+'North Spirit'!BE78+Keewaywin!BE78+'Muskrat Dam'!BE78+Wunnumin!BE78+Wawakepewin!BE78</f>
        <v>162390</v>
      </c>
      <c r="F72" s="114">
        <f>Armstrong!BF78+'Bearskin Lake'!BF78+Biscotasing!BF78+'Deer Lake'!BF78+'Fort Severn'!BF78+'Gull Bay'!BF78+Hillsport!BF78+Kasabonika!BF78+Kingfisher!BF78+Lansdowne!BF78+'Marten Falls'!BF78+Oba!BF78+Sachigo!BF78+'Sandy Lake'!BF78+Sultan!BF78+Wapekeka!BF78+Weagamow!BF78+Webequie!BF78+'Cat Lake'!BF78+Pikangikum!BF78+'Big Trout Lake'!BF78+'Poplar Hill'!BF78+'North Spirit'!BF78+Keewaywin!BF78+'Muskrat Dam'!BF78+Wunnumin!BF78+Wawakepewin!BF78</f>
        <v>140468</v>
      </c>
      <c r="G72" s="114">
        <f>Armstrong!BG78+'Bearskin Lake'!BG78+Biscotasing!BG78+'Deer Lake'!BG78+'Fort Severn'!BG78+'Gull Bay'!BG78+Hillsport!BG78+Kasabonika!BG78+Kingfisher!BG78+Lansdowne!BG78+'Marten Falls'!BG78+Oba!BG78+Sachigo!BG78+'Sandy Lake'!BG78+Sultan!BG78+Wapekeka!BG78+Weagamow!BG78+Webequie!BG78+'Cat Lake'!BG78+Pikangikum!BG78+'Big Trout Lake'!BG78+'Poplar Hill'!BG78+'North Spirit'!BG78+Keewaywin!BG78+'Muskrat Dam'!BG78+Wunnumin!BG78+Wawakepewin!BG78</f>
        <v>119234</v>
      </c>
      <c r="H72" s="114">
        <f>Armstrong!BH78+'Bearskin Lake'!BH78+Biscotasing!BH78+'Deer Lake'!BH78+'Fort Severn'!BH78+'Gull Bay'!BH78+Hillsport!BH78+Kasabonika!BH78+Kingfisher!BH78+Lansdowne!BH78+'Marten Falls'!BH78+Oba!BH78+Sachigo!BH78+'Sandy Lake'!BH78+Sultan!BH78+Wapekeka!BH78+Weagamow!BH78+Webequie!BH78+'Cat Lake'!BH78+Pikangikum!BH78+'Big Trout Lake'!BH78+'Poplar Hill'!BH78+'North Spirit'!BH78+Keewaywin!BH78+'Muskrat Dam'!BH78+Wunnumin!BH78+Wawakepewin!BH78</f>
        <v>90469</v>
      </c>
      <c r="I72" s="114">
        <f>Armstrong!BI78+'Bearskin Lake'!BI78+Biscotasing!BI78+'Deer Lake'!BI78+'Fort Severn'!BI78+'Gull Bay'!BI78+Hillsport!BI78+Kasabonika!BI78+Kingfisher!BI78+Lansdowne!BI78+'Marten Falls'!BI78+Oba!BI78+Sachigo!BI78+'Sandy Lake'!BI78+Sultan!BI78+Wapekeka!BI78+Weagamow!BI78+Webequie!BI78+'Cat Lake'!BI78+Pikangikum!BI78+'Big Trout Lake'!BI78+'Poplar Hill'!BI78+'North Spirit'!BI78+Keewaywin!BI78+'Muskrat Dam'!BI78+Wunnumin!BI78+Wawakepewin!BI78</f>
        <v>77303</v>
      </c>
      <c r="J72" s="114">
        <f>Armstrong!BJ78+'Bearskin Lake'!BJ78+Biscotasing!BJ78+'Deer Lake'!BJ78+'Fort Severn'!BJ78+'Gull Bay'!BJ78+Hillsport!BJ78+Kasabonika!BJ78+Kingfisher!BJ78+Lansdowne!BJ78+'Marten Falls'!BJ78+Oba!BJ78+Sachigo!BJ78+'Sandy Lake'!BJ78+Sultan!BJ78+Wapekeka!BJ78+Weagamow!BJ78+Webequie!BJ78+'Cat Lake'!BJ78+Pikangikum!BJ78+'Big Trout Lake'!BJ78+'Poplar Hill'!BJ78+'North Spirit'!BJ78+Keewaywin!BJ78+'Muskrat Dam'!BJ78+Wunnumin!BJ78+Wawakepewin!BJ78</f>
        <v>97600</v>
      </c>
      <c r="K72" s="114">
        <f>Armstrong!BK78+'Bearskin Lake'!BK78+Biscotasing!BK78+'Deer Lake'!BK78+'Fort Severn'!BK78+'Gull Bay'!BK78+Hillsport!BK78+Kasabonika!BK78+Kingfisher!BK78+Lansdowne!BK78+'Marten Falls'!BK78+Oba!BK78+Sachigo!BK78+'Sandy Lake'!BK78+Sultan!BK78+Wapekeka!BK78+Weagamow!BK78+Webequie!BK78+'Cat Lake'!BK78+Pikangikum!BK78+'Big Trout Lake'!BK78+'Poplar Hill'!BK78+'North Spirit'!BK78+Keewaywin!BK78+'Muskrat Dam'!BK78+Wunnumin!BK78+Wawakepewin!BK78</f>
        <v>127856</v>
      </c>
      <c r="L72" s="114">
        <f>Armstrong!BL78+'Bearskin Lake'!BL78+Biscotasing!BL78+'Deer Lake'!BL78+'Fort Severn'!BL78+'Gull Bay'!BL78+Hillsport!BL78+Kasabonika!BL78+Kingfisher!BL78+Lansdowne!BL78+'Marten Falls'!BL78+Oba!BL78+Sachigo!BL78+'Sandy Lake'!BL78+Sultan!BL78+Wapekeka!BL78+Weagamow!BL78+Webequie!BL78+'Cat Lake'!BL78+Pikangikum!BL78+'Big Trout Lake'!BL78+'Poplar Hill'!BL78+'North Spirit'!BL78+Keewaywin!BL78+'Muskrat Dam'!BL78+Wunnumin!BL78+Wawakepewin!BL78</f>
        <v>148518</v>
      </c>
      <c r="M72" s="114">
        <f>Armstrong!BM78+'Bearskin Lake'!BM78+Biscotasing!BM78+'Deer Lake'!BM78+'Fort Severn'!BM78+'Gull Bay'!BM78+Hillsport!BM78+Kasabonika!BM78+Kingfisher!BM78+Lansdowne!BM78+'Marten Falls'!BM78+Oba!BM78+Sachigo!BM78+'Sandy Lake'!BM78+Sultan!BM78+Wapekeka!BM78+Weagamow!BM78+Webequie!BM78+'Cat Lake'!BM78+Pikangikum!BM78+'Big Trout Lake'!BM78+'Poplar Hill'!BM78+'North Spirit'!BM78+Keewaywin!BM78+'Muskrat Dam'!BM78+Wunnumin!BM78+Wawakepewin!BM78</f>
        <v>181001</v>
      </c>
      <c r="N72" s="484">
        <f>Armstrong!BN78+'Bearskin Lake'!BN78+Biscotasing!BN78+'Deer Lake'!BN78+'Fort Severn'!BN78+'Gull Bay'!BN78+Hillsport!BN78+Kasabonika!BN78+Kingfisher!BN78+Lansdowne!BN78+'Marten Falls'!BN78+Oba!BN78+Sachigo!BN78+'Sandy Lake'!BN78+Sultan!BN78+Wapekeka!BN78+Weagamow!BN78+Webequie!BN78+'Cat Lake'!BN78+Pikangikum!BN78+'Big Trout Lake'!BN78+'Poplar Hill'!BN78+'North Spirit'!BN78+Keewaywin!BN78+'Muskrat Dam'!BN78+Wunnumin!BN78+Wawakepewin!BN78</f>
        <v>1714036</v>
      </c>
      <c r="O72" s="484">
        <f>Armstrong!BO78+'Bearskin Lake'!BO78+Biscotasing!BO78+'Deer Lake'!BO78+'Fort Severn'!BO78+'Gull Bay'!BO78+Hillsport!BO78+Kasabonika!BO78+Kingfisher!BO78+Lansdowne!BO78+'Marten Falls'!BO78+Oba!BO78+Sachigo!BO78+'Sandy Lake'!BO78+Sultan!BO78+Wapekeka!BO78+Weagamow!BO78+Webequie!BO78+'Cat Lake'!BO78+Pikangikum!BO78+'Big Trout Lake'!BO78+'Poplar Hill'!BO78+'North Spirit'!BO78+Keewaywin!BO78+'Muskrat Dam'!BO78+Wunnumin!BO78+Wawakepewin!BO78</f>
        <v>1245388</v>
      </c>
    </row>
    <row r="73" spans="1:15" ht="15.75" customHeight="1" thickTop="1">
      <c r="A73" s="2" t="s">
        <v>54</v>
      </c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58"/>
      <c r="O73" s="58"/>
    </row>
    <row r="74" spans="1:15" ht="15" customHeight="1">
      <c r="A74" s="198" t="s">
        <v>69</v>
      </c>
      <c r="B74" s="24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61"/>
      <c r="O74" s="61"/>
    </row>
    <row r="75" spans="1:15" ht="15" customHeight="1">
      <c r="A75" s="2" t="s">
        <v>70</v>
      </c>
      <c r="B75" s="123"/>
      <c r="C75" s="109"/>
      <c r="D75" s="109"/>
      <c r="E75" s="108">
        <f>Armstrong!BE81+'Bearskin Lake'!BE81+Biscotasing!BE81+'Deer Lake'!BE81+'Fort Severn'!BE81+'Gull Bay'!BE81+Hillsport!BE81+Kasabonika!BE81+Kingfisher!BE81+Lansdowne!BE81+'Marten Falls'!BE81+Oba!BE81+Sachigo!BE81+'Sandy Lake'!BE81+Sultan!BE81+Wapekeka!BE81+Weagamow!BE81+Webequie!BE81+'Cat Lake'!BE81+Pikangikum!BE81+'Big Trout Lake'!BE81+'Poplar Hill'!BE81+'North Spirit'!BE81+Keewaywin!BE81+'Muskrat Dam'!BE81+Wunnumin!BE81+Wawakepewin!BE81</f>
        <v>20</v>
      </c>
      <c r="F75" s="108">
        <f>Armstrong!BF81+'Bearskin Lake'!BF81+Biscotasing!BF81+'Deer Lake'!BF81+'Fort Severn'!BF81+'Gull Bay'!BF81+Hillsport!BF81+Kasabonika!BF81+Kingfisher!BF81+Lansdowne!BF81+'Marten Falls'!BF81+Oba!BF81+Sachigo!BF81+'Sandy Lake'!BF81+Sultan!BF81+Wapekeka!BF81+Weagamow!BF81+Webequie!BF81+'Cat Lake'!BF81+Pikangikum!BF81+'Big Trout Lake'!BF81+'Poplar Hill'!BF81+'North Spirit'!BF81+Keewaywin!BF81+'Muskrat Dam'!BF81+Wunnumin!BF81+Wawakepewin!BF81</f>
        <v>20</v>
      </c>
      <c r="G75" s="108">
        <f>Armstrong!BG81+'Bearskin Lake'!BG81+Biscotasing!BG81+'Deer Lake'!BG81+'Fort Severn'!BG81+'Gull Bay'!BG81+Hillsport!BG81+Kasabonika!BG81+Kingfisher!BG81+Lansdowne!BG81+'Marten Falls'!BG81+Oba!BG81+Sachigo!BG81+'Sandy Lake'!BG81+Sultan!BG81+Wapekeka!BG81+Weagamow!BG81+Webequie!BG81+'Cat Lake'!BG81+Pikangikum!BG81+'Big Trout Lake'!BG81+'Poplar Hill'!BG81+'North Spirit'!BG81+Keewaywin!BG81+'Muskrat Dam'!BG81+Wunnumin!BG81+Wawakepewin!BG81</f>
        <v>20</v>
      </c>
      <c r="H75" s="71">
        <f>Armstrong!BH81+'Bearskin Lake'!BH81+Biscotasing!BH81+'Deer Lake'!BH81+'Fort Severn'!BH81+'Gull Bay'!BH81+Hillsport!BH81+Kasabonika!BH81+Kingfisher!BH81+Lansdowne!BH81+'Marten Falls'!BH81+Oba!BH81+Sachigo!BH81+'Sandy Lake'!BH81+Sultan!BH81+Wapekeka!BH81+Weagamow!BH81+Webequie!BH81+'Cat Lake'!BH81+Pikangikum!BH81+'Big Trout Lake'!BH81+'Poplar Hill'!BH81+'North Spirit'!BH81+Keewaywin!BH81+'Muskrat Dam'!BH81+Wunnumin!BH81+Wawakepewin!BH81</f>
        <v>20</v>
      </c>
      <c r="I75" s="71">
        <f>Armstrong!BI81+'Bearskin Lake'!BI81+Biscotasing!BI81+'Deer Lake'!BI81+'Fort Severn'!BI81+'Gull Bay'!BI81+Hillsport!BI81+Kasabonika!BI81+Kingfisher!BI81+Lansdowne!BI81+'Marten Falls'!BI81+Oba!BI81+Sachigo!BI81+'Sandy Lake'!BI81+Sultan!BI81+Wapekeka!BI81+Weagamow!BI81+Webequie!BI81+'Cat Lake'!BI81+Pikangikum!BI81+'Big Trout Lake'!BI81+'Poplar Hill'!BI81+'North Spirit'!BI81+Keewaywin!BI81+'Muskrat Dam'!BI81+Wunnumin!BI81+Wawakepewin!BI81</f>
        <v>20</v>
      </c>
      <c r="J75" s="71">
        <f>Armstrong!BJ81+'Bearskin Lake'!BJ81+Biscotasing!BJ81+'Deer Lake'!BJ81+'Fort Severn'!BJ81+'Gull Bay'!BJ81+Hillsport!BJ81+Kasabonika!BJ81+Kingfisher!BJ81+Lansdowne!BJ81+'Marten Falls'!BJ81+Oba!BJ81+Sachigo!BJ81+'Sandy Lake'!BJ81+Sultan!BJ81+Wapekeka!BJ81+Weagamow!BJ81+Webequie!BJ81+'Cat Lake'!BJ81+Pikangikum!BJ81+'Big Trout Lake'!BJ81+'Poplar Hill'!BJ81+'North Spirit'!BJ81+Keewaywin!BJ81+'Muskrat Dam'!BJ81+Wunnumin!BJ81+Wawakepewin!BJ81</f>
        <v>20</v>
      </c>
      <c r="K75" s="71">
        <f>Armstrong!BK81+'Bearskin Lake'!BK81+Biscotasing!BK81+'Deer Lake'!BK81+'Fort Severn'!BK81+'Gull Bay'!BK81+Hillsport!BK81+Kasabonika!BK81+Kingfisher!BK81+Lansdowne!BK81+'Marten Falls'!BK81+Oba!BK81+Sachigo!BK81+'Sandy Lake'!BK81+Sultan!BK81+Wapekeka!BK81+Weagamow!BK81+Webequie!BK81+'Cat Lake'!BK81+Pikangikum!BK81+'Big Trout Lake'!BK81+'Poplar Hill'!BK81+'North Spirit'!BK81+Keewaywin!BK81+'Muskrat Dam'!BK81+Wunnumin!BK81+Wawakepewin!BK81</f>
        <v>20</v>
      </c>
      <c r="L75" s="71">
        <f>Armstrong!BL81+'Bearskin Lake'!BL81+Biscotasing!BL81+'Deer Lake'!BL81+'Fort Severn'!BL81+'Gull Bay'!BL81+Hillsport!BL81+Kasabonika!BL81+Kingfisher!BL81+Lansdowne!BL81+'Marten Falls'!BL81+Oba!BL81+Sachigo!BL81+'Sandy Lake'!BL81+Sultan!BL81+Wapekeka!BL81+Weagamow!BL81+Webequie!BL81+'Cat Lake'!BL81+Pikangikum!BL81+'Big Trout Lake'!BL81+'Poplar Hill'!BL81+'North Spirit'!BL81+Keewaywin!BL81+'Muskrat Dam'!BL81+Wunnumin!BL81+Wawakepewin!BL81</f>
        <v>20</v>
      </c>
      <c r="M75" s="71">
        <f>Armstrong!BM81+'Bearskin Lake'!BM81+Biscotasing!BM81+'Deer Lake'!BM81+'Fort Severn'!BM81+'Gull Bay'!BM81+Hillsport!BM81+Kasabonika!BM81+Kingfisher!BM81+Lansdowne!BM81+'Marten Falls'!BM81+Oba!BM81+Sachigo!BM81+'Sandy Lake'!BM81+Sultan!BM81+Wapekeka!BM81+Weagamow!BM81+Webequie!BM81+'Cat Lake'!BM81+Pikangikum!BM81+'Big Trout Lake'!BM81+'Poplar Hill'!BM81+'North Spirit'!BM81+Keewaywin!BM81+'Muskrat Dam'!BM81+Wunnumin!BM81+Wawakepewin!BM81</f>
        <v>20</v>
      </c>
      <c r="N75" s="70">
        <f>Armstrong!BN81+'Bearskin Lake'!BN81+Biscotasing!BN81+'Deer Lake'!BN81+'Fort Severn'!BN81+'Gull Bay'!BN81+Hillsport!BN81+Kasabonika!BN81+Kingfisher!BN81+Lansdowne!BN81+'Marten Falls'!BN81+Oba!BN81+Sachigo!BN81+'Sandy Lake'!BN81+Sultan!BN81+Wapekeka!BN81+Weagamow!BN81+Webequie!BN81+'Cat Lake'!BN81+Pikangikum!BN81+'Big Trout Lake'!BN81+'Poplar Hill'!BN81+'North Spirit'!BN81+Keewaywin!BN81+'Muskrat Dam'!BN81+Wunnumin!BN81+Wawakepewin!BN81</f>
        <v>20</v>
      </c>
      <c r="O75" s="70">
        <f>Armstrong!BO81+'Bearskin Lake'!BO81+Biscotasing!BO81+'Deer Lake'!BO81+'Fort Severn'!BO81+'Gull Bay'!BO81+Hillsport!BO81+Kasabonika!BO81+Kingfisher!BO81+Lansdowne!BO81+'Marten Falls'!BO81+Oba!BO81+Sachigo!BO81+'Sandy Lake'!BO81+Sultan!BO81+Wapekeka!BO81+Weagamow!BO81+Webequie!BO81+'Cat Lake'!BO81+Pikangikum!BO81+'Big Trout Lake'!BO81+'Poplar Hill'!BO81+'North Spirit'!BO81+Keewaywin!BO81+'Muskrat Dam'!BO81+Wunnumin!BO81+Wawakepewin!BO81</f>
        <v>20</v>
      </c>
    </row>
    <row r="76" spans="1:15" ht="15.75" customHeight="1" thickBot="1">
      <c r="A76" s="199" t="s">
        <v>30</v>
      </c>
      <c r="B76" s="240"/>
      <c r="C76" s="117"/>
      <c r="D76" s="117"/>
      <c r="E76" s="114">
        <f>Armstrong!BE82+'Bearskin Lake'!BE82+Biscotasing!BE82+'Deer Lake'!BE82+'Fort Severn'!BE82+'Gull Bay'!BE82+Hillsport!BE82+Kasabonika!BE82+Kingfisher!BE82+Lansdowne!BE82+'Marten Falls'!BE82+Oba!BE82+Sachigo!BE82+'Sandy Lake'!BE82+Sultan!BE82+Wapekeka!BE82+Weagamow!BE82+Webequie!BE82+'Cat Lake'!BE82+Pikangikum!BE82+'Big Trout Lake'!BE82+'Poplar Hill'!BE82+'North Spirit'!BE82+Keewaywin!BE82+'Muskrat Dam'!BE82+Wunnumin!BE82+Wawakepewin!BE82</f>
        <v>61170</v>
      </c>
      <c r="F76" s="114">
        <f>Armstrong!BF82+'Bearskin Lake'!BF82+Biscotasing!BF82+'Deer Lake'!BF82+'Fort Severn'!BF82+'Gull Bay'!BF82+Hillsport!BF82+Kasabonika!BF82+Kingfisher!BF82+Lansdowne!BF82+'Marten Falls'!BF82+Oba!BF82+Sachigo!BF82+'Sandy Lake'!BF82+Sultan!BF82+Wapekeka!BF82+Weagamow!BF82+Webequie!BF82+'Cat Lake'!BF82+Pikangikum!BF82+'Big Trout Lake'!BF82+'Poplar Hill'!BF82+'North Spirit'!BF82+Keewaywin!BF82+'Muskrat Dam'!BF82+Wunnumin!BF82+Wawakepewin!BF82</f>
        <v>64520</v>
      </c>
      <c r="G76" s="114">
        <f>Armstrong!BG82+'Bearskin Lake'!BG82+Biscotasing!BG82+'Deer Lake'!BG82+'Fort Severn'!BG82+'Gull Bay'!BG82+Hillsport!BG82+Kasabonika!BG82+Kingfisher!BG82+Lansdowne!BG82+'Marten Falls'!BG82+Oba!BG82+Sachigo!BG82+'Sandy Lake'!BG82+Sultan!BG82+Wapekeka!BG82+Weagamow!BG82+Webequie!BG82+'Cat Lake'!BG82+Pikangikum!BG82+'Big Trout Lake'!BG82+'Poplar Hill'!BG82+'North Spirit'!BG82+Keewaywin!BG82+'Muskrat Dam'!BG82+Wunnumin!BG82+Wawakepewin!BG82</f>
        <v>74984</v>
      </c>
      <c r="H76" s="116">
        <f>Armstrong!BH82+'Bearskin Lake'!BH82+Biscotasing!BH82+'Deer Lake'!BH82+'Fort Severn'!BH82+'Gull Bay'!BH82+Hillsport!BH82+Kasabonika!BH82+Kingfisher!BH82+Lansdowne!BH82+'Marten Falls'!BH82+Oba!BH82+Sachigo!BH82+'Sandy Lake'!BH82+Sultan!BH82+Wapekeka!BH82+Weagamow!BH82+Webequie!BH82+'Cat Lake'!BH82+Pikangikum!BH82+'Big Trout Lake'!BH82+'Poplar Hill'!BH82+'North Spirit'!BH82+Keewaywin!BH82+'Muskrat Dam'!BH82+Wunnumin!BH82+Wawakepewin!BH82</f>
        <v>44371</v>
      </c>
      <c r="I76" s="116">
        <f>Armstrong!BI82+'Bearskin Lake'!BI82+Biscotasing!BI82+'Deer Lake'!BI82+'Fort Severn'!BI82+'Gull Bay'!BI82+Hillsport!BI82+Kasabonika!BI82+Kingfisher!BI82+Lansdowne!BI82+'Marten Falls'!BI82+Oba!BI82+Sachigo!BI82+'Sandy Lake'!BI82+Sultan!BI82+Wapekeka!BI82+Weagamow!BI82+Webequie!BI82+'Cat Lake'!BI82+Pikangikum!BI82+'Big Trout Lake'!BI82+'Poplar Hill'!BI82+'North Spirit'!BI82+Keewaywin!BI82+'Muskrat Dam'!BI82+Wunnumin!BI82+Wawakepewin!BI82</f>
        <v>50405</v>
      </c>
      <c r="J76" s="116">
        <f>Armstrong!BJ82+'Bearskin Lake'!BJ82+Biscotasing!BJ82+'Deer Lake'!BJ82+'Fort Severn'!BJ82+'Gull Bay'!BJ82+Hillsport!BJ82+Kasabonika!BJ82+Kingfisher!BJ82+Lansdowne!BJ82+'Marten Falls'!BJ82+Oba!BJ82+Sachigo!BJ82+'Sandy Lake'!BJ82+Sultan!BJ82+Wapekeka!BJ82+Weagamow!BJ82+Webequie!BJ82+'Cat Lake'!BJ82+Pikangikum!BJ82+'Big Trout Lake'!BJ82+'Poplar Hill'!BJ82+'North Spirit'!BJ82+Keewaywin!BJ82+'Muskrat Dam'!BJ82+Wunnumin!BJ82+Wawakepewin!BJ82</f>
        <v>44865</v>
      </c>
      <c r="K76" s="116">
        <f>Armstrong!BK82+'Bearskin Lake'!BK82+Biscotasing!BK82+'Deer Lake'!BK82+'Fort Severn'!BK82+'Gull Bay'!BK82+Hillsport!BK82+Kasabonika!BK82+Kingfisher!BK82+Lansdowne!BK82+'Marten Falls'!BK82+Oba!BK82+Sachigo!BK82+'Sandy Lake'!BK82+Sultan!BK82+Wapekeka!BK82+Weagamow!BK82+Webequie!BK82+'Cat Lake'!BK82+Pikangikum!BK82+'Big Trout Lake'!BK82+'Poplar Hill'!BK82+'North Spirit'!BK82+Keewaywin!BK82+'Muskrat Dam'!BK82+Wunnumin!BK82+Wawakepewin!BK82</f>
        <v>60032</v>
      </c>
      <c r="L76" s="116">
        <f>Armstrong!BL82+'Bearskin Lake'!BL82+Biscotasing!BL82+'Deer Lake'!BL82+'Fort Severn'!BL82+'Gull Bay'!BL82+Hillsport!BL82+Kasabonika!BL82+Kingfisher!BL82+Lansdowne!BL82+'Marten Falls'!BL82+Oba!BL82+Sachigo!BL82+'Sandy Lake'!BL82+Sultan!BL82+Wapekeka!BL82+Weagamow!BL82+Webequie!BL82+'Cat Lake'!BL82+Pikangikum!BL82+'Big Trout Lake'!BL82+'Poplar Hill'!BL82+'North Spirit'!BL82+Keewaywin!BL82+'Muskrat Dam'!BL82+Wunnumin!BL82+Wawakepewin!BL82</f>
        <v>71558</v>
      </c>
      <c r="M76" s="116">
        <f>Armstrong!BM82+'Bearskin Lake'!BM82+Biscotasing!BM82+'Deer Lake'!BM82+'Fort Severn'!BM82+'Gull Bay'!BM82+Hillsport!BM82+Kasabonika!BM82+Kingfisher!BM82+Lansdowne!BM82+'Marten Falls'!BM82+Oba!BM82+Sachigo!BM82+'Sandy Lake'!BM82+Sultan!BM82+Wapekeka!BM82+Weagamow!BM82+Webequie!BM82+'Cat Lake'!BM82+Pikangikum!BM82+'Big Trout Lake'!BM82+'Poplar Hill'!BM82+'North Spirit'!BM82+Keewaywin!BM82+'Muskrat Dam'!BM82+Wunnumin!BM82+Wawakepewin!BM82</f>
        <v>74861</v>
      </c>
      <c r="N76" s="485">
        <f>Armstrong!BN82+'Bearskin Lake'!BN82+Biscotasing!BN82+'Deer Lake'!BN82+'Fort Severn'!BN82+'Gull Bay'!BN82+Hillsport!BN82+Kasabonika!BN82+Kingfisher!BN82+Lansdowne!BN82+'Marten Falls'!BN82+Oba!BN82+Sachigo!BN82+'Sandy Lake'!BN82+Sultan!BN82+Wapekeka!BN82+Weagamow!BN82+Webequie!BN82+'Cat Lake'!BN82+Pikangikum!BN82+'Big Trout Lake'!BN82+'Poplar Hill'!BN82+'North Spirit'!BN82+Keewaywin!BN82+'Muskrat Dam'!BN82+Wunnumin!BN82+Wawakepewin!BN82</f>
        <v>789443</v>
      </c>
      <c r="O76" s="485">
        <f>Armstrong!BO82+'Bearskin Lake'!BO82+Biscotasing!BO82+'Deer Lake'!BO82+'Fort Severn'!BO82+'Gull Bay'!BO82+Hillsport!BO82+Kasabonika!BO82+Kingfisher!BO82+Lansdowne!BO82+'Marten Falls'!BO82+Oba!BO82+Sachigo!BO82+'Sandy Lake'!BO82+Sultan!BO82+Wapekeka!BO82+Weagamow!BO82+Webequie!BO82+'Cat Lake'!BO82+Pikangikum!BO82+'Big Trout Lake'!BO82+'Poplar Hill'!BO82+'North Spirit'!BO82+Keewaywin!BO82+'Muskrat Dam'!BO82+Wunnumin!BO82+Wawakepewin!BO82</f>
        <v>789443</v>
      </c>
    </row>
    <row r="77" spans="1:15" ht="15.75" customHeight="1" thickTop="1">
      <c r="A77" s="2" t="s">
        <v>54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58"/>
      <c r="O77" s="58"/>
    </row>
    <row r="78" spans="1:15" ht="15.75" customHeight="1">
      <c r="B78" s="8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58"/>
      <c r="O78" s="58"/>
    </row>
    <row r="79" spans="1:15" ht="15" customHeight="1">
      <c r="A79" s="198" t="s">
        <v>71</v>
      </c>
      <c r="B79" s="18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59"/>
      <c r="O79" s="59"/>
    </row>
    <row r="80" spans="1:15" ht="15" customHeight="1">
      <c r="A80" s="2" t="s">
        <v>49</v>
      </c>
      <c r="B80" s="123"/>
      <c r="C80" s="109"/>
      <c r="D80" s="109"/>
      <c r="E80" s="108">
        <f>Armstrong!BE86+'Bearskin Lake'!BE86+Biscotasing!BE86+'Deer Lake'!BE86+'Fort Severn'!BE86+'Gull Bay'!BE86+Hillsport!BE86+Kasabonika!BE86+Kingfisher!BE86+Lansdowne!BE86+'Marten Falls'!BE86+Oba!BE86+Sachigo!BE86+'Sandy Lake'!BE86+Sultan!BE86+Wapekeka!BE86+Weagamow!BE86+Webequie!BE86+'Cat Lake'!BE86+Pikangikum!BE86+'Big Trout Lake'!BE86+'Poplar Hill'!BE86+'North Spirit'!BE86+Keewaywin!BE86+'Muskrat Dam'!BE86+Wunnumin!BE86+Wawakepewin!BE86</f>
        <v>231</v>
      </c>
      <c r="F80" s="108">
        <f>Armstrong!BF86+'Bearskin Lake'!BF86+Biscotasing!BF86+'Deer Lake'!BF86+'Fort Severn'!BF86+'Gull Bay'!BF86+Hillsport!BF86+Kasabonika!BF86+Kingfisher!BF86+Lansdowne!BF86+'Marten Falls'!BF86+Oba!BF86+Sachigo!BF86+'Sandy Lake'!BF86+Sultan!BF86+Wapekeka!BF86+Weagamow!BF86+Webequie!BF86+'Cat Lake'!BF86+Pikangikum!BF86+'Big Trout Lake'!BF86+'Poplar Hill'!BF86+'North Spirit'!BF86+Keewaywin!BF86+'Muskrat Dam'!BF86+Wunnumin!BF86+Wawakepewin!BF86</f>
        <v>231</v>
      </c>
      <c r="G80" s="108">
        <f>Armstrong!BG86+'Bearskin Lake'!BG86+Biscotasing!BG86+'Deer Lake'!BG86+'Fort Severn'!BG86+'Gull Bay'!BG86+Hillsport!BG86+Kasabonika!BG86+Kingfisher!BG86+Lansdowne!BG86+'Marten Falls'!BG86+Oba!BG86+Sachigo!BG86+'Sandy Lake'!BG86+Sultan!BG86+Wapekeka!BG86+Weagamow!BG86+Webequie!BG86+'Cat Lake'!BG86+Pikangikum!BG86+'Big Trout Lake'!BG86+'Poplar Hill'!BG86+'North Spirit'!BG86+Keewaywin!BG86+'Muskrat Dam'!BG86+Wunnumin!BG86+Wawakepewin!BG86</f>
        <v>231</v>
      </c>
      <c r="H80" s="71">
        <f>Armstrong!BH86+'Bearskin Lake'!BH86+Biscotasing!BH86+'Deer Lake'!BH86+'Fort Severn'!BH86+'Gull Bay'!BH86+Hillsport!BH86+Kasabonika!BH86+Kingfisher!BH86+Lansdowne!BH86+'Marten Falls'!BH86+Oba!BH86+Sachigo!BH86+'Sandy Lake'!BH86+Sultan!BH86+Wapekeka!BH86+Weagamow!BH86+Webequie!BH86+'Cat Lake'!BH86+Pikangikum!BH86+'Big Trout Lake'!BH86+'Poplar Hill'!BH86+'North Spirit'!BH86+Keewaywin!BH86+'Muskrat Dam'!BH86+Wunnumin!BH86+Wawakepewin!BH86</f>
        <v>195</v>
      </c>
      <c r="I80" s="71">
        <f>Armstrong!BI86+'Bearskin Lake'!BI86+Biscotasing!BI86+'Deer Lake'!BI86+'Fort Severn'!BI86+'Gull Bay'!BI86+Hillsport!BI86+Kasabonika!BI86+Kingfisher!BI86+Lansdowne!BI86+'Marten Falls'!BI86+Oba!BI86+Sachigo!BI86+'Sandy Lake'!BI86+Sultan!BI86+Wapekeka!BI86+Weagamow!BI86+Webequie!BI86+'Cat Lake'!BI86+Pikangikum!BI86+'Big Trout Lake'!BI86+'Poplar Hill'!BI86+'North Spirit'!BI86+Keewaywin!BI86+'Muskrat Dam'!BI86+Wunnumin!BI86+Wawakepewin!BI86</f>
        <v>195</v>
      </c>
      <c r="J80" s="71">
        <f>Armstrong!BJ86+'Bearskin Lake'!BJ86+Biscotasing!BJ86+'Deer Lake'!BJ86+'Fort Severn'!BJ86+'Gull Bay'!BJ86+Hillsport!BJ86+Kasabonika!BJ86+Kingfisher!BJ86+Lansdowne!BJ86+'Marten Falls'!BJ86+Oba!BJ86+Sachigo!BJ86+'Sandy Lake'!BJ86+Sultan!BJ86+Wapekeka!BJ86+Weagamow!BJ86+Webequie!BJ86+'Cat Lake'!BJ86+Pikangikum!BJ86+'Big Trout Lake'!BJ86+'Poplar Hill'!BJ86+'North Spirit'!BJ86+Keewaywin!BJ86+'Muskrat Dam'!BJ86+Wunnumin!BJ86+Wawakepewin!BJ86</f>
        <v>197</v>
      </c>
      <c r="K80" s="71">
        <f>Armstrong!BK86+'Bearskin Lake'!BK86+Biscotasing!BK86+'Deer Lake'!BK86+'Fort Severn'!BK86+'Gull Bay'!BK86+Hillsport!BK86+Kasabonika!BK86+Kingfisher!BK86+Lansdowne!BK86+'Marten Falls'!BK86+Oba!BK86+Sachigo!BK86+'Sandy Lake'!BK86+Sultan!BK86+Wapekeka!BK86+Weagamow!BK86+Webequie!BK86+'Cat Lake'!BK86+Pikangikum!BK86+'Big Trout Lake'!BK86+'Poplar Hill'!BK86+'North Spirit'!BK86+Keewaywin!BK86+'Muskrat Dam'!BK86+Wunnumin!BK86+Wawakepewin!BK86</f>
        <v>197</v>
      </c>
      <c r="L80" s="71">
        <f>Armstrong!BL86+'Bearskin Lake'!BL86+Biscotasing!BL86+'Deer Lake'!BL86+'Fort Severn'!BL86+'Gull Bay'!BL86+Hillsport!BL86+Kasabonika!BL86+Kingfisher!BL86+Lansdowne!BL86+'Marten Falls'!BL86+Oba!BL86+Sachigo!BL86+'Sandy Lake'!BL86+Sultan!BL86+Wapekeka!BL86+Weagamow!BL86+Webequie!BL86+'Cat Lake'!BL86+Pikangikum!BL86+'Big Trout Lake'!BL86+'Poplar Hill'!BL86+'North Spirit'!BL86+Keewaywin!BL86+'Muskrat Dam'!BL86+Wunnumin!BL86+Wawakepewin!BL86</f>
        <v>197</v>
      </c>
      <c r="M80" s="71">
        <f>Armstrong!BM86+'Bearskin Lake'!BM86+Biscotasing!BM86+'Deer Lake'!BM86+'Fort Severn'!BM86+'Gull Bay'!BM86+Hillsport!BM86+Kasabonika!BM86+Kingfisher!BM86+Lansdowne!BM86+'Marten Falls'!BM86+Oba!BM86+Sachigo!BM86+'Sandy Lake'!BM86+Sultan!BM86+Wapekeka!BM86+Weagamow!BM86+Webequie!BM86+'Cat Lake'!BM86+Pikangikum!BM86+'Big Trout Lake'!BM86+'Poplar Hill'!BM86+'North Spirit'!BM86+Keewaywin!BM86+'Muskrat Dam'!BM86+Wunnumin!BM86+Wawakepewin!BM86</f>
        <v>197</v>
      </c>
      <c r="N80" s="70">
        <f>Armstrong!BN86+'Bearskin Lake'!BN86+Biscotasing!BN86+'Deer Lake'!BN86+'Fort Severn'!BN86+'Gull Bay'!BN86+Hillsport!BN86+Kasabonika!BN86+Kingfisher!BN86+Lansdowne!BN86+'Marten Falls'!BN86+Oba!BN86+Sachigo!BN86+'Sandy Lake'!BN86+Sultan!BN86+Wapekeka!BN86+Weagamow!BN86+Webequie!BN86+'Cat Lake'!BN86+Pikangikum!BN86+'Big Trout Lake'!BN86+'Poplar Hill'!BN86+'North Spirit'!BN86+Keewaywin!BN86+'Muskrat Dam'!BN86+Wunnumin!BN86+Wawakepewin!BN86</f>
        <v>195</v>
      </c>
      <c r="O80" s="70">
        <f>Armstrong!BO86+'Bearskin Lake'!BO86+Biscotasing!BO86+'Deer Lake'!BO86+'Fort Severn'!BO86+'Gull Bay'!BO86+Hillsport!BO86+Kasabonika!BO86+Kingfisher!BO86+Lansdowne!BO86+'Marten Falls'!BO86+Oba!BO86+Sachigo!BO86+'Sandy Lake'!BO86+Sultan!BO86+Wapekeka!BO86+Weagamow!BO86+Webequie!BO86+'Cat Lake'!BO86+Pikangikum!BO86+'Big Trout Lake'!BO86+'Poplar Hill'!BO86+'North Spirit'!BO86+Keewaywin!BO86+'Muskrat Dam'!BO86+Wunnumin!BO86+Wawakepewin!BO86</f>
        <v>106</v>
      </c>
    </row>
    <row r="81" spans="1:15" ht="15.75" customHeight="1" thickBot="1">
      <c r="A81" s="199" t="s">
        <v>30</v>
      </c>
      <c r="B81" s="240"/>
      <c r="C81" s="117"/>
      <c r="D81" s="117"/>
      <c r="E81" s="114">
        <f>Armstrong!BE87+'Bearskin Lake'!BE87+Biscotasing!BE87+'Deer Lake'!BE87+'Fort Severn'!BE87+'Gull Bay'!BE87+Hillsport!BE87+Kasabonika!BE87+Kingfisher!BE87+Lansdowne!BE87+'Marten Falls'!BE87+Oba!BE87+Sachigo!BE87+'Sandy Lake'!BE87+Sultan!BE87+Wapekeka!BE87+Weagamow!BE87+Webequie!BE87+'Cat Lake'!BE87+Pikangikum!BE87+'Big Trout Lake'!BE87+'Poplar Hill'!BE87+'North Spirit'!BE87+Keewaywin!BE87+'Muskrat Dam'!BE87+Wunnumin!BE87+Wawakepewin!BE87</f>
        <v>945449</v>
      </c>
      <c r="F81" s="114">
        <f>Armstrong!BF87+'Bearskin Lake'!BF87+Biscotasing!BF87+'Deer Lake'!BF87+'Fort Severn'!BF87+'Gull Bay'!BF87+Hillsport!BF87+Kasabonika!BF87+Kingfisher!BF87+Lansdowne!BF87+'Marten Falls'!BF87+Oba!BF87+Sachigo!BF87+'Sandy Lake'!BF87+Sultan!BF87+Wapekeka!BF87+Weagamow!BF87+Webequie!BF87+'Cat Lake'!BF87+Pikangikum!BF87+'Big Trout Lake'!BF87+'Poplar Hill'!BF87+'North Spirit'!BF87+Keewaywin!BF87+'Muskrat Dam'!BF87+Wunnumin!BF87+Wawakepewin!BF87</f>
        <v>860674</v>
      </c>
      <c r="G81" s="114">
        <f>Armstrong!BG87+'Bearskin Lake'!BG87+Biscotasing!BG87+'Deer Lake'!BG87+'Fort Severn'!BG87+'Gull Bay'!BG87+Hillsport!BG87+Kasabonika!BG87+Kingfisher!BG87+Lansdowne!BG87+'Marten Falls'!BG87+Oba!BG87+Sachigo!BG87+'Sandy Lake'!BG87+Sultan!BG87+Wapekeka!BG87+Weagamow!BG87+Webequie!BG87+'Cat Lake'!BG87+Pikangikum!BG87+'Big Trout Lake'!BG87+'Poplar Hill'!BG87+'North Spirit'!BG87+Keewaywin!BG87+'Muskrat Dam'!BG87+Wunnumin!BG87+Wawakepewin!BG87</f>
        <v>736047</v>
      </c>
      <c r="H81" s="116">
        <f>Armstrong!BH87+'Bearskin Lake'!BH87+Biscotasing!BH87+'Deer Lake'!BH87+'Fort Severn'!BH87+'Gull Bay'!BH87+Hillsport!BH87+Kasabonika!BH87+Kingfisher!BH87+Lansdowne!BH87+'Marten Falls'!BH87+Oba!BH87+Sachigo!BH87+'Sandy Lake'!BH87+Sultan!BH87+Wapekeka!BH87+Weagamow!BH87+Webequie!BH87+'Cat Lake'!BH87+Pikangikum!BH87+'Big Trout Lake'!BH87+'Poplar Hill'!BH87+'North Spirit'!BH87+Keewaywin!BH87+'Muskrat Dam'!BH87+Wunnumin!BH87+Wawakepewin!BH87</f>
        <v>629933</v>
      </c>
      <c r="I81" s="116">
        <f>Armstrong!BI87+'Bearskin Lake'!BI87+Biscotasing!BI87+'Deer Lake'!BI87+'Fort Severn'!BI87+'Gull Bay'!BI87+Hillsport!BI87+Kasabonika!BI87+Kingfisher!BI87+Lansdowne!BI87+'Marten Falls'!BI87+Oba!BI87+Sachigo!BI87+'Sandy Lake'!BI87+Sultan!BI87+Wapekeka!BI87+Weagamow!BI87+Webequie!BI87+'Cat Lake'!BI87+Pikangikum!BI87+'Big Trout Lake'!BI87+'Poplar Hill'!BI87+'North Spirit'!BI87+Keewaywin!BI87+'Muskrat Dam'!BI87+Wunnumin!BI87+Wawakepewin!BI87</f>
        <v>564534</v>
      </c>
      <c r="J81" s="116">
        <f>Armstrong!BJ87+'Bearskin Lake'!BJ87+Biscotasing!BJ87+'Deer Lake'!BJ87+'Fort Severn'!BJ87+'Gull Bay'!BJ87+Hillsport!BJ87+Kasabonika!BJ87+Kingfisher!BJ87+Lansdowne!BJ87+'Marten Falls'!BJ87+Oba!BJ87+Sachigo!BJ87+'Sandy Lake'!BJ87+Sultan!BJ87+Wapekeka!BJ87+Weagamow!BJ87+Webequie!BJ87+'Cat Lake'!BJ87+Pikangikum!BJ87+'Big Trout Lake'!BJ87+'Poplar Hill'!BJ87+'North Spirit'!BJ87+Keewaywin!BJ87+'Muskrat Dam'!BJ87+Wunnumin!BJ87+Wawakepewin!BJ87</f>
        <v>624085</v>
      </c>
      <c r="K81" s="116">
        <f>Armstrong!BK87+'Bearskin Lake'!BK87+Biscotasing!BK87+'Deer Lake'!BK87+'Fort Severn'!BK87+'Gull Bay'!BK87+Hillsport!BK87+Kasabonika!BK87+Kingfisher!BK87+Lansdowne!BK87+'Marten Falls'!BK87+Oba!BK87+Sachigo!BK87+'Sandy Lake'!BK87+Sultan!BK87+Wapekeka!BK87+Weagamow!BK87+Webequie!BK87+'Cat Lake'!BK87+Pikangikum!BK87+'Big Trout Lake'!BK87+'Poplar Hill'!BK87+'North Spirit'!BK87+Keewaywin!BK87+'Muskrat Dam'!BK87+Wunnumin!BK87+Wawakepewin!BK87</f>
        <v>692668</v>
      </c>
      <c r="L81" s="116">
        <f>Armstrong!BL87+'Bearskin Lake'!BL87+Biscotasing!BL87+'Deer Lake'!BL87+'Fort Severn'!BL87+'Gull Bay'!BL87+Hillsport!BL87+Kasabonika!BL87+Kingfisher!BL87+Lansdowne!BL87+'Marten Falls'!BL87+Oba!BL87+Sachigo!BL87+'Sandy Lake'!BL87+Sultan!BL87+Wapekeka!BL87+Weagamow!BL87+Webequie!BL87+'Cat Lake'!BL87+Pikangikum!BL87+'Big Trout Lake'!BL87+'Poplar Hill'!BL87+'North Spirit'!BL87+Keewaywin!BL87+'Muskrat Dam'!BL87+Wunnumin!BL87+Wawakepewin!BL87</f>
        <v>807718</v>
      </c>
      <c r="M81" s="116">
        <f>Armstrong!BM87+'Bearskin Lake'!BM87+Biscotasing!BM87+'Deer Lake'!BM87+'Fort Severn'!BM87+'Gull Bay'!BM87+Hillsport!BM87+Kasabonika!BM87+Kingfisher!BM87+Lansdowne!BM87+'Marten Falls'!BM87+Oba!BM87+Sachigo!BM87+'Sandy Lake'!BM87+Sultan!BM87+Wapekeka!BM87+Weagamow!BM87+Webequie!BM87+'Cat Lake'!BM87+Pikangikum!BM87+'Big Trout Lake'!BM87+'Poplar Hill'!BM87+'North Spirit'!BM87+Keewaywin!BM87+'Muskrat Dam'!BM87+Wunnumin!BM87+Wawakepewin!BM87</f>
        <v>905271</v>
      </c>
      <c r="N81" s="485">
        <f>Armstrong!BN87+'Bearskin Lake'!BN87+Biscotasing!BN87+'Deer Lake'!BN87+'Fort Severn'!BN87+'Gull Bay'!BN87+Hillsport!BN87+Kasabonika!BN87+Kingfisher!BN87+Lansdowne!BN87+'Marten Falls'!BN87+Oba!BN87+Sachigo!BN87+'Sandy Lake'!BN87+Sultan!BN87+Wapekeka!BN87+Weagamow!BN87+Webequie!BN87+'Cat Lake'!BN87+Pikangikum!BN87+'Big Trout Lake'!BN87+'Poplar Hill'!BN87+'North Spirit'!BN87+Keewaywin!BN87+'Muskrat Dam'!BN87+Wunnumin!BN87+Wawakepewin!BN87</f>
        <v>9989496</v>
      </c>
      <c r="O81" s="485">
        <f>Armstrong!BO87+'Bearskin Lake'!BO87+Biscotasing!BO87+'Deer Lake'!BO87+'Fort Severn'!BO87+'Gull Bay'!BO87+Hillsport!BO87+Kasabonika!BO87+Kingfisher!BO87+Lansdowne!BO87+'Marten Falls'!BO87+Oba!BO87+Sachigo!BO87+'Sandy Lake'!BO87+Sultan!BO87+Wapekeka!BO87+Weagamow!BO87+Webequie!BO87+'Cat Lake'!BO87+Pikangikum!BO87+'Big Trout Lake'!BO87+'Poplar Hill'!BO87+'North Spirit'!BO87+Keewaywin!BO87+'Muskrat Dam'!BO87+Wunnumin!BO87+Wawakepewin!BO87</f>
        <v>7826169</v>
      </c>
    </row>
    <row r="82" spans="1:15" ht="15.75" customHeight="1" thickTop="1">
      <c r="A82" s="2" t="s">
        <v>54</v>
      </c>
      <c r="B82" s="12"/>
      <c r="C82" s="13"/>
      <c r="D82" s="13"/>
      <c r="E82" s="9"/>
      <c r="F82" s="9"/>
      <c r="G82" s="9"/>
      <c r="H82" s="9"/>
      <c r="I82" s="9"/>
      <c r="J82" s="9"/>
      <c r="K82" s="9"/>
      <c r="L82" s="9"/>
      <c r="M82" s="9"/>
      <c r="N82" s="58"/>
      <c r="O82" s="58"/>
    </row>
    <row r="83" spans="1:15" ht="15.75" customHeight="1">
      <c r="B83" s="8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58"/>
      <c r="O83" s="58"/>
    </row>
    <row r="84" spans="1:15" ht="15" customHeight="1">
      <c r="A84" s="198" t="s">
        <v>72</v>
      </c>
      <c r="B84" s="18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9"/>
      <c r="O84" s="59"/>
    </row>
    <row r="85" spans="1:15" ht="15" customHeight="1">
      <c r="A85" s="2" t="s">
        <v>49</v>
      </c>
      <c r="B85" s="123"/>
      <c r="C85" s="109"/>
      <c r="D85" s="109"/>
      <c r="E85" s="108">
        <f>Armstrong!BE92+'Bearskin Lake'!BE92+Biscotasing!BE92+'Deer Lake'!BE92+'Fort Severn'!BE92+'Gull Bay'!BE92+Hillsport!BE92+Kasabonika!BE92+Kingfisher!BE92+Lansdowne!BE92+'Marten Falls'!BE92+Oba!BE92+Sachigo!BE92+'Sandy Lake'!BE92+Sultan!BE92+Wapekeka!BE92+Weagamow!BE92+Webequie!BE92+'Cat Lake'!BE92+Pikangikum!BE92+'Big Trout Lake'!BE92+'Poplar Hill'!BE92+'North Spirit'!BE92+Keewaywin!BE92+'Muskrat Dam'!BE92+Wunnumin!BE92+Wawakepewin!BE92</f>
        <v>79</v>
      </c>
      <c r="F85" s="108">
        <f>Armstrong!BF92+'Bearskin Lake'!BF92+Biscotasing!BF92+'Deer Lake'!BF92+'Fort Severn'!BF92+'Gull Bay'!BF92+Hillsport!BF92+Kasabonika!BF92+Kingfisher!BF92+Lansdowne!BF92+'Marten Falls'!BF92+Oba!BF92+Sachigo!BF92+'Sandy Lake'!BF92+Sultan!BF92+Wapekeka!BF92+Weagamow!BF92+Webequie!BF92+'Cat Lake'!BF92+Pikangikum!BF92+'Big Trout Lake'!BF92+'Poplar Hill'!BF92+'North Spirit'!BF92+Keewaywin!BF92+'Muskrat Dam'!BF92+Wunnumin!BF92+Wawakepewin!BF92</f>
        <v>79</v>
      </c>
      <c r="G85" s="108">
        <f>Armstrong!BG92+'Bearskin Lake'!BG92+Biscotasing!BG92+'Deer Lake'!BG92+'Fort Severn'!BG92+'Gull Bay'!BG92+Hillsport!BG92+Kasabonika!BG92+Kingfisher!BG92+Lansdowne!BG92+'Marten Falls'!BG92+Oba!BG92+Sachigo!BG92+'Sandy Lake'!BG92+Sultan!BG92+Wapekeka!BG92+Weagamow!BG92+Webequie!BG92+'Cat Lake'!BG92+Pikangikum!BG92+'Big Trout Lake'!BG92+'Poplar Hill'!BG92+'North Spirit'!BG92+Keewaywin!BG92+'Muskrat Dam'!BG92+Wunnumin!BG92+Wawakepewin!BG92</f>
        <v>79</v>
      </c>
      <c r="H85" s="71">
        <f>Armstrong!BH92+'Bearskin Lake'!BH92+Biscotasing!BH92+'Deer Lake'!BH92+'Fort Severn'!BH92+'Gull Bay'!BH92+Hillsport!BH92+Kasabonika!BH92+Kingfisher!BH92+Lansdowne!BH92+'Marten Falls'!BH92+Oba!BH92+Sachigo!BH92+'Sandy Lake'!BH92+Sultan!BH92+Wapekeka!BH92+Weagamow!BH92+Webequie!BH92+'Cat Lake'!BH92+Pikangikum!BH92+'Big Trout Lake'!BH92+'Poplar Hill'!BH92+'North Spirit'!BH92+Keewaywin!BH92+'Muskrat Dam'!BH92+Wunnumin!BH92+Wawakepewin!BH92</f>
        <v>135</v>
      </c>
      <c r="I85" s="71">
        <f>Armstrong!BI92+'Bearskin Lake'!BI92+Biscotasing!BI92+'Deer Lake'!BI92+'Fort Severn'!BI92+'Gull Bay'!BI92+Hillsport!BI92+Kasabonika!BI92+Kingfisher!BI92+Lansdowne!BI92+'Marten Falls'!BI92+Oba!BI92+Sachigo!BI92+'Sandy Lake'!BI92+Sultan!BI92+Wapekeka!BI92+Weagamow!BI92+Webequie!BI92+'Cat Lake'!BI92+Pikangikum!BI92+'Big Trout Lake'!BI92+'Poplar Hill'!BI92+'North Spirit'!BI92+Keewaywin!BI92+'Muskrat Dam'!BI92+Wunnumin!BI92+Wawakepewin!BI92</f>
        <v>135</v>
      </c>
      <c r="J85" s="71">
        <f>Armstrong!BJ92+'Bearskin Lake'!BJ92+Biscotasing!BJ92+'Deer Lake'!BJ92+'Fort Severn'!BJ92+'Gull Bay'!BJ92+Hillsport!BJ92+Kasabonika!BJ92+Kingfisher!BJ92+Lansdowne!BJ92+'Marten Falls'!BJ92+Oba!BJ92+Sachigo!BJ92+'Sandy Lake'!BJ92+Sultan!BJ92+Wapekeka!BJ92+Weagamow!BJ92+Webequie!BJ92+'Cat Lake'!BJ92+Pikangikum!BJ92+'Big Trout Lake'!BJ92+'Poplar Hill'!BJ92+'North Spirit'!BJ92+Keewaywin!BJ92+'Muskrat Dam'!BJ92+Wunnumin!BJ92+Wawakepewin!BJ92</f>
        <v>143</v>
      </c>
      <c r="K85" s="71">
        <f>Armstrong!BK92+'Bearskin Lake'!BK92+Biscotasing!BK92+'Deer Lake'!BK92+'Fort Severn'!BK92+'Gull Bay'!BK92+Hillsport!BK92+Kasabonika!BK92+Kingfisher!BK92+Lansdowne!BK92+'Marten Falls'!BK92+Oba!BK92+Sachigo!BK92+'Sandy Lake'!BK92+Sultan!BK92+Wapekeka!BK92+Weagamow!BK92+Webequie!BK92+'Cat Lake'!BK92+Pikangikum!BK92+'Big Trout Lake'!BK92+'Poplar Hill'!BK92+'North Spirit'!BK92+Keewaywin!BK92+'Muskrat Dam'!BK92+Wunnumin!BK92+Wawakepewin!BK92</f>
        <v>143</v>
      </c>
      <c r="L85" s="71">
        <f>Armstrong!BL92+'Bearskin Lake'!BL92+Biscotasing!BL92+'Deer Lake'!BL92+'Fort Severn'!BL92+'Gull Bay'!BL92+Hillsport!BL92+Kasabonika!BL92+Kingfisher!BL92+Lansdowne!BL92+'Marten Falls'!BL92+Oba!BL92+Sachigo!BL92+'Sandy Lake'!BL92+Sultan!BL92+Wapekeka!BL92+Weagamow!BL92+Webequie!BL92+'Cat Lake'!BL92+Pikangikum!BL92+'Big Trout Lake'!BL92+'Poplar Hill'!BL92+'North Spirit'!BL92+Keewaywin!BL92+'Muskrat Dam'!BL92+Wunnumin!BL92+Wawakepewin!BL92</f>
        <v>143</v>
      </c>
      <c r="M85" s="71">
        <f>Armstrong!BM92+'Bearskin Lake'!BM92+Biscotasing!BM92+'Deer Lake'!BM92+'Fort Severn'!BM92+'Gull Bay'!BM92+Hillsport!BM92+Kasabonika!BM92+Kingfisher!BM92+Lansdowne!BM92+'Marten Falls'!BM92+Oba!BM92+Sachigo!BM92+'Sandy Lake'!BM92+Sultan!BM92+Wapekeka!BM92+Weagamow!BM92+Webequie!BM92+'Cat Lake'!BM92+Pikangikum!BM92+'Big Trout Lake'!BM92+'Poplar Hill'!BM92+'North Spirit'!BM92+Keewaywin!BM92+'Muskrat Dam'!BM92+Wunnumin!BM92+Wawakepewin!BM92</f>
        <v>143</v>
      </c>
      <c r="N85" s="70">
        <f>Armstrong!BN92+'Bearskin Lake'!BN92+Biscotasing!BN92+'Deer Lake'!BN92+'Fort Severn'!BN92+'Gull Bay'!BN92+Hillsport!BN92+Kasabonika!BN92+Kingfisher!BN92+Lansdowne!BN92+'Marten Falls'!BN92+Oba!BN92+Sachigo!BN92+'Sandy Lake'!BN92+Sultan!BN92+Wapekeka!BN92+Weagamow!BN92+Webequie!BN92+'Cat Lake'!BN92+Pikangikum!BN92+'Big Trout Lake'!BN92+'Poplar Hill'!BN92+'North Spirit'!BN92+Keewaywin!BN92+'Muskrat Dam'!BN92+Wunnumin!BN92+Wawakepewin!BN92</f>
        <v>143</v>
      </c>
      <c r="O85" s="70">
        <f>Armstrong!BO92+'Bearskin Lake'!BO92+Biscotasing!BO92+'Deer Lake'!BO92+'Fort Severn'!BO92+'Gull Bay'!BO92+Hillsport!BO92+Kasabonika!BO92+Kingfisher!BO92+Lansdowne!BO92+'Marten Falls'!BO92+Oba!BO92+Sachigo!BO92+'Sandy Lake'!BO92+Sultan!BO92+Wapekeka!BO92+Weagamow!BO92+Webequie!BO92+'Cat Lake'!BO92+Pikangikum!BO92+'Big Trout Lake'!BO92+'Poplar Hill'!BO92+'North Spirit'!BO92+Keewaywin!BO92+'Muskrat Dam'!BO92+Wunnumin!BO92+Wawakepewin!BO92</f>
        <v>421</v>
      </c>
    </row>
    <row r="86" spans="1:15" ht="15.75" customHeight="1" thickBot="1">
      <c r="A86" s="199" t="s">
        <v>30</v>
      </c>
      <c r="B86" s="240"/>
      <c r="C86" s="117"/>
      <c r="D86" s="117"/>
      <c r="E86" s="114">
        <f>Armstrong!BE93+'Bearskin Lake'!BE93+Biscotasing!BE93+'Deer Lake'!BE93+'Fort Severn'!BE93+'Gull Bay'!BE93+Hillsport!BE93+Kasabonika!BE93+Kingfisher!BE93+Lansdowne!BE93+'Marten Falls'!BE93+Oba!BE93+Sachigo!BE93+'Sandy Lake'!BE93+Sultan!BE93+Wapekeka!BE93+Weagamow!BE93+Webequie!BE93+'Cat Lake'!BE93+Pikangikum!BE93+'Big Trout Lake'!BE93+'Poplar Hill'!BE93+'North Spirit'!BE93+Keewaywin!BE93+'Muskrat Dam'!BE93+Wunnumin!BE93+Wawakepewin!BE93</f>
        <v>267058</v>
      </c>
      <c r="F86" s="114">
        <f>Armstrong!BF93+'Bearskin Lake'!BF93+Biscotasing!BF93+'Deer Lake'!BF93+'Fort Severn'!BF93+'Gull Bay'!BF93+Hillsport!BF93+Kasabonika!BF93+Kingfisher!BF93+Lansdowne!BF93+'Marten Falls'!BF93+Oba!BF93+Sachigo!BF93+'Sandy Lake'!BF93+Sultan!BF93+Wapekeka!BF93+Weagamow!BF93+Webequie!BF93+'Cat Lake'!BF93+Pikangikum!BF93+'Big Trout Lake'!BF93+'Poplar Hill'!BF93+'North Spirit'!BF93+Keewaywin!BF93+'Muskrat Dam'!BF93+Wunnumin!BF93+Wawakepewin!BF93</f>
        <v>232339</v>
      </c>
      <c r="G86" s="114">
        <f>Armstrong!BG93+'Bearskin Lake'!BG93+Biscotasing!BG93+'Deer Lake'!BG93+'Fort Severn'!BG93+'Gull Bay'!BG93+Hillsport!BG93+Kasabonika!BG93+Kingfisher!BG93+Lansdowne!BG93+'Marten Falls'!BG93+Oba!BG93+Sachigo!BG93+'Sandy Lake'!BG93+Sultan!BG93+Wapekeka!BG93+Weagamow!BG93+Webequie!BG93+'Cat Lake'!BG93+Pikangikum!BG93+'Big Trout Lake'!BG93+'Poplar Hill'!BG93+'North Spirit'!BG93+Keewaywin!BG93+'Muskrat Dam'!BG93+Wunnumin!BG93+Wawakepewin!BG93</f>
        <v>205041</v>
      </c>
      <c r="H86" s="116">
        <f>Armstrong!BH93+'Bearskin Lake'!BH93+Biscotasing!BH93+'Deer Lake'!BH93+'Fort Severn'!BH93+'Gull Bay'!BH93+Hillsport!BH93+Kasabonika!BH93+Kingfisher!BH93+Lansdowne!BH93+'Marten Falls'!BH93+Oba!BH93+Sachigo!BH93+'Sandy Lake'!BH93+Sultan!BH93+Wapekeka!BH93+Weagamow!BH93+Webequie!BH93+'Cat Lake'!BH93+Pikangikum!BH93+'Big Trout Lake'!BH93+'Poplar Hill'!BH93+'North Spirit'!BH93+Keewaywin!BH93+'Muskrat Dam'!BH93+Wunnumin!BH93+Wawakepewin!BH93</f>
        <v>196367</v>
      </c>
      <c r="I86" s="116">
        <f>Armstrong!BI93+'Bearskin Lake'!BI93+Biscotasing!BI93+'Deer Lake'!BI93+'Fort Severn'!BI93+'Gull Bay'!BI93+Hillsport!BI93+Kasabonika!BI93+Kingfisher!BI93+Lansdowne!BI93+'Marten Falls'!BI93+Oba!BI93+Sachigo!BI93+'Sandy Lake'!BI93+Sultan!BI93+Wapekeka!BI93+Weagamow!BI93+Webequie!BI93+'Cat Lake'!BI93+Pikangikum!BI93+'Big Trout Lake'!BI93+'Poplar Hill'!BI93+'North Spirit'!BI93+Keewaywin!BI93+'Muskrat Dam'!BI93+Wunnumin!BI93+Wawakepewin!BI93</f>
        <v>214894</v>
      </c>
      <c r="J86" s="116">
        <f>Armstrong!BJ93+'Bearskin Lake'!BJ93+Biscotasing!BJ93+'Deer Lake'!BJ93+'Fort Severn'!BJ93+'Gull Bay'!BJ93+Hillsport!BJ93+Kasabonika!BJ93+Kingfisher!BJ93+Lansdowne!BJ93+'Marten Falls'!BJ93+Oba!BJ93+Sachigo!BJ93+'Sandy Lake'!BJ93+Sultan!BJ93+Wapekeka!BJ93+Weagamow!BJ93+Webequie!BJ93+'Cat Lake'!BJ93+Pikangikum!BJ93+'Big Trout Lake'!BJ93+'Poplar Hill'!BJ93+'North Spirit'!BJ93+Keewaywin!BJ93+'Muskrat Dam'!BJ93+Wunnumin!BJ93+Wawakepewin!BJ93</f>
        <v>340961</v>
      </c>
      <c r="K86" s="116">
        <f>Armstrong!BK93+'Bearskin Lake'!BK93+Biscotasing!BK93+'Deer Lake'!BK93+'Fort Severn'!BK93+'Gull Bay'!BK93+Hillsport!BK93+Kasabonika!BK93+Kingfisher!BK93+Lansdowne!BK93+'Marten Falls'!BK93+Oba!BK93+Sachigo!BK93+'Sandy Lake'!BK93+Sultan!BK93+Wapekeka!BK93+Weagamow!BK93+Webequie!BK93+'Cat Lake'!BK93+Pikangikum!BK93+'Big Trout Lake'!BK93+'Poplar Hill'!BK93+'North Spirit'!BK93+Keewaywin!BK93+'Muskrat Dam'!BK93+Wunnumin!BK93+Wawakepewin!BK93</f>
        <v>394522</v>
      </c>
      <c r="L86" s="116">
        <f>Armstrong!BL93+'Bearskin Lake'!BL93+Biscotasing!BL93+'Deer Lake'!BL93+'Fort Severn'!BL93+'Gull Bay'!BL93+Hillsport!BL93+Kasabonika!BL93+Kingfisher!BL93+Lansdowne!BL93+'Marten Falls'!BL93+Oba!BL93+Sachigo!BL93+'Sandy Lake'!BL93+Sultan!BL93+Wapekeka!BL93+Weagamow!BL93+Webequie!BL93+'Cat Lake'!BL93+Pikangikum!BL93+'Big Trout Lake'!BL93+'Poplar Hill'!BL93+'North Spirit'!BL93+Keewaywin!BL93+'Muskrat Dam'!BL93+Wunnumin!BL93+Wawakepewin!BL93</f>
        <v>354132</v>
      </c>
      <c r="M86" s="116">
        <f>Armstrong!BM93+'Bearskin Lake'!BM93+Biscotasing!BM93+'Deer Lake'!BM93+'Fort Severn'!BM93+'Gull Bay'!BM93+Hillsport!BM93+Kasabonika!BM93+Kingfisher!BM93+Lansdowne!BM93+'Marten Falls'!BM93+Oba!BM93+Sachigo!BM93+'Sandy Lake'!BM93+Sultan!BM93+Wapekeka!BM93+Weagamow!BM93+Webequie!BM93+'Cat Lake'!BM93+Pikangikum!BM93+'Big Trout Lake'!BM93+'Poplar Hill'!BM93+'North Spirit'!BM93+Keewaywin!BM93+'Muskrat Dam'!BM93+Wunnumin!BM93+Wawakepewin!BM93</f>
        <v>348175</v>
      </c>
      <c r="N86" s="485">
        <f>Armstrong!BN93+'Bearskin Lake'!BN93+Biscotasing!BN93+'Deer Lake'!BN93+'Fort Severn'!BN93+'Gull Bay'!BN93+Hillsport!BN93+Kasabonika!BN93+Kingfisher!BN93+Lansdowne!BN93+'Marten Falls'!BN93+Oba!BN93+Sachigo!BN93+'Sandy Lake'!BN93+Sultan!BN93+Wapekeka!BN93+Weagamow!BN93+Webequie!BN93+'Cat Lake'!BN93+Pikangikum!BN93+'Big Trout Lake'!BN93+'Poplar Hill'!BN93+'North Spirit'!BN93+Keewaywin!BN93+'Muskrat Dam'!BN93+Wunnumin!BN93+Wawakepewin!BN93</f>
        <v>3501902</v>
      </c>
      <c r="O86" s="485">
        <f>Armstrong!BO93+'Bearskin Lake'!BO93+Biscotasing!BO93+'Deer Lake'!BO93+'Fort Severn'!BO93+'Gull Bay'!BO93+Hillsport!BO93+Kasabonika!BO93+Kingfisher!BO93+Lansdowne!BO93+'Marten Falls'!BO93+Oba!BO93+Sachigo!BO93+'Sandy Lake'!BO93+Sultan!BO93+Wapekeka!BO93+Weagamow!BO93+Webequie!BO93+'Cat Lake'!BO93+Pikangikum!BO93+'Big Trout Lake'!BO93+'Poplar Hill'!BO93+'North Spirit'!BO93+Keewaywin!BO93+'Muskrat Dam'!BO93+Wunnumin!BO93+Wawakepewin!BO93</f>
        <v>9394601</v>
      </c>
    </row>
    <row r="87" spans="1:15" ht="15.75" customHeight="1" thickTop="1">
      <c r="A87" s="2" t="s">
        <v>54</v>
      </c>
      <c r="B87" s="8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58"/>
      <c r="O87" s="58"/>
    </row>
    <row r="88" spans="1:15" ht="15.75" customHeight="1">
      <c r="B88" s="8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58"/>
      <c r="O88" s="58"/>
    </row>
    <row r="89" spans="1:15" ht="13.9" customHeight="1">
      <c r="B89" s="8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58"/>
      <c r="O89" s="58"/>
    </row>
    <row r="90" spans="1:15" ht="15" customHeight="1">
      <c r="A90" s="198" t="s">
        <v>73</v>
      </c>
      <c r="B90" s="27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62"/>
      <c r="O90" s="62"/>
    </row>
    <row r="91" spans="1:15" ht="15" customHeight="1">
      <c r="A91" s="2" t="s">
        <v>74</v>
      </c>
      <c r="B91" s="52">
        <f t="shared" ref="B91:O91" si="0">B7+B20+B27+B41</f>
        <v>0</v>
      </c>
      <c r="C91" s="39">
        <f t="shared" si="0"/>
        <v>0</v>
      </c>
      <c r="D91" s="39">
        <f t="shared" si="0"/>
        <v>0</v>
      </c>
      <c r="E91" s="9">
        <f t="shared" si="0"/>
        <v>3395</v>
      </c>
      <c r="F91" s="9">
        <f t="shared" si="0"/>
        <v>3395</v>
      </c>
      <c r="G91" s="9">
        <f t="shared" si="0"/>
        <v>3395</v>
      </c>
      <c r="H91" s="9">
        <f t="shared" si="0"/>
        <v>2972</v>
      </c>
      <c r="I91" s="9">
        <f t="shared" si="0"/>
        <v>2972</v>
      </c>
      <c r="J91" s="9">
        <f t="shared" si="0"/>
        <v>2972</v>
      </c>
      <c r="K91" s="9">
        <f t="shared" si="0"/>
        <v>2972</v>
      </c>
      <c r="L91" s="9">
        <f t="shared" si="0"/>
        <v>2972</v>
      </c>
      <c r="M91" s="9">
        <f t="shared" si="0"/>
        <v>2972</v>
      </c>
      <c r="N91" s="58">
        <f t="shared" si="0"/>
        <v>2972</v>
      </c>
      <c r="O91" s="58">
        <f t="shared" si="0"/>
        <v>1949</v>
      </c>
    </row>
    <row r="92" spans="1:15" ht="15" customHeight="1">
      <c r="A92" s="2" t="s">
        <v>75</v>
      </c>
      <c r="B92" s="52">
        <f t="shared" ref="B92:O92" si="1">B55</f>
        <v>0</v>
      </c>
      <c r="C92" s="39">
        <f t="shared" si="1"/>
        <v>0</v>
      </c>
      <c r="D92" s="39">
        <f t="shared" si="1"/>
        <v>0</v>
      </c>
      <c r="E92" s="9">
        <f t="shared" si="1"/>
        <v>8</v>
      </c>
      <c r="F92" s="9">
        <f t="shared" si="1"/>
        <v>8</v>
      </c>
      <c r="G92" s="9">
        <f t="shared" si="1"/>
        <v>8</v>
      </c>
      <c r="H92" s="9">
        <f t="shared" si="1"/>
        <v>6</v>
      </c>
      <c r="I92" s="9">
        <f t="shared" si="1"/>
        <v>6</v>
      </c>
      <c r="J92" s="9">
        <f t="shared" si="1"/>
        <v>6</v>
      </c>
      <c r="K92" s="9">
        <f t="shared" si="1"/>
        <v>6</v>
      </c>
      <c r="L92" s="9">
        <f t="shared" si="1"/>
        <v>6</v>
      </c>
      <c r="M92" s="9">
        <f t="shared" si="1"/>
        <v>6</v>
      </c>
      <c r="N92" s="58">
        <f t="shared" si="1"/>
        <v>6</v>
      </c>
      <c r="O92" s="58">
        <f t="shared" si="1"/>
        <v>5</v>
      </c>
    </row>
    <row r="93" spans="1:15" ht="15" customHeight="1">
      <c r="A93" s="2" t="s">
        <v>76</v>
      </c>
      <c r="B93" s="52">
        <f t="shared" ref="B93:O93" si="2">B63+B69+B75+B80</f>
        <v>0</v>
      </c>
      <c r="C93" s="39">
        <f t="shared" si="2"/>
        <v>0</v>
      </c>
      <c r="D93" s="39">
        <f t="shared" si="2"/>
        <v>0</v>
      </c>
      <c r="E93" s="9">
        <f t="shared" si="2"/>
        <v>396</v>
      </c>
      <c r="F93" s="9">
        <f t="shared" si="2"/>
        <v>396</v>
      </c>
      <c r="G93" s="9">
        <f t="shared" si="2"/>
        <v>396</v>
      </c>
      <c r="H93" s="9">
        <f t="shared" si="2"/>
        <v>340</v>
      </c>
      <c r="I93" s="9">
        <f t="shared" si="2"/>
        <v>340</v>
      </c>
      <c r="J93" s="9">
        <f t="shared" si="2"/>
        <v>354</v>
      </c>
      <c r="K93" s="9">
        <f t="shared" si="2"/>
        <v>354</v>
      </c>
      <c r="L93" s="9">
        <f t="shared" si="2"/>
        <v>354</v>
      </c>
      <c r="M93" s="9">
        <f t="shared" si="2"/>
        <v>354</v>
      </c>
      <c r="N93" s="58">
        <f t="shared" si="2"/>
        <v>344</v>
      </c>
      <c r="O93" s="58">
        <f t="shared" si="2"/>
        <v>200</v>
      </c>
    </row>
    <row r="94" spans="1:15" s="3" customFormat="1" ht="15" customHeight="1">
      <c r="A94" s="198" t="s">
        <v>77</v>
      </c>
      <c r="B94" s="246">
        <f t="shared" ref="B94:L94" si="3">SUM(B91:B93)</f>
        <v>0</v>
      </c>
      <c r="C94" s="73">
        <f t="shared" si="3"/>
        <v>0</v>
      </c>
      <c r="D94" s="73">
        <f t="shared" si="3"/>
        <v>0</v>
      </c>
      <c r="E94" s="73">
        <f t="shared" si="3"/>
        <v>3799</v>
      </c>
      <c r="F94" s="73">
        <f t="shared" si="3"/>
        <v>3799</v>
      </c>
      <c r="G94" s="73">
        <f t="shared" si="3"/>
        <v>3799</v>
      </c>
      <c r="H94" s="73">
        <f t="shared" si="3"/>
        <v>3318</v>
      </c>
      <c r="I94" s="73">
        <f t="shared" si="3"/>
        <v>3318</v>
      </c>
      <c r="J94" s="73">
        <f t="shared" si="3"/>
        <v>3332</v>
      </c>
      <c r="K94" s="73">
        <f t="shared" si="3"/>
        <v>3332</v>
      </c>
      <c r="L94" s="73">
        <f t="shared" si="3"/>
        <v>3332</v>
      </c>
      <c r="M94" s="73">
        <f t="shared" ref="M94:O94" si="4">SUM(M91:M93)</f>
        <v>3332</v>
      </c>
      <c r="N94" s="268">
        <f t="shared" si="4"/>
        <v>3322</v>
      </c>
      <c r="O94" s="268">
        <f t="shared" si="4"/>
        <v>2154</v>
      </c>
    </row>
    <row r="95" spans="1:15" ht="15" customHeight="1">
      <c r="A95" s="2" t="s">
        <v>78</v>
      </c>
      <c r="B95" s="52">
        <f t="shared" ref="B95:O95" si="5">B13+B34+B48</f>
        <v>0</v>
      </c>
      <c r="C95" s="39">
        <f t="shared" si="5"/>
        <v>0</v>
      </c>
      <c r="D95" s="39">
        <f t="shared" si="5"/>
        <v>0</v>
      </c>
      <c r="E95" s="9">
        <f t="shared" si="5"/>
        <v>478</v>
      </c>
      <c r="F95" s="9">
        <f t="shared" si="5"/>
        <v>478</v>
      </c>
      <c r="G95" s="9">
        <f t="shared" si="5"/>
        <v>478</v>
      </c>
      <c r="H95" s="9">
        <f t="shared" si="5"/>
        <v>919</v>
      </c>
      <c r="I95" s="9">
        <f t="shared" si="5"/>
        <v>919</v>
      </c>
      <c r="J95" s="9">
        <f t="shared" si="5"/>
        <v>919</v>
      </c>
      <c r="K95" s="9">
        <f t="shared" si="5"/>
        <v>919</v>
      </c>
      <c r="L95" s="9">
        <f t="shared" si="5"/>
        <v>919</v>
      </c>
      <c r="M95" s="9">
        <f t="shared" si="5"/>
        <v>919</v>
      </c>
      <c r="N95" s="58">
        <f t="shared" si="5"/>
        <v>910</v>
      </c>
      <c r="O95" s="58">
        <f t="shared" si="5"/>
        <v>2558</v>
      </c>
    </row>
    <row r="96" spans="1:15" ht="15" customHeight="1">
      <c r="A96" s="2" t="s">
        <v>79</v>
      </c>
      <c r="B96" s="52">
        <f t="shared" ref="B96:O96" si="6">B59</f>
        <v>0</v>
      </c>
      <c r="C96" s="39">
        <f t="shared" si="6"/>
        <v>0</v>
      </c>
      <c r="D96" s="39">
        <f t="shared" si="6"/>
        <v>0</v>
      </c>
      <c r="E96" s="9">
        <f t="shared" si="6"/>
        <v>0</v>
      </c>
      <c r="F96" s="9">
        <f t="shared" si="6"/>
        <v>0</v>
      </c>
      <c r="G96" s="9">
        <f t="shared" si="6"/>
        <v>0</v>
      </c>
      <c r="H96" s="9">
        <f t="shared" si="6"/>
        <v>2</v>
      </c>
      <c r="I96" s="9">
        <f t="shared" si="6"/>
        <v>2</v>
      </c>
      <c r="J96" s="9">
        <f t="shared" si="6"/>
        <v>2</v>
      </c>
      <c r="K96" s="9">
        <f t="shared" si="6"/>
        <v>2</v>
      </c>
      <c r="L96" s="9">
        <f t="shared" si="6"/>
        <v>2</v>
      </c>
      <c r="M96" s="9">
        <f t="shared" si="6"/>
        <v>2</v>
      </c>
      <c r="N96" s="58">
        <f t="shared" si="6"/>
        <v>2</v>
      </c>
      <c r="O96" s="58">
        <f t="shared" si="6"/>
        <v>3</v>
      </c>
    </row>
    <row r="97" spans="1:15" ht="19.149999999999999" customHeight="1">
      <c r="A97" s="2" t="s">
        <v>80</v>
      </c>
      <c r="B97" s="52">
        <f t="shared" ref="B97:O97" si="7">B85</f>
        <v>0</v>
      </c>
      <c r="C97" s="39">
        <f t="shared" si="7"/>
        <v>0</v>
      </c>
      <c r="D97" s="39">
        <f t="shared" si="7"/>
        <v>0</v>
      </c>
      <c r="E97" s="9">
        <f t="shared" si="7"/>
        <v>79</v>
      </c>
      <c r="F97" s="9">
        <f t="shared" si="7"/>
        <v>79</v>
      </c>
      <c r="G97" s="9">
        <f t="shared" si="7"/>
        <v>79</v>
      </c>
      <c r="H97" s="9">
        <f t="shared" si="7"/>
        <v>135</v>
      </c>
      <c r="I97" s="9">
        <f t="shared" si="7"/>
        <v>135</v>
      </c>
      <c r="J97" s="9">
        <f t="shared" si="7"/>
        <v>143</v>
      </c>
      <c r="K97" s="9">
        <f t="shared" si="7"/>
        <v>143</v>
      </c>
      <c r="L97" s="9">
        <f t="shared" si="7"/>
        <v>143</v>
      </c>
      <c r="M97" s="9">
        <f t="shared" si="7"/>
        <v>143</v>
      </c>
      <c r="N97" s="58">
        <f t="shared" si="7"/>
        <v>143</v>
      </c>
      <c r="O97" s="58">
        <f t="shared" si="7"/>
        <v>421</v>
      </c>
    </row>
    <row r="98" spans="1:15" s="3" customFormat="1" ht="19.149999999999999" customHeight="1">
      <c r="A98" s="198" t="s">
        <v>81</v>
      </c>
      <c r="B98" s="246">
        <f t="shared" ref="B98:L98" si="8">SUM(B95:B97)</f>
        <v>0</v>
      </c>
      <c r="C98" s="73">
        <f t="shared" si="8"/>
        <v>0</v>
      </c>
      <c r="D98" s="73">
        <f t="shared" si="8"/>
        <v>0</v>
      </c>
      <c r="E98" s="73">
        <f t="shared" si="8"/>
        <v>557</v>
      </c>
      <c r="F98" s="73">
        <f t="shared" si="8"/>
        <v>557</v>
      </c>
      <c r="G98" s="73">
        <f t="shared" si="8"/>
        <v>557</v>
      </c>
      <c r="H98" s="73">
        <f t="shared" si="8"/>
        <v>1056</v>
      </c>
      <c r="I98" s="73">
        <f t="shared" si="8"/>
        <v>1056</v>
      </c>
      <c r="J98" s="73">
        <f t="shared" si="8"/>
        <v>1064</v>
      </c>
      <c r="K98" s="73">
        <f t="shared" si="8"/>
        <v>1064</v>
      </c>
      <c r="L98" s="73">
        <f t="shared" si="8"/>
        <v>1064</v>
      </c>
      <c r="M98" s="73">
        <f t="shared" ref="M98:O98" si="9">SUM(M95:M97)</f>
        <v>1064</v>
      </c>
      <c r="N98" s="268">
        <f t="shared" si="9"/>
        <v>1055</v>
      </c>
      <c r="O98" s="268">
        <f t="shared" si="9"/>
        <v>2982</v>
      </c>
    </row>
    <row r="99" spans="1:15" ht="15.75" customHeight="1" thickBot="1">
      <c r="A99" s="199" t="s">
        <v>82</v>
      </c>
      <c r="B99" s="10">
        <f t="shared" ref="B99:L99" si="10">B98+B94</f>
        <v>0</v>
      </c>
      <c r="C99" s="11">
        <f t="shared" si="10"/>
        <v>0</v>
      </c>
      <c r="D99" s="11">
        <f t="shared" si="10"/>
        <v>0</v>
      </c>
      <c r="E99" s="11">
        <f t="shared" si="10"/>
        <v>4356</v>
      </c>
      <c r="F99" s="11">
        <f t="shared" si="10"/>
        <v>4356</v>
      </c>
      <c r="G99" s="11">
        <f t="shared" si="10"/>
        <v>4356</v>
      </c>
      <c r="H99" s="11">
        <f t="shared" si="10"/>
        <v>4374</v>
      </c>
      <c r="I99" s="11">
        <f t="shared" si="10"/>
        <v>4374</v>
      </c>
      <c r="J99" s="11">
        <f t="shared" si="10"/>
        <v>4396</v>
      </c>
      <c r="K99" s="11">
        <f t="shared" si="10"/>
        <v>4396</v>
      </c>
      <c r="L99" s="11">
        <f t="shared" si="10"/>
        <v>4396</v>
      </c>
      <c r="M99" s="11">
        <f t="shared" ref="M99:O99" si="11">M98+M94</f>
        <v>4396</v>
      </c>
      <c r="N99" s="275">
        <f t="shared" si="11"/>
        <v>4377</v>
      </c>
      <c r="O99" s="275">
        <f t="shared" si="11"/>
        <v>5136</v>
      </c>
    </row>
    <row r="100" spans="1:15" ht="15.75" customHeight="1" thickTop="1">
      <c r="A100" s="198" t="s">
        <v>83</v>
      </c>
      <c r="B100" s="27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62"/>
      <c r="O100" s="62"/>
    </row>
    <row r="101" spans="1:15" ht="15" customHeight="1">
      <c r="A101" s="2" t="s">
        <v>74</v>
      </c>
      <c r="B101" s="52">
        <f>B11+B24+B31+B45-Pikangikum!BB108</f>
        <v>0</v>
      </c>
      <c r="C101" s="39">
        <f>C11+C24+C31+C45-Pikangikum!BC108</f>
        <v>0</v>
      </c>
      <c r="D101" s="39">
        <f>D11+D24+D31+D45-Pikangikum!BD108</f>
        <v>0</v>
      </c>
      <c r="E101" s="9">
        <f>E11+E24+E31+E45-Pikangikum!BE108</f>
        <v>5673274</v>
      </c>
      <c r="F101" s="9">
        <f>F11+F24+F31+F45-Pikangikum!BF108</f>
        <v>4908737</v>
      </c>
      <c r="G101" s="9">
        <f>G11+G24+G31+G45-Pikangikum!BG108</f>
        <v>4138218</v>
      </c>
      <c r="H101" s="9">
        <f>H11+H24+H31+H45-Pikangikum!BH108</f>
        <v>3145677</v>
      </c>
      <c r="I101" s="9">
        <f>I11+I24+I31+I45-Pikangikum!BI108</f>
        <v>3140122</v>
      </c>
      <c r="J101" s="9">
        <f>J11+J24+J31+J45-Pikangikum!BJ108</f>
        <v>2920517</v>
      </c>
      <c r="K101" s="9">
        <f>K11+K24+K31+K45-Pikangikum!BK108</f>
        <v>3659266</v>
      </c>
      <c r="L101" s="9">
        <f>L11+L24+L31+L45-Pikangikum!BL108</f>
        <v>4352123</v>
      </c>
      <c r="M101" s="9">
        <f>M11+M24+M31+M45-Pikangikum!BM108</f>
        <v>4715258</v>
      </c>
      <c r="N101" s="58">
        <f>N11+N24+N31+N45-Pikangikum!BN108</f>
        <v>56225089</v>
      </c>
      <c r="O101" s="58">
        <f>O11+O24+O31+O45</f>
        <v>42936355</v>
      </c>
    </row>
    <row r="102" spans="1:15" ht="15" customHeight="1">
      <c r="A102" s="2" t="s">
        <v>75</v>
      </c>
      <c r="B102" s="52">
        <f t="shared" ref="B102:O102" si="12">B56</f>
        <v>0</v>
      </c>
      <c r="C102" s="39">
        <f t="shared" si="12"/>
        <v>0</v>
      </c>
      <c r="D102" s="39">
        <f t="shared" si="12"/>
        <v>0</v>
      </c>
      <c r="E102" s="9">
        <f t="shared" si="12"/>
        <v>20334</v>
      </c>
      <c r="F102" s="9">
        <f t="shared" si="12"/>
        <v>20334</v>
      </c>
      <c r="G102" s="9">
        <f t="shared" si="12"/>
        <v>20334</v>
      </c>
      <c r="H102" s="9">
        <f t="shared" si="12"/>
        <v>15454</v>
      </c>
      <c r="I102" s="9">
        <f t="shared" si="12"/>
        <v>15454</v>
      </c>
      <c r="J102" s="9">
        <f t="shared" si="12"/>
        <v>15454</v>
      </c>
      <c r="K102" s="9">
        <f t="shared" si="12"/>
        <v>15454</v>
      </c>
      <c r="L102" s="9">
        <f t="shared" si="12"/>
        <v>15454</v>
      </c>
      <c r="M102" s="9">
        <f t="shared" si="12"/>
        <v>15454</v>
      </c>
      <c r="N102" s="58">
        <f t="shared" si="12"/>
        <v>214728</v>
      </c>
      <c r="O102" s="58">
        <f t="shared" si="12"/>
        <v>165048</v>
      </c>
    </row>
    <row r="103" spans="1:15" ht="15" customHeight="1">
      <c r="A103" s="2" t="s">
        <v>76</v>
      </c>
      <c r="B103" s="52">
        <f t="shared" ref="B103:O103" si="13">B66+B72+B76+B81</f>
        <v>0</v>
      </c>
      <c r="C103" s="39">
        <f t="shared" si="13"/>
        <v>0</v>
      </c>
      <c r="D103" s="39">
        <f t="shared" si="13"/>
        <v>0</v>
      </c>
      <c r="E103" s="9">
        <f t="shared" si="13"/>
        <v>1170660</v>
      </c>
      <c r="F103" s="9">
        <f t="shared" si="13"/>
        <v>1067779</v>
      </c>
      <c r="G103" s="9">
        <f t="shared" si="13"/>
        <v>932245</v>
      </c>
      <c r="H103" s="9">
        <f t="shared" si="13"/>
        <v>766229</v>
      </c>
      <c r="I103" s="9">
        <f t="shared" si="13"/>
        <v>694112</v>
      </c>
      <c r="J103" s="9">
        <f t="shared" si="13"/>
        <v>768233</v>
      </c>
      <c r="K103" s="9">
        <f t="shared" si="13"/>
        <v>882614</v>
      </c>
      <c r="L103" s="9">
        <f t="shared" si="13"/>
        <v>1030881</v>
      </c>
      <c r="M103" s="9">
        <f t="shared" si="13"/>
        <v>1163753</v>
      </c>
      <c r="N103" s="58">
        <f t="shared" si="13"/>
        <v>12519107</v>
      </c>
      <c r="O103" s="58">
        <f t="shared" si="13"/>
        <v>9887132</v>
      </c>
    </row>
    <row r="104" spans="1:15" s="3" customFormat="1" ht="15" customHeight="1">
      <c r="A104" s="198" t="s">
        <v>84</v>
      </c>
      <c r="B104" s="246">
        <f t="shared" ref="B104:L104" si="14">SUM(B101:B103)</f>
        <v>0</v>
      </c>
      <c r="C104" s="73">
        <f t="shared" si="14"/>
        <v>0</v>
      </c>
      <c r="D104" s="73">
        <f t="shared" si="14"/>
        <v>0</v>
      </c>
      <c r="E104" s="73">
        <f t="shared" si="14"/>
        <v>6864268</v>
      </c>
      <c r="F104" s="73">
        <f t="shared" si="14"/>
        <v>5996850</v>
      </c>
      <c r="G104" s="73">
        <f t="shared" si="14"/>
        <v>5090797</v>
      </c>
      <c r="H104" s="73">
        <f t="shared" si="14"/>
        <v>3927360</v>
      </c>
      <c r="I104" s="73">
        <f t="shared" si="14"/>
        <v>3849688</v>
      </c>
      <c r="J104" s="73">
        <f t="shared" si="14"/>
        <v>3704204</v>
      </c>
      <c r="K104" s="73">
        <f t="shared" si="14"/>
        <v>4557334</v>
      </c>
      <c r="L104" s="73">
        <f t="shared" si="14"/>
        <v>5398458</v>
      </c>
      <c r="M104" s="73">
        <f t="shared" ref="M104:O104" si="15">SUM(M101:M103)</f>
        <v>5894465</v>
      </c>
      <c r="N104" s="268">
        <f t="shared" si="15"/>
        <v>68958924</v>
      </c>
      <c r="O104" s="268">
        <f t="shared" si="15"/>
        <v>52988535</v>
      </c>
    </row>
    <row r="105" spans="1:15" ht="15" customHeight="1">
      <c r="A105" s="2" t="s">
        <v>78</v>
      </c>
      <c r="B105" s="52">
        <f t="shared" ref="B105:O105" si="16">B17+B38+B52</f>
        <v>0</v>
      </c>
      <c r="C105" s="39">
        <f t="shared" si="16"/>
        <v>0</v>
      </c>
      <c r="D105" s="39">
        <f t="shared" si="16"/>
        <v>0</v>
      </c>
      <c r="E105" s="9">
        <f t="shared" si="16"/>
        <v>758316</v>
      </c>
      <c r="F105" s="9">
        <f t="shared" si="16"/>
        <v>669533</v>
      </c>
      <c r="G105" s="9">
        <f t="shared" si="16"/>
        <v>514984</v>
      </c>
      <c r="H105" s="9">
        <f t="shared" si="16"/>
        <v>905441</v>
      </c>
      <c r="I105" s="9">
        <f t="shared" si="16"/>
        <v>948561</v>
      </c>
      <c r="J105" s="9">
        <f t="shared" si="16"/>
        <v>999025</v>
      </c>
      <c r="K105" s="9">
        <f t="shared" si="16"/>
        <v>984833</v>
      </c>
      <c r="L105" s="9">
        <f t="shared" si="16"/>
        <v>1160082</v>
      </c>
      <c r="M105" s="9">
        <f t="shared" si="16"/>
        <v>1326625</v>
      </c>
      <c r="N105" s="58">
        <f t="shared" si="16"/>
        <v>11178378</v>
      </c>
      <c r="O105" s="58">
        <f t="shared" si="16"/>
        <v>34431019</v>
      </c>
    </row>
    <row r="106" spans="1:15" ht="15" customHeight="1">
      <c r="A106" s="2" t="s">
        <v>79</v>
      </c>
      <c r="B106" s="52">
        <f t="shared" ref="B106:O106" si="17">B60</f>
        <v>0</v>
      </c>
      <c r="C106" s="39">
        <f t="shared" si="17"/>
        <v>0</v>
      </c>
      <c r="D106" s="39">
        <f t="shared" si="17"/>
        <v>0</v>
      </c>
      <c r="E106" s="9">
        <f t="shared" si="17"/>
        <v>0</v>
      </c>
      <c r="F106" s="9">
        <f t="shared" si="17"/>
        <v>0</v>
      </c>
      <c r="G106" s="9">
        <f t="shared" si="17"/>
        <v>0</v>
      </c>
      <c r="H106" s="9">
        <f t="shared" si="17"/>
        <v>4880</v>
      </c>
      <c r="I106" s="9">
        <f t="shared" si="17"/>
        <v>4880</v>
      </c>
      <c r="J106" s="9">
        <f t="shared" si="17"/>
        <v>4880</v>
      </c>
      <c r="K106" s="9">
        <f t="shared" si="17"/>
        <v>4880</v>
      </c>
      <c r="L106" s="9">
        <f t="shared" si="17"/>
        <v>4880</v>
      </c>
      <c r="M106" s="9">
        <f t="shared" si="17"/>
        <v>4880</v>
      </c>
      <c r="N106" s="58">
        <f t="shared" si="17"/>
        <v>29280</v>
      </c>
      <c r="O106" s="58">
        <f t="shared" si="17"/>
        <v>78960</v>
      </c>
    </row>
    <row r="107" spans="1:15" ht="15" customHeight="1">
      <c r="A107" s="2" t="s">
        <v>80</v>
      </c>
      <c r="B107" s="65">
        <f t="shared" ref="B107:O107" si="18">B86</f>
        <v>0</v>
      </c>
      <c r="C107" s="63">
        <f t="shared" si="18"/>
        <v>0</v>
      </c>
      <c r="D107" s="63">
        <f t="shared" si="18"/>
        <v>0</v>
      </c>
      <c r="E107" s="30">
        <f t="shared" si="18"/>
        <v>267058</v>
      </c>
      <c r="F107" s="30">
        <f t="shared" si="18"/>
        <v>232339</v>
      </c>
      <c r="G107" s="30">
        <f t="shared" si="18"/>
        <v>205041</v>
      </c>
      <c r="H107" s="30">
        <f t="shared" si="18"/>
        <v>196367</v>
      </c>
      <c r="I107" s="30">
        <f t="shared" si="18"/>
        <v>214894</v>
      </c>
      <c r="J107" s="30">
        <f t="shared" si="18"/>
        <v>340961</v>
      </c>
      <c r="K107" s="30">
        <f t="shared" si="18"/>
        <v>394522</v>
      </c>
      <c r="L107" s="30">
        <f t="shared" si="18"/>
        <v>354132</v>
      </c>
      <c r="M107" s="30">
        <f t="shared" si="18"/>
        <v>348175</v>
      </c>
      <c r="N107" s="486">
        <f t="shared" si="18"/>
        <v>3501902</v>
      </c>
      <c r="O107" s="486">
        <f t="shared" si="18"/>
        <v>9394601</v>
      </c>
    </row>
    <row r="108" spans="1:15" s="3" customFormat="1" ht="15" customHeight="1">
      <c r="A108" s="198" t="s">
        <v>85</v>
      </c>
      <c r="B108" s="246">
        <f t="shared" ref="B108:L108" si="19">SUM(B105:B107)</f>
        <v>0</v>
      </c>
      <c r="C108" s="73">
        <f t="shared" si="19"/>
        <v>0</v>
      </c>
      <c r="D108" s="73">
        <f t="shared" si="19"/>
        <v>0</v>
      </c>
      <c r="E108" s="73">
        <f t="shared" si="19"/>
        <v>1025374</v>
      </c>
      <c r="F108" s="73">
        <f t="shared" si="19"/>
        <v>901872</v>
      </c>
      <c r="G108" s="73">
        <f t="shared" si="19"/>
        <v>720025</v>
      </c>
      <c r="H108" s="73">
        <f t="shared" si="19"/>
        <v>1106688</v>
      </c>
      <c r="I108" s="73">
        <f t="shared" si="19"/>
        <v>1168335</v>
      </c>
      <c r="J108" s="73">
        <f t="shared" si="19"/>
        <v>1344866</v>
      </c>
      <c r="K108" s="73">
        <f t="shared" si="19"/>
        <v>1384235</v>
      </c>
      <c r="L108" s="73">
        <f t="shared" si="19"/>
        <v>1519094</v>
      </c>
      <c r="M108" s="73">
        <f t="shared" ref="M108:O108" si="20">SUM(M105:M107)</f>
        <v>1679680</v>
      </c>
      <c r="N108" s="268">
        <f t="shared" si="20"/>
        <v>14709560</v>
      </c>
      <c r="O108" s="268">
        <f t="shared" si="20"/>
        <v>43904580</v>
      </c>
    </row>
    <row r="109" spans="1:15" s="3" customFormat="1" ht="15.75" customHeight="1" thickBot="1">
      <c r="A109" s="199" t="s">
        <v>86</v>
      </c>
      <c r="B109" s="250">
        <f t="shared" ref="B109:O109" si="21">B108+B104</f>
        <v>0</v>
      </c>
      <c r="C109" s="251">
        <f t="shared" si="21"/>
        <v>0</v>
      </c>
      <c r="D109" s="251">
        <f t="shared" si="21"/>
        <v>0</v>
      </c>
      <c r="E109" s="251">
        <f t="shared" si="21"/>
        <v>7889642</v>
      </c>
      <c r="F109" s="251">
        <f t="shared" si="21"/>
        <v>6898722</v>
      </c>
      <c r="G109" s="251">
        <f t="shared" si="21"/>
        <v>5810822</v>
      </c>
      <c r="H109" s="251">
        <f t="shared" si="21"/>
        <v>5034048</v>
      </c>
      <c r="I109" s="251">
        <f t="shared" si="21"/>
        <v>5018023</v>
      </c>
      <c r="J109" s="251">
        <f t="shared" si="21"/>
        <v>5049070</v>
      </c>
      <c r="K109" s="251">
        <f t="shared" si="21"/>
        <v>5941569</v>
      </c>
      <c r="L109" s="251">
        <f t="shared" si="21"/>
        <v>6917552</v>
      </c>
      <c r="M109" s="251">
        <f t="shared" si="21"/>
        <v>7574145</v>
      </c>
      <c r="N109" s="269">
        <f t="shared" si="21"/>
        <v>83668484</v>
      </c>
      <c r="O109" s="269">
        <f t="shared" si="21"/>
        <v>96893115</v>
      </c>
    </row>
    <row r="110" spans="1:15" ht="15.75" customHeight="1" thickTop="1">
      <c r="A110" s="199" t="s">
        <v>2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58"/>
      <c r="O110" s="58"/>
    </row>
    <row r="111" spans="1:15">
      <c r="A111" s="340" t="s">
        <v>87</v>
      </c>
      <c r="B111" s="8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58"/>
      <c r="O111" s="58"/>
    </row>
    <row r="112" spans="1:15">
      <c r="A112" s="495" t="s">
        <v>88</v>
      </c>
      <c r="B112" s="146"/>
      <c r="C112" s="124"/>
      <c r="D112" s="124"/>
      <c r="E112" s="71">
        <f>Armstrong!BE120+'Bearskin Lake'!BE120+Biscotasing!BE120+'Deer Lake'!BE120+'Fort Severn'!BE120+'Gull Bay'!BE120+Hillsport!BE120+Kasabonika!BE120+Kingfisher!BE120+Lansdowne!BE120+'Marten Falls'!BE120+Oba!BE120+Sachigo!BE120+'Sandy Lake'!BE120+Sultan!BE120+Wapekeka!BE120+Weagamow!BE120+Webequie!BE120+'Cat Lake'!BE120+Pikangikum!BE120+'Big Trout Lake'!BE120+'Poplar Hill'!BE120</f>
        <v>3024306</v>
      </c>
      <c r="F112" s="71">
        <f>Armstrong!BF120+'Bearskin Lake'!BF120+Biscotasing!BF120+'Deer Lake'!BF120+'Fort Severn'!BF120+'Gull Bay'!BF120+Hillsport!BF120+Kasabonika!BF120+Kingfisher!BF120+Lansdowne!BF120+'Marten Falls'!BF120+Oba!BF120+Sachigo!BF120+'Sandy Lake'!BF120+Sultan!BF120+Wapekeka!BF120+Weagamow!BF120+Webequie!BF120+'Cat Lake'!BF120+Pikangikum!BF120+'Big Trout Lake'!BF120+'Poplar Hill'!BF120</f>
        <v>2575191</v>
      </c>
      <c r="G112" s="71">
        <f>Armstrong!BG120+'Bearskin Lake'!BG120+Biscotasing!BG120+'Deer Lake'!BG120+'Fort Severn'!BG120+'Gull Bay'!BG120+Hillsport!BG120+Kasabonika!BG120+Kingfisher!BG120+Lansdowne!BG120+'Marten Falls'!BG120+Oba!BG120+Sachigo!BG120+'Sandy Lake'!BG120+Sultan!BG120+Wapekeka!BG120+Weagamow!BG120+Webequie!BG120+'Cat Lake'!BG120+Pikangikum!BG120+'Big Trout Lake'!BG120+'Poplar Hill'!BG120</f>
        <v>2228914</v>
      </c>
      <c r="H112" s="71">
        <f>Armstrong!BH120+'Bearskin Lake'!BH120+Biscotasing!BH120+'Deer Lake'!BH120+'Fort Severn'!BH120+'Gull Bay'!BH120+Hillsport!BH120+Kasabonika!BH120+Kingfisher!BH120+Lansdowne!BH120+'Marten Falls'!BH120+Oba!BH120+Sachigo!BH120+'Sandy Lake'!BH120+Sultan!BH120+Wapekeka!BH120+Weagamow!BH120+Webequie!BH120+'Cat Lake'!BH120+Pikangikum!BH120+'Big Trout Lake'!BH120+'Poplar Hill'!BH120</f>
        <v>1874465</v>
      </c>
      <c r="I112" s="71">
        <f>Armstrong!BI120+'Bearskin Lake'!BI120+Biscotasing!BI120+'Deer Lake'!BI120+'Fort Severn'!BI120+'Gull Bay'!BI120+Hillsport!BI120+Kasabonika!BI120+Kingfisher!BI120+Lansdowne!BI120+'Marten Falls'!BI120+Oba!BI120+Sachigo!BI120+'Sandy Lake'!BI120+Sultan!BI120+Wapekeka!BI120+Weagamow!BI120+Webequie!BI120+'Cat Lake'!BI120+Pikangikum!BI120+'Big Trout Lake'!BI120+'Poplar Hill'!BI120</f>
        <v>1690804</v>
      </c>
      <c r="J112" s="71">
        <f>Armstrong!BJ120+'Bearskin Lake'!BJ120+Biscotasing!BJ120+'Deer Lake'!BJ120+'Fort Severn'!BJ120+'Gull Bay'!BJ120+Hillsport!BJ120+Kasabonika!BJ120+Kingfisher!BJ120+Lansdowne!BJ120+'Marten Falls'!BJ120+Oba!BJ120+Sachigo!BJ120+'Sandy Lake'!BJ120+Sultan!BJ120+Wapekeka!BJ120+Weagamow!BJ120+Webequie!BJ120+'Cat Lake'!BJ120+Pikangikum!BJ120+'Big Trout Lake'!BJ120+'Poplar Hill'!BJ120</f>
        <v>2166192</v>
      </c>
      <c r="K112" s="71">
        <f>Armstrong!BK120+'Bearskin Lake'!BK120+Biscotasing!BK120+'Deer Lake'!BK120+'Fort Severn'!BK120+'Gull Bay'!BK120+Hillsport!BK120+Kasabonika!BK120+Kingfisher!BK120+Lansdowne!BK120+'Marten Falls'!BK120+Oba!BK120+Sachigo!BK120+'Sandy Lake'!BK120+Sultan!BK120+Wapekeka!BK120+Weagamow!BK120+Webequie!BK120+'Cat Lake'!BK120+Pikangikum!BK120+'Big Trout Lake'!BK120+'Poplar Hill'!BK120</f>
        <v>2587723</v>
      </c>
      <c r="L112" s="71">
        <f>Armstrong!BL120+'Bearskin Lake'!BL120+Biscotasing!BL120+'Deer Lake'!BL120+'Fort Severn'!BL120+'Gull Bay'!BL120+Hillsport!BL120+Kasabonika!BL120+Kingfisher!BL120+Lansdowne!BL120+'Marten Falls'!BL120+Oba!BL120+Sachigo!BL120+'Sandy Lake'!BL120+Sultan!BL120+Wapekeka!BL120+Weagamow!BL120+Webequie!BL120+'Cat Lake'!BL120+Pikangikum!BL120+'Big Trout Lake'!BL120+'Poplar Hill'!BL120</f>
        <v>2832325</v>
      </c>
      <c r="M112" s="71">
        <f>Armstrong!BM120+'Bearskin Lake'!BM120+Biscotasing!BM120+'Deer Lake'!BM120+'Fort Severn'!BM120+'Gull Bay'!BM120+Hillsport!BM120+Kasabonika!BM120+Kingfisher!BM120+Lansdowne!BM120+'Marten Falls'!BM120+Oba!BM120+Sachigo!BM120+'Sandy Lake'!BM120+Sultan!BM120+Wapekeka!BM120+Weagamow!BM120+Webequie!BM120+'Cat Lake'!BM120+Pikangikum!BM120+'Big Trout Lake'!BM120+'Poplar Hill'!BM120</f>
        <v>3460106</v>
      </c>
      <c r="N112" s="70"/>
      <c r="O112" s="70">
        <f>Armstrong!BO120+'Bearskin Lake'!BO120+Biscotasing!BO120+'Deer Lake'!BO120+'Fort Severn'!BO120+'Gull Bay'!BO120+Hillsport!BO120+Kasabonika!BO120+Kingfisher!BO120+Lansdowne!BO120+'Marten Falls'!BO120+Oba!BO120+Sachigo!BO120+'Sandy Lake'!BO120+Sultan!BO120+Wapekeka!BO120+Weagamow!BO120+Webequie!BO120+'Cat Lake'!BO120+Pikangikum!BO120+'Big Trout Lake'!BO120+'Poplar Hill'!BO120</f>
        <v>2144804</v>
      </c>
    </row>
    <row r="113" spans="1:23">
      <c r="A113" s="495" t="s">
        <v>76</v>
      </c>
      <c r="B113" s="146"/>
      <c r="C113" s="124"/>
      <c r="D113" s="124"/>
      <c r="E113" s="71">
        <f>Armstrong!BE121+'Bearskin Lake'!BE121+Biscotasing!BE121+'Deer Lake'!BE121+'Fort Severn'!BE121+'Gull Bay'!BE121+Hillsport!BE121+Kasabonika!BE121+Kingfisher!BE121+Lansdowne!BE121+'Marten Falls'!BE121+Oba!BE121+Sachigo!BE121+'Sandy Lake'!BE121+Sultan!BE121+Wapekeka!BE121+Weagamow!BE121+Webequie!BE121+'Cat Lake'!BE121+Pikangikum!BE121+'Big Trout Lake'!BE121+'Poplar Hill'!BE121</f>
        <v>638984</v>
      </c>
      <c r="F113" s="71">
        <f>Armstrong!BF121+'Bearskin Lake'!BF121+Biscotasing!BF121+'Deer Lake'!BF121+'Fort Severn'!BF121+'Gull Bay'!BF121+Hillsport!BF121+Kasabonika!BF121+Kingfisher!BF121+Lansdowne!BF121+'Marten Falls'!BF121+Oba!BF121+Sachigo!BF121+'Sandy Lake'!BF121+Sultan!BF121+Wapekeka!BF121+Weagamow!BF121+Webequie!BF121+'Cat Lake'!BF121+Pikangikum!BF121+'Big Trout Lake'!BF121+'Poplar Hill'!BF121</f>
        <v>556504</v>
      </c>
      <c r="G113" s="71">
        <f>Armstrong!BG121+'Bearskin Lake'!BG121+Biscotasing!BG121+'Deer Lake'!BG121+'Fort Severn'!BG121+'Gull Bay'!BG121+Hillsport!BG121+Kasabonika!BG121+Kingfisher!BG121+Lansdowne!BG121+'Marten Falls'!BG121+Oba!BG121+Sachigo!BG121+'Sandy Lake'!BG121+Sultan!BG121+Wapekeka!BG121+Weagamow!BG121+Webequie!BG121+'Cat Lake'!BG121+Pikangikum!BG121+'Big Trout Lake'!BG121+'Poplar Hill'!BG121</f>
        <v>497896</v>
      </c>
      <c r="H113" s="71">
        <f>Armstrong!BH121+'Bearskin Lake'!BH121+Biscotasing!BH121+'Deer Lake'!BH121+'Fort Severn'!BH121+'Gull Bay'!BH121+Hillsport!BH121+Kasabonika!BH121+Kingfisher!BH121+Lansdowne!BH121+'Marten Falls'!BH121+Oba!BH121+Sachigo!BH121+'Sandy Lake'!BH121+Sultan!BH121+Wapekeka!BH121+Weagamow!BH121+Webequie!BH121+'Cat Lake'!BH121+Pikangikum!BH121+'Big Trout Lake'!BH121+'Poplar Hill'!BH121</f>
        <v>406506</v>
      </c>
      <c r="I113" s="71">
        <f>Armstrong!BI121+'Bearskin Lake'!BI121+Biscotasing!BI121+'Deer Lake'!BI121+'Fort Severn'!BI121+'Gull Bay'!BI121+Hillsport!BI121+Kasabonika!BI121+Kingfisher!BI121+Lansdowne!BI121+'Marten Falls'!BI121+Oba!BI121+Sachigo!BI121+'Sandy Lake'!BI121+Sultan!BI121+Wapekeka!BI121+Weagamow!BI121+Webequie!BI121+'Cat Lake'!BI121+Pikangikum!BI121+'Big Trout Lake'!BI121+'Poplar Hill'!BI121</f>
        <v>444047</v>
      </c>
      <c r="J113" s="71">
        <f>Armstrong!BJ121+'Bearskin Lake'!BJ121+Biscotasing!BJ121+'Deer Lake'!BJ121+'Fort Severn'!BJ121+'Gull Bay'!BJ121+Hillsport!BJ121+Kasabonika!BJ121+Kingfisher!BJ121+Lansdowne!BJ121+'Marten Falls'!BJ121+Oba!BJ121+Sachigo!BJ121+'Sandy Lake'!BJ121+Sultan!BJ121+Wapekeka!BJ121+Weagamow!BJ121+Webequie!BJ121+'Cat Lake'!BJ121+Pikangikum!BJ121+'Big Trout Lake'!BJ121+'Poplar Hill'!BJ121</f>
        <v>494021</v>
      </c>
      <c r="K113" s="71">
        <f>Armstrong!BK121+'Bearskin Lake'!BK121+Biscotasing!BK121+'Deer Lake'!BK121+'Fort Severn'!BK121+'Gull Bay'!BK121+Hillsport!BK121+Kasabonika!BK121+Kingfisher!BK121+Lansdowne!BK121+'Marten Falls'!BK121+Oba!BK121+Sachigo!BK121+'Sandy Lake'!BK121+Sultan!BK121+Wapekeka!BK121+Weagamow!BK121+Webequie!BK121+'Cat Lake'!BK121+Pikangikum!BK121+'Big Trout Lake'!BK121+'Poplar Hill'!BK121</f>
        <v>593720</v>
      </c>
      <c r="L113" s="71">
        <f>Armstrong!BL121+'Bearskin Lake'!BL121+Biscotasing!BL121+'Deer Lake'!BL121+'Fort Severn'!BL121+'Gull Bay'!BL121+Hillsport!BL121+Kasabonika!BL121+Kingfisher!BL121+Lansdowne!BL121+'Marten Falls'!BL121+Oba!BL121+Sachigo!BL121+'Sandy Lake'!BL121+Sultan!BL121+Wapekeka!BL121+Weagamow!BL121+Webequie!BL121+'Cat Lake'!BL121+Pikangikum!BL121+'Big Trout Lake'!BL121+'Poplar Hill'!BL121</f>
        <v>672898</v>
      </c>
      <c r="M113" s="71">
        <f>Armstrong!BM121+'Bearskin Lake'!BM121+Biscotasing!BM121+'Deer Lake'!BM121+'Fort Severn'!BM121+'Gull Bay'!BM121+Hillsport!BM121+Kasabonika!BM121+Kingfisher!BM121+Lansdowne!BM121+'Marten Falls'!BM121+Oba!BM121+Sachigo!BM121+'Sandy Lake'!BM121+Sultan!BM121+Wapekeka!BM121+Weagamow!BM121+Webequie!BM121+'Cat Lake'!BM121+Pikangikum!BM121+'Big Trout Lake'!BM121+'Poplar Hill'!BM121</f>
        <v>782134</v>
      </c>
      <c r="N113" s="70"/>
      <c r="O113" s="70">
        <f>Armstrong!BO121+'Bearskin Lake'!BO121+Biscotasing!BO121+'Deer Lake'!BO121+'Fort Severn'!BO121+'Gull Bay'!BO121+Hillsport!BO121+Kasabonika!BO121+Kingfisher!BO121+Lansdowne!BO121+'Marten Falls'!BO121+Oba!BO121+Sachigo!BO121+'Sandy Lake'!BO121+Sultan!BO121+Wapekeka!BO121+Weagamow!BO121+Webequie!BO121+'Cat Lake'!BO121+Pikangikum!BO121+'Big Trout Lake'!BO121+'Poplar Hill'!BO121</f>
        <v>460697</v>
      </c>
    </row>
    <row r="114" spans="1:23">
      <c r="A114" s="495" t="s">
        <v>89</v>
      </c>
      <c r="B114" s="146"/>
      <c r="C114" s="124"/>
      <c r="D114" s="124"/>
      <c r="E114" s="71">
        <f>Armstrong!BE122+'Bearskin Lake'!BE122+Biscotasing!BE122+'Deer Lake'!BE122+'Fort Severn'!BE122+'Gull Bay'!BE122+Hillsport!BE122+Kasabonika!BE122+Kingfisher!BE122+Lansdowne!BE122+'Marten Falls'!BE122+Oba!BE122+Sachigo!BE122+'Sandy Lake'!BE122+Sultan!BE122+Wapekeka!BE122+Weagamow!BE122+Webequie!BE122+'Cat Lake'!BE122+Pikangikum!BE122+'Big Trout Lake'!BE122+'Poplar Hill'!BE122</f>
        <v>-3477113</v>
      </c>
      <c r="F114" s="71">
        <f>Armstrong!BF122+'Bearskin Lake'!BF122+Biscotasing!BF122+'Deer Lake'!BF122+'Fort Severn'!BF122+'Gull Bay'!BF122+Hillsport!BF122+Kasabonika!BF122+Kingfisher!BF122+Lansdowne!BF122+'Marten Falls'!BF122+Oba!BF122+Sachigo!BF122+'Sandy Lake'!BF122+Sultan!BF122+Wapekeka!BF122+Weagamow!BF122+Webequie!BF122+'Cat Lake'!BF122+Pikangikum!BF122+'Big Trout Lake'!BF122+'Poplar Hill'!BF122</f>
        <v>-3024306</v>
      </c>
      <c r="G114" s="71">
        <f>Armstrong!BG122+'Bearskin Lake'!BG122+Biscotasing!BG122+'Deer Lake'!BG122+'Fort Severn'!BG122+'Gull Bay'!BG122+Hillsport!BG122+Kasabonika!BG122+Kingfisher!BG122+Lansdowne!BG122+'Marten Falls'!BG122+Oba!BG122+Sachigo!BG122+'Sandy Lake'!BG122+Sultan!BG122+Wapekeka!BG122+Weagamow!BG122+Webequie!BG122+'Cat Lake'!BG122+Pikangikum!BG122+'Big Trout Lake'!BG122+'Poplar Hill'!BG122</f>
        <v>-2575191</v>
      </c>
      <c r="H114" s="71">
        <f>Armstrong!BH122+'Bearskin Lake'!BH122+Biscotasing!BH122+'Deer Lake'!BH122+'Fort Severn'!BH122+'Gull Bay'!BH122+Hillsport!BH122+Kasabonika!BH122+Kingfisher!BH122+Lansdowne!BH122+'Marten Falls'!BH122+Oba!BH122+Sachigo!BH122+'Sandy Lake'!BH122+Sultan!BH122+Wapekeka!BH122+Weagamow!BH122+Webequie!BH122+'Cat Lake'!BH122+Pikangikum!BH122+'Big Trout Lake'!BH122+'Poplar Hill'!BH122</f>
        <v>-1890545</v>
      </c>
      <c r="I114" s="71">
        <f>Armstrong!BI122+'Bearskin Lake'!BI122+Biscotasing!BI122+'Deer Lake'!BI122+'Fort Severn'!BI122+'Gull Bay'!BI122+Hillsport!BI122+Kasabonika!BI122+Kingfisher!BI122+Lansdowne!BI122+'Marten Falls'!BI122+Oba!BI122+Sachigo!BI122+'Sandy Lake'!BI122+Sultan!BI122+Wapekeka!BI122+Weagamow!BI122+Webequie!BI122+'Cat Lake'!BI122+Pikangikum!BI122+'Big Trout Lake'!BI122+'Poplar Hill'!BI122</f>
        <v>-1874465</v>
      </c>
      <c r="J114" s="71">
        <f>Armstrong!BJ122+'Bearskin Lake'!BJ122+Biscotasing!BJ122+'Deer Lake'!BJ122+'Fort Severn'!BJ122+'Gull Bay'!BJ122+Hillsport!BJ122+Kasabonika!BJ122+Kingfisher!BJ122+Lansdowne!BJ122+'Marten Falls'!BJ122+Oba!BJ122+Sachigo!BJ122+'Sandy Lake'!BJ122+Sultan!BJ122+Wapekeka!BJ122+Weagamow!BJ122+Webequie!BJ122+'Cat Lake'!BJ122+Pikangikum!BJ122+'Big Trout Lake'!BJ122+'Poplar Hill'!BJ122</f>
        <v>-1690804</v>
      </c>
      <c r="K114" s="71">
        <f>Armstrong!BK122+'Bearskin Lake'!BK122+Biscotasing!BK122+'Deer Lake'!BK122+'Fort Severn'!BK122+'Gull Bay'!BK122+Hillsport!BK122+Kasabonika!BK122+Kingfisher!BK122+Lansdowne!BK122+'Marten Falls'!BK122+Oba!BK122+Sachigo!BK122+'Sandy Lake'!BK122+Sultan!BK122+Wapekeka!BK122+Weagamow!BK122+Webequie!BK122+'Cat Lake'!BK122+Pikangikum!BK122+'Big Trout Lake'!BK122+'Poplar Hill'!BK122</f>
        <v>-2166192</v>
      </c>
      <c r="L114" s="71">
        <f>Armstrong!BL122+'Bearskin Lake'!BL122+Biscotasing!BL122+'Deer Lake'!BL122+'Fort Severn'!BL122+'Gull Bay'!BL122+Hillsport!BL122+Kasabonika!BL122+Kingfisher!BL122+Lansdowne!BL122+'Marten Falls'!BL122+Oba!BL122+Sachigo!BL122+'Sandy Lake'!BL122+Sultan!BL122+Wapekeka!BL122+Weagamow!BL122+Webequie!BL122+'Cat Lake'!BL122+Pikangikum!BL122+'Big Trout Lake'!BL122+'Poplar Hill'!BL122</f>
        <v>-2587723</v>
      </c>
      <c r="M114" s="71">
        <f>Armstrong!BM122+'Bearskin Lake'!BM122+Biscotasing!BM122+'Deer Lake'!BM122+'Fort Severn'!BM122+'Gull Bay'!BM122+Hillsport!BM122+Kasabonika!BM122+Kingfisher!BM122+Lansdowne!BM122+'Marten Falls'!BM122+Oba!BM122+Sachigo!BM122+'Sandy Lake'!BM122+Sultan!BM122+Wapekeka!BM122+Weagamow!BM122+Webequie!BM122+'Cat Lake'!BM122+Pikangikum!BM122+'Big Trout Lake'!BM122+'Poplar Hill'!BM122</f>
        <v>-2832325</v>
      </c>
      <c r="N114" s="70"/>
      <c r="O114" s="70">
        <f>Armstrong!BO122+'Bearskin Lake'!BO122+Biscotasing!BO122+'Deer Lake'!BO122+'Fort Severn'!BO122+'Gull Bay'!BO122+Hillsport!BO122+Kasabonika!BO122+Kingfisher!BO122+Lansdowne!BO122+'Marten Falls'!BO122+Oba!BO122+Sachigo!BO122+'Sandy Lake'!BO122+Sultan!BO122+Wapekeka!BO122+Weagamow!BO122+Webequie!BO122+'Cat Lake'!BO122+Pikangikum!BO122+'Big Trout Lake'!BO122+'Poplar Hill'!BO122</f>
        <v>-3460106</v>
      </c>
    </row>
    <row r="115" spans="1:23">
      <c r="A115" s="495" t="s">
        <v>90</v>
      </c>
      <c r="B115" s="146"/>
      <c r="C115" s="124"/>
      <c r="D115" s="124"/>
      <c r="E115" s="71">
        <f>Armstrong!BE123+'Bearskin Lake'!BE123+Biscotasing!BE123+'Deer Lake'!BE123+'Fort Severn'!BE123+'Gull Bay'!BE123+Hillsport!BE123+Kasabonika!BE123+Kingfisher!BE123+Lansdowne!BE123+'Marten Falls'!BE123+Oba!BE123+Sachigo!BE123+'Sandy Lake'!BE123+Sultan!BE123+Wapekeka!BE123+Weagamow!BE123+Webequie!BE123+'Cat Lake'!BE123+Pikangikum!BE123+'Big Trout Lake'!BE123+'Poplar Hill'!BE123</f>
        <v>-706379</v>
      </c>
      <c r="F115" s="71">
        <f>Armstrong!BF123+'Bearskin Lake'!BF123+Biscotasing!BF123+'Deer Lake'!BF123+'Fort Severn'!BF123+'Gull Bay'!BF123+Hillsport!BF123+Kasabonika!BF123+Kingfisher!BF123+Lansdowne!BF123+'Marten Falls'!BF123+Oba!BF123+Sachigo!BF123+'Sandy Lake'!BF123+Sultan!BF123+Wapekeka!BF123+Weagamow!BF123+Webequie!BF123+'Cat Lake'!BF123+Pikangikum!BF123+'Big Trout Lake'!BF123+'Poplar Hill'!BF123</f>
        <v>-638984</v>
      </c>
      <c r="G115" s="71">
        <f>Armstrong!BG123+'Bearskin Lake'!BG123+Biscotasing!BG123+'Deer Lake'!BG123+'Fort Severn'!BG123+'Gull Bay'!BG123+Hillsport!BG123+Kasabonika!BG123+Kingfisher!BG123+Lansdowne!BG123+'Marten Falls'!BG123+Oba!BG123+Sachigo!BG123+'Sandy Lake'!BG123+Sultan!BG123+Wapekeka!BG123+Weagamow!BG123+Webequie!BG123+'Cat Lake'!BG123+Pikangikum!BG123+'Big Trout Lake'!BG123+'Poplar Hill'!BG123</f>
        <v>-556504</v>
      </c>
      <c r="H115" s="71">
        <f>Armstrong!BH123+'Bearskin Lake'!BH123+Biscotasing!BH123+'Deer Lake'!BH123+'Fort Severn'!BH123+'Gull Bay'!BH123+Hillsport!BH123+Kasabonika!BH123+Kingfisher!BH123+Lansdowne!BH123+'Marten Falls'!BH123+Oba!BH123+Sachigo!BH123+'Sandy Lake'!BH123+Sultan!BH123+Wapekeka!BH123+Weagamow!BH123+Webequie!BH123+'Cat Lake'!BH123+Pikangikum!BH123+'Big Trout Lake'!BH123+'Poplar Hill'!BH123</f>
        <v>-431961</v>
      </c>
      <c r="I115" s="71">
        <f>Armstrong!BI123+'Bearskin Lake'!BI123+Biscotasing!BI123+'Deer Lake'!BI123+'Fort Severn'!BI123+'Gull Bay'!BI123+Hillsport!BI123+Kasabonika!BI123+Kingfisher!BI123+Lansdowne!BI123+'Marten Falls'!BI123+Oba!BI123+Sachigo!BI123+'Sandy Lake'!BI123+Sultan!BI123+Wapekeka!BI123+Weagamow!BI123+Webequie!BI123+'Cat Lake'!BI123+Pikangikum!BI123+'Big Trout Lake'!BI123+'Poplar Hill'!BI123</f>
        <v>-406506</v>
      </c>
      <c r="J115" s="71">
        <f>Armstrong!BJ123+'Bearskin Lake'!BJ123+Biscotasing!BJ123+'Deer Lake'!BJ123+'Fort Severn'!BJ123+'Gull Bay'!BJ123+Hillsport!BJ123+Kasabonika!BJ123+Kingfisher!BJ123+Lansdowne!BJ123+'Marten Falls'!BJ123+Oba!BJ123+Sachigo!BJ123+'Sandy Lake'!BJ123+Sultan!BJ123+Wapekeka!BJ123+Weagamow!BJ123+Webequie!BJ123+'Cat Lake'!BJ123+Pikangikum!BJ123+'Big Trout Lake'!BJ123+'Poplar Hill'!BJ123</f>
        <v>-444047</v>
      </c>
      <c r="K115" s="71">
        <f>Armstrong!BK123+'Bearskin Lake'!BK123+Biscotasing!BK123+'Deer Lake'!BK123+'Fort Severn'!BK123+'Gull Bay'!BK123+Hillsport!BK123+Kasabonika!BK123+Kingfisher!BK123+Lansdowne!BK123+'Marten Falls'!BK123+Oba!BK123+Sachigo!BK123+'Sandy Lake'!BK123+Sultan!BK123+Wapekeka!BK123+Weagamow!BK123+Webequie!BK123+'Cat Lake'!BK123+Pikangikum!BK123+'Big Trout Lake'!BK123+'Poplar Hill'!BK123</f>
        <v>-494021</v>
      </c>
      <c r="L115" s="71">
        <f>Armstrong!BL123+'Bearskin Lake'!BL123+Biscotasing!BL123+'Deer Lake'!BL123+'Fort Severn'!BL123+'Gull Bay'!BL123+Hillsport!BL123+Kasabonika!BL123+Kingfisher!BL123+Lansdowne!BL123+'Marten Falls'!BL123+Oba!BL123+Sachigo!BL123+'Sandy Lake'!BL123+Sultan!BL123+Wapekeka!BL123+Weagamow!BL123+Webequie!BL123+'Cat Lake'!BL123+Pikangikum!BL123+'Big Trout Lake'!BL123+'Poplar Hill'!BL123</f>
        <v>-593720</v>
      </c>
      <c r="M115" s="71">
        <f>Armstrong!BM123+'Bearskin Lake'!BM123+Biscotasing!BM123+'Deer Lake'!BM123+'Fort Severn'!BM123+'Gull Bay'!BM123+Hillsport!BM123+Kasabonika!BM123+Kingfisher!BM123+Lansdowne!BM123+'Marten Falls'!BM123+Oba!BM123+Sachigo!BM123+'Sandy Lake'!BM123+Sultan!BM123+Wapekeka!BM123+Weagamow!BM123+Webequie!BM123+'Cat Lake'!BM123+Pikangikum!BM123+'Big Trout Lake'!BM123+'Poplar Hill'!BM123</f>
        <v>-672898</v>
      </c>
      <c r="N115" s="70"/>
      <c r="O115" s="70">
        <f>Armstrong!BO123+'Bearskin Lake'!BO123+Biscotasing!BO123+'Deer Lake'!BO123+'Fort Severn'!BO123+'Gull Bay'!BO123+Hillsport!BO123+Kasabonika!BO123+Kingfisher!BO123+Lansdowne!BO123+'Marten Falls'!BO123+Oba!BO123+Sachigo!BO123+'Sandy Lake'!BO123+Sultan!BO123+Wapekeka!BO123+Weagamow!BO123+Webequie!BO123+'Cat Lake'!BO123+Pikangikum!BO123+'Big Trout Lake'!BO123+'Poplar Hill'!BO123</f>
        <v>-782134</v>
      </c>
    </row>
    <row r="116" spans="1:23">
      <c r="A116" s="496" t="s">
        <v>91</v>
      </c>
      <c r="B116" s="146"/>
      <c r="C116" s="124"/>
      <c r="D116" s="124"/>
      <c r="E116" s="71">
        <f>Armstrong!BE124+'Bearskin Lake'!BE124+Biscotasing!BE124+'Deer Lake'!BE124+'Fort Severn'!BE124+'Gull Bay'!BE124+Hillsport!BE124+Kasabonika!BE124+Kingfisher!BE124+Lansdowne!BE124+'Marten Falls'!BE124+Oba!BE124+Sachigo!BE124+'Sandy Lake'!BE124+Sultan!BE124+Wapekeka!BE124+Weagamow!BE124+Webequie!BE124+'Cat Lake'!BE124+Pikangikum!BE124+'Big Trout Lake'!BE124+'Poplar Hill'!BE124</f>
        <v>-520202</v>
      </c>
      <c r="F116" s="71">
        <f>Armstrong!BF124+'Bearskin Lake'!BF124+Biscotasing!BF124+'Deer Lake'!BF124+'Fort Severn'!BF124+'Gull Bay'!BF124+Hillsport!BF124+Kasabonika!BF124+Kingfisher!BF124+Lansdowne!BF124+'Marten Falls'!BF124+Oba!BF124+Sachigo!BF124+'Sandy Lake'!BF124+Sultan!BF124+Wapekeka!BF124+Weagamow!BF124+Webequie!BF124+'Cat Lake'!BF124+Pikangikum!BF124+'Big Trout Lake'!BF124+'Poplar Hill'!BF124</f>
        <v>-531595</v>
      </c>
      <c r="G116" s="71">
        <f>Armstrong!BG124+'Bearskin Lake'!BG124+Biscotasing!BG124+'Deer Lake'!BG124+'Fort Severn'!BG124+'Gull Bay'!BG124+Hillsport!BG124+Kasabonika!BG124+Kingfisher!BG124+Lansdowne!BG124+'Marten Falls'!BG124+Oba!BG124+Sachigo!BG124+'Sandy Lake'!BG124+Sultan!BG124+Wapekeka!BG124+Weagamow!BG124+Webequie!BG124+'Cat Lake'!BG124+Pikangikum!BG124+'Big Trout Lake'!BG124+'Poplar Hill'!BG124</f>
        <v>-404885</v>
      </c>
      <c r="H116" s="71">
        <f>Armstrong!BH124+'Bearskin Lake'!BH124+Biscotasing!BH124+'Deer Lake'!BH124+'Fort Severn'!BH124+'Gull Bay'!BH124+Hillsport!BH124+Kasabonika!BH124+Kingfisher!BH124+Lansdowne!BH124+'Marten Falls'!BH124+Oba!BH124+Sachigo!BH124+'Sandy Lake'!BH124+Sultan!BH124+Wapekeka!BH124+Weagamow!BH124+Webequie!BH124+'Cat Lake'!BH124+Pikangikum!BH124+'Big Trout Lake'!BH124+'Poplar Hill'!BH124</f>
        <v>-41535</v>
      </c>
      <c r="I116" s="71">
        <f>Armstrong!BI124+'Bearskin Lake'!BI124+Biscotasing!BI124+'Deer Lake'!BI124+'Fort Severn'!BI124+'Gull Bay'!BI124+Hillsport!BI124+Kasabonika!BI124+Kingfisher!BI124+Lansdowne!BI124+'Marten Falls'!BI124+Oba!BI124+Sachigo!BI124+'Sandy Lake'!BI124+Sultan!BI124+Wapekeka!BI124+Weagamow!BI124+Webequie!BI124+'Cat Lake'!BI124+Pikangikum!BI124+'Big Trout Lake'!BI124+'Poplar Hill'!BI124</f>
        <v>-146120</v>
      </c>
      <c r="J116" s="71">
        <f>Armstrong!BJ124+'Bearskin Lake'!BJ124+Biscotasing!BJ124+'Deer Lake'!BJ124+'Fort Severn'!BJ124+'Gull Bay'!BJ124+Hillsport!BJ124+Kasabonika!BJ124+Kingfisher!BJ124+Lansdowne!BJ124+'Marten Falls'!BJ124+Oba!BJ124+Sachigo!BJ124+'Sandy Lake'!BJ124+Sultan!BJ124+Wapekeka!BJ124+Weagamow!BJ124+Webequie!BJ124+'Cat Lake'!BJ124+Pikangikum!BJ124+'Big Trout Lake'!BJ124+'Poplar Hill'!BJ124</f>
        <v>525362</v>
      </c>
      <c r="K116" s="71">
        <f>Armstrong!BK124+'Bearskin Lake'!BK124+Biscotasing!BK124+'Deer Lake'!BK124+'Fort Severn'!BK124+'Gull Bay'!BK124+Hillsport!BK124+Kasabonika!BK124+Kingfisher!BK124+Lansdowne!BK124+'Marten Falls'!BK124+Oba!BK124+Sachigo!BK124+'Sandy Lake'!BK124+Sultan!BK124+Wapekeka!BK124+Weagamow!BK124+Webequie!BK124+'Cat Lake'!BK124+Pikangikum!BK124+'Big Trout Lake'!BK124+'Poplar Hill'!BK124</f>
        <v>521230</v>
      </c>
      <c r="L116" s="71">
        <f>Armstrong!BL124+'Bearskin Lake'!BL124+Biscotasing!BL124+'Deer Lake'!BL124+'Fort Severn'!BL124+'Gull Bay'!BL124+Hillsport!BL124+Kasabonika!BL124+Kingfisher!BL124+Lansdowne!BL124+'Marten Falls'!BL124+Oba!BL124+Sachigo!BL124+'Sandy Lake'!BL124+Sultan!BL124+Wapekeka!BL124+Weagamow!BL124+Webequie!BL124+'Cat Lake'!BL124+Pikangikum!BL124+'Big Trout Lake'!BL124+'Poplar Hill'!BL124</f>
        <v>323780</v>
      </c>
      <c r="M116" s="71">
        <f>Armstrong!BM124+'Bearskin Lake'!BM124+Biscotasing!BM124+'Deer Lake'!BM124+'Fort Severn'!BM124+'Gull Bay'!BM124+Hillsport!BM124+Kasabonika!BM124+Kingfisher!BM124+Lansdowne!BM124+'Marten Falls'!BM124+Oba!BM124+Sachigo!BM124+'Sandy Lake'!BM124+Sultan!BM124+Wapekeka!BM124+Weagamow!BM124+Webequie!BM124+'Cat Lake'!BM124+Pikangikum!BM124+'Big Trout Lake'!BM124+'Poplar Hill'!BM124</f>
        <v>737017</v>
      </c>
      <c r="N116" s="70">
        <f>SUM(B116:M116)</f>
        <v>463052</v>
      </c>
      <c r="O116" s="70">
        <f>Armstrong!BO124+'Bearskin Lake'!BO124+Biscotasing!BO124+'Deer Lake'!BO124+'Fort Severn'!BO124+'Gull Bay'!BO124+Hillsport!BO124+Kasabonika!BO124+Kingfisher!BO124+Lansdowne!BO124+'Marten Falls'!BO124+Oba!BO124+Sachigo!BO124+'Sandy Lake'!BO124+Sultan!BO124+Wapekeka!BO124+Weagamow!BO124+Webequie!BO124+'Cat Lake'!BO124+Pikangikum!BO124+'Big Trout Lake'!BO124+'Poplar Hill'!BO124</f>
        <v>-1636739</v>
      </c>
    </row>
    <row r="117" spans="1:23">
      <c r="A117" s="340" t="s">
        <v>87</v>
      </c>
      <c r="B117" s="146"/>
      <c r="C117" s="124"/>
      <c r="D117" s="124"/>
      <c r="E117" s="71"/>
      <c r="F117" s="71"/>
      <c r="G117" s="71"/>
      <c r="H117" s="71"/>
      <c r="I117" s="71"/>
      <c r="J117" s="71"/>
      <c r="K117" s="71"/>
      <c r="L117" s="71"/>
      <c r="M117" s="71"/>
      <c r="N117" s="70"/>
      <c r="O117" s="70"/>
    </row>
    <row r="118" spans="1:23">
      <c r="A118" s="495" t="s">
        <v>88</v>
      </c>
      <c r="B118" s="146"/>
      <c r="C118" s="124"/>
      <c r="D118" s="124"/>
      <c r="E118" s="71">
        <f>Armstrong!BE126+'Bearskin Lake'!BE126+Biscotasing!BE126+'Deer Lake'!BE126+'Fort Severn'!BE126+'Gull Bay'!BE126+Hillsport!BE126+Kasabonika!BE126+Kingfisher!BE126+Lansdowne!BE126+'Marten Falls'!BE126+Oba!BE126+Sachigo!BE126+'Sandy Lake'!BE126+Sultan!BE126+Wapekeka!BE126+Weagamow!BE126+Webequie!BE126+'Cat Lake'!BE126+Pikangikum!BE126+'Big Trout Lake'!BE126+'Poplar Hill'!BE126</f>
        <v>669533</v>
      </c>
      <c r="F118" s="71">
        <f>Armstrong!BF126+'Bearskin Lake'!BF126+Biscotasing!BF126+'Deer Lake'!BF126+'Fort Severn'!BF126+'Gull Bay'!BF126+Hillsport!BF126+Kasabonika!BF126+Kingfisher!BF126+Lansdowne!BF126+'Marten Falls'!BF126+Oba!BF126+Sachigo!BF126+'Sandy Lake'!BF126+Sultan!BF126+Wapekeka!BF126+Weagamow!BF126+Webequie!BF126+'Cat Lake'!BF126+Pikangikum!BF126+'Big Trout Lake'!BF126+'Poplar Hill'!BF126</f>
        <v>514984</v>
      </c>
      <c r="G118" s="71">
        <f>Armstrong!BG126+'Bearskin Lake'!BG126+Biscotasing!BG126+'Deer Lake'!BG126+'Fort Severn'!BG126+'Gull Bay'!BG126+Hillsport!BG126+Kasabonika!BG126+Kingfisher!BG126+Lansdowne!BG126+'Marten Falls'!BG126+Oba!BG126+Sachigo!BG126+'Sandy Lake'!BG126+Sultan!BG126+Wapekeka!BG126+Weagamow!BG126+Webequie!BG126+'Cat Lake'!BG126+Pikangikum!BG126+'Big Trout Lake'!BG126+'Poplar Hill'!BG126</f>
        <v>438167</v>
      </c>
      <c r="H118" s="71">
        <f>Armstrong!BH126+'Bearskin Lake'!BH126+Biscotasing!BH126+'Deer Lake'!BH126+'Fort Severn'!BH126+'Gull Bay'!BH126+Hillsport!BH126+Kasabonika!BH126+Kingfisher!BH126+Lansdowne!BH126+'Marten Falls'!BH126+Oba!BH126+Sachigo!BH126+'Sandy Lake'!BH126+Sultan!BH126+Wapekeka!BH126+Weagamow!BH126+Webequie!BH126+'Cat Lake'!BH126+Pikangikum!BH126+'Big Trout Lake'!BH126+'Poplar Hill'!BH126</f>
        <v>825248</v>
      </c>
      <c r="I118" s="71">
        <f>Armstrong!BI126+'Bearskin Lake'!BI126+Biscotasing!BI126+'Deer Lake'!BI126+'Fort Severn'!BI126+'Gull Bay'!BI126+Hillsport!BI126+Kasabonika!BI126+Kingfisher!BI126+Lansdowne!BI126+'Marten Falls'!BI126+Oba!BI126+Sachigo!BI126+'Sandy Lake'!BI126+Sultan!BI126+Wapekeka!BI126+Weagamow!BI126+Webequie!BI126+'Cat Lake'!BI126+Pikangikum!BI126+'Big Trout Lake'!BI126+'Poplar Hill'!BI126</f>
        <v>876594</v>
      </c>
      <c r="J118" s="71">
        <f>Armstrong!BJ126+'Bearskin Lake'!BJ126+Biscotasing!BJ126+'Deer Lake'!BJ126+'Fort Severn'!BJ126+'Gull Bay'!BJ126+Hillsport!BJ126+Kasabonika!BJ126+Kingfisher!BJ126+Lansdowne!BJ126+'Marten Falls'!BJ126+Oba!BJ126+Sachigo!BJ126+'Sandy Lake'!BJ126+Sultan!BJ126+Wapekeka!BJ126+Weagamow!BJ126+Webequie!BJ126+'Cat Lake'!BJ126+Pikangikum!BJ126+'Big Trout Lake'!BJ126+'Poplar Hill'!BJ126</f>
        <v>854334</v>
      </c>
      <c r="K118" s="71">
        <f>Armstrong!BK126+'Bearskin Lake'!BK126+Biscotasing!BK126+'Deer Lake'!BK126+'Fort Severn'!BK126+'Gull Bay'!BK126+Hillsport!BK126+Kasabonika!BK126+Kingfisher!BK126+Lansdowne!BK126+'Marten Falls'!BK126+Oba!BK126+Sachigo!BK126+'Sandy Lake'!BK126+Sultan!BK126+Wapekeka!BK126+Weagamow!BK126+Webequie!BK126+'Cat Lake'!BK126+Pikangikum!BK126+'Big Trout Lake'!BK126+'Poplar Hill'!BK126</f>
        <v>994411</v>
      </c>
      <c r="L118" s="71">
        <f>Armstrong!BL126+'Bearskin Lake'!BL126+Biscotasing!BL126+'Deer Lake'!BL126+'Fort Severn'!BL126+'Gull Bay'!BL126+Hillsport!BL126+Kasabonika!BL126+Kingfisher!BL126+Lansdowne!BL126+'Marten Falls'!BL126+Oba!BL126+Sachigo!BL126+'Sandy Lake'!BL126+Sultan!BL126+Wapekeka!BL126+Weagamow!BL126+Webequie!BL126+'Cat Lake'!BL126+Pikangikum!BL126+'Big Trout Lake'!BL126+'Poplar Hill'!BL126</f>
        <v>1161137</v>
      </c>
      <c r="M118" s="71">
        <f>Armstrong!BM126+'Bearskin Lake'!BM126+Biscotasing!BM126+'Deer Lake'!BM126+'Fort Severn'!BM126+'Gull Bay'!BM126+Hillsport!BM126+Kasabonika!BM126+Kingfisher!BM126+Lansdowne!BM126+'Marten Falls'!BM126+Oba!BM126+Sachigo!BM126+'Sandy Lake'!BM126+Sultan!BM126+Wapekeka!BM126+Weagamow!BM126+Webequie!BM126+'Cat Lake'!BM126+Pikangikum!BM126+'Big Trout Lake'!BM126+'Poplar Hill'!BM126</f>
        <v>1507955</v>
      </c>
      <c r="N118" s="70">
        <f>Armstrong!BN126+'Bearskin Lake'!BN126+Biscotasing!BN126+'Deer Lake'!BN126+'Fort Severn'!BN126+'Gull Bay'!BN126+Hillsport!BN126+Kasabonika!BN126+Kingfisher!BN126+Lansdowne!BN126+'Marten Falls'!BN126+Oba!BN126+Sachigo!BN126+'Sandy Lake'!BN126+Sultan!BN126+Wapekeka!BN126+Weagamow!BN126+Webequie!BN126+'Cat Lake'!BN126+Pikangikum!BN126+'Big Trout Lake'!BN126+'Poplar Hill'!BN126</f>
        <v>0</v>
      </c>
      <c r="O118" s="70">
        <f>Armstrong!BO126+'Bearskin Lake'!BO126+Biscotasing!BO126+'Deer Lake'!BO126+'Fort Severn'!BO126+'Gull Bay'!BO126+Hillsport!BO126+Kasabonika!BO126+Kingfisher!BO126+Lansdowne!BO126+'Marten Falls'!BO126+Oba!BO126+Sachigo!BO126+'Sandy Lake'!BO126+Sultan!BO126+Wapekeka!BO126+Weagamow!BO126+Webequie!BO126+'Cat Lake'!BO126+Pikangikum!BO126+'Big Trout Lake'!BO126+'Poplar Hill'!BO126</f>
        <v>3238566</v>
      </c>
    </row>
    <row r="119" spans="1:23">
      <c r="A119" s="495" t="s">
        <v>76</v>
      </c>
      <c r="B119" s="146"/>
      <c r="C119" s="124"/>
      <c r="D119" s="124"/>
      <c r="E119" s="71">
        <f>Armstrong!BE127+'Bearskin Lake'!BE127+Biscotasing!BE127+'Deer Lake'!BE127+'Fort Severn'!BE127+'Gull Bay'!BE127+Hillsport!BE127+Kasabonika!BE127+Kingfisher!BE127+Lansdowne!BE127+'Marten Falls'!BE127+Oba!BE127+Sachigo!BE127+'Sandy Lake'!BE127+Sultan!BE127+Wapekeka!BE127+Weagamow!BE127+Webequie!BE127+'Cat Lake'!BE127+Pikangikum!BE127+'Big Trout Lake'!BE127+'Poplar Hill'!BE127</f>
        <v>232339</v>
      </c>
      <c r="F119" s="71">
        <f>Armstrong!BF127+'Bearskin Lake'!BF127+Biscotasing!BF127+'Deer Lake'!BF127+'Fort Severn'!BF127+'Gull Bay'!BF127+Hillsport!BF127+Kasabonika!BF127+Kingfisher!BF127+Lansdowne!BF127+'Marten Falls'!BF127+Oba!BF127+Sachigo!BF127+'Sandy Lake'!BF127+Sultan!BF127+Wapekeka!BF127+Weagamow!BF127+Webequie!BF127+'Cat Lake'!BF127+Pikangikum!BF127+'Big Trout Lake'!BF127+'Poplar Hill'!BF127</f>
        <v>205041</v>
      </c>
      <c r="G119" s="71">
        <f>Armstrong!BG127+'Bearskin Lake'!BG127+Biscotasing!BG127+'Deer Lake'!BG127+'Fort Severn'!BG127+'Gull Bay'!BG127+Hillsport!BG127+Kasabonika!BG127+Kingfisher!BG127+Lansdowne!BG127+'Marten Falls'!BG127+Oba!BG127+Sachigo!BG127+'Sandy Lake'!BG127+Sultan!BG127+Wapekeka!BG127+Weagamow!BG127+Webequie!BG127+'Cat Lake'!BG127+Pikangikum!BG127+'Big Trout Lake'!BG127+'Poplar Hill'!BG127</f>
        <v>106052</v>
      </c>
      <c r="H119" s="71">
        <f>Armstrong!BH127+'Bearskin Lake'!BH127+Biscotasing!BH127+'Deer Lake'!BH127+'Fort Severn'!BH127+'Gull Bay'!BH127+Hillsport!BH127+Kasabonika!BH127+Kingfisher!BH127+Lansdowne!BH127+'Marten Falls'!BH127+Oba!BH127+Sachigo!BH127+'Sandy Lake'!BH127+Sultan!BH127+Wapekeka!BH127+Weagamow!BH127+Webequie!BH127+'Cat Lake'!BH127+Pikangikum!BH127+'Big Trout Lake'!BH127+'Poplar Hill'!BH127</f>
        <v>187084</v>
      </c>
      <c r="I119" s="71">
        <f>Armstrong!BI127+'Bearskin Lake'!BI127+Biscotasing!BI127+'Deer Lake'!BI127+'Fort Severn'!BI127+'Gull Bay'!BI127+Hillsport!BI127+Kasabonika!BI127+Kingfisher!BI127+Lansdowne!BI127+'Marten Falls'!BI127+Oba!BI127+Sachigo!BI127+'Sandy Lake'!BI127+Sultan!BI127+Wapekeka!BI127+Weagamow!BI127+Webequie!BI127+'Cat Lake'!BI127+Pikangikum!BI127+'Big Trout Lake'!BI127+'Poplar Hill'!BI127</f>
        <v>309324</v>
      </c>
      <c r="J119" s="71">
        <f>Armstrong!BJ127+'Bearskin Lake'!BJ127+Biscotasing!BJ127+'Deer Lake'!BJ127+'Fort Severn'!BJ127+'Gull Bay'!BJ127+Hillsport!BJ127+Kasabonika!BJ127+Kingfisher!BJ127+Lansdowne!BJ127+'Marten Falls'!BJ127+Oba!BJ127+Sachigo!BJ127+'Sandy Lake'!BJ127+Sultan!BJ127+Wapekeka!BJ127+Weagamow!BJ127+Webequie!BJ127+'Cat Lake'!BJ127+Pikangikum!BJ127+'Big Trout Lake'!BJ127+'Poplar Hill'!BJ127</f>
        <v>361228</v>
      </c>
      <c r="K119" s="71">
        <f>Armstrong!BK127+'Bearskin Lake'!BK127+Biscotasing!BK127+'Deer Lake'!BK127+'Fort Severn'!BK127+'Gull Bay'!BK127+Hillsport!BK127+Kasabonika!BK127+Kingfisher!BK127+Lansdowne!BK127+'Marten Falls'!BK127+Oba!BK127+Sachigo!BK127+'Sandy Lake'!BK127+Sultan!BK127+Wapekeka!BK127+Weagamow!BK127+Webequie!BK127+'Cat Lake'!BK127+Pikangikum!BK127+'Big Trout Lake'!BK127+'Poplar Hill'!BK127</f>
        <v>315305</v>
      </c>
      <c r="L119" s="71">
        <f>Armstrong!BL127+'Bearskin Lake'!BL127+Biscotasing!BL127+'Deer Lake'!BL127+'Fort Severn'!BL127+'Gull Bay'!BL127+Hillsport!BL127+Kasabonika!BL127+Kingfisher!BL127+Lansdowne!BL127+'Marten Falls'!BL127+Oba!BL127+Sachigo!BL127+'Sandy Lake'!BL127+Sultan!BL127+Wapekeka!BL127+Weagamow!BL127+Webequie!BL127+'Cat Lake'!BL127+Pikangikum!BL127+'Big Trout Lake'!BL127+'Poplar Hill'!BL127</f>
        <v>303456</v>
      </c>
      <c r="M119" s="71">
        <f>Armstrong!BM127+'Bearskin Lake'!BM127+Biscotasing!BM127+'Deer Lake'!BM127+'Fort Severn'!BM127+'Gull Bay'!BM127+Hillsport!BM127+Kasabonika!BM127+Kingfisher!BM127+Lansdowne!BM127+'Marten Falls'!BM127+Oba!BM127+Sachigo!BM127+'Sandy Lake'!BM127+Sultan!BM127+Wapekeka!BM127+Weagamow!BM127+Webequie!BM127+'Cat Lake'!BM127+Pikangikum!BM127+'Big Trout Lake'!BM127+'Poplar Hill'!BM127</f>
        <v>451998</v>
      </c>
      <c r="N119" s="70">
        <f>Armstrong!BN127+'Bearskin Lake'!BN127+Biscotasing!BN127+'Deer Lake'!BN127+'Fort Severn'!BN127+'Gull Bay'!BN127+Hillsport!BN127+Kasabonika!BN127+Kingfisher!BN127+Lansdowne!BN127+'Marten Falls'!BN127+Oba!BN127+Sachigo!BN127+'Sandy Lake'!BN127+Sultan!BN127+Wapekeka!BN127+Weagamow!BN127+Webequie!BN127+'Cat Lake'!BN127+Pikangikum!BN127+'Big Trout Lake'!BN127+'Poplar Hill'!BN127</f>
        <v>0</v>
      </c>
      <c r="O119" s="70">
        <f>Armstrong!BO127+'Bearskin Lake'!BO127+Biscotasing!BO127+'Deer Lake'!BO127+'Fort Severn'!BO127+'Gull Bay'!BO127+Hillsport!BO127+Kasabonika!BO127+Kingfisher!BO127+Lansdowne!BO127+'Marten Falls'!BO127+Oba!BO127+Sachigo!BO127+'Sandy Lake'!BO127+Sultan!BO127+Wapekeka!BO127+Weagamow!BO127+Webequie!BO127+'Cat Lake'!BO127+Pikangikum!BO127+'Big Trout Lake'!BO127+'Poplar Hill'!BO127</f>
        <v>889825</v>
      </c>
    </row>
    <row r="120" spans="1:23">
      <c r="A120" s="495" t="s">
        <v>89</v>
      </c>
      <c r="B120" s="146"/>
      <c r="C120" s="124"/>
      <c r="D120" s="124"/>
      <c r="E120" s="71">
        <f>Armstrong!BE128+'Bearskin Lake'!BE128+Biscotasing!BE128+'Deer Lake'!BE128+'Fort Severn'!BE128+'Gull Bay'!BE128+Hillsport!BE128+Kasabonika!BE128+Kingfisher!BE128+Lansdowne!BE128+'Marten Falls'!BE128+Oba!BE128+Sachigo!BE128+'Sandy Lake'!BE128+Sultan!BE128+Wapekeka!BE128+Weagamow!BE128+Webequie!BE128+'Cat Lake'!BE128+Pikangikum!BE128+'Big Trout Lake'!BE128+'Poplar Hill'!BE128</f>
        <v>-758316</v>
      </c>
      <c r="F120" s="71">
        <f>Armstrong!BF128+'Bearskin Lake'!BF128+Biscotasing!BF128+'Deer Lake'!BF128+'Fort Severn'!BF128+'Gull Bay'!BF128+Hillsport!BF128+Kasabonika!BF128+Kingfisher!BF128+Lansdowne!BF128+'Marten Falls'!BF128+Oba!BF128+Sachigo!BF128+'Sandy Lake'!BF128+Sultan!BF128+Wapekeka!BF128+Weagamow!BF128+Webequie!BF128+'Cat Lake'!BF128+Pikangikum!BF128+'Big Trout Lake'!BF128+'Poplar Hill'!BF128</f>
        <v>-669533</v>
      </c>
      <c r="G120" s="71">
        <f>Armstrong!BG128+'Bearskin Lake'!BG128+Biscotasing!BG128+'Deer Lake'!BG128+'Fort Severn'!BG128+'Gull Bay'!BG128+Hillsport!BG128+Kasabonika!BG128+Kingfisher!BG128+Lansdowne!BG128+'Marten Falls'!BG128+Oba!BG128+Sachigo!BG128+'Sandy Lake'!BG128+Sultan!BG128+Wapekeka!BG128+Weagamow!BG128+Webequie!BG128+'Cat Lake'!BG128+Pikangikum!BG128+'Big Trout Lake'!BG128+'Poplar Hill'!BG128</f>
        <v>-514984</v>
      </c>
      <c r="H120" s="71">
        <f>Armstrong!BH128+'Bearskin Lake'!BH128+Biscotasing!BH128+'Deer Lake'!BH128+'Fort Severn'!BH128+'Gull Bay'!BH128+Hillsport!BH128+Kasabonika!BH128+Kingfisher!BH128+Lansdowne!BH128+'Marten Falls'!BH128+Oba!BH128+Sachigo!BH128+'Sandy Lake'!BH128+Sultan!BH128+Wapekeka!BH128+Weagamow!BH128+Webequie!BH128+'Cat Lake'!BH128+Pikangikum!BH128+'Big Trout Lake'!BH128+'Poplar Hill'!BH128</f>
        <v>-776536</v>
      </c>
      <c r="I120" s="71">
        <f>Armstrong!BI128+'Bearskin Lake'!BI128+Biscotasing!BI128+'Deer Lake'!BI128+'Fort Severn'!BI128+'Gull Bay'!BI128+Hillsport!BI128+Kasabonika!BI128+Kingfisher!BI128+Lansdowne!BI128+'Marten Falls'!BI128+Oba!BI128+Sachigo!BI128+'Sandy Lake'!BI128+Sultan!BI128+Wapekeka!BI128+Weagamow!BI128+Webequie!BI128+'Cat Lake'!BI128+Pikangikum!BI128+'Big Trout Lake'!BI128+'Poplar Hill'!BI128</f>
        <v>-825248</v>
      </c>
      <c r="J120" s="71">
        <f>Armstrong!BJ128+'Bearskin Lake'!BJ128+Biscotasing!BJ128+'Deer Lake'!BJ128+'Fort Severn'!BJ128+'Gull Bay'!BJ128+Hillsport!BJ128+Kasabonika!BJ128+Kingfisher!BJ128+Lansdowne!BJ128+'Marten Falls'!BJ128+Oba!BJ128+Sachigo!BJ128+'Sandy Lake'!BJ128+Sultan!BJ128+Wapekeka!BJ128+Weagamow!BJ128+Webequie!BJ128+'Cat Lake'!BJ128+Pikangikum!BJ128+'Big Trout Lake'!BJ128+'Poplar Hill'!BJ128</f>
        <v>-876594</v>
      </c>
      <c r="K120" s="71">
        <f>Armstrong!BK128+'Bearskin Lake'!BK128+Biscotasing!BK128+'Deer Lake'!BK128+'Fort Severn'!BK128+'Gull Bay'!BK128+Hillsport!BK128+Kasabonika!BK128+Kingfisher!BK128+Lansdowne!BK128+'Marten Falls'!BK128+Oba!BK128+Sachigo!BK128+'Sandy Lake'!BK128+Sultan!BK128+Wapekeka!BK128+Weagamow!BK128+Webequie!BK128+'Cat Lake'!BK128+Pikangikum!BK128+'Big Trout Lake'!BK128+'Poplar Hill'!BK128</f>
        <v>-854334</v>
      </c>
      <c r="L120" s="71">
        <f>Armstrong!BL128+'Bearskin Lake'!BL128+Biscotasing!BL128+'Deer Lake'!BL128+'Fort Severn'!BL128+'Gull Bay'!BL128+Hillsport!BL128+Kasabonika!BL128+Kingfisher!BL128+Lansdowne!BL128+'Marten Falls'!BL128+Oba!BL128+Sachigo!BL128+'Sandy Lake'!BL128+Sultan!BL128+Wapekeka!BL128+Weagamow!BL128+Webequie!BL128+'Cat Lake'!BL128+Pikangikum!BL128+'Big Trout Lake'!BL128+'Poplar Hill'!BL128</f>
        <v>-994411</v>
      </c>
      <c r="M120" s="71">
        <f>Armstrong!BM128+'Bearskin Lake'!BM128+Biscotasing!BM128+'Deer Lake'!BM128+'Fort Severn'!BM128+'Gull Bay'!BM128+Hillsport!BM128+Kasabonika!BM128+Kingfisher!BM128+Lansdowne!BM128+'Marten Falls'!BM128+Oba!BM128+Sachigo!BM128+'Sandy Lake'!BM128+Sultan!BM128+Wapekeka!BM128+Weagamow!BM128+Webequie!BM128+'Cat Lake'!BM128+Pikangikum!BM128+'Big Trout Lake'!BM128+'Poplar Hill'!BM128</f>
        <v>-1161137</v>
      </c>
      <c r="N120" s="70">
        <f>Armstrong!BN128+'Bearskin Lake'!BN128+Biscotasing!BN128+'Deer Lake'!BN128+'Fort Severn'!BN128+'Gull Bay'!BN128+Hillsport!BN128+Kasabonika!BN128+Kingfisher!BN128+Lansdowne!BN128+'Marten Falls'!BN128+Oba!BN128+Sachigo!BN128+'Sandy Lake'!BN128+Sultan!BN128+Wapekeka!BN128+Weagamow!BN128+Webequie!BN128+'Cat Lake'!BN128+Pikangikum!BN128+'Big Trout Lake'!BN128+'Poplar Hill'!BN128</f>
        <v>0</v>
      </c>
      <c r="O120" s="70">
        <f>Armstrong!BO128+'Bearskin Lake'!BO128+Biscotasing!BO128+'Deer Lake'!BO128+'Fort Severn'!BO128+'Gull Bay'!BO128+Hillsport!BO128+Kasabonika!BO128+Kingfisher!BO128+Lansdowne!BO128+'Marten Falls'!BO128+Oba!BO128+Sachigo!BO128+'Sandy Lake'!BO128+Sultan!BO128+Wapekeka!BO128+Weagamow!BO128+Webequie!BO128+'Cat Lake'!BO128+Pikangikum!BO128+'Big Trout Lake'!BO128+'Poplar Hill'!BO128</f>
        <v>-1507955</v>
      </c>
    </row>
    <row r="121" spans="1:23">
      <c r="A121" s="495" t="s">
        <v>90</v>
      </c>
      <c r="B121" s="146"/>
      <c r="C121" s="124"/>
      <c r="D121" s="124"/>
      <c r="E121" s="71">
        <f>Armstrong!BE129+'Bearskin Lake'!BE129+Biscotasing!BE129+'Deer Lake'!BE129+'Fort Severn'!BE129+'Gull Bay'!BE129+Hillsport!BE129+Kasabonika!BE129+Kingfisher!BE129+Lansdowne!BE129+'Marten Falls'!BE129+Oba!BE129+Sachigo!BE129+'Sandy Lake'!BE129+Sultan!BE129+Wapekeka!BE129+Weagamow!BE129+Webequie!BE129+'Cat Lake'!BE129+Pikangikum!BE129+'Big Trout Lake'!BE129+'Poplar Hill'!BE129</f>
        <v>-267058</v>
      </c>
      <c r="F121" s="71">
        <f>Armstrong!BF129+'Bearskin Lake'!BF129+Biscotasing!BF129+'Deer Lake'!BF129+'Fort Severn'!BF129+'Gull Bay'!BF129+Hillsport!BF129+Kasabonika!BF129+Kingfisher!BF129+Lansdowne!BF129+'Marten Falls'!BF129+Oba!BF129+Sachigo!BF129+'Sandy Lake'!BF129+Sultan!BF129+Wapekeka!BF129+Weagamow!BF129+Webequie!BF129+'Cat Lake'!BF129+Pikangikum!BF129+'Big Trout Lake'!BF129+'Poplar Hill'!BF129</f>
        <v>-232339</v>
      </c>
      <c r="G121" s="71">
        <f>Armstrong!BG129+'Bearskin Lake'!BG129+Biscotasing!BG129+'Deer Lake'!BG129+'Fort Severn'!BG129+'Gull Bay'!BG129+Hillsport!BG129+Kasabonika!BG129+Kingfisher!BG129+Lansdowne!BG129+'Marten Falls'!BG129+Oba!BG129+Sachigo!BG129+'Sandy Lake'!BG129+Sultan!BG129+Wapekeka!BG129+Weagamow!BG129+Webequie!BG129+'Cat Lake'!BG129+Pikangikum!BG129+'Big Trout Lake'!BG129+'Poplar Hill'!BG129</f>
        <v>-205041</v>
      </c>
      <c r="H121" s="71">
        <f>Armstrong!BH129+'Bearskin Lake'!BH129+Biscotasing!BH129+'Deer Lake'!BH129+'Fort Severn'!BH129+'Gull Bay'!BH129+Hillsport!BH129+Kasabonika!BH129+Kingfisher!BH129+Lansdowne!BH129+'Marten Falls'!BH129+Oba!BH129+Sachigo!BH129+'Sandy Lake'!BH129+Sultan!BH129+Wapekeka!BH129+Weagamow!BH129+Webequie!BH129+'Cat Lake'!BH129+Pikangikum!BH129+'Big Trout Lake'!BH129+'Poplar Hill'!BH129</f>
        <v>-171987</v>
      </c>
      <c r="I121" s="71">
        <f>Armstrong!BI129+'Bearskin Lake'!BI129+Biscotasing!BI129+'Deer Lake'!BI129+'Fort Severn'!BI129+'Gull Bay'!BI129+Hillsport!BI129+Kasabonika!BI129+Kingfisher!BI129+Lansdowne!BI129+'Marten Falls'!BI129+Oba!BI129+Sachigo!BI129+'Sandy Lake'!BI129+Sultan!BI129+Wapekeka!BI129+Weagamow!BI129+Webequie!BI129+'Cat Lake'!BI129+Pikangikum!BI129+'Big Trout Lake'!BI129+'Poplar Hill'!BI129</f>
        <v>-187084</v>
      </c>
      <c r="J121" s="71">
        <f>Armstrong!BJ129+'Bearskin Lake'!BJ129+Biscotasing!BJ129+'Deer Lake'!BJ129+'Fort Severn'!BJ129+'Gull Bay'!BJ129+Hillsport!BJ129+Kasabonika!BJ129+Kingfisher!BJ129+Lansdowne!BJ129+'Marten Falls'!BJ129+Oba!BJ129+Sachigo!BJ129+'Sandy Lake'!BJ129+Sultan!BJ129+Wapekeka!BJ129+Weagamow!BJ129+Webequie!BJ129+'Cat Lake'!BJ129+Pikangikum!BJ129+'Big Trout Lake'!BJ129+'Poplar Hill'!BJ129</f>
        <v>-309324</v>
      </c>
      <c r="K121" s="71">
        <f>Armstrong!BK129+'Bearskin Lake'!BK129+Biscotasing!BK129+'Deer Lake'!BK129+'Fort Severn'!BK129+'Gull Bay'!BK129+Hillsport!BK129+Kasabonika!BK129+Kingfisher!BK129+Lansdowne!BK129+'Marten Falls'!BK129+Oba!BK129+Sachigo!BK129+'Sandy Lake'!BK129+Sultan!BK129+Wapekeka!BK129+Weagamow!BK129+Webequie!BK129+'Cat Lake'!BK129+Pikangikum!BK129+'Big Trout Lake'!BK129+'Poplar Hill'!BK129</f>
        <v>-361228</v>
      </c>
      <c r="L121" s="71">
        <f>Armstrong!BL129+'Bearskin Lake'!BL129+Biscotasing!BL129+'Deer Lake'!BL129+'Fort Severn'!BL129+'Gull Bay'!BL129+Hillsport!BL129+Kasabonika!BL129+Kingfisher!BL129+Lansdowne!BL129+'Marten Falls'!BL129+Oba!BL129+Sachigo!BL129+'Sandy Lake'!BL129+Sultan!BL129+Wapekeka!BL129+Weagamow!BL129+Webequie!BL129+'Cat Lake'!BL129+Pikangikum!BL129+'Big Trout Lake'!BL129+'Poplar Hill'!BL129</f>
        <v>-315305</v>
      </c>
      <c r="M121" s="71">
        <f>Armstrong!BM129+'Bearskin Lake'!BM129+Biscotasing!BM129+'Deer Lake'!BM129+'Fort Severn'!BM129+'Gull Bay'!BM129+Hillsport!BM129+Kasabonika!BM129+Kingfisher!BM129+Lansdowne!BM129+'Marten Falls'!BM129+Oba!BM129+Sachigo!BM129+'Sandy Lake'!BM129+Sultan!BM129+Wapekeka!BM129+Weagamow!BM129+Webequie!BM129+'Cat Lake'!BM129+Pikangikum!BM129+'Big Trout Lake'!BM129+'Poplar Hill'!BM129</f>
        <v>-303456</v>
      </c>
      <c r="N121" s="70">
        <f>Armstrong!BN129+'Bearskin Lake'!BN129+Biscotasing!BN129+'Deer Lake'!BN129+'Fort Severn'!BN129+'Gull Bay'!BN129+Hillsport!BN129+Kasabonika!BN129+Kingfisher!BN129+Lansdowne!BN129+'Marten Falls'!BN129+Oba!BN129+Sachigo!BN129+'Sandy Lake'!BN129+Sultan!BN129+Wapekeka!BN129+Weagamow!BN129+Webequie!BN129+'Cat Lake'!BN129+Pikangikum!BN129+'Big Trout Lake'!BN129+'Poplar Hill'!BN129</f>
        <v>0</v>
      </c>
      <c r="O121" s="70">
        <f>Armstrong!BO129+'Bearskin Lake'!BO129+Biscotasing!BO129+'Deer Lake'!BO129+'Fort Severn'!BO129+'Gull Bay'!BO129+Hillsport!BO129+Kasabonika!BO129+Kingfisher!BO129+Lansdowne!BO129+'Marten Falls'!BO129+Oba!BO129+Sachigo!BO129+'Sandy Lake'!BO129+Sultan!BO129+Wapekeka!BO129+Weagamow!BO129+Webequie!BO129+'Cat Lake'!BO129+Pikangikum!BO129+'Big Trout Lake'!BO129+'Poplar Hill'!BO129</f>
        <v>-451998</v>
      </c>
    </row>
    <row r="122" spans="1:23">
      <c r="A122" s="496" t="s">
        <v>92</v>
      </c>
      <c r="B122" s="146"/>
      <c r="C122" s="124"/>
      <c r="D122" s="124"/>
      <c r="E122" s="71">
        <f>Armstrong!BE130+'Bearskin Lake'!BE130+Biscotasing!BE130+'Deer Lake'!BE130+'Fort Severn'!BE130+'Gull Bay'!BE130+Hillsport!BE130+Kasabonika!BE130+Kingfisher!BE130+Lansdowne!BE130+'Marten Falls'!BE130+Oba!BE130+Sachigo!BE130+'Sandy Lake'!BE130+Sultan!BE130+Wapekeka!BE130+Weagamow!BE130+Webequie!BE130+'Cat Lake'!BE130+Pikangikum!BE130+'Big Trout Lake'!BE130+'Poplar Hill'!BE130</f>
        <v>-123502</v>
      </c>
      <c r="F122" s="71">
        <f>Armstrong!BF130+'Bearskin Lake'!BF130+Biscotasing!BF130+'Deer Lake'!BF130+'Fort Severn'!BF130+'Gull Bay'!BF130+Hillsport!BF130+Kasabonika!BF130+Kingfisher!BF130+Lansdowne!BF130+'Marten Falls'!BF130+Oba!BF130+Sachigo!BF130+'Sandy Lake'!BF130+Sultan!BF130+Wapekeka!BF130+Weagamow!BF130+Webequie!BF130+'Cat Lake'!BF130+Pikangikum!BF130+'Big Trout Lake'!BF130+'Poplar Hill'!BF130</f>
        <v>-181847</v>
      </c>
      <c r="G122" s="71">
        <f>Armstrong!BG130+'Bearskin Lake'!BG130+Biscotasing!BG130+'Deer Lake'!BG130+'Fort Severn'!BG130+'Gull Bay'!BG130+Hillsport!BG130+Kasabonika!BG130+Kingfisher!BG130+Lansdowne!BG130+'Marten Falls'!BG130+Oba!BG130+Sachigo!BG130+'Sandy Lake'!BG130+Sultan!BG130+Wapekeka!BG130+Weagamow!BG130+Webequie!BG130+'Cat Lake'!BG130+Pikangikum!BG130+'Big Trout Lake'!BG130+'Poplar Hill'!BG130</f>
        <v>-175806</v>
      </c>
      <c r="H122" s="71">
        <f>Armstrong!BH130+'Bearskin Lake'!BH130+Biscotasing!BH130+'Deer Lake'!BH130+'Fort Severn'!BH130+'Gull Bay'!BH130+Hillsport!BH130+Kasabonika!BH130+Kingfisher!BH130+Lansdowne!BH130+'Marten Falls'!BH130+Oba!BH130+Sachigo!BH130+'Sandy Lake'!BH130+Sultan!BH130+Wapekeka!BH130+Weagamow!BH130+Webequie!BH130+'Cat Lake'!BH130+Pikangikum!BH130+'Big Trout Lake'!BH130+'Poplar Hill'!BH130</f>
        <v>63809</v>
      </c>
      <c r="I122" s="71">
        <f>Armstrong!BI130+'Bearskin Lake'!BI130+Biscotasing!BI130+'Deer Lake'!BI130+'Fort Severn'!BI130+'Gull Bay'!BI130+Hillsport!BI130+Kasabonika!BI130+Kingfisher!BI130+Lansdowne!BI130+'Marten Falls'!BI130+Oba!BI130+Sachigo!BI130+'Sandy Lake'!BI130+Sultan!BI130+Wapekeka!BI130+Weagamow!BI130+Webequie!BI130+'Cat Lake'!BI130+Pikangikum!BI130+'Big Trout Lake'!BI130+'Poplar Hill'!BI130</f>
        <v>173586</v>
      </c>
      <c r="J122" s="71">
        <f>Armstrong!BJ130+'Bearskin Lake'!BJ130+Biscotasing!BJ130+'Deer Lake'!BJ130+'Fort Severn'!BJ130+'Gull Bay'!BJ130+Hillsport!BJ130+Kasabonika!BJ130+Kingfisher!BJ130+Lansdowne!BJ130+'Marten Falls'!BJ130+Oba!BJ130+Sachigo!BJ130+'Sandy Lake'!BJ130+Sultan!BJ130+Wapekeka!BJ130+Weagamow!BJ130+Webequie!BJ130+'Cat Lake'!BJ130+Pikangikum!BJ130+'Big Trout Lake'!BJ130+'Poplar Hill'!BJ130</f>
        <v>29644</v>
      </c>
      <c r="K122" s="71">
        <f>Armstrong!BK130+'Bearskin Lake'!BK130+Biscotasing!BK130+'Deer Lake'!BK130+'Fort Severn'!BK130+'Gull Bay'!BK130+Hillsport!BK130+Kasabonika!BK130+Kingfisher!BK130+Lansdowne!BK130+'Marten Falls'!BK130+Oba!BK130+Sachigo!BK130+'Sandy Lake'!BK130+Sultan!BK130+Wapekeka!BK130+Weagamow!BK130+Webequie!BK130+'Cat Lake'!BK130+Pikangikum!BK130+'Big Trout Lake'!BK130+'Poplar Hill'!BK130</f>
        <v>94154</v>
      </c>
      <c r="L122" s="71">
        <f>Armstrong!BL130+'Bearskin Lake'!BL130+Biscotasing!BL130+'Deer Lake'!BL130+'Fort Severn'!BL130+'Gull Bay'!BL130+Hillsport!BL130+Kasabonika!BL130+Kingfisher!BL130+Lansdowne!BL130+'Marten Falls'!BL130+Oba!BL130+Sachigo!BL130+'Sandy Lake'!BL130+Sultan!BL130+Wapekeka!BL130+Weagamow!BL130+Webequie!BL130+'Cat Lake'!BL130+Pikangikum!BL130+'Big Trout Lake'!BL130+'Poplar Hill'!BL130</f>
        <v>154877</v>
      </c>
      <c r="M122" s="71">
        <f>Armstrong!BM130+'Bearskin Lake'!BM130+Biscotasing!BM130+'Deer Lake'!BM130+'Fort Severn'!BM130+'Gull Bay'!BM130+Hillsport!BM130+Kasabonika!BM130+Kingfisher!BM130+Lansdowne!BM130+'Marten Falls'!BM130+Oba!BM130+Sachigo!BM130+'Sandy Lake'!BM130+Sultan!BM130+Wapekeka!BM130+Weagamow!BM130+Webequie!BM130+'Cat Lake'!BM130+Pikangikum!BM130+'Big Trout Lake'!BM130+'Poplar Hill'!BM130</f>
        <v>495360</v>
      </c>
      <c r="N122" s="70">
        <f>SUM(B122:M122)</f>
        <v>530275</v>
      </c>
      <c r="O122" s="70">
        <f>Armstrong!BO130+'Bearskin Lake'!BO130+Biscotasing!BO130+'Deer Lake'!BO130+'Fort Severn'!BO130+'Gull Bay'!BO130+Hillsport!BO130+Kasabonika!BO130+Kingfisher!BO130+Lansdowne!BO130+'Marten Falls'!BO130+Oba!BO130+Sachigo!BO130+'Sandy Lake'!BO130+Sultan!BO130+Wapekeka!BO130+Weagamow!BO130+Webequie!BO130+'Cat Lake'!BO130+Pikangikum!BO130+'Big Trout Lake'!BO130+'Poplar Hill'!BO130</f>
        <v>2168438</v>
      </c>
    </row>
    <row r="123" spans="1:23">
      <c r="A123" s="199"/>
      <c r="B123" s="84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10"/>
      <c r="O123" s="110"/>
    </row>
    <row r="124" spans="1:23" ht="15" customHeight="1">
      <c r="A124" s="2" t="s">
        <v>93</v>
      </c>
      <c r="B124" s="123"/>
      <c r="C124" s="109"/>
      <c r="D124" s="109"/>
      <c r="E124" s="108">
        <f>Armstrong!BE132+'Bearskin Lake'!BE132+Biscotasing!BE132+'Deer Lake'!BE132+'Fort Severn'!BE132+'Gull Bay'!BE132+Hillsport!BE132+Kasabonika!BE132+Kingfisher!BE132+Lansdowne!BE132+'Marten Falls'!BE132+Oba!BE132+Sachigo!BE132+'Sandy Lake'!BE132+Sultan!BE132+Wapekeka!BE132+Weagamow!BE132+Webequie!BE132+'Cat Lake'!BE132+Pikangikum!BE132+'Big Trout Lake'!BE132+'Poplar Hill'!BE132+'North Spirit'!BE132+Keewaywin!BE132+'Muskrat Dam'!BE132+Wunnumin!BE132+Wawakepewin!BE132-Pikangikum!BE132</f>
        <v>6344066</v>
      </c>
      <c r="F124" s="108">
        <f>Armstrong!BF132+'Bearskin Lake'!BF132+Biscotasing!BF132+'Deer Lake'!BF132+'Fort Severn'!BF132+'Gull Bay'!BF132+Hillsport!BF132+Kasabonika!BF132+Kingfisher!BF132+Lansdowne!BF132+'Marten Falls'!BF132+Oba!BF132+Sachigo!BF132+'Sandy Lake'!BF132+Sultan!BF132+Wapekeka!BF132+Weagamow!BF132+Webequie!BF132+'Cat Lake'!BF132+Pikangikum!BF132+'Big Trout Lake'!BF132+'Poplar Hill'!BF132+'North Spirit'!BF132+Keewaywin!BF132+'Muskrat Dam'!BF132+Wunnumin!BF132+Wawakepewin!BF132-Pikangikum!BF132</f>
        <v>5465255</v>
      </c>
      <c r="G124" s="108">
        <f>Armstrong!BG132+'Bearskin Lake'!BG132+Biscotasing!BG132+'Deer Lake'!BG132+'Fort Severn'!BG132+'Gull Bay'!BG132+Hillsport!BG132+Kasabonika!BG132+Kingfisher!BG132+Lansdowne!BG132+'Marten Falls'!BG132+Oba!BG132+Sachigo!BG132+'Sandy Lake'!BG132+Sultan!BG132+Wapekeka!BG132+Weagamow!BG132+Webequie!BG132+'Cat Lake'!BG132+Pikangikum!BG132+'Big Trout Lake'!BG132+'Poplar Hill'!BG132+'North Spirit'!BG132+Keewaywin!BG132+'Muskrat Dam'!BG132+Wunnumin!BG132+Wawakepewin!BG132-Pikangikum!BG132</f>
        <v>4685912</v>
      </c>
      <c r="H124" s="108">
        <f>Armstrong!BH132+'Bearskin Lake'!BH132+Biscotasing!BH132+'Deer Lake'!BH132+'Fort Severn'!BH132+'Gull Bay'!BH132+Hillsport!BH132+Kasabonika!BH132+Kingfisher!BH132+Lansdowne!BH132+'Marten Falls'!BH132+Oba!BH132+Sachigo!BH132+'Sandy Lake'!BH132+Sultan!BH132+Wapekeka!BH132+Weagamow!BH132+Webequie!BH132+'Cat Lake'!BH132+Pikangikum!BH132+'Big Trout Lake'!BH132+'Poplar Hill'!BH132+'North Spirit'!BH132+Keewaywin!BH132+'Muskrat Dam'!BH132+Wunnumin!BH132+Wawakepewin!BH132-Pikangikum!BH132</f>
        <v>3885825</v>
      </c>
      <c r="I124" s="108">
        <f>Armstrong!BI132+'Bearskin Lake'!BI132+Biscotasing!BI132+'Deer Lake'!BI132+'Fort Severn'!BI132+'Gull Bay'!BI132+Hillsport!BI132+Kasabonika!BI132+Kingfisher!BI132+Lansdowne!BI132+'Marten Falls'!BI132+Oba!BI132+Sachigo!BI132+'Sandy Lake'!BI132+Sultan!BI132+Wapekeka!BI132+Weagamow!BI132+Webequie!BI132+'Cat Lake'!BI132+Pikangikum!BI132+'Big Trout Lake'!BI132+'Poplar Hill'!BI132+'North Spirit'!BI132+Keewaywin!BI132+'Muskrat Dam'!BI132+Wunnumin!BI132+Wawakepewin!BI132-Pikangikum!BI132</f>
        <v>3703568</v>
      </c>
      <c r="J124" s="108">
        <f>Armstrong!BJ132+'Bearskin Lake'!BJ132+Biscotasing!BJ132+'Deer Lake'!BJ132+'Fort Severn'!BJ132+'Gull Bay'!BJ132+Hillsport!BJ132+Kasabonika!BJ132+Kingfisher!BJ132+Lansdowne!BJ132+'Marten Falls'!BJ132+Oba!BJ132+Sachigo!BJ132+'Sandy Lake'!BJ132+Sultan!BJ132+Wapekeka!BJ132+Weagamow!BJ132+Webequie!BJ132+'Cat Lake'!BJ132+Pikangikum!BJ132+'Big Trout Lake'!BJ132+'Poplar Hill'!BJ132+'North Spirit'!BJ132+Keewaywin!BJ132+'Muskrat Dam'!BJ132+Wunnumin!BJ132+Wawakepewin!BJ132-Pikangikum!BJ132</f>
        <v>4229566</v>
      </c>
      <c r="K124" s="108">
        <f>Armstrong!BK132+'Bearskin Lake'!BK132+Biscotasing!BK132+'Deer Lake'!BK132+'Fort Severn'!BK132+'Gull Bay'!BK132+Hillsport!BK132+Kasabonika!BK132+Kingfisher!BK132+Lansdowne!BK132+'Marten Falls'!BK132+Oba!BK132+Sachigo!BK132+'Sandy Lake'!BK132+Sultan!BK132+Wapekeka!BK132+Weagamow!BK132+Webequie!BK132+'Cat Lake'!BK132+Pikangikum!BK132+'Big Trout Lake'!BK132+'Poplar Hill'!BK132+'North Spirit'!BK132+Keewaywin!BK132+'Muskrat Dam'!BK132+Wunnumin!BK132+Wawakepewin!BK132-Pikangikum!BK132</f>
        <v>5078564</v>
      </c>
      <c r="L124" s="108">
        <f>Armstrong!BL132+'Bearskin Lake'!BL132+Biscotasing!BL132+'Deer Lake'!BL132+'Fort Severn'!BL132+'Gull Bay'!BL132+Hillsport!BL132+Kasabonika!BL132+Kingfisher!BL132+Lansdowne!BL132+'Marten Falls'!BL132+Oba!BL132+Sachigo!BL132+'Sandy Lake'!BL132+Sultan!BL132+Wapekeka!BL132+Weagamow!BL132+Webequie!BL132+'Cat Lake'!BL132+Pikangikum!BL132+'Big Trout Lake'!BL132+'Poplar Hill'!BL132+'North Spirit'!BL132+Keewaywin!BL132+'Muskrat Dam'!BL132+Wunnumin!BL132+Wawakepewin!BL132-Pikangikum!BL132</f>
        <v>5722238</v>
      </c>
      <c r="M124" s="108">
        <f>Armstrong!BM132+'Bearskin Lake'!BM132+Biscotasing!BM132+'Deer Lake'!BM132+'Fort Severn'!BM132+'Gull Bay'!BM132+Hillsport!BM132+Kasabonika!BM132+Kingfisher!BM132+Lansdowne!BM132+'Marten Falls'!BM132+Oba!BM132+Sachigo!BM132+'Sandy Lake'!BM132+Sultan!BM132+Wapekeka!BM132+Weagamow!BM132+Webequie!BM132+'Cat Lake'!BM132+Pikangikum!BM132+'Big Trout Lake'!BM132+'Poplar Hill'!BM132+'North Spirit'!BM132+Keewaywin!BM132+'Muskrat Dam'!BM132+Wunnumin!BM132+Wawakepewin!BM132-Pikangikum!BM132</f>
        <v>6631482</v>
      </c>
      <c r="N124" s="70">
        <f>Armstrong!BN132+'Bearskin Lake'!BN132+Biscotasing!BN132+'Deer Lake'!BN132+'Fort Severn'!BN132+'Gull Bay'!BN132+Hillsport!BN132+Kasabonika!BN132+Kingfisher!BN132+Lansdowne!BN132+'Marten Falls'!BN132+Oba!BN132+Sachigo!BN132+'Sandy Lake'!BN132+Sultan!BN132+Wapekeka!BN132+Weagamow!BN132+Webequie!BN132+'Cat Lake'!BN132+Pikangikum!BN132+'Big Trout Lake'!BN132+'Poplar Hill'!BN132+'North Spirit'!BN132+Keewaywin!BN132+'Muskrat Dam'!BN132+Wunnumin!BN132+Wawakepewin!BN132-Pikangikum!BN132</f>
        <v>68958924</v>
      </c>
      <c r="O124" s="70">
        <f>Armstrong!BO132+'Bearskin Lake'!BO132+Biscotasing!BO132+'Deer Lake'!BO132+'Fort Severn'!BO132+'Gull Bay'!BO132+Hillsport!BO132+Kasabonika!BO132+Kingfisher!BO132+Lansdowne!BO132+'Marten Falls'!BO132+Oba!BO132+Sachigo!BO132+'Sandy Lake'!BO132+Sultan!BO132+Wapekeka!BO132+Weagamow!BO132+Webequie!BO132+'Cat Lake'!BO132+Pikangikum!BO132+'Big Trout Lake'!BO132+'Poplar Hill'!BO132+'North Spirit'!BO132+Keewaywin!BO132+'Muskrat Dam'!BO132+Wunnumin!BO132+Wawakepewin!BO132</f>
        <v>51351796</v>
      </c>
      <c r="Q124" s="202"/>
      <c r="R124" s="202"/>
      <c r="S124" s="202"/>
      <c r="T124" s="202"/>
      <c r="U124" s="202"/>
      <c r="V124" s="202"/>
      <c r="W124" s="202"/>
    </row>
    <row r="125" spans="1:23">
      <c r="B125" s="123"/>
      <c r="C125" s="109"/>
      <c r="D125" s="109"/>
      <c r="E125" s="108"/>
      <c r="F125" s="108"/>
      <c r="G125" s="108"/>
      <c r="H125" s="108"/>
      <c r="I125" s="108"/>
      <c r="J125" s="108"/>
      <c r="K125" s="108"/>
      <c r="L125" s="108"/>
      <c r="M125" s="108"/>
      <c r="N125" s="110"/>
      <c r="O125" s="110"/>
    </row>
    <row r="126" spans="1:23">
      <c r="A126" s="199"/>
      <c r="B126" s="497"/>
      <c r="C126" s="522"/>
      <c r="D126" s="522"/>
      <c r="E126" s="241"/>
      <c r="F126" s="241"/>
      <c r="G126" s="241"/>
      <c r="H126" s="241"/>
      <c r="I126" s="241"/>
      <c r="J126" s="241"/>
      <c r="K126" s="241"/>
      <c r="L126" s="241"/>
      <c r="M126" s="241"/>
      <c r="N126" s="487"/>
      <c r="O126" s="487"/>
    </row>
    <row r="127" spans="1:23">
      <c r="A127" s="199"/>
      <c r="B127" s="123"/>
      <c r="C127" s="109"/>
      <c r="D127" s="109"/>
      <c r="E127" s="108"/>
      <c r="F127" s="108"/>
      <c r="G127" s="108"/>
      <c r="H127" s="108"/>
      <c r="I127" s="108"/>
      <c r="J127" s="108"/>
      <c r="K127" s="108"/>
      <c r="L127" s="108"/>
      <c r="M127" s="108"/>
      <c r="N127" s="110"/>
      <c r="O127" s="110"/>
    </row>
    <row r="128" spans="1:23" ht="15" thickBot="1">
      <c r="A128" s="198" t="s">
        <v>2</v>
      </c>
      <c r="B128" s="348"/>
      <c r="C128" s="139"/>
      <c r="D128" s="139"/>
      <c r="E128" s="488"/>
      <c r="F128" s="488"/>
      <c r="G128" s="488"/>
      <c r="H128" s="488"/>
      <c r="I128" s="488"/>
      <c r="J128" s="488"/>
      <c r="K128" s="488"/>
      <c r="L128" s="488"/>
      <c r="M128" s="488"/>
      <c r="N128" s="489"/>
      <c r="O128" s="489"/>
    </row>
    <row r="129" spans="1:15" s="1" customFormat="1" ht="15.75" customHeight="1">
      <c r="A129" s="198" t="s">
        <v>94</v>
      </c>
      <c r="B129" s="165"/>
      <c r="C129" s="68"/>
      <c r="D129" s="68"/>
      <c r="E129" s="28"/>
      <c r="F129" s="28"/>
      <c r="G129" s="28"/>
      <c r="H129" s="28"/>
      <c r="I129" s="28"/>
      <c r="J129" s="28"/>
      <c r="K129" s="28"/>
      <c r="L129" s="28"/>
      <c r="M129" s="28"/>
      <c r="N129" s="62"/>
      <c r="O129" s="62"/>
    </row>
    <row r="130" spans="1:15" s="1" customFormat="1" ht="15" customHeight="1">
      <c r="A130" s="2" t="s">
        <v>74</v>
      </c>
      <c r="B130" s="52">
        <f t="shared" ref="B130:M130" si="22">B112+B114</f>
        <v>0</v>
      </c>
      <c r="C130" s="39">
        <f t="shared" si="22"/>
        <v>0</v>
      </c>
      <c r="D130" s="39">
        <f t="shared" si="22"/>
        <v>0</v>
      </c>
      <c r="E130" s="9">
        <f t="shared" si="22"/>
        <v>-452807</v>
      </c>
      <c r="F130" s="9">
        <f t="shared" si="22"/>
        <v>-449115</v>
      </c>
      <c r="G130" s="9">
        <f t="shared" si="22"/>
        <v>-346277</v>
      </c>
      <c r="H130" s="9">
        <f t="shared" si="22"/>
        <v>-16080</v>
      </c>
      <c r="I130" s="9">
        <f t="shared" si="22"/>
        <v>-183661</v>
      </c>
      <c r="J130" s="9">
        <f t="shared" si="22"/>
        <v>475388</v>
      </c>
      <c r="K130" s="9">
        <f t="shared" si="22"/>
        <v>421531</v>
      </c>
      <c r="L130" s="9">
        <f t="shared" si="22"/>
        <v>244602</v>
      </c>
      <c r="M130" s="9">
        <f t="shared" si="22"/>
        <v>627781</v>
      </c>
      <c r="N130" s="58">
        <f>SUM(B130:M130)</f>
        <v>321362</v>
      </c>
      <c r="O130" s="58">
        <f t="shared" ref="O130" si="23">O112+O114</f>
        <v>-1315302</v>
      </c>
    </row>
    <row r="131" spans="1:15" s="1" customFormat="1" ht="15" customHeight="1">
      <c r="A131" s="2" t="s">
        <v>75</v>
      </c>
      <c r="B131" s="52"/>
      <c r="C131" s="39"/>
      <c r="D131" s="39"/>
      <c r="E131" s="9"/>
      <c r="F131" s="9"/>
      <c r="G131" s="9"/>
      <c r="H131" s="9"/>
      <c r="I131" s="9"/>
      <c r="J131" s="9"/>
      <c r="K131" s="9"/>
      <c r="L131" s="9"/>
      <c r="M131" s="9"/>
      <c r="N131" s="58">
        <f t="shared" ref="N131:N134" si="24">SUM(B131:M131)</f>
        <v>0</v>
      </c>
      <c r="O131" s="58"/>
    </row>
    <row r="132" spans="1:15" s="1" customFormat="1" ht="15" customHeight="1">
      <c r="A132" s="2" t="s">
        <v>76</v>
      </c>
      <c r="B132" s="52">
        <f t="shared" ref="B132:M132" si="25">B113+B115</f>
        <v>0</v>
      </c>
      <c r="C132" s="39">
        <f t="shared" si="25"/>
        <v>0</v>
      </c>
      <c r="D132" s="39">
        <f t="shared" si="25"/>
        <v>0</v>
      </c>
      <c r="E132" s="9">
        <f t="shared" si="25"/>
        <v>-67395</v>
      </c>
      <c r="F132" s="9">
        <f t="shared" si="25"/>
        <v>-82480</v>
      </c>
      <c r="G132" s="9">
        <f t="shared" si="25"/>
        <v>-58608</v>
      </c>
      <c r="H132" s="9">
        <f t="shared" si="25"/>
        <v>-25455</v>
      </c>
      <c r="I132" s="9">
        <f t="shared" si="25"/>
        <v>37541</v>
      </c>
      <c r="J132" s="9">
        <f t="shared" si="25"/>
        <v>49974</v>
      </c>
      <c r="K132" s="9">
        <f t="shared" si="25"/>
        <v>99699</v>
      </c>
      <c r="L132" s="9">
        <f t="shared" si="25"/>
        <v>79178</v>
      </c>
      <c r="M132" s="9">
        <f t="shared" si="25"/>
        <v>109236</v>
      </c>
      <c r="N132" s="58">
        <f t="shared" si="24"/>
        <v>141690</v>
      </c>
      <c r="O132" s="58">
        <f t="shared" ref="O132" si="26">O113+O115</f>
        <v>-321437</v>
      </c>
    </row>
    <row r="133" spans="1:15" s="1" customFormat="1" ht="15" customHeight="1">
      <c r="A133" s="76" t="s">
        <v>95</v>
      </c>
      <c r="B133" s="52">
        <f t="shared" ref="B133:M133" si="27">B118+B120</f>
        <v>0</v>
      </c>
      <c r="C133" s="39">
        <f t="shared" si="27"/>
        <v>0</v>
      </c>
      <c r="D133" s="39">
        <f t="shared" si="27"/>
        <v>0</v>
      </c>
      <c r="E133" s="9">
        <f t="shared" si="27"/>
        <v>-88783</v>
      </c>
      <c r="F133" s="9">
        <f t="shared" si="27"/>
        <v>-154549</v>
      </c>
      <c r="G133" s="9">
        <f>G118+G120</f>
        <v>-76817</v>
      </c>
      <c r="H133" s="9">
        <f t="shared" si="27"/>
        <v>48712</v>
      </c>
      <c r="I133" s="9">
        <f t="shared" si="27"/>
        <v>51346</v>
      </c>
      <c r="J133" s="9">
        <f t="shared" si="27"/>
        <v>-22260</v>
      </c>
      <c r="K133" s="9">
        <f t="shared" si="27"/>
        <v>140077</v>
      </c>
      <c r="L133" s="9">
        <f t="shared" si="27"/>
        <v>166726</v>
      </c>
      <c r="M133" s="9">
        <f t="shared" si="27"/>
        <v>346818</v>
      </c>
      <c r="N133" s="58">
        <f t="shared" si="24"/>
        <v>411270</v>
      </c>
      <c r="O133" s="58">
        <f t="shared" ref="O133" si="28">O118+O120</f>
        <v>1730611</v>
      </c>
    </row>
    <row r="134" spans="1:15" s="1" customFormat="1" ht="15" customHeight="1">
      <c r="A134" s="2" t="s">
        <v>80</v>
      </c>
      <c r="B134" s="65">
        <f>B119+B121</f>
        <v>0</v>
      </c>
      <c r="C134" s="63">
        <f>C119+C121</f>
        <v>0</v>
      </c>
      <c r="D134" s="63">
        <f>D119+D121</f>
        <v>0</v>
      </c>
      <c r="E134" s="30">
        <f>E119+E121</f>
        <v>-34719</v>
      </c>
      <c r="F134" s="30">
        <f>F119+F121</f>
        <v>-27298</v>
      </c>
      <c r="G134" s="30">
        <f>G119+G121</f>
        <v>-98989</v>
      </c>
      <c r="H134" s="30">
        <f t="shared" ref="H134:M134" si="29">H119+H121</f>
        <v>15097</v>
      </c>
      <c r="I134" s="30">
        <f t="shared" si="29"/>
        <v>122240</v>
      </c>
      <c r="J134" s="30">
        <f t="shared" si="29"/>
        <v>51904</v>
      </c>
      <c r="K134" s="30">
        <f t="shared" si="29"/>
        <v>-45923</v>
      </c>
      <c r="L134" s="30">
        <f t="shared" si="29"/>
        <v>-11849</v>
      </c>
      <c r="M134" s="30">
        <f t="shared" si="29"/>
        <v>148542</v>
      </c>
      <c r="N134" s="486">
        <f t="shared" si="24"/>
        <v>119005</v>
      </c>
      <c r="O134" s="58">
        <f>O119+O121</f>
        <v>437827</v>
      </c>
    </row>
    <row r="135" spans="1:15" s="1" customFormat="1" ht="15.75" customHeight="1" thickBot="1">
      <c r="A135" s="193"/>
      <c r="B135" s="53">
        <f>SUM(B130:B134)</f>
        <v>0</v>
      </c>
      <c r="C135" s="64">
        <f t="shared" ref="C135:M135" si="30">SUM(C130:C134)</f>
        <v>0</v>
      </c>
      <c r="D135" s="64">
        <f t="shared" si="30"/>
        <v>0</v>
      </c>
      <c r="E135" s="11">
        <f t="shared" si="30"/>
        <v>-643704</v>
      </c>
      <c r="F135" s="11">
        <f t="shared" si="30"/>
        <v>-713442</v>
      </c>
      <c r="G135" s="11">
        <f t="shared" si="30"/>
        <v>-580691</v>
      </c>
      <c r="H135" s="11">
        <f t="shared" si="30"/>
        <v>22274</v>
      </c>
      <c r="I135" s="11">
        <f t="shared" si="30"/>
        <v>27466</v>
      </c>
      <c r="J135" s="11">
        <f t="shared" si="30"/>
        <v>555006</v>
      </c>
      <c r="K135" s="11">
        <f t="shared" si="30"/>
        <v>615384</v>
      </c>
      <c r="L135" s="11">
        <f t="shared" si="30"/>
        <v>478657</v>
      </c>
      <c r="M135" s="257">
        <f t="shared" si="30"/>
        <v>1232377</v>
      </c>
      <c r="N135" s="269">
        <f>SUM(N130:N134)</f>
        <v>993327</v>
      </c>
      <c r="O135" s="275">
        <f t="shared" ref="O135" si="31">SUM(O130:O134)</f>
        <v>531699</v>
      </c>
    </row>
    <row r="136" spans="1:15" ht="15.75" customHeight="1" thickTop="1">
      <c r="A136" s="199" t="s">
        <v>2</v>
      </c>
      <c r="B136" s="8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58"/>
      <c r="O136" s="58"/>
    </row>
    <row r="137" spans="1:15">
      <c r="B137" s="498"/>
      <c r="C137" s="2"/>
      <c r="D137" s="2"/>
      <c r="E137" s="75"/>
      <c r="F137" s="75"/>
      <c r="G137" s="75"/>
      <c r="H137" s="75"/>
      <c r="I137" s="75"/>
      <c r="J137" s="75"/>
      <c r="K137" s="75"/>
      <c r="L137" s="75"/>
      <c r="M137" s="75"/>
      <c r="N137" s="23"/>
      <c r="O137" s="23"/>
    </row>
    <row r="138" spans="1:15" s="1" customFormat="1" ht="15.75" customHeight="1" thickBot="1">
      <c r="A138" s="193" t="s">
        <v>96</v>
      </c>
      <c r="B138" s="53">
        <f t="shared" ref="B138:M138" si="32">B135+B109</f>
        <v>0</v>
      </c>
      <c r="C138" s="64">
        <f t="shared" si="32"/>
        <v>0</v>
      </c>
      <c r="D138" s="64">
        <f t="shared" si="32"/>
        <v>0</v>
      </c>
      <c r="E138" s="11">
        <f t="shared" si="32"/>
        <v>7245938</v>
      </c>
      <c r="F138" s="11">
        <f t="shared" si="32"/>
        <v>6185280</v>
      </c>
      <c r="G138" s="11">
        <f t="shared" si="32"/>
        <v>5230131</v>
      </c>
      <c r="H138" s="11">
        <f t="shared" si="32"/>
        <v>5056322</v>
      </c>
      <c r="I138" s="11">
        <f t="shared" si="32"/>
        <v>5045489</v>
      </c>
      <c r="J138" s="11">
        <f t="shared" si="32"/>
        <v>5604076</v>
      </c>
      <c r="K138" s="11">
        <f t="shared" si="32"/>
        <v>6556953</v>
      </c>
      <c r="L138" s="11">
        <f t="shared" si="32"/>
        <v>7396209</v>
      </c>
      <c r="M138" s="11">
        <f t="shared" si="32"/>
        <v>8806522</v>
      </c>
      <c r="N138" s="250">
        <f>SUM(B138:M138)</f>
        <v>57126920</v>
      </c>
      <c r="O138" s="490">
        <f>O135+O109</f>
        <v>97424814</v>
      </c>
    </row>
    <row r="139" spans="1:15" ht="15" thickTop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2:1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2:1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2:1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2:1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2:1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</sheetData>
  <mergeCells count="2">
    <mergeCell ref="B3:N3"/>
    <mergeCell ref="B4:N4"/>
  </mergeCells>
  <pageMargins left="0.7" right="0.7" top="0.75" bottom="0.75" header="0.3" footer="0.3"/>
  <pageSetup paperSize="5" scale="69" fitToHeight="2" orientation="landscape" r:id="rId1"/>
  <rowBreaks count="3" manualBreakCount="3">
    <brk id="39" max="13" man="1"/>
    <brk id="67" max="13" man="1"/>
    <brk id="109" max="1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Q133"/>
  <sheetViews>
    <sheetView zoomScale="80" zoomScaleNormal="80" workbookViewId="0">
      <selection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10.140625" hidden="1" customWidth="1" outlineLevel="1"/>
    <col min="35" max="35" width="13.1406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9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9.7109375" style="3" bestFit="1" customWidth="1" collapsed="1"/>
    <col min="67" max="67" width="16.7109375" customWidth="1"/>
    <col min="69" max="69" width="11.5703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234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18" t="s">
        <v>36</v>
      </c>
      <c r="AP5" s="519" t="s">
        <v>37</v>
      </c>
      <c r="AQ5" s="519" t="s">
        <v>38</v>
      </c>
      <c r="AR5" s="519" t="s">
        <v>39</v>
      </c>
      <c r="AS5" s="519" t="s">
        <v>40</v>
      </c>
      <c r="AT5" s="519" t="s">
        <v>41</v>
      </c>
      <c r="AU5" s="519" t="s">
        <v>42</v>
      </c>
      <c r="AV5" s="519" t="s">
        <v>43</v>
      </c>
      <c r="AW5" s="519" t="s">
        <v>44</v>
      </c>
      <c r="AX5" s="519" t="s">
        <v>45</v>
      </c>
      <c r="AY5" s="519" t="s">
        <v>46</v>
      </c>
      <c r="AZ5" s="519" t="s">
        <v>47</v>
      </c>
      <c r="BA5" s="531" t="s">
        <v>17</v>
      </c>
      <c r="BB5" s="520"/>
      <c r="BC5" s="520"/>
      <c r="BD5" s="520"/>
      <c r="BE5" s="520"/>
      <c r="BF5" s="520"/>
      <c r="BG5" s="520"/>
      <c r="BH5" s="520"/>
      <c r="BI5" s="520"/>
      <c r="BJ5" s="520"/>
      <c r="BK5" s="520"/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00"/>
      <c r="AP7" s="87"/>
      <c r="AQ7" s="87"/>
      <c r="AR7" s="87"/>
      <c r="AS7" s="87"/>
      <c r="AT7" s="39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>
        <f>IF('kWh_Streetlight Data'!C106=0,"",'kWh_Streetlight Data'!C106)</f>
        <v>1815.3454545454545</v>
      </c>
      <c r="C12" s="108">
        <f>IF('kWh_Streetlight Data'!D106=0,"",'kWh_Streetlight Data'!D106)</f>
        <v>1713.4545454545455</v>
      </c>
      <c r="D12" s="108">
        <f>IF('kWh_Streetlight Data'!E106=0,"",'kWh_Streetlight Data'!E106)</f>
        <v>1411.9</v>
      </c>
      <c r="E12" s="108">
        <f>IF('kWh_Streetlight Data'!F106=0,"",'kWh_Streetlight Data'!F106)</f>
        <v>1865.0169491525423</v>
      </c>
      <c r="F12" s="108">
        <f>IF('kWh_Streetlight Data'!G106=0,"",'kWh_Streetlight Data'!G106)</f>
        <v>1186.6239316239316</v>
      </c>
      <c r="G12" s="108">
        <f>IF('kWh_Streetlight Data'!H106=0,"",'kWh_Streetlight Data'!H106)</f>
        <v>988.65599999999995</v>
      </c>
      <c r="H12" s="108">
        <f>IF('kWh_Streetlight Data'!I106=0,"",'kWh_Streetlight Data'!I106)</f>
        <v>993.35</v>
      </c>
      <c r="I12" s="108">
        <f>IF('kWh_Streetlight Data'!J106=0,"",'kWh_Streetlight Data'!J106)</f>
        <v>913.81034482758616</v>
      </c>
      <c r="J12" s="108">
        <f>IF('kWh_Streetlight Data'!K106=0,"",'kWh_Streetlight Data'!K106)</f>
        <v>851.43589743589746</v>
      </c>
      <c r="K12" s="108">
        <f>IF('kWh_Streetlight Data'!L106=0,"",'kWh_Streetlight Data'!L106)</f>
        <v>1056.6929824561403</v>
      </c>
      <c r="L12" s="108">
        <f>IF('kWh_Streetlight Data'!M106=0,"",'kWh_Streetlight Data'!M106)</f>
        <v>1209.593220338983</v>
      </c>
      <c r="M12" s="108">
        <f>IF('kWh_Streetlight Data'!N106=0,"",'kWh_Streetlight Data'!N106)</f>
        <v>1316.5517241379309</v>
      </c>
      <c r="N12" s="424">
        <f>IF('kWh_Streetlight Data'!O106=0,"",'kWh_Streetlight Data'!O106)</f>
        <v>1270.0956146657081</v>
      </c>
      <c r="O12" s="84">
        <f>IF('kWh_Streetlight Data'!P106=0,"",'kWh_Streetlight Data'!P106)</f>
        <v>1780.7586206896551</v>
      </c>
      <c r="P12" s="108">
        <f>IF('kWh_Streetlight Data'!Q106=0,"",'kWh_Streetlight Data'!Q106)</f>
        <v>1502.6637931034484</v>
      </c>
      <c r="Q12" s="108">
        <f>IF('kWh_Streetlight Data'!R106=0,"",'kWh_Streetlight Data'!R106)</f>
        <v>1671.4545454545455</v>
      </c>
      <c r="R12" s="108">
        <f>IF('kWh_Streetlight Data'!S106=0,"",'kWh_Streetlight Data'!S106)</f>
        <v>1498.1379310344828</v>
      </c>
      <c r="S12" s="108">
        <f>IF('kWh_Streetlight Data'!T106=0,"",'kWh_Streetlight Data'!T106)</f>
        <v>1065.6949152542372</v>
      </c>
      <c r="T12" s="108">
        <f>IF('kWh_Streetlight Data'!U106=0,"",'kWh_Streetlight Data'!U106)</f>
        <v>1245.4827586206898</v>
      </c>
      <c r="U12" s="108">
        <f>IF('kWh_Streetlight Data'!V106=0,"",'kWh_Streetlight Data'!V106)</f>
        <v>1101.1440677966102</v>
      </c>
      <c r="V12" s="108">
        <f>IF('kWh_Streetlight Data'!W106=0,"",'kWh_Streetlight Data'!W106)</f>
        <v>815.66949152542372</v>
      </c>
      <c r="W12" s="108">
        <f>IF('kWh_Streetlight Data'!X106=0,"",'kWh_Streetlight Data'!X106)</f>
        <v>1022.9831932773109</v>
      </c>
      <c r="X12" s="108">
        <f>IF('kWh_Streetlight Data'!Y106=0,"",'kWh_Streetlight Data'!Y106)</f>
        <v>893.71428571428567</v>
      </c>
      <c r="Y12" s="108">
        <f>IF('kWh_Streetlight Data'!Z106=0,"",'kWh_Streetlight Data'!Z106)</f>
        <v>1165.6525423728813</v>
      </c>
      <c r="Z12" s="108">
        <f>IF('kWh_Streetlight Data'!AA106=0,"",'kWh_Streetlight Data'!AA106)</f>
        <v>1385.6166666666666</v>
      </c>
      <c r="AA12" s="424">
        <f>IF('kWh_Streetlight Data'!AB106=0,"",'kWh_Streetlight Data'!AB106)</f>
        <v>1261.6445229681979</v>
      </c>
      <c r="AB12" s="129">
        <f>IF('kWh_Streetlight Data'!AC106=0,"",'kWh_Streetlight Data'!AC106)</f>
        <v>1768.3781512605042</v>
      </c>
      <c r="AC12" s="130">
        <f>IF('kWh_Streetlight Data'!AD106=0,"",'kWh_Streetlight Data'!AD106)</f>
        <v>1627.9663865546217</v>
      </c>
      <c r="AD12" s="130">
        <f>IF('kWh_Streetlight Data'!AE106=0,"",'kWh_Streetlight Data'!AE106)</f>
        <v>1679.873949579832</v>
      </c>
      <c r="AE12" s="130">
        <f>IF('kWh_Streetlight Data'!AF106=0,"",'kWh_Streetlight Data'!AF106)</f>
        <v>1382.3949579831933</v>
      </c>
      <c r="AF12" s="130">
        <f>IF('kWh_Streetlight Data'!AG106=0,"",'kWh_Streetlight Data'!AG106)</f>
        <v>1494.4453781512605</v>
      </c>
      <c r="AG12" s="130">
        <f>IF('kWh_Streetlight Data'!AH106=0,"",'kWh_Streetlight Data'!AH106)</f>
        <v>1214.8907563025209</v>
      </c>
      <c r="AH12" s="130">
        <f>IF('kWh_Streetlight Data'!AI106=0,"",'kWh_Streetlight Data'!AI106)</f>
        <v>1080.7750000000001</v>
      </c>
      <c r="AI12" s="130">
        <f>IF('kWh_Streetlight Data'!AJ106=0,"",'kWh_Streetlight Data'!AJ106)</f>
        <v>1103.0420168067226</v>
      </c>
      <c r="AJ12" s="130">
        <f>IF('kWh_Streetlight Data'!AK106=0,"",'kWh_Streetlight Data'!AK106)</f>
        <v>1050.206611570248</v>
      </c>
      <c r="AK12" s="130">
        <f>IF('kWh_Streetlight Data'!AL106=0,"",'kWh_Streetlight Data'!AL106)</f>
        <v>1131.6500000000001</v>
      </c>
      <c r="AL12" s="130">
        <f>IF('kWh_Streetlight Data'!AM106=0,"",'kWh_Streetlight Data'!AM106)</f>
        <v>1445.8083333333334</v>
      </c>
      <c r="AM12" s="130">
        <f>IF('kWh_Streetlight Data'!AN106=0,"",'kWh_Streetlight Data'!AN106)</f>
        <v>1317.9710144927535</v>
      </c>
      <c r="AN12" s="426">
        <f>IF('kWh_Streetlight Data'!AO106=0,"",'kWh_Streetlight Data'!AO106)</f>
        <v>1356.8808539944903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00"/>
      <c r="AP15" s="87"/>
      <c r="AQ15" s="87"/>
      <c r="AR15" s="87"/>
      <c r="AS15" s="87"/>
      <c r="AT15" s="39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9"/>
      <c r="BJ16" s="39"/>
      <c r="BK16" s="38"/>
      <c r="BL16" s="38"/>
      <c r="BM16" s="38"/>
      <c r="BN16" s="210"/>
      <c r="BO16" s="143"/>
    </row>
    <row r="17" spans="1:69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9"/>
      <c r="BJ17" s="39"/>
      <c r="BK17" s="38"/>
      <c r="BL17" s="38"/>
      <c r="BM17" s="38"/>
      <c r="BN17" s="210"/>
      <c r="BO17" s="143"/>
    </row>
    <row r="18" spans="1:69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9"/>
      <c r="BJ18" s="39"/>
      <c r="BK18" s="38"/>
      <c r="BL18" s="38"/>
      <c r="BM18" s="38"/>
      <c r="BN18" s="210"/>
      <c r="BO18" s="143"/>
    </row>
    <row r="19" spans="1:69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88"/>
      <c r="BQ19" s="202"/>
    </row>
    <row r="20" spans="1:69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9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9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69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69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69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69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9" ht="15" thickTop="1">
      <c r="A27" s="374" t="s">
        <v>54</v>
      </c>
      <c r="B27" s="84" t="str">
        <f>IF('kWh_Streetlight Data'!C107=0,"",'kWh_Streetlight Data'!C107)</f>
        <v/>
      </c>
      <c r="C27" s="108" t="str">
        <f>IF('kWh_Streetlight Data'!D107=0,"",'kWh_Streetlight Data'!D107)</f>
        <v/>
      </c>
      <c r="D27" s="108" t="str">
        <f>IF('kWh_Streetlight Data'!E107=0,"",'kWh_Streetlight Data'!E107)</f>
        <v/>
      </c>
      <c r="E27" s="108" t="str">
        <f>IF('kWh_Streetlight Data'!F107=0,"",'kWh_Streetlight Data'!F107)</f>
        <v/>
      </c>
      <c r="F27" s="108" t="str">
        <f>IF('kWh_Streetlight Data'!G107=0,"",'kWh_Streetlight Data'!G107)</f>
        <v/>
      </c>
      <c r="G27" s="108" t="str">
        <f>IF('kWh_Streetlight Data'!H107=0,"",'kWh_Streetlight Data'!H107)</f>
        <v/>
      </c>
      <c r="H27" s="108" t="str">
        <f>IF('kWh_Streetlight Data'!I107=0,"",'kWh_Streetlight Data'!I107)</f>
        <v/>
      </c>
      <c r="I27" s="108" t="str">
        <f>IF('kWh_Streetlight Data'!J107=0,"",'kWh_Streetlight Data'!J107)</f>
        <v/>
      </c>
      <c r="J27" s="108" t="str">
        <f>IF('kWh_Streetlight Data'!K107=0,"",'kWh_Streetlight Data'!K107)</f>
        <v/>
      </c>
      <c r="K27" s="108" t="str">
        <f>IF('kWh_Streetlight Data'!L107=0,"",'kWh_Streetlight Data'!L107)</f>
        <v/>
      </c>
      <c r="L27" s="108" t="str">
        <f>IF('kWh_Streetlight Data'!M107=0,"",'kWh_Streetlight Data'!M107)</f>
        <v/>
      </c>
      <c r="M27" s="108" t="str">
        <f>IF('kWh_Streetlight Data'!N107=0,"",'kWh_Streetlight Data'!N107)</f>
        <v/>
      </c>
      <c r="N27" s="424" t="str">
        <f>IF('kWh_Streetlight Data'!O107=0,"",'kWh_Streetlight Data'!O107)</f>
        <v/>
      </c>
      <c r="O27" s="84" t="str">
        <f>IF('kWh_Streetlight Data'!P107=0,"",'kWh_Streetlight Data'!P107)</f>
        <v/>
      </c>
      <c r="P27" s="108" t="str">
        <f>IF('kWh_Streetlight Data'!Q107=0,"",'kWh_Streetlight Data'!Q107)</f>
        <v/>
      </c>
      <c r="Q27" s="108" t="str">
        <f>IF('kWh_Streetlight Data'!R107=0,"",'kWh_Streetlight Data'!R107)</f>
        <v/>
      </c>
      <c r="R27" s="108" t="str">
        <f>IF('kWh_Streetlight Data'!S107=0,"",'kWh_Streetlight Data'!S107)</f>
        <v/>
      </c>
      <c r="S27" s="108" t="str">
        <f>IF('kWh_Streetlight Data'!T107=0,"",'kWh_Streetlight Data'!T107)</f>
        <v/>
      </c>
      <c r="T27" s="108" t="str">
        <f>IF('kWh_Streetlight Data'!U107=0,"",'kWh_Streetlight Data'!U107)</f>
        <v/>
      </c>
      <c r="U27" s="108" t="str">
        <f>IF('kWh_Streetlight Data'!V107=0,"",'kWh_Streetlight Data'!V107)</f>
        <v/>
      </c>
      <c r="V27" s="108" t="str">
        <f>IF('kWh_Streetlight Data'!W107=0,"",'kWh_Streetlight Data'!W107)</f>
        <v/>
      </c>
      <c r="W27" s="108" t="str">
        <f>IF('kWh_Streetlight Data'!X107=0,"",'kWh_Streetlight Data'!X107)</f>
        <v/>
      </c>
      <c r="X27" s="108" t="str">
        <f>IF('kWh_Streetlight Data'!Y107=0,"",'kWh_Streetlight Data'!Y107)</f>
        <v/>
      </c>
      <c r="Y27" s="108" t="str">
        <f>IF('kWh_Streetlight Data'!Z107=0,"",'kWh_Streetlight Data'!Z107)</f>
        <v/>
      </c>
      <c r="Z27" s="108" t="str">
        <f>IF('kWh_Streetlight Data'!AA107=0,"",'kWh_Streetlight Data'!AA107)</f>
        <v/>
      </c>
      <c r="AA27" s="424" t="str">
        <f>IF('kWh_Streetlight Data'!AB107=0,"",'kWh_Streetlight Data'!AB107)</f>
        <v/>
      </c>
      <c r="AB27" s="129" t="str">
        <f>IF('kWh_Streetlight Data'!AC107=0,"",'kWh_Streetlight Data'!AC107)</f>
        <v/>
      </c>
      <c r="AC27" s="130" t="str">
        <f>IF('kWh_Streetlight Data'!AD107=0,"",'kWh_Streetlight Data'!AD107)</f>
        <v/>
      </c>
      <c r="AD27" s="130" t="str">
        <f>IF('kWh_Streetlight Data'!AE107=0,"",'kWh_Streetlight Data'!AE107)</f>
        <v/>
      </c>
      <c r="AE27" s="130" t="str">
        <f>IF('kWh_Streetlight Data'!AF107=0,"",'kWh_Streetlight Data'!AF107)</f>
        <v/>
      </c>
      <c r="AF27" s="130" t="str">
        <f>IF('kWh_Streetlight Data'!AG107=0,"",'kWh_Streetlight Data'!AG107)</f>
        <v/>
      </c>
      <c r="AG27" s="130" t="str">
        <f>IF('kWh_Streetlight Data'!AH107=0,"",'kWh_Streetlight Data'!AH107)</f>
        <v/>
      </c>
      <c r="AH27" s="108" t="str">
        <f>IF('kWh_Streetlight Data'!AI107=0,"",'kWh_Streetlight Data'!AI107)</f>
        <v/>
      </c>
      <c r="AI27" s="108" t="str">
        <f>IF('kWh_Streetlight Data'!AJ107=0,"",'kWh_Streetlight Data'!AJ107)</f>
        <v/>
      </c>
      <c r="AJ27" s="108" t="str">
        <f>IF('kWh_Streetlight Data'!AK107=0,"",'kWh_Streetlight Data'!AK107)</f>
        <v/>
      </c>
      <c r="AK27" s="108" t="str">
        <f>IF('kWh_Streetlight Data'!AL107=0,"",'kWh_Streetlight Data'!AL107)</f>
        <v/>
      </c>
      <c r="AL27" s="108" t="str">
        <f>IF('kWh_Streetlight Data'!AM107=0,"",'kWh_Streetlight Data'!AM107)</f>
        <v/>
      </c>
      <c r="AM27" s="108" t="str">
        <f>IF('kWh_Streetlight Data'!AN107=0,"",'kWh_Streetlight Data'!AN107)</f>
        <v/>
      </c>
      <c r="AN27" s="426" t="str">
        <f>IF('kWh_Streetlight Data'!AO107=0,"",'kWh_Streetlight Data'!AO107)</f>
        <v/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69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9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69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69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69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9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9" ht="15.75" customHeight="1" thickTop="1">
      <c r="A34" s="374" t="s">
        <v>54</v>
      </c>
      <c r="B34" s="84">
        <f>IF('kWh_Streetlight Data'!C108=0,"",'kWh_Streetlight Data'!C108)</f>
        <v>2565.8000000000002</v>
      </c>
      <c r="C34" s="108">
        <f>IF('kWh_Streetlight Data'!D108=0,"",'kWh_Streetlight Data'!D108)</f>
        <v>2409.6</v>
      </c>
      <c r="D34" s="108">
        <f>IF('kWh_Streetlight Data'!E108=0,"",'kWh_Streetlight Data'!E108)</f>
        <v>1907.8</v>
      </c>
      <c r="E34" s="108">
        <f>IF('kWh_Streetlight Data'!F108=0,"",'kWh_Streetlight Data'!F108)</f>
        <v>2568.1</v>
      </c>
      <c r="F34" s="108">
        <f>IF('kWh_Streetlight Data'!G108=0,"",'kWh_Streetlight Data'!G108)</f>
        <v>1905.6</v>
      </c>
      <c r="G34" s="108">
        <f>IF('kWh_Streetlight Data'!H108=0,"",'kWh_Streetlight Data'!H108)</f>
        <v>1695.5</v>
      </c>
      <c r="H34" s="108">
        <f>IF('kWh_Streetlight Data'!I108=0,"",'kWh_Streetlight Data'!I108)</f>
        <v>1423.2727272727273</v>
      </c>
      <c r="I34" s="108">
        <f>IF('kWh_Streetlight Data'!J108=0,"",'kWh_Streetlight Data'!J108)</f>
        <v>1684.3</v>
      </c>
      <c r="J34" s="108">
        <f>IF('kWh_Streetlight Data'!K108=0,"",'kWh_Streetlight Data'!K108)</f>
        <v>1240.090909090909</v>
      </c>
      <c r="K34" s="108">
        <f>IF('kWh_Streetlight Data'!L108=0,"",'kWh_Streetlight Data'!L108)</f>
        <v>1604.7</v>
      </c>
      <c r="L34" s="108">
        <f>IF('kWh_Streetlight Data'!M108=0,"",'kWh_Streetlight Data'!M108)</f>
        <v>2082.6999999999998</v>
      </c>
      <c r="M34" s="108">
        <f>IF('kWh_Streetlight Data'!N108=0,"",'kWh_Streetlight Data'!N108)</f>
        <v>2201.5</v>
      </c>
      <c r="N34" s="424">
        <f>IF('kWh_Streetlight Data'!O108=0,"",'kWh_Streetlight Data'!O108)</f>
        <v>1930.7622950819673</v>
      </c>
      <c r="O34" s="84">
        <f>IF('kWh_Streetlight Data'!P108=0,"",'kWh_Streetlight Data'!P108)</f>
        <v>2716.6</v>
      </c>
      <c r="P34" s="108">
        <f>IF('kWh_Streetlight Data'!Q108=0,"",'kWh_Streetlight Data'!Q108)</f>
        <v>2233.4</v>
      </c>
      <c r="Q34" s="108">
        <f>IF('kWh_Streetlight Data'!R108=0,"",'kWh_Streetlight Data'!R108)</f>
        <v>2829.9</v>
      </c>
      <c r="R34" s="108">
        <f>IF('kWh_Streetlight Data'!S108=0,"",'kWh_Streetlight Data'!S108)</f>
        <v>2922.5</v>
      </c>
      <c r="S34" s="108">
        <f>IF('kWh_Streetlight Data'!T108=0,"",'kWh_Streetlight Data'!T108)</f>
        <v>1661.8</v>
      </c>
      <c r="T34" s="108">
        <f>IF('kWh_Streetlight Data'!U108=0,"",'kWh_Streetlight Data'!U108)</f>
        <v>1999.4</v>
      </c>
      <c r="U34" s="108">
        <f>IF('kWh_Streetlight Data'!V108=0,"",'kWh_Streetlight Data'!V108)</f>
        <v>1575.8</v>
      </c>
      <c r="V34" s="108">
        <f>IF('kWh_Streetlight Data'!W108=0,"",'kWh_Streetlight Data'!W108)</f>
        <v>1666.7</v>
      </c>
      <c r="W34" s="108">
        <f>IF('kWh_Streetlight Data'!X108=0,"",'kWh_Streetlight Data'!X108)</f>
        <v>1815.9</v>
      </c>
      <c r="X34" s="108">
        <f>IF('kWh_Streetlight Data'!Y108=0,"",'kWh_Streetlight Data'!Y108)</f>
        <v>1513.2</v>
      </c>
      <c r="Y34" s="108">
        <f>IF('kWh_Streetlight Data'!Z108=0,"",'kWh_Streetlight Data'!Z108)</f>
        <v>2276.6</v>
      </c>
      <c r="Z34" s="108">
        <f>IF('kWh_Streetlight Data'!AA108=0,"",'kWh_Streetlight Data'!AA108)</f>
        <v>3227.4</v>
      </c>
      <c r="AA34" s="424">
        <f>IF('kWh_Streetlight Data'!AB108=0,"",'kWh_Streetlight Data'!AB108)</f>
        <v>2203.2666666666669</v>
      </c>
      <c r="AB34" s="129">
        <f>IF('kWh_Streetlight Data'!AC108=0,"",'kWh_Streetlight Data'!AC108)</f>
        <v>3987.3</v>
      </c>
      <c r="AC34" s="130">
        <f>IF('kWh_Streetlight Data'!AD108=0,"",'kWh_Streetlight Data'!AD108)</f>
        <v>3011.2</v>
      </c>
      <c r="AD34" s="130">
        <f>IF('kWh_Streetlight Data'!AE108=0,"",'kWh_Streetlight Data'!AE108)</f>
        <v>3469.7</v>
      </c>
      <c r="AE34" s="130">
        <f>IF('kWh_Streetlight Data'!AF108=0,"",'kWh_Streetlight Data'!AF108)</f>
        <v>2386.5</v>
      </c>
      <c r="AF34" s="130">
        <f>IF('kWh_Streetlight Data'!AG108=0,"",'kWh_Streetlight Data'!AG108)</f>
        <v>2227.1</v>
      </c>
      <c r="AG34" s="130">
        <f>IF('kWh_Streetlight Data'!AH108=0,"",'kWh_Streetlight Data'!AH108)</f>
        <v>1613.5</v>
      </c>
      <c r="AH34" s="130">
        <f>IF('kWh_Streetlight Data'!AI108=0,"",'kWh_Streetlight Data'!AI108)</f>
        <v>1387.4</v>
      </c>
      <c r="AI34" s="130">
        <f>IF('kWh_Streetlight Data'!AJ108=0,"",'kWh_Streetlight Data'!AJ108)</f>
        <v>1437.3</v>
      </c>
      <c r="AJ34" s="130">
        <f>IF('kWh_Streetlight Data'!AK108=0,"",'kWh_Streetlight Data'!AK108)</f>
        <v>1330.8</v>
      </c>
      <c r="AK34" s="130">
        <f>IF('kWh_Streetlight Data'!AL108=0,"",'kWh_Streetlight Data'!AL108)</f>
        <v>1313.3</v>
      </c>
      <c r="AL34" s="130">
        <f>IF('kWh_Streetlight Data'!AM108=0,"",'kWh_Streetlight Data'!AM108)</f>
        <v>2123.6</v>
      </c>
      <c r="AM34" s="130">
        <f>IF('kWh_Streetlight Data'!AN108=0,"",'kWh_Streetlight Data'!AN108)</f>
        <v>2705.4</v>
      </c>
      <c r="AN34" s="426">
        <f>IF('kWh_Streetlight Data'!AO108=0,"",'kWh_Streetlight Data'!AO108)</f>
        <v>2249.4250000000002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9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9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00"/>
      <c r="AP36" s="87"/>
      <c r="AQ36" s="87"/>
      <c r="AR36" s="87"/>
      <c r="AS36" s="87"/>
      <c r="AT36" s="39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/>
    </row>
    <row r="37" spans="1:69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9"/>
      <c r="BJ37" s="39"/>
      <c r="BK37" s="38"/>
      <c r="BL37" s="38"/>
      <c r="BM37" s="38"/>
      <c r="BN37" s="210"/>
      <c r="BO37" s="143"/>
      <c r="BQ37" s="202"/>
    </row>
    <row r="38" spans="1:69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9"/>
      <c r="BJ38" s="39"/>
      <c r="BK38" s="38"/>
      <c r="BL38" s="38"/>
      <c r="BM38" s="38"/>
      <c r="BN38" s="210"/>
      <c r="BO38" s="143"/>
    </row>
    <row r="39" spans="1:69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9"/>
      <c r="BJ39" s="39"/>
      <c r="BK39" s="38"/>
      <c r="BL39" s="38"/>
      <c r="BM39" s="38"/>
      <c r="BN39" s="210"/>
      <c r="BO39" s="143"/>
    </row>
    <row r="40" spans="1:69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88"/>
    </row>
    <row r="41" spans="1:69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9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9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9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9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9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9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9" ht="15.75" customHeight="1" thickTop="1">
      <c r="A48" s="374" t="s">
        <v>54</v>
      </c>
      <c r="B48" s="129">
        <f>IF('kWh_Streetlight Data'!C109=0,"",'kWh_Streetlight Data'!C109)</f>
        <v>13515</v>
      </c>
      <c r="C48" s="130">
        <f>IF('kWh_Streetlight Data'!D109=0,"",'kWh_Streetlight Data'!D109)</f>
        <v>11465</v>
      </c>
      <c r="D48" s="130">
        <f>IF('kWh_Streetlight Data'!E109=0,"",'kWh_Streetlight Data'!E109)</f>
        <v>10155</v>
      </c>
      <c r="E48" s="130">
        <f>IF('kWh_Streetlight Data'!F109=0,"",'kWh_Streetlight Data'!F109)</f>
        <v>13710</v>
      </c>
      <c r="F48" s="130">
        <f>IF('kWh_Streetlight Data'!G109=0,"",'kWh_Streetlight Data'!G109)</f>
        <v>11730</v>
      </c>
      <c r="G48" s="130">
        <f>IF('kWh_Streetlight Data'!H109=0,"",'kWh_Streetlight Data'!H109)</f>
        <v>10465</v>
      </c>
      <c r="H48" s="130">
        <f>IF('kWh_Streetlight Data'!I109=0,"",'kWh_Streetlight Data'!I109)</f>
        <v>14010</v>
      </c>
      <c r="I48" s="130">
        <f>IF('kWh_Streetlight Data'!J109=0,"",'kWh_Streetlight Data'!J109)</f>
        <v>13815</v>
      </c>
      <c r="J48" s="130">
        <f>IF('kWh_Streetlight Data'!K109=0,"",'kWh_Streetlight Data'!K109)</f>
        <v>10985</v>
      </c>
      <c r="K48" s="130">
        <f>IF('kWh_Streetlight Data'!L109=0,"",'kWh_Streetlight Data'!L109)</f>
        <v>11250</v>
      </c>
      <c r="L48" s="130">
        <f>IF('kWh_Streetlight Data'!M109=0,"",'kWh_Streetlight Data'!M109)</f>
        <v>12180</v>
      </c>
      <c r="M48" s="130">
        <f>IF('kWh_Streetlight Data'!N109=0,"",'kWh_Streetlight Data'!N109)</f>
        <v>10880</v>
      </c>
      <c r="N48" s="424">
        <f>IF('kWh_Streetlight Data'!O109=0,"",'kWh_Streetlight Data'!O109)</f>
        <v>12013.333333333334</v>
      </c>
      <c r="O48" s="129">
        <f>IF('kWh_Streetlight Data'!P109=0,"",'kWh_Streetlight Data'!P109)</f>
        <v>12790</v>
      </c>
      <c r="P48" s="130">
        <f>IF('kWh_Streetlight Data'!Q109=0,"",'kWh_Streetlight Data'!Q109)</f>
        <v>10720</v>
      </c>
      <c r="Q48" s="130">
        <f>IF('kWh_Streetlight Data'!R109=0,"",'kWh_Streetlight Data'!R109)</f>
        <v>13415</v>
      </c>
      <c r="R48" s="130">
        <f>IF('kWh_Streetlight Data'!S109=0,"",'kWh_Streetlight Data'!S109)</f>
        <v>11940</v>
      </c>
      <c r="S48" s="130">
        <f>IF('kWh_Streetlight Data'!T109=0,"",'kWh_Streetlight Data'!T109)</f>
        <v>9565</v>
      </c>
      <c r="T48" s="130">
        <f>IF('kWh_Streetlight Data'!U109=0,"",'kWh_Streetlight Data'!U109)</f>
        <v>11935</v>
      </c>
      <c r="U48" s="130">
        <f>IF('kWh_Streetlight Data'!V109=0,"",'kWh_Streetlight Data'!V109)</f>
        <v>14270</v>
      </c>
      <c r="V48" s="130">
        <f>IF('kWh_Streetlight Data'!W109=0,"",'kWh_Streetlight Data'!W109)</f>
        <v>14100</v>
      </c>
      <c r="W48" s="130">
        <f>IF('kWh_Streetlight Data'!X109=0,"",'kWh_Streetlight Data'!X109)</f>
        <v>15235</v>
      </c>
      <c r="X48" s="130">
        <f>IF('kWh_Streetlight Data'!Y109=0,"",'kWh_Streetlight Data'!Y109)</f>
        <v>10515</v>
      </c>
      <c r="Y48" s="130">
        <f>IF('kWh_Streetlight Data'!Z109=0,"",'kWh_Streetlight Data'!Z109)</f>
        <v>11170</v>
      </c>
      <c r="Z48" s="130">
        <f>IF('kWh_Streetlight Data'!AA109=0,"",'kWh_Streetlight Data'!AA109)</f>
        <v>11465</v>
      </c>
      <c r="AA48" s="424">
        <f>IF('kWh_Streetlight Data'!AB109=0,"",'kWh_Streetlight Data'!AB109)</f>
        <v>12260</v>
      </c>
      <c r="AB48" s="129">
        <f>IF('kWh_Streetlight Data'!AC109=0,"",'kWh_Streetlight Data'!AC109)</f>
        <v>13185</v>
      </c>
      <c r="AC48" s="130">
        <f>IF('kWh_Streetlight Data'!AD109=0,"",'kWh_Streetlight Data'!AD109)</f>
        <v>10930</v>
      </c>
      <c r="AD48" s="130">
        <f>IF('kWh_Streetlight Data'!AE109=0,"",'kWh_Streetlight Data'!AE109)</f>
        <v>11395</v>
      </c>
      <c r="AE48" s="130">
        <f>IF('kWh_Streetlight Data'!AF109=0,"",'kWh_Streetlight Data'!AF109)</f>
        <v>9715</v>
      </c>
      <c r="AF48" s="130">
        <f>IF('kWh_Streetlight Data'!AG109=0,"",'kWh_Streetlight Data'!AG109)</f>
        <v>11160</v>
      </c>
      <c r="AG48" s="130">
        <f>IF('kWh_Streetlight Data'!AH109=0,"",'kWh_Streetlight Data'!AH109)</f>
        <v>10595</v>
      </c>
      <c r="AH48" s="130">
        <f>IF('kWh_Streetlight Data'!AI109=0,"",'kWh_Streetlight Data'!AI109)</f>
        <v>11430</v>
      </c>
      <c r="AI48" s="130">
        <f>IF('kWh_Streetlight Data'!AJ109=0,"",'kWh_Streetlight Data'!AJ109)</f>
        <v>15050</v>
      </c>
      <c r="AJ48" s="130">
        <f>IF('kWh_Streetlight Data'!AK109=0,"",'kWh_Streetlight Data'!AK109)</f>
        <v>13865</v>
      </c>
      <c r="AK48" s="130">
        <f>IF('kWh_Streetlight Data'!AL109=0,"",'kWh_Streetlight Data'!AL109)</f>
        <v>10775</v>
      </c>
      <c r="AL48" s="130">
        <f>IF('kWh_Streetlight Data'!AM109=0,"",'kWh_Streetlight Data'!AM109)</f>
        <v>10455</v>
      </c>
      <c r="AM48" s="130">
        <f>IF('kWh_Streetlight Data'!AN109=0,"",'kWh_Streetlight Data'!AN109)</f>
        <v>9295</v>
      </c>
      <c r="AN48" s="426">
        <f>IF('kWh_Streetlight Data'!AO109=0,"",'kWh_Streetlight Data'!AO109)</f>
        <v>11487.5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9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9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00"/>
      <c r="AP50" s="87"/>
      <c r="AQ50" s="87"/>
      <c r="AR50" s="87"/>
      <c r="AS50" s="87"/>
      <c r="AT50" s="39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39"/>
      <c r="BJ50" s="39"/>
      <c r="BK50" s="39"/>
      <c r="BL50" s="109"/>
      <c r="BM50" s="39"/>
      <c r="BN50" s="210"/>
      <c r="BO50" s="125"/>
    </row>
    <row r="51" spans="1:69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/>
    </row>
    <row r="52" spans="1:69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/>
    </row>
    <row r="53" spans="1:69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/>
      <c r="BQ53" s="202"/>
    </row>
    <row r="54" spans="1:69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88"/>
    </row>
    <row r="55" spans="1:69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/>
    </row>
    <row r="56" spans="1:69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9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455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30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9" ht="15.75" customHeight="1" thickBot="1">
      <c r="A58" s="201" t="s">
        <v>30</v>
      </c>
      <c r="B58" s="113" t="str">
        <f>IF('kWh_Streetlight Data'!C239=0,"",'kWh_Streetlight Data'!C239)</f>
        <v/>
      </c>
      <c r="C58" s="114" t="str">
        <f>IF('kWh_Streetlight Data'!D239=0,"",'kWh_Streetlight Data'!D239)</f>
        <v/>
      </c>
      <c r="D58" s="114" t="str">
        <f>IF('kWh_Streetlight Data'!E239=0,"",'kWh_Streetlight Data'!E239)</f>
        <v/>
      </c>
      <c r="E58" s="114" t="str">
        <f>IF('kWh_Streetlight Data'!F239=0,"",'kWh_Streetlight Data'!F239)</f>
        <v/>
      </c>
      <c r="F58" s="114" t="str">
        <f>IF('kWh_Streetlight Data'!G239=0,"",'kWh_Streetlight Data'!G239)</f>
        <v/>
      </c>
      <c r="G58" s="114" t="str">
        <f>IF('kWh_Streetlight Data'!H239=0,"",'kWh_Streetlight Data'!H239)</f>
        <v/>
      </c>
      <c r="H58" s="114" t="str">
        <f>IF('kWh_Streetlight Data'!I239=0,"",'kWh_Streetlight Data'!I239)</f>
        <v/>
      </c>
      <c r="I58" s="114" t="str">
        <f>IF('kWh_Streetlight Data'!J239=0,"",'kWh_Streetlight Data'!J239)</f>
        <v/>
      </c>
      <c r="J58" s="114" t="str">
        <f>IF('kWh_Streetlight Data'!K239=0,"",'kWh_Streetlight Data'!K239)</f>
        <v/>
      </c>
      <c r="K58" s="114" t="str">
        <f>IF('kWh_Streetlight Data'!L239=0,"",'kWh_Streetlight Data'!L239)</f>
        <v/>
      </c>
      <c r="L58" s="114" t="str">
        <f>IF('kWh_Streetlight Data'!M239=0,"",'kWh_Streetlight Data'!M239)</f>
        <v/>
      </c>
      <c r="M58" s="114" t="str">
        <f>IF('kWh_Streetlight Data'!N239=0,"",'kWh_Streetlight Data'!N239)</f>
        <v/>
      </c>
      <c r="N58" s="459" t="str">
        <f>IF('kWh_Streetlight Data'!O239=0,"",'kWh_Streetlight Data'!O239)</f>
        <v/>
      </c>
      <c r="O58" s="113" t="str">
        <f>IF('kWh_Streetlight Data'!P239=0,"",'kWh_Streetlight Data'!P239)</f>
        <v/>
      </c>
      <c r="P58" s="114" t="str">
        <f>IF('kWh_Streetlight Data'!Q239=0,"",'kWh_Streetlight Data'!Q239)</f>
        <v/>
      </c>
      <c r="Q58" s="114" t="str">
        <f>IF('kWh_Streetlight Data'!R239=0,"",'kWh_Streetlight Data'!R239)</f>
        <v/>
      </c>
      <c r="R58" s="114" t="str">
        <f>IF('kWh_Streetlight Data'!S239=0,"",'kWh_Streetlight Data'!S239)</f>
        <v/>
      </c>
      <c r="S58" s="114" t="str">
        <f>IF('kWh_Streetlight Data'!T239=0,"",'kWh_Streetlight Data'!T239)</f>
        <v/>
      </c>
      <c r="T58" s="114" t="str">
        <f>IF('kWh_Streetlight Data'!U239=0,"",'kWh_Streetlight Data'!U239)</f>
        <v/>
      </c>
      <c r="U58" s="114" t="str">
        <f>IF('kWh_Streetlight Data'!V239=0,"",'kWh_Streetlight Data'!V239)</f>
        <v/>
      </c>
      <c r="V58" s="114" t="str">
        <f>IF('kWh_Streetlight Data'!W239=0,"",'kWh_Streetlight Data'!W239)</f>
        <v/>
      </c>
      <c r="W58" s="114" t="str">
        <f>IF('kWh_Streetlight Data'!X239=0,"",'kWh_Streetlight Data'!X239)</f>
        <v/>
      </c>
      <c r="X58" s="114" t="str">
        <f>IF('kWh_Streetlight Data'!Y239=0,"",'kWh_Streetlight Data'!Y239)</f>
        <v/>
      </c>
      <c r="Y58" s="114" t="str">
        <f>IF('kWh_Streetlight Data'!Z239=0,"",'kWh_Streetlight Data'!Z239)</f>
        <v/>
      </c>
      <c r="Z58" s="114" t="str">
        <f>IF('kWh_Streetlight Data'!AA239=0,"",'kWh_Streetlight Data'!AA239)</f>
        <v/>
      </c>
      <c r="AA58" s="459" t="str">
        <f>IF('kWh_Streetlight Data'!AB239=0,"",'kWh_Streetlight Data'!AB239)</f>
        <v/>
      </c>
      <c r="AB58" s="473">
        <f>IF('kWh_Streetlight Data'!AC239=0,"",'kWh_Streetlight Data'!AC239)</f>
        <v>1172</v>
      </c>
      <c r="AC58" s="474">
        <f>IF('kWh_Streetlight Data'!AD239=0,"",'kWh_Streetlight Data'!AD239)</f>
        <v>1172</v>
      </c>
      <c r="AD58" s="474">
        <f>IF('kWh_Streetlight Data'!AE239=0,"",'kWh_Streetlight Data'!AE239)</f>
        <v>1172</v>
      </c>
      <c r="AE58" s="474">
        <f>IF('kWh_Streetlight Data'!AF239=0,"",'kWh_Streetlight Data'!AF239)</f>
        <v>1172</v>
      </c>
      <c r="AF58" s="474">
        <f>IF('kWh_Streetlight Data'!AG239=0,"",'kWh_Streetlight Data'!AG239)</f>
        <v>1172</v>
      </c>
      <c r="AG58" s="474">
        <f>IF('kWh_Streetlight Data'!AH239=0,"",'kWh_Streetlight Data'!AH239)</f>
        <v>1172</v>
      </c>
      <c r="AH58" s="474">
        <f>IF('kWh_Streetlight Data'!AI239=0,"",'kWh_Streetlight Data'!AI239)</f>
        <v>1172</v>
      </c>
      <c r="AI58" s="474">
        <f>IF('kWh_Streetlight Data'!AJ239=0,"",'kWh_Streetlight Data'!AJ239)</f>
        <v>1172</v>
      </c>
      <c r="AJ58" s="474">
        <f>IF('kWh_Streetlight Data'!AK239=0,"",'kWh_Streetlight Data'!AK239)</f>
        <v>1172</v>
      </c>
      <c r="AK58" s="474">
        <f>IF('kWh_Streetlight Data'!AL239=0,"",'kWh_Streetlight Data'!AL239)</f>
        <v>1172</v>
      </c>
      <c r="AL58" s="474">
        <f>IF('kWh_Streetlight Data'!AM239=0,"",'kWh_Streetlight Data'!AM239)</f>
        <v>1172</v>
      </c>
      <c r="AM58" s="474">
        <f>IF('kWh_Streetlight Data'!AN239=0,"",'kWh_Streetlight Data'!AN239)</f>
        <v>1172</v>
      </c>
      <c r="AN58" s="464">
        <f>IF('kWh_Streetlight Data'!AO239=0,"",'kWh_Streetlight Data'!AO239)</f>
        <v>1172</v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9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9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9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9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9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9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129" t="str">
        <f>IF('kWh_Streetlight Data'!C110=0,"",'kWh_Streetlight Data'!C110)</f>
        <v/>
      </c>
      <c r="C69" s="130" t="str">
        <f>IF('kWh_Streetlight Data'!D110=0,"",'kWh_Streetlight Data'!D110)</f>
        <v/>
      </c>
      <c r="D69" s="130" t="str">
        <f>IF('kWh_Streetlight Data'!E110=0,"",'kWh_Streetlight Data'!E110)</f>
        <v/>
      </c>
      <c r="E69" s="130" t="str">
        <f>IF('kWh_Streetlight Data'!F110=0,"",'kWh_Streetlight Data'!F110)</f>
        <v/>
      </c>
      <c r="F69" s="130" t="str">
        <f>IF('kWh_Streetlight Data'!G110=0,"",'kWh_Streetlight Data'!G110)</f>
        <v/>
      </c>
      <c r="G69" s="130" t="str">
        <f>IF('kWh_Streetlight Data'!H110=0,"",'kWh_Streetlight Data'!H110)</f>
        <v/>
      </c>
      <c r="H69" s="130" t="str">
        <f>IF('kWh_Streetlight Data'!I110=0,"",'kWh_Streetlight Data'!I110)</f>
        <v/>
      </c>
      <c r="I69" s="130" t="str">
        <f>IF('kWh_Streetlight Data'!J110=0,"",'kWh_Streetlight Data'!J110)</f>
        <v/>
      </c>
      <c r="J69" s="130" t="str">
        <f>IF('kWh_Streetlight Data'!K110=0,"",'kWh_Streetlight Data'!K110)</f>
        <v/>
      </c>
      <c r="K69" s="130" t="str">
        <f>IF('kWh_Streetlight Data'!L110=0,"",'kWh_Streetlight Data'!L110)</f>
        <v/>
      </c>
      <c r="L69" s="130" t="str">
        <f>IF('kWh_Streetlight Data'!M110=0,"",'kWh_Streetlight Data'!M110)</f>
        <v/>
      </c>
      <c r="M69" s="130" t="str">
        <f>IF('kWh_Streetlight Data'!N110=0,"",'kWh_Streetlight Data'!N110)</f>
        <v/>
      </c>
      <c r="N69" s="424" t="str">
        <f>IF('kWh_Streetlight Data'!O110=0,"",'kWh_Streetlight Data'!O110)</f>
        <v/>
      </c>
      <c r="O69" s="84" t="str">
        <f>IF('kWh_Streetlight Data'!P110=0,"",'kWh_Streetlight Data'!P110)</f>
        <v/>
      </c>
      <c r="P69" s="108" t="str">
        <f>IF('kWh_Streetlight Data'!Q110=0,"",'kWh_Streetlight Data'!Q110)</f>
        <v/>
      </c>
      <c r="Q69" s="108" t="str">
        <f>IF('kWh_Streetlight Data'!R110=0,"",'kWh_Streetlight Data'!R110)</f>
        <v/>
      </c>
      <c r="R69" s="108" t="str">
        <f>IF('kWh_Streetlight Data'!S110=0,"",'kWh_Streetlight Data'!S110)</f>
        <v/>
      </c>
      <c r="S69" s="108" t="str">
        <f>IF('kWh_Streetlight Data'!T110=0,"",'kWh_Streetlight Data'!T110)</f>
        <v/>
      </c>
      <c r="T69" s="108" t="str">
        <f>IF('kWh_Streetlight Data'!U110=0,"",'kWh_Streetlight Data'!U110)</f>
        <v/>
      </c>
      <c r="U69" s="108" t="str">
        <f>IF('kWh_Streetlight Data'!V110=0,"",'kWh_Streetlight Data'!V110)</f>
        <v/>
      </c>
      <c r="V69" s="108" t="str">
        <f>IF('kWh_Streetlight Data'!W110=0,"",'kWh_Streetlight Data'!W110)</f>
        <v/>
      </c>
      <c r="W69" s="108" t="str">
        <f>IF('kWh_Streetlight Data'!X110=0,"",'kWh_Streetlight Data'!X110)</f>
        <v/>
      </c>
      <c r="X69" s="108" t="str">
        <f>IF('kWh_Streetlight Data'!Y110=0,"",'kWh_Streetlight Data'!Y110)</f>
        <v/>
      </c>
      <c r="Y69" s="108" t="str">
        <f>IF('kWh_Streetlight Data'!Z110=0,"",'kWh_Streetlight Data'!Z110)</f>
        <v/>
      </c>
      <c r="Z69" s="108" t="str">
        <f>IF('kWh_Streetlight Data'!AA110=0,"",'kWh_Streetlight Data'!AA110)</f>
        <v/>
      </c>
      <c r="AA69" s="424" t="str">
        <f>IF('kWh_Streetlight Data'!AB110=0,"",'kWh_Streetlight Data'!AB110)</f>
        <v/>
      </c>
      <c r="AB69" s="84" t="str">
        <f>IF('kWh_Streetlight Data'!AC110=0,"",'kWh_Streetlight Data'!AC110)</f>
        <v/>
      </c>
      <c r="AC69" s="108" t="str">
        <f>IF('kWh_Streetlight Data'!AD110=0,"",'kWh_Streetlight Data'!AD110)</f>
        <v/>
      </c>
      <c r="AD69" s="108" t="str">
        <f>IF('kWh_Streetlight Data'!AE110=0,"",'kWh_Streetlight Data'!AE110)</f>
        <v/>
      </c>
      <c r="AE69" s="108" t="str">
        <f>IF('kWh_Streetlight Data'!AF110=0,"",'kWh_Streetlight Data'!AF110)</f>
        <v/>
      </c>
      <c r="AF69" s="108" t="str">
        <f>IF('kWh_Streetlight Data'!AG110=0,"",'kWh_Streetlight Data'!AG110)</f>
        <v/>
      </c>
      <c r="AG69" s="108" t="str">
        <f>IF('kWh_Streetlight Data'!AH110=0,"",'kWh_Streetlight Data'!AH110)</f>
        <v/>
      </c>
      <c r="AH69" s="130" t="str">
        <f>IF('kWh_Streetlight Data'!AI110=0,"",'kWh_Streetlight Data'!AI110)</f>
        <v/>
      </c>
      <c r="AI69" s="130" t="str">
        <f>IF('kWh_Streetlight Data'!AJ110=0,"",'kWh_Streetlight Data'!AJ110)</f>
        <v/>
      </c>
      <c r="AJ69" s="130" t="str">
        <f>IF('kWh_Streetlight Data'!AK110=0,"",'kWh_Streetlight Data'!AK110)</f>
        <v/>
      </c>
      <c r="AK69" s="130" t="str">
        <f>IF('kWh_Streetlight Data'!AL110=0,"",'kWh_Streetlight Data'!AL110)</f>
        <v/>
      </c>
      <c r="AL69" s="130" t="str">
        <f>IF('kWh_Streetlight Data'!AM110=0,"",'kWh_Streetlight Data'!AM110)</f>
        <v/>
      </c>
      <c r="AM69" s="130" t="str">
        <f>IF('kWh_Streetlight Data'!AN110=0,"",'kWh_Streetlight Data'!AN110)</f>
        <v/>
      </c>
      <c r="AN69" s="424" t="str">
        <f>IF('kWh_Streetlight Data'!AO110=0,"",'kWh_Streetlight Data'!AO110)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84">
        <f>IF('kWh_Streetlight Data'!C111=0,"",'kWh_Streetlight Data'!C111)</f>
        <v>547.75</v>
      </c>
      <c r="C79" s="108">
        <f>IF('kWh_Streetlight Data'!D111=0,"",'kWh_Streetlight Data'!D111)</f>
        <v>590</v>
      </c>
      <c r="D79" s="108">
        <f>IF('kWh_Streetlight Data'!E111=0,"",'kWh_Streetlight Data'!E111)</f>
        <v>523.5</v>
      </c>
      <c r="E79" s="108">
        <f>IF('kWh_Streetlight Data'!F111=0,"",'kWh_Streetlight Data'!F111)</f>
        <v>708.5</v>
      </c>
      <c r="F79" s="108">
        <f>IF('kWh_Streetlight Data'!G111=0,"",'kWh_Streetlight Data'!G111)</f>
        <v>442.25</v>
      </c>
      <c r="G79" s="108">
        <f>IF('kWh_Streetlight Data'!H111=0,"",'kWh_Streetlight Data'!H111)</f>
        <v>383.75</v>
      </c>
      <c r="H79" s="108">
        <f>IF('kWh_Streetlight Data'!I111=0,"",'kWh_Streetlight Data'!I111)</f>
        <v>458.5</v>
      </c>
      <c r="I79" s="108">
        <f>IF('kWh_Streetlight Data'!J111=0,"",'kWh_Streetlight Data'!J111)</f>
        <v>459.75</v>
      </c>
      <c r="J79" s="108">
        <f>IF('kWh_Streetlight Data'!K111=0,"",'kWh_Streetlight Data'!K111)</f>
        <v>412.75</v>
      </c>
      <c r="K79" s="108">
        <f>IF('kWh_Streetlight Data'!L111=0,"",'kWh_Streetlight Data'!L111)</f>
        <v>342</v>
      </c>
      <c r="L79" s="108">
        <f>IF('kWh_Streetlight Data'!M111=0,"",'kWh_Streetlight Data'!M111)</f>
        <v>502.75</v>
      </c>
      <c r="M79" s="108">
        <f>IF('kWh_Streetlight Data'!N111=0,"",'kWh_Streetlight Data'!N111)</f>
        <v>560.25</v>
      </c>
      <c r="N79" s="424">
        <f>IF('kWh_Streetlight Data'!O111=0,"",'kWh_Streetlight Data'!O111)</f>
        <v>494.3125</v>
      </c>
      <c r="O79" s="84">
        <f>IF('kWh_Streetlight Data'!P111=0,"",'kWh_Streetlight Data'!P111)</f>
        <v>585.75</v>
      </c>
      <c r="P79" s="108">
        <f>IF('kWh_Streetlight Data'!Q111=0,"",'kWh_Streetlight Data'!Q111)</f>
        <v>549.25</v>
      </c>
      <c r="Q79" s="108">
        <f>IF('kWh_Streetlight Data'!R111=0,"",'kWh_Streetlight Data'!R111)</f>
        <v>644.25</v>
      </c>
      <c r="R79" s="108">
        <f>IF('kWh_Streetlight Data'!S111=0,"",'kWh_Streetlight Data'!S111)</f>
        <v>620.75</v>
      </c>
      <c r="S79" s="108">
        <f>IF('kWh_Streetlight Data'!T111=0,"",'kWh_Streetlight Data'!T111)</f>
        <v>462</v>
      </c>
      <c r="T79" s="108">
        <f>IF('kWh_Streetlight Data'!U111=0,"",'kWh_Streetlight Data'!U111)</f>
        <v>642.75</v>
      </c>
      <c r="U79" s="108">
        <f>IF('kWh_Streetlight Data'!V111=0,"",'kWh_Streetlight Data'!V111)</f>
        <v>487</v>
      </c>
      <c r="V79" s="108">
        <f>IF('kWh_Streetlight Data'!W111=0,"",'kWh_Streetlight Data'!W111)</f>
        <v>422</v>
      </c>
      <c r="W79" s="108">
        <f>IF('kWh_Streetlight Data'!X111=0,"",'kWh_Streetlight Data'!X111)</f>
        <v>568.25</v>
      </c>
      <c r="X79" s="108">
        <f>IF('kWh_Streetlight Data'!Y111=0,"",'kWh_Streetlight Data'!Y111)</f>
        <v>544.75</v>
      </c>
      <c r="Y79" s="108">
        <f>IF('kWh_Streetlight Data'!Z111=0,"",'kWh_Streetlight Data'!Z111)</f>
        <v>764.75</v>
      </c>
      <c r="Z79" s="108">
        <f>IF('kWh_Streetlight Data'!AA111=0,"",'kWh_Streetlight Data'!AA111)</f>
        <v>897.5</v>
      </c>
      <c r="AA79" s="424">
        <f>IF('kWh_Streetlight Data'!AB111=0,"",'kWh_Streetlight Data'!AB111)</f>
        <v>599.08333333333337</v>
      </c>
      <c r="AB79" s="129">
        <f>IF('kWh_Streetlight Data'!AC111=0,"",'kWh_Streetlight Data'!AC111)</f>
        <v>1129.75</v>
      </c>
      <c r="AC79" s="130">
        <f>IF('kWh_Streetlight Data'!AD111=0,"",'kWh_Streetlight Data'!AD111)</f>
        <v>973.25</v>
      </c>
      <c r="AD79" s="130">
        <f>IF('kWh_Streetlight Data'!AE111=0,"",'kWh_Streetlight Data'!AE111)</f>
        <v>1197</v>
      </c>
      <c r="AE79" s="130">
        <f>IF('kWh_Streetlight Data'!AF111=0,"",'kWh_Streetlight Data'!AF111)</f>
        <v>910</v>
      </c>
      <c r="AF79" s="130">
        <f>IF('kWh_Streetlight Data'!AG111=0,"",'kWh_Streetlight Data'!AG111)</f>
        <v>755.75</v>
      </c>
      <c r="AG79" s="130">
        <f>IF('kWh_Streetlight Data'!AH111=0,"",'kWh_Streetlight Data'!AH111)</f>
        <v>646.25</v>
      </c>
      <c r="AH79" s="130">
        <f>IF('kWh_Streetlight Data'!AI111=0,"",'kWh_Streetlight Data'!AI111)</f>
        <v>582.25</v>
      </c>
      <c r="AI79" s="130">
        <f>IF('kWh_Streetlight Data'!AJ111=0,"",'kWh_Streetlight Data'!AJ111)</f>
        <v>447.25</v>
      </c>
      <c r="AJ79" s="130">
        <f>IF('kWh_Streetlight Data'!AK111=0,"",'kWh_Streetlight Data'!AK111)</f>
        <v>460.25</v>
      </c>
      <c r="AK79" s="130">
        <f>IF('kWh_Streetlight Data'!AL111=0,"",'kWh_Streetlight Data'!AL111)</f>
        <v>572.5</v>
      </c>
      <c r="AL79" s="130">
        <f>IF('kWh_Streetlight Data'!AM111=0,"",'kWh_Streetlight Data'!AM111)</f>
        <v>580.5</v>
      </c>
      <c r="AM79" s="130">
        <f>IF('kWh_Streetlight Data'!AN111=0,"",'kWh_Streetlight Data'!AN111)</f>
        <v>680</v>
      </c>
      <c r="AN79" s="424">
        <f>IF('kWh_Streetlight Data'!AO111=0,"",'kWh_Streetlight Data'!AO111)</f>
        <v>744.5625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Data'!C112=0,"",'kWh_Streetlight Data'!C112)</f>
        <v/>
      </c>
      <c r="C83" s="108" t="str">
        <f>IF('kWh_Streetlight Data'!D112=0,"",'kWh_Streetlight Data'!D112)</f>
        <v/>
      </c>
      <c r="D83" s="108" t="str">
        <f>IF('kWh_Streetlight Data'!E112=0,"",'kWh_Streetlight Data'!E112)</f>
        <v/>
      </c>
      <c r="E83" s="108" t="str">
        <f>IF('kWh_Streetlight Data'!F112=0,"",'kWh_Streetlight Data'!F112)</f>
        <v/>
      </c>
      <c r="F83" s="108" t="str">
        <f>IF('kWh_Streetlight Data'!G112=0,"",'kWh_Streetlight Data'!G112)</f>
        <v/>
      </c>
      <c r="G83" s="108" t="str">
        <f>IF('kWh_Streetlight Data'!H112=0,"",'kWh_Streetlight Data'!H112)</f>
        <v/>
      </c>
      <c r="H83" s="108" t="str">
        <f>IF('kWh_Streetlight Data'!I112=0,"",'kWh_Streetlight Data'!I112)</f>
        <v/>
      </c>
      <c r="I83" s="108" t="str">
        <f>IF('kWh_Streetlight Data'!J112=0,"",'kWh_Streetlight Data'!J112)</f>
        <v/>
      </c>
      <c r="J83" s="108" t="str">
        <f>IF('kWh_Streetlight Data'!K112=0,"",'kWh_Streetlight Data'!K112)</f>
        <v/>
      </c>
      <c r="K83" s="108" t="str">
        <f>IF('kWh_Streetlight Data'!L112=0,"",'kWh_Streetlight Data'!L112)</f>
        <v/>
      </c>
      <c r="L83" s="108" t="str">
        <f>IF('kWh_Streetlight Data'!M112=0,"",'kWh_Streetlight Data'!M112)</f>
        <v/>
      </c>
      <c r="M83" s="108" t="str">
        <f>IF('kWh_Streetlight Data'!N112=0,"",'kWh_Streetlight Data'!N112)</f>
        <v/>
      </c>
      <c r="N83" s="424" t="str">
        <f>IF('kWh_Streetlight Data'!O112=0,"",'kWh_Streetlight Data'!O112)</f>
        <v/>
      </c>
      <c r="O83" s="84" t="str">
        <f>IF('kWh_Streetlight Data'!P112=0,"",'kWh_Streetlight Data'!P112)</f>
        <v/>
      </c>
      <c r="P83" s="108" t="str">
        <f>IF('kWh_Streetlight Data'!Q112=0,"",'kWh_Streetlight Data'!Q112)</f>
        <v/>
      </c>
      <c r="Q83" s="108" t="str">
        <f>IF('kWh_Streetlight Data'!R112=0,"",'kWh_Streetlight Data'!R112)</f>
        <v/>
      </c>
      <c r="R83" s="108" t="str">
        <f>IF('kWh_Streetlight Data'!S112=0,"",'kWh_Streetlight Data'!S112)</f>
        <v/>
      </c>
      <c r="S83" s="108" t="str">
        <f>IF('kWh_Streetlight Data'!T112=0,"",'kWh_Streetlight Data'!T112)</f>
        <v/>
      </c>
      <c r="T83" s="108" t="str">
        <f>IF('kWh_Streetlight Data'!U112=0,"",'kWh_Streetlight Data'!U112)</f>
        <v/>
      </c>
      <c r="U83" s="108" t="str">
        <f>IF('kWh_Streetlight Data'!V112=0,"",'kWh_Streetlight Data'!V112)</f>
        <v/>
      </c>
      <c r="V83" s="108" t="str">
        <f>IF('kWh_Streetlight Data'!W112=0,"",'kWh_Streetlight Data'!W112)</f>
        <v/>
      </c>
      <c r="W83" s="108" t="str">
        <f>IF('kWh_Streetlight Data'!X112=0,"",'kWh_Streetlight Data'!X112)</f>
        <v/>
      </c>
      <c r="X83" s="108" t="str">
        <f>IF('kWh_Streetlight Data'!Y112=0,"",'kWh_Streetlight Data'!Y112)</f>
        <v/>
      </c>
      <c r="Y83" s="108" t="str">
        <f>IF('kWh_Streetlight Data'!Z112=0,"",'kWh_Streetlight Data'!Z112)</f>
        <v/>
      </c>
      <c r="Z83" s="108" t="str">
        <f>IF('kWh_Streetlight Data'!AA112=0,"",'kWh_Streetlight Data'!AA112)</f>
        <v/>
      </c>
      <c r="AA83" s="424" t="str">
        <f>IF('kWh_Streetlight Data'!AB112=0,"",'kWh_Streetlight Data'!AB112)</f>
        <v/>
      </c>
      <c r="AB83" s="442" t="str">
        <f>IF('kWh_Streetlight Data'!AC112=0,"",'kWh_Streetlight Data'!AC112)</f>
        <v/>
      </c>
      <c r="AC83" s="443" t="str">
        <f>IF('kWh_Streetlight Data'!AD112=0,"",'kWh_Streetlight Data'!AD112)</f>
        <v/>
      </c>
      <c r="AD83" s="443" t="str">
        <f>IF('kWh_Streetlight Data'!AE112=0,"",'kWh_Streetlight Data'!AE112)</f>
        <v/>
      </c>
      <c r="AE83" s="443" t="str">
        <f>IF('kWh_Streetlight Data'!AF112=0,"",'kWh_Streetlight Data'!AF112)</f>
        <v/>
      </c>
      <c r="AF83" s="443" t="str">
        <f>IF('kWh_Streetlight Data'!AG112=0,"",'kWh_Streetlight Data'!AG112)</f>
        <v/>
      </c>
      <c r="AG83" s="443" t="str">
        <f>IF('kWh_Streetlight Data'!AH112=0,"",'kWh_Streetlight Data'!AH112)</f>
        <v/>
      </c>
      <c r="AH83" s="108" t="str">
        <f>IF('kWh_Streetlight Data'!AI112=0,"",'kWh_Streetlight Data'!AI112)</f>
        <v/>
      </c>
      <c r="AI83" s="108" t="str">
        <f>IF('kWh_Streetlight Data'!AJ112=0,"",'kWh_Streetlight Data'!AJ112)</f>
        <v/>
      </c>
      <c r="AJ83" s="108" t="str">
        <f>IF('kWh_Streetlight Data'!AK112=0,"",'kWh_Streetlight Data'!AK112)</f>
        <v/>
      </c>
      <c r="AK83" s="108" t="str">
        <f>IF('kWh_Streetlight Data'!AL112=0,"",'kWh_Streetlight Data'!AL112)</f>
        <v/>
      </c>
      <c r="AL83" s="108" t="str">
        <f>IF('kWh_Streetlight Data'!AM112=0,"",'kWh_Streetlight Data'!AM112)</f>
        <v/>
      </c>
      <c r="AM83" s="108" t="str">
        <f>IF('kWh_Streetlight Data'!AN112=0,"",'kWh_Streetlight Data'!AN112)</f>
        <v/>
      </c>
      <c r="AN83" s="424" t="str">
        <f>IF('kWh_Streetlight Data'!AO112=0,"",'kWh_Streetlight Data'!AO112)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29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9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Data'!C113=0,"",'kWh_Streetlight Data'!C113)</f>
        <v>3806.5</v>
      </c>
      <c r="C88" s="108">
        <f>IF('kWh_Streetlight Data'!D113=0,"",'kWh_Streetlight Data'!D113)</f>
        <v>4221</v>
      </c>
      <c r="D88" s="108">
        <f>IF('kWh_Streetlight Data'!E113=0,"",'kWh_Streetlight Data'!E113)</f>
        <v>3349.0714285714284</v>
      </c>
      <c r="E88" s="108">
        <f>IF('kWh_Streetlight Data'!F113=0,"",'kWh_Streetlight Data'!F113)</f>
        <v>4785.7142857142853</v>
      </c>
      <c r="F88" s="108">
        <f>IF('kWh_Streetlight Data'!G113=0,"",'kWh_Streetlight Data'!G113)</f>
        <v>3556.0714285714284</v>
      </c>
      <c r="G88" s="108">
        <f>IF('kWh_Streetlight Data'!H113=0,"",'kWh_Streetlight Data'!H113)</f>
        <v>2639.7142857142858</v>
      </c>
      <c r="H88" s="108">
        <f>IF('kWh_Streetlight Data'!I113=0,"",'kWh_Streetlight Data'!I113)</f>
        <v>2792.0714285714284</v>
      </c>
      <c r="I88" s="108">
        <f>IF('kWh_Streetlight Data'!J113=0,"",'kWh_Streetlight Data'!J113)</f>
        <v>2676</v>
      </c>
      <c r="J88" s="108">
        <f>IF('kWh_Streetlight Data'!K113=0,"",'kWh_Streetlight Data'!K113)</f>
        <v>2457.1538461538462</v>
      </c>
      <c r="K88" s="108">
        <f>IF('kWh_Streetlight Data'!L113=0,"",'kWh_Streetlight Data'!L113)</f>
        <v>2979.6923076923076</v>
      </c>
      <c r="L88" s="108">
        <f>IF('kWh_Streetlight Data'!M113=0,"",'kWh_Streetlight Data'!M113)</f>
        <v>4142.2307692307695</v>
      </c>
      <c r="M88" s="108">
        <f>IF('kWh_Streetlight Data'!N113=0,"",'kWh_Streetlight Data'!N113)</f>
        <v>5045.4615384615381</v>
      </c>
      <c r="N88" s="424">
        <f>IF('kWh_Streetlight Data'!O113=0,"",'kWh_Streetlight Data'!O113)</f>
        <v>3539.9325153374234</v>
      </c>
      <c r="O88" s="84">
        <f>IF('kWh_Streetlight Data'!P113=0,"",'kWh_Streetlight Data'!P113)</f>
        <v>4809.2307692307695</v>
      </c>
      <c r="P88" s="108">
        <f>IF('kWh_Streetlight Data'!Q113=0,"",'kWh_Streetlight Data'!Q113)</f>
        <v>4024.5384615384614</v>
      </c>
      <c r="Q88" s="108">
        <f>IF('kWh_Streetlight Data'!R113=0,"",'kWh_Streetlight Data'!R113)</f>
        <v>4287.9333333333334</v>
      </c>
      <c r="R88" s="108">
        <f>IF('kWh_Streetlight Data'!S113=0,"",'kWh_Streetlight Data'!S113)</f>
        <v>4182</v>
      </c>
      <c r="S88" s="108">
        <f>IF('kWh_Streetlight Data'!T113=0,"",'kWh_Streetlight Data'!T113)</f>
        <v>3045.7857142857142</v>
      </c>
      <c r="T88" s="108">
        <f>IF('kWh_Streetlight Data'!U113=0,"",'kWh_Streetlight Data'!U113)</f>
        <v>3854.75</v>
      </c>
      <c r="U88" s="108">
        <f>IF('kWh_Streetlight Data'!V113=0,"",'kWh_Streetlight Data'!V113)</f>
        <v>2769.9166666666665</v>
      </c>
      <c r="V88" s="108">
        <f>IF('kWh_Streetlight Data'!W113=0,"",'kWh_Streetlight Data'!W113)</f>
        <v>2887.75</v>
      </c>
      <c r="W88" s="108">
        <f>IF('kWh_Streetlight Data'!X113=0,"",'kWh_Streetlight Data'!X113)</f>
        <v>2482.4285714285716</v>
      </c>
      <c r="X88" s="108">
        <f>IF('kWh_Streetlight Data'!Y113=0,"",'kWh_Streetlight Data'!Y113)</f>
        <v>2448.9230769230771</v>
      </c>
      <c r="Y88" s="108">
        <f>IF('kWh_Streetlight Data'!Z113=0,"",'kWh_Streetlight Data'!Z113)</f>
        <v>2903.0769230769229</v>
      </c>
      <c r="Z88" s="108">
        <f>IF('kWh_Streetlight Data'!AA113=0,"",'kWh_Streetlight Data'!AA113)</f>
        <v>4183.181818181818</v>
      </c>
      <c r="AA88" s="426">
        <f>IF('kWh_Streetlight Data'!AB113=0,"",'kWh_Streetlight Data'!AB113)</f>
        <v>3488.1225806451612</v>
      </c>
      <c r="AB88" s="442">
        <f>IF('kWh_Streetlight Data'!AC113=0,"",'kWh_Streetlight Data'!AC113)</f>
        <v>5388.363636363636</v>
      </c>
      <c r="AC88" s="443">
        <f>IF('kWh_Streetlight Data'!AD113=0,"",'kWh_Streetlight Data'!AD113)</f>
        <v>4355.363636363636</v>
      </c>
      <c r="AD88" s="443">
        <f>IF('kWh_Streetlight Data'!AE113=0,"",'kWh_Streetlight Data'!AE113)</f>
        <v>4621.166666666667</v>
      </c>
      <c r="AE88" s="443">
        <f>IF('kWh_Streetlight Data'!AF113=0,"",'kWh_Streetlight Data'!AF113)</f>
        <v>3990.8333333333335</v>
      </c>
      <c r="AF88" s="443">
        <f>IF('kWh_Streetlight Data'!AG113=0,"",'kWh_Streetlight Data'!AG113)</f>
        <v>3953.25</v>
      </c>
      <c r="AG88" s="443">
        <f>IF('kWh_Streetlight Data'!AH113=0,"",'kWh_Streetlight Data'!AH113)</f>
        <v>3278.5</v>
      </c>
      <c r="AH88" s="443">
        <f>IF('kWh_Streetlight Data'!AI113=0,"",'kWh_Streetlight Data'!AI113)</f>
        <v>2727.5833333333335</v>
      </c>
      <c r="AI88" s="443">
        <f>IF('kWh_Streetlight Data'!AJ113=0,"",'kWh_Streetlight Data'!AJ113)</f>
        <v>2979.1666666666665</v>
      </c>
      <c r="AJ88" s="443">
        <f>IF('kWh_Streetlight Data'!AK113=0,"",'kWh_Streetlight Data'!AK113)</f>
        <v>2557.5833333333335</v>
      </c>
      <c r="AK88" s="443">
        <f>IF('kWh_Streetlight Data'!AL113=0,"",'kWh_Streetlight Data'!AL113)</f>
        <v>2986.1666666666665</v>
      </c>
      <c r="AL88" s="443">
        <f>IF('kWh_Streetlight Data'!AM113=0,"",'kWh_Streetlight Data'!AM113)</f>
        <v>3519.2307692307691</v>
      </c>
      <c r="AM88" s="443">
        <f>IF('kWh_Streetlight Data'!AN113=0,"",'kWh_Streetlight Data'!AN113)</f>
        <v>4455.166666666667</v>
      </c>
      <c r="AN88" s="424">
        <f>IF('kWh_Streetlight Data'!AO113=0,"",'kWh_Streetlight Data'!AO113)</f>
        <v>3716.951048951049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109"/>
      <c r="BM92" s="39"/>
      <c r="BN92" s="210"/>
      <c r="BO92" s="13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64"/>
      <c r="BJ93" s="64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Data'!C114=0,"",'kWh_Streetlight Data'!C114)</f>
        <v/>
      </c>
      <c r="C94" s="108" t="str">
        <f>IF('kWh_Streetlight Data'!D114=0,"",'kWh_Streetlight Data'!D114)</f>
        <v/>
      </c>
      <c r="D94" s="108" t="str">
        <f>IF('kWh_Streetlight Data'!E114=0,"",'kWh_Streetlight Data'!E114)</f>
        <v/>
      </c>
      <c r="E94" s="108" t="str">
        <f>IF('kWh_Streetlight Data'!F114=0,"",'kWh_Streetlight Data'!F114)</f>
        <v/>
      </c>
      <c r="F94" s="108" t="str">
        <f>IF('kWh_Streetlight Data'!G114=0,"",'kWh_Streetlight Data'!G114)</f>
        <v/>
      </c>
      <c r="G94" s="108" t="str">
        <f>IF('kWh_Streetlight Data'!H114=0,"",'kWh_Streetlight Data'!H114)</f>
        <v/>
      </c>
      <c r="H94" s="108" t="str">
        <f>IF('kWh_Streetlight Data'!I114=0,"",'kWh_Streetlight Data'!I114)</f>
        <v/>
      </c>
      <c r="I94" s="108" t="str">
        <f>IF('kWh_Streetlight Data'!J114=0,"",'kWh_Streetlight Data'!J114)</f>
        <v/>
      </c>
      <c r="J94" s="108" t="str">
        <f>IF('kWh_Streetlight Data'!K114=0,"",'kWh_Streetlight Data'!K114)</f>
        <v/>
      </c>
      <c r="K94" s="108" t="str">
        <f>IF('kWh_Streetlight Data'!L114=0,"",'kWh_Streetlight Data'!L114)</f>
        <v/>
      </c>
      <c r="L94" s="130" t="str">
        <f>IF('kWh_Streetlight Data'!M114=0,"",'kWh_Streetlight Data'!M114)</f>
        <v/>
      </c>
      <c r="M94" s="130" t="str">
        <f>IF('kWh_Streetlight Data'!N114=0,"",'kWh_Streetlight Data'!N114)</f>
        <v/>
      </c>
      <c r="N94" s="425" t="str">
        <f>IF('kWh_Streetlight Data'!O114=0,"",'kWh_Streetlight Data'!O114)</f>
        <v/>
      </c>
      <c r="O94" s="84" t="str">
        <f>IF('kWh_Streetlight Data'!P114=0,"",'kWh_Streetlight Data'!P114)</f>
        <v/>
      </c>
      <c r="P94" s="108" t="str">
        <f>IF('kWh_Streetlight Data'!Q114=0,"",'kWh_Streetlight Data'!Q114)</f>
        <v/>
      </c>
      <c r="Q94" s="108" t="str">
        <f>IF('kWh_Streetlight Data'!R114=0,"",'kWh_Streetlight Data'!R114)</f>
        <v/>
      </c>
      <c r="R94" s="108" t="str">
        <f>IF('kWh_Streetlight Data'!S114=0,"",'kWh_Streetlight Data'!S114)</f>
        <v/>
      </c>
      <c r="S94" s="108" t="str">
        <f>IF('kWh_Streetlight Data'!T114=0,"",'kWh_Streetlight Data'!T114)</f>
        <v/>
      </c>
      <c r="T94" s="108" t="str">
        <f>IF('kWh_Streetlight Data'!U114=0,"",'kWh_Streetlight Data'!U114)</f>
        <v/>
      </c>
      <c r="U94" s="108" t="str">
        <f>IF('kWh_Streetlight Data'!V114=0,"",'kWh_Streetlight Data'!V114)</f>
        <v/>
      </c>
      <c r="V94" s="108" t="str">
        <f>IF('kWh_Streetlight Data'!W114=0,"",'kWh_Streetlight Data'!W114)</f>
        <v/>
      </c>
      <c r="W94" s="108" t="str">
        <f>IF('kWh_Streetlight Data'!X114=0,"",'kWh_Streetlight Data'!X114)</f>
        <v/>
      </c>
      <c r="X94" s="108" t="str">
        <f>IF('kWh_Streetlight Data'!Y114=0,"",'kWh_Streetlight Data'!Y114)</f>
        <v/>
      </c>
      <c r="Y94" s="108" t="str">
        <f>IF('kWh_Streetlight Data'!Z114=0,"",'kWh_Streetlight Data'!Z114)</f>
        <v/>
      </c>
      <c r="Z94" s="108" t="str">
        <f>IF('kWh_Streetlight Data'!AA114=0,"",'kWh_Streetlight Data'!AA114)</f>
        <v/>
      </c>
      <c r="AA94" s="426" t="str">
        <f>IF('kWh_Streetlight Data'!AB114=0,"",'kWh_Streetlight Data'!AB114)</f>
        <v/>
      </c>
      <c r="AB94" s="84" t="str">
        <f>IF('kWh_Streetlight Data'!AC114=0,"",'kWh_Streetlight Data'!AC114)</f>
        <v/>
      </c>
      <c r="AC94" s="108" t="str">
        <f>IF('kWh_Streetlight Data'!AD114=0,"",'kWh_Streetlight Data'!AD114)</f>
        <v/>
      </c>
      <c r="AD94" s="108" t="str">
        <f>IF('kWh_Streetlight Data'!AE114=0,"",'kWh_Streetlight Data'!AE114)</f>
        <v/>
      </c>
      <c r="AE94" s="108" t="str">
        <f>IF('kWh_Streetlight Data'!AF114=0,"",'kWh_Streetlight Data'!AF114)</f>
        <v/>
      </c>
      <c r="AF94" s="108" t="str">
        <f>IF('kWh_Streetlight Data'!AG114=0,"",'kWh_Streetlight Data'!AG114)</f>
        <v/>
      </c>
      <c r="AG94" s="108" t="str">
        <f>IF('kWh_Streetlight Data'!AH114=0,"",'kWh_Streetlight Data'!AH114)</f>
        <v/>
      </c>
      <c r="AH94" s="108" t="str">
        <f>IF('kWh_Streetlight Data'!AI114=0,"",'kWh_Streetlight Data'!AI114)</f>
        <v/>
      </c>
      <c r="AI94" s="108" t="str">
        <f>IF('kWh_Streetlight Data'!AJ114=0,"",'kWh_Streetlight Data'!AJ114)</f>
        <v/>
      </c>
      <c r="AJ94" s="108" t="str">
        <f>IF('kWh_Streetlight Data'!AK114=0,"",'kWh_Streetlight Data'!AK114)</f>
        <v/>
      </c>
      <c r="AK94" s="108" t="str">
        <f>IF('kWh_Streetlight Data'!AL114=0,"",'kWh_Streetlight Data'!AL114)</f>
        <v/>
      </c>
      <c r="AL94" s="108" t="str">
        <f>IF('kWh_Streetlight Data'!AM114=0,"",'kWh_Streetlight Data'!AM114)</f>
        <v/>
      </c>
      <c r="AM94" s="108" t="str">
        <f>IF('kWh_Streetlight Data'!AN114=0,"",'kWh_Streetlight Data'!AN114)</f>
        <v/>
      </c>
      <c r="AN94" s="424" t="str">
        <f>IF('kWh_Streetlight Data'!AO114=0,"",'kWh_Streetlight Data'!AO114)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108"/>
      <c r="BM94" s="108"/>
      <c r="BN94" s="211"/>
      <c r="BO94" s="14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9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9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/>
    </row>
    <row r="99" spans="1:69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/>
    </row>
    <row r="100" spans="1:69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/>
    </row>
    <row r="101" spans="1:69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/>
    </row>
    <row r="102" spans="1:69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/>
    </row>
    <row r="103" spans="1:69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9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/>
    </row>
    <row r="105" spans="1:69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/>
    </row>
    <row r="106" spans="1:69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/>
    </row>
    <row r="107" spans="1:69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9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/>
    </row>
    <row r="109" spans="1:69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/>
    </row>
    <row r="110" spans="1:69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/>
    </row>
    <row r="111" spans="1:69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/>
    </row>
    <row r="112" spans="1:69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/>
      <c r="BQ112" s="202"/>
    </row>
    <row r="113" spans="1:69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/>
    </row>
    <row r="114" spans="1:69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/>
      <c r="BQ114" s="202"/>
    </row>
    <row r="115" spans="1:69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/>
    </row>
    <row r="116" spans="1:69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/>
    </row>
    <row r="117" spans="1:69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9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9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/>
      <c r="AV119" s="280"/>
      <c r="AW119" s="280"/>
      <c r="AX119" s="280"/>
      <c r="AY119" s="280"/>
      <c r="AZ119" s="280"/>
      <c r="BA119" s="259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59"/>
      <c r="BO119" s="343"/>
    </row>
    <row r="120" spans="1:69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/>
      <c r="AU120" s="107"/>
      <c r="AV120" s="39"/>
      <c r="AW120" s="39"/>
      <c r="AX120" s="39"/>
      <c r="AY120" s="39"/>
      <c r="AZ120" s="39"/>
      <c r="BA120" s="215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215"/>
      <c r="BO120" s="141"/>
    </row>
    <row r="121" spans="1:69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/>
      <c r="AU121" s="107"/>
      <c r="AV121" s="39"/>
      <c r="AW121" s="39"/>
      <c r="AX121" s="39"/>
      <c r="AY121" s="39"/>
      <c r="AZ121" s="39"/>
      <c r="BA121" s="215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215"/>
      <c r="BO121" s="141"/>
    </row>
    <row r="122" spans="1:69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/>
      <c r="AV122" s="57"/>
      <c r="AW122" s="57"/>
      <c r="AX122" s="57"/>
      <c r="AY122" s="57"/>
      <c r="AZ122" s="57"/>
      <c r="BA122" s="215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215"/>
      <c r="BO122" s="141"/>
    </row>
    <row r="123" spans="1:69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/>
      <c r="AV123" s="57"/>
      <c r="AW123" s="57"/>
      <c r="AX123" s="57"/>
      <c r="AY123" s="57"/>
      <c r="AZ123" s="57"/>
      <c r="BA123" s="215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215"/>
      <c r="BO123" s="141"/>
    </row>
    <row r="124" spans="1:69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/>
      <c r="AV124" s="344"/>
      <c r="AW124" s="344"/>
      <c r="AX124" s="344"/>
      <c r="AY124" s="344"/>
      <c r="AZ124" s="344"/>
      <c r="BA124" s="345"/>
      <c r="BB124" s="344"/>
      <c r="BC124" s="344"/>
      <c r="BD124" s="344"/>
      <c r="BE124" s="344"/>
      <c r="BF124" s="344"/>
      <c r="BG124" s="344"/>
      <c r="BH124" s="344"/>
      <c r="BI124" s="344"/>
      <c r="BJ124" s="344"/>
      <c r="BK124" s="344"/>
      <c r="BL124" s="344"/>
      <c r="BM124" s="344"/>
      <c r="BN124" s="345"/>
      <c r="BO124" s="272"/>
    </row>
    <row r="125" spans="1:69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9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9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9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/>
      <c r="AU132" s="66"/>
      <c r="AV132" s="66"/>
      <c r="AW132" s="66"/>
      <c r="AX132" s="66"/>
      <c r="AY132" s="66"/>
      <c r="AZ132" s="66"/>
      <c r="BA132" s="21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216">
        <f>BN111+BN124</f>
        <v>0</v>
      </c>
      <c r="BO132" s="185"/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O133"/>
  <sheetViews>
    <sheetView zoomScale="80" zoomScaleNormal="80" workbookViewId="0">
      <pane xSplit="1" ySplit="5" topLeftCell="N6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7" width="13.5703125" hidden="1" customWidth="1" outlineLevel="1"/>
    <col min="8" max="8" width="13.140625" hidden="1" customWidth="1" outlineLevel="1"/>
    <col min="9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9" hidden="1" customWidth="1" outlineLevel="1"/>
    <col min="35" max="35" width="11.42578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9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1" width="14.85546875" hidden="1" customWidth="1" outlineLevel="1"/>
    <col min="62" max="62" width="15.71093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3.85546875" style="3" bestFit="1" customWidth="1" collapsed="1"/>
    <col min="67" max="67" width="18.5703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141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 t="s">
        <v>2</v>
      </c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32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30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19" t="s">
        <v>36</v>
      </c>
      <c r="BC5" s="519" t="s">
        <v>37</v>
      </c>
      <c r="BD5" s="519" t="s">
        <v>38</v>
      </c>
      <c r="BE5" s="519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5"/>
      <c r="AO6" s="385"/>
      <c r="AP6" s="35"/>
      <c r="AQ6" s="35"/>
      <c r="AR6" s="35"/>
      <c r="AS6" s="35"/>
      <c r="AT6" s="22"/>
      <c r="AU6" s="9"/>
      <c r="AV6" s="9"/>
      <c r="AW6" s="9"/>
      <c r="AX6" s="9"/>
      <c r="AY6" s="9"/>
      <c r="AZ6" s="9"/>
      <c r="BA6" s="209"/>
      <c r="BB6" s="9"/>
      <c r="BC6" s="9"/>
      <c r="BD6" s="9"/>
      <c r="BE6" s="9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297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95"/>
      <c r="AO7" s="148"/>
      <c r="AP7" s="149"/>
      <c r="AQ7" s="149"/>
      <c r="AR7" s="149"/>
      <c r="AS7" s="149"/>
      <c r="AT7" s="145"/>
      <c r="AU7" s="109"/>
      <c r="AV7" s="109"/>
      <c r="AW7" s="109"/>
      <c r="AX7" s="109"/>
      <c r="AY7" s="109"/>
      <c r="AZ7" s="109"/>
      <c r="BA7" s="210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143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297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95"/>
      <c r="AO8" s="148"/>
      <c r="AP8" s="149"/>
      <c r="AQ8" s="149"/>
      <c r="AR8" s="149"/>
      <c r="AS8" s="149"/>
      <c r="AT8" s="145"/>
      <c r="AU8" s="39"/>
      <c r="AV8" s="39"/>
      <c r="AW8" s="39"/>
      <c r="AX8" s="39"/>
      <c r="AY8" s="39"/>
      <c r="AZ8" s="39"/>
      <c r="BA8" s="210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210"/>
      <c r="BO8" s="143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297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95"/>
      <c r="AO9" s="148"/>
      <c r="AP9" s="149"/>
      <c r="AQ9" s="149"/>
      <c r="AR9" s="149"/>
      <c r="AS9" s="149"/>
      <c r="AT9" s="145"/>
      <c r="AU9" s="39"/>
      <c r="AV9" s="39"/>
      <c r="AW9" s="39"/>
      <c r="AX9" s="39"/>
      <c r="AY9" s="39"/>
      <c r="AZ9" s="39"/>
      <c r="BA9" s="210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210"/>
      <c r="BO9" s="143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297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95"/>
      <c r="AO10" s="279"/>
      <c r="AP10" s="149"/>
      <c r="AQ10" s="149"/>
      <c r="AR10" s="149"/>
      <c r="AS10" s="149"/>
      <c r="AT10" s="145"/>
      <c r="AU10" s="39"/>
      <c r="AV10" s="39"/>
      <c r="AW10" s="39"/>
      <c r="AX10" s="39"/>
      <c r="AY10" s="39"/>
      <c r="AZ10" s="39"/>
      <c r="BA10" s="210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210"/>
      <c r="BO10" s="143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10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226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424"/>
      <c r="O12" s="84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424"/>
      <c r="AB12" s="84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426"/>
      <c r="AO12" s="43"/>
      <c r="AP12" s="40"/>
      <c r="AQ12" s="40"/>
      <c r="AR12" s="40"/>
      <c r="AS12" s="40"/>
      <c r="AT12" s="17"/>
      <c r="AU12" s="17"/>
      <c r="AV12" s="17"/>
      <c r="AW12" s="17"/>
      <c r="AX12" s="17"/>
      <c r="AY12" s="17"/>
      <c r="AZ12" s="17"/>
      <c r="BA12" s="211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211"/>
      <c r="BO12" s="237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8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5"/>
      <c r="AO13" s="100"/>
      <c r="AP13" s="87"/>
      <c r="AQ13" s="87"/>
      <c r="AR13" s="87"/>
      <c r="AS13" s="87"/>
      <c r="AT13" s="39"/>
      <c r="AU13" s="39" t="s">
        <v>2</v>
      </c>
      <c r="AV13" s="39" t="s">
        <v>2</v>
      </c>
      <c r="AW13" s="39" t="s">
        <v>2</v>
      </c>
      <c r="AX13" s="39" t="s">
        <v>2</v>
      </c>
      <c r="AY13" s="39" t="s">
        <v>2</v>
      </c>
      <c r="AZ13" s="39" t="s">
        <v>2</v>
      </c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5"/>
      <c r="AO14" s="34"/>
      <c r="AP14" s="35"/>
      <c r="AQ14" s="35"/>
      <c r="AR14" s="35"/>
      <c r="AS14" s="35"/>
      <c r="AT14" s="22"/>
      <c r="AU14" s="9"/>
      <c r="AV14" s="9"/>
      <c r="AW14" s="9"/>
      <c r="AX14" s="9"/>
      <c r="AY14" s="9"/>
      <c r="AZ14" s="9"/>
      <c r="BA14" s="209"/>
      <c r="BB14" s="9"/>
      <c r="BC14" s="9"/>
      <c r="BD14" s="9"/>
      <c r="BE14" s="9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297"/>
      <c r="AC15" s="288"/>
      <c r="AD15" s="288"/>
      <c r="AE15" s="288"/>
      <c r="AF15" s="288"/>
      <c r="AG15" s="288"/>
      <c r="AH15" s="288"/>
      <c r="AI15" s="288"/>
      <c r="AJ15" s="9"/>
      <c r="AK15" s="9"/>
      <c r="AL15" s="9"/>
      <c r="AM15" s="288"/>
      <c r="AN15" s="95"/>
      <c r="AO15" s="148"/>
      <c r="AP15" s="149"/>
      <c r="AQ15" s="149"/>
      <c r="AR15" s="149"/>
      <c r="AS15" s="149"/>
      <c r="AT15" s="38"/>
      <c r="AU15" s="124">
        <f>Customers!E226</f>
        <v>445</v>
      </c>
      <c r="AV15" s="124">
        <f>Customers!F226</f>
        <v>454</v>
      </c>
      <c r="AW15" s="124">
        <f>Customers!G226</f>
        <v>463</v>
      </c>
      <c r="AX15" s="124">
        <f>Customers!H226</f>
        <v>463</v>
      </c>
      <c r="AY15" s="124">
        <f>Customers!I226</f>
        <v>463</v>
      </c>
      <c r="AZ15" s="124">
        <f>Customers!J226</f>
        <v>463</v>
      </c>
      <c r="BA15" s="210">
        <f>AZ15</f>
        <v>463</v>
      </c>
      <c r="BB15" s="39">
        <v>463</v>
      </c>
      <c r="BC15" s="39">
        <v>463</v>
      </c>
      <c r="BD15" s="39">
        <v>463</v>
      </c>
      <c r="BE15" s="109">
        <v>463</v>
      </c>
      <c r="BF15" s="109">
        <f t="shared" ref="BF15:BM15" si="0">BE15</f>
        <v>463</v>
      </c>
      <c r="BG15" s="109">
        <f t="shared" si="0"/>
        <v>463</v>
      </c>
      <c r="BH15" s="109">
        <f>BG15+18</f>
        <v>481</v>
      </c>
      <c r="BI15" s="109">
        <f t="shared" si="0"/>
        <v>481</v>
      </c>
      <c r="BJ15" s="109">
        <f t="shared" si="0"/>
        <v>481</v>
      </c>
      <c r="BK15" s="109">
        <f t="shared" si="0"/>
        <v>481</v>
      </c>
      <c r="BL15" s="109">
        <f t="shared" si="0"/>
        <v>481</v>
      </c>
      <c r="BM15" s="109">
        <f t="shared" si="0"/>
        <v>481</v>
      </c>
      <c r="BN15" s="210">
        <f>IFERROR(ROUND(AVERAGE(BB15:BM15),0),0)</f>
        <v>472</v>
      </c>
      <c r="BO15" s="125">
        <f>Customers!L226</f>
        <v>499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297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95"/>
      <c r="AO16" s="148"/>
      <c r="AP16" s="149"/>
      <c r="AQ16" s="149"/>
      <c r="AR16" s="149"/>
      <c r="AS16" s="149"/>
      <c r="AT16" s="38"/>
      <c r="AU16" s="38">
        <f>ROUND(AU$19*'kWh Blocks by Rate Category'!C15,0)</f>
        <v>215544</v>
      </c>
      <c r="AV16" s="38">
        <f>ROUND(AV$19*'kWh Blocks by Rate Category'!D15,0)</f>
        <v>269867</v>
      </c>
      <c r="AW16" s="38">
        <f>ROUND(AW$19*'kWh Blocks by Rate Category'!E15,0)</f>
        <v>285625</v>
      </c>
      <c r="AX16" s="38">
        <f>ROUND(AX$19*'kWh Blocks by Rate Category'!F15,0)</f>
        <v>276543</v>
      </c>
      <c r="AY16" s="38">
        <f>ROUND(AY$19*'kWh Blocks by Rate Category'!G15,0)</f>
        <v>280211</v>
      </c>
      <c r="AZ16" s="38">
        <f>ROUND(AZ$19*'kWh Blocks by Rate Category'!H15,0)</f>
        <v>380264</v>
      </c>
      <c r="BA16" s="210">
        <f>SUM(AO16:AZ16)</f>
        <v>1708054</v>
      </c>
      <c r="BB16" s="38">
        <v>551843</v>
      </c>
      <c r="BC16" s="38">
        <v>543277</v>
      </c>
      <c r="BD16" s="38">
        <v>455138</v>
      </c>
      <c r="BE16" s="38">
        <v>411843</v>
      </c>
      <c r="BF16" s="38">
        <f>ROUND(BF$19*'kWh Blocks by Rate Category'!N15,0)</f>
        <v>364112</v>
      </c>
      <c r="BG16" s="38">
        <f>ROUND(BG$19*'kWh Blocks by Rate Category'!O15,0)</f>
        <v>272740</v>
      </c>
      <c r="BH16" s="38">
        <f>ROUND(BH$19*'kWh Blocks by Rate Category'!P15,0)</f>
        <v>232981</v>
      </c>
      <c r="BI16" s="38">
        <f>ROUND(BI$19*'kWh Blocks by Rate Category'!Q15,0)</f>
        <v>285917</v>
      </c>
      <c r="BJ16" s="38">
        <f>ROUND(BJ$19*'kWh Blocks by Rate Category'!R15,0)</f>
        <v>296729</v>
      </c>
      <c r="BK16" s="38">
        <f>ROUND(BK$19*'kWh Blocks by Rate Category'!S15,0)</f>
        <v>287294</v>
      </c>
      <c r="BL16" s="38">
        <f>ROUND(BL$19*'kWh Blocks by Rate Category'!T15,0)</f>
        <v>291105</v>
      </c>
      <c r="BM16" s="38">
        <f>ROUND(BM$19*'kWh Blocks by Rate Category'!U15,0)</f>
        <v>395048</v>
      </c>
      <c r="BN16" s="210">
        <f>SUM(BB16:BM16)</f>
        <v>4388027</v>
      </c>
      <c r="BO16" s="143">
        <f>ROUND(BO$19*'kWh Blocks by Rate Category'!W15,0)</f>
        <v>4639036</v>
      </c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297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/>
      <c r="AN17" s="95"/>
      <c r="AO17" s="148"/>
      <c r="AP17" s="149"/>
      <c r="AQ17" s="149"/>
      <c r="AR17" s="149"/>
      <c r="AS17" s="149"/>
      <c r="AT17" s="38"/>
      <c r="AU17" s="38">
        <f>ROUND(AU$19*'kWh Blocks by Rate Category'!C16,0)</f>
        <v>114852</v>
      </c>
      <c r="AV17" s="38">
        <f>ROUND(AV$19*'kWh Blocks by Rate Category'!D16,0)</f>
        <v>143799</v>
      </c>
      <c r="AW17" s="38">
        <f>ROUND(AW$19*'kWh Blocks by Rate Category'!E16,0)</f>
        <v>152195</v>
      </c>
      <c r="AX17" s="38">
        <f>ROUND(AX$19*'kWh Blocks by Rate Category'!F16,0)</f>
        <v>147356</v>
      </c>
      <c r="AY17" s="38">
        <f>ROUND(AY$19*'kWh Blocks by Rate Category'!G16,0)</f>
        <v>149310</v>
      </c>
      <c r="AZ17" s="38">
        <f>ROUND(AZ$19*'kWh Blocks by Rate Category'!H16,0)</f>
        <v>202624</v>
      </c>
      <c r="BA17" s="210">
        <f>SUM(AO17:AZ17)</f>
        <v>910136</v>
      </c>
      <c r="BB17" s="38">
        <v>294049</v>
      </c>
      <c r="BC17" s="38">
        <v>289485</v>
      </c>
      <c r="BD17" s="38">
        <v>242520</v>
      </c>
      <c r="BE17" s="38">
        <v>219450</v>
      </c>
      <c r="BF17" s="38">
        <f>ROUND(BF$19*'kWh Blocks by Rate Category'!N16,0)</f>
        <v>194017</v>
      </c>
      <c r="BG17" s="38">
        <f>ROUND(BG$19*'kWh Blocks by Rate Category'!O16,0)</f>
        <v>145329</v>
      </c>
      <c r="BH17" s="38">
        <f>ROUND(BH$19*'kWh Blocks by Rate Category'!P16,0)</f>
        <v>124144</v>
      </c>
      <c r="BI17" s="38">
        <f>ROUND(BI$19*'kWh Blocks by Rate Category'!Q16,0)</f>
        <v>152351</v>
      </c>
      <c r="BJ17" s="38">
        <f>ROUND(BJ$19*'kWh Blocks by Rate Category'!R16,0)</f>
        <v>158112</v>
      </c>
      <c r="BK17" s="38">
        <f>ROUND(BK$19*'kWh Blocks by Rate Category'!S16,0)</f>
        <v>153085</v>
      </c>
      <c r="BL17" s="38">
        <f>ROUND(BL$19*'kWh Blocks by Rate Category'!T16,0)</f>
        <v>155115</v>
      </c>
      <c r="BM17" s="38">
        <f>ROUND(BM$19*'kWh Blocks by Rate Category'!U16,0)</f>
        <v>210501</v>
      </c>
      <c r="BN17" s="210">
        <f>SUM(BB17:BM17)</f>
        <v>2338158</v>
      </c>
      <c r="BO17" s="143">
        <f>ROUND(BO$19*'kWh Blocks by Rate Category'!W16,0)</f>
        <v>2471908</v>
      </c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297"/>
      <c r="AC18" s="288"/>
      <c r="AD18" s="288"/>
      <c r="AE18" s="288"/>
      <c r="AF18" s="288"/>
      <c r="AG18" s="288"/>
      <c r="AH18" s="288"/>
      <c r="AI18" s="288"/>
      <c r="AJ18" s="288"/>
      <c r="AK18" s="288"/>
      <c r="AL18" s="288"/>
      <c r="AM18" s="288"/>
      <c r="AN18" s="95"/>
      <c r="AO18" s="279"/>
      <c r="AP18" s="149"/>
      <c r="AQ18" s="149"/>
      <c r="AR18" s="149"/>
      <c r="AS18" s="149"/>
      <c r="AT18" s="38"/>
      <c r="AU18" s="38">
        <f>ROUND(AU$19*'kWh Blocks by Rate Category'!C17,0)</f>
        <v>21900</v>
      </c>
      <c r="AV18" s="38">
        <f>ROUND(AV$19*'kWh Blocks by Rate Category'!D17,0)</f>
        <v>27419</v>
      </c>
      <c r="AW18" s="38">
        <f>ROUND(AW$19*'kWh Blocks by Rate Category'!E17,0)</f>
        <v>29020</v>
      </c>
      <c r="AX18" s="38">
        <f>ROUND(AX$19*'kWh Blocks by Rate Category'!F17,0)</f>
        <v>28098</v>
      </c>
      <c r="AY18" s="38">
        <f>ROUND(AY$19*'kWh Blocks by Rate Category'!G17,0)</f>
        <v>28470</v>
      </c>
      <c r="AZ18" s="38">
        <f>ROUND(AZ$19*'kWh Blocks by Rate Category'!H17,0)</f>
        <v>38636</v>
      </c>
      <c r="BA18" s="210">
        <f>SUM(AO18:AZ18)</f>
        <v>173543</v>
      </c>
      <c r="BB18" s="38">
        <v>56069</v>
      </c>
      <c r="BC18" s="38">
        <v>55198</v>
      </c>
      <c r="BD18" s="38">
        <v>46243</v>
      </c>
      <c r="BE18" s="38">
        <v>41844</v>
      </c>
      <c r="BF18" s="38">
        <f>ROUND(BF$19*'kWh Blocks by Rate Category'!N17,0)</f>
        <v>36995</v>
      </c>
      <c r="BG18" s="38">
        <f>ROUND(BG$19*'kWh Blocks by Rate Category'!O17,0)</f>
        <v>27711</v>
      </c>
      <c r="BH18" s="38">
        <f>ROUND(BH$19*'kWh Blocks by Rate Category'!P17,0)</f>
        <v>23671</v>
      </c>
      <c r="BI18" s="38">
        <f>ROUND(BI$19*'kWh Blocks by Rate Category'!Q17,0)</f>
        <v>29050</v>
      </c>
      <c r="BJ18" s="38">
        <f>ROUND(BJ$19*'kWh Blocks by Rate Category'!R17,0)</f>
        <v>30148</v>
      </c>
      <c r="BK18" s="38">
        <f>ROUND(BK$19*'kWh Blocks by Rate Category'!S17,0)</f>
        <v>29190</v>
      </c>
      <c r="BL18" s="38">
        <f>ROUND(BL$19*'kWh Blocks by Rate Category'!T17,0)</f>
        <v>29577</v>
      </c>
      <c r="BM18" s="38">
        <f>ROUND(BM$19*'kWh Blocks by Rate Category'!U17,0)</f>
        <v>40138</v>
      </c>
      <c r="BN18" s="210">
        <f>SUM(BB18:BM18)</f>
        <v>445834</v>
      </c>
      <c r="BO18" s="143">
        <f>ROUND(BO$19*'kWh Blocks by Rate Category'!W17,0)</f>
        <v>471338</v>
      </c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10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226"/>
      <c r="AO19" s="151"/>
      <c r="AP19" s="152"/>
      <c r="AQ19" s="152"/>
      <c r="AR19" s="152"/>
      <c r="AS19" s="152"/>
      <c r="AT19" s="64"/>
      <c r="AU19" s="64">
        <f t="shared" ref="AU19:AY19" si="1">IFERROR(ROUND(AU20*AU15,0),0)</f>
        <v>352296</v>
      </c>
      <c r="AV19" s="64">
        <f t="shared" si="1"/>
        <v>441085</v>
      </c>
      <c r="AW19" s="64">
        <f t="shared" si="1"/>
        <v>466840</v>
      </c>
      <c r="AX19" s="64">
        <f t="shared" si="1"/>
        <v>451997</v>
      </c>
      <c r="AY19" s="64">
        <f t="shared" si="1"/>
        <v>457991</v>
      </c>
      <c r="AZ19" s="64">
        <f>IFERROR(ROUND(AZ20*AZ15,0),0)+1</f>
        <v>621524</v>
      </c>
      <c r="BA19" s="196">
        <f>SUM(AT19:AZ19)</f>
        <v>2791733</v>
      </c>
      <c r="BB19" s="64">
        <v>901961</v>
      </c>
      <c r="BC19" s="64">
        <v>887960</v>
      </c>
      <c r="BD19" s="64">
        <v>743902</v>
      </c>
      <c r="BE19" s="64">
        <v>673137</v>
      </c>
      <c r="BF19" s="64">
        <f t="shared" ref="BF19:BL19" si="2">IFERROR(ROUND(BF20*BF15,0),0)</f>
        <v>595123</v>
      </c>
      <c r="BG19" s="64">
        <f t="shared" si="2"/>
        <v>445780</v>
      </c>
      <c r="BH19" s="64">
        <f t="shared" si="2"/>
        <v>380796</v>
      </c>
      <c r="BI19" s="64">
        <f t="shared" si="2"/>
        <v>467317</v>
      </c>
      <c r="BJ19" s="64">
        <f t="shared" si="2"/>
        <v>484989</v>
      </c>
      <c r="BK19" s="64">
        <f t="shared" si="2"/>
        <v>469569</v>
      </c>
      <c r="BL19" s="64">
        <f t="shared" si="2"/>
        <v>475797</v>
      </c>
      <c r="BM19" s="64">
        <f>IFERROR(ROUND(BM20*BM15,0),0)+1</f>
        <v>645687</v>
      </c>
      <c r="BN19" s="196">
        <f>SUM(BB19:BM19)</f>
        <v>7172018</v>
      </c>
      <c r="BO19" s="147">
        <f>ROUND(BO15*BO20,0)</f>
        <v>7582282</v>
      </c>
    </row>
    <row r="20" spans="1:67" ht="15" thickTop="1">
      <c r="A20" s="374" t="s">
        <v>54</v>
      </c>
      <c r="B20" s="84" t="str">
        <f>IF('kWh_Streetlight Data'!C150=0,"",'kWh_Streetlight Data'!C150)</f>
        <v/>
      </c>
      <c r="C20" s="108" t="str">
        <f>IF('kWh_Streetlight Data'!D150=0,"",'kWh_Streetlight Data'!D150)</f>
        <v/>
      </c>
      <c r="D20" s="108" t="str">
        <f>IF('kWh_Streetlight Data'!E150=0,"",'kWh_Streetlight Data'!E150)</f>
        <v/>
      </c>
      <c r="E20" s="108" t="str">
        <f>IF('kWh_Streetlight Data'!F150=0,"",'kWh_Streetlight Data'!F150)</f>
        <v/>
      </c>
      <c r="F20" s="108" t="str">
        <f>IF('kWh_Streetlight Data'!G150=0,"",'kWh_Streetlight Data'!G150)</f>
        <v/>
      </c>
      <c r="G20" s="108" t="str">
        <f>IF('kWh_Streetlight Data'!H150=0,"",'kWh_Streetlight Data'!H150)</f>
        <v/>
      </c>
      <c r="H20" s="108" t="str">
        <f>IF('kWh_Streetlight Data'!I150=0,"",'kWh_Streetlight Data'!I150)</f>
        <v/>
      </c>
      <c r="I20" s="108" t="str">
        <f>IF('kWh_Streetlight Data'!J150=0,"",'kWh_Streetlight Data'!J150)</f>
        <v/>
      </c>
      <c r="J20" s="108" t="str">
        <f>IF('kWh_Streetlight Data'!K150=0,"",'kWh_Streetlight Data'!K150)</f>
        <v/>
      </c>
      <c r="K20" s="108" t="str">
        <f>IF('kWh_Streetlight Data'!L150=0,"",'kWh_Streetlight Data'!L150)</f>
        <v/>
      </c>
      <c r="L20" s="108" t="str">
        <f>IF('kWh_Streetlight Data'!M150=0,"",'kWh_Streetlight Data'!M150)</f>
        <v/>
      </c>
      <c r="M20" s="108" t="str">
        <f>IF('kWh_Streetlight Data'!N150=0,"",'kWh_Streetlight Data'!N150)</f>
        <v/>
      </c>
      <c r="N20" s="424" t="str">
        <f>IF('kWh_Streetlight Data'!O150=0,"",'kWh_Streetlight Data'!O150)</f>
        <v/>
      </c>
      <c r="O20" s="84" t="str">
        <f>IF('kWh_Streetlight Data'!P150=0,"",'kWh_Streetlight Data'!P150)</f>
        <v/>
      </c>
      <c r="P20" s="108" t="str">
        <f>IF('kWh_Streetlight Data'!Q150=0,"",'kWh_Streetlight Data'!Q150)</f>
        <v/>
      </c>
      <c r="Q20" s="108" t="str">
        <f>IF('kWh_Streetlight Data'!R150=0,"",'kWh_Streetlight Data'!R150)</f>
        <v/>
      </c>
      <c r="R20" s="108" t="str">
        <f>IF('kWh_Streetlight Data'!S150=0,"",'kWh_Streetlight Data'!S150)</f>
        <v/>
      </c>
      <c r="S20" s="108" t="str">
        <f>IF('kWh_Streetlight Data'!T150=0,"",'kWh_Streetlight Data'!T150)</f>
        <v/>
      </c>
      <c r="T20" s="108" t="str">
        <f>IF('kWh_Streetlight Data'!U150=0,"",'kWh_Streetlight Data'!U150)</f>
        <v/>
      </c>
      <c r="U20" s="108" t="str">
        <f>IF('kWh_Streetlight Data'!V150=0,"",'kWh_Streetlight Data'!V150)</f>
        <v/>
      </c>
      <c r="V20" s="108" t="str">
        <f>IF('kWh_Streetlight Data'!W150=0,"",'kWh_Streetlight Data'!W150)</f>
        <v/>
      </c>
      <c r="W20" s="108" t="str">
        <f>IF('kWh_Streetlight Data'!X150=0,"",'kWh_Streetlight Data'!X150)</f>
        <v/>
      </c>
      <c r="X20" s="108" t="str">
        <f>IF('kWh_Streetlight Data'!Y150=0,"",'kWh_Streetlight Data'!Y150)</f>
        <v/>
      </c>
      <c r="Y20" s="108" t="str">
        <f>IF('kWh_Streetlight Data'!Z150=0,"",'kWh_Streetlight Data'!Z150)</f>
        <v/>
      </c>
      <c r="Z20" s="108" t="str">
        <f>IF('kWh_Streetlight Data'!AA150=0,"",'kWh_Streetlight Data'!AA150)</f>
        <v/>
      </c>
      <c r="AA20" s="424" t="str">
        <f>IF('kWh_Streetlight Data'!AB150=0,"",'kWh_Streetlight Data'!AB150)</f>
        <v/>
      </c>
      <c r="AB20" s="84">
        <f>IF('kWh_Streetlight Data'!AC150=0,"",'kWh_Streetlight Data'!AC150)</f>
        <v>1948.0795180722891</v>
      </c>
      <c r="AC20" s="108">
        <f>IF('kWh_Streetlight Data'!AD150=0,"",'kWh_Streetlight Data'!AD150)</f>
        <v>1917.8408304498271</v>
      </c>
      <c r="AD20" s="108">
        <f>IF('kWh_Streetlight Data'!AE150=0,"",'kWh_Streetlight Data'!AE150)</f>
        <v>1606.6998223801065</v>
      </c>
      <c r="AE20" s="108">
        <f>IF('kWh_Streetlight Data'!AF150=0,"",'kWh_Streetlight Data'!AF150)</f>
        <v>1453.8588235294117</v>
      </c>
      <c r="AF20" s="108">
        <f>IF('kWh_Streetlight Data'!AG150=0,"",'kWh_Streetlight Data'!AG150)</f>
        <v>1285.3636363636363</v>
      </c>
      <c r="AG20" s="108">
        <f>IF('kWh_Streetlight Data'!AH150=0,"",'kWh_Streetlight Data'!AH150)</f>
        <v>962.80787037037032</v>
      </c>
      <c r="AH20" s="108">
        <f>IF('kWh_Streetlight Data'!AI150=0,"",'kWh_Streetlight Data'!AI150)</f>
        <v>791.67614879649886</v>
      </c>
      <c r="AI20" s="108">
        <f>IF('kWh_Streetlight Data'!AJ150=0,"",'kWh_Streetlight Data'!AJ150)</f>
        <v>971.55275229357801</v>
      </c>
      <c r="AJ20" s="108">
        <f>IF('kWh_Streetlight Data'!AK150=0,"",'kWh_Streetlight Data'!AK150)</f>
        <v>1008.2933333333333</v>
      </c>
      <c r="AK20" s="108">
        <f>IF('kWh_Streetlight Data'!AL150=0,"",'kWh_Streetlight Data'!AL150)</f>
        <v>976.23479729729729</v>
      </c>
      <c r="AL20" s="108">
        <f>IF('kWh_Streetlight Data'!AM150=0,"",'kWh_Streetlight Data'!AM150)</f>
        <v>989.18240343347634</v>
      </c>
      <c r="AM20" s="108">
        <f>IF('kWh_Streetlight Data'!AN150=0,"",'kWh_Streetlight Data'!AN150)</f>
        <v>1342.3827956989248</v>
      </c>
      <c r="AN20" s="426">
        <f>IF('kWh_Streetlight Data'!AO150=0,"",'kWh_Streetlight Data'!AO150)</f>
        <v>1253.2746251660656</v>
      </c>
      <c r="AO20" s="34"/>
      <c r="AP20" s="35"/>
      <c r="AQ20" s="35"/>
      <c r="AR20" s="35"/>
      <c r="AS20" s="35"/>
      <c r="AT20" s="9"/>
      <c r="AU20" s="9">
        <f t="shared" ref="AU20:AZ20" si="3">AH20</f>
        <v>791.67614879649886</v>
      </c>
      <c r="AV20" s="9">
        <f t="shared" si="3"/>
        <v>971.55275229357801</v>
      </c>
      <c r="AW20" s="9">
        <f t="shared" si="3"/>
        <v>1008.2933333333333</v>
      </c>
      <c r="AX20" s="9">
        <f t="shared" si="3"/>
        <v>976.23479729729729</v>
      </c>
      <c r="AY20" s="9">
        <f t="shared" si="3"/>
        <v>989.18240343347634</v>
      </c>
      <c r="AZ20" s="9">
        <f t="shared" si="3"/>
        <v>1342.3827956989248</v>
      </c>
      <c r="BA20" s="211" t="s">
        <v>2</v>
      </c>
      <c r="BB20" s="17">
        <v>1948.0795180722891</v>
      </c>
      <c r="BC20" s="17">
        <v>1917.8408304498271</v>
      </c>
      <c r="BD20" s="17">
        <v>1606.6998223801065</v>
      </c>
      <c r="BE20" s="17">
        <v>1453.8588235294117</v>
      </c>
      <c r="BF20" s="17">
        <f t="shared" ref="BF20:BM20" si="4">AF20</f>
        <v>1285.3636363636363</v>
      </c>
      <c r="BG20" s="17">
        <f t="shared" si="4"/>
        <v>962.80787037037032</v>
      </c>
      <c r="BH20" s="17">
        <f t="shared" si="4"/>
        <v>791.67614879649886</v>
      </c>
      <c r="BI20" s="17">
        <f t="shared" si="4"/>
        <v>971.55275229357801</v>
      </c>
      <c r="BJ20" s="17">
        <f t="shared" si="4"/>
        <v>1008.2933333333333</v>
      </c>
      <c r="BK20" s="17">
        <f t="shared" si="4"/>
        <v>976.23479729729729</v>
      </c>
      <c r="BL20" s="17">
        <f t="shared" si="4"/>
        <v>989.18240343347634</v>
      </c>
      <c r="BM20" s="17">
        <f t="shared" si="4"/>
        <v>1342.3827956989248</v>
      </c>
      <c r="BN20" s="211">
        <f>IFERROR(BN19/SUM(BB15:BM15)*12,0)</f>
        <v>15194.953389830509</v>
      </c>
      <c r="BO20" s="58">
        <f>BN20</f>
        <v>15194.953389830509</v>
      </c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18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96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297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95"/>
      <c r="AO22" s="148"/>
      <c r="AP22" s="149"/>
      <c r="AQ22" s="149"/>
      <c r="AR22" s="149"/>
      <c r="AS22" s="149"/>
      <c r="AT22" s="145"/>
      <c r="AU22" s="109"/>
      <c r="AV22" s="109"/>
      <c r="AW22" s="109"/>
      <c r="AX22" s="109"/>
      <c r="AY22" s="109"/>
      <c r="AZ22" s="109"/>
      <c r="BA22" s="210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297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95"/>
      <c r="AO23" s="148"/>
      <c r="AP23" s="149"/>
      <c r="AQ23" s="149"/>
      <c r="AR23" s="149"/>
      <c r="AS23" s="149"/>
      <c r="AT23" s="145"/>
      <c r="AU23" s="39"/>
      <c r="AV23" s="39"/>
      <c r="AW23" s="39"/>
      <c r="AX23" s="39"/>
      <c r="AY23" s="39"/>
      <c r="AZ23" s="39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297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95"/>
      <c r="AO24" s="148"/>
      <c r="AP24" s="149"/>
      <c r="AQ24" s="149"/>
      <c r="AR24" s="149"/>
      <c r="AS24" s="149"/>
      <c r="AT24" s="145"/>
      <c r="AU24" s="39"/>
      <c r="AV24" s="39"/>
      <c r="AW24" s="39"/>
      <c r="AX24" s="39"/>
      <c r="AY24" s="39"/>
      <c r="AZ24" s="39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297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95"/>
      <c r="AO25" s="148"/>
      <c r="AP25" s="149"/>
      <c r="AQ25" s="149"/>
      <c r="AR25" s="149"/>
      <c r="AS25" s="149"/>
      <c r="AT25" s="145"/>
      <c r="AU25" s="39"/>
      <c r="AV25" s="39"/>
      <c r="AW25" s="39"/>
      <c r="AX25" s="39"/>
      <c r="AY25" s="39"/>
      <c r="AZ25" s="39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10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226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424"/>
      <c r="O27" s="84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424"/>
      <c r="AB27" s="84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426"/>
      <c r="AO27" s="190"/>
      <c r="AP27" s="191"/>
      <c r="AQ27" s="191"/>
      <c r="AR27" s="191"/>
      <c r="AS27" s="191"/>
      <c r="AT27" s="189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18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96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297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95"/>
      <c r="AO29" s="148"/>
      <c r="AP29" s="149"/>
      <c r="AQ29" s="149"/>
      <c r="AR29" s="149"/>
      <c r="AS29" s="149"/>
      <c r="AT29" s="145"/>
      <c r="AU29" s="109"/>
      <c r="AV29" s="109"/>
      <c r="AW29" s="109"/>
      <c r="AX29" s="109"/>
      <c r="AY29" s="109"/>
      <c r="AZ29" s="109"/>
      <c r="BA29" s="210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210"/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297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95"/>
      <c r="AO30" s="148"/>
      <c r="AP30" s="149"/>
      <c r="AQ30" s="149"/>
      <c r="AR30" s="149"/>
      <c r="AS30" s="149"/>
      <c r="AT30" s="145"/>
      <c r="AU30" s="39"/>
      <c r="AV30" s="39"/>
      <c r="AW30" s="39"/>
      <c r="AX30" s="39"/>
      <c r="AY30" s="39"/>
      <c r="AZ30" s="39"/>
      <c r="BA30" s="210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210"/>
      <c r="BO30" s="90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297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95"/>
      <c r="AO31" s="148"/>
      <c r="AP31" s="149"/>
      <c r="AQ31" s="149"/>
      <c r="AR31" s="149"/>
      <c r="AS31" s="149"/>
      <c r="AT31" s="145"/>
      <c r="AU31" s="39"/>
      <c r="AV31" s="39"/>
      <c r="AW31" s="39"/>
      <c r="AX31" s="39"/>
      <c r="AY31" s="39"/>
      <c r="AZ31" s="39"/>
      <c r="BA31" s="210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210"/>
      <c r="BO31" s="90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297"/>
      <c r="AC32" s="288"/>
      <c r="AD32" s="288"/>
      <c r="AE32" s="288"/>
      <c r="AF32" s="288"/>
      <c r="AG32" s="288"/>
      <c r="AH32" s="288"/>
      <c r="AI32" s="288"/>
      <c r="AJ32" s="288"/>
      <c r="AK32" s="288"/>
      <c r="AL32" s="288"/>
      <c r="AM32" s="288"/>
      <c r="AN32" s="95"/>
      <c r="AO32" s="148"/>
      <c r="AP32" s="149"/>
      <c r="AQ32" s="149"/>
      <c r="AR32" s="149"/>
      <c r="AS32" s="149"/>
      <c r="AT32" s="145"/>
      <c r="AU32" s="39"/>
      <c r="AV32" s="39"/>
      <c r="AW32" s="39"/>
      <c r="AX32" s="39"/>
      <c r="AY32" s="39"/>
      <c r="AZ32" s="39"/>
      <c r="BA32" s="210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10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226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424"/>
      <c r="O34" s="84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424"/>
      <c r="AB34" s="84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426"/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5"/>
      <c r="AO35" s="34"/>
      <c r="AP35" s="35"/>
      <c r="AQ35" s="35"/>
      <c r="AR35" s="35"/>
      <c r="AS35" s="35"/>
      <c r="AT35" s="22"/>
      <c r="AU35" s="9"/>
      <c r="AV35" s="9"/>
      <c r="AW35" s="9"/>
      <c r="AX35" s="9"/>
      <c r="AY35" s="9"/>
      <c r="AZ35" s="9"/>
      <c r="BA35" s="209"/>
      <c r="BB35" s="9"/>
      <c r="BC35" s="9"/>
      <c r="BD35" s="9"/>
      <c r="BE35" s="9"/>
      <c r="BF35" s="22"/>
      <c r="BG35" s="22"/>
      <c r="BH35" s="22"/>
      <c r="BI35" s="22"/>
      <c r="BJ35" s="22"/>
      <c r="BK35" s="22"/>
      <c r="BL35" s="22"/>
      <c r="BM35" s="22"/>
      <c r="BN35" s="209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297"/>
      <c r="AC36" s="288"/>
      <c r="AD36" s="288"/>
      <c r="AE36" s="288"/>
      <c r="AF36" s="288"/>
      <c r="AG36" s="288"/>
      <c r="AH36" s="288"/>
      <c r="AI36" s="288"/>
      <c r="AJ36" s="288"/>
      <c r="AK36" s="288"/>
      <c r="AL36" s="288"/>
      <c r="AM36" s="288"/>
      <c r="AN36" s="95"/>
      <c r="AO36" s="148"/>
      <c r="AP36" s="149"/>
      <c r="AQ36" s="149"/>
      <c r="AR36" s="149"/>
      <c r="AS36" s="149"/>
      <c r="AT36" s="145"/>
      <c r="AU36" s="124">
        <f>Customers!E227</f>
        <v>11</v>
      </c>
      <c r="AV36" s="124">
        <f>Customers!F227</f>
        <v>11</v>
      </c>
      <c r="AW36" s="124">
        <f>Customers!G227</f>
        <v>11</v>
      </c>
      <c r="AX36" s="124">
        <f>Customers!H227</f>
        <v>11</v>
      </c>
      <c r="AY36" s="124">
        <f>Customers!I227</f>
        <v>11</v>
      </c>
      <c r="AZ36" s="124">
        <f>Customers!J227</f>
        <v>11</v>
      </c>
      <c r="BA36" s="210">
        <f>AZ36</f>
        <v>11</v>
      </c>
      <c r="BB36" s="39">
        <v>11</v>
      </c>
      <c r="BC36" s="39">
        <v>11</v>
      </c>
      <c r="BD36" s="109">
        <v>11</v>
      </c>
      <c r="BE36" s="109">
        <v>11</v>
      </c>
      <c r="BF36" s="109">
        <f t="shared" ref="BF36:BM36" si="5">BE36</f>
        <v>11</v>
      </c>
      <c r="BG36" s="109">
        <f t="shared" si="5"/>
        <v>11</v>
      </c>
      <c r="BH36" s="109">
        <f t="shared" si="5"/>
        <v>11</v>
      </c>
      <c r="BI36" s="109">
        <f t="shared" si="5"/>
        <v>11</v>
      </c>
      <c r="BJ36" s="109">
        <f t="shared" si="5"/>
        <v>11</v>
      </c>
      <c r="BK36" s="109">
        <f t="shared" si="5"/>
        <v>11</v>
      </c>
      <c r="BL36" s="109">
        <f t="shared" si="5"/>
        <v>11</v>
      </c>
      <c r="BM36" s="109">
        <f t="shared" si="5"/>
        <v>11</v>
      </c>
      <c r="BN36" s="210">
        <f>IFERROR(ROUND(AVERAGE(BB36:BM36),0),0)</f>
        <v>11</v>
      </c>
      <c r="BO36" s="133">
        <f>Customers!L227</f>
        <v>11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297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95"/>
      <c r="AO37" s="148"/>
      <c r="AP37" s="149"/>
      <c r="AQ37" s="149"/>
      <c r="AR37" s="149"/>
      <c r="AS37" s="149"/>
      <c r="AT37" s="38"/>
      <c r="AU37" s="38">
        <f>ROUND(AU$40*'kWh Blocks by Rate Category'!C36,0)</f>
        <v>7255</v>
      </c>
      <c r="AV37" s="38">
        <f>ROUND(AV$40*'kWh Blocks by Rate Category'!D36,0)</f>
        <v>6110</v>
      </c>
      <c r="AW37" s="38">
        <f>ROUND(AW$40*'kWh Blocks by Rate Category'!E36,0)</f>
        <v>37567</v>
      </c>
      <c r="AX37" s="38">
        <f>ROUND(AX$40*'kWh Blocks by Rate Category'!F36,0)</f>
        <v>20768</v>
      </c>
      <c r="AY37" s="38">
        <f>ROUND(AY$40*'kWh Blocks by Rate Category'!G36,0)</f>
        <v>34112</v>
      </c>
      <c r="AZ37" s="38">
        <f>ROUND(AZ$40*'kWh Blocks by Rate Category'!H36,0)</f>
        <v>31921</v>
      </c>
      <c r="BA37" s="210">
        <f>SUM(AT37:AZ37)</f>
        <v>137733</v>
      </c>
      <c r="BB37" s="38">
        <v>40623</v>
      </c>
      <c r="BC37" s="38">
        <v>36529</v>
      </c>
      <c r="BD37" s="38">
        <v>23584</v>
      </c>
      <c r="BE37" s="38">
        <v>19329</v>
      </c>
      <c r="BF37" s="38">
        <f>ROUND(BF$40*'kWh Blocks by Rate Category'!N36,0)</f>
        <v>15565</v>
      </c>
      <c r="BG37" s="38">
        <f>ROUND(BG$40*'kWh Blocks by Rate Category'!O36,0)</f>
        <v>10094</v>
      </c>
      <c r="BH37" s="38">
        <f>ROUND(BH$40*'kWh Blocks by Rate Category'!P36,0)</f>
        <v>7255</v>
      </c>
      <c r="BI37" s="38">
        <f>ROUND(BI$40*'kWh Blocks by Rate Category'!Q36,0)</f>
        <v>6110</v>
      </c>
      <c r="BJ37" s="38">
        <f>ROUND(BJ$40*'kWh Blocks by Rate Category'!R36,0)</f>
        <v>37567</v>
      </c>
      <c r="BK37" s="38">
        <f>ROUND(BK$40*'kWh Blocks by Rate Category'!S36,0)</f>
        <v>20768</v>
      </c>
      <c r="BL37" s="38">
        <f>ROUND(BL$40*'kWh Blocks by Rate Category'!T36,0)</f>
        <v>34112</v>
      </c>
      <c r="BM37" s="38">
        <f>ROUND(BM$40*'kWh Blocks by Rate Category'!U36,0)</f>
        <v>31921</v>
      </c>
      <c r="BN37" s="210">
        <f>SUM(BB37:BM37)</f>
        <v>283457</v>
      </c>
      <c r="BO37" s="38">
        <f>ROUND(BO$40*'kWh Blocks by Rate Category'!W36,0)</f>
        <v>283457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297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95"/>
      <c r="AO38" s="148"/>
      <c r="AP38" s="149"/>
      <c r="AQ38" s="149"/>
      <c r="AR38" s="149"/>
      <c r="AS38" s="149"/>
      <c r="AT38" s="38"/>
      <c r="AU38" s="38">
        <f>ROUND(AU$40*'kWh Blocks by Rate Category'!C37,0)</f>
        <v>691</v>
      </c>
      <c r="AV38" s="38">
        <f>ROUND(AV$40*'kWh Blocks by Rate Category'!D37,0)</f>
        <v>582</v>
      </c>
      <c r="AW38" s="38">
        <f>ROUND(AW$40*'kWh Blocks by Rate Category'!E37,0)</f>
        <v>3577</v>
      </c>
      <c r="AX38" s="38">
        <f>ROUND(AX$40*'kWh Blocks by Rate Category'!F37,0)</f>
        <v>1977</v>
      </c>
      <c r="AY38" s="38">
        <f>ROUND(AY$40*'kWh Blocks by Rate Category'!G37,0)</f>
        <v>3248</v>
      </c>
      <c r="AZ38" s="38">
        <f>ROUND(AZ$40*'kWh Blocks by Rate Category'!H37,0)</f>
        <v>3040</v>
      </c>
      <c r="BA38" s="210">
        <f t="shared" ref="BA38:BA39" si="6">SUM(AT38:AZ38)</f>
        <v>13115</v>
      </c>
      <c r="BB38" s="38">
        <v>3868</v>
      </c>
      <c r="BC38" s="38">
        <v>3478</v>
      </c>
      <c r="BD38" s="38">
        <v>2246</v>
      </c>
      <c r="BE38" s="38">
        <v>1840</v>
      </c>
      <c r="BF38" s="38">
        <f>ROUND(BF$40*'kWh Blocks by Rate Category'!N37,0)</f>
        <v>1482</v>
      </c>
      <c r="BG38" s="38">
        <f>ROUND(BG$40*'kWh Blocks by Rate Category'!O37,0)</f>
        <v>961</v>
      </c>
      <c r="BH38" s="38">
        <f>ROUND(BH$40*'kWh Blocks by Rate Category'!P37,0)</f>
        <v>691</v>
      </c>
      <c r="BI38" s="38">
        <f>ROUND(BI$40*'kWh Blocks by Rate Category'!Q37,0)</f>
        <v>582</v>
      </c>
      <c r="BJ38" s="38">
        <f>ROUND(BJ$40*'kWh Blocks by Rate Category'!R37,0)</f>
        <v>3577</v>
      </c>
      <c r="BK38" s="38">
        <f>ROUND(BK$40*'kWh Blocks by Rate Category'!S37,0)</f>
        <v>1977</v>
      </c>
      <c r="BL38" s="38">
        <f>ROUND(BL$40*'kWh Blocks by Rate Category'!T37,0)</f>
        <v>3248</v>
      </c>
      <c r="BM38" s="38">
        <f>ROUND(BM$40*'kWh Blocks by Rate Category'!U37,0)</f>
        <v>3040</v>
      </c>
      <c r="BN38" s="210">
        <f>SUM(BB38:BM38)</f>
        <v>26990</v>
      </c>
      <c r="BO38" s="38">
        <f>ROUND(BO$40*'kWh Blocks by Rate Category'!W37,0)</f>
        <v>26990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297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95"/>
      <c r="AO39" s="279"/>
      <c r="AP39" s="149"/>
      <c r="AQ39" s="149"/>
      <c r="AR39" s="149"/>
      <c r="AS39" s="149"/>
      <c r="AT39" s="38"/>
      <c r="AU39" s="38">
        <f>ROUND(AU$40*'kWh Blocks by Rate Category'!C38,0)</f>
        <v>0</v>
      </c>
      <c r="AV39" s="38">
        <f>ROUND(AV$40*'kWh Blocks by Rate Category'!D38,0)</f>
        <v>0</v>
      </c>
      <c r="AW39" s="38">
        <f>ROUND(AW$40*'kWh Blocks by Rate Category'!E38,0)</f>
        <v>0</v>
      </c>
      <c r="AX39" s="38">
        <f>ROUND(AX$40*'kWh Blocks by Rate Category'!F38,0)</f>
        <v>0</v>
      </c>
      <c r="AY39" s="38">
        <f>ROUND(AY$40*'kWh Blocks by Rate Category'!G38,0)</f>
        <v>0</v>
      </c>
      <c r="AZ39" s="38">
        <f>ROUND(AZ$40*'kWh Blocks by Rate Category'!H38,0)</f>
        <v>0</v>
      </c>
      <c r="BA39" s="210">
        <f t="shared" si="6"/>
        <v>0</v>
      </c>
      <c r="BB39" s="38">
        <v>0</v>
      </c>
      <c r="BC39" s="38">
        <v>0</v>
      </c>
      <c r="BD39" s="38">
        <v>0</v>
      </c>
      <c r="BE39" s="38">
        <v>0</v>
      </c>
      <c r="BF39" s="38">
        <f>ROUND(BF$40*'kWh Blocks by Rate Category'!N38,0)</f>
        <v>0</v>
      </c>
      <c r="BG39" s="38">
        <f>ROUND(BG$40*'kWh Blocks by Rate Category'!O38,0)</f>
        <v>0</v>
      </c>
      <c r="BH39" s="38">
        <f>ROUND(BH$40*'kWh Blocks by Rate Category'!P38,0)</f>
        <v>0</v>
      </c>
      <c r="BI39" s="38">
        <f>ROUND(BI$40*'kWh Blocks by Rate Category'!Q38,0)</f>
        <v>0</v>
      </c>
      <c r="BJ39" s="38">
        <f>ROUND(BJ$40*'kWh Blocks by Rate Category'!R38,0)</f>
        <v>0</v>
      </c>
      <c r="BK39" s="38">
        <f>ROUND(BK$40*'kWh Blocks by Rate Category'!S38,0)</f>
        <v>0</v>
      </c>
      <c r="BL39" s="38">
        <f>ROUND(BL$40*'kWh Blocks by Rate Category'!T38,0)</f>
        <v>0</v>
      </c>
      <c r="BM39" s="38">
        <f>ROUND(BM$40*'kWh Blocks by Rate Category'!U38,0)</f>
        <v>0</v>
      </c>
      <c r="BN39" s="210">
        <f>SUM(BB39:BM39)</f>
        <v>0</v>
      </c>
      <c r="BO39" s="38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10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226"/>
      <c r="AO40" s="151"/>
      <c r="AP40" s="152"/>
      <c r="AQ40" s="152"/>
      <c r="AR40" s="152"/>
      <c r="AS40" s="152"/>
      <c r="AT40" s="64"/>
      <c r="AU40" s="64">
        <f t="shared" ref="AU40:AZ40" si="7">IFERROR(ROUND(AU41*AU36,0),0)</f>
        <v>7946</v>
      </c>
      <c r="AV40" s="64">
        <f t="shared" si="7"/>
        <v>6692</v>
      </c>
      <c r="AW40" s="64">
        <f t="shared" si="7"/>
        <v>41144</v>
      </c>
      <c r="AX40" s="64">
        <f t="shared" si="7"/>
        <v>22745</v>
      </c>
      <c r="AY40" s="64">
        <f t="shared" si="7"/>
        <v>37360</v>
      </c>
      <c r="AZ40" s="64">
        <f t="shared" si="7"/>
        <v>34961</v>
      </c>
      <c r="BA40" s="196">
        <f>SUM(AT40:AZ40)</f>
        <v>150848</v>
      </c>
      <c r="BB40" s="64">
        <v>44491</v>
      </c>
      <c r="BC40" s="64">
        <v>40007</v>
      </c>
      <c r="BD40" s="64">
        <v>25830</v>
      </c>
      <c r="BE40" s="64">
        <v>21169</v>
      </c>
      <c r="BF40" s="64">
        <f t="shared" ref="BF40:BM40" si="8">IFERROR(ROUND(BF41*BF36,0),0)</f>
        <v>17047</v>
      </c>
      <c r="BG40" s="64">
        <f t="shared" si="8"/>
        <v>11055</v>
      </c>
      <c r="BH40" s="64">
        <f t="shared" si="8"/>
        <v>7946</v>
      </c>
      <c r="BI40" s="64">
        <f t="shared" si="8"/>
        <v>6692</v>
      </c>
      <c r="BJ40" s="64">
        <f t="shared" si="8"/>
        <v>41144</v>
      </c>
      <c r="BK40" s="64">
        <f t="shared" si="8"/>
        <v>22745</v>
      </c>
      <c r="BL40" s="64">
        <f t="shared" si="8"/>
        <v>37360</v>
      </c>
      <c r="BM40" s="64">
        <f t="shared" si="8"/>
        <v>34961</v>
      </c>
      <c r="BN40" s="196">
        <f>SUM(BB40:BM40)</f>
        <v>310447</v>
      </c>
      <c r="BO40" s="147">
        <f>ROUND(BO36*BO41,0)</f>
        <v>310447</v>
      </c>
    </row>
    <row r="41" spans="1:67" ht="15" thickTop="1">
      <c r="A41" s="374" t="s">
        <v>54</v>
      </c>
      <c r="B41" s="84" t="str">
        <f>IF('kWh_Streetlight Data'!C152=0,"",'kWh_Streetlight Data'!C152)</f>
        <v/>
      </c>
      <c r="C41" s="108" t="str">
        <f>IF('kWh_Streetlight Data'!D152=0,"",'kWh_Streetlight Data'!D152)</f>
        <v/>
      </c>
      <c r="D41" s="108" t="str">
        <f>IF('kWh_Streetlight Data'!E152=0,"",'kWh_Streetlight Data'!E152)</f>
        <v/>
      </c>
      <c r="E41" s="108" t="str">
        <f>IF('kWh_Streetlight Data'!F152=0,"",'kWh_Streetlight Data'!F152)</f>
        <v/>
      </c>
      <c r="F41" s="108" t="str">
        <f>IF('kWh_Streetlight Data'!G152=0,"",'kWh_Streetlight Data'!G152)</f>
        <v/>
      </c>
      <c r="G41" s="108" t="str">
        <f>IF('kWh_Streetlight Data'!H152=0,"",'kWh_Streetlight Data'!H152)</f>
        <v/>
      </c>
      <c r="H41" s="108" t="str">
        <f>IF('kWh_Streetlight Data'!I152=0,"",'kWh_Streetlight Data'!I152)</f>
        <v/>
      </c>
      <c r="I41" s="108" t="str">
        <f>IF('kWh_Streetlight Data'!J152=0,"",'kWh_Streetlight Data'!J152)</f>
        <v/>
      </c>
      <c r="J41" s="108" t="str">
        <f>IF('kWh_Streetlight Data'!K152=0,"",'kWh_Streetlight Data'!K152)</f>
        <v/>
      </c>
      <c r="K41" s="108" t="str">
        <f>IF('kWh_Streetlight Data'!L152=0,"",'kWh_Streetlight Data'!L152)</f>
        <v/>
      </c>
      <c r="L41" s="108" t="str">
        <f>IF('kWh_Streetlight Data'!M152=0,"",'kWh_Streetlight Data'!M152)</f>
        <v/>
      </c>
      <c r="M41" s="108" t="str">
        <f>IF('kWh_Streetlight Data'!N152=0,"",'kWh_Streetlight Data'!N152)</f>
        <v/>
      </c>
      <c r="N41" s="424" t="str">
        <f>IF('kWh_Streetlight Data'!O152=0,"",'kWh_Streetlight Data'!O152)</f>
        <v/>
      </c>
      <c r="O41" s="84" t="str">
        <f>IF('kWh_Streetlight Data'!P152=0,"",'kWh_Streetlight Data'!P152)</f>
        <v/>
      </c>
      <c r="P41" s="108" t="str">
        <f>IF('kWh_Streetlight Data'!Q152=0,"",'kWh_Streetlight Data'!Q152)</f>
        <v/>
      </c>
      <c r="Q41" s="108" t="str">
        <f>IF('kWh_Streetlight Data'!R152=0,"",'kWh_Streetlight Data'!R152)</f>
        <v/>
      </c>
      <c r="R41" s="108" t="str">
        <f>IF('kWh_Streetlight Data'!S152=0,"",'kWh_Streetlight Data'!S152)</f>
        <v/>
      </c>
      <c r="S41" s="108" t="str">
        <f>IF('kWh_Streetlight Data'!T152=0,"",'kWh_Streetlight Data'!T152)</f>
        <v/>
      </c>
      <c r="T41" s="108" t="str">
        <f>IF('kWh_Streetlight Data'!U152=0,"",'kWh_Streetlight Data'!U152)</f>
        <v/>
      </c>
      <c r="U41" s="108" t="str">
        <f>IF('kWh_Streetlight Data'!V152=0,"",'kWh_Streetlight Data'!V152)</f>
        <v/>
      </c>
      <c r="V41" s="108" t="str">
        <f>IF('kWh_Streetlight Data'!W152=0,"",'kWh_Streetlight Data'!W152)</f>
        <v/>
      </c>
      <c r="W41" s="108" t="str">
        <f>IF('kWh_Streetlight Data'!X152=0,"",'kWh_Streetlight Data'!X152)</f>
        <v/>
      </c>
      <c r="X41" s="108" t="str">
        <f>IF('kWh_Streetlight Data'!Y152=0,"",'kWh_Streetlight Data'!Y152)</f>
        <v/>
      </c>
      <c r="Y41" s="108" t="str">
        <f>IF('kWh_Streetlight Data'!Z152=0,"",'kWh_Streetlight Data'!Z152)</f>
        <v/>
      </c>
      <c r="Z41" s="108" t="str">
        <f>IF('kWh_Streetlight Data'!AA152=0,"",'kWh_Streetlight Data'!AA152)</f>
        <v/>
      </c>
      <c r="AA41" s="424" t="str">
        <f>IF('kWh_Streetlight Data'!AB152=0,"",'kWh_Streetlight Data'!AB152)</f>
        <v/>
      </c>
      <c r="AB41" s="84">
        <f>IF('kWh_Streetlight Data'!AC152=0,"",'kWh_Streetlight Data'!AC152)</f>
        <v>4044.625</v>
      </c>
      <c r="AC41" s="108">
        <f>IF('kWh_Streetlight Data'!AD152=0,"",'kWh_Streetlight Data'!AD152)</f>
        <v>3637</v>
      </c>
      <c r="AD41" s="108">
        <f>IF('kWh_Streetlight Data'!AE152=0,"",'kWh_Streetlight Data'!AE152)</f>
        <v>2348.2222222222222</v>
      </c>
      <c r="AE41" s="108">
        <f>IF('kWh_Streetlight Data'!AF152=0,"",'kWh_Streetlight Data'!AF152)</f>
        <v>1924.4444444444443</v>
      </c>
      <c r="AF41" s="108">
        <f>IF('kWh_Streetlight Data'!AG152=0,"",'kWh_Streetlight Data'!AG152)</f>
        <v>1549.75</v>
      </c>
      <c r="AG41" s="108">
        <f>IF('kWh_Streetlight Data'!AH152=0,"",'kWh_Streetlight Data'!AH152)</f>
        <v>1005</v>
      </c>
      <c r="AH41" s="108">
        <f>IF('kWh_Streetlight Data'!AI152=0,"",'kWh_Streetlight Data'!AI152)</f>
        <v>722.375</v>
      </c>
      <c r="AI41" s="108">
        <f>IF('kWh_Streetlight Data'!AJ152=0,"",'kWh_Streetlight Data'!AJ152)</f>
        <v>608.375</v>
      </c>
      <c r="AJ41" s="108">
        <f>IF('kWh_Streetlight Data'!AK152=0,"",'kWh_Streetlight Data'!AK152)</f>
        <v>3740.3333333333335</v>
      </c>
      <c r="AK41" s="108">
        <f>IF('kWh_Streetlight Data'!AL152=0,"",'kWh_Streetlight Data'!AL152)</f>
        <v>2067.7222222222222</v>
      </c>
      <c r="AL41" s="108">
        <f>IF('kWh_Streetlight Data'!AM152=0,"",'kWh_Streetlight Data'!AM152)</f>
        <v>3396.4</v>
      </c>
      <c r="AM41" s="108">
        <f>IF('kWh_Streetlight Data'!AN152=0,"",'kWh_Streetlight Data'!AN152)</f>
        <v>3178.3</v>
      </c>
      <c r="AN41" s="426">
        <f>IF('kWh_Streetlight Data'!AO152=0,"",'kWh_Streetlight Data'!AO152)</f>
        <v>2209.6605504587155</v>
      </c>
      <c r="AO41" s="34"/>
      <c r="AP41" s="35"/>
      <c r="AQ41" s="35"/>
      <c r="AR41" s="35"/>
      <c r="AS41" s="35"/>
      <c r="AT41" s="9"/>
      <c r="AU41" s="9">
        <f t="shared" ref="AU41:AZ41" si="9">AH41</f>
        <v>722.375</v>
      </c>
      <c r="AV41" s="9">
        <f t="shared" si="9"/>
        <v>608.375</v>
      </c>
      <c r="AW41" s="9">
        <f t="shared" si="9"/>
        <v>3740.3333333333335</v>
      </c>
      <c r="AX41" s="9">
        <f t="shared" si="9"/>
        <v>2067.7222222222222</v>
      </c>
      <c r="AY41" s="9">
        <f t="shared" si="9"/>
        <v>3396.4</v>
      </c>
      <c r="AZ41" s="9">
        <f t="shared" si="9"/>
        <v>3178.3</v>
      </c>
      <c r="BA41" s="211"/>
      <c r="BB41" s="17">
        <v>4044.625</v>
      </c>
      <c r="BC41" s="17">
        <v>3637</v>
      </c>
      <c r="BD41" s="17">
        <v>2348.2222222222222</v>
      </c>
      <c r="BE41" s="17">
        <v>1924.4444444444443</v>
      </c>
      <c r="BF41" s="17">
        <f t="shared" ref="BF41:BM41" si="10">AF41</f>
        <v>1549.75</v>
      </c>
      <c r="BG41" s="17">
        <f t="shared" si="10"/>
        <v>1005</v>
      </c>
      <c r="BH41" s="17">
        <f t="shared" si="10"/>
        <v>722.375</v>
      </c>
      <c r="BI41" s="17">
        <f t="shared" si="10"/>
        <v>608.375</v>
      </c>
      <c r="BJ41" s="17">
        <f t="shared" si="10"/>
        <v>3740.3333333333335</v>
      </c>
      <c r="BK41" s="17">
        <f t="shared" si="10"/>
        <v>2067.7222222222222</v>
      </c>
      <c r="BL41" s="17">
        <f t="shared" si="10"/>
        <v>3396.4</v>
      </c>
      <c r="BM41" s="17">
        <f t="shared" si="10"/>
        <v>3178.3</v>
      </c>
      <c r="BN41" s="211">
        <f>IFERROR(BN40/SUM(BB36:BM36)*12,0)</f>
        <v>28222.454545454544</v>
      </c>
      <c r="BO41" s="58">
        <f>BN41</f>
        <v>28222.454545454544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18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96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297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19"/>
      <c r="AN43" s="96"/>
      <c r="AO43" s="148"/>
      <c r="AP43" s="149"/>
      <c r="AQ43" s="149"/>
      <c r="AR43" s="149"/>
      <c r="AS43" s="149"/>
      <c r="AT43" s="145"/>
      <c r="AU43" s="109"/>
      <c r="AV43" s="109"/>
      <c r="AW43" s="109"/>
      <c r="AX43" s="109"/>
      <c r="AY43" s="109"/>
      <c r="AZ43" s="109"/>
      <c r="BA43" s="210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297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19"/>
      <c r="AN44" s="96"/>
      <c r="AO44" s="148"/>
      <c r="AP44" s="149"/>
      <c r="AQ44" s="149"/>
      <c r="AR44" s="149"/>
      <c r="AS44" s="149"/>
      <c r="AT44" s="145"/>
      <c r="AU44" s="39"/>
      <c r="AV44" s="39"/>
      <c r="AW44" s="39"/>
      <c r="AX44" s="39"/>
      <c r="AY44" s="39"/>
      <c r="AZ44" s="39"/>
      <c r="BA44" s="210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297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19"/>
      <c r="AN45" s="96"/>
      <c r="AO45" s="148"/>
      <c r="AP45" s="149"/>
      <c r="AQ45" s="149"/>
      <c r="AR45" s="149"/>
      <c r="AS45" s="149"/>
      <c r="AT45" s="145"/>
      <c r="AU45" s="39"/>
      <c r="AV45" s="39"/>
      <c r="AW45" s="39"/>
      <c r="AX45" s="39"/>
      <c r="AY45" s="39"/>
      <c r="AZ45" s="39"/>
      <c r="BA45" s="210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297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19"/>
      <c r="AN46" s="96"/>
      <c r="AO46" s="148"/>
      <c r="AP46" s="149"/>
      <c r="AQ46" s="149"/>
      <c r="AR46" s="149"/>
      <c r="AS46" s="149"/>
      <c r="AT46" s="145"/>
      <c r="AU46" s="39"/>
      <c r="AV46" s="39"/>
      <c r="AW46" s="39"/>
      <c r="AX46" s="39"/>
      <c r="AY46" s="39"/>
      <c r="AZ46" s="39"/>
      <c r="BA46" s="210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10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226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424"/>
      <c r="O48" s="129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424"/>
      <c r="AB48" s="129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426"/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37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5"/>
      <c r="AO49" s="34"/>
      <c r="AP49" s="35"/>
      <c r="AQ49" s="35"/>
      <c r="AR49" s="35"/>
      <c r="AS49" s="35"/>
      <c r="AT49" s="22"/>
      <c r="AU49" s="9"/>
      <c r="AV49" s="9"/>
      <c r="AW49" s="9"/>
      <c r="AX49" s="9"/>
      <c r="AY49" s="9"/>
      <c r="AZ49" s="9"/>
      <c r="BA49" s="209"/>
      <c r="BB49" s="9"/>
      <c r="BC49" s="9"/>
      <c r="BD49" s="9"/>
      <c r="BE49" s="9"/>
      <c r="BF49" s="22"/>
      <c r="BG49" s="22"/>
      <c r="BH49" s="22"/>
      <c r="BI49" s="22"/>
      <c r="BJ49" s="22"/>
      <c r="BK49" s="22"/>
      <c r="BL49" s="22"/>
      <c r="BM49" s="22"/>
      <c r="BN49" s="209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297"/>
      <c r="AC50" s="288"/>
      <c r="AD50" s="288"/>
      <c r="AE50" s="288"/>
      <c r="AF50" s="288"/>
      <c r="AG50" s="288"/>
      <c r="AH50" s="288"/>
      <c r="AI50" s="288"/>
      <c r="AJ50" s="288"/>
      <c r="AK50" s="288"/>
      <c r="AL50" s="288"/>
      <c r="AM50" s="288"/>
      <c r="AN50" s="95"/>
      <c r="AO50" s="148"/>
      <c r="AP50" s="149"/>
      <c r="AQ50" s="149"/>
      <c r="AR50" s="149"/>
      <c r="AS50" s="149"/>
      <c r="AT50" s="124"/>
      <c r="AU50" s="124">
        <f>Customers!E228</f>
        <v>4</v>
      </c>
      <c r="AV50" s="124">
        <f>Customers!F228</f>
        <v>4</v>
      </c>
      <c r="AW50" s="124">
        <f>Customers!G228</f>
        <v>4</v>
      </c>
      <c r="AX50" s="124">
        <f>Customers!H228</f>
        <v>4</v>
      </c>
      <c r="AY50" s="124">
        <f>Customers!I228</f>
        <v>4</v>
      </c>
      <c r="AZ50" s="124">
        <f>Customers!J228</f>
        <v>4</v>
      </c>
      <c r="BA50" s="210">
        <f>AZ50</f>
        <v>4</v>
      </c>
      <c r="BB50" s="38">
        <v>4</v>
      </c>
      <c r="BC50" s="38">
        <v>4</v>
      </c>
      <c r="BD50" s="38">
        <v>4</v>
      </c>
      <c r="BE50" s="38">
        <v>4</v>
      </c>
      <c r="BF50" s="38">
        <f t="shared" ref="BF50:BM50" si="11">BE50</f>
        <v>4</v>
      </c>
      <c r="BG50" s="38">
        <f t="shared" si="11"/>
        <v>4</v>
      </c>
      <c r="BH50" s="38">
        <f t="shared" si="11"/>
        <v>4</v>
      </c>
      <c r="BI50" s="38">
        <f t="shared" si="11"/>
        <v>4</v>
      </c>
      <c r="BJ50" s="38">
        <f t="shared" si="11"/>
        <v>4</v>
      </c>
      <c r="BK50" s="38">
        <f t="shared" si="11"/>
        <v>4</v>
      </c>
      <c r="BL50" s="38">
        <f t="shared" si="11"/>
        <v>4</v>
      </c>
      <c r="BM50" s="38">
        <f t="shared" si="11"/>
        <v>4</v>
      </c>
      <c r="BN50" s="210">
        <f>IFERROR(ROUND(AVERAGE(BB50:BM50),0),0)</f>
        <v>4</v>
      </c>
      <c r="BO50" s="133">
        <f>Customers!L228</f>
        <v>4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297"/>
      <c r="AC51" s="288"/>
      <c r="AD51" s="288"/>
      <c r="AE51" s="288"/>
      <c r="AF51" s="288"/>
      <c r="AG51" s="288"/>
      <c r="AH51" s="288"/>
      <c r="AI51" s="288"/>
      <c r="AJ51" s="288"/>
      <c r="AK51" s="288"/>
      <c r="AL51" s="288"/>
      <c r="AM51" s="288"/>
      <c r="AN51" s="95"/>
      <c r="AO51" s="148"/>
      <c r="AP51" s="149"/>
      <c r="AQ51" s="149"/>
      <c r="AR51" s="149"/>
      <c r="AS51" s="149"/>
      <c r="AT51" s="38"/>
      <c r="AU51" s="38">
        <f t="shared" ref="AU51:AZ51" si="12">AU54</f>
        <v>49425</v>
      </c>
      <c r="AV51" s="38">
        <f t="shared" si="12"/>
        <v>28209</v>
      </c>
      <c r="AW51" s="38">
        <f t="shared" si="12"/>
        <v>29386</v>
      </c>
      <c r="AX51" s="38">
        <f t="shared" si="12"/>
        <v>21795</v>
      </c>
      <c r="AY51" s="38">
        <f t="shared" si="12"/>
        <v>50629</v>
      </c>
      <c r="AZ51" s="38">
        <f t="shared" si="12"/>
        <v>47603</v>
      </c>
      <c r="BA51" s="210">
        <f>SUM(AT51:AZ51)</f>
        <v>227047</v>
      </c>
      <c r="BB51" s="38">
        <v>96800</v>
      </c>
      <c r="BC51" s="38">
        <v>52267</v>
      </c>
      <c r="BD51" s="38">
        <v>117760</v>
      </c>
      <c r="BE51" s="38">
        <v>64010</v>
      </c>
      <c r="BF51" s="38">
        <f t="shared" ref="BF51:BM51" si="13">BF54</f>
        <v>57363</v>
      </c>
      <c r="BG51" s="38">
        <f t="shared" si="13"/>
        <v>58149</v>
      </c>
      <c r="BH51" s="38">
        <f t="shared" si="13"/>
        <v>49425</v>
      </c>
      <c r="BI51" s="38">
        <f t="shared" si="13"/>
        <v>28209</v>
      </c>
      <c r="BJ51" s="38">
        <f t="shared" si="13"/>
        <v>29386</v>
      </c>
      <c r="BK51" s="38">
        <f t="shared" si="13"/>
        <v>21795</v>
      </c>
      <c r="BL51" s="38">
        <f t="shared" si="13"/>
        <v>50629</v>
      </c>
      <c r="BM51" s="38">
        <f t="shared" si="13"/>
        <v>47603</v>
      </c>
      <c r="BN51" s="210">
        <f>SUM(BB51:BM51)</f>
        <v>673396</v>
      </c>
      <c r="BO51" s="143">
        <f t="shared" ref="BO51" si="14">BO54</f>
        <v>673396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297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95"/>
      <c r="AO52" s="148"/>
      <c r="AP52" s="149"/>
      <c r="AQ52" s="149"/>
      <c r="AR52" s="149"/>
      <c r="AS52" s="149"/>
      <c r="AT52" s="145"/>
      <c r="AU52" s="39"/>
      <c r="AV52" s="39"/>
      <c r="AW52" s="39"/>
      <c r="AX52" s="39"/>
      <c r="AY52" s="39"/>
      <c r="AZ52" s="39"/>
      <c r="BA52" s="210">
        <f t="shared" ref="BA52:BA53" si="15">SUM(AT52:AZ52)</f>
        <v>0</v>
      </c>
      <c r="BB52" s="38">
        <v>0</v>
      </c>
      <c r="BC52" s="38">
        <v>0</v>
      </c>
      <c r="BD52" s="38">
        <v>0</v>
      </c>
      <c r="BE52" s="38">
        <v>0</v>
      </c>
      <c r="BF52" s="38">
        <v>0</v>
      </c>
      <c r="BG52" s="38">
        <v>0</v>
      </c>
      <c r="BH52" s="38">
        <v>0</v>
      </c>
      <c r="BI52" s="38">
        <v>0</v>
      </c>
      <c r="BJ52" s="38">
        <v>0</v>
      </c>
      <c r="BK52" s="38">
        <v>0</v>
      </c>
      <c r="BL52" s="38">
        <v>0</v>
      </c>
      <c r="BM52" s="38">
        <v>0</v>
      </c>
      <c r="BN52" s="210">
        <f>SUM(BB52:BM52)</f>
        <v>0</v>
      </c>
      <c r="BO52" s="143">
        <v>0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297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95"/>
      <c r="AO53" s="279"/>
      <c r="AP53" s="149"/>
      <c r="AQ53" s="149"/>
      <c r="AR53" s="149"/>
      <c r="AS53" s="149"/>
      <c r="AT53" s="145"/>
      <c r="AU53" s="39"/>
      <c r="AV53" s="39"/>
      <c r="AW53" s="39"/>
      <c r="AX53" s="39"/>
      <c r="AY53" s="39"/>
      <c r="AZ53" s="39"/>
      <c r="BA53" s="210">
        <f t="shared" si="15"/>
        <v>0</v>
      </c>
      <c r="BB53" s="38">
        <v>0</v>
      </c>
      <c r="BC53" s="38">
        <v>0</v>
      </c>
      <c r="BD53" s="38">
        <v>0</v>
      </c>
      <c r="BE53" s="38">
        <v>0</v>
      </c>
      <c r="BF53" s="38">
        <v>0</v>
      </c>
      <c r="BG53" s="38">
        <v>0</v>
      </c>
      <c r="BH53" s="38">
        <v>0</v>
      </c>
      <c r="BI53" s="38">
        <v>0</v>
      </c>
      <c r="BJ53" s="38">
        <v>0</v>
      </c>
      <c r="BK53" s="38">
        <v>0</v>
      </c>
      <c r="BL53" s="38">
        <v>0</v>
      </c>
      <c r="BM53" s="38">
        <v>0</v>
      </c>
      <c r="BN53" s="210">
        <f>SUM(BB53:BM53)</f>
        <v>0</v>
      </c>
      <c r="BO53" s="156">
        <v>0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10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226"/>
      <c r="AO54" s="151"/>
      <c r="AP54" s="152"/>
      <c r="AQ54" s="152"/>
      <c r="AR54" s="152"/>
      <c r="AS54" s="152"/>
      <c r="AT54" s="64"/>
      <c r="AU54" s="64">
        <f t="shared" ref="AU54:AZ54" si="16">IFERROR(ROUND(AU55*AU50,0),0)</f>
        <v>49425</v>
      </c>
      <c r="AV54" s="64">
        <f t="shared" si="16"/>
        <v>28209</v>
      </c>
      <c r="AW54" s="64">
        <f t="shared" si="16"/>
        <v>29386</v>
      </c>
      <c r="AX54" s="64">
        <f t="shared" si="16"/>
        <v>21795</v>
      </c>
      <c r="AY54" s="64">
        <f t="shared" si="16"/>
        <v>50629</v>
      </c>
      <c r="AZ54" s="64">
        <f t="shared" si="16"/>
        <v>47603</v>
      </c>
      <c r="BA54" s="196">
        <f>SUM(AT54:AZ54)</f>
        <v>227047</v>
      </c>
      <c r="BB54" s="64">
        <v>96800</v>
      </c>
      <c r="BC54" s="64">
        <v>52267</v>
      </c>
      <c r="BD54" s="64">
        <v>117760</v>
      </c>
      <c r="BE54" s="64">
        <v>64010</v>
      </c>
      <c r="BF54" s="64">
        <f t="shared" ref="BF54:BJ54" si="17">IFERROR(ROUND(BF55*BF50,0),0)</f>
        <v>57363</v>
      </c>
      <c r="BG54" s="64">
        <f t="shared" si="17"/>
        <v>58149</v>
      </c>
      <c r="BH54" s="64">
        <f t="shared" si="17"/>
        <v>49425</v>
      </c>
      <c r="BI54" s="64">
        <f t="shared" si="17"/>
        <v>28209</v>
      </c>
      <c r="BJ54" s="64">
        <f t="shared" si="17"/>
        <v>29386</v>
      </c>
      <c r="BK54" s="64">
        <f>IFERROR(ROUND(BK55*BK50,0),0)</f>
        <v>21795</v>
      </c>
      <c r="BL54" s="64">
        <f t="shared" ref="BL54:BM54" si="18">IFERROR(ROUND(BL55*BL50,0),0)</f>
        <v>50629</v>
      </c>
      <c r="BM54" s="64">
        <f t="shared" si="18"/>
        <v>47603</v>
      </c>
      <c r="BN54" s="196">
        <f>SUM(BB54:BM54)</f>
        <v>673396</v>
      </c>
      <c r="BO54" s="147">
        <f>ROUND(BO50*BO55,0)</f>
        <v>673396</v>
      </c>
    </row>
    <row r="55" spans="1:67" ht="15" thickTop="1">
      <c r="A55" s="374" t="s">
        <v>54</v>
      </c>
      <c r="B55" s="84" t="str">
        <f>IF('kWh_Streetlight Data'!C153=0,"",'kWh_Streetlight Data'!C153)</f>
        <v/>
      </c>
      <c r="C55" s="108" t="str">
        <f>IF('kWh_Streetlight Data'!D153=0,"",'kWh_Streetlight Data'!D153)</f>
        <v/>
      </c>
      <c r="D55" s="108" t="str">
        <f>IF('kWh_Streetlight Data'!E153=0,"",'kWh_Streetlight Data'!E153)</f>
        <v/>
      </c>
      <c r="E55" s="108" t="str">
        <f>IF('kWh_Streetlight Data'!F153=0,"",'kWh_Streetlight Data'!F153)</f>
        <v/>
      </c>
      <c r="F55" s="108" t="str">
        <f>IF('kWh_Streetlight Data'!G153=0,"",'kWh_Streetlight Data'!G153)</f>
        <v/>
      </c>
      <c r="G55" s="108" t="str">
        <f>IF('kWh_Streetlight Data'!H153=0,"",'kWh_Streetlight Data'!H153)</f>
        <v/>
      </c>
      <c r="H55" s="108" t="str">
        <f>IF('kWh_Streetlight Data'!I153=0,"",'kWh_Streetlight Data'!I153)</f>
        <v/>
      </c>
      <c r="I55" s="108" t="str">
        <f>IF('kWh_Streetlight Data'!J153=0,"",'kWh_Streetlight Data'!J153)</f>
        <v/>
      </c>
      <c r="J55" s="108" t="str">
        <f>IF('kWh_Streetlight Data'!K153=0,"",'kWh_Streetlight Data'!K153)</f>
        <v/>
      </c>
      <c r="K55" s="108" t="str">
        <f>IF('kWh_Streetlight Data'!L153=0,"",'kWh_Streetlight Data'!L153)</f>
        <v/>
      </c>
      <c r="L55" s="108" t="str">
        <f>IF('kWh_Streetlight Data'!M153=0,"",'kWh_Streetlight Data'!M153)</f>
        <v/>
      </c>
      <c r="M55" s="108" t="str">
        <f>IF('kWh_Streetlight Data'!N153=0,"",'kWh_Streetlight Data'!N153)</f>
        <v/>
      </c>
      <c r="N55" s="424" t="str">
        <f>IF('kWh_Streetlight Data'!O153=0,"",'kWh_Streetlight Data'!O153)</f>
        <v/>
      </c>
      <c r="O55" s="84" t="str">
        <f>IF('kWh_Streetlight Data'!P153=0,"",'kWh_Streetlight Data'!P153)</f>
        <v/>
      </c>
      <c r="P55" s="108" t="str">
        <f>IF('kWh_Streetlight Data'!Q153=0,"",'kWh_Streetlight Data'!Q153)</f>
        <v/>
      </c>
      <c r="Q55" s="108" t="str">
        <f>IF('kWh_Streetlight Data'!R153=0,"",'kWh_Streetlight Data'!R153)</f>
        <v/>
      </c>
      <c r="R55" s="108" t="str">
        <f>IF('kWh_Streetlight Data'!S153=0,"",'kWh_Streetlight Data'!S153)</f>
        <v/>
      </c>
      <c r="S55" s="108" t="str">
        <f>IF('kWh_Streetlight Data'!T153=0,"",'kWh_Streetlight Data'!T153)</f>
        <v/>
      </c>
      <c r="T55" s="108" t="str">
        <f>IF('kWh_Streetlight Data'!U153=0,"",'kWh_Streetlight Data'!U153)</f>
        <v/>
      </c>
      <c r="U55" s="108" t="str">
        <f>IF('kWh_Streetlight Data'!V153=0,"",'kWh_Streetlight Data'!V153)</f>
        <v/>
      </c>
      <c r="V55" s="108" t="str">
        <f>IF('kWh_Streetlight Data'!W153=0,"",'kWh_Streetlight Data'!W153)</f>
        <v/>
      </c>
      <c r="W55" s="108" t="str">
        <f>IF('kWh_Streetlight Data'!X153=0,"",'kWh_Streetlight Data'!X153)</f>
        <v/>
      </c>
      <c r="X55" s="108" t="str">
        <f>IF('kWh_Streetlight Data'!Y153=0,"",'kWh_Streetlight Data'!Y153)</f>
        <v/>
      </c>
      <c r="Y55" s="108" t="str">
        <f>IF('kWh_Streetlight Data'!Z153=0,"",'kWh_Streetlight Data'!Z153)</f>
        <v/>
      </c>
      <c r="Z55" s="108" t="str">
        <f>IF('kWh_Streetlight Data'!AA153=0,"",'kWh_Streetlight Data'!AA153)</f>
        <v/>
      </c>
      <c r="AA55" s="424" t="str">
        <f>IF('kWh_Streetlight Data'!AB153=0,"",'kWh_Streetlight Data'!AB153)</f>
        <v/>
      </c>
      <c r="AB55" s="84">
        <f>IF('kWh_Streetlight Data'!AC153=0,"",'kWh_Streetlight Data'!AC153)</f>
        <v>24200</v>
      </c>
      <c r="AC55" s="108">
        <f>IF('kWh_Streetlight Data'!AD153=0,"",'kWh_Streetlight Data'!AD153)</f>
        <v>13066.666666666666</v>
      </c>
      <c r="AD55" s="108">
        <f>IF('kWh_Streetlight Data'!AE153=0,"",'kWh_Streetlight Data'!AE153)</f>
        <v>29440</v>
      </c>
      <c r="AE55" s="108">
        <f>IF('kWh_Streetlight Data'!AF153=0,"",'kWh_Streetlight Data'!AF153)</f>
        <v>16002.5</v>
      </c>
      <c r="AF55" s="108">
        <f>IF('kWh_Streetlight Data'!AG153=0,"",'kWh_Streetlight Data'!AG153)</f>
        <v>14340.75</v>
      </c>
      <c r="AG55" s="108">
        <f>IF('kWh_Streetlight Data'!AH153=0,"",'kWh_Streetlight Data'!AH153)</f>
        <v>14537.25</v>
      </c>
      <c r="AH55" s="108">
        <f>IF('kWh_Streetlight Data'!AI153=0,"",'kWh_Streetlight Data'!AI153)</f>
        <v>12356.25</v>
      </c>
      <c r="AI55" s="108">
        <f>IF('kWh_Streetlight Data'!AJ153=0,"",'kWh_Streetlight Data'!AJ153)</f>
        <v>7052.1428571428569</v>
      </c>
      <c r="AJ55" s="108">
        <f>IF('kWh_Streetlight Data'!AK153=0,"",'kWh_Streetlight Data'!AK153)</f>
        <v>7346.375</v>
      </c>
      <c r="AK55" s="108">
        <f>IF('kWh_Streetlight Data'!AL153=0,"",'kWh_Streetlight Data'!AL153)</f>
        <v>5448.8571428571431</v>
      </c>
      <c r="AL55" s="108">
        <f>IF('kWh_Streetlight Data'!AM153=0,"",'kWh_Streetlight Data'!AM153)</f>
        <v>12657.25</v>
      </c>
      <c r="AM55" s="108">
        <f>IF('kWh_Streetlight Data'!AN153=0,"",'kWh_Streetlight Data'!AN153)</f>
        <v>11900.75</v>
      </c>
      <c r="AN55" s="426">
        <f>IF('kWh_Streetlight Data'!AO153=0,"",'kWh_Streetlight Data'!AO153)</f>
        <v>12342.127272727274</v>
      </c>
      <c r="AO55" s="34"/>
      <c r="AP55" s="35"/>
      <c r="AQ55" s="35"/>
      <c r="AR55" s="35"/>
      <c r="AS55" s="35"/>
      <c r="AT55" s="9"/>
      <c r="AU55" s="9">
        <f t="shared" ref="AU55:AZ55" si="19">AH55</f>
        <v>12356.25</v>
      </c>
      <c r="AV55" s="9">
        <f t="shared" si="19"/>
        <v>7052.1428571428569</v>
      </c>
      <c r="AW55" s="9">
        <f t="shared" si="19"/>
        <v>7346.375</v>
      </c>
      <c r="AX55" s="9">
        <f t="shared" si="19"/>
        <v>5448.8571428571431</v>
      </c>
      <c r="AY55" s="9">
        <f t="shared" si="19"/>
        <v>12657.25</v>
      </c>
      <c r="AZ55" s="9">
        <f t="shared" si="19"/>
        <v>11900.75</v>
      </c>
      <c r="BA55" s="211">
        <f>IFERROR(BA54/SUM(AO50:AZ50),0)</f>
        <v>9460.2916666666661</v>
      </c>
      <c r="BB55" s="17">
        <v>24200</v>
      </c>
      <c r="BC55" s="17">
        <v>13066.666666666666</v>
      </c>
      <c r="BD55" s="17">
        <v>29440</v>
      </c>
      <c r="BE55" s="17">
        <v>16002.5</v>
      </c>
      <c r="BF55" s="17">
        <f t="shared" ref="BF55:BM55" si="20">AF55</f>
        <v>14340.75</v>
      </c>
      <c r="BG55" s="17">
        <f t="shared" si="20"/>
        <v>14537.25</v>
      </c>
      <c r="BH55" s="17">
        <f t="shared" si="20"/>
        <v>12356.25</v>
      </c>
      <c r="BI55" s="17">
        <f t="shared" si="20"/>
        <v>7052.1428571428569</v>
      </c>
      <c r="BJ55" s="17">
        <f t="shared" si="20"/>
        <v>7346.375</v>
      </c>
      <c r="BK55" s="17">
        <f t="shared" si="20"/>
        <v>5448.8571428571431</v>
      </c>
      <c r="BL55" s="17">
        <f t="shared" si="20"/>
        <v>12657.25</v>
      </c>
      <c r="BM55" s="17">
        <f t="shared" si="20"/>
        <v>11900.75</v>
      </c>
      <c r="BN55" s="211">
        <f>IFERROR(BN54/SUM(BB50:BM50)*12,0)</f>
        <v>168349</v>
      </c>
      <c r="BO55" s="58">
        <f>BN55</f>
        <v>168349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24"/>
      <c r="AC56" s="25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97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297"/>
      <c r="AC57" s="288"/>
      <c r="AD57" s="288"/>
      <c r="AE57" s="288"/>
      <c r="AF57" s="288"/>
      <c r="AG57" s="288"/>
      <c r="AH57" s="288"/>
      <c r="AI57" s="288"/>
      <c r="AJ57" s="288"/>
      <c r="AK57" s="288"/>
      <c r="AL57" s="288"/>
      <c r="AM57" s="288"/>
      <c r="AN57" s="95"/>
      <c r="AO57" s="148"/>
      <c r="AP57" s="149"/>
      <c r="AQ57" s="149"/>
      <c r="AR57" s="149"/>
      <c r="AS57" s="149"/>
      <c r="AT57" s="145"/>
      <c r="AU57" s="107"/>
      <c r="AV57" s="107"/>
      <c r="AW57" s="107"/>
      <c r="AX57" s="107"/>
      <c r="AY57" s="107"/>
      <c r="AZ57" s="107"/>
      <c r="BA57" s="222"/>
      <c r="BB57" s="39"/>
      <c r="BC57" s="39"/>
      <c r="BD57" s="39"/>
      <c r="BE57" s="39"/>
      <c r="BF57" s="38"/>
      <c r="BG57" s="38"/>
      <c r="BH57" s="38"/>
      <c r="BI57" s="38"/>
      <c r="BJ57" s="38"/>
      <c r="BK57" s="38"/>
      <c r="BL57" s="38"/>
      <c r="BM57" s="38"/>
      <c r="BN57" s="204"/>
      <c r="BO57" s="91"/>
    </row>
    <row r="58" spans="1:67" ht="15.75" customHeight="1" thickBot="1">
      <c r="A58" s="201" t="s">
        <v>30</v>
      </c>
      <c r="B58" s="7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223"/>
      <c r="O58" s="78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223"/>
      <c r="AB58" s="78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226"/>
      <c r="AO58" s="386"/>
      <c r="AP58" s="387"/>
      <c r="AQ58" s="387"/>
      <c r="AR58" s="387"/>
      <c r="AS58" s="387"/>
      <c r="AT58" s="159"/>
      <c r="AU58" s="64"/>
      <c r="AV58" s="64"/>
      <c r="AW58" s="64"/>
      <c r="AX58" s="64"/>
      <c r="AY58" s="64"/>
      <c r="AZ58" s="64"/>
      <c r="BA58" s="213"/>
      <c r="BB58" s="64"/>
      <c r="BC58" s="64"/>
      <c r="BD58" s="64"/>
      <c r="BE58" s="64"/>
      <c r="BF58" s="160"/>
      <c r="BG58" s="160"/>
      <c r="BH58" s="160"/>
      <c r="BI58" s="160"/>
      <c r="BJ58" s="160"/>
      <c r="BK58" s="160"/>
      <c r="BL58" s="160"/>
      <c r="BM58" s="160"/>
      <c r="BN58" s="213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8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5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8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5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297"/>
      <c r="AC61" s="288"/>
      <c r="AD61" s="288"/>
      <c r="AE61" s="288"/>
      <c r="AF61" s="288"/>
      <c r="AG61" s="288"/>
      <c r="AH61" s="288"/>
      <c r="AI61" s="288"/>
      <c r="AJ61" s="288"/>
      <c r="AK61" s="288"/>
      <c r="AL61" s="288"/>
      <c r="AM61" s="288"/>
      <c r="AN61" s="95"/>
      <c r="AO61" s="148"/>
      <c r="AP61" s="149"/>
      <c r="AQ61" s="149"/>
      <c r="AR61" s="149"/>
      <c r="AS61" s="149"/>
      <c r="AT61" s="145"/>
      <c r="AU61" s="39"/>
      <c r="AV61" s="39"/>
      <c r="AW61" s="39"/>
      <c r="AX61" s="39"/>
      <c r="AY61" s="39"/>
      <c r="AZ61" s="39"/>
      <c r="BA61" s="222"/>
      <c r="BB61" s="39"/>
      <c r="BC61" s="39"/>
      <c r="BD61" s="39"/>
      <c r="BE61" s="39"/>
      <c r="BF61" s="38"/>
      <c r="BG61" s="38"/>
      <c r="BH61" s="38"/>
      <c r="BI61" s="38"/>
      <c r="BJ61" s="38"/>
      <c r="BK61" s="38"/>
      <c r="BL61" s="38"/>
      <c r="BM61" s="38"/>
      <c r="BN61" s="204"/>
      <c r="BO61" s="242"/>
    </row>
    <row r="62" spans="1:67" ht="15.75" customHeight="1" thickBot="1">
      <c r="A62" s="201" t="s">
        <v>30</v>
      </c>
      <c r="B62" s="113" t="str">
        <f>IF('kWh_Streetlight Data'!C243=0,"",'kWh_Streetlight Data'!C2453)</f>
        <v/>
      </c>
      <c r="C62" s="114" t="str">
        <f>IF('kWh_Streetlight Data'!D243=0,"",'kWh_Streetlight Data'!D2453)</f>
        <v/>
      </c>
      <c r="D62" s="114" t="str">
        <f>IF('kWh_Streetlight Data'!E243=0,"",'kWh_Streetlight Data'!E2453)</f>
        <v/>
      </c>
      <c r="E62" s="114" t="str">
        <f>IF('kWh_Streetlight Data'!F243=0,"",'kWh_Streetlight Data'!F2453)</f>
        <v/>
      </c>
      <c r="F62" s="114" t="str">
        <f>IF('kWh_Streetlight Data'!G243=0,"",'kWh_Streetlight Data'!G2453)</f>
        <v/>
      </c>
      <c r="G62" s="114" t="str">
        <f>IF('kWh_Streetlight Data'!H243=0,"",'kWh_Streetlight Data'!H2453)</f>
        <v/>
      </c>
      <c r="H62" s="114" t="str">
        <f>IF('kWh_Streetlight Data'!I243=0,"",'kWh_Streetlight Data'!I2453)</f>
        <v/>
      </c>
      <c r="I62" s="114" t="str">
        <f>IF('kWh_Streetlight Data'!J243=0,"",'kWh_Streetlight Data'!J2453)</f>
        <v/>
      </c>
      <c r="J62" s="114" t="str">
        <f>IF('kWh_Streetlight Data'!K243=0,"",'kWh_Streetlight Data'!K2453)</f>
        <v/>
      </c>
      <c r="K62" s="114" t="str">
        <f>IF('kWh_Streetlight Data'!L243=0,"",'kWh_Streetlight Data'!L2453)</f>
        <v/>
      </c>
      <c r="L62" s="114" t="str">
        <f>IF('kWh_Streetlight Data'!M243=0,"",'kWh_Streetlight Data'!M2453)</f>
        <v/>
      </c>
      <c r="M62" s="114" t="str">
        <f>IF('kWh_Streetlight Data'!N243=0,"",'kWh_Streetlight Data'!N2453)</f>
        <v/>
      </c>
      <c r="N62" s="459" t="str">
        <f>IF('kWh_Streetlight Data'!O243=0,"",'kWh_Streetlight Data'!O2453)</f>
        <v/>
      </c>
      <c r="O62" s="113" t="str">
        <f>IF('kWh_Streetlight Data'!P243=0,"",'kWh_Streetlight Data'!P2453)</f>
        <v/>
      </c>
      <c r="P62" s="114" t="str">
        <f>IF('kWh_Streetlight Data'!Q243=0,"",'kWh_Streetlight Data'!Q2453)</f>
        <v/>
      </c>
      <c r="Q62" s="114" t="str">
        <f>IF('kWh_Streetlight Data'!R243=0,"",'kWh_Streetlight Data'!R2453)</f>
        <v/>
      </c>
      <c r="R62" s="114" t="str">
        <f>IF('kWh_Streetlight Data'!S243=0,"",'kWh_Streetlight Data'!S2453)</f>
        <v/>
      </c>
      <c r="S62" s="114" t="str">
        <f>IF('kWh_Streetlight Data'!T243=0,"",'kWh_Streetlight Data'!T2453)</f>
        <v/>
      </c>
      <c r="T62" s="114" t="str">
        <f>IF('kWh_Streetlight Data'!U243=0,"",'kWh_Streetlight Data'!U2453)</f>
        <v/>
      </c>
      <c r="U62" s="114" t="str">
        <f>IF('kWh_Streetlight Data'!V243=0,"",'kWh_Streetlight Data'!V2453)</f>
        <v/>
      </c>
      <c r="V62" s="114" t="str">
        <f>IF('kWh_Streetlight Data'!W243=0,"",'kWh_Streetlight Data'!W2453)</f>
        <v/>
      </c>
      <c r="W62" s="114" t="str">
        <f>IF('kWh_Streetlight Data'!X243=0,"",'kWh_Streetlight Data'!X2453)</f>
        <v/>
      </c>
      <c r="X62" s="114" t="str">
        <f>IF('kWh_Streetlight Data'!Y243=0,"",'kWh_Streetlight Data'!Y2453)</f>
        <v/>
      </c>
      <c r="Y62" s="114" t="str">
        <f>IF('kWh_Streetlight Data'!Z243=0,"",'kWh_Streetlight Data'!Z2453)</f>
        <v/>
      </c>
      <c r="Z62" s="114" t="str">
        <f>IF('kWh_Streetlight Data'!AA243=0,"",'kWh_Streetlight Data'!AA2453)</f>
        <v/>
      </c>
      <c r="AA62" s="459" t="str">
        <f>IF('kWh_Streetlight Data'!AB243=0,"",'kWh_Streetlight Data'!AB2453)</f>
        <v/>
      </c>
      <c r="AB62" s="113" t="str">
        <f>IF('kWh_Streetlight Data'!AC243=0,"",'kWh_Streetlight Data'!AC2453)</f>
        <v/>
      </c>
      <c r="AC62" s="114" t="str">
        <f>IF('kWh_Streetlight Data'!AD243=0,"",'kWh_Streetlight Data'!AD2453)</f>
        <v/>
      </c>
      <c r="AD62" s="114" t="str">
        <f>IF('kWh_Streetlight Data'!AE243=0,"",'kWh_Streetlight Data'!AE2453)</f>
        <v/>
      </c>
      <c r="AE62" s="114" t="str">
        <f>IF('kWh_Streetlight Data'!AF243=0,"",'kWh_Streetlight Data'!AF2453)</f>
        <v/>
      </c>
      <c r="AF62" s="114" t="str">
        <f>IF('kWh_Streetlight Data'!AG243=0,"",'kWh_Streetlight Data'!AG2453)</f>
        <v/>
      </c>
      <c r="AG62" s="114" t="str">
        <f>IF('kWh_Streetlight Data'!AH243=0,"",'kWh_Streetlight Data'!AH2453)</f>
        <v/>
      </c>
      <c r="AH62" s="114" t="str">
        <f>IF('kWh_Streetlight Data'!AI243=0,"",'kWh_Streetlight Data'!AI2453)</f>
        <v/>
      </c>
      <c r="AI62" s="114" t="str">
        <f>IF('kWh_Streetlight Data'!AJ243=0,"",'kWh_Streetlight Data'!AJ2453)</f>
        <v/>
      </c>
      <c r="AJ62" s="114" t="str">
        <f>IF('kWh_Streetlight Data'!AK243=0,"",'kWh_Streetlight Data'!AK2453)</f>
        <v/>
      </c>
      <c r="AK62" s="114" t="str">
        <f>IF('kWh_Streetlight Data'!AL243=0,"",'kWh_Streetlight Data'!AL2453)</f>
        <v/>
      </c>
      <c r="AL62" s="114" t="str">
        <f>IF('kWh_Streetlight Data'!AM243=0,"",'kWh_Streetlight Data'!AM2453)</f>
        <v/>
      </c>
      <c r="AM62" s="114" t="str">
        <f>IF('kWh_Streetlight Data'!AN243=0,"",'kWh_Streetlight Data'!AN2453)</f>
        <v/>
      </c>
      <c r="AN62" s="458" t="str">
        <f>IF('kWh_Streetlight Data'!AO243=0,"",'kWh_Streetlight Data'!AO2453)</f>
        <v/>
      </c>
      <c r="AO62" s="386"/>
      <c r="AP62" s="387"/>
      <c r="AQ62" s="387"/>
      <c r="AR62" s="387"/>
      <c r="AS62" s="387"/>
      <c r="AT62" s="159"/>
      <c r="AU62" s="64"/>
      <c r="AV62" s="64"/>
      <c r="AW62" s="64"/>
      <c r="AX62" s="64"/>
      <c r="AY62" s="64"/>
      <c r="AZ62" s="64"/>
      <c r="BA62" s="213"/>
      <c r="BB62" s="64"/>
      <c r="BC62" s="64"/>
      <c r="BD62" s="64"/>
      <c r="BE62" s="64"/>
      <c r="BF62" s="160"/>
      <c r="BG62" s="160"/>
      <c r="BH62" s="160"/>
      <c r="BI62" s="160"/>
      <c r="BJ62" s="160"/>
      <c r="BK62" s="160"/>
      <c r="BL62" s="160"/>
      <c r="BM62" s="160"/>
      <c r="BN62" s="213"/>
      <c r="BO62" s="16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8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5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24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97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297"/>
      <c r="AC65" s="288"/>
      <c r="AD65" s="288"/>
      <c r="AE65" s="288"/>
      <c r="AF65" s="288"/>
      <c r="AG65" s="288"/>
      <c r="AH65" s="288"/>
      <c r="AI65" s="288"/>
      <c r="AJ65" s="288"/>
      <c r="AK65" s="288"/>
      <c r="AL65" s="288"/>
      <c r="AM65" s="288"/>
      <c r="AN65" s="95"/>
      <c r="AO65" s="148"/>
      <c r="AP65" s="149"/>
      <c r="AQ65" s="149"/>
      <c r="AR65" s="149"/>
      <c r="AS65" s="149"/>
      <c r="AT65" s="145"/>
      <c r="AU65" s="39"/>
      <c r="AV65" s="39"/>
      <c r="AW65" s="39"/>
      <c r="AX65" s="39"/>
      <c r="AY65" s="39"/>
      <c r="AZ65" s="39"/>
      <c r="BA65" s="210"/>
      <c r="BB65" s="109"/>
      <c r="BC65" s="39"/>
      <c r="BD65" s="39"/>
      <c r="BE65" s="39"/>
      <c r="BF65" s="38"/>
      <c r="BG65" s="38"/>
      <c r="BH65" s="38"/>
      <c r="BI65" s="38"/>
      <c r="BJ65" s="38"/>
      <c r="BK65" s="38"/>
      <c r="BL65" s="38"/>
      <c r="BM65" s="38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297"/>
      <c r="AC66" s="288"/>
      <c r="AD66" s="288"/>
      <c r="AE66" s="288"/>
      <c r="AF66" s="288"/>
      <c r="AG66" s="288"/>
      <c r="AH66" s="288"/>
      <c r="AI66" s="288"/>
      <c r="AJ66" s="288"/>
      <c r="AK66" s="288"/>
      <c r="AL66" s="288"/>
      <c r="AM66" s="288"/>
      <c r="AN66" s="95"/>
      <c r="AO66" s="148"/>
      <c r="AP66" s="149"/>
      <c r="AQ66" s="149"/>
      <c r="AR66" s="149"/>
      <c r="AS66" s="149"/>
      <c r="AT66" s="145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8"/>
      <c r="BG66" s="38"/>
      <c r="BH66" s="38"/>
      <c r="BI66" s="38"/>
      <c r="BJ66" s="38"/>
      <c r="BK66" s="38"/>
      <c r="BL66" s="38"/>
      <c r="BM66" s="38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297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95"/>
      <c r="AO67" s="279"/>
      <c r="AP67" s="278"/>
      <c r="AQ67" s="278"/>
      <c r="AR67" s="278"/>
      <c r="AS67" s="278"/>
      <c r="AT67" s="162"/>
      <c r="AU67" s="39"/>
      <c r="AV67" s="39"/>
      <c r="AW67" s="39"/>
      <c r="AX67" s="39"/>
      <c r="AY67" s="39"/>
      <c r="AZ67" s="39"/>
      <c r="BA67" s="210"/>
      <c r="BB67" s="39"/>
      <c r="BC67" s="39"/>
      <c r="BD67" s="39"/>
      <c r="BE67" s="39"/>
      <c r="BF67" s="38"/>
      <c r="BG67" s="38"/>
      <c r="BH67" s="38"/>
      <c r="BI67" s="38"/>
      <c r="BJ67" s="38"/>
      <c r="BK67" s="38"/>
      <c r="BL67" s="38"/>
      <c r="BM67" s="38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10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22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424"/>
      <c r="O69" s="84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424"/>
      <c r="AB69" s="84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424"/>
      <c r="AO69" s="34"/>
      <c r="AP69" s="35"/>
      <c r="AQ69" s="35"/>
      <c r="AR69" s="35"/>
      <c r="AS69" s="35"/>
      <c r="AT69" s="9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298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7"/>
      <c r="AO70" s="48"/>
      <c r="AP70" s="49"/>
      <c r="AQ70" s="49"/>
      <c r="AR70" s="49"/>
      <c r="AS70" s="49"/>
      <c r="AT70" s="154"/>
      <c r="AU70" s="82"/>
      <c r="AV70" s="82"/>
      <c r="AW70" s="82"/>
      <c r="AX70" s="82"/>
      <c r="AY70" s="82"/>
      <c r="AZ70" s="82"/>
      <c r="BA70" s="212"/>
      <c r="BB70" s="82"/>
      <c r="BC70" s="82"/>
      <c r="BD70" s="82"/>
      <c r="BE70" s="82"/>
      <c r="BF70" s="119"/>
      <c r="BG70" s="119"/>
      <c r="BH70" s="119"/>
      <c r="BI70" s="119"/>
      <c r="BJ70" s="119"/>
      <c r="BK70" s="119"/>
      <c r="BL70" s="119"/>
      <c r="BM70" s="119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298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7"/>
      <c r="AO71" s="48"/>
      <c r="AP71" s="49"/>
      <c r="AQ71" s="49"/>
      <c r="AR71" s="49"/>
      <c r="AS71" s="49"/>
      <c r="AT71" s="154"/>
      <c r="AU71" s="82"/>
      <c r="AV71" s="82"/>
      <c r="AW71" s="82"/>
      <c r="AX71" s="82"/>
      <c r="AY71" s="82"/>
      <c r="AZ71" s="82"/>
      <c r="BA71" s="212"/>
      <c r="BB71" s="82"/>
      <c r="BC71" s="82"/>
      <c r="BD71" s="82"/>
      <c r="BE71" s="82"/>
      <c r="BF71" s="119"/>
      <c r="BG71" s="119"/>
      <c r="BH71" s="119"/>
      <c r="BI71" s="119"/>
      <c r="BJ71" s="119"/>
      <c r="BK71" s="119"/>
      <c r="BL71" s="119"/>
      <c r="BM71" s="119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80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94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8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5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18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96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297"/>
      <c r="AC75" s="288"/>
      <c r="AD75" s="288"/>
      <c r="AE75" s="288"/>
      <c r="AF75" s="288"/>
      <c r="AG75" s="288"/>
      <c r="AH75" s="288"/>
      <c r="AI75" s="288"/>
      <c r="AJ75" s="288"/>
      <c r="AK75" s="288"/>
      <c r="AL75" s="288"/>
      <c r="AM75" s="288"/>
      <c r="AN75" s="95"/>
      <c r="AO75" s="148"/>
      <c r="AP75" s="149"/>
      <c r="AQ75" s="149"/>
      <c r="AR75" s="149"/>
      <c r="AS75" s="149"/>
      <c r="AT75" s="145"/>
      <c r="AU75" s="39"/>
      <c r="AV75" s="39"/>
      <c r="AW75" s="39"/>
      <c r="AX75" s="39"/>
      <c r="AY75" s="39"/>
      <c r="AZ75" s="39"/>
      <c r="BA75" s="210"/>
      <c r="BB75" s="109"/>
      <c r="BC75" s="39"/>
      <c r="BD75" s="39"/>
      <c r="BE75" s="39"/>
      <c r="BF75" s="38"/>
      <c r="BG75" s="38"/>
      <c r="BH75" s="38"/>
      <c r="BI75" s="38"/>
      <c r="BJ75" s="38"/>
      <c r="BK75" s="38"/>
      <c r="BL75" s="38"/>
      <c r="BM75" s="38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297"/>
      <c r="AC76" s="288"/>
      <c r="AD76" s="288"/>
      <c r="AE76" s="288"/>
      <c r="AF76" s="288"/>
      <c r="AG76" s="288"/>
      <c r="AH76" s="288"/>
      <c r="AI76" s="288"/>
      <c r="AJ76" s="288"/>
      <c r="AK76" s="288"/>
      <c r="AL76" s="288"/>
      <c r="AM76" s="288"/>
      <c r="AN76" s="95"/>
      <c r="AO76" s="148"/>
      <c r="AP76" s="149"/>
      <c r="AQ76" s="149"/>
      <c r="AR76" s="149"/>
      <c r="AS76" s="149"/>
      <c r="AT76" s="145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8"/>
      <c r="BG76" s="38"/>
      <c r="BH76" s="38"/>
      <c r="BI76" s="38"/>
      <c r="BJ76" s="38"/>
      <c r="BK76" s="38"/>
      <c r="BL76" s="38"/>
      <c r="BM76" s="38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297"/>
      <c r="AC77" s="288"/>
      <c r="AD77" s="288"/>
      <c r="AE77" s="288"/>
      <c r="AF77" s="288"/>
      <c r="AG77" s="288"/>
      <c r="AH77" s="288"/>
      <c r="AI77" s="288"/>
      <c r="AJ77" s="288"/>
      <c r="AK77" s="288"/>
      <c r="AL77" s="288"/>
      <c r="AM77" s="288"/>
      <c r="AN77" s="95"/>
      <c r="AO77" s="279"/>
      <c r="AP77" s="278"/>
      <c r="AQ77" s="278"/>
      <c r="AR77" s="278"/>
      <c r="AS77" s="278"/>
      <c r="AT77" s="178"/>
      <c r="AU77" s="39"/>
      <c r="AV77" s="39"/>
      <c r="AW77" s="39"/>
      <c r="AX77" s="39"/>
      <c r="AY77" s="39"/>
      <c r="AZ77" s="39"/>
      <c r="BA77" s="210"/>
      <c r="BB77" s="39"/>
      <c r="BC77" s="39"/>
      <c r="BD77" s="39"/>
      <c r="BE77" s="39"/>
      <c r="BF77" s="38"/>
      <c r="BG77" s="38"/>
      <c r="BH77" s="38"/>
      <c r="BI77" s="38"/>
      <c r="BJ77" s="38"/>
      <c r="BK77" s="38"/>
      <c r="BL77" s="38"/>
      <c r="BM77" s="38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10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226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424"/>
      <c r="O79" s="84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424"/>
      <c r="AB79" s="84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424"/>
      <c r="AO79" s="43"/>
      <c r="AP79" s="40"/>
      <c r="AQ79" s="40"/>
      <c r="AR79" s="40"/>
      <c r="AS79" s="40"/>
      <c r="AT79" s="17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24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97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352"/>
      <c r="AC81" s="353"/>
      <c r="AD81" s="353"/>
      <c r="AE81" s="353"/>
      <c r="AF81" s="353"/>
      <c r="AG81" s="353"/>
      <c r="AH81" s="353"/>
      <c r="AI81" s="353"/>
      <c r="AJ81" s="353"/>
      <c r="AK81" s="353"/>
      <c r="AL81" s="353"/>
      <c r="AM81" s="354"/>
      <c r="AN81" s="95"/>
      <c r="AO81" s="148"/>
      <c r="AP81" s="149"/>
      <c r="AQ81" s="149"/>
      <c r="AR81" s="149"/>
      <c r="AS81" s="149"/>
      <c r="AT81" s="107"/>
      <c r="AU81" s="127"/>
      <c r="AV81" s="127"/>
      <c r="AW81" s="127"/>
      <c r="AX81" s="127"/>
      <c r="AY81" s="127"/>
      <c r="AZ81" s="127"/>
      <c r="BA81" s="210"/>
      <c r="BB81" s="127"/>
      <c r="BC81" s="63"/>
      <c r="BD81" s="63"/>
      <c r="BE81" s="63"/>
      <c r="BF81" s="56"/>
      <c r="BG81" s="56"/>
      <c r="BH81" s="56"/>
      <c r="BI81" s="56"/>
      <c r="BJ81" s="56"/>
      <c r="BK81" s="56"/>
      <c r="BL81" s="56"/>
      <c r="BM81" s="56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78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226"/>
      <c r="AO82" s="386"/>
      <c r="AP82" s="387"/>
      <c r="AQ82" s="387"/>
      <c r="AR82" s="387"/>
      <c r="AS82" s="387"/>
      <c r="AT82" s="181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160"/>
      <c r="BG82" s="160"/>
      <c r="BH82" s="160"/>
      <c r="BI82" s="160"/>
      <c r="BJ82" s="160"/>
      <c r="BK82" s="160"/>
      <c r="BL82" s="160"/>
      <c r="BM82" s="160"/>
      <c r="BN82" s="196"/>
      <c r="BO82" s="88"/>
    </row>
    <row r="83" spans="1:67" ht="15.75" customHeight="1" thickTop="1">
      <c r="A83" s="374" t="s">
        <v>54</v>
      </c>
      <c r="B83" s="84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424"/>
      <c r="O83" s="84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424"/>
      <c r="AB83" s="84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424"/>
      <c r="AO83" s="388"/>
      <c r="AP83" s="389"/>
      <c r="AQ83" s="389"/>
      <c r="AR83" s="389"/>
      <c r="AS83" s="389"/>
      <c r="AT83" s="41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8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5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18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96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352"/>
      <c r="AC86" s="288"/>
      <c r="AD86" s="288"/>
      <c r="AE86" s="288"/>
      <c r="AF86" s="288"/>
      <c r="AG86" s="288"/>
      <c r="AH86" s="288"/>
      <c r="AI86" s="288"/>
      <c r="AJ86" s="288"/>
      <c r="AK86" s="288"/>
      <c r="AL86" s="288"/>
      <c r="AM86" s="288"/>
      <c r="AN86" s="95"/>
      <c r="AO86" s="148"/>
      <c r="AP86" s="149"/>
      <c r="AQ86" s="149"/>
      <c r="AR86" s="149"/>
      <c r="AS86" s="149"/>
      <c r="AT86" s="107"/>
      <c r="AU86" s="39"/>
      <c r="AV86" s="39"/>
      <c r="AW86" s="39"/>
      <c r="AX86" s="39"/>
      <c r="AY86" s="39"/>
      <c r="AZ86" s="39"/>
      <c r="BA86" s="210"/>
      <c r="BB86" s="109"/>
      <c r="BC86" s="39"/>
      <c r="BD86" s="39"/>
      <c r="BE86" s="39"/>
      <c r="BF86" s="38"/>
      <c r="BG86" s="38"/>
      <c r="BH86" s="38"/>
      <c r="BI86" s="38"/>
      <c r="BJ86" s="38"/>
      <c r="BK86" s="38"/>
      <c r="BL86" s="38"/>
      <c r="BM86" s="38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78"/>
      <c r="AC87" s="79"/>
      <c r="AD87" s="289"/>
      <c r="AE87" s="289"/>
      <c r="AF87" s="289"/>
      <c r="AG87" s="289"/>
      <c r="AH87" s="289"/>
      <c r="AI87" s="289"/>
      <c r="AJ87" s="289"/>
      <c r="AK87" s="79"/>
      <c r="AL87" s="79"/>
      <c r="AM87" s="79"/>
      <c r="AN87" s="226"/>
      <c r="AO87" s="386"/>
      <c r="AP87" s="387"/>
      <c r="AQ87" s="387"/>
      <c r="AR87" s="387"/>
      <c r="AS87" s="387"/>
      <c r="AT87" s="181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160"/>
      <c r="BG87" s="160"/>
      <c r="BH87" s="160"/>
      <c r="BI87" s="160"/>
      <c r="BJ87" s="160"/>
      <c r="BK87" s="160"/>
      <c r="BL87" s="160"/>
      <c r="BM87" s="160"/>
      <c r="BN87" s="196"/>
      <c r="BO87" s="88"/>
    </row>
    <row r="88" spans="1:67" ht="15.75" customHeight="1" thickTop="1">
      <c r="A88" s="374" t="s">
        <v>54</v>
      </c>
      <c r="B88" s="84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424"/>
      <c r="O88" s="84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426"/>
      <c r="AB88" s="84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426"/>
      <c r="AO88" s="388"/>
      <c r="AP88" s="389"/>
      <c r="AQ88" s="389"/>
      <c r="AR88" s="389"/>
      <c r="AS88" s="389"/>
      <c r="AT88" s="41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80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94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6"/>
      <c r="BG89" s="126"/>
      <c r="BH89" s="126"/>
      <c r="BI89" s="126"/>
      <c r="BJ89" s="126"/>
      <c r="BK89" s="126"/>
      <c r="BL89" s="126"/>
      <c r="BM89" s="126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8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5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18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96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8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5"/>
      <c r="AO92" s="100"/>
      <c r="AP92" s="87"/>
      <c r="AQ92" s="87"/>
      <c r="AR92" s="87"/>
      <c r="AS92" s="87"/>
      <c r="AT92" s="39"/>
      <c r="AU92" s="109">
        <f>Customers!E229</f>
        <v>79</v>
      </c>
      <c r="AV92" s="109">
        <f>Customers!F229</f>
        <v>79</v>
      </c>
      <c r="AW92" s="109">
        <f>Customers!G229</f>
        <v>79</v>
      </c>
      <c r="AX92" s="109">
        <f>Customers!H229</f>
        <v>79</v>
      </c>
      <c r="AY92" s="109">
        <f>Customers!I229</f>
        <v>79</v>
      </c>
      <c r="AZ92" s="109">
        <f>Customers!J229</f>
        <v>79</v>
      </c>
      <c r="BA92" s="210">
        <f>AZ92</f>
        <v>79</v>
      </c>
      <c r="BB92" s="63">
        <v>79</v>
      </c>
      <c r="BC92" s="63">
        <v>79</v>
      </c>
      <c r="BD92" s="63">
        <v>79</v>
      </c>
      <c r="BE92" s="63">
        <v>79</v>
      </c>
      <c r="BF92" s="63">
        <f t="shared" ref="BF92:BM92" si="21">BD92</f>
        <v>79</v>
      </c>
      <c r="BG92" s="63">
        <f t="shared" si="21"/>
        <v>79</v>
      </c>
      <c r="BH92" s="63">
        <f t="shared" si="21"/>
        <v>79</v>
      </c>
      <c r="BI92" s="63">
        <f t="shared" si="21"/>
        <v>79</v>
      </c>
      <c r="BJ92" s="63">
        <f t="shared" si="21"/>
        <v>79</v>
      </c>
      <c r="BK92" s="63">
        <f t="shared" si="21"/>
        <v>79</v>
      </c>
      <c r="BL92" s="63">
        <f t="shared" si="21"/>
        <v>79</v>
      </c>
      <c r="BM92" s="63">
        <f t="shared" si="21"/>
        <v>79</v>
      </c>
      <c r="BN92" s="210">
        <f>IFERROR(ROUND(AVERAGE(BB92:BM92),0),0)</f>
        <v>79</v>
      </c>
      <c r="BO92" s="133">
        <f>BM92</f>
        <v>79</v>
      </c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10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226"/>
      <c r="AO93" s="151"/>
      <c r="AP93" s="152"/>
      <c r="AQ93" s="152"/>
      <c r="AR93" s="152"/>
      <c r="AS93" s="152"/>
      <c r="AT93" s="64"/>
      <c r="AU93" s="117">
        <f>ROUND(AU94*AU92,0)</f>
        <v>106052</v>
      </c>
      <c r="AV93" s="117">
        <f t="shared" ref="AV93:BM93" si="22">ROUND(AV94*AV92,0)</f>
        <v>112943</v>
      </c>
      <c r="AW93" s="117">
        <f t="shared" si="22"/>
        <v>227304</v>
      </c>
      <c r="AX93" s="117">
        <f t="shared" si="22"/>
        <v>274384</v>
      </c>
      <c r="AY93" s="117">
        <f t="shared" si="22"/>
        <v>213202</v>
      </c>
      <c r="AZ93" s="117">
        <f t="shared" si="22"/>
        <v>184288</v>
      </c>
      <c r="BA93" s="196">
        <f>SUM(AT93:AZ93)</f>
        <v>1118173</v>
      </c>
      <c r="BB93" s="117">
        <v>252765</v>
      </c>
      <c r="BC93" s="117">
        <v>392009</v>
      </c>
      <c r="BD93" s="117">
        <v>303639</v>
      </c>
      <c r="BE93" s="117">
        <v>267058</v>
      </c>
      <c r="BF93" s="117">
        <f t="shared" si="22"/>
        <v>232339</v>
      </c>
      <c r="BG93" s="117">
        <f t="shared" si="22"/>
        <v>205041</v>
      </c>
      <c r="BH93" s="117">
        <f t="shared" si="22"/>
        <v>106052</v>
      </c>
      <c r="BI93" s="117">
        <f t="shared" si="22"/>
        <v>112943</v>
      </c>
      <c r="BJ93" s="117">
        <f t="shared" si="22"/>
        <v>227304</v>
      </c>
      <c r="BK93" s="117">
        <f t="shared" si="22"/>
        <v>274384</v>
      </c>
      <c r="BL93" s="117">
        <f t="shared" si="22"/>
        <v>213202</v>
      </c>
      <c r="BM93" s="117">
        <f t="shared" si="22"/>
        <v>184288</v>
      </c>
      <c r="BN93" s="196">
        <f>SUM(BB93:BM93)</f>
        <v>2771024</v>
      </c>
      <c r="BO93" s="88">
        <f>IFERROR(ROUND(BO94*BO92,0),0)</f>
        <v>2771024</v>
      </c>
    </row>
    <row r="94" spans="1:67" ht="15.75" customHeight="1" thickTop="1">
      <c r="A94" s="374" t="s">
        <v>54</v>
      </c>
      <c r="B94" s="84" t="str">
        <f>IF('kWh_Streetlight Data'!C158=0,"",'kWh_Streetlight Data'!C158)</f>
        <v/>
      </c>
      <c r="C94" s="108" t="str">
        <f>IF('kWh_Streetlight Data'!D158=0,"",'kWh_Streetlight Data'!D158)</f>
        <v/>
      </c>
      <c r="D94" s="108" t="str">
        <f>IF('kWh_Streetlight Data'!E158=0,"",'kWh_Streetlight Data'!E158)</f>
        <v/>
      </c>
      <c r="E94" s="108" t="str">
        <f>IF('kWh_Streetlight Data'!F158=0,"",'kWh_Streetlight Data'!F158)</f>
        <v/>
      </c>
      <c r="F94" s="108" t="str">
        <f>IF('kWh_Streetlight Data'!G158=0,"",'kWh_Streetlight Data'!G158)</f>
        <v/>
      </c>
      <c r="G94" s="108" t="str">
        <f>IF('kWh_Streetlight Data'!H158=0,"",'kWh_Streetlight Data'!H158)</f>
        <v/>
      </c>
      <c r="H94" s="108" t="str">
        <f>IF('kWh_Streetlight Data'!I158=0,"",'kWh_Streetlight Data'!I158)</f>
        <v/>
      </c>
      <c r="I94" s="108" t="str">
        <f>IF('kWh_Streetlight Data'!J158=0,"",'kWh_Streetlight Data'!J158)</f>
        <v/>
      </c>
      <c r="J94" s="108" t="str">
        <f>IF('kWh_Streetlight Data'!K158=0,"",'kWh_Streetlight Data'!K158)</f>
        <v/>
      </c>
      <c r="K94" s="108" t="str">
        <f>IF('kWh_Streetlight Data'!L158=0,"",'kWh_Streetlight Data'!L158)</f>
        <v/>
      </c>
      <c r="L94" s="130" t="str">
        <f>IF('kWh_Streetlight Data'!M158=0,"",'kWh_Streetlight Data'!M158)</f>
        <v/>
      </c>
      <c r="M94" s="130" t="str">
        <f>IF('kWh_Streetlight Data'!N158=0,"",'kWh_Streetlight Data'!N158)</f>
        <v/>
      </c>
      <c r="N94" s="425" t="str">
        <f>IF('kWh_Streetlight Data'!O158=0,"",'kWh_Streetlight Data'!O158)</f>
        <v/>
      </c>
      <c r="O94" s="84" t="str">
        <f>IF('kWh_Streetlight Data'!P158=0,"",'kWh_Streetlight Data'!P158)</f>
        <v/>
      </c>
      <c r="P94" s="108" t="str">
        <f>IF('kWh_Streetlight Data'!Q158=0,"",'kWh_Streetlight Data'!Q158)</f>
        <v/>
      </c>
      <c r="Q94" s="108" t="str">
        <f>IF('kWh_Streetlight Data'!R158=0,"",'kWh_Streetlight Data'!R158)</f>
        <v/>
      </c>
      <c r="R94" s="108" t="str">
        <f>IF('kWh_Streetlight Data'!S158=0,"",'kWh_Streetlight Data'!S158)</f>
        <v/>
      </c>
      <c r="S94" s="108" t="str">
        <f>IF('kWh_Streetlight Data'!T158=0,"",'kWh_Streetlight Data'!T158)</f>
        <v/>
      </c>
      <c r="T94" s="108" t="str">
        <f>IF('kWh_Streetlight Data'!U158=0,"",'kWh_Streetlight Data'!U158)</f>
        <v/>
      </c>
      <c r="U94" s="108" t="str">
        <f>IF('kWh_Streetlight Data'!V158=0,"",'kWh_Streetlight Data'!V158)</f>
        <v/>
      </c>
      <c r="V94" s="108" t="str">
        <f>IF('kWh_Streetlight Data'!W158=0,"",'kWh_Streetlight Data'!W158)</f>
        <v/>
      </c>
      <c r="W94" s="108" t="str">
        <f>IF('kWh_Streetlight Data'!X158=0,"",'kWh_Streetlight Data'!X158)</f>
        <v/>
      </c>
      <c r="X94" s="108" t="str">
        <f>IF('kWh_Streetlight Data'!Y158=0,"",'kWh_Streetlight Data'!Y158)</f>
        <v/>
      </c>
      <c r="Y94" s="108" t="str">
        <f>IF('kWh_Streetlight Data'!Z158=0,"",'kWh_Streetlight Data'!Z158)</f>
        <v/>
      </c>
      <c r="Z94" s="108" t="str">
        <f>IF('kWh_Streetlight Data'!AA158=0,"",'kWh_Streetlight Data'!AA158)</f>
        <v/>
      </c>
      <c r="AA94" s="426" t="str">
        <f>IF('kWh_Streetlight Data'!AB158=0,"",'kWh_Streetlight Data'!AB158)</f>
        <v/>
      </c>
      <c r="AB94" s="84">
        <f>IF('kWh_Streetlight Data'!AC158=0,"",'kWh_Streetlight Data'!AC158)</f>
        <v>3199.5522388059703</v>
      </c>
      <c r="AC94" s="108">
        <f>IF('kWh_Streetlight Data'!AD158=0,"",'kWh_Streetlight Data'!AD158)</f>
        <v>4962.1369863013697</v>
      </c>
      <c r="AD94" s="108">
        <f>IF('kWh_Streetlight Data'!AE158=0,"",'kWh_Streetlight Data'!AE158)</f>
        <v>3843.5270270270271</v>
      </c>
      <c r="AE94" s="108">
        <f>IF('kWh_Streetlight Data'!AF158=0,"",'kWh_Streetlight Data'!AF158)</f>
        <v>3380.4810126582279</v>
      </c>
      <c r="AF94" s="108">
        <f>IF('kWh_Streetlight Data'!AG158=0,"",'kWh_Streetlight Data'!AG158)</f>
        <v>2941</v>
      </c>
      <c r="AG94" s="108">
        <f>IF('kWh_Streetlight Data'!AH158=0,"",'kWh_Streetlight Data'!AH158)</f>
        <v>2595.4520547945203</v>
      </c>
      <c r="AH94" s="108">
        <f>IF('kWh_Streetlight Data'!AI158=0,"",'kWh_Streetlight Data'!AI158)</f>
        <v>1342.4285714285713</v>
      </c>
      <c r="AI94" s="108">
        <f>IF('kWh_Streetlight Data'!AJ158=0,"",'kWh_Streetlight Data'!AJ158)</f>
        <v>1429.661971830986</v>
      </c>
      <c r="AJ94" s="108">
        <f>IF('kWh_Streetlight Data'!AK158=0,"",'kWh_Streetlight Data'!AK158)</f>
        <v>2877.2602739726026</v>
      </c>
      <c r="AK94" s="108">
        <f>IF('kWh_Streetlight Data'!AL158=0,"",'kWh_Streetlight Data'!AL158)</f>
        <v>3473.2133333333331</v>
      </c>
      <c r="AL94" s="108">
        <f>IF('kWh_Streetlight Data'!AM158=0,"",'kWh_Streetlight Data'!AM158)</f>
        <v>2698.7534246575342</v>
      </c>
      <c r="AM94" s="108">
        <f>IF('kWh_Streetlight Data'!AN158=0,"",'kWh_Streetlight Data'!AN158)</f>
        <v>2332.7631578947367</v>
      </c>
      <c r="AN94" s="426">
        <f>IF('kWh_Streetlight Data'!AO158=0,"",'kWh_Streetlight Data'!AO158)</f>
        <v>2920.7338618346544</v>
      </c>
      <c r="AO94" s="388"/>
      <c r="AP94" s="35"/>
      <c r="AQ94" s="35"/>
      <c r="AR94" s="35"/>
      <c r="AS94" s="35"/>
      <c r="AT94" s="9"/>
      <c r="AU94" s="9">
        <f>AH94</f>
        <v>1342.4285714285713</v>
      </c>
      <c r="AV94" s="9">
        <f t="shared" ref="AV94:AZ94" si="23">AI94</f>
        <v>1429.661971830986</v>
      </c>
      <c r="AW94" s="9">
        <f t="shared" si="23"/>
        <v>2877.2602739726026</v>
      </c>
      <c r="AX94" s="9">
        <f t="shared" si="23"/>
        <v>3473.2133333333331</v>
      </c>
      <c r="AY94" s="9">
        <f t="shared" si="23"/>
        <v>2698.7534246575342</v>
      </c>
      <c r="AZ94" s="9">
        <f t="shared" si="23"/>
        <v>2332.7631578947367</v>
      </c>
      <c r="BA94" s="211">
        <f>IFERROR(BA93/SUM(AO92:AZ92),0)</f>
        <v>2359.0147679324896</v>
      </c>
      <c r="BB94" s="9">
        <v>3199.5522388059703</v>
      </c>
      <c r="BC94" s="9">
        <v>4962.1369863013697</v>
      </c>
      <c r="BD94" s="9">
        <v>3843.5270270270271</v>
      </c>
      <c r="BE94" s="9">
        <v>3380.4810126582279</v>
      </c>
      <c r="BF94" s="9">
        <f t="shared" ref="BF94:BM94" si="24">AF94</f>
        <v>2941</v>
      </c>
      <c r="BG94" s="9">
        <f t="shared" si="24"/>
        <v>2595.4520547945203</v>
      </c>
      <c r="BH94" s="9">
        <f t="shared" si="24"/>
        <v>1342.4285714285713</v>
      </c>
      <c r="BI94" s="9">
        <f t="shared" si="24"/>
        <v>1429.661971830986</v>
      </c>
      <c r="BJ94" s="9">
        <f t="shared" si="24"/>
        <v>2877.2602739726026</v>
      </c>
      <c r="BK94" s="9">
        <f t="shared" si="24"/>
        <v>3473.2133333333331</v>
      </c>
      <c r="BL94" s="9">
        <f t="shared" si="24"/>
        <v>2698.7534246575342</v>
      </c>
      <c r="BM94" s="9">
        <f t="shared" si="24"/>
        <v>2332.7631578947367</v>
      </c>
      <c r="BN94" s="211">
        <f>IFERROR(BN93/SUM(BB92:BM92)*12,0)</f>
        <v>35076.253164556962</v>
      </c>
      <c r="BO94" s="58">
        <f>BN94</f>
        <v>35076.253164556962</v>
      </c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8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5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8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244"/>
      <c r="AN96" s="9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27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64"/>
      <c r="AN97" s="2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25">AU7+AU22+AU29+AU43</f>
        <v>0</v>
      </c>
      <c r="AV98" s="9">
        <f t="shared" si="25"/>
        <v>0</v>
      </c>
      <c r="AW98" s="9">
        <f t="shared" si="25"/>
        <v>0</v>
      </c>
      <c r="AX98" s="9">
        <f t="shared" si="25"/>
        <v>0</v>
      </c>
      <c r="AY98" s="9">
        <f t="shared" si="25"/>
        <v>0</v>
      </c>
      <c r="AZ98" s="9">
        <f t="shared" si="25"/>
        <v>0</v>
      </c>
      <c r="BA98" s="138">
        <f t="shared" si="25"/>
        <v>0</v>
      </c>
      <c r="BB98" s="9">
        <v>0</v>
      </c>
      <c r="BC98" s="9">
        <v>0</v>
      </c>
      <c r="BD98" s="9">
        <v>0</v>
      </c>
      <c r="BE98" s="9">
        <v>0</v>
      </c>
      <c r="BF98" s="9">
        <f t="shared" ref="BF98:BO98" si="26">BF7+BF22+BF29+BF43</f>
        <v>0</v>
      </c>
      <c r="BG98" s="9">
        <f t="shared" si="26"/>
        <v>0</v>
      </c>
      <c r="BH98" s="9">
        <f t="shared" si="26"/>
        <v>0</v>
      </c>
      <c r="BI98" s="9">
        <f t="shared" si="26"/>
        <v>0</v>
      </c>
      <c r="BJ98" s="9">
        <f t="shared" si="26"/>
        <v>0</v>
      </c>
      <c r="BK98" s="9">
        <f t="shared" si="26"/>
        <v>0</v>
      </c>
      <c r="BL98" s="9">
        <f t="shared" si="26"/>
        <v>0</v>
      </c>
      <c r="BM98" s="9">
        <f t="shared" si="26"/>
        <v>0</v>
      </c>
      <c r="BN98" s="138">
        <f t="shared" si="26"/>
        <v>0</v>
      </c>
      <c r="BO98" s="58">
        <f t="shared" si="26"/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27">AU57</f>
        <v>0</v>
      </c>
      <c r="AV99" s="9">
        <f t="shared" si="27"/>
        <v>0</v>
      </c>
      <c r="AW99" s="9">
        <f t="shared" si="27"/>
        <v>0</v>
      </c>
      <c r="AX99" s="9">
        <f t="shared" si="27"/>
        <v>0</v>
      </c>
      <c r="AY99" s="9">
        <f t="shared" si="27"/>
        <v>0</v>
      </c>
      <c r="AZ99" s="9">
        <f t="shared" si="27"/>
        <v>0</v>
      </c>
      <c r="BA99" s="138">
        <f t="shared" si="27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28">BF57</f>
        <v>0</v>
      </c>
      <c r="BG99" s="9">
        <f t="shared" si="28"/>
        <v>0</v>
      </c>
      <c r="BH99" s="9">
        <f t="shared" si="28"/>
        <v>0</v>
      </c>
      <c r="BI99" s="9">
        <f t="shared" si="28"/>
        <v>0</v>
      </c>
      <c r="BJ99" s="9">
        <f t="shared" si="28"/>
        <v>0</v>
      </c>
      <c r="BK99" s="9">
        <f t="shared" si="28"/>
        <v>0</v>
      </c>
      <c r="BL99" s="9">
        <f t="shared" si="28"/>
        <v>0</v>
      </c>
      <c r="BM99" s="9">
        <f t="shared" si="28"/>
        <v>0</v>
      </c>
      <c r="BN99" s="138">
        <f t="shared" si="28"/>
        <v>0</v>
      </c>
      <c r="BO99" s="58">
        <f t="shared" si="28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29">AU65+AU75+AU81+AU86</f>
        <v>0</v>
      </c>
      <c r="AV100" s="9">
        <f t="shared" si="29"/>
        <v>0</v>
      </c>
      <c r="AW100" s="9">
        <f t="shared" si="29"/>
        <v>0</v>
      </c>
      <c r="AX100" s="9">
        <f t="shared" si="29"/>
        <v>0</v>
      </c>
      <c r="AY100" s="9">
        <f t="shared" si="29"/>
        <v>0</v>
      </c>
      <c r="AZ100" s="9">
        <f t="shared" si="29"/>
        <v>0</v>
      </c>
      <c r="BA100" s="138">
        <f t="shared" si="29"/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f t="shared" ref="BF100:BO100" si="30">BF65+BF75+BF81+BF86</f>
        <v>0</v>
      </c>
      <c r="BG100" s="9">
        <f t="shared" si="30"/>
        <v>0</v>
      </c>
      <c r="BH100" s="9">
        <f t="shared" si="30"/>
        <v>0</v>
      </c>
      <c r="BI100" s="9">
        <f t="shared" si="30"/>
        <v>0</v>
      </c>
      <c r="BJ100" s="9">
        <f t="shared" si="30"/>
        <v>0</v>
      </c>
      <c r="BK100" s="9">
        <f t="shared" si="30"/>
        <v>0</v>
      </c>
      <c r="BL100" s="9">
        <f t="shared" si="30"/>
        <v>0</v>
      </c>
      <c r="BM100" s="9">
        <f t="shared" si="30"/>
        <v>0</v>
      </c>
      <c r="BN100" s="138">
        <f t="shared" si="30"/>
        <v>0</v>
      </c>
      <c r="BO100" s="58">
        <f t="shared" si="30"/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" si="31">SUM(AU98:AU100)</f>
        <v>0</v>
      </c>
      <c r="AV101" s="73">
        <f t="shared" ref="AV101" si="32">SUM(AV98:AV100)</f>
        <v>0</v>
      </c>
      <c r="AW101" s="73">
        <f t="shared" ref="AW101" si="33">SUM(AW98:AW100)</f>
        <v>0</v>
      </c>
      <c r="AX101" s="73">
        <f t="shared" ref="AX101" si="34">SUM(AX98:AX100)</f>
        <v>0</v>
      </c>
      <c r="AY101" s="73">
        <f t="shared" ref="AY101" si="35">SUM(AY98:AY100)</f>
        <v>0</v>
      </c>
      <c r="AZ101" s="73">
        <f t="shared" ref="AZ101" si="36">SUM(AZ98:AZ100)</f>
        <v>0</v>
      </c>
      <c r="BA101" s="249">
        <f t="shared" ref="BA101" si="37">SUM(BA98:BA100)</f>
        <v>0</v>
      </c>
      <c r="BB101" s="73">
        <v>0</v>
      </c>
      <c r="BC101" s="73">
        <v>0</v>
      </c>
      <c r="BD101" s="73">
        <v>0</v>
      </c>
      <c r="BE101" s="73">
        <v>0</v>
      </c>
      <c r="BF101" s="73">
        <f t="shared" ref="BF101" si="38">SUM(BF98:BF100)</f>
        <v>0</v>
      </c>
      <c r="BG101" s="73">
        <f t="shared" ref="BG101" si="39">SUM(BG98:BG100)</f>
        <v>0</v>
      </c>
      <c r="BH101" s="73">
        <f t="shared" ref="BH101" si="40">SUM(BH98:BH100)</f>
        <v>0</v>
      </c>
      <c r="BI101" s="73">
        <f t="shared" ref="BI101" si="41">SUM(BI98:BI100)</f>
        <v>0</v>
      </c>
      <c r="BJ101" s="73">
        <f t="shared" ref="BJ101" si="42">SUM(BJ98:BJ100)</f>
        <v>0</v>
      </c>
      <c r="BK101" s="73">
        <f t="shared" ref="BK101" si="43">SUM(BK98:BK100)</f>
        <v>0</v>
      </c>
      <c r="BL101" s="73">
        <f t="shared" ref="BL101" si="44">SUM(BL98:BL100)</f>
        <v>0</v>
      </c>
      <c r="BM101" s="73">
        <f t="shared" ref="BM101" si="45">SUM(BM98:BM100)</f>
        <v>0</v>
      </c>
      <c r="BN101" s="249">
        <f t="shared" ref="BN101" si="46">SUM(BN98:BN100)</f>
        <v>0</v>
      </c>
      <c r="BO101" s="268">
        <f t="shared" ref="BO101" si="47">SUM(BO98:BO100)</f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48">AU15+AU36+AU50</f>
        <v>460</v>
      </c>
      <c r="AV102" s="9">
        <f t="shared" si="48"/>
        <v>469</v>
      </c>
      <c r="AW102" s="9">
        <f t="shared" si="48"/>
        <v>478</v>
      </c>
      <c r="AX102" s="9">
        <f t="shared" si="48"/>
        <v>478</v>
      </c>
      <c r="AY102" s="9">
        <f t="shared" si="48"/>
        <v>478</v>
      </c>
      <c r="AZ102" s="9">
        <f t="shared" si="48"/>
        <v>478</v>
      </c>
      <c r="BA102" s="138">
        <f t="shared" si="48"/>
        <v>478</v>
      </c>
      <c r="BB102" s="9">
        <v>478</v>
      </c>
      <c r="BC102" s="9">
        <v>478</v>
      </c>
      <c r="BD102" s="9">
        <v>478</v>
      </c>
      <c r="BE102" s="9">
        <v>478</v>
      </c>
      <c r="BF102" s="9">
        <f t="shared" ref="BF102:BO102" si="49">BF15+BF36+BF50</f>
        <v>478</v>
      </c>
      <c r="BG102" s="9">
        <f t="shared" si="49"/>
        <v>478</v>
      </c>
      <c r="BH102" s="9">
        <f t="shared" si="49"/>
        <v>496</v>
      </c>
      <c r="BI102" s="9">
        <f t="shared" si="49"/>
        <v>496</v>
      </c>
      <c r="BJ102" s="9">
        <f t="shared" si="49"/>
        <v>496</v>
      </c>
      <c r="BK102" s="9">
        <f t="shared" si="49"/>
        <v>496</v>
      </c>
      <c r="BL102" s="9">
        <f t="shared" si="49"/>
        <v>496</v>
      </c>
      <c r="BM102" s="9">
        <f t="shared" si="49"/>
        <v>496</v>
      </c>
      <c r="BN102" s="138">
        <f t="shared" si="49"/>
        <v>487</v>
      </c>
      <c r="BO102" s="266">
        <f t="shared" si="49"/>
        <v>514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50">AU92</f>
        <v>79</v>
      </c>
      <c r="AV104" s="9">
        <f t="shared" si="50"/>
        <v>79</v>
      </c>
      <c r="AW104" s="9">
        <f t="shared" si="50"/>
        <v>79</v>
      </c>
      <c r="AX104" s="9">
        <f t="shared" si="50"/>
        <v>79</v>
      </c>
      <c r="AY104" s="9">
        <f t="shared" si="50"/>
        <v>79</v>
      </c>
      <c r="AZ104" s="9">
        <f t="shared" si="50"/>
        <v>79</v>
      </c>
      <c r="BA104" s="138">
        <f t="shared" si="50"/>
        <v>79</v>
      </c>
      <c r="BB104" s="9">
        <v>79</v>
      </c>
      <c r="BC104" s="9">
        <v>79</v>
      </c>
      <c r="BD104" s="9">
        <v>79</v>
      </c>
      <c r="BE104" s="9">
        <v>79</v>
      </c>
      <c r="BF104" s="9">
        <f t="shared" ref="BF104:BO104" si="51">BF92</f>
        <v>79</v>
      </c>
      <c r="BG104" s="9">
        <f t="shared" si="51"/>
        <v>79</v>
      </c>
      <c r="BH104" s="9">
        <f t="shared" si="51"/>
        <v>79</v>
      </c>
      <c r="BI104" s="9">
        <f t="shared" si="51"/>
        <v>79</v>
      </c>
      <c r="BJ104" s="9">
        <f t="shared" si="51"/>
        <v>79</v>
      </c>
      <c r="BK104" s="9">
        <f t="shared" si="51"/>
        <v>79</v>
      </c>
      <c r="BL104" s="9">
        <f t="shared" si="51"/>
        <v>79</v>
      </c>
      <c r="BM104" s="9">
        <f t="shared" si="51"/>
        <v>79</v>
      </c>
      <c r="BN104" s="138">
        <f t="shared" si="51"/>
        <v>79</v>
      </c>
      <c r="BO104" s="58">
        <f t="shared" si="51"/>
        <v>79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" si="52">SUM(AU102:AU104)</f>
        <v>539</v>
      </c>
      <c r="AV105" s="73">
        <f t="shared" ref="AV105" si="53">SUM(AV102:AV104)</f>
        <v>548</v>
      </c>
      <c r="AW105" s="73">
        <f t="shared" ref="AW105" si="54">SUM(AW102:AW104)</f>
        <v>557</v>
      </c>
      <c r="AX105" s="73">
        <f t="shared" ref="AX105" si="55">SUM(AX102:AX104)</f>
        <v>557</v>
      </c>
      <c r="AY105" s="73">
        <f t="shared" ref="AY105" si="56">SUM(AY102:AY104)</f>
        <v>557</v>
      </c>
      <c r="AZ105" s="73">
        <f t="shared" ref="AZ105" si="57">SUM(AZ102:AZ104)</f>
        <v>557</v>
      </c>
      <c r="BA105" s="249">
        <f t="shared" ref="BA105" si="58">SUM(BA102:BA104)</f>
        <v>557</v>
      </c>
      <c r="BB105" s="73">
        <v>557</v>
      </c>
      <c r="BC105" s="73">
        <v>557</v>
      </c>
      <c r="BD105" s="73">
        <v>557</v>
      </c>
      <c r="BE105" s="73">
        <v>557</v>
      </c>
      <c r="BF105" s="73">
        <f t="shared" ref="BF105" si="59">SUM(BF102:BF104)</f>
        <v>557</v>
      </c>
      <c r="BG105" s="73">
        <f t="shared" ref="BG105" si="60">SUM(BG102:BG104)</f>
        <v>557</v>
      </c>
      <c r="BH105" s="73">
        <f t="shared" ref="BH105" si="61">SUM(BH102:BH104)</f>
        <v>575</v>
      </c>
      <c r="BI105" s="73">
        <f t="shared" ref="BI105" si="62">SUM(BI102:BI104)</f>
        <v>575</v>
      </c>
      <c r="BJ105" s="73">
        <f t="shared" ref="BJ105" si="63">SUM(BJ102:BJ104)</f>
        <v>575</v>
      </c>
      <c r="BK105" s="73">
        <f t="shared" ref="BK105" si="64">SUM(BK102:BK104)</f>
        <v>575</v>
      </c>
      <c r="BL105" s="73">
        <f t="shared" ref="BL105" si="65">SUM(BL102:BL104)</f>
        <v>575</v>
      </c>
      <c r="BM105" s="73">
        <f t="shared" ref="BM105" si="66">SUM(BM102:BM104)</f>
        <v>575</v>
      </c>
      <c r="BN105" s="249">
        <f t="shared" ref="BN105" si="67">SUM(BN102:BN104)</f>
        <v>566</v>
      </c>
      <c r="BO105" s="268">
        <f t="shared" ref="BO105" si="68">SUM(BO102:BO104)</f>
        <v>593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" si="69">AU105+AU101</f>
        <v>539</v>
      </c>
      <c r="AV106" s="251">
        <f t="shared" ref="AV106" si="70">AV105+AV101</f>
        <v>548</v>
      </c>
      <c r="AW106" s="251">
        <f t="shared" ref="AW106" si="71">AW105+AW101</f>
        <v>557</v>
      </c>
      <c r="AX106" s="251">
        <f t="shared" ref="AX106" si="72">AX105+AX101</f>
        <v>557</v>
      </c>
      <c r="AY106" s="251">
        <f t="shared" ref="AY106" si="73">AY105+AY101</f>
        <v>557</v>
      </c>
      <c r="AZ106" s="251">
        <f t="shared" ref="AZ106" si="74">AZ105+AZ101</f>
        <v>557</v>
      </c>
      <c r="BA106" s="255">
        <f t="shared" ref="BA106" si="75">BA105+BA101</f>
        <v>557</v>
      </c>
      <c r="BB106" s="251">
        <v>557</v>
      </c>
      <c r="BC106" s="251">
        <v>557</v>
      </c>
      <c r="BD106" s="251">
        <v>557</v>
      </c>
      <c r="BE106" s="251">
        <v>557</v>
      </c>
      <c r="BF106" s="251">
        <f t="shared" ref="BF106" si="76">BF105+BF101</f>
        <v>557</v>
      </c>
      <c r="BG106" s="251">
        <f t="shared" ref="BG106" si="77">BG105+BG101</f>
        <v>557</v>
      </c>
      <c r="BH106" s="251">
        <f t="shared" ref="BH106" si="78">BH105+BH101</f>
        <v>575</v>
      </c>
      <c r="BI106" s="251">
        <f t="shared" ref="BI106" si="79">BI105+BI101</f>
        <v>575</v>
      </c>
      <c r="BJ106" s="251">
        <f t="shared" ref="BJ106" si="80">BJ105+BJ101</f>
        <v>575</v>
      </c>
      <c r="BK106" s="251">
        <f t="shared" ref="BK106" si="81">BK105+BK101</f>
        <v>575</v>
      </c>
      <c r="BL106" s="251">
        <f t="shared" ref="BL106" si="82">BL105+BL101</f>
        <v>575</v>
      </c>
      <c r="BM106" s="251">
        <f t="shared" ref="BM106" si="83">BM105+BM101</f>
        <v>575</v>
      </c>
      <c r="BN106" s="255">
        <f t="shared" ref="BN106:BO106" si="84">BN105+BN101</f>
        <v>566</v>
      </c>
      <c r="BO106" s="269">
        <f t="shared" si="84"/>
        <v>593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85">AU11+AU26+AU33+AU47</f>
        <v>0</v>
      </c>
      <c r="AV108" s="9">
        <f t="shared" si="85"/>
        <v>0</v>
      </c>
      <c r="AW108" s="9">
        <f t="shared" si="85"/>
        <v>0</v>
      </c>
      <c r="AX108" s="9">
        <f t="shared" si="85"/>
        <v>0</v>
      </c>
      <c r="AY108" s="9">
        <f t="shared" si="85"/>
        <v>0</v>
      </c>
      <c r="AZ108" s="9">
        <f t="shared" si="85"/>
        <v>0</v>
      </c>
      <c r="BA108" s="138">
        <f t="shared" si="85"/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f t="shared" ref="BF108:BO108" si="86">BF11+BF26+BF33+BF47</f>
        <v>0</v>
      </c>
      <c r="BG108" s="9">
        <f t="shared" si="86"/>
        <v>0</v>
      </c>
      <c r="BH108" s="9">
        <f t="shared" si="86"/>
        <v>0</v>
      </c>
      <c r="BI108" s="9">
        <f t="shared" si="86"/>
        <v>0</v>
      </c>
      <c r="BJ108" s="9">
        <f t="shared" si="86"/>
        <v>0</v>
      </c>
      <c r="BK108" s="9">
        <f t="shared" si="86"/>
        <v>0</v>
      </c>
      <c r="BL108" s="9">
        <f t="shared" si="86"/>
        <v>0</v>
      </c>
      <c r="BM108" s="9">
        <f t="shared" si="86"/>
        <v>0</v>
      </c>
      <c r="BN108" s="138">
        <f t="shared" si="86"/>
        <v>0</v>
      </c>
      <c r="BO108" s="58">
        <f t="shared" si="86"/>
        <v>0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87">AU58</f>
        <v>0</v>
      </c>
      <c r="AV109" s="9">
        <f t="shared" si="87"/>
        <v>0</v>
      </c>
      <c r="AW109" s="9">
        <f t="shared" si="87"/>
        <v>0</v>
      </c>
      <c r="AX109" s="9">
        <f t="shared" si="87"/>
        <v>0</v>
      </c>
      <c r="AY109" s="9">
        <f t="shared" si="87"/>
        <v>0</v>
      </c>
      <c r="AZ109" s="9">
        <f t="shared" si="87"/>
        <v>0</v>
      </c>
      <c r="BA109" s="138">
        <f t="shared" si="87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88">BF58</f>
        <v>0</v>
      </c>
      <c r="BG109" s="9">
        <f t="shared" si="88"/>
        <v>0</v>
      </c>
      <c r="BH109" s="9">
        <f t="shared" si="88"/>
        <v>0</v>
      </c>
      <c r="BI109" s="9">
        <f t="shared" si="88"/>
        <v>0</v>
      </c>
      <c r="BJ109" s="9">
        <f t="shared" si="88"/>
        <v>0</v>
      </c>
      <c r="BK109" s="9">
        <f t="shared" si="88"/>
        <v>0</v>
      </c>
      <c r="BL109" s="9">
        <f t="shared" si="88"/>
        <v>0</v>
      </c>
      <c r="BM109" s="9">
        <f t="shared" si="88"/>
        <v>0</v>
      </c>
      <c r="BN109" s="138">
        <f t="shared" si="88"/>
        <v>0</v>
      </c>
      <c r="BO109" s="58">
        <f t="shared" si="88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89">AU68+AU78+AU82+AU87</f>
        <v>0</v>
      </c>
      <c r="AV110" s="9">
        <f t="shared" si="89"/>
        <v>0</v>
      </c>
      <c r="AW110" s="9">
        <f t="shared" si="89"/>
        <v>0</v>
      </c>
      <c r="AX110" s="9">
        <f t="shared" si="89"/>
        <v>0</v>
      </c>
      <c r="AY110" s="9">
        <f t="shared" si="89"/>
        <v>0</v>
      </c>
      <c r="AZ110" s="9">
        <f t="shared" si="89"/>
        <v>0</v>
      </c>
      <c r="BA110" s="138">
        <f t="shared" si="89"/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f t="shared" ref="BF110:BO110" si="90">BF68+BF78+BF82+BF87</f>
        <v>0</v>
      </c>
      <c r="BG110" s="9">
        <f t="shared" si="90"/>
        <v>0</v>
      </c>
      <c r="BH110" s="9">
        <f t="shared" si="90"/>
        <v>0</v>
      </c>
      <c r="BI110" s="9">
        <f t="shared" si="90"/>
        <v>0</v>
      </c>
      <c r="BJ110" s="9">
        <f t="shared" si="90"/>
        <v>0</v>
      </c>
      <c r="BK110" s="9">
        <f t="shared" si="90"/>
        <v>0</v>
      </c>
      <c r="BL110" s="9">
        <f t="shared" si="90"/>
        <v>0</v>
      </c>
      <c r="BM110" s="9">
        <f t="shared" si="90"/>
        <v>0</v>
      </c>
      <c r="BN110" s="138">
        <f t="shared" si="90"/>
        <v>0</v>
      </c>
      <c r="BO110" s="58">
        <f t="shared" si="90"/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" si="91">SUM(AU108:AU110)</f>
        <v>0</v>
      </c>
      <c r="AV111" s="73">
        <f t="shared" ref="AV111" si="92">SUM(AV108:AV110)</f>
        <v>0</v>
      </c>
      <c r="AW111" s="73">
        <f t="shared" ref="AW111" si="93">SUM(AW108:AW110)</f>
        <v>0</v>
      </c>
      <c r="AX111" s="73">
        <f t="shared" ref="AX111" si="94">SUM(AX108:AX110)</f>
        <v>0</v>
      </c>
      <c r="AY111" s="73">
        <f t="shared" ref="AY111" si="95">SUM(AY108:AY110)</f>
        <v>0</v>
      </c>
      <c r="AZ111" s="73">
        <f t="shared" ref="AZ111" si="96">SUM(AZ108:AZ110)</f>
        <v>0</v>
      </c>
      <c r="BA111" s="249">
        <f t="shared" ref="BA111" si="97">SUM(BA108:BA110)</f>
        <v>0</v>
      </c>
      <c r="BB111" s="73">
        <v>0</v>
      </c>
      <c r="BC111" s="73">
        <v>0</v>
      </c>
      <c r="BD111" s="73">
        <v>0</v>
      </c>
      <c r="BE111" s="73">
        <v>0</v>
      </c>
      <c r="BF111" s="73">
        <f t="shared" ref="BF111" si="98">SUM(BF108:BF110)</f>
        <v>0</v>
      </c>
      <c r="BG111" s="73">
        <f t="shared" ref="BG111" si="99">SUM(BG108:BG110)</f>
        <v>0</v>
      </c>
      <c r="BH111" s="73">
        <f t="shared" ref="BH111" si="100">SUM(BH108:BH110)</f>
        <v>0</v>
      </c>
      <c r="BI111" s="73">
        <f t="shared" ref="BI111" si="101">SUM(BI108:BI110)</f>
        <v>0</v>
      </c>
      <c r="BJ111" s="73">
        <f t="shared" ref="BJ111" si="102">SUM(BJ108:BJ110)</f>
        <v>0</v>
      </c>
      <c r="BK111" s="73">
        <f t="shared" ref="BK111" si="103">SUM(BK108:BK110)</f>
        <v>0</v>
      </c>
      <c r="BL111" s="73">
        <f t="shared" ref="BL111" si="104">SUM(BL108:BL110)</f>
        <v>0</v>
      </c>
      <c r="BM111" s="73">
        <f t="shared" ref="BM111" si="105">SUM(BM108:BM110)</f>
        <v>0</v>
      </c>
      <c r="BN111" s="249">
        <f t="shared" ref="BN111:BO111" si="106">SUM(BN108:BN110)</f>
        <v>0</v>
      </c>
      <c r="BO111" s="268">
        <f t="shared" si="106"/>
        <v>0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107">AU19+AU40+AU54</f>
        <v>409667</v>
      </c>
      <c r="AV112" s="9">
        <f t="shared" si="107"/>
        <v>475986</v>
      </c>
      <c r="AW112" s="9">
        <f t="shared" si="107"/>
        <v>537370</v>
      </c>
      <c r="AX112" s="9">
        <f t="shared" si="107"/>
        <v>496537</v>
      </c>
      <c r="AY112" s="9">
        <f t="shared" si="107"/>
        <v>545980</v>
      </c>
      <c r="AZ112" s="9">
        <f t="shared" si="107"/>
        <v>704088</v>
      </c>
      <c r="BA112" s="138">
        <f t="shared" si="107"/>
        <v>3169628</v>
      </c>
      <c r="BB112" s="9">
        <v>1043252</v>
      </c>
      <c r="BC112" s="9">
        <v>980234</v>
      </c>
      <c r="BD112" s="9">
        <v>887492</v>
      </c>
      <c r="BE112" s="9">
        <v>758316</v>
      </c>
      <c r="BF112" s="9">
        <f t="shared" ref="BF112:BO112" si="108">BF19+BF40+BF54</f>
        <v>669533</v>
      </c>
      <c r="BG112" s="9">
        <f t="shared" si="108"/>
        <v>514984</v>
      </c>
      <c r="BH112" s="9">
        <f t="shared" si="108"/>
        <v>438167</v>
      </c>
      <c r="BI112" s="9">
        <f t="shared" si="108"/>
        <v>502218</v>
      </c>
      <c r="BJ112" s="9">
        <f t="shared" si="108"/>
        <v>555519</v>
      </c>
      <c r="BK112" s="9">
        <f t="shared" si="108"/>
        <v>514109</v>
      </c>
      <c r="BL112" s="9">
        <f t="shared" si="108"/>
        <v>563786</v>
      </c>
      <c r="BM112" s="9">
        <f t="shared" si="108"/>
        <v>728251</v>
      </c>
      <c r="BN112" s="138">
        <f t="shared" si="108"/>
        <v>8155861</v>
      </c>
      <c r="BO112" s="58">
        <f t="shared" si="108"/>
        <v>8566125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109">AU93</f>
        <v>106052</v>
      </c>
      <c r="AV114" s="9">
        <f t="shared" si="109"/>
        <v>112943</v>
      </c>
      <c r="AW114" s="9">
        <f t="shared" si="109"/>
        <v>227304</v>
      </c>
      <c r="AX114" s="9">
        <f t="shared" si="109"/>
        <v>274384</v>
      </c>
      <c r="AY114" s="9">
        <f t="shared" si="109"/>
        <v>213202</v>
      </c>
      <c r="AZ114" s="9">
        <f t="shared" si="109"/>
        <v>184288</v>
      </c>
      <c r="BA114" s="138">
        <f t="shared" si="109"/>
        <v>1118173</v>
      </c>
      <c r="BB114" s="9">
        <v>252765</v>
      </c>
      <c r="BC114" s="9">
        <v>392009</v>
      </c>
      <c r="BD114" s="9">
        <v>303639</v>
      </c>
      <c r="BE114" s="9">
        <v>267058</v>
      </c>
      <c r="BF114" s="9">
        <f t="shared" ref="BF114:BO114" si="110">BF93</f>
        <v>232339</v>
      </c>
      <c r="BG114" s="9">
        <f t="shared" si="110"/>
        <v>205041</v>
      </c>
      <c r="BH114" s="9">
        <f t="shared" si="110"/>
        <v>106052</v>
      </c>
      <c r="BI114" s="9">
        <f t="shared" si="110"/>
        <v>112943</v>
      </c>
      <c r="BJ114" s="9">
        <f t="shared" si="110"/>
        <v>227304</v>
      </c>
      <c r="BK114" s="9">
        <f t="shared" si="110"/>
        <v>274384</v>
      </c>
      <c r="BL114" s="9">
        <f t="shared" si="110"/>
        <v>213202</v>
      </c>
      <c r="BM114" s="9">
        <f t="shared" si="110"/>
        <v>184288</v>
      </c>
      <c r="BN114" s="138">
        <f t="shared" si="110"/>
        <v>2771024</v>
      </c>
      <c r="BO114" s="58">
        <f t="shared" si="110"/>
        <v>2771024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" si="111">SUM(AU112:AU114)</f>
        <v>515719</v>
      </c>
      <c r="AV115" s="73">
        <f t="shared" ref="AV115" si="112">SUM(AV112:AV114)</f>
        <v>588929</v>
      </c>
      <c r="AW115" s="73">
        <f t="shared" ref="AW115" si="113">SUM(AW112:AW114)</f>
        <v>764674</v>
      </c>
      <c r="AX115" s="73">
        <f t="shared" ref="AX115" si="114">SUM(AX112:AX114)</f>
        <v>770921</v>
      </c>
      <c r="AY115" s="73">
        <f t="shared" ref="AY115" si="115">SUM(AY112:AY114)</f>
        <v>759182</v>
      </c>
      <c r="AZ115" s="73">
        <f t="shared" ref="AZ115" si="116">SUM(AZ112:AZ114)</f>
        <v>888376</v>
      </c>
      <c r="BA115" s="249">
        <f t="shared" ref="BA115" si="117">SUM(BA112:BA114)</f>
        <v>4287801</v>
      </c>
      <c r="BB115" s="73">
        <v>1296017</v>
      </c>
      <c r="BC115" s="73">
        <v>1372243</v>
      </c>
      <c r="BD115" s="73">
        <v>1191131</v>
      </c>
      <c r="BE115" s="73">
        <v>1025374</v>
      </c>
      <c r="BF115" s="73">
        <f t="shared" ref="BF115" si="118">SUM(BF112:BF114)</f>
        <v>901872</v>
      </c>
      <c r="BG115" s="73">
        <f t="shared" ref="BG115" si="119">SUM(BG112:BG114)</f>
        <v>720025</v>
      </c>
      <c r="BH115" s="73">
        <f t="shared" ref="BH115" si="120">SUM(BH112:BH114)</f>
        <v>544219</v>
      </c>
      <c r="BI115" s="73">
        <f t="shared" ref="BI115" si="121">SUM(BI112:BI114)</f>
        <v>615161</v>
      </c>
      <c r="BJ115" s="73">
        <f t="shared" ref="BJ115" si="122">SUM(BJ112:BJ114)</f>
        <v>782823</v>
      </c>
      <c r="BK115" s="73">
        <f t="shared" ref="BK115" si="123">SUM(BK112:BK114)</f>
        <v>788493</v>
      </c>
      <c r="BL115" s="73">
        <f t="shared" ref="BL115" si="124">SUM(BL112:BL114)</f>
        <v>776988</v>
      </c>
      <c r="BM115" s="73">
        <f t="shared" ref="BM115" si="125">SUM(BM112:BM114)</f>
        <v>912539</v>
      </c>
      <c r="BN115" s="249">
        <f t="shared" ref="BN115:BO115" si="126">SUM(BN112:BN114)</f>
        <v>10926885</v>
      </c>
      <c r="BO115" s="268">
        <f t="shared" si="126"/>
        <v>11337149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" si="127">AU115+AU111</f>
        <v>515719</v>
      </c>
      <c r="AV116" s="251">
        <f t="shared" ref="AV116" si="128">AV115+AV111</f>
        <v>588929</v>
      </c>
      <c r="AW116" s="251">
        <f t="shared" ref="AW116" si="129">AW115+AW111</f>
        <v>764674</v>
      </c>
      <c r="AX116" s="251">
        <f t="shared" ref="AX116" si="130">AX115+AX111</f>
        <v>770921</v>
      </c>
      <c r="AY116" s="251">
        <f t="shared" ref="AY116" si="131">AY115+AY111</f>
        <v>759182</v>
      </c>
      <c r="AZ116" s="251">
        <f t="shared" ref="AZ116" si="132">AZ115+AZ111</f>
        <v>888376</v>
      </c>
      <c r="BA116" s="255">
        <f t="shared" ref="BA116" si="133">BA115+BA111</f>
        <v>4287801</v>
      </c>
      <c r="BB116" s="251">
        <v>1296017</v>
      </c>
      <c r="BC116" s="251">
        <v>1372243</v>
      </c>
      <c r="BD116" s="251">
        <v>1191131</v>
      </c>
      <c r="BE116" s="251">
        <v>1025374</v>
      </c>
      <c r="BF116" s="251">
        <f t="shared" ref="BF116" si="134">BF115+BF111</f>
        <v>901872</v>
      </c>
      <c r="BG116" s="251">
        <f t="shared" ref="BG116" si="135">BG115+BG111</f>
        <v>720025</v>
      </c>
      <c r="BH116" s="251">
        <f t="shared" ref="BH116" si="136">BH115+BH111</f>
        <v>544219</v>
      </c>
      <c r="BI116" s="251">
        <f t="shared" ref="BI116" si="137">BI115+BI111</f>
        <v>615161</v>
      </c>
      <c r="BJ116" s="251">
        <f t="shared" ref="BJ116" si="138">BJ115+BJ111</f>
        <v>782823</v>
      </c>
      <c r="BK116" s="251">
        <f t="shared" ref="BK116" si="139">BK115+BK111</f>
        <v>788493</v>
      </c>
      <c r="BL116" s="251">
        <f t="shared" ref="BL116" si="140">BL115+BL111</f>
        <v>776988</v>
      </c>
      <c r="BM116" s="251">
        <f t="shared" ref="BM116" si="141">BM115+BM111</f>
        <v>912539</v>
      </c>
      <c r="BN116" s="255">
        <f t="shared" ref="BN116:BO116" si="142">BN115+BN111</f>
        <v>10926885</v>
      </c>
      <c r="BO116" s="269">
        <f t="shared" si="142"/>
        <v>11337149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05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220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29</v>
      </c>
      <c r="AV119" s="280">
        <f>AU119</f>
        <v>29</v>
      </c>
      <c r="AW119" s="280">
        <f>AV119</f>
        <v>29</v>
      </c>
      <c r="AX119" s="280">
        <f t="shared" ref="AX119:AZ119" si="143">AW119</f>
        <v>29</v>
      </c>
      <c r="AY119" s="280">
        <f t="shared" si="143"/>
        <v>29</v>
      </c>
      <c r="AZ119" s="280">
        <f t="shared" si="143"/>
        <v>29</v>
      </c>
      <c r="BA119" s="259"/>
      <c r="BB119" s="280">
        <v>29</v>
      </c>
      <c r="BC119" s="280">
        <v>29</v>
      </c>
      <c r="BD119" s="280">
        <v>29</v>
      </c>
      <c r="BE119" s="280">
        <v>29</v>
      </c>
      <c r="BF119" s="280">
        <f t="shared" ref="BF119:BM119" si="144">BE119</f>
        <v>29</v>
      </c>
      <c r="BG119" s="280">
        <f t="shared" si="144"/>
        <v>29</v>
      </c>
      <c r="BH119" s="280">
        <f t="shared" si="144"/>
        <v>29</v>
      </c>
      <c r="BI119" s="280">
        <f t="shared" si="144"/>
        <v>29</v>
      </c>
      <c r="BJ119" s="280">
        <f t="shared" si="144"/>
        <v>29</v>
      </c>
      <c r="BK119" s="280">
        <f t="shared" si="144"/>
        <v>29</v>
      </c>
      <c r="BL119" s="280">
        <f t="shared" si="144"/>
        <v>29</v>
      </c>
      <c r="BM119" s="280">
        <f t="shared" si="144"/>
        <v>29</v>
      </c>
      <c r="BN119" s="259"/>
      <c r="BO119" s="343">
        <f>BM119</f>
        <v>29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0</v>
      </c>
      <c r="AU120" s="107">
        <f>ROUND(AV108/30*AU119,0)</f>
        <v>0</v>
      </c>
      <c r="AV120" s="39">
        <f>ROUND(AW108/30*AV119,0)</f>
        <v>0</v>
      </c>
      <c r="AW120" s="39">
        <f>ROUND(AX108/30*AW119,0)</f>
        <v>0</v>
      </c>
      <c r="AX120" s="39">
        <f>ROUND(AY108/30*AX119,0)</f>
        <v>0</v>
      </c>
      <c r="AY120" s="39">
        <f>ROUND(AZ108/30*AY119,0)</f>
        <v>0</v>
      </c>
      <c r="AZ120" s="39">
        <f>ROUND(BB108/30*AZ119,0)</f>
        <v>0</v>
      </c>
      <c r="BA120" s="215"/>
      <c r="BB120" s="57">
        <v>0</v>
      </c>
      <c r="BC120" s="57">
        <v>0</v>
      </c>
      <c r="BD120" s="57">
        <v>0</v>
      </c>
      <c r="BE120" s="57">
        <v>0</v>
      </c>
      <c r="BF120" s="57">
        <f t="shared" ref="BF120:BL120" si="145">BG108/30*BF119</f>
        <v>0</v>
      </c>
      <c r="BG120" s="57">
        <f t="shared" si="145"/>
        <v>0</v>
      </c>
      <c r="BH120" s="57">
        <f t="shared" si="145"/>
        <v>0</v>
      </c>
      <c r="BI120" s="57">
        <f t="shared" si="145"/>
        <v>0</v>
      </c>
      <c r="BJ120" s="57">
        <f t="shared" si="145"/>
        <v>0</v>
      </c>
      <c r="BK120" s="57">
        <f t="shared" si="145"/>
        <v>0</v>
      </c>
      <c r="BL120" s="57">
        <f t="shared" si="145"/>
        <v>0</v>
      </c>
      <c r="BM120" s="57">
        <f>ROUND(BO108*0.11/30*BM119,0)</f>
        <v>0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146">ROUND(BG110/30*BF119,0)</f>
        <v>0</v>
      </c>
      <c r="BG121" s="57">
        <f t="shared" si="146"/>
        <v>0</v>
      </c>
      <c r="BH121" s="57">
        <f t="shared" si="146"/>
        <v>0</v>
      </c>
      <c r="BI121" s="57">
        <f t="shared" si="146"/>
        <v>0</v>
      </c>
      <c r="BJ121" s="57">
        <f t="shared" si="146"/>
        <v>0</v>
      </c>
      <c r="BK121" s="57">
        <f t="shared" si="146"/>
        <v>0</v>
      </c>
      <c r="BL121" s="57">
        <f t="shared" si="146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0</v>
      </c>
      <c r="AV122" s="57">
        <f t="shared" ref="AV122:AZ123" si="147">-AU120</f>
        <v>0</v>
      </c>
      <c r="AW122" s="57">
        <f t="shared" si="147"/>
        <v>0</v>
      </c>
      <c r="AX122" s="57">
        <f t="shared" si="147"/>
        <v>0</v>
      </c>
      <c r="AY122" s="57">
        <f t="shared" si="147"/>
        <v>0</v>
      </c>
      <c r="AZ122" s="57">
        <f t="shared" si="147"/>
        <v>0</v>
      </c>
      <c r="BA122" s="215"/>
      <c r="BB122" s="57">
        <v>0</v>
      </c>
      <c r="BC122" s="57">
        <v>0</v>
      </c>
      <c r="BD122" s="57">
        <v>0</v>
      </c>
      <c r="BE122" s="57">
        <v>0</v>
      </c>
      <c r="BF122" s="57">
        <f t="shared" ref="BF122:BM123" si="148">-BE120</f>
        <v>0</v>
      </c>
      <c r="BG122" s="57">
        <f t="shared" si="148"/>
        <v>0</v>
      </c>
      <c r="BH122" s="57">
        <f t="shared" si="148"/>
        <v>0</v>
      </c>
      <c r="BI122" s="57">
        <f t="shared" si="148"/>
        <v>0</v>
      </c>
      <c r="BJ122" s="57">
        <f t="shared" si="148"/>
        <v>0</v>
      </c>
      <c r="BK122" s="57">
        <f t="shared" si="148"/>
        <v>0</v>
      </c>
      <c r="BL122" s="57">
        <f t="shared" si="148"/>
        <v>0</v>
      </c>
      <c r="BM122" s="57">
        <f t="shared" si="148"/>
        <v>0</v>
      </c>
      <c r="BN122" s="215"/>
      <c r="BO122" s="141">
        <f>-BM120</f>
        <v>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147"/>
        <v>0</v>
      </c>
      <c r="AW123" s="57">
        <f t="shared" si="147"/>
        <v>0</v>
      </c>
      <c r="AX123" s="57">
        <f t="shared" si="147"/>
        <v>0</v>
      </c>
      <c r="AY123" s="57">
        <f t="shared" si="147"/>
        <v>0</v>
      </c>
      <c r="AZ123" s="57">
        <f t="shared" si="147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148"/>
        <v>0</v>
      </c>
      <c r="BG123" s="57">
        <f t="shared" si="148"/>
        <v>0</v>
      </c>
      <c r="BH123" s="57">
        <f t="shared" si="148"/>
        <v>0</v>
      </c>
      <c r="BI123" s="57">
        <f t="shared" si="148"/>
        <v>0</v>
      </c>
      <c r="BJ123" s="57">
        <f t="shared" si="148"/>
        <v>0</v>
      </c>
      <c r="BK123" s="57">
        <f t="shared" si="148"/>
        <v>0</v>
      </c>
      <c r="BL123" s="57">
        <f t="shared" si="148"/>
        <v>0</v>
      </c>
      <c r="BM123" s="57">
        <f t="shared" si="148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0</v>
      </c>
      <c r="AV124" s="344">
        <f t="shared" ref="AV124:AZ124" si="149">SUM(AV120:AV123)</f>
        <v>0</v>
      </c>
      <c r="AW124" s="344">
        <f t="shared" si="149"/>
        <v>0</v>
      </c>
      <c r="AX124" s="344">
        <f t="shared" si="149"/>
        <v>0</v>
      </c>
      <c r="AY124" s="344">
        <f t="shared" si="149"/>
        <v>0</v>
      </c>
      <c r="AZ124" s="344">
        <f t="shared" si="149"/>
        <v>0</v>
      </c>
      <c r="BA124" s="345"/>
      <c r="BB124" s="344">
        <v>0</v>
      </c>
      <c r="BC124" s="344">
        <v>0</v>
      </c>
      <c r="BD124" s="344">
        <v>0</v>
      </c>
      <c r="BE124" s="344">
        <v>0</v>
      </c>
      <c r="BF124" s="344">
        <f t="shared" ref="BF124:BO124" si="150">SUM(BF120:BF123)</f>
        <v>0</v>
      </c>
      <c r="BG124" s="344">
        <f t="shared" si="150"/>
        <v>0</v>
      </c>
      <c r="BH124" s="344">
        <f t="shared" si="150"/>
        <v>0</v>
      </c>
      <c r="BI124" s="344">
        <f t="shared" si="150"/>
        <v>0</v>
      </c>
      <c r="BJ124" s="344">
        <f t="shared" si="150"/>
        <v>0</v>
      </c>
      <c r="BK124" s="344">
        <f t="shared" si="150"/>
        <v>0</v>
      </c>
      <c r="BL124" s="344">
        <f t="shared" si="150"/>
        <v>0</v>
      </c>
      <c r="BM124" s="344">
        <f t="shared" si="150"/>
        <v>0</v>
      </c>
      <c r="BN124" s="345"/>
      <c r="BO124" s="272">
        <f t="shared" si="150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v>30</v>
      </c>
      <c r="AV125" s="344">
        <f>AU125</f>
        <v>30</v>
      </c>
      <c r="AW125" s="344">
        <f>AV125</f>
        <v>30</v>
      </c>
      <c r="AX125" s="344">
        <f t="shared" ref="AX125:AZ125" si="151">AW125</f>
        <v>30</v>
      </c>
      <c r="AY125" s="344">
        <f t="shared" si="151"/>
        <v>30</v>
      </c>
      <c r="AZ125" s="344">
        <f t="shared" si="151"/>
        <v>30</v>
      </c>
      <c r="BA125" s="345"/>
      <c r="BB125" s="344">
        <v>30</v>
      </c>
      <c r="BC125" s="344">
        <v>30</v>
      </c>
      <c r="BD125" s="344">
        <v>30</v>
      </c>
      <c r="BE125" s="344">
        <v>30</v>
      </c>
      <c r="BF125" s="344">
        <f t="shared" ref="BF125:BM125" si="152">BE125</f>
        <v>30</v>
      </c>
      <c r="BG125" s="344">
        <f t="shared" si="152"/>
        <v>30</v>
      </c>
      <c r="BH125" s="344">
        <f t="shared" si="152"/>
        <v>30</v>
      </c>
      <c r="BI125" s="344">
        <f t="shared" si="152"/>
        <v>30</v>
      </c>
      <c r="BJ125" s="344">
        <f t="shared" si="152"/>
        <v>30</v>
      </c>
      <c r="BK125" s="344">
        <f t="shared" si="152"/>
        <v>30</v>
      </c>
      <c r="BL125" s="344">
        <f t="shared" si="152"/>
        <v>30</v>
      </c>
      <c r="BM125" s="344">
        <f t="shared" si="152"/>
        <v>30</v>
      </c>
      <c r="BN125" s="345"/>
      <c r="BO125" s="272">
        <f>BM125</f>
        <v>30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339771</v>
      </c>
      <c r="AU126" s="57">
        <v>546236</v>
      </c>
      <c r="AV126" s="57">
        <f>ROUND(AW112/30*AV125,0)</f>
        <v>537370</v>
      </c>
      <c r="AW126" s="57">
        <f>ROUND(AX112/30*AW125,0)</f>
        <v>496537</v>
      </c>
      <c r="AX126" s="57">
        <f>ROUND(AY112/30*AX125,0)</f>
        <v>545980</v>
      </c>
      <c r="AY126" s="57">
        <f>ROUND(AZ112/30*AY125,0)</f>
        <v>704088</v>
      </c>
      <c r="AZ126" s="57">
        <f>ROUND(BB112/30*AZ125,0)</f>
        <v>1043252</v>
      </c>
      <c r="BA126" s="215"/>
      <c r="BB126" s="346">
        <v>980234</v>
      </c>
      <c r="BC126" s="346">
        <v>887492</v>
      </c>
      <c r="BD126" s="346">
        <v>758316</v>
      </c>
      <c r="BE126" s="346">
        <v>669533</v>
      </c>
      <c r="BF126" s="346">
        <f t="shared" ref="BF126:BL126" si="153">ROUND(BG112/30*BF125,0)</f>
        <v>514984</v>
      </c>
      <c r="BG126" s="346">
        <f t="shared" si="153"/>
        <v>438167</v>
      </c>
      <c r="BH126" s="346">
        <f t="shared" si="153"/>
        <v>502218</v>
      </c>
      <c r="BI126" s="346">
        <f t="shared" si="153"/>
        <v>555519</v>
      </c>
      <c r="BJ126" s="346">
        <f t="shared" si="153"/>
        <v>514109</v>
      </c>
      <c r="BK126" s="346">
        <f t="shared" si="153"/>
        <v>563786</v>
      </c>
      <c r="BL126" s="346">
        <f t="shared" si="153"/>
        <v>728251</v>
      </c>
      <c r="BM126" s="57">
        <f>ROUND(BO112*0.11/30*BM125,0)</f>
        <v>942274</v>
      </c>
      <c r="BN126" s="215"/>
      <c r="BO126" s="141">
        <v>972360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213002</v>
      </c>
      <c r="AU127" s="57">
        <v>194188</v>
      </c>
      <c r="AV127" s="57">
        <f>ROUND(AW114/30*AV125,0)</f>
        <v>227304</v>
      </c>
      <c r="AW127" s="57">
        <f>ROUND(AX114/30*AW125,0)</f>
        <v>274384</v>
      </c>
      <c r="AX127" s="57">
        <f>ROUND(AY114/30*AX125,0)</f>
        <v>213202</v>
      </c>
      <c r="AY127" s="57">
        <f>ROUND(AZ114/30*AY125,0)</f>
        <v>184288</v>
      </c>
      <c r="AZ127" s="57">
        <f>ROUND(BB114/30*AZ125,0)</f>
        <v>252765</v>
      </c>
      <c r="BA127" s="215"/>
      <c r="BB127" s="57">
        <v>392009</v>
      </c>
      <c r="BC127" s="57">
        <v>303639</v>
      </c>
      <c r="BD127" s="57">
        <v>267058</v>
      </c>
      <c r="BE127" s="57">
        <v>232339</v>
      </c>
      <c r="BF127" s="57">
        <f t="shared" ref="BF127:BL127" si="154">ROUND(BG114/30*BF125,0)</f>
        <v>205041</v>
      </c>
      <c r="BG127" s="57">
        <f t="shared" si="154"/>
        <v>106052</v>
      </c>
      <c r="BH127" s="57">
        <f t="shared" si="154"/>
        <v>112943</v>
      </c>
      <c r="BI127" s="57">
        <f t="shared" si="154"/>
        <v>227304</v>
      </c>
      <c r="BJ127" s="57">
        <f t="shared" si="154"/>
        <v>274384</v>
      </c>
      <c r="BK127" s="57">
        <f t="shared" si="154"/>
        <v>213202</v>
      </c>
      <c r="BL127" s="57">
        <f t="shared" si="154"/>
        <v>184288</v>
      </c>
      <c r="BM127" s="57">
        <f>ROUND(BO114*0.11/30*BM125,0)</f>
        <v>304813</v>
      </c>
      <c r="BN127" s="215"/>
      <c r="BO127" s="141">
        <v>304813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-339771</v>
      </c>
      <c r="AV128" s="57">
        <f t="shared" ref="AV128:AZ129" si="155">-AU126</f>
        <v>-546236</v>
      </c>
      <c r="AW128" s="57">
        <f t="shared" si="155"/>
        <v>-537370</v>
      </c>
      <c r="AX128" s="57">
        <f t="shared" si="155"/>
        <v>-496537</v>
      </c>
      <c r="AY128" s="57">
        <f t="shared" si="155"/>
        <v>-545980</v>
      </c>
      <c r="AZ128" s="57">
        <f t="shared" si="155"/>
        <v>-704088</v>
      </c>
      <c r="BA128" s="215"/>
      <c r="BB128" s="57">
        <v>-1043252</v>
      </c>
      <c r="BC128" s="57">
        <v>-980234</v>
      </c>
      <c r="BD128" s="57">
        <v>-887492</v>
      </c>
      <c r="BE128" s="57">
        <v>-758316</v>
      </c>
      <c r="BF128" s="57">
        <f t="shared" ref="BF128:BM129" si="156">-BE126</f>
        <v>-669533</v>
      </c>
      <c r="BG128" s="57">
        <f t="shared" si="156"/>
        <v>-514984</v>
      </c>
      <c r="BH128" s="57">
        <f t="shared" si="156"/>
        <v>-438167</v>
      </c>
      <c r="BI128" s="57">
        <f t="shared" si="156"/>
        <v>-502218</v>
      </c>
      <c r="BJ128" s="57">
        <f t="shared" si="156"/>
        <v>-555519</v>
      </c>
      <c r="BK128" s="57">
        <f t="shared" si="156"/>
        <v>-514109</v>
      </c>
      <c r="BL128" s="57">
        <f t="shared" si="156"/>
        <v>-563786</v>
      </c>
      <c r="BM128" s="57">
        <f t="shared" si="156"/>
        <v>-728251</v>
      </c>
      <c r="BN128" s="215"/>
      <c r="BO128" s="141">
        <f>-BM126</f>
        <v>-942274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-213002</v>
      </c>
      <c r="AV129" s="57">
        <f t="shared" si="155"/>
        <v>-194188</v>
      </c>
      <c r="AW129" s="57">
        <f t="shared" si="155"/>
        <v>-227304</v>
      </c>
      <c r="AX129" s="57">
        <f t="shared" si="155"/>
        <v>-274384</v>
      </c>
      <c r="AY129" s="57">
        <f t="shared" si="155"/>
        <v>-213202</v>
      </c>
      <c r="AZ129" s="57">
        <f t="shared" si="155"/>
        <v>-184288</v>
      </c>
      <c r="BA129" s="215"/>
      <c r="BB129" s="57">
        <v>-252765</v>
      </c>
      <c r="BC129" s="57">
        <v>-392009</v>
      </c>
      <c r="BD129" s="57">
        <v>-303639</v>
      </c>
      <c r="BE129" s="57">
        <v>-267058</v>
      </c>
      <c r="BF129" s="57">
        <f t="shared" si="156"/>
        <v>-232339</v>
      </c>
      <c r="BG129" s="57">
        <f t="shared" si="156"/>
        <v>-205041</v>
      </c>
      <c r="BH129" s="57">
        <f t="shared" si="156"/>
        <v>-106052</v>
      </c>
      <c r="BI129" s="57">
        <f t="shared" si="156"/>
        <v>-112943</v>
      </c>
      <c r="BJ129" s="57">
        <f t="shared" si="156"/>
        <v>-227304</v>
      </c>
      <c r="BK129" s="57">
        <f t="shared" si="156"/>
        <v>-274384</v>
      </c>
      <c r="BL129" s="57">
        <f t="shared" si="156"/>
        <v>-213202</v>
      </c>
      <c r="BM129" s="57">
        <f t="shared" si="156"/>
        <v>-184288</v>
      </c>
      <c r="BN129" s="215"/>
      <c r="BO129" s="141">
        <f>-BM127</f>
        <v>-304813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187651</v>
      </c>
      <c r="AV130" s="344">
        <f t="shared" ref="AV130:AZ130" si="157">SUM(AV126:AV129)</f>
        <v>24250</v>
      </c>
      <c r="AW130" s="344">
        <f t="shared" si="157"/>
        <v>6247</v>
      </c>
      <c r="AX130" s="344">
        <f t="shared" si="157"/>
        <v>-11739</v>
      </c>
      <c r="AY130" s="344">
        <f t="shared" si="157"/>
        <v>129194</v>
      </c>
      <c r="AZ130" s="344">
        <f t="shared" si="157"/>
        <v>407641</v>
      </c>
      <c r="BA130" s="345"/>
      <c r="BB130" s="344">
        <v>76226</v>
      </c>
      <c r="BC130" s="344">
        <v>-181112</v>
      </c>
      <c r="BD130" s="344">
        <v>-165757</v>
      </c>
      <c r="BE130" s="344">
        <v>-123502</v>
      </c>
      <c r="BF130" s="344">
        <f t="shared" ref="BF130:BM130" si="158">SUM(BF126:BF129)</f>
        <v>-181847</v>
      </c>
      <c r="BG130" s="344">
        <f t="shared" si="158"/>
        <v>-175806</v>
      </c>
      <c r="BH130" s="344">
        <f t="shared" si="158"/>
        <v>70942</v>
      </c>
      <c r="BI130" s="344">
        <f t="shared" si="158"/>
        <v>167662</v>
      </c>
      <c r="BJ130" s="344">
        <f t="shared" si="158"/>
        <v>5670</v>
      </c>
      <c r="BK130" s="344">
        <f t="shared" si="158"/>
        <v>-11505</v>
      </c>
      <c r="BL130" s="344">
        <f t="shared" si="158"/>
        <v>135551</v>
      </c>
      <c r="BM130" s="344">
        <f t="shared" si="158"/>
        <v>334548</v>
      </c>
      <c r="BN130" s="345"/>
      <c r="BO130" s="272">
        <f t="shared" ref="BO130" si="159">SUM(BO126:BO129)</f>
        <v>30086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60">AU111+AU124</f>
        <v>0</v>
      </c>
      <c r="AV132" s="66">
        <f t="shared" si="160"/>
        <v>0</v>
      </c>
      <c r="AW132" s="66">
        <f t="shared" si="160"/>
        <v>0</v>
      </c>
      <c r="AX132" s="66">
        <f t="shared" si="160"/>
        <v>0</v>
      </c>
      <c r="AY132" s="66">
        <f t="shared" si="160"/>
        <v>0</v>
      </c>
      <c r="AZ132" s="66">
        <f t="shared" si="160"/>
        <v>0</v>
      </c>
      <c r="BA132" s="216">
        <f>SUM(AT132:AZ132)</f>
        <v>0</v>
      </c>
      <c r="BB132" s="66">
        <v>0</v>
      </c>
      <c r="BC132" s="66">
        <v>0</v>
      </c>
      <c r="BD132" s="66">
        <v>0</v>
      </c>
      <c r="BE132" s="66">
        <v>0</v>
      </c>
      <c r="BF132" s="66">
        <f t="shared" ref="BF132:BO132" si="161">BF111+BF124</f>
        <v>0</v>
      </c>
      <c r="BG132" s="66">
        <f t="shared" si="161"/>
        <v>0</v>
      </c>
      <c r="BH132" s="66">
        <f t="shared" si="161"/>
        <v>0</v>
      </c>
      <c r="BI132" s="66">
        <f t="shared" si="161"/>
        <v>0</v>
      </c>
      <c r="BJ132" s="66">
        <f t="shared" si="161"/>
        <v>0</v>
      </c>
      <c r="BK132" s="66">
        <f t="shared" si="161"/>
        <v>0</v>
      </c>
      <c r="BL132" s="66">
        <f t="shared" si="161"/>
        <v>0</v>
      </c>
      <c r="BM132" s="66">
        <f t="shared" si="161"/>
        <v>0</v>
      </c>
      <c r="BN132" s="216">
        <f t="shared" si="161"/>
        <v>0</v>
      </c>
      <c r="BO132" s="185">
        <f t="shared" si="161"/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30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291"/>
      <c r="AO133" s="331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221"/>
      <c r="BB133" s="184"/>
      <c r="BC133" s="184"/>
      <c r="BD133" s="184"/>
      <c r="BE133" s="184"/>
      <c r="BF133" s="184"/>
      <c r="BG133" s="184"/>
      <c r="BH133" s="184"/>
      <c r="BI133" s="184"/>
      <c r="BJ133" s="184"/>
      <c r="BK133" s="184"/>
      <c r="BL133" s="184"/>
      <c r="BM133" s="184"/>
      <c r="BN133" s="218"/>
      <c r="BO133" s="186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O133"/>
  <sheetViews>
    <sheetView zoomScale="80" zoomScaleNormal="80" workbookViewId="0">
      <selection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10.140625" hidden="1" customWidth="1" outlineLevel="1"/>
    <col min="35" max="35" width="13.1406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1" width="15.42578125" hidden="1" customWidth="1" outlineLevel="1"/>
    <col min="42" max="42" width="15.140625" hidden="1" customWidth="1" outlineLevel="1"/>
    <col min="43" max="43" width="15.42578125" hidden="1" customWidth="1" outlineLevel="1"/>
    <col min="44" max="44" width="15.28515625" hidden="1" customWidth="1" outlineLevel="1"/>
    <col min="45" max="46" width="15.425781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9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9.7109375" style="3" bestFit="1" customWidth="1" collapsed="1"/>
    <col min="67" max="67" width="13.855468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235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18" t="s">
        <v>36</v>
      </c>
      <c r="AP5" s="519" t="s">
        <v>37</v>
      </c>
      <c r="AQ5" s="519" t="s">
        <v>38</v>
      </c>
      <c r="AR5" s="519" t="s">
        <v>39</v>
      </c>
      <c r="AS5" s="519" t="s">
        <v>40</v>
      </c>
      <c r="AT5" s="519" t="s">
        <v>41</v>
      </c>
      <c r="AU5" s="519" t="s">
        <v>42</v>
      </c>
      <c r="AV5" s="519" t="s">
        <v>43</v>
      </c>
      <c r="AW5" s="519" t="s">
        <v>44</v>
      </c>
      <c r="AX5" s="519" t="s">
        <v>45</v>
      </c>
      <c r="AY5" s="519" t="s">
        <v>46</v>
      </c>
      <c r="AZ5" s="519" t="s">
        <v>47</v>
      </c>
      <c r="BA5" s="531" t="s">
        <v>17</v>
      </c>
      <c r="BB5" s="519" t="s">
        <v>36</v>
      </c>
      <c r="BC5" s="519" t="s">
        <v>37</v>
      </c>
      <c r="BD5" s="519" t="s">
        <v>38</v>
      </c>
      <c r="BE5" s="519" t="s">
        <v>39</v>
      </c>
      <c r="BF5" s="519" t="s">
        <v>40</v>
      </c>
      <c r="BG5" s="519" t="s">
        <v>41</v>
      </c>
      <c r="BH5" s="519" t="s">
        <v>42</v>
      </c>
      <c r="BI5" s="519" t="s">
        <v>43</v>
      </c>
      <c r="BJ5" s="519" t="s">
        <v>44</v>
      </c>
      <c r="BK5" s="519" t="s">
        <v>45</v>
      </c>
      <c r="BL5" s="519" t="s">
        <v>46</v>
      </c>
      <c r="BM5" s="519" t="s">
        <v>47</v>
      </c>
      <c r="BN5" s="531" t="s">
        <v>17</v>
      </c>
      <c r="BO5" s="533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211"/>
      <c r="BO6" s="7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00"/>
      <c r="AP7" s="87"/>
      <c r="AQ7" s="87"/>
      <c r="AR7" s="87"/>
      <c r="AS7" s="87"/>
      <c r="AT7" s="39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133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133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133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133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>
        <f>IF('kWh_Streetlight Data'!C106=0,"",'kWh_Streetlight Data'!C106)</f>
        <v>1815.3454545454545</v>
      </c>
      <c r="C12" s="108">
        <f>IF('kWh_Streetlight Data'!D106=0,"",'kWh_Streetlight Data'!D106)</f>
        <v>1713.4545454545455</v>
      </c>
      <c r="D12" s="108">
        <f>IF('kWh_Streetlight Data'!E106=0,"",'kWh_Streetlight Data'!E106)</f>
        <v>1411.9</v>
      </c>
      <c r="E12" s="108">
        <f>IF('kWh_Streetlight Data'!F106=0,"",'kWh_Streetlight Data'!F106)</f>
        <v>1865.0169491525423</v>
      </c>
      <c r="F12" s="108">
        <f>IF('kWh_Streetlight Data'!G106=0,"",'kWh_Streetlight Data'!G106)</f>
        <v>1186.6239316239316</v>
      </c>
      <c r="G12" s="108">
        <f>IF('kWh_Streetlight Data'!H106=0,"",'kWh_Streetlight Data'!H106)</f>
        <v>988.65599999999995</v>
      </c>
      <c r="H12" s="108">
        <f>IF('kWh_Streetlight Data'!I106=0,"",'kWh_Streetlight Data'!I106)</f>
        <v>993.35</v>
      </c>
      <c r="I12" s="108">
        <f>IF('kWh_Streetlight Data'!J106=0,"",'kWh_Streetlight Data'!J106)</f>
        <v>913.81034482758616</v>
      </c>
      <c r="J12" s="108">
        <f>IF('kWh_Streetlight Data'!K106=0,"",'kWh_Streetlight Data'!K106)</f>
        <v>851.43589743589746</v>
      </c>
      <c r="K12" s="108">
        <f>IF('kWh_Streetlight Data'!L106=0,"",'kWh_Streetlight Data'!L106)</f>
        <v>1056.6929824561403</v>
      </c>
      <c r="L12" s="108">
        <f>IF('kWh_Streetlight Data'!M106=0,"",'kWh_Streetlight Data'!M106)</f>
        <v>1209.593220338983</v>
      </c>
      <c r="M12" s="108">
        <f>IF('kWh_Streetlight Data'!N106=0,"",'kWh_Streetlight Data'!N106)</f>
        <v>1316.5517241379309</v>
      </c>
      <c r="N12" s="424">
        <f>IF('kWh_Streetlight Data'!O106=0,"",'kWh_Streetlight Data'!O106)</f>
        <v>1270.0956146657081</v>
      </c>
      <c r="O12" s="84">
        <f>IF('kWh_Streetlight Data'!P106=0,"",'kWh_Streetlight Data'!P106)</f>
        <v>1780.7586206896551</v>
      </c>
      <c r="P12" s="108">
        <f>IF('kWh_Streetlight Data'!Q106=0,"",'kWh_Streetlight Data'!Q106)</f>
        <v>1502.6637931034484</v>
      </c>
      <c r="Q12" s="108">
        <f>IF('kWh_Streetlight Data'!R106=0,"",'kWh_Streetlight Data'!R106)</f>
        <v>1671.4545454545455</v>
      </c>
      <c r="R12" s="108">
        <f>IF('kWh_Streetlight Data'!S106=0,"",'kWh_Streetlight Data'!S106)</f>
        <v>1498.1379310344828</v>
      </c>
      <c r="S12" s="108">
        <f>IF('kWh_Streetlight Data'!T106=0,"",'kWh_Streetlight Data'!T106)</f>
        <v>1065.6949152542372</v>
      </c>
      <c r="T12" s="108">
        <f>IF('kWh_Streetlight Data'!U106=0,"",'kWh_Streetlight Data'!U106)</f>
        <v>1245.4827586206898</v>
      </c>
      <c r="U12" s="108">
        <f>IF('kWh_Streetlight Data'!V106=0,"",'kWh_Streetlight Data'!V106)</f>
        <v>1101.1440677966102</v>
      </c>
      <c r="V12" s="108">
        <f>IF('kWh_Streetlight Data'!W106=0,"",'kWh_Streetlight Data'!W106)</f>
        <v>815.66949152542372</v>
      </c>
      <c r="W12" s="108">
        <f>IF('kWh_Streetlight Data'!X106=0,"",'kWh_Streetlight Data'!X106)</f>
        <v>1022.9831932773109</v>
      </c>
      <c r="X12" s="108">
        <f>IF('kWh_Streetlight Data'!Y106=0,"",'kWh_Streetlight Data'!Y106)</f>
        <v>893.71428571428567</v>
      </c>
      <c r="Y12" s="108">
        <f>IF('kWh_Streetlight Data'!Z106=0,"",'kWh_Streetlight Data'!Z106)</f>
        <v>1165.6525423728813</v>
      </c>
      <c r="Z12" s="108">
        <f>IF('kWh_Streetlight Data'!AA106=0,"",'kWh_Streetlight Data'!AA106)</f>
        <v>1385.6166666666666</v>
      </c>
      <c r="AA12" s="424">
        <f>IF('kWh_Streetlight Data'!AB106=0,"",'kWh_Streetlight Data'!AB106)</f>
        <v>1261.6445229681979</v>
      </c>
      <c r="AB12" s="129">
        <f>IF('kWh_Streetlight Data'!AC106=0,"",'kWh_Streetlight Data'!AC106)</f>
        <v>1768.3781512605042</v>
      </c>
      <c r="AC12" s="130">
        <f>IF('kWh_Streetlight Data'!AD106=0,"",'kWh_Streetlight Data'!AD106)</f>
        <v>1627.9663865546217</v>
      </c>
      <c r="AD12" s="130">
        <f>IF('kWh_Streetlight Data'!AE106=0,"",'kWh_Streetlight Data'!AE106)</f>
        <v>1679.873949579832</v>
      </c>
      <c r="AE12" s="130">
        <f>IF('kWh_Streetlight Data'!AF106=0,"",'kWh_Streetlight Data'!AF106)</f>
        <v>1382.3949579831933</v>
      </c>
      <c r="AF12" s="130">
        <f>IF('kWh_Streetlight Data'!AG106=0,"",'kWh_Streetlight Data'!AG106)</f>
        <v>1494.4453781512605</v>
      </c>
      <c r="AG12" s="130">
        <f>IF('kWh_Streetlight Data'!AH106=0,"",'kWh_Streetlight Data'!AH106)</f>
        <v>1214.8907563025209</v>
      </c>
      <c r="AH12" s="130">
        <f>IF('kWh_Streetlight Data'!AI106=0,"",'kWh_Streetlight Data'!AI106)</f>
        <v>1080.7750000000001</v>
      </c>
      <c r="AI12" s="130">
        <f>IF('kWh_Streetlight Data'!AJ106=0,"",'kWh_Streetlight Data'!AJ106)</f>
        <v>1103.0420168067226</v>
      </c>
      <c r="AJ12" s="130">
        <f>IF('kWh_Streetlight Data'!AK106=0,"",'kWh_Streetlight Data'!AK106)</f>
        <v>1050.206611570248</v>
      </c>
      <c r="AK12" s="130">
        <f>IF('kWh_Streetlight Data'!AL106=0,"",'kWh_Streetlight Data'!AL106)</f>
        <v>1131.6500000000001</v>
      </c>
      <c r="AL12" s="130">
        <f>IF('kWh_Streetlight Data'!AM106=0,"",'kWh_Streetlight Data'!AM106)</f>
        <v>1445.8083333333334</v>
      </c>
      <c r="AM12" s="130">
        <f>IF('kWh_Streetlight Data'!AN106=0,"",'kWh_Streetlight Data'!AN106)</f>
        <v>1317.9710144927535</v>
      </c>
      <c r="AN12" s="426">
        <f>IF('kWh_Streetlight Data'!AO106=0,"",'kWh_Streetlight Data'!AO106)</f>
        <v>1356.8808539944903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11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00"/>
      <c r="AP15" s="87"/>
      <c r="AQ15" s="87"/>
      <c r="AR15" s="87"/>
      <c r="AS15" s="87"/>
      <c r="AT15" s="39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88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Data'!C107=0,"",'kWh_Streetlight Data'!C107)</f>
        <v/>
      </c>
      <c r="C27" s="108" t="str">
        <f>IF('kWh_Streetlight Data'!D107=0,"",'kWh_Streetlight Data'!D107)</f>
        <v/>
      </c>
      <c r="D27" s="108" t="str">
        <f>IF('kWh_Streetlight Data'!E107=0,"",'kWh_Streetlight Data'!E107)</f>
        <v/>
      </c>
      <c r="E27" s="108" t="str">
        <f>IF('kWh_Streetlight Data'!F107=0,"",'kWh_Streetlight Data'!F107)</f>
        <v/>
      </c>
      <c r="F27" s="108" t="str">
        <f>IF('kWh_Streetlight Data'!G107=0,"",'kWh_Streetlight Data'!G107)</f>
        <v/>
      </c>
      <c r="G27" s="108" t="str">
        <f>IF('kWh_Streetlight Data'!H107=0,"",'kWh_Streetlight Data'!H107)</f>
        <v/>
      </c>
      <c r="H27" s="108" t="str">
        <f>IF('kWh_Streetlight Data'!I107=0,"",'kWh_Streetlight Data'!I107)</f>
        <v/>
      </c>
      <c r="I27" s="108" t="str">
        <f>IF('kWh_Streetlight Data'!J107=0,"",'kWh_Streetlight Data'!J107)</f>
        <v/>
      </c>
      <c r="J27" s="108" t="str">
        <f>IF('kWh_Streetlight Data'!K107=0,"",'kWh_Streetlight Data'!K107)</f>
        <v/>
      </c>
      <c r="K27" s="108" t="str">
        <f>IF('kWh_Streetlight Data'!L107=0,"",'kWh_Streetlight Data'!L107)</f>
        <v/>
      </c>
      <c r="L27" s="108" t="str">
        <f>IF('kWh_Streetlight Data'!M107=0,"",'kWh_Streetlight Data'!M107)</f>
        <v/>
      </c>
      <c r="M27" s="108" t="str">
        <f>IF('kWh_Streetlight Data'!N107=0,"",'kWh_Streetlight Data'!N107)</f>
        <v/>
      </c>
      <c r="N27" s="424" t="str">
        <f>IF('kWh_Streetlight Data'!O107=0,"",'kWh_Streetlight Data'!O107)</f>
        <v/>
      </c>
      <c r="O27" s="84" t="str">
        <f>IF('kWh_Streetlight Data'!P107=0,"",'kWh_Streetlight Data'!P107)</f>
        <v/>
      </c>
      <c r="P27" s="108" t="str">
        <f>IF('kWh_Streetlight Data'!Q107=0,"",'kWh_Streetlight Data'!Q107)</f>
        <v/>
      </c>
      <c r="Q27" s="108" t="str">
        <f>IF('kWh_Streetlight Data'!R107=0,"",'kWh_Streetlight Data'!R107)</f>
        <v/>
      </c>
      <c r="R27" s="108" t="str">
        <f>IF('kWh_Streetlight Data'!S107=0,"",'kWh_Streetlight Data'!S107)</f>
        <v/>
      </c>
      <c r="S27" s="108" t="str">
        <f>IF('kWh_Streetlight Data'!T107=0,"",'kWh_Streetlight Data'!T107)</f>
        <v/>
      </c>
      <c r="T27" s="108" t="str">
        <f>IF('kWh_Streetlight Data'!U107=0,"",'kWh_Streetlight Data'!U107)</f>
        <v/>
      </c>
      <c r="U27" s="108" t="str">
        <f>IF('kWh_Streetlight Data'!V107=0,"",'kWh_Streetlight Data'!V107)</f>
        <v/>
      </c>
      <c r="V27" s="108" t="str">
        <f>IF('kWh_Streetlight Data'!W107=0,"",'kWh_Streetlight Data'!W107)</f>
        <v/>
      </c>
      <c r="W27" s="108" t="str">
        <f>IF('kWh_Streetlight Data'!X107=0,"",'kWh_Streetlight Data'!X107)</f>
        <v/>
      </c>
      <c r="X27" s="108" t="str">
        <f>IF('kWh_Streetlight Data'!Y107=0,"",'kWh_Streetlight Data'!Y107)</f>
        <v/>
      </c>
      <c r="Y27" s="108" t="str">
        <f>IF('kWh_Streetlight Data'!Z107=0,"",'kWh_Streetlight Data'!Z107)</f>
        <v/>
      </c>
      <c r="Z27" s="108" t="str">
        <f>IF('kWh_Streetlight Data'!AA107=0,"",'kWh_Streetlight Data'!AA107)</f>
        <v/>
      </c>
      <c r="AA27" s="424" t="str">
        <f>IF('kWh_Streetlight Data'!AB107=0,"",'kWh_Streetlight Data'!AB107)</f>
        <v/>
      </c>
      <c r="AB27" s="129" t="str">
        <f>IF('kWh_Streetlight Data'!AC107=0,"",'kWh_Streetlight Data'!AC107)</f>
        <v/>
      </c>
      <c r="AC27" s="130" t="str">
        <f>IF('kWh_Streetlight Data'!AD107=0,"",'kWh_Streetlight Data'!AD107)</f>
        <v/>
      </c>
      <c r="AD27" s="130" t="str">
        <f>IF('kWh_Streetlight Data'!AE107=0,"",'kWh_Streetlight Data'!AE107)</f>
        <v/>
      </c>
      <c r="AE27" s="130" t="str">
        <f>IF('kWh_Streetlight Data'!AF107=0,"",'kWh_Streetlight Data'!AF107)</f>
        <v/>
      </c>
      <c r="AF27" s="130" t="str">
        <f>IF('kWh_Streetlight Data'!AG107=0,"",'kWh_Streetlight Data'!AG107)</f>
        <v/>
      </c>
      <c r="AG27" s="130" t="str">
        <f>IF('kWh_Streetlight Data'!AH107=0,"",'kWh_Streetlight Data'!AH107)</f>
        <v/>
      </c>
      <c r="AH27" s="108" t="str">
        <f>IF('kWh_Streetlight Data'!AI107=0,"",'kWh_Streetlight Data'!AI107)</f>
        <v/>
      </c>
      <c r="AI27" s="108" t="str">
        <f>IF('kWh_Streetlight Data'!AJ107=0,"",'kWh_Streetlight Data'!AJ107)</f>
        <v/>
      </c>
      <c r="AJ27" s="108" t="str">
        <f>IF('kWh_Streetlight Data'!AK107=0,"",'kWh_Streetlight Data'!AK107)</f>
        <v/>
      </c>
      <c r="AK27" s="108" t="str">
        <f>IF('kWh_Streetlight Data'!AL107=0,"",'kWh_Streetlight Data'!AL107)</f>
        <v/>
      </c>
      <c r="AL27" s="108" t="str">
        <f>IF('kWh_Streetlight Data'!AM107=0,"",'kWh_Streetlight Data'!AM107)</f>
        <v/>
      </c>
      <c r="AM27" s="108" t="str">
        <f>IF('kWh_Streetlight Data'!AN107=0,"",'kWh_Streetlight Data'!AN107)</f>
        <v/>
      </c>
      <c r="AN27" s="426" t="str">
        <f>IF('kWh_Streetlight Data'!AO107=0,"",'kWh_Streetlight Data'!AO107)</f>
        <v/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>
        <f>IF('kWh_Streetlight Data'!C108=0,"",'kWh_Streetlight Data'!C108)</f>
        <v>2565.8000000000002</v>
      </c>
      <c r="C34" s="108">
        <f>IF('kWh_Streetlight Data'!D108=0,"",'kWh_Streetlight Data'!D108)</f>
        <v>2409.6</v>
      </c>
      <c r="D34" s="108">
        <f>IF('kWh_Streetlight Data'!E108=0,"",'kWh_Streetlight Data'!E108)</f>
        <v>1907.8</v>
      </c>
      <c r="E34" s="108">
        <f>IF('kWh_Streetlight Data'!F108=0,"",'kWh_Streetlight Data'!F108)</f>
        <v>2568.1</v>
      </c>
      <c r="F34" s="108">
        <f>IF('kWh_Streetlight Data'!G108=0,"",'kWh_Streetlight Data'!G108)</f>
        <v>1905.6</v>
      </c>
      <c r="G34" s="108">
        <f>IF('kWh_Streetlight Data'!H108=0,"",'kWh_Streetlight Data'!H108)</f>
        <v>1695.5</v>
      </c>
      <c r="H34" s="108">
        <f>IF('kWh_Streetlight Data'!I108=0,"",'kWh_Streetlight Data'!I108)</f>
        <v>1423.2727272727273</v>
      </c>
      <c r="I34" s="108">
        <f>IF('kWh_Streetlight Data'!J108=0,"",'kWh_Streetlight Data'!J108)</f>
        <v>1684.3</v>
      </c>
      <c r="J34" s="108">
        <f>IF('kWh_Streetlight Data'!K108=0,"",'kWh_Streetlight Data'!K108)</f>
        <v>1240.090909090909</v>
      </c>
      <c r="K34" s="108">
        <f>IF('kWh_Streetlight Data'!L108=0,"",'kWh_Streetlight Data'!L108)</f>
        <v>1604.7</v>
      </c>
      <c r="L34" s="108">
        <f>IF('kWh_Streetlight Data'!M108=0,"",'kWh_Streetlight Data'!M108)</f>
        <v>2082.6999999999998</v>
      </c>
      <c r="M34" s="108">
        <f>IF('kWh_Streetlight Data'!N108=0,"",'kWh_Streetlight Data'!N108)</f>
        <v>2201.5</v>
      </c>
      <c r="N34" s="424">
        <f>IF('kWh_Streetlight Data'!O108=0,"",'kWh_Streetlight Data'!O108)</f>
        <v>1930.7622950819673</v>
      </c>
      <c r="O34" s="84">
        <f>IF('kWh_Streetlight Data'!P108=0,"",'kWh_Streetlight Data'!P108)</f>
        <v>2716.6</v>
      </c>
      <c r="P34" s="108">
        <f>IF('kWh_Streetlight Data'!Q108=0,"",'kWh_Streetlight Data'!Q108)</f>
        <v>2233.4</v>
      </c>
      <c r="Q34" s="108">
        <f>IF('kWh_Streetlight Data'!R108=0,"",'kWh_Streetlight Data'!R108)</f>
        <v>2829.9</v>
      </c>
      <c r="R34" s="108">
        <f>IF('kWh_Streetlight Data'!S108=0,"",'kWh_Streetlight Data'!S108)</f>
        <v>2922.5</v>
      </c>
      <c r="S34" s="108">
        <f>IF('kWh_Streetlight Data'!T108=0,"",'kWh_Streetlight Data'!T108)</f>
        <v>1661.8</v>
      </c>
      <c r="T34" s="108">
        <f>IF('kWh_Streetlight Data'!U108=0,"",'kWh_Streetlight Data'!U108)</f>
        <v>1999.4</v>
      </c>
      <c r="U34" s="108">
        <f>IF('kWh_Streetlight Data'!V108=0,"",'kWh_Streetlight Data'!V108)</f>
        <v>1575.8</v>
      </c>
      <c r="V34" s="108">
        <f>IF('kWh_Streetlight Data'!W108=0,"",'kWh_Streetlight Data'!W108)</f>
        <v>1666.7</v>
      </c>
      <c r="W34" s="108">
        <f>IF('kWh_Streetlight Data'!X108=0,"",'kWh_Streetlight Data'!X108)</f>
        <v>1815.9</v>
      </c>
      <c r="X34" s="108">
        <f>IF('kWh_Streetlight Data'!Y108=0,"",'kWh_Streetlight Data'!Y108)</f>
        <v>1513.2</v>
      </c>
      <c r="Y34" s="108">
        <f>IF('kWh_Streetlight Data'!Z108=0,"",'kWh_Streetlight Data'!Z108)</f>
        <v>2276.6</v>
      </c>
      <c r="Z34" s="108">
        <f>IF('kWh_Streetlight Data'!AA108=0,"",'kWh_Streetlight Data'!AA108)</f>
        <v>3227.4</v>
      </c>
      <c r="AA34" s="424">
        <f>IF('kWh_Streetlight Data'!AB108=0,"",'kWh_Streetlight Data'!AB108)</f>
        <v>2203.2666666666669</v>
      </c>
      <c r="AB34" s="129">
        <f>IF('kWh_Streetlight Data'!AC108=0,"",'kWh_Streetlight Data'!AC108)</f>
        <v>3987.3</v>
      </c>
      <c r="AC34" s="130">
        <f>IF('kWh_Streetlight Data'!AD108=0,"",'kWh_Streetlight Data'!AD108)</f>
        <v>3011.2</v>
      </c>
      <c r="AD34" s="130">
        <f>IF('kWh_Streetlight Data'!AE108=0,"",'kWh_Streetlight Data'!AE108)</f>
        <v>3469.7</v>
      </c>
      <c r="AE34" s="130">
        <f>IF('kWh_Streetlight Data'!AF108=0,"",'kWh_Streetlight Data'!AF108)</f>
        <v>2386.5</v>
      </c>
      <c r="AF34" s="130">
        <f>IF('kWh_Streetlight Data'!AG108=0,"",'kWh_Streetlight Data'!AG108)</f>
        <v>2227.1</v>
      </c>
      <c r="AG34" s="130">
        <f>IF('kWh_Streetlight Data'!AH108=0,"",'kWh_Streetlight Data'!AH108)</f>
        <v>1613.5</v>
      </c>
      <c r="AH34" s="130">
        <f>IF('kWh_Streetlight Data'!AI108=0,"",'kWh_Streetlight Data'!AI108)</f>
        <v>1387.4</v>
      </c>
      <c r="AI34" s="130">
        <f>IF('kWh_Streetlight Data'!AJ108=0,"",'kWh_Streetlight Data'!AJ108)</f>
        <v>1437.3</v>
      </c>
      <c r="AJ34" s="130">
        <f>IF('kWh_Streetlight Data'!AK108=0,"",'kWh_Streetlight Data'!AK108)</f>
        <v>1330.8</v>
      </c>
      <c r="AK34" s="130">
        <f>IF('kWh_Streetlight Data'!AL108=0,"",'kWh_Streetlight Data'!AL108)</f>
        <v>1313.3</v>
      </c>
      <c r="AL34" s="130">
        <f>IF('kWh_Streetlight Data'!AM108=0,"",'kWh_Streetlight Data'!AM108)</f>
        <v>2123.6</v>
      </c>
      <c r="AM34" s="130">
        <f>IF('kWh_Streetlight Data'!AN108=0,"",'kWh_Streetlight Data'!AN108)</f>
        <v>2705.4</v>
      </c>
      <c r="AN34" s="426">
        <f>IF('kWh_Streetlight Data'!AO108=0,"",'kWh_Streetlight Data'!AO108)</f>
        <v>2249.4250000000002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00"/>
      <c r="AP36" s="87"/>
      <c r="AQ36" s="87"/>
      <c r="AR36" s="87"/>
      <c r="AS36" s="87"/>
      <c r="AT36" s="39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88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>
        <f>IF('kWh_Streetlight Data'!C109=0,"",'kWh_Streetlight Data'!C109)</f>
        <v>13515</v>
      </c>
      <c r="C48" s="130">
        <f>IF('kWh_Streetlight Data'!D109=0,"",'kWh_Streetlight Data'!D109)</f>
        <v>11465</v>
      </c>
      <c r="D48" s="130">
        <f>IF('kWh_Streetlight Data'!E109=0,"",'kWh_Streetlight Data'!E109)</f>
        <v>10155</v>
      </c>
      <c r="E48" s="130">
        <f>IF('kWh_Streetlight Data'!F109=0,"",'kWh_Streetlight Data'!F109)</f>
        <v>13710</v>
      </c>
      <c r="F48" s="130">
        <f>IF('kWh_Streetlight Data'!G109=0,"",'kWh_Streetlight Data'!G109)</f>
        <v>11730</v>
      </c>
      <c r="G48" s="130">
        <f>IF('kWh_Streetlight Data'!H109=0,"",'kWh_Streetlight Data'!H109)</f>
        <v>10465</v>
      </c>
      <c r="H48" s="130">
        <f>IF('kWh_Streetlight Data'!I109=0,"",'kWh_Streetlight Data'!I109)</f>
        <v>14010</v>
      </c>
      <c r="I48" s="130">
        <f>IF('kWh_Streetlight Data'!J109=0,"",'kWh_Streetlight Data'!J109)</f>
        <v>13815</v>
      </c>
      <c r="J48" s="130">
        <f>IF('kWh_Streetlight Data'!K109=0,"",'kWh_Streetlight Data'!K109)</f>
        <v>10985</v>
      </c>
      <c r="K48" s="130">
        <f>IF('kWh_Streetlight Data'!L109=0,"",'kWh_Streetlight Data'!L109)</f>
        <v>11250</v>
      </c>
      <c r="L48" s="130">
        <f>IF('kWh_Streetlight Data'!M109=0,"",'kWh_Streetlight Data'!M109)</f>
        <v>12180</v>
      </c>
      <c r="M48" s="130">
        <f>IF('kWh_Streetlight Data'!N109=0,"",'kWh_Streetlight Data'!N109)</f>
        <v>10880</v>
      </c>
      <c r="N48" s="424">
        <f>IF('kWh_Streetlight Data'!O109=0,"",'kWh_Streetlight Data'!O109)</f>
        <v>12013.333333333334</v>
      </c>
      <c r="O48" s="129">
        <f>IF('kWh_Streetlight Data'!P109=0,"",'kWh_Streetlight Data'!P109)</f>
        <v>12790</v>
      </c>
      <c r="P48" s="130">
        <f>IF('kWh_Streetlight Data'!Q109=0,"",'kWh_Streetlight Data'!Q109)</f>
        <v>10720</v>
      </c>
      <c r="Q48" s="130">
        <f>IF('kWh_Streetlight Data'!R109=0,"",'kWh_Streetlight Data'!R109)</f>
        <v>13415</v>
      </c>
      <c r="R48" s="130">
        <f>IF('kWh_Streetlight Data'!S109=0,"",'kWh_Streetlight Data'!S109)</f>
        <v>11940</v>
      </c>
      <c r="S48" s="130">
        <f>IF('kWh_Streetlight Data'!T109=0,"",'kWh_Streetlight Data'!T109)</f>
        <v>9565</v>
      </c>
      <c r="T48" s="130">
        <f>IF('kWh_Streetlight Data'!U109=0,"",'kWh_Streetlight Data'!U109)</f>
        <v>11935</v>
      </c>
      <c r="U48" s="130">
        <f>IF('kWh_Streetlight Data'!V109=0,"",'kWh_Streetlight Data'!V109)</f>
        <v>14270</v>
      </c>
      <c r="V48" s="130">
        <f>IF('kWh_Streetlight Data'!W109=0,"",'kWh_Streetlight Data'!W109)</f>
        <v>14100</v>
      </c>
      <c r="W48" s="130">
        <f>IF('kWh_Streetlight Data'!X109=0,"",'kWh_Streetlight Data'!X109)</f>
        <v>15235</v>
      </c>
      <c r="X48" s="130">
        <f>IF('kWh_Streetlight Data'!Y109=0,"",'kWh_Streetlight Data'!Y109)</f>
        <v>10515</v>
      </c>
      <c r="Y48" s="130">
        <f>IF('kWh_Streetlight Data'!Z109=0,"",'kWh_Streetlight Data'!Z109)</f>
        <v>11170</v>
      </c>
      <c r="Z48" s="130">
        <f>IF('kWh_Streetlight Data'!AA109=0,"",'kWh_Streetlight Data'!AA109)</f>
        <v>11465</v>
      </c>
      <c r="AA48" s="424">
        <f>IF('kWh_Streetlight Data'!AB109=0,"",'kWh_Streetlight Data'!AB109)</f>
        <v>12260</v>
      </c>
      <c r="AB48" s="129">
        <f>IF('kWh_Streetlight Data'!AC109=0,"",'kWh_Streetlight Data'!AC109)</f>
        <v>13185</v>
      </c>
      <c r="AC48" s="130">
        <f>IF('kWh_Streetlight Data'!AD109=0,"",'kWh_Streetlight Data'!AD109)</f>
        <v>10930</v>
      </c>
      <c r="AD48" s="130">
        <f>IF('kWh_Streetlight Data'!AE109=0,"",'kWh_Streetlight Data'!AE109)</f>
        <v>11395</v>
      </c>
      <c r="AE48" s="130">
        <f>IF('kWh_Streetlight Data'!AF109=0,"",'kWh_Streetlight Data'!AF109)</f>
        <v>9715</v>
      </c>
      <c r="AF48" s="130">
        <f>IF('kWh_Streetlight Data'!AG109=0,"",'kWh_Streetlight Data'!AG109)</f>
        <v>11160</v>
      </c>
      <c r="AG48" s="130">
        <f>IF('kWh_Streetlight Data'!AH109=0,"",'kWh_Streetlight Data'!AH109)</f>
        <v>10595</v>
      </c>
      <c r="AH48" s="130">
        <f>IF('kWh_Streetlight Data'!AI109=0,"",'kWh_Streetlight Data'!AI109)</f>
        <v>11430</v>
      </c>
      <c r="AI48" s="130">
        <f>IF('kWh_Streetlight Data'!AJ109=0,"",'kWh_Streetlight Data'!AJ109)</f>
        <v>15050</v>
      </c>
      <c r="AJ48" s="130">
        <f>IF('kWh_Streetlight Data'!AK109=0,"",'kWh_Streetlight Data'!AK109)</f>
        <v>13865</v>
      </c>
      <c r="AK48" s="130">
        <f>IF('kWh_Streetlight Data'!AL109=0,"",'kWh_Streetlight Data'!AL109)</f>
        <v>10775</v>
      </c>
      <c r="AL48" s="130">
        <f>IF('kWh_Streetlight Data'!AM109=0,"",'kWh_Streetlight Data'!AM109)</f>
        <v>10455</v>
      </c>
      <c r="AM48" s="130">
        <f>IF('kWh_Streetlight Data'!AN109=0,"",'kWh_Streetlight Data'!AN109)</f>
        <v>9295</v>
      </c>
      <c r="AN48" s="426">
        <f>IF('kWh_Streetlight Data'!AO109=0,"",'kWh_Streetlight Data'!AO109)</f>
        <v>11487.5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00"/>
      <c r="AP50" s="87"/>
      <c r="AQ50" s="87"/>
      <c r="AR50" s="87"/>
      <c r="AS50" s="87"/>
      <c r="AT50" s="39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109"/>
      <c r="BG50" s="39"/>
      <c r="BH50" s="39"/>
      <c r="BI50" s="39"/>
      <c r="BJ50" s="39"/>
      <c r="BK50" s="39"/>
      <c r="BL50" s="39"/>
      <c r="BM50" s="39"/>
      <c r="BN50" s="210"/>
      <c r="BO50" s="125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88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455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30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113" t="str">
        <f>IF('kWh_Streetlight Data'!C239=0,"",'kWh_Streetlight Data'!C239)</f>
        <v/>
      </c>
      <c r="C58" s="114" t="str">
        <f>IF('kWh_Streetlight Data'!D239=0,"",'kWh_Streetlight Data'!D239)</f>
        <v/>
      </c>
      <c r="D58" s="114" t="str">
        <f>IF('kWh_Streetlight Data'!E239=0,"",'kWh_Streetlight Data'!E239)</f>
        <v/>
      </c>
      <c r="E58" s="114" t="str">
        <f>IF('kWh_Streetlight Data'!F239=0,"",'kWh_Streetlight Data'!F239)</f>
        <v/>
      </c>
      <c r="F58" s="114" t="str">
        <f>IF('kWh_Streetlight Data'!G239=0,"",'kWh_Streetlight Data'!G239)</f>
        <v/>
      </c>
      <c r="G58" s="114" t="str">
        <f>IF('kWh_Streetlight Data'!H239=0,"",'kWh_Streetlight Data'!H239)</f>
        <v/>
      </c>
      <c r="H58" s="114" t="str">
        <f>IF('kWh_Streetlight Data'!I239=0,"",'kWh_Streetlight Data'!I239)</f>
        <v/>
      </c>
      <c r="I58" s="114" t="str">
        <f>IF('kWh_Streetlight Data'!J239=0,"",'kWh_Streetlight Data'!J239)</f>
        <v/>
      </c>
      <c r="J58" s="114" t="str">
        <f>IF('kWh_Streetlight Data'!K239=0,"",'kWh_Streetlight Data'!K239)</f>
        <v/>
      </c>
      <c r="K58" s="114" t="str">
        <f>IF('kWh_Streetlight Data'!L239=0,"",'kWh_Streetlight Data'!L239)</f>
        <v/>
      </c>
      <c r="L58" s="114" t="str">
        <f>IF('kWh_Streetlight Data'!M239=0,"",'kWh_Streetlight Data'!M239)</f>
        <v/>
      </c>
      <c r="M58" s="114" t="str">
        <f>IF('kWh_Streetlight Data'!N239=0,"",'kWh_Streetlight Data'!N239)</f>
        <v/>
      </c>
      <c r="N58" s="459" t="str">
        <f>IF('kWh_Streetlight Data'!O239=0,"",'kWh_Streetlight Data'!O239)</f>
        <v/>
      </c>
      <c r="O58" s="113" t="str">
        <f>IF('kWh_Streetlight Data'!P239=0,"",'kWh_Streetlight Data'!P239)</f>
        <v/>
      </c>
      <c r="P58" s="114" t="str">
        <f>IF('kWh_Streetlight Data'!Q239=0,"",'kWh_Streetlight Data'!Q239)</f>
        <v/>
      </c>
      <c r="Q58" s="114" t="str">
        <f>IF('kWh_Streetlight Data'!R239=0,"",'kWh_Streetlight Data'!R239)</f>
        <v/>
      </c>
      <c r="R58" s="114" t="str">
        <f>IF('kWh_Streetlight Data'!S239=0,"",'kWh_Streetlight Data'!S239)</f>
        <v/>
      </c>
      <c r="S58" s="114" t="str">
        <f>IF('kWh_Streetlight Data'!T239=0,"",'kWh_Streetlight Data'!T239)</f>
        <v/>
      </c>
      <c r="T58" s="114" t="str">
        <f>IF('kWh_Streetlight Data'!U239=0,"",'kWh_Streetlight Data'!U239)</f>
        <v/>
      </c>
      <c r="U58" s="114" t="str">
        <f>IF('kWh_Streetlight Data'!V239=0,"",'kWh_Streetlight Data'!V239)</f>
        <v/>
      </c>
      <c r="V58" s="114" t="str">
        <f>IF('kWh_Streetlight Data'!W239=0,"",'kWh_Streetlight Data'!W239)</f>
        <v/>
      </c>
      <c r="W58" s="114" t="str">
        <f>IF('kWh_Streetlight Data'!X239=0,"",'kWh_Streetlight Data'!X239)</f>
        <v/>
      </c>
      <c r="X58" s="114" t="str">
        <f>IF('kWh_Streetlight Data'!Y239=0,"",'kWh_Streetlight Data'!Y239)</f>
        <v/>
      </c>
      <c r="Y58" s="114" t="str">
        <f>IF('kWh_Streetlight Data'!Z239=0,"",'kWh_Streetlight Data'!Z239)</f>
        <v/>
      </c>
      <c r="Z58" s="114" t="str">
        <f>IF('kWh_Streetlight Data'!AA239=0,"",'kWh_Streetlight Data'!AA239)</f>
        <v/>
      </c>
      <c r="AA58" s="459" t="str">
        <f>IF('kWh_Streetlight Data'!AB239=0,"",'kWh_Streetlight Data'!AB239)</f>
        <v/>
      </c>
      <c r="AB58" s="473">
        <f>IF('kWh_Streetlight Data'!AC239=0,"",'kWh_Streetlight Data'!AC239)</f>
        <v>1172</v>
      </c>
      <c r="AC58" s="474">
        <f>IF('kWh_Streetlight Data'!AD239=0,"",'kWh_Streetlight Data'!AD239)</f>
        <v>1172</v>
      </c>
      <c r="AD58" s="474">
        <f>IF('kWh_Streetlight Data'!AE239=0,"",'kWh_Streetlight Data'!AE239)</f>
        <v>1172</v>
      </c>
      <c r="AE58" s="474">
        <f>IF('kWh_Streetlight Data'!AF239=0,"",'kWh_Streetlight Data'!AF239)</f>
        <v>1172</v>
      </c>
      <c r="AF58" s="474">
        <f>IF('kWh_Streetlight Data'!AG239=0,"",'kWh_Streetlight Data'!AG239)</f>
        <v>1172</v>
      </c>
      <c r="AG58" s="474">
        <f>IF('kWh_Streetlight Data'!AH239=0,"",'kWh_Streetlight Data'!AH239)</f>
        <v>1172</v>
      </c>
      <c r="AH58" s="474">
        <f>IF('kWh_Streetlight Data'!AI239=0,"",'kWh_Streetlight Data'!AI239)</f>
        <v>1172</v>
      </c>
      <c r="AI58" s="474">
        <f>IF('kWh_Streetlight Data'!AJ239=0,"",'kWh_Streetlight Data'!AJ239)</f>
        <v>1172</v>
      </c>
      <c r="AJ58" s="474">
        <f>IF('kWh_Streetlight Data'!AK239=0,"",'kWh_Streetlight Data'!AK239)</f>
        <v>1172</v>
      </c>
      <c r="AK58" s="474">
        <f>IF('kWh_Streetlight Data'!AL239=0,"",'kWh_Streetlight Data'!AL239)</f>
        <v>1172</v>
      </c>
      <c r="AL58" s="474">
        <f>IF('kWh_Streetlight Data'!AM239=0,"",'kWh_Streetlight Data'!AM239)</f>
        <v>1172</v>
      </c>
      <c r="AM58" s="474">
        <f>IF('kWh_Streetlight Data'!AN239=0,"",'kWh_Streetlight Data'!AN239)</f>
        <v>1172</v>
      </c>
      <c r="AN58" s="464">
        <f>IF('kWh_Streetlight Data'!AO239=0,"",'kWh_Streetlight Data'!AO239)</f>
        <v>1172</v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129" t="str">
        <f>IF('kWh_Streetlight Data'!C110=0,"",'kWh_Streetlight Data'!C110)</f>
        <v/>
      </c>
      <c r="C69" s="130" t="str">
        <f>IF('kWh_Streetlight Data'!D110=0,"",'kWh_Streetlight Data'!D110)</f>
        <v/>
      </c>
      <c r="D69" s="130" t="str">
        <f>IF('kWh_Streetlight Data'!E110=0,"",'kWh_Streetlight Data'!E110)</f>
        <v/>
      </c>
      <c r="E69" s="130" t="str">
        <f>IF('kWh_Streetlight Data'!F110=0,"",'kWh_Streetlight Data'!F110)</f>
        <v/>
      </c>
      <c r="F69" s="130" t="str">
        <f>IF('kWh_Streetlight Data'!G110=0,"",'kWh_Streetlight Data'!G110)</f>
        <v/>
      </c>
      <c r="G69" s="130" t="str">
        <f>IF('kWh_Streetlight Data'!H110=0,"",'kWh_Streetlight Data'!H110)</f>
        <v/>
      </c>
      <c r="H69" s="130" t="str">
        <f>IF('kWh_Streetlight Data'!I110=0,"",'kWh_Streetlight Data'!I110)</f>
        <v/>
      </c>
      <c r="I69" s="130" t="str">
        <f>IF('kWh_Streetlight Data'!J110=0,"",'kWh_Streetlight Data'!J110)</f>
        <v/>
      </c>
      <c r="J69" s="130" t="str">
        <f>IF('kWh_Streetlight Data'!K110=0,"",'kWh_Streetlight Data'!K110)</f>
        <v/>
      </c>
      <c r="K69" s="130" t="str">
        <f>IF('kWh_Streetlight Data'!L110=0,"",'kWh_Streetlight Data'!L110)</f>
        <v/>
      </c>
      <c r="L69" s="130" t="str">
        <f>IF('kWh_Streetlight Data'!M110=0,"",'kWh_Streetlight Data'!M110)</f>
        <v/>
      </c>
      <c r="M69" s="130" t="str">
        <f>IF('kWh_Streetlight Data'!N110=0,"",'kWh_Streetlight Data'!N110)</f>
        <v/>
      </c>
      <c r="N69" s="424" t="str">
        <f>IF('kWh_Streetlight Data'!O110=0,"",'kWh_Streetlight Data'!O110)</f>
        <v/>
      </c>
      <c r="O69" s="84" t="str">
        <f>IF('kWh_Streetlight Data'!P110=0,"",'kWh_Streetlight Data'!P110)</f>
        <v/>
      </c>
      <c r="P69" s="108" t="str">
        <f>IF('kWh_Streetlight Data'!Q110=0,"",'kWh_Streetlight Data'!Q110)</f>
        <v/>
      </c>
      <c r="Q69" s="108" t="str">
        <f>IF('kWh_Streetlight Data'!R110=0,"",'kWh_Streetlight Data'!R110)</f>
        <v/>
      </c>
      <c r="R69" s="108" t="str">
        <f>IF('kWh_Streetlight Data'!S110=0,"",'kWh_Streetlight Data'!S110)</f>
        <v/>
      </c>
      <c r="S69" s="108" t="str">
        <f>IF('kWh_Streetlight Data'!T110=0,"",'kWh_Streetlight Data'!T110)</f>
        <v/>
      </c>
      <c r="T69" s="108" t="str">
        <f>IF('kWh_Streetlight Data'!U110=0,"",'kWh_Streetlight Data'!U110)</f>
        <v/>
      </c>
      <c r="U69" s="108" t="str">
        <f>IF('kWh_Streetlight Data'!V110=0,"",'kWh_Streetlight Data'!V110)</f>
        <v/>
      </c>
      <c r="V69" s="108" t="str">
        <f>IF('kWh_Streetlight Data'!W110=0,"",'kWh_Streetlight Data'!W110)</f>
        <v/>
      </c>
      <c r="W69" s="108" t="str">
        <f>IF('kWh_Streetlight Data'!X110=0,"",'kWh_Streetlight Data'!X110)</f>
        <v/>
      </c>
      <c r="X69" s="108" t="str">
        <f>IF('kWh_Streetlight Data'!Y110=0,"",'kWh_Streetlight Data'!Y110)</f>
        <v/>
      </c>
      <c r="Y69" s="108" t="str">
        <f>IF('kWh_Streetlight Data'!Z110=0,"",'kWh_Streetlight Data'!Z110)</f>
        <v/>
      </c>
      <c r="Z69" s="108" t="str">
        <f>IF('kWh_Streetlight Data'!AA110=0,"",'kWh_Streetlight Data'!AA110)</f>
        <v/>
      </c>
      <c r="AA69" s="424" t="str">
        <f>IF('kWh_Streetlight Data'!AB110=0,"",'kWh_Streetlight Data'!AB110)</f>
        <v/>
      </c>
      <c r="AB69" s="84" t="str">
        <f>IF('kWh_Streetlight Data'!AC110=0,"",'kWh_Streetlight Data'!AC110)</f>
        <v/>
      </c>
      <c r="AC69" s="108" t="str">
        <f>IF('kWh_Streetlight Data'!AD110=0,"",'kWh_Streetlight Data'!AD110)</f>
        <v/>
      </c>
      <c r="AD69" s="108" t="str">
        <f>IF('kWh_Streetlight Data'!AE110=0,"",'kWh_Streetlight Data'!AE110)</f>
        <v/>
      </c>
      <c r="AE69" s="108" t="str">
        <f>IF('kWh_Streetlight Data'!AF110=0,"",'kWh_Streetlight Data'!AF110)</f>
        <v/>
      </c>
      <c r="AF69" s="108" t="str">
        <f>IF('kWh_Streetlight Data'!AG110=0,"",'kWh_Streetlight Data'!AG110)</f>
        <v/>
      </c>
      <c r="AG69" s="108" t="str">
        <f>IF('kWh_Streetlight Data'!AH110=0,"",'kWh_Streetlight Data'!AH110)</f>
        <v/>
      </c>
      <c r="AH69" s="130" t="str">
        <f>IF('kWh_Streetlight Data'!AI110=0,"",'kWh_Streetlight Data'!AI110)</f>
        <v/>
      </c>
      <c r="AI69" s="130" t="str">
        <f>IF('kWh_Streetlight Data'!AJ110=0,"",'kWh_Streetlight Data'!AJ110)</f>
        <v/>
      </c>
      <c r="AJ69" s="130" t="str">
        <f>IF('kWh_Streetlight Data'!AK110=0,"",'kWh_Streetlight Data'!AK110)</f>
        <v/>
      </c>
      <c r="AK69" s="130" t="str">
        <f>IF('kWh_Streetlight Data'!AL110=0,"",'kWh_Streetlight Data'!AL110)</f>
        <v/>
      </c>
      <c r="AL69" s="130" t="str">
        <f>IF('kWh_Streetlight Data'!AM110=0,"",'kWh_Streetlight Data'!AM110)</f>
        <v/>
      </c>
      <c r="AM69" s="130" t="str">
        <f>IF('kWh_Streetlight Data'!AN110=0,"",'kWh_Streetlight Data'!AN110)</f>
        <v/>
      </c>
      <c r="AN69" s="424" t="str">
        <f>IF('kWh_Streetlight Data'!AO110=0,"",'kWh_Streetlight Data'!AO110)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84">
        <f>IF('kWh_Streetlight Data'!C111=0,"",'kWh_Streetlight Data'!C111)</f>
        <v>547.75</v>
      </c>
      <c r="C79" s="108">
        <f>IF('kWh_Streetlight Data'!D111=0,"",'kWh_Streetlight Data'!D111)</f>
        <v>590</v>
      </c>
      <c r="D79" s="108">
        <f>IF('kWh_Streetlight Data'!E111=0,"",'kWh_Streetlight Data'!E111)</f>
        <v>523.5</v>
      </c>
      <c r="E79" s="108">
        <f>IF('kWh_Streetlight Data'!F111=0,"",'kWh_Streetlight Data'!F111)</f>
        <v>708.5</v>
      </c>
      <c r="F79" s="108">
        <f>IF('kWh_Streetlight Data'!G111=0,"",'kWh_Streetlight Data'!G111)</f>
        <v>442.25</v>
      </c>
      <c r="G79" s="108">
        <f>IF('kWh_Streetlight Data'!H111=0,"",'kWh_Streetlight Data'!H111)</f>
        <v>383.75</v>
      </c>
      <c r="H79" s="108">
        <f>IF('kWh_Streetlight Data'!I111=0,"",'kWh_Streetlight Data'!I111)</f>
        <v>458.5</v>
      </c>
      <c r="I79" s="108">
        <f>IF('kWh_Streetlight Data'!J111=0,"",'kWh_Streetlight Data'!J111)</f>
        <v>459.75</v>
      </c>
      <c r="J79" s="108">
        <f>IF('kWh_Streetlight Data'!K111=0,"",'kWh_Streetlight Data'!K111)</f>
        <v>412.75</v>
      </c>
      <c r="K79" s="108">
        <f>IF('kWh_Streetlight Data'!L111=0,"",'kWh_Streetlight Data'!L111)</f>
        <v>342</v>
      </c>
      <c r="L79" s="108">
        <f>IF('kWh_Streetlight Data'!M111=0,"",'kWh_Streetlight Data'!M111)</f>
        <v>502.75</v>
      </c>
      <c r="M79" s="108">
        <f>IF('kWh_Streetlight Data'!N111=0,"",'kWh_Streetlight Data'!N111)</f>
        <v>560.25</v>
      </c>
      <c r="N79" s="424">
        <f>IF('kWh_Streetlight Data'!O111=0,"",'kWh_Streetlight Data'!O111)</f>
        <v>494.3125</v>
      </c>
      <c r="O79" s="84">
        <f>IF('kWh_Streetlight Data'!P111=0,"",'kWh_Streetlight Data'!P111)</f>
        <v>585.75</v>
      </c>
      <c r="P79" s="108">
        <f>IF('kWh_Streetlight Data'!Q111=0,"",'kWh_Streetlight Data'!Q111)</f>
        <v>549.25</v>
      </c>
      <c r="Q79" s="108">
        <f>IF('kWh_Streetlight Data'!R111=0,"",'kWh_Streetlight Data'!R111)</f>
        <v>644.25</v>
      </c>
      <c r="R79" s="108">
        <f>IF('kWh_Streetlight Data'!S111=0,"",'kWh_Streetlight Data'!S111)</f>
        <v>620.75</v>
      </c>
      <c r="S79" s="108">
        <f>IF('kWh_Streetlight Data'!T111=0,"",'kWh_Streetlight Data'!T111)</f>
        <v>462</v>
      </c>
      <c r="T79" s="108">
        <f>IF('kWh_Streetlight Data'!U111=0,"",'kWh_Streetlight Data'!U111)</f>
        <v>642.75</v>
      </c>
      <c r="U79" s="108">
        <f>IF('kWh_Streetlight Data'!V111=0,"",'kWh_Streetlight Data'!V111)</f>
        <v>487</v>
      </c>
      <c r="V79" s="108">
        <f>IF('kWh_Streetlight Data'!W111=0,"",'kWh_Streetlight Data'!W111)</f>
        <v>422</v>
      </c>
      <c r="W79" s="108">
        <f>IF('kWh_Streetlight Data'!X111=0,"",'kWh_Streetlight Data'!X111)</f>
        <v>568.25</v>
      </c>
      <c r="X79" s="108">
        <f>IF('kWh_Streetlight Data'!Y111=0,"",'kWh_Streetlight Data'!Y111)</f>
        <v>544.75</v>
      </c>
      <c r="Y79" s="108">
        <f>IF('kWh_Streetlight Data'!Z111=0,"",'kWh_Streetlight Data'!Z111)</f>
        <v>764.75</v>
      </c>
      <c r="Z79" s="108">
        <f>IF('kWh_Streetlight Data'!AA111=0,"",'kWh_Streetlight Data'!AA111)</f>
        <v>897.5</v>
      </c>
      <c r="AA79" s="424">
        <f>IF('kWh_Streetlight Data'!AB111=0,"",'kWh_Streetlight Data'!AB111)</f>
        <v>599.08333333333337</v>
      </c>
      <c r="AB79" s="129">
        <f>IF('kWh_Streetlight Data'!AC111=0,"",'kWh_Streetlight Data'!AC111)</f>
        <v>1129.75</v>
      </c>
      <c r="AC79" s="130">
        <f>IF('kWh_Streetlight Data'!AD111=0,"",'kWh_Streetlight Data'!AD111)</f>
        <v>973.25</v>
      </c>
      <c r="AD79" s="130">
        <f>IF('kWh_Streetlight Data'!AE111=0,"",'kWh_Streetlight Data'!AE111)</f>
        <v>1197</v>
      </c>
      <c r="AE79" s="130">
        <f>IF('kWh_Streetlight Data'!AF111=0,"",'kWh_Streetlight Data'!AF111)</f>
        <v>910</v>
      </c>
      <c r="AF79" s="130">
        <f>IF('kWh_Streetlight Data'!AG111=0,"",'kWh_Streetlight Data'!AG111)</f>
        <v>755.75</v>
      </c>
      <c r="AG79" s="130">
        <f>IF('kWh_Streetlight Data'!AH111=0,"",'kWh_Streetlight Data'!AH111)</f>
        <v>646.25</v>
      </c>
      <c r="AH79" s="130">
        <f>IF('kWh_Streetlight Data'!AI111=0,"",'kWh_Streetlight Data'!AI111)</f>
        <v>582.25</v>
      </c>
      <c r="AI79" s="130">
        <f>IF('kWh_Streetlight Data'!AJ111=0,"",'kWh_Streetlight Data'!AJ111)</f>
        <v>447.25</v>
      </c>
      <c r="AJ79" s="130">
        <f>IF('kWh_Streetlight Data'!AK111=0,"",'kWh_Streetlight Data'!AK111)</f>
        <v>460.25</v>
      </c>
      <c r="AK79" s="130">
        <f>IF('kWh_Streetlight Data'!AL111=0,"",'kWh_Streetlight Data'!AL111)</f>
        <v>572.5</v>
      </c>
      <c r="AL79" s="130">
        <f>IF('kWh_Streetlight Data'!AM111=0,"",'kWh_Streetlight Data'!AM111)</f>
        <v>580.5</v>
      </c>
      <c r="AM79" s="130">
        <f>IF('kWh_Streetlight Data'!AN111=0,"",'kWh_Streetlight Data'!AN111)</f>
        <v>680</v>
      </c>
      <c r="AN79" s="424">
        <f>IF('kWh_Streetlight Data'!AO111=0,"",'kWh_Streetlight Data'!AO111)</f>
        <v>744.5625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Data'!C112=0,"",'kWh_Streetlight Data'!C112)</f>
        <v/>
      </c>
      <c r="C83" s="108" t="str">
        <f>IF('kWh_Streetlight Data'!D112=0,"",'kWh_Streetlight Data'!D112)</f>
        <v/>
      </c>
      <c r="D83" s="108" t="str">
        <f>IF('kWh_Streetlight Data'!E112=0,"",'kWh_Streetlight Data'!E112)</f>
        <v/>
      </c>
      <c r="E83" s="108" t="str">
        <f>IF('kWh_Streetlight Data'!F112=0,"",'kWh_Streetlight Data'!F112)</f>
        <v/>
      </c>
      <c r="F83" s="108" t="str">
        <f>IF('kWh_Streetlight Data'!G112=0,"",'kWh_Streetlight Data'!G112)</f>
        <v/>
      </c>
      <c r="G83" s="108" t="str">
        <f>IF('kWh_Streetlight Data'!H112=0,"",'kWh_Streetlight Data'!H112)</f>
        <v/>
      </c>
      <c r="H83" s="108" t="str">
        <f>IF('kWh_Streetlight Data'!I112=0,"",'kWh_Streetlight Data'!I112)</f>
        <v/>
      </c>
      <c r="I83" s="108" t="str">
        <f>IF('kWh_Streetlight Data'!J112=0,"",'kWh_Streetlight Data'!J112)</f>
        <v/>
      </c>
      <c r="J83" s="108" t="str">
        <f>IF('kWh_Streetlight Data'!K112=0,"",'kWh_Streetlight Data'!K112)</f>
        <v/>
      </c>
      <c r="K83" s="108" t="str">
        <f>IF('kWh_Streetlight Data'!L112=0,"",'kWh_Streetlight Data'!L112)</f>
        <v/>
      </c>
      <c r="L83" s="108" t="str">
        <f>IF('kWh_Streetlight Data'!M112=0,"",'kWh_Streetlight Data'!M112)</f>
        <v/>
      </c>
      <c r="M83" s="108" t="str">
        <f>IF('kWh_Streetlight Data'!N112=0,"",'kWh_Streetlight Data'!N112)</f>
        <v/>
      </c>
      <c r="N83" s="424" t="str">
        <f>IF('kWh_Streetlight Data'!O112=0,"",'kWh_Streetlight Data'!O112)</f>
        <v/>
      </c>
      <c r="O83" s="84" t="str">
        <f>IF('kWh_Streetlight Data'!P112=0,"",'kWh_Streetlight Data'!P112)</f>
        <v/>
      </c>
      <c r="P83" s="108" t="str">
        <f>IF('kWh_Streetlight Data'!Q112=0,"",'kWh_Streetlight Data'!Q112)</f>
        <v/>
      </c>
      <c r="Q83" s="108" t="str">
        <f>IF('kWh_Streetlight Data'!R112=0,"",'kWh_Streetlight Data'!R112)</f>
        <v/>
      </c>
      <c r="R83" s="108" t="str">
        <f>IF('kWh_Streetlight Data'!S112=0,"",'kWh_Streetlight Data'!S112)</f>
        <v/>
      </c>
      <c r="S83" s="108" t="str">
        <f>IF('kWh_Streetlight Data'!T112=0,"",'kWh_Streetlight Data'!T112)</f>
        <v/>
      </c>
      <c r="T83" s="108" t="str">
        <f>IF('kWh_Streetlight Data'!U112=0,"",'kWh_Streetlight Data'!U112)</f>
        <v/>
      </c>
      <c r="U83" s="108" t="str">
        <f>IF('kWh_Streetlight Data'!V112=0,"",'kWh_Streetlight Data'!V112)</f>
        <v/>
      </c>
      <c r="V83" s="108" t="str">
        <f>IF('kWh_Streetlight Data'!W112=0,"",'kWh_Streetlight Data'!W112)</f>
        <v/>
      </c>
      <c r="W83" s="108" t="str">
        <f>IF('kWh_Streetlight Data'!X112=0,"",'kWh_Streetlight Data'!X112)</f>
        <v/>
      </c>
      <c r="X83" s="108" t="str">
        <f>IF('kWh_Streetlight Data'!Y112=0,"",'kWh_Streetlight Data'!Y112)</f>
        <v/>
      </c>
      <c r="Y83" s="108" t="str">
        <f>IF('kWh_Streetlight Data'!Z112=0,"",'kWh_Streetlight Data'!Z112)</f>
        <v/>
      </c>
      <c r="Z83" s="108" t="str">
        <f>IF('kWh_Streetlight Data'!AA112=0,"",'kWh_Streetlight Data'!AA112)</f>
        <v/>
      </c>
      <c r="AA83" s="424" t="str">
        <f>IF('kWh_Streetlight Data'!AB112=0,"",'kWh_Streetlight Data'!AB112)</f>
        <v/>
      </c>
      <c r="AB83" s="442" t="str">
        <f>IF('kWh_Streetlight Data'!AC112=0,"",'kWh_Streetlight Data'!AC112)</f>
        <v/>
      </c>
      <c r="AC83" s="443" t="str">
        <f>IF('kWh_Streetlight Data'!AD112=0,"",'kWh_Streetlight Data'!AD112)</f>
        <v/>
      </c>
      <c r="AD83" s="443" t="str">
        <f>IF('kWh_Streetlight Data'!AE112=0,"",'kWh_Streetlight Data'!AE112)</f>
        <v/>
      </c>
      <c r="AE83" s="443" t="str">
        <f>IF('kWh_Streetlight Data'!AF112=0,"",'kWh_Streetlight Data'!AF112)</f>
        <v/>
      </c>
      <c r="AF83" s="443" t="str">
        <f>IF('kWh_Streetlight Data'!AG112=0,"",'kWh_Streetlight Data'!AG112)</f>
        <v/>
      </c>
      <c r="AG83" s="443" t="str">
        <f>IF('kWh_Streetlight Data'!AH112=0,"",'kWh_Streetlight Data'!AH112)</f>
        <v/>
      </c>
      <c r="AH83" s="108" t="str">
        <f>IF('kWh_Streetlight Data'!AI112=0,"",'kWh_Streetlight Data'!AI112)</f>
        <v/>
      </c>
      <c r="AI83" s="108" t="str">
        <f>IF('kWh_Streetlight Data'!AJ112=0,"",'kWh_Streetlight Data'!AJ112)</f>
        <v/>
      </c>
      <c r="AJ83" s="108" t="str">
        <f>IF('kWh_Streetlight Data'!AK112=0,"",'kWh_Streetlight Data'!AK112)</f>
        <v/>
      </c>
      <c r="AK83" s="108" t="str">
        <f>IF('kWh_Streetlight Data'!AL112=0,"",'kWh_Streetlight Data'!AL112)</f>
        <v/>
      </c>
      <c r="AL83" s="108" t="str">
        <f>IF('kWh_Streetlight Data'!AM112=0,"",'kWh_Streetlight Data'!AM112)</f>
        <v/>
      </c>
      <c r="AM83" s="108" t="str">
        <f>IF('kWh_Streetlight Data'!AN112=0,"",'kWh_Streetlight Data'!AN112)</f>
        <v/>
      </c>
      <c r="AN83" s="424" t="str">
        <f>IF('kWh_Streetlight Data'!AO112=0,"",'kWh_Streetlight Data'!AO112)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29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9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Data'!C113=0,"",'kWh_Streetlight Data'!C113)</f>
        <v>3806.5</v>
      </c>
      <c r="C88" s="108">
        <f>IF('kWh_Streetlight Data'!D113=0,"",'kWh_Streetlight Data'!D113)</f>
        <v>4221</v>
      </c>
      <c r="D88" s="108">
        <f>IF('kWh_Streetlight Data'!E113=0,"",'kWh_Streetlight Data'!E113)</f>
        <v>3349.0714285714284</v>
      </c>
      <c r="E88" s="108">
        <f>IF('kWh_Streetlight Data'!F113=0,"",'kWh_Streetlight Data'!F113)</f>
        <v>4785.7142857142853</v>
      </c>
      <c r="F88" s="108">
        <f>IF('kWh_Streetlight Data'!G113=0,"",'kWh_Streetlight Data'!G113)</f>
        <v>3556.0714285714284</v>
      </c>
      <c r="G88" s="108">
        <f>IF('kWh_Streetlight Data'!H113=0,"",'kWh_Streetlight Data'!H113)</f>
        <v>2639.7142857142858</v>
      </c>
      <c r="H88" s="108">
        <f>IF('kWh_Streetlight Data'!I113=0,"",'kWh_Streetlight Data'!I113)</f>
        <v>2792.0714285714284</v>
      </c>
      <c r="I88" s="108">
        <f>IF('kWh_Streetlight Data'!J113=0,"",'kWh_Streetlight Data'!J113)</f>
        <v>2676</v>
      </c>
      <c r="J88" s="108">
        <f>IF('kWh_Streetlight Data'!K113=0,"",'kWh_Streetlight Data'!K113)</f>
        <v>2457.1538461538462</v>
      </c>
      <c r="K88" s="108">
        <f>IF('kWh_Streetlight Data'!L113=0,"",'kWh_Streetlight Data'!L113)</f>
        <v>2979.6923076923076</v>
      </c>
      <c r="L88" s="108">
        <f>IF('kWh_Streetlight Data'!M113=0,"",'kWh_Streetlight Data'!M113)</f>
        <v>4142.2307692307695</v>
      </c>
      <c r="M88" s="108">
        <f>IF('kWh_Streetlight Data'!N113=0,"",'kWh_Streetlight Data'!N113)</f>
        <v>5045.4615384615381</v>
      </c>
      <c r="N88" s="424">
        <f>IF('kWh_Streetlight Data'!O113=0,"",'kWh_Streetlight Data'!O113)</f>
        <v>3539.9325153374234</v>
      </c>
      <c r="O88" s="84">
        <f>IF('kWh_Streetlight Data'!P113=0,"",'kWh_Streetlight Data'!P113)</f>
        <v>4809.2307692307695</v>
      </c>
      <c r="P88" s="108">
        <f>IF('kWh_Streetlight Data'!Q113=0,"",'kWh_Streetlight Data'!Q113)</f>
        <v>4024.5384615384614</v>
      </c>
      <c r="Q88" s="108">
        <f>IF('kWh_Streetlight Data'!R113=0,"",'kWh_Streetlight Data'!R113)</f>
        <v>4287.9333333333334</v>
      </c>
      <c r="R88" s="108">
        <f>IF('kWh_Streetlight Data'!S113=0,"",'kWh_Streetlight Data'!S113)</f>
        <v>4182</v>
      </c>
      <c r="S88" s="108">
        <f>IF('kWh_Streetlight Data'!T113=0,"",'kWh_Streetlight Data'!T113)</f>
        <v>3045.7857142857142</v>
      </c>
      <c r="T88" s="108">
        <f>IF('kWh_Streetlight Data'!U113=0,"",'kWh_Streetlight Data'!U113)</f>
        <v>3854.75</v>
      </c>
      <c r="U88" s="108">
        <f>IF('kWh_Streetlight Data'!V113=0,"",'kWh_Streetlight Data'!V113)</f>
        <v>2769.9166666666665</v>
      </c>
      <c r="V88" s="108">
        <f>IF('kWh_Streetlight Data'!W113=0,"",'kWh_Streetlight Data'!W113)</f>
        <v>2887.75</v>
      </c>
      <c r="W88" s="108">
        <f>IF('kWh_Streetlight Data'!X113=0,"",'kWh_Streetlight Data'!X113)</f>
        <v>2482.4285714285716</v>
      </c>
      <c r="X88" s="108">
        <f>IF('kWh_Streetlight Data'!Y113=0,"",'kWh_Streetlight Data'!Y113)</f>
        <v>2448.9230769230771</v>
      </c>
      <c r="Y88" s="108">
        <f>IF('kWh_Streetlight Data'!Z113=0,"",'kWh_Streetlight Data'!Z113)</f>
        <v>2903.0769230769229</v>
      </c>
      <c r="Z88" s="108">
        <f>IF('kWh_Streetlight Data'!AA113=0,"",'kWh_Streetlight Data'!AA113)</f>
        <v>4183.181818181818</v>
      </c>
      <c r="AA88" s="426">
        <f>IF('kWh_Streetlight Data'!AB113=0,"",'kWh_Streetlight Data'!AB113)</f>
        <v>3488.1225806451612</v>
      </c>
      <c r="AB88" s="442">
        <f>IF('kWh_Streetlight Data'!AC113=0,"",'kWh_Streetlight Data'!AC113)</f>
        <v>5388.363636363636</v>
      </c>
      <c r="AC88" s="443">
        <f>IF('kWh_Streetlight Data'!AD113=0,"",'kWh_Streetlight Data'!AD113)</f>
        <v>4355.363636363636</v>
      </c>
      <c r="AD88" s="443">
        <f>IF('kWh_Streetlight Data'!AE113=0,"",'kWh_Streetlight Data'!AE113)</f>
        <v>4621.166666666667</v>
      </c>
      <c r="AE88" s="443">
        <f>IF('kWh_Streetlight Data'!AF113=0,"",'kWh_Streetlight Data'!AF113)</f>
        <v>3990.8333333333335</v>
      </c>
      <c r="AF88" s="443">
        <f>IF('kWh_Streetlight Data'!AG113=0,"",'kWh_Streetlight Data'!AG113)</f>
        <v>3953.25</v>
      </c>
      <c r="AG88" s="443">
        <f>IF('kWh_Streetlight Data'!AH113=0,"",'kWh_Streetlight Data'!AH113)</f>
        <v>3278.5</v>
      </c>
      <c r="AH88" s="443">
        <f>IF('kWh_Streetlight Data'!AI113=0,"",'kWh_Streetlight Data'!AI113)</f>
        <v>2727.5833333333335</v>
      </c>
      <c r="AI88" s="443">
        <f>IF('kWh_Streetlight Data'!AJ113=0,"",'kWh_Streetlight Data'!AJ113)</f>
        <v>2979.1666666666665</v>
      </c>
      <c r="AJ88" s="443">
        <f>IF('kWh_Streetlight Data'!AK113=0,"",'kWh_Streetlight Data'!AK113)</f>
        <v>2557.5833333333335</v>
      </c>
      <c r="AK88" s="443">
        <f>IF('kWh_Streetlight Data'!AL113=0,"",'kWh_Streetlight Data'!AL113)</f>
        <v>2986.1666666666665</v>
      </c>
      <c r="AL88" s="443">
        <f>IF('kWh_Streetlight Data'!AM113=0,"",'kWh_Streetlight Data'!AM113)</f>
        <v>3519.2307692307691</v>
      </c>
      <c r="AM88" s="443">
        <f>IF('kWh_Streetlight Data'!AN113=0,"",'kWh_Streetlight Data'!AN113)</f>
        <v>4455.166666666667</v>
      </c>
      <c r="AN88" s="424">
        <f>IF('kWh_Streetlight Data'!AO113=0,"",'kWh_Streetlight Data'!AO113)</f>
        <v>3716.951048951049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109"/>
      <c r="BG92" s="39"/>
      <c r="BH92" s="39"/>
      <c r="BI92" s="39"/>
      <c r="BJ92" s="39"/>
      <c r="BK92" s="39"/>
      <c r="BL92" s="39"/>
      <c r="BM92" s="39"/>
      <c r="BN92" s="210"/>
      <c r="BO92" s="13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Data'!C114=0,"",'kWh_Streetlight Data'!C114)</f>
        <v/>
      </c>
      <c r="C94" s="108" t="str">
        <f>IF('kWh_Streetlight Data'!D114=0,"",'kWh_Streetlight Data'!D114)</f>
        <v/>
      </c>
      <c r="D94" s="108" t="str">
        <f>IF('kWh_Streetlight Data'!E114=0,"",'kWh_Streetlight Data'!E114)</f>
        <v/>
      </c>
      <c r="E94" s="108" t="str">
        <f>IF('kWh_Streetlight Data'!F114=0,"",'kWh_Streetlight Data'!F114)</f>
        <v/>
      </c>
      <c r="F94" s="108" t="str">
        <f>IF('kWh_Streetlight Data'!G114=0,"",'kWh_Streetlight Data'!G114)</f>
        <v/>
      </c>
      <c r="G94" s="108" t="str">
        <f>IF('kWh_Streetlight Data'!H114=0,"",'kWh_Streetlight Data'!H114)</f>
        <v/>
      </c>
      <c r="H94" s="108" t="str">
        <f>IF('kWh_Streetlight Data'!I114=0,"",'kWh_Streetlight Data'!I114)</f>
        <v/>
      </c>
      <c r="I94" s="108" t="str">
        <f>IF('kWh_Streetlight Data'!J114=0,"",'kWh_Streetlight Data'!J114)</f>
        <v/>
      </c>
      <c r="J94" s="108" t="str">
        <f>IF('kWh_Streetlight Data'!K114=0,"",'kWh_Streetlight Data'!K114)</f>
        <v/>
      </c>
      <c r="K94" s="108" t="str">
        <f>IF('kWh_Streetlight Data'!L114=0,"",'kWh_Streetlight Data'!L114)</f>
        <v/>
      </c>
      <c r="L94" s="130" t="str">
        <f>IF('kWh_Streetlight Data'!M114=0,"",'kWh_Streetlight Data'!M114)</f>
        <v/>
      </c>
      <c r="M94" s="130" t="str">
        <f>IF('kWh_Streetlight Data'!N114=0,"",'kWh_Streetlight Data'!N114)</f>
        <v/>
      </c>
      <c r="N94" s="425" t="str">
        <f>IF('kWh_Streetlight Data'!O114=0,"",'kWh_Streetlight Data'!O114)</f>
        <v/>
      </c>
      <c r="O94" s="84" t="str">
        <f>IF('kWh_Streetlight Data'!P114=0,"",'kWh_Streetlight Data'!P114)</f>
        <v/>
      </c>
      <c r="P94" s="108" t="str">
        <f>IF('kWh_Streetlight Data'!Q114=0,"",'kWh_Streetlight Data'!Q114)</f>
        <v/>
      </c>
      <c r="Q94" s="108" t="str">
        <f>IF('kWh_Streetlight Data'!R114=0,"",'kWh_Streetlight Data'!R114)</f>
        <v/>
      </c>
      <c r="R94" s="108" t="str">
        <f>IF('kWh_Streetlight Data'!S114=0,"",'kWh_Streetlight Data'!S114)</f>
        <v/>
      </c>
      <c r="S94" s="108" t="str">
        <f>IF('kWh_Streetlight Data'!T114=0,"",'kWh_Streetlight Data'!T114)</f>
        <v/>
      </c>
      <c r="T94" s="108" t="str">
        <f>IF('kWh_Streetlight Data'!U114=0,"",'kWh_Streetlight Data'!U114)</f>
        <v/>
      </c>
      <c r="U94" s="108" t="str">
        <f>IF('kWh_Streetlight Data'!V114=0,"",'kWh_Streetlight Data'!V114)</f>
        <v/>
      </c>
      <c r="V94" s="108" t="str">
        <f>IF('kWh_Streetlight Data'!W114=0,"",'kWh_Streetlight Data'!W114)</f>
        <v/>
      </c>
      <c r="W94" s="108" t="str">
        <f>IF('kWh_Streetlight Data'!X114=0,"",'kWh_Streetlight Data'!X114)</f>
        <v/>
      </c>
      <c r="X94" s="108" t="str">
        <f>IF('kWh_Streetlight Data'!Y114=0,"",'kWh_Streetlight Data'!Y114)</f>
        <v/>
      </c>
      <c r="Y94" s="108" t="str">
        <f>IF('kWh_Streetlight Data'!Z114=0,"",'kWh_Streetlight Data'!Z114)</f>
        <v/>
      </c>
      <c r="Z94" s="108" t="str">
        <f>IF('kWh_Streetlight Data'!AA114=0,"",'kWh_Streetlight Data'!AA114)</f>
        <v/>
      </c>
      <c r="AA94" s="426" t="str">
        <f>IF('kWh_Streetlight Data'!AB114=0,"",'kWh_Streetlight Data'!AB114)</f>
        <v/>
      </c>
      <c r="AB94" s="84" t="str">
        <f>IF('kWh_Streetlight Data'!AC114=0,"",'kWh_Streetlight Data'!AC114)</f>
        <v/>
      </c>
      <c r="AC94" s="108" t="str">
        <f>IF('kWh_Streetlight Data'!AD114=0,"",'kWh_Streetlight Data'!AD114)</f>
        <v/>
      </c>
      <c r="AD94" s="108" t="str">
        <f>IF('kWh_Streetlight Data'!AE114=0,"",'kWh_Streetlight Data'!AE114)</f>
        <v/>
      </c>
      <c r="AE94" s="108" t="str">
        <f>IF('kWh_Streetlight Data'!AF114=0,"",'kWh_Streetlight Data'!AF114)</f>
        <v/>
      </c>
      <c r="AF94" s="108" t="str">
        <f>IF('kWh_Streetlight Data'!AG114=0,"",'kWh_Streetlight Data'!AG114)</f>
        <v/>
      </c>
      <c r="AG94" s="108" t="str">
        <f>IF('kWh_Streetlight Data'!AH114=0,"",'kWh_Streetlight Data'!AH114)</f>
        <v/>
      </c>
      <c r="AH94" s="108" t="str">
        <f>IF('kWh_Streetlight Data'!AI114=0,"",'kWh_Streetlight Data'!AI114)</f>
        <v/>
      </c>
      <c r="AI94" s="108" t="str">
        <f>IF('kWh_Streetlight Data'!AJ114=0,"",'kWh_Streetlight Data'!AJ114)</f>
        <v/>
      </c>
      <c r="AJ94" s="108" t="str">
        <f>IF('kWh_Streetlight Data'!AK114=0,"",'kWh_Streetlight Data'!AK114)</f>
        <v/>
      </c>
      <c r="AK94" s="108" t="str">
        <f>IF('kWh_Streetlight Data'!AL114=0,"",'kWh_Streetlight Data'!AL114)</f>
        <v/>
      </c>
      <c r="AL94" s="108" t="str">
        <f>IF('kWh_Streetlight Data'!AM114=0,"",'kWh_Streetlight Data'!AM114)</f>
        <v/>
      </c>
      <c r="AM94" s="108" t="str">
        <f>IF('kWh_Streetlight Data'!AN114=0,"",'kWh_Streetlight Data'!AN114)</f>
        <v/>
      </c>
      <c r="AN94" s="424" t="str">
        <f>IF('kWh_Streetlight Data'!AO114=0,"",'kWh_Streetlight Data'!AO114)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108"/>
      <c r="BG94" s="108"/>
      <c r="BH94" s="108"/>
      <c r="BI94" s="108"/>
      <c r="BJ94" s="108"/>
      <c r="BK94" s="108"/>
      <c r="BL94" s="108"/>
      <c r="BM94" s="108"/>
      <c r="BN94" s="211"/>
      <c r="BO94" s="14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/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/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/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/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/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/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/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/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/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/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/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/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/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/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/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/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/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/>
      <c r="AV119" s="280"/>
      <c r="AW119" s="280"/>
      <c r="AX119" s="280"/>
      <c r="AY119" s="280"/>
      <c r="AZ119" s="280"/>
      <c r="BA119" s="259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59"/>
      <c r="BO119" s="343"/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/>
      <c r="AU120" s="107"/>
      <c r="AV120" s="39"/>
      <c r="AW120" s="39"/>
      <c r="AX120" s="39"/>
      <c r="AY120" s="39"/>
      <c r="AZ120" s="39"/>
      <c r="BA120" s="215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215"/>
      <c r="BO120" s="141"/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/>
      <c r="AU121" s="107"/>
      <c r="AV121" s="39"/>
      <c r="AW121" s="39"/>
      <c r="AX121" s="39"/>
      <c r="AY121" s="39"/>
      <c r="AZ121" s="39"/>
      <c r="BA121" s="215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215"/>
      <c r="BO121" s="141"/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/>
      <c r="AV122" s="57"/>
      <c r="AW122" s="57"/>
      <c r="AX122" s="57"/>
      <c r="AY122" s="57"/>
      <c r="AZ122" s="57"/>
      <c r="BA122" s="215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215"/>
      <c r="BO122" s="141"/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/>
      <c r="AV123" s="57"/>
      <c r="AW123" s="57"/>
      <c r="AX123" s="57"/>
      <c r="AY123" s="57"/>
      <c r="AZ123" s="57"/>
      <c r="BA123" s="215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215"/>
      <c r="BO123" s="141"/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/>
      <c r="AV124" s="344"/>
      <c r="AW124" s="344"/>
      <c r="AX124" s="344"/>
      <c r="AY124" s="344"/>
      <c r="AZ124" s="344"/>
      <c r="BA124" s="345"/>
      <c r="BB124" s="344"/>
      <c r="BC124" s="344"/>
      <c r="BD124" s="344"/>
      <c r="BE124" s="344"/>
      <c r="BF124" s="344"/>
      <c r="BG124" s="344"/>
      <c r="BH124" s="344"/>
      <c r="BI124" s="344"/>
      <c r="BJ124" s="344"/>
      <c r="BK124" s="344"/>
      <c r="BL124" s="344"/>
      <c r="BM124" s="344"/>
      <c r="BN124" s="345"/>
      <c r="BO124" s="272"/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0">AU111+AU124</f>
        <v>0</v>
      </c>
      <c r="AV132" s="66">
        <f t="shared" si="0"/>
        <v>0</v>
      </c>
      <c r="AW132" s="66">
        <f t="shared" si="0"/>
        <v>0</v>
      </c>
      <c r="AX132" s="66">
        <f t="shared" si="0"/>
        <v>0</v>
      </c>
      <c r="AY132" s="66">
        <f t="shared" si="0"/>
        <v>0</v>
      </c>
      <c r="AZ132" s="66">
        <f t="shared" si="0"/>
        <v>0</v>
      </c>
      <c r="BA132" s="216">
        <f>SUM(AT132:AZ132)</f>
        <v>0</v>
      </c>
      <c r="BB132" s="66">
        <v>0</v>
      </c>
      <c r="BC132" s="66">
        <v>0</v>
      </c>
      <c r="BD132" s="66">
        <v>0</v>
      </c>
      <c r="BE132" s="66">
        <v>0</v>
      </c>
      <c r="BF132" s="66">
        <f t="shared" ref="BF132:BM132" si="1">BF111+BF124</f>
        <v>0</v>
      </c>
      <c r="BG132" s="66">
        <f t="shared" si="1"/>
        <v>0</v>
      </c>
      <c r="BH132" s="66">
        <f t="shared" si="1"/>
        <v>0</v>
      </c>
      <c r="BI132" s="66">
        <f t="shared" si="1"/>
        <v>0</v>
      </c>
      <c r="BJ132" s="66">
        <f t="shared" si="1"/>
        <v>0</v>
      </c>
      <c r="BK132" s="66">
        <f t="shared" si="1"/>
        <v>0</v>
      </c>
      <c r="BL132" s="66">
        <f t="shared" si="1"/>
        <v>0</v>
      </c>
      <c r="BM132" s="66">
        <f t="shared" si="1"/>
        <v>0</v>
      </c>
      <c r="BN132" s="216"/>
      <c r="BO132" s="185"/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T173"/>
  <sheetViews>
    <sheetView zoomScale="80" zoomScaleNormal="80" workbookViewId="0">
      <pane xSplit="1" ySplit="5" topLeftCell="N67" activePane="bottomRight" state="frozen"/>
      <selection pane="bottomRight" activeCell="BR92" sqref="BR92"/>
      <selection pane="bottomLeft" activeCell="BN79" sqref="BN79"/>
      <selection pane="topRight" activeCell="BN79" sqref="BN79"/>
    </sheetView>
  </sheetViews>
  <sheetFormatPr defaultColWidth="9.140625" defaultRowHeight="14.45" outlineLevelCol="2"/>
  <cols>
    <col min="1" max="1" width="65.85546875" style="2" customWidth="1"/>
    <col min="2" max="6" width="13.28515625" hidden="1" customWidth="1" outlineLevel="1"/>
    <col min="7" max="7" width="14.85546875" hidden="1" customWidth="1" outlineLevel="1"/>
    <col min="8" max="9" width="14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4.42578125" hidden="1" customWidth="1" outlineLevel="1"/>
    <col min="23" max="23" width="15.7109375" hidden="1" customWidth="1" outlineLevel="1"/>
    <col min="24" max="25" width="13.28515625" hidden="1" customWidth="1" outlineLevel="1"/>
    <col min="26" max="26" width="13.7109375" hidden="1" customWidth="1" outlineLevel="1"/>
    <col min="27" max="27" width="15.28515625" customWidth="1" collapsed="1"/>
    <col min="28" max="32" width="13.28515625" hidden="1" customWidth="1" outlineLevel="1"/>
    <col min="33" max="33" width="13.7109375" hidden="1" customWidth="1" outlineLevel="1"/>
    <col min="34" max="34" width="10.5703125" hidden="1" customWidth="1" outlineLevel="1"/>
    <col min="35" max="35" width="14.42578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2"/>
    <col min="47" max="47" width="15.5703125" hidden="1" customWidth="1" outlineLevel="2"/>
    <col min="48" max="48" width="15.42578125" hidden="1" customWidth="1" outlineLevel="2"/>
    <col min="49" max="49" width="15.85546875" hidden="1" customWidth="1" outlineLevel="2"/>
    <col min="50" max="52" width="15.42578125" hidden="1" customWidth="1" outlineLevel="2"/>
    <col min="53" max="53" width="20.28515625" style="3" bestFit="1" customWidth="1" collapsed="1"/>
    <col min="54" max="54" width="16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1" width="14.85546875" hidden="1" customWidth="1" outlineLevel="1"/>
    <col min="62" max="62" width="15.71093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20.28515625" style="3" bestFit="1" customWidth="1" collapsed="1"/>
    <col min="67" max="67" width="15.85546875" customWidth="1"/>
    <col min="69" max="69" width="10.85546875" bestFit="1" customWidth="1"/>
    <col min="70" max="70" width="13.85546875" bestFit="1" customWidth="1"/>
    <col min="71" max="71" width="12.28515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132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Customers!E175</f>
        <v>485</v>
      </c>
      <c r="AV7" s="109">
        <f>Customers!F175</f>
        <v>485</v>
      </c>
      <c r="AW7" s="109">
        <f>Customers!G175</f>
        <v>489</v>
      </c>
      <c r="AX7" s="109">
        <f>Customers!H175</f>
        <v>489</v>
      </c>
      <c r="AY7" s="109">
        <f>Customers!I175</f>
        <v>489</v>
      </c>
      <c r="AZ7" s="109">
        <f>Customers!J175</f>
        <v>489</v>
      </c>
      <c r="BA7" s="210">
        <f>AZ7</f>
        <v>489</v>
      </c>
      <c r="BB7" s="124">
        <v>497</v>
      </c>
      <c r="BC7" s="38">
        <v>497</v>
      </c>
      <c r="BD7" s="38">
        <v>497</v>
      </c>
      <c r="BE7" s="38">
        <v>497</v>
      </c>
      <c r="BF7" s="38">
        <f t="shared" ref="BF7:BI7" si="0">BE7</f>
        <v>497</v>
      </c>
      <c r="BG7" s="38">
        <f t="shared" si="0"/>
        <v>497</v>
      </c>
      <c r="BH7" s="38">
        <f t="shared" si="0"/>
        <v>497</v>
      </c>
      <c r="BI7" s="38">
        <f t="shared" si="0"/>
        <v>497</v>
      </c>
      <c r="BJ7" s="38">
        <f t="shared" ref="BJ7" si="1">BI7</f>
        <v>497</v>
      </c>
      <c r="BK7" s="38">
        <f t="shared" ref="BK7" si="2">BJ7</f>
        <v>497</v>
      </c>
      <c r="BL7" s="38">
        <f t="shared" ref="BL7" si="3">BK7</f>
        <v>497</v>
      </c>
      <c r="BM7" s="38">
        <f t="shared" ref="BM7" si="4">BL7</f>
        <v>497</v>
      </c>
      <c r="BN7" s="210">
        <f>IFERROR(ROUND(AVERAGE(BB7:BM7),0),0)</f>
        <v>497</v>
      </c>
      <c r="BO7" s="125">
        <f>Customers!L175</f>
        <v>505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316126</v>
      </c>
      <c r="AV8" s="38">
        <f>ROUND(AV$11*'kWh Blocks by Rate Category'!D8,0)</f>
        <v>333569</v>
      </c>
      <c r="AW8" s="38">
        <f>ROUND(AW$11*'kWh Blocks by Rate Category'!E8,0)</f>
        <v>305112</v>
      </c>
      <c r="AX8" s="38">
        <f>ROUND(AX$11*'kWh Blocks by Rate Category'!F8,0)</f>
        <v>399804</v>
      </c>
      <c r="AY8" s="38">
        <f>ROUND(AY$11*'kWh Blocks by Rate Category'!G8,0)</f>
        <v>506540</v>
      </c>
      <c r="AZ8" s="38">
        <f>ROUND(AZ$11*'kWh Blocks by Rate Category'!H8,0)</f>
        <v>522344</v>
      </c>
      <c r="BA8" s="210">
        <f>SUM(AO8:AZ8)</f>
        <v>2383495</v>
      </c>
      <c r="BB8" s="38">
        <v>775294</v>
      </c>
      <c r="BC8" s="38">
        <v>700057</v>
      </c>
      <c r="BD8" s="38">
        <v>643570</v>
      </c>
      <c r="BE8" s="38">
        <v>588278</v>
      </c>
      <c r="BF8" s="38">
        <f>ROUND(BF$11*'kWh Blocks by Rate Category'!N8,0)</f>
        <v>511034</v>
      </c>
      <c r="BG8" s="38">
        <f>ROUND(BG$11*'kWh Blocks by Rate Category'!O8,0)</f>
        <v>404227</v>
      </c>
      <c r="BH8" s="38">
        <f>ROUND(BH$11*'kWh Blocks by Rate Category'!P8,0)</f>
        <v>323947</v>
      </c>
      <c r="BI8" s="38">
        <f>ROUND(BI$11*'kWh Blocks by Rate Category'!Q8,0)</f>
        <v>341822</v>
      </c>
      <c r="BJ8" s="38">
        <f>ROUND(BJ$11*'kWh Blocks by Rate Category'!R8,0)</f>
        <v>310103</v>
      </c>
      <c r="BK8" s="38">
        <f>ROUND(BK$11*'kWh Blocks by Rate Category'!S8,0)</f>
        <v>406345</v>
      </c>
      <c r="BL8" s="38">
        <f>ROUND(BL$11*'kWh Blocks by Rate Category'!T8,0)</f>
        <v>514827</v>
      </c>
      <c r="BM8" s="38">
        <f>ROUND(BM$11*'kWh Blocks by Rate Category'!U8,0)</f>
        <v>530890</v>
      </c>
      <c r="BN8" s="210">
        <f>SUM(BB8:BM8)</f>
        <v>6050394</v>
      </c>
      <c r="BO8" s="38">
        <f>ROUND(BO$11*'kWh Blocks by Rate Category'!W8,0)</f>
        <v>6147784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168447</v>
      </c>
      <c r="AV9" s="38">
        <f>ROUND(AV$11*'kWh Blocks by Rate Category'!D9,0)</f>
        <v>177742</v>
      </c>
      <c r="AW9" s="38">
        <f>ROUND(AW$11*'kWh Blocks by Rate Category'!E9,0)</f>
        <v>162579</v>
      </c>
      <c r="AX9" s="38">
        <f>ROUND(AX$11*'kWh Blocks by Rate Category'!F9,0)</f>
        <v>213036</v>
      </c>
      <c r="AY9" s="38">
        <f>ROUND(AY$11*'kWh Blocks by Rate Category'!G9,0)</f>
        <v>269910</v>
      </c>
      <c r="AZ9" s="38">
        <f>ROUND(AZ$11*'kWh Blocks by Rate Category'!H9,0)</f>
        <v>278331</v>
      </c>
      <c r="BA9" s="210">
        <f>SUM(AO9:AZ9)</f>
        <v>1270045</v>
      </c>
      <c r="BB9" s="38">
        <v>413115</v>
      </c>
      <c r="BC9" s="38">
        <v>373025</v>
      </c>
      <c r="BD9" s="38">
        <v>342926</v>
      </c>
      <c r="BE9" s="38">
        <v>313464</v>
      </c>
      <c r="BF9" s="38">
        <f>ROUND(BF$11*'kWh Blocks by Rate Category'!N9,0)</f>
        <v>272304</v>
      </c>
      <c r="BG9" s="38">
        <f>ROUND(BG$11*'kWh Blocks by Rate Category'!O9,0)</f>
        <v>215392</v>
      </c>
      <c r="BH9" s="38">
        <f>ROUND(BH$11*'kWh Blocks by Rate Category'!P9,0)</f>
        <v>172615</v>
      </c>
      <c r="BI9" s="38">
        <f>ROUND(BI$11*'kWh Blocks by Rate Category'!Q9,0)</f>
        <v>182140</v>
      </c>
      <c r="BJ9" s="38">
        <f>ROUND(BJ$11*'kWh Blocks by Rate Category'!R9,0)</f>
        <v>165238</v>
      </c>
      <c r="BK9" s="38">
        <f>ROUND(BK$11*'kWh Blocks by Rate Category'!S9,0)</f>
        <v>216521</v>
      </c>
      <c r="BL9" s="38">
        <f>ROUND(BL$11*'kWh Blocks by Rate Category'!T9,0)</f>
        <v>274325</v>
      </c>
      <c r="BM9" s="38">
        <f>ROUND(BM$11*'kWh Blocks by Rate Category'!U9,0)</f>
        <v>282885</v>
      </c>
      <c r="BN9" s="210">
        <f>SUM(BB9:BM9)</f>
        <v>3223950</v>
      </c>
      <c r="BO9" s="38">
        <f>ROUND(BO$11*'kWh Blocks by Rate Category'!W9,0)</f>
        <v>3275844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32119</v>
      </c>
      <c r="AV10" s="38">
        <f>ROUND(AV$11*'kWh Blocks by Rate Category'!D10,0)</f>
        <v>33891</v>
      </c>
      <c r="AW10" s="38">
        <f>ROUND(AW$11*'kWh Blocks by Rate Category'!E10,0)</f>
        <v>31000</v>
      </c>
      <c r="AX10" s="38">
        <f>ROUND(AX$11*'kWh Blocks by Rate Category'!F10,0)</f>
        <v>40621</v>
      </c>
      <c r="AY10" s="38">
        <f>ROUND(AY$11*'kWh Blocks by Rate Category'!G10,0)</f>
        <v>51466</v>
      </c>
      <c r="AZ10" s="38">
        <f>ROUND(AZ$11*'kWh Blocks by Rate Category'!H10,0)</f>
        <v>53072</v>
      </c>
      <c r="BA10" s="210">
        <f>SUM(AO10:AZ10)</f>
        <v>242169</v>
      </c>
      <c r="BB10" s="38">
        <v>78772</v>
      </c>
      <c r="BC10" s="38">
        <v>71128</v>
      </c>
      <c r="BD10" s="38">
        <v>65388</v>
      </c>
      <c r="BE10" s="38">
        <v>59771</v>
      </c>
      <c r="BF10" s="38">
        <f>ROUND(BF$11*'kWh Blocks by Rate Category'!N10,0)</f>
        <v>51922</v>
      </c>
      <c r="BG10" s="38">
        <f>ROUND(BG$11*'kWh Blocks by Rate Category'!O10,0)</f>
        <v>41070</v>
      </c>
      <c r="BH10" s="38">
        <f>ROUND(BH$11*'kWh Blocks by Rate Category'!P10,0)</f>
        <v>32914</v>
      </c>
      <c r="BI10" s="38">
        <f>ROUND(BI$11*'kWh Blocks by Rate Category'!Q10,0)</f>
        <v>34730</v>
      </c>
      <c r="BJ10" s="38">
        <f>ROUND(BJ$11*'kWh Blocks by Rate Category'!R10,0)</f>
        <v>31507</v>
      </c>
      <c r="BK10" s="38">
        <f>ROUND(BK$11*'kWh Blocks by Rate Category'!S10,0)</f>
        <v>41286</v>
      </c>
      <c r="BL10" s="38">
        <f>ROUND(BL$11*'kWh Blocks by Rate Category'!T10,0)</f>
        <v>52308</v>
      </c>
      <c r="BM10" s="38">
        <f>ROUND(BM$11*'kWh Blocks by Rate Category'!U10,0)</f>
        <v>53940</v>
      </c>
      <c r="BN10" s="210">
        <f>SUM(BB10:BM10)</f>
        <v>614736</v>
      </c>
      <c r="BO10" s="38">
        <f>ROUND(BO$11*'kWh Blocks by Rate Category'!W10,0)</f>
        <v>624630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5">IFERROR(ROUND(AU12*AU7,0),0)</f>
        <v>516692</v>
      </c>
      <c r="AV11" s="64">
        <f t="shared" si="5"/>
        <v>545202</v>
      </c>
      <c r="AW11" s="64">
        <f t="shared" si="5"/>
        <v>498691</v>
      </c>
      <c r="AX11" s="64">
        <f t="shared" si="5"/>
        <v>653461</v>
      </c>
      <c r="AY11" s="64">
        <f t="shared" si="5"/>
        <v>827916</v>
      </c>
      <c r="AZ11" s="64">
        <f t="shared" si="5"/>
        <v>853747</v>
      </c>
      <c r="BA11" s="196">
        <f>SUM(AO11:AZ11)</f>
        <v>3895709</v>
      </c>
      <c r="BB11" s="64">
        <v>1267181</v>
      </c>
      <c r="BC11" s="64">
        <v>1144209</v>
      </c>
      <c r="BD11" s="64">
        <v>1051884</v>
      </c>
      <c r="BE11" s="64">
        <v>961512</v>
      </c>
      <c r="BF11" s="64">
        <f t="shared" ref="BF11:BI11" si="6">IFERROR(ROUND(BF12*BF7,0),0)</f>
        <v>835261</v>
      </c>
      <c r="BG11" s="64">
        <f t="shared" si="6"/>
        <v>660689</v>
      </c>
      <c r="BH11" s="64">
        <f t="shared" si="6"/>
        <v>529476</v>
      </c>
      <c r="BI11" s="64">
        <f t="shared" si="6"/>
        <v>558692</v>
      </c>
      <c r="BJ11" s="64">
        <f t="shared" ref="BJ11:BM11" si="7">IFERROR(ROUND(BJ12*BJ7,0),0)</f>
        <v>506849</v>
      </c>
      <c r="BK11" s="64">
        <f t="shared" si="7"/>
        <v>664151</v>
      </c>
      <c r="BL11" s="64">
        <f t="shared" si="7"/>
        <v>841460</v>
      </c>
      <c r="BM11" s="64">
        <f t="shared" si="7"/>
        <v>867715</v>
      </c>
      <c r="BN11" s="196">
        <f>SUM(BB11:BM11)</f>
        <v>9889079</v>
      </c>
      <c r="BO11" s="64">
        <f t="shared" ref="BO11" si="8">IFERROR(ROUND(BO12*BO7,0),0)</f>
        <v>10048259</v>
      </c>
    </row>
    <row r="12" spans="1:67" ht="15" thickTop="1">
      <c r="A12" s="374" t="s">
        <v>54</v>
      </c>
      <c r="B12" s="84">
        <f>IF('kWh_Streetlight Data'!C172=0,"",'kWh_Streetlight Data'!C172)</f>
        <v>2338.6423841059604</v>
      </c>
      <c r="C12" s="108">
        <f>IF('kWh_Streetlight Data'!D172=0,"",'kWh_Streetlight Data'!D172)</f>
        <v>2313.4398249452952</v>
      </c>
      <c r="D12" s="108">
        <f>IF('kWh_Streetlight Data'!E172=0,"",'kWh_Streetlight Data'!E172)</f>
        <v>2160.0837004405284</v>
      </c>
      <c r="E12" s="108">
        <f>IF('kWh_Streetlight Data'!F172=0,"",'kWh_Streetlight Data'!F172)</f>
        <v>1979.0765864332604</v>
      </c>
      <c r="F12" s="108">
        <f>IF('kWh_Streetlight Data'!G172=0,"",'kWh_Streetlight Data'!G172)</f>
        <v>1586.6745689655172</v>
      </c>
      <c r="G12" s="108">
        <f>IF('kWh_Streetlight Data'!H172=0,"",'kWh_Streetlight Data'!H172)</f>
        <v>1275.7260869565218</v>
      </c>
      <c r="H12" s="108">
        <f>IF('kWh_Streetlight Data'!I172=0,"",'kWh_Streetlight Data'!I172)</f>
        <v>1076.4021978021979</v>
      </c>
      <c r="I12" s="108">
        <f>IF('kWh_Streetlight Data'!J172=0,"",'kWh_Streetlight Data'!J172)</f>
        <v>1218.6960352422907</v>
      </c>
      <c r="J12" s="108">
        <f>IF('kWh_Streetlight Data'!K172=0,"",'kWh_Streetlight Data'!K172)</f>
        <v>905.12910284463896</v>
      </c>
      <c r="K12" s="108">
        <f>IF('kWh_Streetlight Data'!L172=0,"",'kWh_Streetlight Data'!L172)</f>
        <v>1442.1995661605206</v>
      </c>
      <c r="L12" s="108">
        <f>IF('kWh_Streetlight Data'!M172=0,"",'kWh_Streetlight Data'!M172)</f>
        <v>1679.0525164113785</v>
      </c>
      <c r="M12" s="108">
        <f>IF('kWh_Streetlight Data'!N172=0,"",'kWh_Streetlight Data'!N172)</f>
        <v>1791.4569536423842</v>
      </c>
      <c r="N12" s="424">
        <f>IF('kWh_Streetlight Data'!O172=0,"",'kWh_Streetlight Data'!O172)</f>
        <v>1646.3371032469902</v>
      </c>
      <c r="O12" s="84">
        <f>IF('kWh_Streetlight Data'!P172=0,"",'kWh_Streetlight Data'!P172)</f>
        <v>2601.6828193832598</v>
      </c>
      <c r="P12" s="108">
        <f>IF('kWh_Streetlight Data'!Q172=0,"",'kWh_Streetlight Data'!Q172)</f>
        <v>2347.0835164835166</v>
      </c>
      <c r="Q12" s="108">
        <f>IF('kWh_Streetlight Data'!R172=0,"",'kWh_Streetlight Data'!R172)</f>
        <v>2261.320879120879</v>
      </c>
      <c r="R12" s="108">
        <f>IF('kWh_Streetlight Data'!S172=0,"",'kWh_Streetlight Data'!S172)</f>
        <v>1765.0042735042734</v>
      </c>
      <c r="S12" s="108">
        <f>IF('kWh_Streetlight Data'!T172=0,"",'kWh_Streetlight Data'!T172)</f>
        <v>1626.0258620689656</v>
      </c>
      <c r="T12" s="108">
        <f>IF('kWh_Streetlight Data'!U172=0,"",'kWh_Streetlight Data'!U172)</f>
        <v>1340.7098765432099</v>
      </c>
      <c r="U12" s="108">
        <f>IF('kWh_Streetlight Data'!V172=0,"",'kWh_Streetlight Data'!V172)</f>
        <v>1008.9179265658747</v>
      </c>
      <c r="V12" s="108">
        <f>IF('kWh_Streetlight Data'!W172=0,"",'kWh_Streetlight Data'!W172)</f>
        <v>1059.4323144104803</v>
      </c>
      <c r="W12" s="108">
        <f>IF('kWh_Streetlight Data'!X172=0,"",'kWh_Streetlight Data'!X172)</f>
        <v>1062.7034632034631</v>
      </c>
      <c r="X12" s="108">
        <f>IF('kWh_Streetlight Data'!Y172=0,"",'kWh_Streetlight Data'!Y172)</f>
        <v>1245.7969762419007</v>
      </c>
      <c r="Y12" s="108">
        <f>IF('kWh_Streetlight Data'!Z172=0,"",'kWh_Streetlight Data'!Z172)</f>
        <v>1735.5031185031185</v>
      </c>
      <c r="Z12" s="108">
        <f>IF('kWh_Streetlight Data'!AA172=0,"",'kWh_Streetlight Data'!AA172)</f>
        <v>1850.7098121085594</v>
      </c>
      <c r="AA12" s="424">
        <f>IF('kWh_Streetlight Data'!AB172=0,"",'kWh_Streetlight Data'!AB172)</f>
        <v>1655.5941302791696</v>
      </c>
      <c r="AB12" s="129">
        <f>IF('kWh_Streetlight Data'!AC172=0,"",'kWh_Streetlight Data'!AC172)</f>
        <v>2708.6540880503144</v>
      </c>
      <c r="AC12" s="130">
        <f>IF('kWh_Streetlight Data'!AD172=0,"",'kWh_Streetlight Data'!AD172)</f>
        <v>2246.171189979123</v>
      </c>
      <c r="AD12" s="130">
        <f>IF('kWh_Streetlight Data'!AE172=0,"",'kWh_Streetlight Data'!AE172)</f>
        <v>1927.9978991596638</v>
      </c>
      <c r="AE12" s="130">
        <f>IF('kWh_Streetlight Data'!AF172=0,"",'kWh_Streetlight Data'!AF172)</f>
        <v>2059.8149688149688</v>
      </c>
      <c r="AF12" s="130">
        <f>IF('kWh_Streetlight Data'!AG172=0,"",'kWh_Streetlight Data'!AG172)</f>
        <v>1829.1152263374486</v>
      </c>
      <c r="AG12" s="130">
        <f>IF('kWh_Streetlight Data'!AH172=0,"",'kWh_Streetlight Data'!AH172)</f>
        <v>1371.6260162601627</v>
      </c>
      <c r="AH12" s="130">
        <f>IF('kWh_Streetlight Data'!AI172=0,"",'kWh_Streetlight Data'!AI172)</f>
        <v>1110.7102615694164</v>
      </c>
      <c r="AI12" s="130">
        <f>IF('kWh_Streetlight Data'!AJ172=0,"",'kWh_Streetlight Data'!AJ172)</f>
        <v>1094.2564102564102</v>
      </c>
      <c r="AJ12" s="130">
        <f>IF('kWh_Streetlight Data'!AK172=0,"",'kWh_Streetlight Data'!AK172)</f>
        <v>1091.6201834862386</v>
      </c>
      <c r="AK12" s="130">
        <f>IF('kWh_Streetlight Data'!AL172=0,"",'kWh_Streetlight Data'!AL172)</f>
        <v>1320.9648760330579</v>
      </c>
      <c r="AL12" s="130">
        <f>IF('kWh_Streetlight Data'!AM172=0,"",'kWh_Streetlight Data'!AM172)</f>
        <v>1664.6814671814673</v>
      </c>
      <c r="AM12" s="130">
        <f>IF('kWh_Streetlight Data'!AN172=0,"",'kWh_Streetlight Data'!AN172)</f>
        <v>1595.5469314079423</v>
      </c>
      <c r="AN12" s="426">
        <f>IF('kWh_Streetlight Data'!AO172=0,"",'kWh_Streetlight Data'!AO172)</f>
        <v>1655.6972981987992</v>
      </c>
      <c r="AO12" s="34"/>
      <c r="AP12" s="35"/>
      <c r="AQ12" s="35"/>
      <c r="AR12" s="35"/>
      <c r="AS12" s="35"/>
      <c r="AT12" s="9"/>
      <c r="AU12" s="9">
        <f t="shared" ref="AU12:AZ12" si="9">IFERROR(AVERAGE(AH12,U12,H12),0)</f>
        <v>1065.3434619791631</v>
      </c>
      <c r="AV12" s="9">
        <f t="shared" si="9"/>
        <v>1124.1282533030603</v>
      </c>
      <c r="AW12" s="9">
        <f t="shared" si="9"/>
        <v>1019.8175831781135</v>
      </c>
      <c r="AX12" s="9">
        <f t="shared" si="9"/>
        <v>1336.3204728118264</v>
      </c>
      <c r="AY12" s="9">
        <f t="shared" si="9"/>
        <v>1693.0790340319882</v>
      </c>
      <c r="AZ12" s="9">
        <f t="shared" si="9"/>
        <v>1745.9045657196286</v>
      </c>
      <c r="BA12" s="211"/>
      <c r="BB12" s="17">
        <v>2549.6597638465114</v>
      </c>
      <c r="BC12" s="17">
        <v>2302.2315104693116</v>
      </c>
      <c r="BD12" s="17">
        <v>2116.4674929070238</v>
      </c>
      <c r="BE12" s="17">
        <v>1934.631942917501</v>
      </c>
      <c r="BF12" s="17">
        <f t="shared" ref="BF12:BI12" si="10">IFERROR(AVERAGE(F12,S12,AF12),0)</f>
        <v>1680.6052191239771</v>
      </c>
      <c r="BG12" s="17">
        <f t="shared" si="10"/>
        <v>1329.3539932532983</v>
      </c>
      <c r="BH12" s="17">
        <f t="shared" si="10"/>
        <v>1065.3434619791631</v>
      </c>
      <c r="BI12" s="17">
        <f t="shared" si="10"/>
        <v>1124.1282533030605</v>
      </c>
      <c r="BJ12" s="17">
        <f t="shared" ref="BJ12" si="11">IFERROR(AVERAGE(J12,W12,AJ12),0)</f>
        <v>1019.8175831781136</v>
      </c>
      <c r="BK12" s="17">
        <f t="shared" ref="BK12" si="12">IFERROR(AVERAGE(K12,X12,AK12),0)</f>
        <v>1336.3204728118264</v>
      </c>
      <c r="BL12" s="17">
        <f t="shared" ref="BL12" si="13">IFERROR(AVERAGE(L12,Y12,AL12),0)</f>
        <v>1693.0790340319882</v>
      </c>
      <c r="BM12" s="17">
        <f t="shared" ref="BM12" si="14">IFERROR(AVERAGE(M12,Z12,AM12),0)</f>
        <v>1745.9045657196286</v>
      </c>
      <c r="BN12" s="211">
        <f>IFERROR(BN11/SUM(BB7:BM7)*12,0)</f>
        <v>19897.543259557344</v>
      </c>
      <c r="BO12" s="20">
        <f>BN12</f>
        <v>19897.543259557344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/>
      <c r="BI15" s="124"/>
      <c r="BJ15" s="124"/>
      <c r="BK15" s="124"/>
      <c r="BL15" s="124"/>
      <c r="BM15" s="124"/>
      <c r="BN15" s="210"/>
      <c r="BO15" s="125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17"/>
      <c r="BK20" s="17"/>
      <c r="BL20" s="17"/>
      <c r="BM20" s="17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Data'!C173=0,"",'kWh_Streetlight Data'!C173)</f>
        <v/>
      </c>
      <c r="C27" s="108" t="str">
        <f>IF('kWh_Streetlight Data'!D173=0,"",'kWh_Streetlight Data'!D173)</f>
        <v/>
      </c>
      <c r="D27" s="108" t="str">
        <f>IF('kWh_Streetlight Data'!E173=0,"",'kWh_Streetlight Data'!E173)</f>
        <v/>
      </c>
      <c r="E27" s="108" t="str">
        <f>IF('kWh_Streetlight Data'!F173=0,"",'kWh_Streetlight Data'!F173)</f>
        <v/>
      </c>
      <c r="F27" s="108" t="str">
        <f>IF('kWh_Streetlight Data'!G173=0,"",'kWh_Streetlight Data'!G173)</f>
        <v/>
      </c>
      <c r="G27" s="108" t="str">
        <f>IF('kWh_Streetlight Data'!H173=0,"",'kWh_Streetlight Data'!H173)</f>
        <v/>
      </c>
      <c r="H27" s="108" t="str">
        <f>IF('kWh_Streetlight Data'!I173=0,"",'kWh_Streetlight Data'!I173)</f>
        <v/>
      </c>
      <c r="I27" s="108" t="str">
        <f>IF('kWh_Streetlight Data'!J173=0,"",'kWh_Streetlight Data'!J173)</f>
        <v/>
      </c>
      <c r="J27" s="108" t="str">
        <f>IF('kWh_Streetlight Data'!K173=0,"",'kWh_Streetlight Data'!K173)</f>
        <v/>
      </c>
      <c r="K27" s="108" t="str">
        <f>IF('kWh_Streetlight Data'!L173=0,"",'kWh_Streetlight Data'!L173)</f>
        <v/>
      </c>
      <c r="L27" s="108" t="str">
        <f>IF('kWh_Streetlight Data'!M173=0,"",'kWh_Streetlight Data'!M173)</f>
        <v/>
      </c>
      <c r="M27" s="108" t="str">
        <f>IF('kWh_Streetlight Data'!N173=0,"",'kWh_Streetlight Data'!N173)</f>
        <v/>
      </c>
      <c r="N27" s="424" t="str">
        <f>IF('kWh_Streetlight Data'!O173=0,"",'kWh_Streetlight Data'!O173)</f>
        <v/>
      </c>
      <c r="O27" s="84" t="str">
        <f>IF('kWh_Streetlight Data'!P173=0,"",'kWh_Streetlight Data'!P173)</f>
        <v/>
      </c>
      <c r="P27" s="108" t="str">
        <f>IF('kWh_Streetlight Data'!Q173=0,"",'kWh_Streetlight Data'!Q173)</f>
        <v/>
      </c>
      <c r="Q27" s="108" t="str">
        <f>IF('kWh_Streetlight Data'!R173=0,"",'kWh_Streetlight Data'!R173)</f>
        <v/>
      </c>
      <c r="R27" s="108" t="str">
        <f>IF('kWh_Streetlight Data'!S173=0,"",'kWh_Streetlight Data'!S173)</f>
        <v/>
      </c>
      <c r="S27" s="108" t="str">
        <f>IF('kWh_Streetlight Data'!T173=0,"",'kWh_Streetlight Data'!T173)</f>
        <v/>
      </c>
      <c r="T27" s="108" t="str">
        <f>IF('kWh_Streetlight Data'!U173=0,"",'kWh_Streetlight Data'!U173)</f>
        <v/>
      </c>
      <c r="U27" s="108" t="str">
        <f>IF('kWh_Streetlight Data'!V173=0,"",'kWh_Streetlight Data'!V173)</f>
        <v/>
      </c>
      <c r="V27" s="108" t="str">
        <f>IF('kWh_Streetlight Data'!W173=0,"",'kWh_Streetlight Data'!W173)</f>
        <v/>
      </c>
      <c r="W27" s="108" t="str">
        <f>IF('kWh_Streetlight Data'!X173=0,"",'kWh_Streetlight Data'!X173)</f>
        <v/>
      </c>
      <c r="X27" s="108" t="str">
        <f>IF('kWh_Streetlight Data'!Y173=0,"",'kWh_Streetlight Data'!Y173)</f>
        <v/>
      </c>
      <c r="Y27" s="108" t="str">
        <f>IF('kWh_Streetlight Data'!Z173=0,"",'kWh_Streetlight Data'!Z173)</f>
        <v/>
      </c>
      <c r="Z27" s="108" t="str">
        <f>IF('kWh_Streetlight Data'!AA173=0,"",'kWh_Streetlight Data'!AA173)</f>
        <v/>
      </c>
      <c r="AA27" s="424" t="str">
        <f>IF('kWh_Streetlight Data'!AB173=0,"",'kWh_Streetlight Data'!AB173)</f>
        <v/>
      </c>
      <c r="AB27" s="129" t="str">
        <f>IF('kWh_Streetlight Data'!AC173=0,"",'kWh_Streetlight Data'!AC173)</f>
        <v/>
      </c>
      <c r="AC27" s="130" t="str">
        <f>IF('kWh_Streetlight Data'!AD173=0,"",'kWh_Streetlight Data'!AD173)</f>
        <v/>
      </c>
      <c r="AD27" s="130" t="str">
        <f>IF('kWh_Streetlight Data'!AE173=0,"",'kWh_Streetlight Data'!AE173)</f>
        <v/>
      </c>
      <c r="AE27" s="130" t="str">
        <f>IF('kWh_Streetlight Data'!AF173=0,"",'kWh_Streetlight Data'!AF173)</f>
        <v/>
      </c>
      <c r="AF27" s="130" t="str">
        <f>IF('kWh_Streetlight Data'!AG173=0,"",'kWh_Streetlight Data'!AG173)</f>
        <v/>
      </c>
      <c r="AG27" s="130" t="str">
        <f>IF('kWh_Streetlight Data'!AH173=0,"",'kWh_Streetlight Data'!AH173)</f>
        <v/>
      </c>
      <c r="AH27" s="108" t="str">
        <f>IF('kWh_Streetlight Data'!AI173=0,"",'kWh_Streetlight Data'!AI173)</f>
        <v/>
      </c>
      <c r="AI27" s="108" t="str">
        <f>IF('kWh_Streetlight Data'!AJ173=0,"",'kWh_Streetlight Data'!AJ173)</f>
        <v/>
      </c>
      <c r="AJ27" s="108" t="str">
        <f>IF('kWh_Streetlight Data'!AK173=0,"",'kWh_Streetlight Data'!AK173)</f>
        <v/>
      </c>
      <c r="AK27" s="108" t="str">
        <f>IF('kWh_Streetlight Data'!AL173=0,"",'kWh_Streetlight Data'!AL173)</f>
        <v/>
      </c>
      <c r="AL27" s="108" t="str">
        <f>IF('kWh_Streetlight Data'!AM173=0,"",'kWh_Streetlight Data'!AM173)</f>
        <v/>
      </c>
      <c r="AM27" s="108" t="str">
        <f>IF('kWh_Streetlight Data'!AN173=0,"",'kWh_Streetlight Data'!AN173)</f>
        <v/>
      </c>
      <c r="AN27" s="426" t="str">
        <f>IF('kWh_Streetlight Data'!AO173=0,"",'kWh_Streetlight Data'!AO173)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Customers!E177</f>
        <v>33</v>
      </c>
      <c r="AV29" s="109">
        <f>Customers!F177</f>
        <v>33</v>
      </c>
      <c r="AW29" s="109">
        <f>Customers!G177</f>
        <v>33</v>
      </c>
      <c r="AX29" s="109">
        <f>Customers!H177</f>
        <v>33</v>
      </c>
      <c r="AY29" s="109">
        <f>Customers!I177</f>
        <v>33</v>
      </c>
      <c r="AZ29" s="109">
        <f>Customers!J177</f>
        <v>33</v>
      </c>
      <c r="BA29" s="210">
        <f>AZ29</f>
        <v>33</v>
      </c>
      <c r="BB29" s="124">
        <v>33</v>
      </c>
      <c r="BC29" s="38">
        <v>33</v>
      </c>
      <c r="BD29" s="38">
        <v>33</v>
      </c>
      <c r="BE29" s="38">
        <v>33</v>
      </c>
      <c r="BF29" s="38">
        <f t="shared" ref="BF29:BI29" si="15">BE29</f>
        <v>33</v>
      </c>
      <c r="BG29" s="38">
        <f t="shared" si="15"/>
        <v>33</v>
      </c>
      <c r="BH29" s="38">
        <f t="shared" si="15"/>
        <v>33</v>
      </c>
      <c r="BI29" s="38">
        <f t="shared" si="15"/>
        <v>33</v>
      </c>
      <c r="BJ29" s="38">
        <f t="shared" ref="BJ29" si="16">BI29</f>
        <v>33</v>
      </c>
      <c r="BK29" s="38">
        <f t="shared" ref="BK29" si="17">BJ29</f>
        <v>33</v>
      </c>
      <c r="BL29" s="38">
        <f t="shared" ref="BL29" si="18">BK29</f>
        <v>33</v>
      </c>
      <c r="BM29" s="38">
        <f t="shared" ref="BM29" si="19">BL29</f>
        <v>33</v>
      </c>
      <c r="BN29" s="210">
        <f>IFERROR(ROUND(AVERAGE(BB29:BM29),0),0)</f>
        <v>33</v>
      </c>
      <c r="BO29" s="146">
        <f>Customers!L177</f>
        <v>33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8">
        <f>ROUND(AU$33*'kWh Blocks by Rate Category'!C29,0)</f>
        <v>68106</v>
      </c>
      <c r="AV30" s="38">
        <f>ROUND(AV$33*'kWh Blocks by Rate Category'!D29,0)</f>
        <v>80620</v>
      </c>
      <c r="AW30" s="38">
        <f>ROUND(AW$33*'kWh Blocks by Rate Category'!E29,0)</f>
        <v>60863</v>
      </c>
      <c r="AX30" s="38">
        <f>ROUND(AX$33*'kWh Blocks by Rate Category'!F29,0)</f>
        <v>75347</v>
      </c>
      <c r="AY30" s="38">
        <f>ROUND(AY$33*'kWh Blocks by Rate Category'!G29,0)</f>
        <v>92798</v>
      </c>
      <c r="AZ30" s="38">
        <f>ROUND(AZ$33*'kWh Blocks by Rate Category'!H29,0)</f>
        <v>92646</v>
      </c>
      <c r="BA30" s="210">
        <f>SUM(AO30:AZ30)</f>
        <v>470380</v>
      </c>
      <c r="BB30" s="38">
        <v>134332</v>
      </c>
      <c r="BC30" s="38">
        <v>125471</v>
      </c>
      <c r="BD30" s="38">
        <v>112302</v>
      </c>
      <c r="BE30" s="38">
        <v>99246</v>
      </c>
      <c r="BF30" s="38">
        <f>ROUND(BF$33*'kWh Blocks by Rate Category'!N29,0)</f>
        <v>80195</v>
      </c>
      <c r="BG30" s="38">
        <f>ROUND(BG$33*'kWh Blocks by Rate Category'!O29,0)</f>
        <v>77637</v>
      </c>
      <c r="BH30" s="38">
        <f>ROUND(BH$33*'kWh Blocks by Rate Category'!P29,0)</f>
        <v>68106</v>
      </c>
      <c r="BI30" s="38">
        <f>ROUND(BI$33*'kWh Blocks by Rate Category'!Q29,0)</f>
        <v>80620</v>
      </c>
      <c r="BJ30" s="38">
        <f>ROUND(BJ$33*'kWh Blocks by Rate Category'!R29,0)</f>
        <v>60863</v>
      </c>
      <c r="BK30" s="38">
        <f>ROUND(BK$33*'kWh Blocks by Rate Category'!S29,0)</f>
        <v>75347</v>
      </c>
      <c r="BL30" s="38">
        <f>ROUND(BL$33*'kWh Blocks by Rate Category'!T29,0)</f>
        <v>92798</v>
      </c>
      <c r="BM30" s="38">
        <f>ROUND(BM$33*'kWh Blocks by Rate Category'!U29,0)</f>
        <v>92646</v>
      </c>
      <c r="BN30" s="210">
        <f>SUM(BB30:BM30)</f>
        <v>1099563</v>
      </c>
      <c r="BO30" s="38">
        <f>ROUND(BO$33*'kWh Blocks by Rate Category'!W29,0)</f>
        <v>1099562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8">
        <f>ROUND(AU$33*'kWh Blocks by Rate Category'!C30,0)</f>
        <v>6485</v>
      </c>
      <c r="AV31" s="38">
        <f>ROUND(AV$33*'kWh Blocks by Rate Category'!D30,0)</f>
        <v>7676</v>
      </c>
      <c r="AW31" s="38">
        <f>ROUND(AW$33*'kWh Blocks by Rate Category'!E30,0)</f>
        <v>5795</v>
      </c>
      <c r="AX31" s="38">
        <f>ROUND(AX$33*'kWh Blocks by Rate Category'!F30,0)</f>
        <v>7175</v>
      </c>
      <c r="AY31" s="38">
        <f>ROUND(AY$33*'kWh Blocks by Rate Category'!G30,0)</f>
        <v>8836</v>
      </c>
      <c r="AZ31" s="38">
        <f>ROUND(AZ$33*'kWh Blocks by Rate Category'!H30,0)</f>
        <v>8822</v>
      </c>
      <c r="BA31" s="210">
        <f>SUM(AO31:AZ31)</f>
        <v>44789</v>
      </c>
      <c r="BB31" s="38">
        <v>12791</v>
      </c>
      <c r="BC31" s="38">
        <v>11947</v>
      </c>
      <c r="BD31" s="38">
        <v>10693</v>
      </c>
      <c r="BE31" s="38">
        <v>9450</v>
      </c>
      <c r="BF31" s="38">
        <f>ROUND(BF$33*'kWh Blocks by Rate Category'!N30,0)</f>
        <v>7636</v>
      </c>
      <c r="BG31" s="38">
        <f>ROUND(BG$33*'kWh Blocks by Rate Category'!O30,0)</f>
        <v>7392</v>
      </c>
      <c r="BH31" s="38">
        <f>ROUND(BH$33*'kWh Blocks by Rate Category'!P30,0)</f>
        <v>6485</v>
      </c>
      <c r="BI31" s="38">
        <f>ROUND(BI$33*'kWh Blocks by Rate Category'!Q30,0)</f>
        <v>7676</v>
      </c>
      <c r="BJ31" s="38">
        <f>ROUND(BJ$33*'kWh Blocks by Rate Category'!R30,0)</f>
        <v>5795</v>
      </c>
      <c r="BK31" s="38">
        <f>ROUND(BK$33*'kWh Blocks by Rate Category'!S30,0)</f>
        <v>7175</v>
      </c>
      <c r="BL31" s="38">
        <f>ROUND(BL$33*'kWh Blocks by Rate Category'!T30,0)</f>
        <v>8836</v>
      </c>
      <c r="BM31" s="38">
        <f>ROUND(BM$33*'kWh Blocks by Rate Category'!U30,0)</f>
        <v>8822</v>
      </c>
      <c r="BN31" s="210">
        <f>SUM(BB31:BM31)</f>
        <v>104698</v>
      </c>
      <c r="BO31" s="38">
        <f>ROUND(BO$33*'kWh Blocks by Rate Category'!W30,0)</f>
        <v>104699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20">IFERROR(ROUND(AU34*AU29,0),0)</f>
        <v>74591</v>
      </c>
      <c r="AV33" s="64">
        <f t="shared" si="20"/>
        <v>88296</v>
      </c>
      <c r="AW33" s="64">
        <f t="shared" si="20"/>
        <v>66658</v>
      </c>
      <c r="AX33" s="64">
        <f t="shared" si="20"/>
        <v>82522</v>
      </c>
      <c r="AY33" s="64">
        <f t="shared" si="20"/>
        <v>101634</v>
      </c>
      <c r="AZ33" s="64">
        <f t="shared" si="20"/>
        <v>101468</v>
      </c>
      <c r="BA33" s="196">
        <f>SUM(AO33:AZ33)</f>
        <v>515169</v>
      </c>
      <c r="BB33" s="64">
        <v>147123</v>
      </c>
      <c r="BC33" s="64">
        <v>137418</v>
      </c>
      <c r="BD33" s="64">
        <v>122995</v>
      </c>
      <c r="BE33" s="64">
        <v>108696</v>
      </c>
      <c r="BF33" s="64">
        <f t="shared" ref="BF33:BI33" si="21">IFERROR(ROUND(BF34*BF29,0),0)</f>
        <v>87831</v>
      </c>
      <c r="BG33" s="64">
        <f t="shared" si="21"/>
        <v>85029</v>
      </c>
      <c r="BH33" s="64">
        <f t="shared" si="21"/>
        <v>74591</v>
      </c>
      <c r="BI33" s="64">
        <f t="shared" si="21"/>
        <v>88296</v>
      </c>
      <c r="BJ33" s="64">
        <f t="shared" ref="BJ33:BM33" si="22">IFERROR(ROUND(BJ34*BJ29,0),0)</f>
        <v>66658</v>
      </c>
      <c r="BK33" s="64">
        <f t="shared" si="22"/>
        <v>82522</v>
      </c>
      <c r="BL33" s="64">
        <f t="shared" si="22"/>
        <v>101634</v>
      </c>
      <c r="BM33" s="64">
        <f t="shared" si="22"/>
        <v>101468</v>
      </c>
      <c r="BN33" s="196">
        <f>SUM(BB33:BM33)</f>
        <v>1204261</v>
      </c>
      <c r="BO33" s="64">
        <f t="shared" ref="BO33" si="23">IFERROR(ROUND(BO34*BO29,0),0)</f>
        <v>1204261</v>
      </c>
    </row>
    <row r="34" spans="1:67" ht="15.75" customHeight="1" thickTop="1">
      <c r="A34" s="374" t="s">
        <v>54</v>
      </c>
      <c r="B34" s="84">
        <f>IF('kWh_Streetlight Data'!C174=0,"",'kWh_Streetlight Data'!C174)</f>
        <v>4048.1666666666665</v>
      </c>
      <c r="C34" s="108">
        <f>IF('kWh_Streetlight Data'!D174=0,"",'kWh_Streetlight Data'!D174)</f>
        <v>3921.3666666666668</v>
      </c>
      <c r="D34" s="108">
        <f>IF('kWh_Streetlight Data'!E174=0,"",'kWh_Streetlight Data'!E174)</f>
        <v>3791.6451612903224</v>
      </c>
      <c r="E34" s="108">
        <f>IF('kWh_Streetlight Data'!F174=0,"",'kWh_Streetlight Data'!F174)</f>
        <v>3498.3548387096776</v>
      </c>
      <c r="F34" s="108">
        <f>IF('kWh_Streetlight Data'!G174=0,"",'kWh_Streetlight Data'!G174)</f>
        <v>2511.9375</v>
      </c>
      <c r="G34" s="108">
        <f>IF('kWh_Streetlight Data'!H174=0,"",'kWh_Streetlight Data'!H174)</f>
        <v>2384.78125</v>
      </c>
      <c r="H34" s="108">
        <f>IF('kWh_Streetlight Data'!I174=0,"",'kWh_Streetlight Data'!I174)</f>
        <v>2274.84375</v>
      </c>
      <c r="I34" s="108">
        <f>IF('kWh_Streetlight Data'!J174=0,"",'kWh_Streetlight Data'!J174)</f>
        <v>2649.75</v>
      </c>
      <c r="J34" s="108">
        <f>IF('kWh_Streetlight Data'!K174=0,"",'kWh_Streetlight Data'!K174)</f>
        <v>1433.5277777777778</v>
      </c>
      <c r="K34" s="108">
        <f>IF('kWh_Streetlight Data'!L174=0,"",'kWh_Streetlight Data'!L174)</f>
        <v>2428.6129032258063</v>
      </c>
      <c r="L34" s="108">
        <f>IF('kWh_Streetlight Data'!M174=0,"",'kWh_Streetlight Data'!M174)</f>
        <v>2872.2666666666669</v>
      </c>
      <c r="M34" s="108">
        <f>IF('kWh_Streetlight Data'!N174=0,"",'kWh_Streetlight Data'!N174)</f>
        <v>3314.2</v>
      </c>
      <c r="N34" s="424">
        <f>IF('kWh_Streetlight Data'!O174=0,"",'kWh_Streetlight Data'!O174)</f>
        <v>2896.1432360742706</v>
      </c>
      <c r="O34" s="84">
        <f>IF('kWh_Streetlight Data'!P174=0,"",'kWh_Streetlight Data'!P174)</f>
        <v>4479.2413793103451</v>
      </c>
      <c r="P34" s="108">
        <f>IF('kWh_Streetlight Data'!Q174=0,"",'kWh_Streetlight Data'!Q174)</f>
        <v>4590.4333333333334</v>
      </c>
      <c r="Q34" s="108">
        <f>IF('kWh_Streetlight Data'!R174=0,"",'kWh_Streetlight Data'!R174)</f>
        <v>4278.2333333333336</v>
      </c>
      <c r="R34" s="108">
        <f>IF('kWh_Streetlight Data'!S174=0,"",'kWh_Streetlight Data'!S174)</f>
        <v>3060.9666666666667</v>
      </c>
      <c r="S34" s="108">
        <f>IF('kWh_Streetlight Data'!T174=0,"",'kWh_Streetlight Data'!T174)</f>
        <v>2652.34375</v>
      </c>
      <c r="T34" s="108">
        <f>IF('kWh_Streetlight Data'!U174=0,"",'kWh_Streetlight Data'!U174)</f>
        <v>2735</v>
      </c>
      <c r="U34" s="108">
        <f>IF('kWh_Streetlight Data'!V174=0,"",'kWh_Streetlight Data'!V174)</f>
        <v>2307.9</v>
      </c>
      <c r="V34" s="108">
        <f>IF('kWh_Streetlight Data'!W174=0,"",'kWh_Streetlight Data'!W174)</f>
        <v>2491.6</v>
      </c>
      <c r="W34" s="108">
        <f>IF('kWh_Streetlight Data'!X174=0,"",'kWh_Streetlight Data'!X174)</f>
        <v>2300.5</v>
      </c>
      <c r="X34" s="108">
        <f>IF('kWh_Streetlight Data'!Y174=0,"",'kWh_Streetlight Data'!Y174)</f>
        <v>2446.0666666666666</v>
      </c>
      <c r="Y34" s="108">
        <f>IF('kWh_Streetlight Data'!Z174=0,"",'kWh_Streetlight Data'!Z174)</f>
        <v>3200.4</v>
      </c>
      <c r="Z34" s="108">
        <f>IF('kWh_Streetlight Data'!AA174=0,"",'kWh_Streetlight Data'!AA174)</f>
        <v>3452.0645161290322</v>
      </c>
      <c r="AA34" s="424">
        <f>IF('kWh_Streetlight Data'!AB174=0,"",'kWh_Streetlight Data'!AB174)</f>
        <v>3160.5524861878453</v>
      </c>
      <c r="AB34" s="129">
        <f>IF('kWh_Streetlight Data'!AC174=0,"",'kWh_Streetlight Data'!AC174)</f>
        <v>4847.4516129032254</v>
      </c>
      <c r="AC34" s="130">
        <f>IF('kWh_Streetlight Data'!AD174=0,"",'kWh_Streetlight Data'!AD174)</f>
        <v>3980.75</v>
      </c>
      <c r="AD34" s="130">
        <f>IF('kWh_Streetlight Data'!AE174=0,"",'kWh_Streetlight Data'!AE174)</f>
        <v>3111.46875</v>
      </c>
      <c r="AE34" s="130">
        <f>IF('kWh_Streetlight Data'!AF174=0,"",'kWh_Streetlight Data'!AF174)</f>
        <v>3322.1724137931033</v>
      </c>
      <c r="AF34" s="130">
        <f>IF('kWh_Streetlight Data'!AG174=0,"",'kWh_Streetlight Data'!AG174)</f>
        <v>2820.3333333333335</v>
      </c>
      <c r="AG34" s="130">
        <f>IF('kWh_Streetlight Data'!AH174=0,"",'kWh_Streetlight Data'!AH174)</f>
        <v>2610.1333333333332</v>
      </c>
      <c r="AH34" s="130">
        <f>IF('kWh_Streetlight Data'!AI174=0,"",'kWh_Streetlight Data'!AI174)</f>
        <v>2198.242424242424</v>
      </c>
      <c r="AI34" s="130">
        <f>IF('kWh_Streetlight Data'!AJ174=0,"",'kWh_Streetlight Data'!AJ174)</f>
        <v>2885.56</v>
      </c>
      <c r="AJ34" s="130">
        <f>IF('kWh_Streetlight Data'!AK174=0,"",'kWh_Streetlight Data'!AK174)</f>
        <v>2325.8235294117649</v>
      </c>
      <c r="AK34" s="130">
        <f>IF('kWh_Streetlight Data'!AL174=0,"",'kWh_Streetlight Data'!AL174)</f>
        <v>2627.3548387096776</v>
      </c>
      <c r="AL34" s="130">
        <f>IF('kWh_Streetlight Data'!AM174=0,"",'kWh_Streetlight Data'!AM174)</f>
        <v>3166.7666666666669</v>
      </c>
      <c r="AM34" s="130">
        <f>IF('kWh_Streetlight Data'!AN174=0,"",'kWh_Streetlight Data'!AN174)</f>
        <v>2458.0882352941176</v>
      </c>
      <c r="AN34" s="426">
        <f>IF('kWh_Streetlight Data'!AO174=0,"",'kWh_Streetlight Data'!AO174)</f>
        <v>3019.579514824798</v>
      </c>
      <c r="AO34" s="43"/>
      <c r="AP34" s="40"/>
      <c r="AQ34" s="40"/>
      <c r="AR34" s="40"/>
      <c r="AS34" s="40"/>
      <c r="AT34" s="17"/>
      <c r="AU34" s="9">
        <f t="shared" ref="AU34:AZ34" si="24">IFERROR(AVERAGE(AH34,U34,H34),0)</f>
        <v>2260.3287247474746</v>
      </c>
      <c r="AV34" s="9">
        <f t="shared" si="24"/>
        <v>2675.6366666666668</v>
      </c>
      <c r="AW34" s="9">
        <f t="shared" si="24"/>
        <v>2019.9504357298476</v>
      </c>
      <c r="AX34" s="9">
        <f t="shared" si="24"/>
        <v>2500.6781362007168</v>
      </c>
      <c r="AY34" s="9">
        <f t="shared" si="24"/>
        <v>3079.8111111111116</v>
      </c>
      <c r="AZ34" s="9">
        <f t="shared" si="24"/>
        <v>3074.7842504743835</v>
      </c>
      <c r="BA34" s="211"/>
      <c r="BB34" s="9">
        <v>4458.2865529600795</v>
      </c>
      <c r="BC34" s="17">
        <v>4164.1833333333334</v>
      </c>
      <c r="BD34" s="17">
        <v>3727.1157482078852</v>
      </c>
      <c r="BE34" s="17">
        <v>3293.8313063898154</v>
      </c>
      <c r="BF34" s="17">
        <f t="shared" ref="BF34:BI34" si="25">IFERROR(AVERAGE(F34,S34,AF34),0)</f>
        <v>2661.5381944444448</v>
      </c>
      <c r="BG34" s="17">
        <f t="shared" si="25"/>
        <v>2576.6381944444443</v>
      </c>
      <c r="BH34" s="17">
        <f t="shared" si="25"/>
        <v>2260.3287247474746</v>
      </c>
      <c r="BI34" s="17">
        <f t="shared" si="25"/>
        <v>2675.6366666666668</v>
      </c>
      <c r="BJ34" s="17">
        <f t="shared" ref="BJ34" si="26">IFERROR(AVERAGE(J34,W34,AJ34),0)</f>
        <v>2019.9504357298476</v>
      </c>
      <c r="BK34" s="17">
        <f t="shared" ref="BK34" si="27">IFERROR(AVERAGE(K34,X34,AK34),0)</f>
        <v>2500.6781362007168</v>
      </c>
      <c r="BL34" s="17">
        <f t="shared" ref="BL34" si="28">IFERROR(AVERAGE(L34,Y34,AL34),0)</f>
        <v>3079.8111111111116</v>
      </c>
      <c r="BM34" s="17">
        <f t="shared" ref="BM34" si="29">IFERROR(AVERAGE(M34,Z34,AM34),0)</f>
        <v>3074.7842504743835</v>
      </c>
      <c r="BN34" s="211">
        <f>IFERROR(BN33/SUM(BB29:BM29)*12,0)</f>
        <v>36492.757575757576</v>
      </c>
      <c r="BO34" s="20">
        <f>BN34</f>
        <v>36492.757575757576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338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210"/>
      <c r="BO36" s="146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38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38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38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333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17"/>
      <c r="BK41" s="17"/>
      <c r="BL41" s="17"/>
      <c r="BM41" s="17"/>
      <c r="BN41" s="211"/>
      <c r="BO41" s="273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9"/>
      <c r="AU43" s="109">
        <f>Customers!E178</f>
        <v>4</v>
      </c>
      <c r="AV43" s="109">
        <f>Customers!F178</f>
        <v>4</v>
      </c>
      <c r="AW43" s="109">
        <f>Customers!G178</f>
        <v>4</v>
      </c>
      <c r="AX43" s="109">
        <f>Customers!H178</f>
        <v>4</v>
      </c>
      <c r="AY43" s="109">
        <f>Customers!I178</f>
        <v>4</v>
      </c>
      <c r="AZ43" s="109">
        <f>Customers!J178</f>
        <v>4</v>
      </c>
      <c r="BA43" s="210">
        <f>AZ43</f>
        <v>4</v>
      </c>
      <c r="BB43" s="124">
        <v>4</v>
      </c>
      <c r="BC43" s="38">
        <v>4</v>
      </c>
      <c r="BD43" s="38">
        <v>4</v>
      </c>
      <c r="BE43" s="38">
        <v>4</v>
      </c>
      <c r="BF43" s="38">
        <f t="shared" ref="BF43:BI43" si="30">BE43</f>
        <v>4</v>
      </c>
      <c r="BG43" s="38">
        <f t="shared" si="30"/>
        <v>4</v>
      </c>
      <c r="BH43" s="38">
        <f t="shared" si="30"/>
        <v>4</v>
      </c>
      <c r="BI43" s="38">
        <f t="shared" si="30"/>
        <v>4</v>
      </c>
      <c r="BJ43" s="38">
        <f t="shared" ref="BJ43" si="31">BI43</f>
        <v>4</v>
      </c>
      <c r="BK43" s="38">
        <f t="shared" ref="BK43" si="32">BJ43</f>
        <v>4</v>
      </c>
      <c r="BL43" s="38">
        <f t="shared" ref="BL43" si="33">BK43</f>
        <v>4</v>
      </c>
      <c r="BM43" s="38">
        <f t="shared" ref="BM43" si="34">BL43</f>
        <v>4</v>
      </c>
      <c r="BN43" s="210">
        <f>IFERROR(ROUND(AVERAGE(BB43:BM43),0),0)</f>
        <v>4</v>
      </c>
      <c r="BO43" s="146">
        <f>Customers!L178</f>
        <v>4</v>
      </c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8">
        <f>AU47</f>
        <v>55973</v>
      </c>
      <c r="AV44" s="38">
        <f t="shared" ref="AV44:AZ44" si="35">AV47</f>
        <v>69470</v>
      </c>
      <c r="AW44" s="38">
        <f t="shared" si="35"/>
        <v>75117</v>
      </c>
      <c r="AX44" s="38">
        <f t="shared" si="35"/>
        <v>53507</v>
      </c>
      <c r="AY44" s="38">
        <f t="shared" si="35"/>
        <v>71510</v>
      </c>
      <c r="AZ44" s="38">
        <f t="shared" si="35"/>
        <v>73983</v>
      </c>
      <c r="BA44" s="210">
        <f>SUM(AO44:AZ44)</f>
        <v>399560</v>
      </c>
      <c r="BB44" s="38">
        <v>74773</v>
      </c>
      <c r="BC44" s="38">
        <v>99444</v>
      </c>
      <c r="BD44" s="38">
        <v>84558</v>
      </c>
      <c r="BE44" s="38">
        <v>65770</v>
      </c>
      <c r="BF44" s="38">
        <f>ROUND(BF$47*'kWh Blocks by Rate Category'!N43,0)</f>
        <v>52255</v>
      </c>
      <c r="BG44" s="38">
        <f>ROUND(BG$47*'kWh Blocks by Rate Category'!O43,0)</f>
        <v>63570</v>
      </c>
      <c r="BH44" s="38">
        <f>ROUND(BH$47*'kWh Blocks by Rate Category'!P43,0)</f>
        <v>49984</v>
      </c>
      <c r="BI44" s="38">
        <f>ROUND(BI$47*'kWh Blocks by Rate Category'!Q43,0)</f>
        <v>62036</v>
      </c>
      <c r="BJ44" s="38">
        <f>ROUND(BJ$47*'kWh Blocks by Rate Category'!R43,0)</f>
        <v>67079</v>
      </c>
      <c r="BK44" s="38">
        <f>ROUND(BK$47*'kWh Blocks by Rate Category'!S43,0)</f>
        <v>47781</v>
      </c>
      <c r="BL44" s="38">
        <f>ROUND(BL$47*'kWh Blocks by Rate Category'!T43,0)</f>
        <v>63858</v>
      </c>
      <c r="BM44" s="38">
        <f>ROUND(BM$47*'kWh Blocks by Rate Category'!U43,0)</f>
        <v>66066</v>
      </c>
      <c r="BN44" s="210">
        <f>SUM(BB44:BM44)</f>
        <v>797174</v>
      </c>
      <c r="BO44" s="38">
        <f>ROUND(BO$47*'kWh Blocks by Rate Category'!W43,0)</f>
        <v>797173</v>
      </c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6362</v>
      </c>
      <c r="BC45" s="38">
        <v>8461</v>
      </c>
      <c r="BD45" s="38">
        <v>7195</v>
      </c>
      <c r="BE45" s="38">
        <v>5596</v>
      </c>
      <c r="BF45" s="38">
        <f>ROUND(BF$47*'kWh Blocks by Rate Category'!N44,0)</f>
        <v>4446</v>
      </c>
      <c r="BG45" s="38">
        <f>ROUND(BG$47*'kWh Blocks by Rate Category'!O44,0)</f>
        <v>5409</v>
      </c>
      <c r="BH45" s="38">
        <f>ROUND(BH$47*'kWh Blocks by Rate Category'!P44,0)</f>
        <v>4253</v>
      </c>
      <c r="BI45" s="38">
        <f>ROUND(BI$47*'kWh Blocks by Rate Category'!Q44,0)</f>
        <v>5278</v>
      </c>
      <c r="BJ45" s="38">
        <f>ROUND(BJ$47*'kWh Blocks by Rate Category'!R44,0)</f>
        <v>5708</v>
      </c>
      <c r="BK45" s="38">
        <f>ROUND(BK$47*'kWh Blocks by Rate Category'!S44,0)</f>
        <v>4066</v>
      </c>
      <c r="BL45" s="38">
        <f>ROUND(BL$47*'kWh Blocks by Rate Category'!T44,0)</f>
        <v>5433</v>
      </c>
      <c r="BM45" s="38">
        <f>ROUND(BM$47*'kWh Blocks by Rate Category'!U44,0)</f>
        <v>5621</v>
      </c>
      <c r="BN45" s="210">
        <f>SUM(BB45:BM45)</f>
        <v>67828</v>
      </c>
      <c r="BO45" s="38">
        <f>ROUND(BO$47*'kWh Blocks by Rate Category'!W44,0)</f>
        <v>67829</v>
      </c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2598</v>
      </c>
      <c r="BC46" s="38">
        <v>3455</v>
      </c>
      <c r="BD46" s="38">
        <v>2938</v>
      </c>
      <c r="BE46" s="38">
        <v>2285</v>
      </c>
      <c r="BF46" s="38">
        <f>ROUND(BF$47*'kWh Blocks by Rate Category'!N45,0)</f>
        <v>1815</v>
      </c>
      <c r="BG46" s="38">
        <f>ROUND(BG$47*'kWh Blocks by Rate Category'!O45,0)</f>
        <v>2209</v>
      </c>
      <c r="BH46" s="38">
        <f>ROUND(BH$47*'kWh Blocks by Rate Category'!P45,0)</f>
        <v>1737</v>
      </c>
      <c r="BI46" s="38">
        <f>ROUND(BI$47*'kWh Blocks by Rate Category'!Q45,0)</f>
        <v>2155</v>
      </c>
      <c r="BJ46" s="38">
        <f>ROUND(BJ$47*'kWh Blocks by Rate Category'!R45,0)</f>
        <v>2330</v>
      </c>
      <c r="BK46" s="38">
        <f>ROUND(BK$47*'kWh Blocks by Rate Category'!S45,0)</f>
        <v>1660</v>
      </c>
      <c r="BL46" s="38">
        <f>ROUND(BL$47*'kWh Blocks by Rate Category'!T45,0)</f>
        <v>2219</v>
      </c>
      <c r="BM46" s="38">
        <f>ROUND(BM$47*'kWh Blocks by Rate Category'!U45,0)</f>
        <v>2295</v>
      </c>
      <c r="BN46" s="210">
        <f>SUM(BB46:BM46)</f>
        <v>27696</v>
      </c>
      <c r="BO46" s="38">
        <f>ROUND(BO$47*'kWh Blocks by Rate Category'!W45,0)</f>
        <v>27696</v>
      </c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36">IFERROR(ROUND(AU48*AU43,0),0)</f>
        <v>55973</v>
      </c>
      <c r="AV47" s="64">
        <f t="shared" si="36"/>
        <v>69470</v>
      </c>
      <c r="AW47" s="64">
        <f t="shared" si="36"/>
        <v>75117</v>
      </c>
      <c r="AX47" s="64">
        <f t="shared" si="36"/>
        <v>53507</v>
      </c>
      <c r="AY47" s="64">
        <f t="shared" si="36"/>
        <v>71510</v>
      </c>
      <c r="AZ47" s="64">
        <f t="shared" si="36"/>
        <v>73983</v>
      </c>
      <c r="BA47" s="196">
        <f>SUM(AO47:AZ47)</f>
        <v>399560</v>
      </c>
      <c r="BB47" s="64">
        <v>83733</v>
      </c>
      <c r="BC47" s="64">
        <v>111360</v>
      </c>
      <c r="BD47" s="64">
        <v>94690</v>
      </c>
      <c r="BE47" s="64">
        <v>73651</v>
      </c>
      <c r="BF47" s="64">
        <f t="shared" ref="BF47:BI47" si="37">IFERROR(ROUND(BF48*BF43,0),0)</f>
        <v>58517</v>
      </c>
      <c r="BG47" s="64">
        <f t="shared" si="37"/>
        <v>71187</v>
      </c>
      <c r="BH47" s="64">
        <f t="shared" si="37"/>
        <v>55973</v>
      </c>
      <c r="BI47" s="64">
        <f t="shared" si="37"/>
        <v>69470</v>
      </c>
      <c r="BJ47" s="64">
        <f t="shared" ref="BJ47:BM47" si="38">IFERROR(ROUND(BJ48*BJ43,0),0)</f>
        <v>75117</v>
      </c>
      <c r="BK47" s="64">
        <f t="shared" si="38"/>
        <v>53507</v>
      </c>
      <c r="BL47" s="64">
        <f t="shared" si="38"/>
        <v>71510</v>
      </c>
      <c r="BM47" s="64">
        <f t="shared" si="38"/>
        <v>73983</v>
      </c>
      <c r="BN47" s="196">
        <f>SUM(BB47:BM47)</f>
        <v>892698</v>
      </c>
      <c r="BO47" s="64">
        <f t="shared" ref="BO47" si="39">IFERROR(ROUND(BO48*BO43,0),0)</f>
        <v>892698</v>
      </c>
    </row>
    <row r="48" spans="1:67" ht="15.75" customHeight="1" thickTop="1">
      <c r="A48" s="374" t="s">
        <v>54</v>
      </c>
      <c r="B48" s="129">
        <f>IF('kWh_Streetlight Data'!C175=0,"",'kWh_Streetlight Data'!C175)</f>
        <v>20282.5</v>
      </c>
      <c r="C48" s="130">
        <f>IF('kWh_Streetlight Data'!D175=0,"",'kWh_Streetlight Data'!D175)</f>
        <v>19415</v>
      </c>
      <c r="D48" s="130">
        <f>IF('kWh_Streetlight Data'!E175=0,"",'kWh_Streetlight Data'!E175)</f>
        <v>21780</v>
      </c>
      <c r="E48" s="130">
        <f>IF('kWh_Streetlight Data'!F175=0,"",'kWh_Streetlight Data'!F175)</f>
        <v>12963.333333333334</v>
      </c>
      <c r="F48" s="130">
        <f>IF('kWh_Streetlight Data'!G175=0,"",'kWh_Streetlight Data'!G175)</f>
        <v>18286</v>
      </c>
      <c r="G48" s="130">
        <f>IF('kWh_Streetlight Data'!H175=0,"",'kWh_Streetlight Data'!H175)</f>
        <v>11017.5</v>
      </c>
      <c r="H48" s="130">
        <f>IF('kWh_Streetlight Data'!I175=0,"",'kWh_Streetlight Data'!I175)</f>
        <v>19855</v>
      </c>
      <c r="I48" s="130">
        <f>IF('kWh_Streetlight Data'!J175=0,"",'kWh_Streetlight Data'!J175)</f>
        <v>20512.5</v>
      </c>
      <c r="J48" s="130">
        <f>IF('kWh_Streetlight Data'!K175=0,"",'kWh_Streetlight Data'!K175)</f>
        <v>12305</v>
      </c>
      <c r="K48" s="130">
        <f>IF('kWh_Streetlight Data'!L175=0,"",'kWh_Streetlight Data'!L175)</f>
        <v>14772.5</v>
      </c>
      <c r="L48" s="130">
        <f>IF('kWh_Streetlight Data'!M175=0,"",'kWh_Streetlight Data'!M175)</f>
        <v>16250</v>
      </c>
      <c r="M48" s="130">
        <f>IF('kWh_Streetlight Data'!N175=0,"",'kWh_Streetlight Data'!N175)</f>
        <v>16322.5</v>
      </c>
      <c r="N48" s="424">
        <f>IF('kWh_Streetlight Data'!O175=0,"",'kWh_Streetlight Data'!O175)</f>
        <v>17091.041666666668</v>
      </c>
      <c r="O48" s="129">
        <f>IF('kWh_Streetlight Data'!P175=0,"",'kWh_Streetlight Data'!P175)</f>
        <v>14802.5</v>
      </c>
      <c r="P48" s="130">
        <f>IF('kWh_Streetlight Data'!Q175=0,"",'kWh_Streetlight Data'!Q175)</f>
        <v>44822.5</v>
      </c>
      <c r="Q48" s="130">
        <f>IF('kWh_Streetlight Data'!R175=0,"",'kWh_Streetlight Data'!R175)</f>
        <v>27532.5</v>
      </c>
      <c r="R48" s="130">
        <f>IF('kWh_Streetlight Data'!S175=0,"",'kWh_Streetlight Data'!S175)</f>
        <v>22665</v>
      </c>
      <c r="S48" s="130">
        <f>IF('kWh_Streetlight Data'!T175=0,"",'kWh_Streetlight Data'!T175)</f>
        <v>11682</v>
      </c>
      <c r="T48" s="130">
        <f>IF('kWh_Streetlight Data'!U175=0,"",'kWh_Streetlight Data'!U175)</f>
        <v>22362.5</v>
      </c>
      <c r="U48" s="130">
        <f>IF('kWh_Streetlight Data'!V175=0,"",'kWh_Streetlight Data'!V175)</f>
        <v>12092.5</v>
      </c>
      <c r="V48" s="130">
        <f>IF('kWh_Streetlight Data'!W175=0,"",'kWh_Streetlight Data'!W175)</f>
        <v>15635</v>
      </c>
      <c r="W48" s="130">
        <f>IF('kWh_Streetlight Data'!X175=0,"",'kWh_Streetlight Data'!X175)</f>
        <v>13170</v>
      </c>
      <c r="X48" s="130">
        <f>IF('kWh_Streetlight Data'!Y175=0,"",'kWh_Streetlight Data'!Y175)</f>
        <v>16227.5</v>
      </c>
      <c r="Y48" s="130">
        <f>IF('kWh_Streetlight Data'!Z175=0,"",'kWh_Streetlight Data'!Z175)</f>
        <v>18510</v>
      </c>
      <c r="Z48" s="130">
        <f>IF('kWh_Streetlight Data'!AA175=0,"",'kWh_Streetlight Data'!AA175)</f>
        <v>19237.5</v>
      </c>
      <c r="AA48" s="424">
        <f>IF('kWh_Streetlight Data'!AB175=0,"",'kWh_Streetlight Data'!AB175)</f>
        <v>19727.34693877551</v>
      </c>
      <c r="AB48" s="129">
        <f>IF('kWh_Streetlight Data'!AC175=0,"",'kWh_Streetlight Data'!AC175)</f>
        <v>27715</v>
      </c>
      <c r="AC48" s="130">
        <f>IF('kWh_Streetlight Data'!AD175=0,"",'kWh_Streetlight Data'!AD175)</f>
        <v>19282.5</v>
      </c>
      <c r="AD48" s="130">
        <f>IF('kWh_Streetlight Data'!AE175=0,"",'kWh_Streetlight Data'!AE175)</f>
        <v>21705</v>
      </c>
      <c r="AE48" s="130">
        <f>IF('kWh_Streetlight Data'!AF175=0,"",'kWh_Streetlight Data'!AF175)</f>
        <v>19610</v>
      </c>
      <c r="AF48" s="130">
        <f>IF('kWh_Streetlight Data'!AG175=0,"",'kWh_Streetlight Data'!AG175)</f>
        <v>13920</v>
      </c>
      <c r="AG48" s="130">
        <f>IF('kWh_Streetlight Data'!AH175=0,"",'kWh_Streetlight Data'!AH175)</f>
        <v>20010</v>
      </c>
      <c r="AH48" s="130">
        <f>IF('kWh_Streetlight Data'!AI175=0,"",'kWh_Streetlight Data'!AI175)</f>
        <v>10032.5</v>
      </c>
      <c r="AI48" s="130">
        <f>IF('kWh_Streetlight Data'!AJ175=0,"",'kWh_Streetlight Data'!AJ175)</f>
        <v>15955</v>
      </c>
      <c r="AJ48" s="130">
        <f>IF('kWh_Streetlight Data'!AK175=0,"",'kWh_Streetlight Data'!AK175)</f>
        <v>30862.5</v>
      </c>
      <c r="AK48" s="130">
        <f>IF('kWh_Streetlight Data'!AL175=0,"",'kWh_Streetlight Data'!AL175)</f>
        <v>9130</v>
      </c>
      <c r="AL48" s="130">
        <f>IF('kWh_Streetlight Data'!AM175=0,"",'kWh_Streetlight Data'!AM175)</f>
        <v>18872.5</v>
      </c>
      <c r="AM48" s="130">
        <f>IF('kWh_Streetlight Data'!AN175=0,"",'kWh_Streetlight Data'!AN175)</f>
        <v>19927.5</v>
      </c>
      <c r="AN48" s="426">
        <f>IF('kWh_Streetlight Data'!AO175=0,"",'kWh_Streetlight Data'!AO175)</f>
        <v>18342.745098039217</v>
      </c>
      <c r="AO48" s="43"/>
      <c r="AP48" s="40"/>
      <c r="AQ48" s="40"/>
      <c r="AR48" s="40"/>
      <c r="AS48" s="40"/>
      <c r="AT48" s="17"/>
      <c r="AU48" s="9">
        <f t="shared" ref="AU48:AZ48" si="40">IFERROR(AVERAGE(AH48,U48,H48),0)</f>
        <v>13993.333333333334</v>
      </c>
      <c r="AV48" s="9">
        <f t="shared" si="40"/>
        <v>17367.5</v>
      </c>
      <c r="AW48" s="9">
        <f t="shared" si="40"/>
        <v>18779.166666666668</v>
      </c>
      <c r="AX48" s="9">
        <f t="shared" si="40"/>
        <v>13376.666666666666</v>
      </c>
      <c r="AY48" s="9">
        <f t="shared" si="40"/>
        <v>17877.5</v>
      </c>
      <c r="AZ48" s="9">
        <f t="shared" si="40"/>
        <v>18495.833333333332</v>
      </c>
      <c r="BA48" s="211"/>
      <c r="BB48" s="9">
        <v>20933.333333333332</v>
      </c>
      <c r="BC48" s="17">
        <v>27840</v>
      </c>
      <c r="BD48" s="17">
        <v>23672.5</v>
      </c>
      <c r="BE48" s="17">
        <v>18412.777777777777</v>
      </c>
      <c r="BF48" s="17">
        <f t="shared" ref="BF48:BI48" si="41">IFERROR(AVERAGE(F48,S48,AF48),0)</f>
        <v>14629.333333333334</v>
      </c>
      <c r="BG48" s="17">
        <f t="shared" si="41"/>
        <v>17796.666666666668</v>
      </c>
      <c r="BH48" s="17">
        <f t="shared" si="41"/>
        <v>13993.333333333334</v>
      </c>
      <c r="BI48" s="17">
        <f t="shared" si="41"/>
        <v>17367.5</v>
      </c>
      <c r="BJ48" s="17">
        <f t="shared" ref="BJ48" si="42">IFERROR(AVERAGE(J48,W48,AJ48),0)</f>
        <v>18779.166666666668</v>
      </c>
      <c r="BK48" s="17">
        <f t="shared" ref="BK48" si="43">IFERROR(AVERAGE(K48,X48,AK48),0)</f>
        <v>13376.666666666666</v>
      </c>
      <c r="BL48" s="17">
        <f t="shared" ref="BL48" si="44">IFERROR(AVERAGE(L48,Y48,AL48),0)</f>
        <v>17877.5</v>
      </c>
      <c r="BM48" s="17">
        <f t="shared" ref="BM48" si="45">IFERROR(AVERAGE(M48,Z48,AM48),0)</f>
        <v>18495.833333333332</v>
      </c>
      <c r="BN48" s="211">
        <f>IFERROR(BN47/SUM(BB43:BM43)*12,0)</f>
        <v>223174.5</v>
      </c>
      <c r="BO48" s="20">
        <f>BN48</f>
        <v>223174.5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6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38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38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38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333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 thickBo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56"/>
      <c r="AU57" s="128">
        <f>Customers!E146</f>
        <v>1</v>
      </c>
      <c r="AV57" s="128">
        <f>Customers!F146</f>
        <v>1</v>
      </c>
      <c r="AW57" s="128">
        <f>Customers!G146</f>
        <v>1</v>
      </c>
      <c r="AX57" s="128">
        <f>Customers!H146</f>
        <v>1</v>
      </c>
      <c r="AY57" s="128">
        <f>Customers!I146</f>
        <v>1</v>
      </c>
      <c r="AZ57" s="128">
        <f>Customers!J146</f>
        <v>1</v>
      </c>
      <c r="BA57" s="204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I58" si="46">BE57</f>
        <v>1</v>
      </c>
      <c r="BG57" s="38">
        <f t="shared" si="46"/>
        <v>1</v>
      </c>
      <c r="BH57" s="38">
        <f t="shared" si="46"/>
        <v>1</v>
      </c>
      <c r="BI57" s="38">
        <f t="shared" si="46"/>
        <v>1</v>
      </c>
      <c r="BJ57" s="38">
        <f t="shared" ref="BJ57:BJ58" si="47">BI57</f>
        <v>1</v>
      </c>
      <c r="BK57" s="38">
        <f t="shared" ref="BK57:BK58" si="48">BJ57</f>
        <v>1</v>
      </c>
      <c r="BL57" s="38">
        <f t="shared" ref="BL57:BL58" si="49">BK57</f>
        <v>1</v>
      </c>
      <c r="BM57" s="38">
        <f t="shared" ref="BM57:BM58" si="50">BL57</f>
        <v>1</v>
      </c>
      <c r="BN57" s="210">
        <f>IFERROR(ROUND(AVERAGE(BB57:BM57),0),0)</f>
        <v>1</v>
      </c>
      <c r="BO57" s="175">
        <f>Customers!L179</f>
        <v>1</v>
      </c>
    </row>
    <row r="58" spans="1:67" ht="15.75" customHeight="1" thickTop="1" thickBot="1">
      <c r="A58" s="201" t="s">
        <v>30</v>
      </c>
      <c r="B58" s="113" t="str">
        <f>IF('kWh_Streetlight Data'!C245=0,"",'kWh_Streetlight Data'!C245)</f>
        <v/>
      </c>
      <c r="C58" s="114" t="str">
        <f>IF('kWh_Streetlight Data'!D245=0,"",'kWh_Streetlight Data'!D245)</f>
        <v/>
      </c>
      <c r="D58" s="114" t="str">
        <f>IF('kWh_Streetlight Data'!E245=0,"",'kWh_Streetlight Data'!E245)</f>
        <v/>
      </c>
      <c r="E58" s="114" t="str">
        <f>IF('kWh_Streetlight Data'!F245=0,"",'kWh_Streetlight Data'!F245)</f>
        <v/>
      </c>
      <c r="F58" s="114" t="str">
        <f>IF('kWh_Streetlight Data'!G245=0,"",'kWh_Streetlight Data'!G245)</f>
        <v/>
      </c>
      <c r="G58" s="114" t="str">
        <f>IF('kWh_Streetlight Data'!H245=0,"",'kWh_Streetlight Data'!H245)</f>
        <v/>
      </c>
      <c r="H58" s="114" t="str">
        <f>IF('kWh_Streetlight Data'!I245=0,"",'kWh_Streetlight Data'!I245)</f>
        <v/>
      </c>
      <c r="I58" s="114" t="str">
        <f>IF('kWh_Streetlight Data'!J245=0,"",'kWh_Streetlight Data'!J245)</f>
        <v/>
      </c>
      <c r="J58" s="114" t="str">
        <f>IF('kWh_Streetlight Data'!K245=0,"",'kWh_Streetlight Data'!K245)</f>
        <v/>
      </c>
      <c r="K58" s="114" t="str">
        <f>IF('kWh_Streetlight Data'!L245=0,"",'kWh_Streetlight Data'!L245)</f>
        <v/>
      </c>
      <c r="L58" s="114" t="str">
        <f>IF('kWh_Streetlight Data'!M245=0,"",'kWh_Streetlight Data'!M245)</f>
        <v/>
      </c>
      <c r="M58" s="114" t="str">
        <f>IF('kWh_Streetlight Data'!N245=0,"",'kWh_Streetlight Data'!N245)</f>
        <v/>
      </c>
      <c r="N58" s="459" t="str">
        <f>IF('kWh_Streetlight Data'!O245=0,"",'kWh_Streetlight Data'!O245)</f>
        <v/>
      </c>
      <c r="O58" s="113" t="str">
        <f>IF('kWh_Streetlight Data'!P245=0,"",'kWh_Streetlight Data'!P245)</f>
        <v/>
      </c>
      <c r="P58" s="114" t="str">
        <f>IF('kWh_Streetlight Data'!Q245=0,"",'kWh_Streetlight Data'!Q245)</f>
        <v/>
      </c>
      <c r="Q58" s="114" t="str">
        <f>IF('kWh_Streetlight Data'!R245=0,"",'kWh_Streetlight Data'!R245)</f>
        <v/>
      </c>
      <c r="R58" s="114" t="str">
        <f>IF('kWh_Streetlight Data'!S245=0,"",'kWh_Streetlight Data'!S245)</f>
        <v/>
      </c>
      <c r="S58" s="114" t="str">
        <f>IF('kWh_Streetlight Data'!T245=0,"",'kWh_Streetlight Data'!T245)</f>
        <v/>
      </c>
      <c r="T58" s="114" t="str">
        <f>IF('kWh_Streetlight Data'!U245=0,"",'kWh_Streetlight Data'!U245)</f>
        <v/>
      </c>
      <c r="U58" s="114" t="str">
        <f>IF('kWh_Streetlight Data'!V245=0,"",'kWh_Streetlight Data'!V245)</f>
        <v/>
      </c>
      <c r="V58" s="114" t="str">
        <f>IF('kWh_Streetlight Data'!W245=0,"",'kWh_Streetlight Data'!W245)</f>
        <v/>
      </c>
      <c r="W58" s="114" t="str">
        <f>IF('kWh_Streetlight Data'!X245=0,"",'kWh_Streetlight Data'!X245)</f>
        <v/>
      </c>
      <c r="X58" s="114" t="str">
        <f>IF('kWh_Streetlight Data'!Y245=0,"",'kWh_Streetlight Data'!Y245)</f>
        <v/>
      </c>
      <c r="Y58" s="114" t="str">
        <f>IF('kWh_Streetlight Data'!Z245=0,"",'kWh_Streetlight Data'!Z245)</f>
        <v/>
      </c>
      <c r="Z58" s="114" t="str">
        <f>IF('kWh_Streetlight Data'!AA245=0,"",'kWh_Streetlight Data'!AA245)</f>
        <v/>
      </c>
      <c r="AA58" s="459" t="str">
        <f>IF('kWh_Streetlight Data'!AB245=0,"",'kWh_Streetlight Data'!AB245)</f>
        <v/>
      </c>
      <c r="AB58" s="466">
        <f>IF('kWh_Streetlight Data'!AC245=0,"",'kWh_Streetlight Data'!AC245)</f>
        <v>4216</v>
      </c>
      <c r="AC58" s="467">
        <f>IF('kWh_Streetlight Data'!AD245=0,"",'kWh_Streetlight Data'!AD245)</f>
        <v>4216</v>
      </c>
      <c r="AD58" s="467">
        <f>IF('kWh_Streetlight Data'!AE245=0,"",'kWh_Streetlight Data'!AE245)</f>
        <v>4216</v>
      </c>
      <c r="AE58" s="467">
        <f>IF('kWh_Streetlight Data'!AF245=0,"",'kWh_Streetlight Data'!AF245)</f>
        <v>4216</v>
      </c>
      <c r="AF58" s="467">
        <f>IF('kWh_Streetlight Data'!AG245=0,"",'kWh_Streetlight Data'!AG245)</f>
        <v>4216</v>
      </c>
      <c r="AG58" s="467">
        <f>IF('kWh_Streetlight Data'!AH245=0,"",'kWh_Streetlight Data'!AH245)</f>
        <v>4216</v>
      </c>
      <c r="AH58" s="467">
        <f>IF('kWh_Streetlight Data'!AI245=0,"",'kWh_Streetlight Data'!AI245)</f>
        <v>4216</v>
      </c>
      <c r="AI58" s="467">
        <f>IF('kWh_Streetlight Data'!AJ245=0,"",'kWh_Streetlight Data'!AJ245)</f>
        <v>4216</v>
      </c>
      <c r="AJ58" s="467">
        <f>IF('kWh_Streetlight Data'!AK245=0,"",'kWh_Streetlight Data'!AK245)</f>
        <v>4216</v>
      </c>
      <c r="AK58" s="467">
        <f>IF('kWh_Streetlight Data'!AL245=0,"",'kWh_Streetlight Data'!AL245)</f>
        <v>4216</v>
      </c>
      <c r="AL58" s="467">
        <f>IF('kWh_Streetlight Data'!AM245=0,"",'kWh_Streetlight Data'!AM245)</f>
        <v>4216</v>
      </c>
      <c r="AM58" s="467">
        <f>IF('kWh_Streetlight Data'!AN245=0,"",'kWh_Streetlight Data'!AN245)</f>
        <v>4216</v>
      </c>
      <c r="AN58" s="464">
        <f>IF('kWh_Streetlight Data'!AO245=0,"",'kWh_Streetlight Data'!AO245)</f>
        <v>4216</v>
      </c>
      <c r="AO58" s="151"/>
      <c r="AP58" s="152"/>
      <c r="AQ58" s="152"/>
      <c r="AR58" s="152"/>
      <c r="AS58" s="152"/>
      <c r="AT58" s="160"/>
      <c r="AU58" s="160">
        <f t="shared" ref="AU58:AZ58" si="51">ROUND(AH58,0)</f>
        <v>4216</v>
      </c>
      <c r="AV58" s="160">
        <f t="shared" si="51"/>
        <v>4216</v>
      </c>
      <c r="AW58" s="160">
        <f t="shared" si="51"/>
        <v>4216</v>
      </c>
      <c r="AX58" s="160">
        <f t="shared" si="51"/>
        <v>4216</v>
      </c>
      <c r="AY58" s="160">
        <f t="shared" si="51"/>
        <v>4216</v>
      </c>
      <c r="AZ58" s="160">
        <f t="shared" si="51"/>
        <v>4216</v>
      </c>
      <c r="BA58" s="213">
        <f>SUM(AT58:AZ58)</f>
        <v>25296</v>
      </c>
      <c r="BB58" s="160">
        <v>4216</v>
      </c>
      <c r="BC58" s="160">
        <v>4216</v>
      </c>
      <c r="BD58" s="160">
        <v>4216</v>
      </c>
      <c r="BE58" s="160">
        <v>4216</v>
      </c>
      <c r="BF58" s="160">
        <f t="shared" si="46"/>
        <v>4216</v>
      </c>
      <c r="BG58" s="160">
        <f t="shared" si="46"/>
        <v>4216</v>
      </c>
      <c r="BH58" s="160">
        <f t="shared" si="46"/>
        <v>4216</v>
      </c>
      <c r="BI58" s="160">
        <f t="shared" si="46"/>
        <v>4216</v>
      </c>
      <c r="BJ58" s="160">
        <f t="shared" si="47"/>
        <v>4216</v>
      </c>
      <c r="BK58" s="160">
        <f t="shared" si="48"/>
        <v>4216</v>
      </c>
      <c r="BL58" s="160">
        <f t="shared" si="49"/>
        <v>4216</v>
      </c>
      <c r="BM58" s="160">
        <f t="shared" si="50"/>
        <v>4216</v>
      </c>
      <c r="BN58" s="213">
        <f>SUM(BB58:BM58)</f>
        <v>50592</v>
      </c>
      <c r="BO58" s="144">
        <f>BN58</f>
        <v>50592</v>
      </c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72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72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72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72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72" ht="15.75" customHeight="1" thickTop="1">
      <c r="A69" s="374" t="s">
        <v>54</v>
      </c>
      <c r="B69" s="129" t="str">
        <f>IF('kWh_Streetlight Data'!C176=0,"",'kWh_Streetlight Data'!C176)</f>
        <v/>
      </c>
      <c r="C69" s="130" t="str">
        <f>IF('kWh_Streetlight Data'!D176=0,"",'kWh_Streetlight Data'!D176)</f>
        <v/>
      </c>
      <c r="D69" s="130" t="str">
        <f>IF('kWh_Streetlight Data'!E176=0,"",'kWh_Streetlight Data'!E176)</f>
        <v/>
      </c>
      <c r="E69" s="130" t="str">
        <f>IF('kWh_Streetlight Data'!F176=0,"",'kWh_Streetlight Data'!F176)</f>
        <v/>
      </c>
      <c r="F69" s="130" t="str">
        <f>IF('kWh_Streetlight Data'!G176=0,"",'kWh_Streetlight Data'!G176)</f>
        <v/>
      </c>
      <c r="G69" s="130" t="str">
        <f>IF('kWh_Streetlight Data'!H176=0,"",'kWh_Streetlight Data'!H176)</f>
        <v/>
      </c>
      <c r="H69" s="130" t="str">
        <f>IF('kWh_Streetlight Data'!I176=0,"",'kWh_Streetlight Data'!I176)</f>
        <v/>
      </c>
      <c r="I69" s="130" t="str">
        <f>IF('kWh_Streetlight Data'!J176=0,"",'kWh_Streetlight Data'!J176)</f>
        <v/>
      </c>
      <c r="J69" s="130" t="str">
        <f>IF('kWh_Streetlight Data'!K176=0,"",'kWh_Streetlight Data'!K176)</f>
        <v/>
      </c>
      <c r="K69" s="130" t="str">
        <f>IF('kWh_Streetlight Data'!L176=0,"",'kWh_Streetlight Data'!L176)</f>
        <v/>
      </c>
      <c r="L69" s="130" t="str">
        <f>IF('kWh_Streetlight Data'!M176=0,"",'kWh_Streetlight Data'!M176)</f>
        <v/>
      </c>
      <c r="M69" s="130" t="str">
        <f>IF('kWh_Streetlight Data'!N176=0,"",'kWh_Streetlight Data'!N176)</f>
        <v/>
      </c>
      <c r="N69" s="424" t="str">
        <f>IF('kWh_Streetlight Data'!O176=0,"",'kWh_Streetlight Data'!O176)</f>
        <v/>
      </c>
      <c r="O69" s="84" t="str">
        <f>IF('kWh_Streetlight Data'!P176=0,"",'kWh_Streetlight Data'!P176)</f>
        <v/>
      </c>
      <c r="P69" s="108" t="str">
        <f>IF('kWh_Streetlight Data'!Q176=0,"",'kWh_Streetlight Data'!Q176)</f>
        <v/>
      </c>
      <c r="Q69" s="108" t="str">
        <f>IF('kWh_Streetlight Data'!R176=0,"",'kWh_Streetlight Data'!R176)</f>
        <v/>
      </c>
      <c r="R69" s="108" t="str">
        <f>IF('kWh_Streetlight Data'!S176=0,"",'kWh_Streetlight Data'!S176)</f>
        <v/>
      </c>
      <c r="S69" s="108" t="str">
        <f>IF('kWh_Streetlight Data'!T176=0,"",'kWh_Streetlight Data'!T176)</f>
        <v/>
      </c>
      <c r="T69" s="108" t="str">
        <f>IF('kWh_Streetlight Data'!U176=0,"",'kWh_Streetlight Data'!U176)</f>
        <v/>
      </c>
      <c r="U69" s="108" t="str">
        <f>IF('kWh_Streetlight Data'!V176=0,"",'kWh_Streetlight Data'!V176)</f>
        <v/>
      </c>
      <c r="V69" s="108" t="str">
        <f>IF('kWh_Streetlight Data'!W176=0,"",'kWh_Streetlight Data'!W176)</f>
        <v/>
      </c>
      <c r="W69" s="108" t="str">
        <f>IF('kWh_Streetlight Data'!X176=0,"",'kWh_Streetlight Data'!X176)</f>
        <v/>
      </c>
      <c r="X69" s="108" t="str">
        <f>IF('kWh_Streetlight Data'!Y176=0,"",'kWh_Streetlight Data'!Y176)</f>
        <v/>
      </c>
      <c r="Y69" s="108" t="str">
        <f>IF('kWh_Streetlight Data'!Z176=0,"",'kWh_Streetlight Data'!Z176)</f>
        <v/>
      </c>
      <c r="Z69" s="108" t="str">
        <f>IF('kWh_Streetlight Data'!AA176=0,"",'kWh_Streetlight Data'!AA176)</f>
        <v/>
      </c>
      <c r="AA69" s="424" t="str">
        <f>IF('kWh_Streetlight Data'!AB176=0,"",'kWh_Streetlight Data'!AB176)</f>
        <v/>
      </c>
      <c r="AB69" s="84" t="str">
        <f>IF('kWh_Streetlight Data'!AC176=0,"",'kWh_Streetlight Data'!AC176)</f>
        <v/>
      </c>
      <c r="AC69" s="108" t="str">
        <f>IF('kWh_Streetlight Data'!AD176=0,"",'kWh_Streetlight Data'!AD176)</f>
        <v/>
      </c>
      <c r="AD69" s="108" t="str">
        <f>IF('kWh_Streetlight Data'!AE176=0,"",'kWh_Streetlight Data'!AE176)</f>
        <v/>
      </c>
      <c r="AE69" s="108" t="str">
        <f>IF('kWh_Streetlight Data'!AF176=0,"",'kWh_Streetlight Data'!AF176)</f>
        <v/>
      </c>
      <c r="AF69" s="108" t="str">
        <f>IF('kWh_Streetlight Data'!AG176=0,"",'kWh_Streetlight Data'!AG176)</f>
        <v/>
      </c>
      <c r="AG69" s="108" t="str">
        <f>IF('kWh_Streetlight Data'!AH176=0,"",'kWh_Streetlight Data'!AH176)</f>
        <v/>
      </c>
      <c r="AH69" s="130" t="str">
        <f>IF('kWh_Streetlight Data'!AI176=0,"",'kWh_Streetlight Data'!AI176)</f>
        <v/>
      </c>
      <c r="AI69" s="130" t="str">
        <f>IF('kWh_Streetlight Data'!AJ176=0,"",'kWh_Streetlight Data'!AJ176)</f>
        <v/>
      </c>
      <c r="AJ69" s="130" t="str">
        <f>IF('kWh_Streetlight Data'!AK176=0,"",'kWh_Streetlight Data'!AK176)</f>
        <v/>
      </c>
      <c r="AK69" s="130" t="str">
        <f>IF('kWh_Streetlight Data'!AL176=0,"",'kWh_Streetlight Data'!AL176)</f>
        <v/>
      </c>
      <c r="AL69" s="130" t="str">
        <f>IF('kWh_Streetlight Data'!AM176=0,"",'kWh_Streetlight Data'!AM176)</f>
        <v/>
      </c>
      <c r="AM69" s="130" t="str">
        <f>IF('kWh_Streetlight Data'!AN176=0,"",'kWh_Streetlight Data'!AN176)</f>
        <v/>
      </c>
      <c r="AN69" s="424" t="str">
        <f>IF('kWh_Streetlight Data'!AO176=0,"",'kWh_Streetlight Data'!AO176)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72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72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72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72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72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83"/>
    </row>
    <row r="75" spans="1:72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109">
        <f>Customers!E182</f>
        <v>19</v>
      </c>
      <c r="AV75" s="109">
        <f>Customers!F182</f>
        <v>19</v>
      </c>
      <c r="AW75" s="109">
        <f>Customers!G182</f>
        <v>20</v>
      </c>
      <c r="AX75" s="109">
        <f>Customers!H182</f>
        <v>20</v>
      </c>
      <c r="AY75" s="109">
        <f>Customers!I182</f>
        <v>20</v>
      </c>
      <c r="AZ75" s="109">
        <f>Customers!J182</f>
        <v>20</v>
      </c>
      <c r="BA75" s="210">
        <f>AZ75</f>
        <v>20</v>
      </c>
      <c r="BB75" s="124">
        <v>21</v>
      </c>
      <c r="BC75" s="38">
        <v>21</v>
      </c>
      <c r="BD75" s="38">
        <v>21</v>
      </c>
      <c r="BE75" s="38">
        <v>21</v>
      </c>
      <c r="BF75" s="38">
        <f t="shared" ref="BF75:BI75" si="52">BE75</f>
        <v>21</v>
      </c>
      <c r="BG75" s="38">
        <f t="shared" si="52"/>
        <v>21</v>
      </c>
      <c r="BH75" s="39">
        <f t="shared" si="52"/>
        <v>21</v>
      </c>
      <c r="BI75" s="39">
        <f t="shared" si="52"/>
        <v>21</v>
      </c>
      <c r="BJ75" s="39">
        <f t="shared" ref="BJ75" si="53">BI75</f>
        <v>21</v>
      </c>
      <c r="BK75" s="39">
        <f t="shared" ref="BK75" si="54">BJ75</f>
        <v>21</v>
      </c>
      <c r="BL75" s="39">
        <f t="shared" ref="BL75" si="55">BK75</f>
        <v>21</v>
      </c>
      <c r="BM75" s="39">
        <f t="shared" ref="BM75" si="56">BL75</f>
        <v>21</v>
      </c>
      <c r="BN75" s="210">
        <f>IFERROR(ROUND(AVERAGE(BB75:BM75),0),0)</f>
        <v>21</v>
      </c>
      <c r="BO75" s="146">
        <f>Customers!L182</f>
        <v>22</v>
      </c>
    </row>
    <row r="76" spans="1:72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>
        <f t="shared" ref="AU76:AZ76" si="57">IF(AU78&gt;(AU75*250),AU75*250,AU78)</f>
        <v>4750</v>
      </c>
      <c r="AV76" s="39">
        <f t="shared" si="57"/>
        <v>4750</v>
      </c>
      <c r="AW76" s="38">
        <f t="shared" si="57"/>
        <v>5000</v>
      </c>
      <c r="AX76" s="38">
        <f t="shared" si="57"/>
        <v>5000</v>
      </c>
      <c r="AY76" s="38">
        <f t="shared" si="57"/>
        <v>5000</v>
      </c>
      <c r="AZ76" s="38">
        <f t="shared" si="57"/>
        <v>5000</v>
      </c>
      <c r="BA76" s="210">
        <f>SUM(AO76:AZ76)</f>
        <v>29500</v>
      </c>
      <c r="BB76" s="38">
        <v>5250</v>
      </c>
      <c r="BC76" s="38">
        <v>5250</v>
      </c>
      <c r="BD76" s="38">
        <v>5250</v>
      </c>
      <c r="BE76" s="38">
        <v>5250</v>
      </c>
      <c r="BF76" s="38">
        <f t="shared" ref="BF76:BI76" si="58">IF(BF78&gt;(BF75*250),BF75*250,BF78)</f>
        <v>5250</v>
      </c>
      <c r="BG76" s="38">
        <f t="shared" si="58"/>
        <v>5250</v>
      </c>
      <c r="BH76" s="39">
        <f t="shared" si="58"/>
        <v>5250</v>
      </c>
      <c r="BI76" s="39">
        <f t="shared" si="58"/>
        <v>5250</v>
      </c>
      <c r="BJ76" s="39">
        <f t="shared" ref="BJ76:BM76" si="59">IF(BJ78&gt;(BJ75*250),BJ75*250,BJ78)</f>
        <v>5250</v>
      </c>
      <c r="BK76" s="39">
        <f t="shared" si="59"/>
        <v>5250</v>
      </c>
      <c r="BL76" s="39">
        <f t="shared" si="59"/>
        <v>5250</v>
      </c>
      <c r="BM76" s="39">
        <f t="shared" si="59"/>
        <v>5250</v>
      </c>
      <c r="BN76" s="210">
        <f>SUM(BB76:BM76)</f>
        <v>63000</v>
      </c>
      <c r="BO76" s="39">
        <f t="shared" ref="BO76" si="60">IF(BO78&gt;(BO75*250),BO75*250,BO78)</f>
        <v>5500</v>
      </c>
    </row>
    <row r="77" spans="1:72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9">
        <f t="shared" ref="AU77:AZ77" si="61">ROUND(AU78-AU76,0)</f>
        <v>12000</v>
      </c>
      <c r="AV77" s="39">
        <f t="shared" si="61"/>
        <v>6713</v>
      </c>
      <c r="AW77" s="38">
        <f t="shared" si="61"/>
        <v>10620</v>
      </c>
      <c r="AX77" s="38">
        <f t="shared" si="61"/>
        <v>15713</v>
      </c>
      <c r="AY77" s="38">
        <f t="shared" si="61"/>
        <v>15854</v>
      </c>
      <c r="AZ77" s="38">
        <f t="shared" si="61"/>
        <v>28029</v>
      </c>
      <c r="BA77" s="210">
        <f>SUM(AO77:AZ77)</f>
        <v>88929</v>
      </c>
      <c r="BB77" s="38">
        <v>24245</v>
      </c>
      <c r="BC77" s="38">
        <v>23720</v>
      </c>
      <c r="BD77" s="38">
        <v>20012</v>
      </c>
      <c r="BE77" s="38">
        <v>18564</v>
      </c>
      <c r="BF77" s="38">
        <f t="shared" ref="BF77:BI77" si="62">ROUND(BF78-BF76,0)</f>
        <v>15718</v>
      </c>
      <c r="BG77" s="38">
        <f t="shared" si="62"/>
        <v>15144</v>
      </c>
      <c r="BH77" s="39">
        <f t="shared" si="62"/>
        <v>13264</v>
      </c>
      <c r="BI77" s="39">
        <f t="shared" si="62"/>
        <v>7420</v>
      </c>
      <c r="BJ77" s="39">
        <f t="shared" ref="BJ77:BM77" si="63">ROUND(BJ78-BJ76,0)</f>
        <v>11151</v>
      </c>
      <c r="BK77" s="39">
        <f t="shared" si="63"/>
        <v>16499</v>
      </c>
      <c r="BL77" s="39">
        <f t="shared" si="63"/>
        <v>16647</v>
      </c>
      <c r="BM77" s="39">
        <f t="shared" si="63"/>
        <v>29430</v>
      </c>
      <c r="BN77" s="210">
        <f>SUM(BB77:BM77)</f>
        <v>211814</v>
      </c>
      <c r="BO77" s="39">
        <f t="shared" ref="BO77" si="64">ROUND(BO78-BO76,0)</f>
        <v>282400</v>
      </c>
    </row>
    <row r="78" spans="1:72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65">IFERROR(ROUND(AU79*AU75,0),0)</f>
        <v>16750</v>
      </c>
      <c r="AV78" s="64">
        <f t="shared" si="65"/>
        <v>11463</v>
      </c>
      <c r="AW78" s="64">
        <f t="shared" si="65"/>
        <v>15620</v>
      </c>
      <c r="AX78" s="64">
        <f t="shared" si="65"/>
        <v>20713</v>
      </c>
      <c r="AY78" s="64">
        <f t="shared" si="65"/>
        <v>20854</v>
      </c>
      <c r="AZ78" s="64">
        <f t="shared" si="65"/>
        <v>33029</v>
      </c>
      <c r="BA78" s="196">
        <f>SUM(AO78:AZ78)</f>
        <v>118429</v>
      </c>
      <c r="BB78" s="64">
        <v>29495</v>
      </c>
      <c r="BC78" s="64">
        <v>28970</v>
      </c>
      <c r="BD78" s="64">
        <v>25262</v>
      </c>
      <c r="BE78" s="64">
        <v>23814</v>
      </c>
      <c r="BF78" s="64">
        <f t="shared" ref="BF78:BI78" si="66">IFERROR(ROUND(BF79*BF75,0),0)</f>
        <v>20968</v>
      </c>
      <c r="BG78" s="64">
        <f t="shared" si="66"/>
        <v>20394</v>
      </c>
      <c r="BH78" s="64">
        <f t="shared" si="66"/>
        <v>18514</v>
      </c>
      <c r="BI78" s="64">
        <f t="shared" si="66"/>
        <v>12670</v>
      </c>
      <c r="BJ78" s="64">
        <f t="shared" ref="BJ78:BM78" si="67">IFERROR(ROUND(BJ79*BJ75,0),0)</f>
        <v>16401</v>
      </c>
      <c r="BK78" s="64">
        <f t="shared" si="67"/>
        <v>21749</v>
      </c>
      <c r="BL78" s="64">
        <f t="shared" si="67"/>
        <v>21897</v>
      </c>
      <c r="BM78" s="64">
        <f t="shared" si="67"/>
        <v>34680</v>
      </c>
      <c r="BN78" s="196">
        <f>SUM(BB78:BM78)</f>
        <v>274814</v>
      </c>
      <c r="BO78" s="64">
        <f t="shared" ref="BO78" si="68">IFERROR(ROUND(BO79*BO75,0),0)</f>
        <v>287900</v>
      </c>
      <c r="BQ78" s="31"/>
      <c r="BR78" s="31"/>
      <c r="BS78" s="31"/>
      <c r="BT78" s="31"/>
    </row>
    <row r="79" spans="1:72" ht="15.75" customHeight="1" thickTop="1">
      <c r="A79" s="374" t="s">
        <v>54</v>
      </c>
      <c r="B79" s="84">
        <f>IF('kWh_Streetlight Data'!C177=0,"",'kWh_Streetlight Data'!C177)</f>
        <v>1228.1052631578948</v>
      </c>
      <c r="C79" s="108">
        <f>IF('kWh_Streetlight Data'!D177=0,"",'kWh_Streetlight Data'!D177)</f>
        <v>1189.421052631579</v>
      </c>
      <c r="D79" s="108">
        <f>IF('kWh_Streetlight Data'!E177=0,"",'kWh_Streetlight Data'!E177)</f>
        <v>1010.0526315789474</v>
      </c>
      <c r="E79" s="108">
        <f>IF('kWh_Streetlight Data'!F177=0,"",'kWh_Streetlight Data'!F177)</f>
        <v>1046.578947368421</v>
      </c>
      <c r="F79" s="108">
        <f>IF('kWh_Streetlight Data'!G177=0,"",'kWh_Streetlight Data'!G177)</f>
        <v>982.68421052631584</v>
      </c>
      <c r="G79" s="108">
        <f>IF('kWh_Streetlight Data'!H177=0,"",'kWh_Streetlight Data'!H177)</f>
        <v>826.52631578947364</v>
      </c>
      <c r="H79" s="108">
        <f>IF('kWh_Streetlight Data'!I177=0,"",'kWh_Streetlight Data'!I177)</f>
        <v>838.89473684210532</v>
      </c>
      <c r="I79" s="108">
        <f>IF('kWh_Streetlight Data'!J177=0,"",'kWh_Streetlight Data'!J177)</f>
        <v>845.2</v>
      </c>
      <c r="J79" s="108">
        <f>IF('kWh_Streetlight Data'!K177=0,"",'kWh_Streetlight Data'!K177)</f>
        <v>569.66666666666663</v>
      </c>
      <c r="K79" s="108">
        <f>IF('kWh_Streetlight Data'!L177=0,"",'kWh_Streetlight Data'!L177)</f>
        <v>1221.1111111111111</v>
      </c>
      <c r="L79" s="108">
        <f>IF('kWh_Streetlight Data'!M177=0,"",'kWh_Streetlight Data'!M177)</f>
        <v>1174.4444444444443</v>
      </c>
      <c r="M79" s="108">
        <f>IF('kWh_Streetlight Data'!N177=0,"",'kWh_Streetlight Data'!N177)</f>
        <v>1051</v>
      </c>
      <c r="N79" s="424">
        <f>IF('kWh_Streetlight Data'!O177=0,"",'kWh_Streetlight Data'!O177)</f>
        <v>997.86222222222227</v>
      </c>
      <c r="O79" s="84">
        <f>IF('kWh_Streetlight Data'!P177=0,"",'kWh_Streetlight Data'!P177)</f>
        <v>1447.2222222222222</v>
      </c>
      <c r="P79" s="108">
        <f>IF('kWh_Streetlight Data'!Q177=0,"",'kWh_Streetlight Data'!Q177)</f>
        <v>1489.1111111111111</v>
      </c>
      <c r="Q79" s="108">
        <f>IF('kWh_Streetlight Data'!R177=0,"",'kWh_Streetlight Data'!R177)</f>
        <v>1303.5</v>
      </c>
      <c r="R79" s="108">
        <f>IF('kWh_Streetlight Data'!S177=0,"",'kWh_Streetlight Data'!S177)</f>
        <v>1126.6111111111111</v>
      </c>
      <c r="S79" s="108">
        <f>IF('kWh_Streetlight Data'!T177=0,"",'kWh_Streetlight Data'!T177)</f>
        <v>1086.7222222222222</v>
      </c>
      <c r="T79" s="108">
        <f>IF('kWh_Streetlight Data'!U177=0,"",'kWh_Streetlight Data'!U177)</f>
        <v>933</v>
      </c>
      <c r="U79" s="108">
        <f>IF('kWh_Streetlight Data'!V177=0,"",'kWh_Streetlight Data'!V177)</f>
        <v>675.9545454545455</v>
      </c>
      <c r="V79" s="108">
        <f>IF('kWh_Streetlight Data'!W177=0,"",'kWh_Streetlight Data'!W177)</f>
        <v>591</v>
      </c>
      <c r="W79" s="108">
        <f>IF('kWh_Streetlight Data'!X177=0,"",'kWh_Streetlight Data'!X177)</f>
        <v>748.36842105263156</v>
      </c>
      <c r="X79" s="108">
        <f>IF('kWh_Streetlight Data'!Y177=0,"",'kWh_Streetlight Data'!Y177)</f>
        <v>878.10526315789468</v>
      </c>
      <c r="Y79" s="108">
        <f>IF('kWh_Streetlight Data'!Z177=0,"",'kWh_Streetlight Data'!Z177)</f>
        <v>910.10526315789468</v>
      </c>
      <c r="Z79" s="108">
        <f>IF('kWh_Streetlight Data'!AA177=0,"",'kWh_Streetlight Data'!AA177)</f>
        <v>1107.8499999999999</v>
      </c>
      <c r="AA79" s="424">
        <f>IF('kWh_Streetlight Data'!AB177=0,"",'kWh_Streetlight Data'!AB177)</f>
        <v>1015.0575221238938</v>
      </c>
      <c r="AB79" s="129">
        <f>IF('kWh_Streetlight Data'!AC177=0,"",'kWh_Streetlight Data'!AC177)</f>
        <v>1538.25</v>
      </c>
      <c r="AC79" s="130">
        <f>IF('kWh_Streetlight Data'!AD177=0,"",'kWh_Streetlight Data'!AD177)</f>
        <v>1460.05</v>
      </c>
      <c r="AD79" s="130">
        <f>IF('kWh_Streetlight Data'!AE177=0,"",'kWh_Streetlight Data'!AE177)</f>
        <v>1295.3</v>
      </c>
      <c r="AE79" s="130">
        <f>IF('kWh_Streetlight Data'!AF177=0,"",'kWh_Streetlight Data'!AF177)</f>
        <v>1228.75</v>
      </c>
      <c r="AF79" s="130">
        <f>IF('kWh_Streetlight Data'!AG177=0,"",'kWh_Streetlight Data'!AG177)</f>
        <v>926.0526315789474</v>
      </c>
      <c r="AG79" s="130">
        <f>IF('kWh_Streetlight Data'!AH177=0,"",'kWh_Streetlight Data'!AH177)</f>
        <v>1153.95</v>
      </c>
      <c r="AH79" s="130">
        <f>IF('kWh_Streetlight Data'!AI177=0,"",'kWh_Streetlight Data'!AI177)</f>
        <v>1129.9565217391305</v>
      </c>
      <c r="AI79" s="130">
        <f>IF('kWh_Streetlight Data'!AJ177=0,"",'kWh_Streetlight Data'!AJ177)</f>
        <v>373.76190476190476</v>
      </c>
      <c r="AJ79" s="130">
        <f>IF('kWh_Streetlight Data'!AK177=0,"",'kWh_Streetlight Data'!AK177)</f>
        <v>1024.96</v>
      </c>
      <c r="AK79" s="130">
        <f>IF('kWh_Streetlight Data'!AL177=0,"",'kWh_Streetlight Data'!AL177)</f>
        <v>1007.8</v>
      </c>
      <c r="AL79" s="130">
        <f>IF('kWh_Streetlight Data'!AM177=0,"",'kWh_Streetlight Data'!AM177)</f>
        <v>1043.6111111111111</v>
      </c>
      <c r="AM79" s="130">
        <f>IF('kWh_Streetlight Data'!AN177=0,"",'kWh_Streetlight Data'!AN177)</f>
        <v>2795.4285714285716</v>
      </c>
      <c r="AN79" s="424">
        <f>IF('kWh_Streetlight Data'!AO177=0,"",'kWh_Streetlight Data'!AO177)</f>
        <v>1247.8866396761134</v>
      </c>
      <c r="AO79" s="34"/>
      <c r="AP79" s="35"/>
      <c r="AQ79" s="35"/>
      <c r="AR79" s="35"/>
      <c r="AS79" s="35"/>
      <c r="AT79" s="9"/>
      <c r="AU79" s="9">
        <f t="shared" ref="AU79:AZ79" si="69">IFERROR(AVERAGE(AH79,U79,H79),0)</f>
        <v>881.60193467859381</v>
      </c>
      <c r="AV79" s="9">
        <f t="shared" si="69"/>
        <v>603.32063492063492</v>
      </c>
      <c r="AW79" s="9">
        <f t="shared" si="69"/>
        <v>780.99836257309937</v>
      </c>
      <c r="AX79" s="9">
        <f t="shared" si="69"/>
        <v>1035.6721247563353</v>
      </c>
      <c r="AY79" s="9">
        <f t="shared" si="69"/>
        <v>1042.7202729044834</v>
      </c>
      <c r="AZ79" s="9">
        <f t="shared" si="69"/>
        <v>1651.4261904761904</v>
      </c>
      <c r="BA79" s="211"/>
      <c r="BB79" s="9">
        <v>1404.5258284600388</v>
      </c>
      <c r="BC79" s="17">
        <v>1379.5273879142298</v>
      </c>
      <c r="BD79" s="17">
        <v>1202.9508771929825</v>
      </c>
      <c r="BE79" s="17">
        <v>1133.9800194931775</v>
      </c>
      <c r="BF79" s="17">
        <f t="shared" ref="BF79:BI79" si="70">IFERROR(AVERAGE(F79,S79,AF79),0)</f>
        <v>998.48635477582854</v>
      </c>
      <c r="BG79" s="17">
        <f t="shared" si="70"/>
        <v>971.15877192982464</v>
      </c>
      <c r="BH79" s="17">
        <f t="shared" si="70"/>
        <v>881.60193467859381</v>
      </c>
      <c r="BI79" s="17">
        <f t="shared" si="70"/>
        <v>603.32063492063492</v>
      </c>
      <c r="BJ79" s="17">
        <f t="shared" ref="BJ79" si="71">IFERROR(AVERAGE(J79,W79,AJ79),0)</f>
        <v>780.99836257309937</v>
      </c>
      <c r="BK79" s="17">
        <f t="shared" ref="BK79" si="72">IFERROR(AVERAGE(K79,X79,AK79),0)</f>
        <v>1035.6721247563353</v>
      </c>
      <c r="BL79" s="17">
        <f t="shared" ref="BL79" si="73">IFERROR(AVERAGE(L79,Y79,AL79),0)</f>
        <v>1042.7202729044832</v>
      </c>
      <c r="BM79" s="17">
        <f t="shared" ref="BM79" si="74">IFERROR(AVERAGE(M79,Z79,AM79),0)</f>
        <v>1651.4261904761904</v>
      </c>
      <c r="BN79" s="211">
        <f>IFERROR(BN78/SUM(BB75:BM75)*12,0)</f>
        <v>13086.380952380952</v>
      </c>
      <c r="BO79" s="273">
        <f>BN79</f>
        <v>13086.380952380952</v>
      </c>
    </row>
    <row r="80" spans="1:72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2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7"/>
      <c r="AV81" s="127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2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2" ht="15.75" customHeight="1" thickTop="1">
      <c r="A83" s="374" t="s">
        <v>54</v>
      </c>
      <c r="B83" s="84" t="str">
        <f>IF('kWh_Streetlight Data'!C178=0,"",'kWh_Streetlight Data'!C178)</f>
        <v/>
      </c>
      <c r="C83" s="108" t="str">
        <f>IF('kWh_Streetlight Data'!D178=0,"",'kWh_Streetlight Data'!D178)</f>
        <v/>
      </c>
      <c r="D83" s="108" t="str">
        <f>IF('kWh_Streetlight Data'!E178=0,"",'kWh_Streetlight Data'!E178)</f>
        <v/>
      </c>
      <c r="E83" s="108" t="str">
        <f>IF('kWh_Streetlight Data'!F178=0,"",'kWh_Streetlight Data'!F178)</f>
        <v/>
      </c>
      <c r="F83" s="108" t="str">
        <f>IF('kWh_Streetlight Data'!G178=0,"",'kWh_Streetlight Data'!G178)</f>
        <v/>
      </c>
      <c r="G83" s="108" t="str">
        <f>IF('kWh_Streetlight Data'!H178=0,"",'kWh_Streetlight Data'!H178)</f>
        <v/>
      </c>
      <c r="H83" s="108" t="str">
        <f>IF('kWh_Streetlight Data'!I178=0,"",'kWh_Streetlight Data'!I178)</f>
        <v/>
      </c>
      <c r="I83" s="108" t="str">
        <f>IF('kWh_Streetlight Data'!J178=0,"",'kWh_Streetlight Data'!J178)</f>
        <v/>
      </c>
      <c r="J83" s="108" t="str">
        <f>IF('kWh_Streetlight Data'!K178=0,"",'kWh_Streetlight Data'!K178)</f>
        <v/>
      </c>
      <c r="K83" s="108" t="str">
        <f>IF('kWh_Streetlight Data'!L178=0,"",'kWh_Streetlight Data'!L178)</f>
        <v/>
      </c>
      <c r="L83" s="108" t="str">
        <f>IF('kWh_Streetlight Data'!M178=0,"",'kWh_Streetlight Data'!M178)</f>
        <v/>
      </c>
      <c r="M83" s="108" t="str">
        <f>IF('kWh_Streetlight Data'!N178=0,"",'kWh_Streetlight Data'!N178)</f>
        <v/>
      </c>
      <c r="N83" s="424" t="str">
        <f>IF('kWh_Streetlight Data'!O178=0,"",'kWh_Streetlight Data'!O178)</f>
        <v/>
      </c>
      <c r="O83" s="84" t="str">
        <f>IF('kWh_Streetlight Data'!P178=0,"",'kWh_Streetlight Data'!P178)</f>
        <v/>
      </c>
      <c r="P83" s="108" t="str">
        <f>IF('kWh_Streetlight Data'!Q178=0,"",'kWh_Streetlight Data'!Q178)</f>
        <v/>
      </c>
      <c r="Q83" s="108" t="str">
        <f>IF('kWh_Streetlight Data'!R178=0,"",'kWh_Streetlight Data'!R178)</f>
        <v/>
      </c>
      <c r="R83" s="108" t="str">
        <f>IF('kWh_Streetlight Data'!S178=0,"",'kWh_Streetlight Data'!S178)</f>
        <v/>
      </c>
      <c r="S83" s="108" t="str">
        <f>IF('kWh_Streetlight Data'!T178=0,"",'kWh_Streetlight Data'!T178)</f>
        <v/>
      </c>
      <c r="T83" s="108" t="str">
        <f>IF('kWh_Streetlight Data'!U178=0,"",'kWh_Streetlight Data'!U178)</f>
        <v/>
      </c>
      <c r="U83" s="108" t="str">
        <f>IF('kWh_Streetlight Data'!V178=0,"",'kWh_Streetlight Data'!V178)</f>
        <v/>
      </c>
      <c r="V83" s="108" t="str">
        <f>IF('kWh_Streetlight Data'!W178=0,"",'kWh_Streetlight Data'!W178)</f>
        <v/>
      </c>
      <c r="W83" s="108" t="str">
        <f>IF('kWh_Streetlight Data'!X178=0,"",'kWh_Streetlight Data'!X178)</f>
        <v/>
      </c>
      <c r="X83" s="108" t="str">
        <f>IF('kWh_Streetlight Data'!Y178=0,"",'kWh_Streetlight Data'!Y178)</f>
        <v/>
      </c>
      <c r="Y83" s="108" t="str">
        <f>IF('kWh_Streetlight Data'!Z178=0,"",'kWh_Streetlight Data'!Z178)</f>
        <v/>
      </c>
      <c r="Z83" s="108" t="str">
        <f>IF('kWh_Streetlight Data'!AA178=0,"",'kWh_Streetlight Data'!AA178)</f>
        <v/>
      </c>
      <c r="AA83" s="424" t="str">
        <f>IF('kWh_Streetlight Data'!AB178=0,"",'kWh_Streetlight Data'!AB178)</f>
        <v/>
      </c>
      <c r="AB83" s="442" t="str">
        <f>IF('kWh_Streetlight Data'!AC178=0,"",'kWh_Streetlight Data'!AC178)</f>
        <v/>
      </c>
      <c r="AC83" s="443" t="str">
        <f>IF('kWh_Streetlight Data'!AD178=0,"",'kWh_Streetlight Data'!AD178)</f>
        <v/>
      </c>
      <c r="AD83" s="443" t="str">
        <f>IF('kWh_Streetlight Data'!AE178=0,"",'kWh_Streetlight Data'!AE178)</f>
        <v/>
      </c>
      <c r="AE83" s="443" t="str">
        <f>IF('kWh_Streetlight Data'!AF178=0,"",'kWh_Streetlight Data'!AF178)</f>
        <v/>
      </c>
      <c r="AF83" s="443" t="str">
        <f>IF('kWh_Streetlight Data'!AG178=0,"",'kWh_Streetlight Data'!AG178)</f>
        <v/>
      </c>
      <c r="AG83" s="443" t="str">
        <f>IF('kWh_Streetlight Data'!AH178=0,"",'kWh_Streetlight Data'!AH178)</f>
        <v/>
      </c>
      <c r="AH83" s="108" t="str">
        <f>IF('kWh_Streetlight Data'!AI178=0,"",'kWh_Streetlight Data'!AI178)</f>
        <v/>
      </c>
      <c r="AI83" s="108" t="str">
        <f>IF('kWh_Streetlight Data'!AJ178=0,"",'kWh_Streetlight Data'!AJ178)</f>
        <v/>
      </c>
      <c r="AJ83" s="108" t="str">
        <f>IF('kWh_Streetlight Data'!AK178=0,"",'kWh_Streetlight Data'!AK178)</f>
        <v/>
      </c>
      <c r="AK83" s="108" t="str">
        <f>IF('kWh_Streetlight Data'!AL178=0,"",'kWh_Streetlight Data'!AL178)</f>
        <v/>
      </c>
      <c r="AL83" s="108" t="str">
        <f>IF('kWh_Streetlight Data'!AM178=0,"",'kWh_Streetlight Data'!AM178)</f>
        <v/>
      </c>
      <c r="AM83" s="108" t="str">
        <f>IF('kWh_Streetlight Data'!AN178=0,"",'kWh_Streetlight Data'!AN178)</f>
        <v/>
      </c>
      <c r="AN83" s="424" t="str">
        <f>IF('kWh_Streetlight Data'!AO178=0,"",'kWh_Streetlight Data'!AO178)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2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2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2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109">
        <f>Customers!E183</f>
        <v>24</v>
      </c>
      <c r="AV86" s="109">
        <f>Customers!F183</f>
        <v>24</v>
      </c>
      <c r="AW86" s="109">
        <f>Customers!G183</f>
        <v>24</v>
      </c>
      <c r="AX86" s="109">
        <f>Customers!H183</f>
        <v>24</v>
      </c>
      <c r="AY86" s="109">
        <f>Customers!I183</f>
        <v>24</v>
      </c>
      <c r="AZ86" s="109">
        <f>Customers!J183</f>
        <v>24</v>
      </c>
      <c r="BA86" s="210">
        <f>AZ86</f>
        <v>24</v>
      </c>
      <c r="BB86" s="124">
        <v>24</v>
      </c>
      <c r="BC86" s="38">
        <v>24</v>
      </c>
      <c r="BD86" s="38">
        <v>24</v>
      </c>
      <c r="BE86" s="38">
        <v>24</v>
      </c>
      <c r="BF86" s="38">
        <f t="shared" ref="BF86:BI86" si="75">BE86</f>
        <v>24</v>
      </c>
      <c r="BG86" s="38">
        <f t="shared" si="75"/>
        <v>24</v>
      </c>
      <c r="BH86" s="39">
        <f t="shared" si="75"/>
        <v>24</v>
      </c>
      <c r="BI86" s="39">
        <f t="shared" si="75"/>
        <v>24</v>
      </c>
      <c r="BJ86" s="39">
        <f t="shared" ref="BJ86" si="76">BI86</f>
        <v>24</v>
      </c>
      <c r="BK86" s="39">
        <f t="shared" ref="BK86" si="77">BJ86</f>
        <v>24</v>
      </c>
      <c r="BL86" s="39">
        <f t="shared" ref="BL86" si="78">BK86</f>
        <v>24</v>
      </c>
      <c r="BM86" s="39">
        <f t="shared" ref="BM86" si="79">BL86</f>
        <v>24</v>
      </c>
      <c r="BN86" s="210">
        <f>IFERROR(ROUND(AVERAGE(BB86:BM86),0),0)</f>
        <v>24</v>
      </c>
      <c r="BO86" s="125">
        <f>Customers!L183</f>
        <v>24</v>
      </c>
      <c r="BR86" s="229"/>
      <c r="BS86" s="229"/>
    </row>
    <row r="87" spans="1:72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>
        <f t="shared" ref="AU87:AZ87" si="80">IFERROR(ROUND(AU88*AU86,0),0)</f>
        <v>129359</v>
      </c>
      <c r="AV87" s="64">
        <f t="shared" si="80"/>
        <v>114170</v>
      </c>
      <c r="AW87" s="160">
        <f t="shared" si="80"/>
        <v>119939</v>
      </c>
      <c r="AX87" s="160">
        <f t="shared" si="80"/>
        <v>132095</v>
      </c>
      <c r="AY87" s="160">
        <f t="shared" si="80"/>
        <v>169935</v>
      </c>
      <c r="AZ87" s="160">
        <f t="shared" si="80"/>
        <v>163074</v>
      </c>
      <c r="BA87" s="196">
        <f>SUM(AO87:AZ87)</f>
        <v>828572</v>
      </c>
      <c r="BB87" s="160">
        <v>204270</v>
      </c>
      <c r="BC87" s="160">
        <v>190908</v>
      </c>
      <c r="BD87" s="160">
        <v>172439</v>
      </c>
      <c r="BE87" s="160">
        <v>163433</v>
      </c>
      <c r="BF87" s="160">
        <f t="shared" ref="BF87:BI87" si="81">IFERROR(ROUND(BF88*BF86,0),0)</f>
        <v>158890</v>
      </c>
      <c r="BG87" s="160">
        <f t="shared" si="81"/>
        <v>109256</v>
      </c>
      <c r="BH87" s="64">
        <f t="shared" si="81"/>
        <v>129359</v>
      </c>
      <c r="BI87" s="64">
        <f t="shared" si="81"/>
        <v>114170</v>
      </c>
      <c r="BJ87" s="64">
        <f t="shared" ref="BJ87:BO87" si="82">IFERROR(ROUND(BJ88*BJ86,0),0)</f>
        <v>119939</v>
      </c>
      <c r="BK87" s="64">
        <f t="shared" si="82"/>
        <v>132095</v>
      </c>
      <c r="BL87" s="64">
        <f t="shared" si="82"/>
        <v>169935</v>
      </c>
      <c r="BM87" s="64">
        <f t="shared" si="82"/>
        <v>163074</v>
      </c>
      <c r="BN87" s="196">
        <f>SUM(BB87:BM87)</f>
        <v>1827768</v>
      </c>
      <c r="BO87" s="64">
        <f t="shared" si="82"/>
        <v>1827768</v>
      </c>
      <c r="BR87" s="418"/>
      <c r="BS87" s="418"/>
      <c r="BT87" s="31"/>
    </row>
    <row r="88" spans="1:72" ht="15.75" customHeight="1" thickTop="1">
      <c r="A88" s="374" t="s">
        <v>54</v>
      </c>
      <c r="B88" s="84">
        <f>IF('kWh_Streetlight Data'!C179=0,"",'kWh_Streetlight Data'!C179)</f>
        <v>7773.478260869565</v>
      </c>
      <c r="C88" s="108">
        <f>IF('kWh_Streetlight Data'!D179=0,"",'kWh_Streetlight Data'!D179)</f>
        <v>8074.260869565217</v>
      </c>
      <c r="D88" s="108">
        <f>IF('kWh_Streetlight Data'!E179=0,"",'kWh_Streetlight Data'!E179)</f>
        <v>7010.739130434783</v>
      </c>
      <c r="E88" s="108">
        <f>IF('kWh_Streetlight Data'!F179=0,"",'kWh_Streetlight Data'!F179)</f>
        <v>7471.782608695652</v>
      </c>
      <c r="F88" s="108">
        <f>IF('kWh_Streetlight Data'!G179=0,"",'kWh_Streetlight Data'!G179)</f>
        <v>6754.913043478261</v>
      </c>
      <c r="G88" s="108">
        <f>IF('kWh_Streetlight Data'!H179=0,"",'kWh_Streetlight Data'!H179)</f>
        <v>3056.4761904761904</v>
      </c>
      <c r="H88" s="108">
        <f>IF('kWh_Streetlight Data'!I179=0,"",'kWh_Streetlight Data'!I179)</f>
        <v>7652.84</v>
      </c>
      <c r="I88" s="108">
        <f>IF('kWh_Streetlight Data'!J179=0,"",'kWh_Streetlight Data'!J179)</f>
        <v>6916.04347826087</v>
      </c>
      <c r="J88" s="108">
        <f>IF('kWh_Streetlight Data'!K179=0,"",'kWh_Streetlight Data'!K179)</f>
        <v>4109.478260869565</v>
      </c>
      <c r="K88" s="108">
        <f>IF('kWh_Streetlight Data'!L179=0,"",'kWh_Streetlight Data'!L179)</f>
        <v>6278.4</v>
      </c>
      <c r="L88" s="108">
        <f>IF('kWh_Streetlight Data'!M179=0,"",'kWh_Streetlight Data'!M179)</f>
        <v>7791.416666666667</v>
      </c>
      <c r="M88" s="108">
        <f>IF('kWh_Streetlight Data'!N179=0,"",'kWh_Streetlight Data'!N179)</f>
        <v>7390.666666666667</v>
      </c>
      <c r="N88" s="424">
        <f>IF('kWh_Streetlight Data'!O179=0,"",'kWh_Streetlight Data'!O179)</f>
        <v>6726.3678571428572</v>
      </c>
      <c r="O88" s="84">
        <f>IF('kWh_Streetlight Data'!P179=0,"",'kWh_Streetlight Data'!P179)</f>
        <v>9768.375</v>
      </c>
      <c r="P88" s="108">
        <f>IF('kWh_Streetlight Data'!Q179=0,"",'kWh_Streetlight Data'!Q179)</f>
        <v>8550.9166666666661</v>
      </c>
      <c r="Q88" s="108">
        <f>IF('kWh_Streetlight Data'!R179=0,"",'kWh_Streetlight Data'!R179)</f>
        <v>8536.4166666666661</v>
      </c>
      <c r="R88" s="108">
        <f>IF('kWh_Streetlight Data'!S179=0,"",'kWh_Streetlight Data'!S179)</f>
        <v>7008.625</v>
      </c>
      <c r="S88" s="108">
        <f>IF('kWh_Streetlight Data'!T179=0,"",'kWh_Streetlight Data'!T179)</f>
        <v>6897.083333333333</v>
      </c>
      <c r="T88" s="108">
        <f>IF('kWh_Streetlight Data'!U179=0,"",'kWh_Streetlight Data'!U179)</f>
        <v>5707.375</v>
      </c>
      <c r="U88" s="108">
        <f>IF('kWh_Streetlight Data'!V179=0,"",'kWh_Streetlight Data'!V179)</f>
        <v>4774.125</v>
      </c>
      <c r="V88" s="108">
        <f>IF('kWh_Streetlight Data'!W179=0,"",'kWh_Streetlight Data'!W179)</f>
        <v>2655.36</v>
      </c>
      <c r="W88" s="108">
        <f>IF('kWh_Streetlight Data'!X179=0,"",'kWh_Streetlight Data'!X179)</f>
        <v>5393.521739130435</v>
      </c>
      <c r="X88" s="108">
        <f>IF('kWh_Streetlight Data'!Y179=0,"",'kWh_Streetlight Data'!Y179)</f>
        <v>5991.347826086957</v>
      </c>
      <c r="Y88" s="108">
        <f>IF('kWh_Streetlight Data'!Z179=0,"",'kWh_Streetlight Data'!Z179)</f>
        <v>6753.391304347826</v>
      </c>
      <c r="Z88" s="108">
        <f>IF('kWh_Streetlight Data'!AA179=0,"",'kWh_Streetlight Data'!AA179)</f>
        <v>6519.913043478261</v>
      </c>
      <c r="AA88" s="426">
        <f>IF('kWh_Streetlight Data'!AB179=0,"",'kWh_Streetlight Data'!AB179)</f>
        <v>6538.0771929824559</v>
      </c>
      <c r="AB88" s="442">
        <f>IF('kWh_Streetlight Data'!AC179=0,"",'kWh_Streetlight Data'!AC179)</f>
        <v>7991.869565217391</v>
      </c>
      <c r="AC88" s="443">
        <f>IF('kWh_Streetlight Data'!AD179=0,"",'kWh_Streetlight Data'!AD179)</f>
        <v>7238.304347826087</v>
      </c>
      <c r="AD88" s="443">
        <f>IF('kWh_Streetlight Data'!AE179=0,"",'kWh_Streetlight Data'!AE179)</f>
        <v>6007.695652173913</v>
      </c>
      <c r="AE88" s="443">
        <f>IF('kWh_Streetlight Data'!AF179=0,"",'kWh_Streetlight Data'!AF179)</f>
        <v>5948.695652173913</v>
      </c>
      <c r="AF88" s="443">
        <f>IF('kWh_Streetlight Data'!AG179=0,"",'kWh_Streetlight Data'!AG179)</f>
        <v>6209.304347826087</v>
      </c>
      <c r="AG88" s="443">
        <f>IF('kWh_Streetlight Data'!AH179=0,"",'kWh_Streetlight Data'!AH179)</f>
        <v>4893.086956521739</v>
      </c>
      <c r="AH88" s="443">
        <f>IF('kWh_Streetlight Data'!AI179=0,"",'kWh_Streetlight Data'!AI179)</f>
        <v>3742.8695652173915</v>
      </c>
      <c r="AI88" s="443">
        <f>IF('kWh_Streetlight Data'!AJ179=0,"",'kWh_Streetlight Data'!AJ179)</f>
        <v>4699.818181818182</v>
      </c>
      <c r="AJ88" s="443">
        <f>IF('kWh_Streetlight Data'!AK179=0,"",'kWh_Streetlight Data'!AK179)</f>
        <v>5489.333333333333</v>
      </c>
      <c r="AK88" s="443">
        <f>IF('kWh_Streetlight Data'!AL179=0,"",'kWh_Streetlight Data'!AL179)</f>
        <v>4242.086956521739</v>
      </c>
      <c r="AL88" s="443">
        <f>IF('kWh_Streetlight Data'!AM179=0,"",'kWh_Streetlight Data'!AM179)</f>
        <v>6697.090909090909</v>
      </c>
      <c r="AM88" s="443">
        <f>IF('kWh_Streetlight Data'!AN179=0,"",'kWh_Streetlight Data'!AN179)</f>
        <v>6473.708333333333</v>
      </c>
      <c r="AN88" s="424">
        <f>IF('kWh_Streetlight Data'!AO179=0,"",'kWh_Streetlight Data'!AO179)</f>
        <v>5804.873188405797</v>
      </c>
      <c r="AO88" s="34"/>
      <c r="AP88" s="35"/>
      <c r="AQ88" s="35"/>
      <c r="AR88" s="35"/>
      <c r="AS88" s="35"/>
      <c r="AT88" s="9"/>
      <c r="AU88" s="9">
        <f t="shared" ref="AU88:AZ88" si="83">IFERROR(AVERAGE(AH88,U88,H88),0)</f>
        <v>5389.9448550724637</v>
      </c>
      <c r="AV88" s="9">
        <f t="shared" si="83"/>
        <v>4757.0738866930178</v>
      </c>
      <c r="AW88" s="9">
        <f t="shared" si="83"/>
        <v>4997.4444444444443</v>
      </c>
      <c r="AX88" s="9">
        <f t="shared" si="83"/>
        <v>5503.9449275362322</v>
      </c>
      <c r="AY88" s="9">
        <f t="shared" si="83"/>
        <v>7080.6329600351346</v>
      </c>
      <c r="AZ88" s="9">
        <f t="shared" si="83"/>
        <v>6794.76268115942</v>
      </c>
      <c r="BA88" s="211"/>
      <c r="BB88" s="9">
        <v>8511.240942028986</v>
      </c>
      <c r="BC88" s="41">
        <v>7954.4939613526576</v>
      </c>
      <c r="BD88" s="41">
        <v>7184.9504830917867</v>
      </c>
      <c r="BE88" s="41">
        <v>6809.7010869565211</v>
      </c>
      <c r="BF88" s="41">
        <f t="shared" ref="BF88:BI88" si="84">IFERROR(AVERAGE(F88,S88,AF88),0)</f>
        <v>6620.4335748792264</v>
      </c>
      <c r="BG88" s="41">
        <f t="shared" si="84"/>
        <v>4552.3127156659766</v>
      </c>
      <c r="BH88" s="41">
        <f t="shared" si="84"/>
        <v>5389.9448550724637</v>
      </c>
      <c r="BI88" s="41">
        <f t="shared" si="84"/>
        <v>4757.0738866930178</v>
      </c>
      <c r="BJ88" s="41">
        <f t="shared" ref="BJ88" si="85">IFERROR(AVERAGE(J88,W88,AJ88),0)</f>
        <v>4997.4444444444443</v>
      </c>
      <c r="BK88" s="41">
        <f t="shared" ref="BK88" si="86">IFERROR(AVERAGE(K88,X88,AK88),0)</f>
        <v>5503.9449275362322</v>
      </c>
      <c r="BL88" s="41">
        <f t="shared" ref="BL88" si="87">IFERROR(AVERAGE(L88,Y88,AL88),0)</f>
        <v>7080.6329600351337</v>
      </c>
      <c r="BM88" s="41">
        <f t="shared" ref="BM88" si="88">IFERROR(AVERAGE(M88,Z88,AM88),0)</f>
        <v>6794.76268115942</v>
      </c>
      <c r="BN88" s="211">
        <f>IFERROR(BN87/SUM(BB86:BM86)*12,0)</f>
        <v>76157</v>
      </c>
      <c r="BO88" s="20">
        <f>BN88</f>
        <v>76157</v>
      </c>
      <c r="BQ88" t="s">
        <v>2</v>
      </c>
      <c r="BR88" s="231"/>
      <c r="BS88" s="231"/>
    </row>
    <row r="89" spans="1:72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 t="e">
        <f>ROUND(AU87*#REF!,0)</f>
        <v>#REF!</v>
      </c>
      <c r="AV89" s="121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1"/>
      <c r="BI89" s="121"/>
      <c r="BJ89" s="121"/>
      <c r="BK89" s="121"/>
      <c r="BL89" s="121"/>
      <c r="BM89" s="121"/>
      <c r="BN89" s="197">
        <f>SUM(BB89:BM89)</f>
        <v>0</v>
      </c>
      <c r="BO89" s="121"/>
      <c r="BQ89"/>
      <c r="BR89" s="231"/>
      <c r="BS89" s="231"/>
    </row>
    <row r="90" spans="1:72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Q90" s="2"/>
      <c r="BR90" s="38"/>
      <c r="BS90" s="38"/>
    </row>
    <row r="91" spans="1:72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R91" s="231"/>
      <c r="BS91" s="231"/>
    </row>
    <row r="92" spans="1:72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/>
      <c r="BR92" s="202"/>
      <c r="BS92" s="202"/>
    </row>
    <row r="93" spans="1:72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72" ht="15.75" customHeight="1" thickTop="1">
      <c r="A94" s="374" t="s">
        <v>54</v>
      </c>
      <c r="B94" s="84" t="str">
        <f>IF('kWh_Streetlight Data'!C180=0,"",'kWh_Streetlight Data'!C180)</f>
        <v/>
      </c>
      <c r="C94" s="108" t="str">
        <f>IF('kWh_Streetlight Data'!D180=0,"",'kWh_Streetlight Data'!D180)</f>
        <v/>
      </c>
      <c r="D94" s="108" t="str">
        <f>IF('kWh_Streetlight Data'!E180=0,"",'kWh_Streetlight Data'!E180)</f>
        <v/>
      </c>
      <c r="E94" s="108" t="str">
        <f>IF('kWh_Streetlight Data'!F180=0,"",'kWh_Streetlight Data'!F180)</f>
        <v/>
      </c>
      <c r="F94" s="108" t="str">
        <f>IF('kWh_Streetlight Data'!G180=0,"",'kWh_Streetlight Data'!G180)</f>
        <v/>
      </c>
      <c r="G94" s="108" t="str">
        <f>IF('kWh_Streetlight Data'!H180=0,"",'kWh_Streetlight Data'!H180)</f>
        <v/>
      </c>
      <c r="H94" s="108" t="str">
        <f>IF('kWh_Streetlight Data'!I180=0,"",'kWh_Streetlight Data'!I180)</f>
        <v/>
      </c>
      <c r="I94" s="108" t="str">
        <f>IF('kWh_Streetlight Data'!J180=0,"",'kWh_Streetlight Data'!J180)</f>
        <v/>
      </c>
      <c r="J94" s="108" t="str">
        <f>IF('kWh_Streetlight Data'!K180=0,"",'kWh_Streetlight Data'!K180)</f>
        <v/>
      </c>
      <c r="K94" s="108" t="str">
        <f>IF('kWh_Streetlight Data'!L180=0,"",'kWh_Streetlight Data'!L180)</f>
        <v/>
      </c>
      <c r="L94" s="130" t="str">
        <f>IF('kWh_Streetlight Data'!M180=0,"",'kWh_Streetlight Data'!M180)</f>
        <v/>
      </c>
      <c r="M94" s="130" t="str">
        <f>IF('kWh_Streetlight Data'!N180=0,"",'kWh_Streetlight Data'!N180)</f>
        <v/>
      </c>
      <c r="N94" s="425" t="str">
        <f>IF('kWh_Streetlight Data'!O180=0,"",'kWh_Streetlight Data'!O180)</f>
        <v/>
      </c>
      <c r="O94" s="84" t="str">
        <f>IF('kWh_Streetlight Data'!P180=0,"",'kWh_Streetlight Data'!P180)</f>
        <v/>
      </c>
      <c r="P94" s="108" t="str">
        <f>IF('kWh_Streetlight Data'!Q180=0,"",'kWh_Streetlight Data'!Q180)</f>
        <v/>
      </c>
      <c r="Q94" s="108" t="str">
        <f>IF('kWh_Streetlight Data'!R180=0,"",'kWh_Streetlight Data'!R180)</f>
        <v/>
      </c>
      <c r="R94" s="108" t="str">
        <f>IF('kWh_Streetlight Data'!S180=0,"",'kWh_Streetlight Data'!S180)</f>
        <v/>
      </c>
      <c r="S94" s="108" t="str">
        <f>IF('kWh_Streetlight Data'!T180=0,"",'kWh_Streetlight Data'!T180)</f>
        <v/>
      </c>
      <c r="T94" s="108" t="str">
        <f>IF('kWh_Streetlight Data'!U180=0,"",'kWh_Streetlight Data'!U180)</f>
        <v/>
      </c>
      <c r="U94" s="108" t="str">
        <f>IF('kWh_Streetlight Data'!V180=0,"",'kWh_Streetlight Data'!V180)</f>
        <v/>
      </c>
      <c r="V94" s="108" t="str">
        <f>IF('kWh_Streetlight Data'!W180=0,"",'kWh_Streetlight Data'!W180)</f>
        <v/>
      </c>
      <c r="W94" s="108" t="str">
        <f>IF('kWh_Streetlight Data'!X180=0,"",'kWh_Streetlight Data'!X180)</f>
        <v/>
      </c>
      <c r="X94" s="108" t="str">
        <f>IF('kWh_Streetlight Data'!Y180=0,"",'kWh_Streetlight Data'!Y180)</f>
        <v/>
      </c>
      <c r="Y94" s="108" t="str">
        <f>IF('kWh_Streetlight Data'!Z180=0,"",'kWh_Streetlight Data'!Z180)</f>
        <v/>
      </c>
      <c r="Z94" s="108" t="str">
        <f>IF('kWh_Streetlight Data'!AA180=0,"",'kWh_Streetlight Data'!AA180)</f>
        <v/>
      </c>
      <c r="AA94" s="426" t="str">
        <f>IF('kWh_Streetlight Data'!AB180=0,"",'kWh_Streetlight Data'!AB180)</f>
        <v/>
      </c>
      <c r="AB94" s="84" t="str">
        <f>IF('kWh_Streetlight Data'!AC180=0,"",'kWh_Streetlight Data'!AC180)</f>
        <v/>
      </c>
      <c r="AC94" s="108" t="str">
        <f>IF('kWh_Streetlight Data'!AD180=0,"",'kWh_Streetlight Data'!AD180)</f>
        <v/>
      </c>
      <c r="AD94" s="108" t="str">
        <f>IF('kWh_Streetlight Data'!AE180=0,"",'kWh_Streetlight Data'!AE180)</f>
        <v/>
      </c>
      <c r="AE94" s="108" t="str">
        <f>IF('kWh_Streetlight Data'!AF180=0,"",'kWh_Streetlight Data'!AF180)</f>
        <v/>
      </c>
      <c r="AF94" s="108" t="str">
        <f>IF('kWh_Streetlight Data'!AG180=0,"",'kWh_Streetlight Data'!AG180)</f>
        <v/>
      </c>
      <c r="AG94" s="108" t="str">
        <f>IF('kWh_Streetlight Data'!AH180=0,"",'kWh_Streetlight Data'!AH180)</f>
        <v/>
      </c>
      <c r="AH94" s="108" t="str">
        <f>IF('kWh_Streetlight Data'!AI180=0,"",'kWh_Streetlight Data'!AI180)</f>
        <v/>
      </c>
      <c r="AI94" s="108" t="str">
        <f>IF('kWh_Streetlight Data'!AJ180=0,"",'kWh_Streetlight Data'!AJ180)</f>
        <v/>
      </c>
      <c r="AJ94" s="108" t="str">
        <f>IF('kWh_Streetlight Data'!AK180=0,"",'kWh_Streetlight Data'!AK180)</f>
        <v/>
      </c>
      <c r="AK94" s="108" t="str">
        <f>IF('kWh_Streetlight Data'!AL180=0,"",'kWh_Streetlight Data'!AL180)</f>
        <v/>
      </c>
      <c r="AL94" s="108" t="str">
        <f>IF('kWh_Streetlight Data'!AM180=0,"",'kWh_Streetlight Data'!AM180)</f>
        <v/>
      </c>
      <c r="AM94" s="108" t="str">
        <f>IF('kWh_Streetlight Data'!AN180=0,"",'kWh_Streetlight Data'!AN180)</f>
        <v/>
      </c>
      <c r="AN94" s="424" t="str">
        <f>IF('kWh_Streetlight Data'!AO180=0,"",'kWh_Streetlight Data'!AO180)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482"/>
      <c r="BL94" s="482"/>
      <c r="BM94" s="339"/>
      <c r="BN94" s="211"/>
      <c r="BO94" s="20"/>
    </row>
    <row r="95" spans="1:72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2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71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71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89">AU7+AU22+AU29+AU43</f>
        <v>522</v>
      </c>
      <c r="AV98" s="9">
        <f t="shared" si="89"/>
        <v>522</v>
      </c>
      <c r="AW98" s="9">
        <f t="shared" si="89"/>
        <v>526</v>
      </c>
      <c r="AX98" s="9">
        <f t="shared" si="89"/>
        <v>526</v>
      </c>
      <c r="AY98" s="9">
        <f t="shared" si="89"/>
        <v>526</v>
      </c>
      <c r="AZ98" s="9">
        <f t="shared" si="89"/>
        <v>526</v>
      </c>
      <c r="BA98" s="138">
        <f t="shared" si="89"/>
        <v>526</v>
      </c>
      <c r="BB98" s="9">
        <v>534</v>
      </c>
      <c r="BC98" s="9">
        <v>534</v>
      </c>
      <c r="BD98" s="9">
        <v>534</v>
      </c>
      <c r="BE98" s="9">
        <v>534</v>
      </c>
      <c r="BF98" s="9">
        <f t="shared" ref="BF98:BO98" si="90">BF7+BF22+BF29+BF43</f>
        <v>534</v>
      </c>
      <c r="BG98" s="9">
        <f t="shared" si="90"/>
        <v>534</v>
      </c>
      <c r="BH98" s="9">
        <f t="shared" si="90"/>
        <v>534</v>
      </c>
      <c r="BI98" s="9">
        <f t="shared" si="90"/>
        <v>534</v>
      </c>
      <c r="BJ98" s="9">
        <f t="shared" si="90"/>
        <v>534</v>
      </c>
      <c r="BK98" s="9">
        <f t="shared" si="90"/>
        <v>534</v>
      </c>
      <c r="BL98" s="9">
        <f t="shared" si="90"/>
        <v>534</v>
      </c>
      <c r="BM98" s="9">
        <f t="shared" si="90"/>
        <v>534</v>
      </c>
      <c r="BN98" s="138">
        <f t="shared" si="90"/>
        <v>534</v>
      </c>
      <c r="BO98" s="58">
        <f t="shared" si="90"/>
        <v>542</v>
      </c>
    </row>
    <row r="99" spans="1:71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91">AU57</f>
        <v>1</v>
      </c>
      <c r="AV99" s="9">
        <f t="shared" si="91"/>
        <v>1</v>
      </c>
      <c r="AW99" s="9">
        <f t="shared" si="91"/>
        <v>1</v>
      </c>
      <c r="AX99" s="9">
        <f t="shared" si="91"/>
        <v>1</v>
      </c>
      <c r="AY99" s="9">
        <f t="shared" si="91"/>
        <v>1</v>
      </c>
      <c r="AZ99" s="9">
        <f t="shared" si="91"/>
        <v>1</v>
      </c>
      <c r="BA99" s="138">
        <f t="shared" si="91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92">BF57</f>
        <v>1</v>
      </c>
      <c r="BG99" s="9">
        <f t="shared" si="92"/>
        <v>1</v>
      </c>
      <c r="BH99" s="9">
        <f t="shared" si="92"/>
        <v>1</v>
      </c>
      <c r="BI99" s="9">
        <f t="shared" si="92"/>
        <v>1</v>
      </c>
      <c r="BJ99" s="9">
        <f t="shared" si="92"/>
        <v>1</v>
      </c>
      <c r="BK99" s="9">
        <f t="shared" si="92"/>
        <v>1</v>
      </c>
      <c r="BL99" s="9">
        <f t="shared" si="92"/>
        <v>1</v>
      </c>
      <c r="BM99" s="9">
        <f t="shared" si="92"/>
        <v>1</v>
      </c>
      <c r="BN99" s="138">
        <f t="shared" si="92"/>
        <v>1</v>
      </c>
      <c r="BO99" s="58">
        <f t="shared" si="92"/>
        <v>1</v>
      </c>
    </row>
    <row r="100" spans="1:71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93">AU65+AU75+AU81+AU86</f>
        <v>43</v>
      </c>
      <c r="AV100" s="9">
        <f t="shared" si="93"/>
        <v>43</v>
      </c>
      <c r="AW100" s="9">
        <f t="shared" si="93"/>
        <v>44</v>
      </c>
      <c r="AX100" s="9">
        <f t="shared" si="93"/>
        <v>44</v>
      </c>
      <c r="AY100" s="9">
        <f t="shared" si="93"/>
        <v>44</v>
      </c>
      <c r="AZ100" s="9">
        <f t="shared" si="93"/>
        <v>44</v>
      </c>
      <c r="BA100" s="138">
        <f t="shared" si="93"/>
        <v>44</v>
      </c>
      <c r="BB100" s="9">
        <v>45</v>
      </c>
      <c r="BC100" s="9">
        <v>45</v>
      </c>
      <c r="BD100" s="9">
        <v>45</v>
      </c>
      <c r="BE100" s="9">
        <v>45</v>
      </c>
      <c r="BF100" s="9">
        <f t="shared" ref="BF100:BO100" si="94">BF65+BF75+BF81+BF86</f>
        <v>45</v>
      </c>
      <c r="BG100" s="9">
        <f t="shared" si="94"/>
        <v>45</v>
      </c>
      <c r="BH100" s="9">
        <f t="shared" si="94"/>
        <v>45</v>
      </c>
      <c r="BI100" s="9">
        <f t="shared" si="94"/>
        <v>45</v>
      </c>
      <c r="BJ100" s="9">
        <f t="shared" si="94"/>
        <v>45</v>
      </c>
      <c r="BK100" s="9">
        <f t="shared" si="94"/>
        <v>45</v>
      </c>
      <c r="BL100" s="9">
        <f t="shared" si="94"/>
        <v>45</v>
      </c>
      <c r="BM100" s="9">
        <f t="shared" si="94"/>
        <v>45</v>
      </c>
      <c r="BN100" s="138">
        <f t="shared" si="94"/>
        <v>45</v>
      </c>
      <c r="BO100" s="58">
        <f t="shared" si="94"/>
        <v>46</v>
      </c>
    </row>
    <row r="101" spans="1:71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95">SUM(AU98:AU100)</f>
        <v>566</v>
      </c>
      <c r="AV101" s="73">
        <f t="shared" si="95"/>
        <v>566</v>
      </c>
      <c r="AW101" s="73">
        <f t="shared" si="95"/>
        <v>571</v>
      </c>
      <c r="AX101" s="73">
        <f t="shared" si="95"/>
        <v>571</v>
      </c>
      <c r="AY101" s="73">
        <f t="shared" si="95"/>
        <v>571</v>
      </c>
      <c r="AZ101" s="73">
        <f t="shared" si="95"/>
        <v>571</v>
      </c>
      <c r="BA101" s="249">
        <f t="shared" si="95"/>
        <v>571</v>
      </c>
      <c r="BB101" s="73">
        <v>580</v>
      </c>
      <c r="BC101" s="73">
        <v>580</v>
      </c>
      <c r="BD101" s="73">
        <v>580</v>
      </c>
      <c r="BE101" s="73">
        <v>580</v>
      </c>
      <c r="BF101" s="73">
        <f t="shared" ref="BF101:BO101" si="96">SUM(BF98:BF100)</f>
        <v>580</v>
      </c>
      <c r="BG101" s="73">
        <f t="shared" si="96"/>
        <v>580</v>
      </c>
      <c r="BH101" s="73">
        <f t="shared" si="96"/>
        <v>580</v>
      </c>
      <c r="BI101" s="73">
        <f t="shared" si="96"/>
        <v>580</v>
      </c>
      <c r="BJ101" s="73">
        <f t="shared" si="96"/>
        <v>580</v>
      </c>
      <c r="BK101" s="73">
        <f t="shared" si="96"/>
        <v>580</v>
      </c>
      <c r="BL101" s="73">
        <f t="shared" si="96"/>
        <v>580</v>
      </c>
      <c r="BM101" s="73">
        <f t="shared" si="96"/>
        <v>580</v>
      </c>
      <c r="BN101" s="249">
        <f t="shared" si="96"/>
        <v>580</v>
      </c>
      <c r="BO101" s="268">
        <f t="shared" si="96"/>
        <v>589</v>
      </c>
      <c r="BQ101" s="2"/>
      <c r="BR101" s="2"/>
      <c r="BS101" s="2"/>
    </row>
    <row r="102" spans="1:71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97">AU15+AU36+AU50</f>
        <v>0</v>
      </c>
      <c r="AV102" s="9">
        <f t="shared" si="97"/>
        <v>0</v>
      </c>
      <c r="AW102" s="9">
        <f t="shared" si="97"/>
        <v>0</v>
      </c>
      <c r="AX102" s="9">
        <f t="shared" si="97"/>
        <v>0</v>
      </c>
      <c r="AY102" s="9">
        <f t="shared" si="97"/>
        <v>0</v>
      </c>
      <c r="AZ102" s="9">
        <f t="shared" si="97"/>
        <v>0</v>
      </c>
      <c r="BA102" s="138">
        <f t="shared" si="97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98">BF15+BF36+BF50</f>
        <v>0</v>
      </c>
      <c r="BG102" s="9">
        <f t="shared" si="98"/>
        <v>0</v>
      </c>
      <c r="BH102" s="9">
        <f t="shared" si="98"/>
        <v>0</v>
      </c>
      <c r="BI102" s="9">
        <f t="shared" si="98"/>
        <v>0</v>
      </c>
      <c r="BJ102" s="9">
        <f t="shared" si="98"/>
        <v>0</v>
      </c>
      <c r="BK102" s="9">
        <f t="shared" si="98"/>
        <v>0</v>
      </c>
      <c r="BL102" s="9">
        <f t="shared" si="98"/>
        <v>0</v>
      </c>
      <c r="BM102" s="9">
        <f t="shared" si="98"/>
        <v>0</v>
      </c>
      <c r="BN102" s="138">
        <f t="shared" si="98"/>
        <v>0</v>
      </c>
      <c r="BO102" s="266">
        <f t="shared" si="98"/>
        <v>0</v>
      </c>
      <c r="BQ102" s="198"/>
      <c r="BR102" s="198"/>
      <c r="BS102" s="198"/>
    </row>
    <row r="103" spans="1:71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>
        <f t="shared" ref="BJ103:BO103" si="99">BJ61</f>
        <v>0</v>
      </c>
      <c r="BK103" s="9">
        <f t="shared" si="99"/>
        <v>0</v>
      </c>
      <c r="BL103" s="9">
        <f t="shared" si="99"/>
        <v>0</v>
      </c>
      <c r="BM103" s="9">
        <f t="shared" si="99"/>
        <v>0</v>
      </c>
      <c r="BN103" s="138">
        <f t="shared" si="99"/>
        <v>0</v>
      </c>
      <c r="BO103" s="58">
        <f t="shared" si="99"/>
        <v>0</v>
      </c>
    </row>
    <row r="104" spans="1:71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100">AU92</f>
        <v>0</v>
      </c>
      <c r="AV104" s="9">
        <f t="shared" si="100"/>
        <v>0</v>
      </c>
      <c r="AW104" s="9">
        <f t="shared" si="100"/>
        <v>0</v>
      </c>
      <c r="AX104" s="9">
        <f t="shared" si="100"/>
        <v>0</v>
      </c>
      <c r="AY104" s="9">
        <f t="shared" si="100"/>
        <v>0</v>
      </c>
      <c r="AZ104" s="9">
        <f t="shared" si="100"/>
        <v>0</v>
      </c>
      <c r="BA104" s="138">
        <f t="shared" si="100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101">BF92</f>
        <v>0</v>
      </c>
      <c r="BG104" s="9">
        <f t="shared" si="101"/>
        <v>0</v>
      </c>
      <c r="BH104" s="9">
        <f t="shared" si="101"/>
        <v>0</v>
      </c>
      <c r="BI104" s="9">
        <f t="shared" si="101"/>
        <v>0</v>
      </c>
      <c r="BJ104" s="9">
        <f t="shared" si="101"/>
        <v>0</v>
      </c>
      <c r="BK104" s="9">
        <f t="shared" si="101"/>
        <v>0</v>
      </c>
      <c r="BL104" s="9">
        <f t="shared" si="101"/>
        <v>0</v>
      </c>
      <c r="BM104" s="9">
        <f t="shared" si="101"/>
        <v>0</v>
      </c>
      <c r="BN104" s="138">
        <f t="shared" si="101"/>
        <v>0</v>
      </c>
      <c r="BO104" s="58">
        <f t="shared" si="101"/>
        <v>0</v>
      </c>
    </row>
    <row r="105" spans="1:71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102">SUM(AU102:AU104)</f>
        <v>0</v>
      </c>
      <c r="AV105" s="73">
        <f t="shared" si="102"/>
        <v>0</v>
      </c>
      <c r="AW105" s="73">
        <f t="shared" si="102"/>
        <v>0</v>
      </c>
      <c r="AX105" s="73">
        <f t="shared" si="102"/>
        <v>0</v>
      </c>
      <c r="AY105" s="73">
        <f t="shared" si="102"/>
        <v>0</v>
      </c>
      <c r="AZ105" s="73">
        <f t="shared" si="102"/>
        <v>0</v>
      </c>
      <c r="BA105" s="249">
        <f t="shared" si="102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103">SUM(BF102:BF104)</f>
        <v>0</v>
      </c>
      <c r="BG105" s="73">
        <f t="shared" si="103"/>
        <v>0</v>
      </c>
      <c r="BH105" s="73">
        <f t="shared" si="103"/>
        <v>0</v>
      </c>
      <c r="BI105" s="73">
        <f t="shared" si="103"/>
        <v>0</v>
      </c>
      <c r="BJ105" s="73">
        <f t="shared" si="103"/>
        <v>0</v>
      </c>
      <c r="BK105" s="73">
        <f t="shared" si="103"/>
        <v>0</v>
      </c>
      <c r="BL105" s="73">
        <f t="shared" si="103"/>
        <v>0</v>
      </c>
      <c r="BM105" s="73">
        <f t="shared" si="103"/>
        <v>0</v>
      </c>
      <c r="BN105" s="249">
        <f t="shared" si="103"/>
        <v>0</v>
      </c>
      <c r="BO105" s="268">
        <f t="shared" si="103"/>
        <v>0</v>
      </c>
      <c r="BQ105"/>
      <c r="BR105"/>
      <c r="BS105"/>
    </row>
    <row r="106" spans="1:71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104">AU105+AU101</f>
        <v>566</v>
      </c>
      <c r="AV106" s="251">
        <f t="shared" si="104"/>
        <v>566</v>
      </c>
      <c r="AW106" s="251">
        <f t="shared" si="104"/>
        <v>571</v>
      </c>
      <c r="AX106" s="251">
        <f t="shared" si="104"/>
        <v>571</v>
      </c>
      <c r="AY106" s="251">
        <f t="shared" si="104"/>
        <v>571</v>
      </c>
      <c r="AZ106" s="251">
        <f t="shared" si="104"/>
        <v>571</v>
      </c>
      <c r="BA106" s="255">
        <f t="shared" si="104"/>
        <v>571</v>
      </c>
      <c r="BB106" s="251">
        <v>580</v>
      </c>
      <c r="BC106" s="251">
        <v>580</v>
      </c>
      <c r="BD106" s="251">
        <v>580</v>
      </c>
      <c r="BE106" s="251">
        <v>580</v>
      </c>
      <c r="BF106" s="251">
        <f t="shared" si="104"/>
        <v>580</v>
      </c>
      <c r="BG106" s="251">
        <f t="shared" si="104"/>
        <v>580</v>
      </c>
      <c r="BH106" s="251">
        <f t="shared" si="104"/>
        <v>580</v>
      </c>
      <c r="BI106" s="251">
        <f t="shared" si="104"/>
        <v>580</v>
      </c>
      <c r="BJ106" s="251">
        <f t="shared" si="104"/>
        <v>580</v>
      </c>
      <c r="BK106" s="251">
        <f t="shared" si="104"/>
        <v>580</v>
      </c>
      <c r="BL106" s="251">
        <f t="shared" si="104"/>
        <v>580</v>
      </c>
      <c r="BM106" s="251">
        <f t="shared" si="104"/>
        <v>580</v>
      </c>
      <c r="BN106" s="255">
        <f t="shared" si="104"/>
        <v>580</v>
      </c>
      <c r="BO106" s="269">
        <f t="shared" si="104"/>
        <v>589</v>
      </c>
    </row>
    <row r="107" spans="1:71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Q107" s="3"/>
      <c r="BR107" s="3"/>
      <c r="BS107" s="3"/>
    </row>
    <row r="108" spans="1:71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105">AU11+AU26+AU33+AU47</f>
        <v>647256</v>
      </c>
      <c r="AV108" s="9">
        <f t="shared" si="105"/>
        <v>702968</v>
      </c>
      <c r="AW108" s="9">
        <f t="shared" si="105"/>
        <v>640466</v>
      </c>
      <c r="AX108" s="9">
        <f t="shared" si="105"/>
        <v>789490</v>
      </c>
      <c r="AY108" s="9">
        <f t="shared" si="105"/>
        <v>1001060</v>
      </c>
      <c r="AZ108" s="9">
        <f t="shared" si="105"/>
        <v>1029198</v>
      </c>
      <c r="BA108" s="138">
        <f t="shared" si="105"/>
        <v>4810438</v>
      </c>
      <c r="BB108" s="9">
        <v>1498037</v>
      </c>
      <c r="BC108" s="9">
        <v>1392987</v>
      </c>
      <c r="BD108" s="9">
        <v>1269569</v>
      </c>
      <c r="BE108" s="9">
        <v>1143859</v>
      </c>
      <c r="BF108" s="9">
        <f t="shared" ref="BF108:BO108" si="106">BF11+BF26+BF33+BF47</f>
        <v>981609</v>
      </c>
      <c r="BG108" s="9">
        <f t="shared" si="106"/>
        <v>816905</v>
      </c>
      <c r="BH108" s="9">
        <f t="shared" si="106"/>
        <v>660040</v>
      </c>
      <c r="BI108" s="9">
        <f t="shared" si="106"/>
        <v>716458</v>
      </c>
      <c r="BJ108" s="9">
        <f t="shared" si="106"/>
        <v>648624</v>
      </c>
      <c r="BK108" s="9">
        <f t="shared" si="106"/>
        <v>800180</v>
      </c>
      <c r="BL108" s="9">
        <f t="shared" si="106"/>
        <v>1014604</v>
      </c>
      <c r="BM108" s="9">
        <f t="shared" si="106"/>
        <v>1043166</v>
      </c>
      <c r="BN108" s="138">
        <f t="shared" si="106"/>
        <v>11986038</v>
      </c>
      <c r="BO108" s="58">
        <f t="shared" si="106"/>
        <v>12145218</v>
      </c>
    </row>
    <row r="109" spans="1:71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107">AU58</f>
        <v>4216</v>
      </c>
      <c r="AV109" s="9">
        <f t="shared" si="107"/>
        <v>4216</v>
      </c>
      <c r="AW109" s="9">
        <f t="shared" si="107"/>
        <v>4216</v>
      </c>
      <c r="AX109" s="9">
        <f t="shared" si="107"/>
        <v>4216</v>
      </c>
      <c r="AY109" s="9">
        <f t="shared" si="107"/>
        <v>4216</v>
      </c>
      <c r="AZ109" s="9">
        <f t="shared" si="107"/>
        <v>4216</v>
      </c>
      <c r="BA109" s="138">
        <f t="shared" si="107"/>
        <v>25296</v>
      </c>
      <c r="BB109" s="9">
        <v>4216</v>
      </c>
      <c r="BC109" s="9">
        <v>4216</v>
      </c>
      <c r="BD109" s="9">
        <v>4216</v>
      </c>
      <c r="BE109" s="9">
        <v>4216</v>
      </c>
      <c r="BF109" s="9">
        <f t="shared" ref="BF109:BO109" si="108">BF58</f>
        <v>4216</v>
      </c>
      <c r="BG109" s="9">
        <f t="shared" si="108"/>
        <v>4216</v>
      </c>
      <c r="BH109" s="9">
        <f t="shared" si="108"/>
        <v>4216</v>
      </c>
      <c r="BI109" s="9">
        <f t="shared" si="108"/>
        <v>4216</v>
      </c>
      <c r="BJ109" s="9">
        <f t="shared" si="108"/>
        <v>4216</v>
      </c>
      <c r="BK109" s="9">
        <f t="shared" si="108"/>
        <v>4216</v>
      </c>
      <c r="BL109" s="9">
        <f t="shared" si="108"/>
        <v>4216</v>
      </c>
      <c r="BM109" s="9">
        <f t="shared" si="108"/>
        <v>4216</v>
      </c>
      <c r="BN109" s="138">
        <f t="shared" si="108"/>
        <v>50592</v>
      </c>
      <c r="BO109" s="58">
        <f t="shared" si="108"/>
        <v>50592</v>
      </c>
    </row>
    <row r="110" spans="1:71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109">AU68+AU78+AU82+AU87</f>
        <v>146109</v>
      </c>
      <c r="AV110" s="9">
        <f t="shared" si="109"/>
        <v>125633</v>
      </c>
      <c r="AW110" s="9">
        <f t="shared" si="109"/>
        <v>135559</v>
      </c>
      <c r="AX110" s="9">
        <f t="shared" si="109"/>
        <v>152808</v>
      </c>
      <c r="AY110" s="9">
        <f t="shared" si="109"/>
        <v>190789</v>
      </c>
      <c r="AZ110" s="9">
        <f t="shared" si="109"/>
        <v>196103</v>
      </c>
      <c r="BA110" s="138">
        <f t="shared" si="109"/>
        <v>947001</v>
      </c>
      <c r="BB110" s="9">
        <v>233765</v>
      </c>
      <c r="BC110" s="9">
        <v>219878</v>
      </c>
      <c r="BD110" s="9">
        <v>197701</v>
      </c>
      <c r="BE110" s="9">
        <v>187247</v>
      </c>
      <c r="BF110" s="9">
        <f t="shared" ref="BF110:BO110" si="110">BF68+BF78+BF82+BF87</f>
        <v>179858</v>
      </c>
      <c r="BG110" s="9">
        <f t="shared" si="110"/>
        <v>129650</v>
      </c>
      <c r="BH110" s="9">
        <f t="shared" si="110"/>
        <v>147873</v>
      </c>
      <c r="BI110" s="9">
        <f t="shared" si="110"/>
        <v>126840</v>
      </c>
      <c r="BJ110" s="9">
        <f t="shared" si="110"/>
        <v>136340</v>
      </c>
      <c r="BK110" s="9">
        <f t="shared" si="110"/>
        <v>153844</v>
      </c>
      <c r="BL110" s="9">
        <f t="shared" si="110"/>
        <v>191832</v>
      </c>
      <c r="BM110" s="9">
        <f t="shared" si="110"/>
        <v>197754</v>
      </c>
      <c r="BN110" s="138">
        <f t="shared" si="110"/>
        <v>2102582</v>
      </c>
      <c r="BO110" s="58">
        <f t="shared" si="110"/>
        <v>2115668</v>
      </c>
    </row>
    <row r="111" spans="1:71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111">SUM(AU108:AU110)</f>
        <v>797581</v>
      </c>
      <c r="AV111" s="73">
        <f t="shared" si="111"/>
        <v>832817</v>
      </c>
      <c r="AW111" s="73">
        <f t="shared" si="111"/>
        <v>780241</v>
      </c>
      <c r="AX111" s="73">
        <f t="shared" si="111"/>
        <v>946514</v>
      </c>
      <c r="AY111" s="73">
        <f t="shared" si="111"/>
        <v>1196065</v>
      </c>
      <c r="AZ111" s="73">
        <f t="shared" si="111"/>
        <v>1229517</v>
      </c>
      <c r="BA111" s="249">
        <f t="shared" si="111"/>
        <v>5782735</v>
      </c>
      <c r="BB111" s="73">
        <v>1736018</v>
      </c>
      <c r="BC111" s="73">
        <v>1617081</v>
      </c>
      <c r="BD111" s="73">
        <v>1471486</v>
      </c>
      <c r="BE111" s="73">
        <v>1335322</v>
      </c>
      <c r="BF111" s="73">
        <f t="shared" ref="BF111:BO111" si="112">SUM(BF108:BF110)</f>
        <v>1165683</v>
      </c>
      <c r="BG111" s="73">
        <f t="shared" si="112"/>
        <v>950771</v>
      </c>
      <c r="BH111" s="73">
        <f t="shared" si="112"/>
        <v>812129</v>
      </c>
      <c r="BI111" s="73">
        <f t="shared" si="112"/>
        <v>847514</v>
      </c>
      <c r="BJ111" s="73">
        <f t="shared" si="112"/>
        <v>789180</v>
      </c>
      <c r="BK111" s="73">
        <f t="shared" si="112"/>
        <v>958240</v>
      </c>
      <c r="BL111" s="73">
        <f t="shared" si="112"/>
        <v>1210652</v>
      </c>
      <c r="BM111" s="73">
        <f t="shared" si="112"/>
        <v>1245136</v>
      </c>
      <c r="BN111" s="249">
        <f t="shared" si="112"/>
        <v>14139212</v>
      </c>
      <c r="BO111" s="268">
        <f t="shared" si="112"/>
        <v>14311478</v>
      </c>
      <c r="BQ111"/>
      <c r="BR111"/>
      <c r="BS111"/>
    </row>
    <row r="112" spans="1:71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113">AU19+AU40+AU54</f>
        <v>0</v>
      </c>
      <c r="AV112" s="9">
        <f t="shared" si="113"/>
        <v>0</v>
      </c>
      <c r="AW112" s="9">
        <f t="shared" si="113"/>
        <v>0</v>
      </c>
      <c r="AX112" s="9">
        <f t="shared" si="113"/>
        <v>0</v>
      </c>
      <c r="AY112" s="9">
        <f t="shared" si="113"/>
        <v>0</v>
      </c>
      <c r="AZ112" s="9">
        <f t="shared" si="113"/>
        <v>0</v>
      </c>
      <c r="BA112" s="138">
        <f t="shared" si="113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114">BF19+BF40+BF54</f>
        <v>0</v>
      </c>
      <c r="BG112" s="9">
        <f t="shared" si="114"/>
        <v>0</v>
      </c>
      <c r="BH112" s="9">
        <f t="shared" si="114"/>
        <v>0</v>
      </c>
      <c r="BI112" s="9">
        <f t="shared" si="114"/>
        <v>0</v>
      </c>
      <c r="BJ112" s="9">
        <f t="shared" si="114"/>
        <v>0</v>
      </c>
      <c r="BK112" s="9">
        <f t="shared" si="114"/>
        <v>0</v>
      </c>
      <c r="BL112" s="9">
        <f t="shared" si="114"/>
        <v>0</v>
      </c>
      <c r="BM112" s="9">
        <f t="shared" si="114"/>
        <v>0</v>
      </c>
      <c r="BN112" s="138">
        <f t="shared" si="114"/>
        <v>0</v>
      </c>
      <c r="BO112" s="58">
        <f t="shared" si="114"/>
        <v>0</v>
      </c>
      <c r="BQ112" s="3"/>
      <c r="BR112" s="3"/>
      <c r="BS112" s="3"/>
    </row>
    <row r="113" spans="1:71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>
        <f t="shared" ref="BJ113:BO113" si="115">BJ62</f>
        <v>0</v>
      </c>
      <c r="BK113" s="9">
        <f t="shared" si="115"/>
        <v>0</v>
      </c>
      <c r="BL113" s="9">
        <f t="shared" si="115"/>
        <v>0</v>
      </c>
      <c r="BM113" s="9">
        <f t="shared" si="115"/>
        <v>0</v>
      </c>
      <c r="BN113" s="138">
        <f t="shared" si="115"/>
        <v>0</v>
      </c>
      <c r="BO113" s="58">
        <f t="shared" si="115"/>
        <v>0</v>
      </c>
    </row>
    <row r="114" spans="1:71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116">AU93</f>
        <v>0</v>
      </c>
      <c r="AV114" s="9">
        <f t="shared" si="116"/>
        <v>0</v>
      </c>
      <c r="AW114" s="9">
        <f t="shared" si="116"/>
        <v>0</v>
      </c>
      <c r="AX114" s="9">
        <f t="shared" si="116"/>
        <v>0</v>
      </c>
      <c r="AY114" s="9">
        <f t="shared" si="116"/>
        <v>0</v>
      </c>
      <c r="AZ114" s="9">
        <f t="shared" si="116"/>
        <v>0</v>
      </c>
      <c r="BA114" s="138">
        <f t="shared" si="116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117">BF93</f>
        <v>0</v>
      </c>
      <c r="BG114" s="9">
        <f t="shared" si="117"/>
        <v>0</v>
      </c>
      <c r="BH114" s="9">
        <f t="shared" si="117"/>
        <v>0</v>
      </c>
      <c r="BI114" s="9">
        <f t="shared" si="117"/>
        <v>0</v>
      </c>
      <c r="BJ114" s="9">
        <f t="shared" si="117"/>
        <v>0</v>
      </c>
      <c r="BK114" s="9">
        <f t="shared" si="117"/>
        <v>0</v>
      </c>
      <c r="BL114" s="9">
        <f t="shared" si="117"/>
        <v>0</v>
      </c>
      <c r="BM114" s="9">
        <f t="shared" si="117"/>
        <v>0</v>
      </c>
      <c r="BN114" s="138">
        <f t="shared" si="117"/>
        <v>0</v>
      </c>
      <c r="BO114" s="58">
        <f t="shared" si="117"/>
        <v>0</v>
      </c>
    </row>
    <row r="115" spans="1:71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118">SUM(AU112:AU114)</f>
        <v>0</v>
      </c>
      <c r="AV115" s="73">
        <f t="shared" si="118"/>
        <v>0</v>
      </c>
      <c r="AW115" s="73">
        <f t="shared" si="118"/>
        <v>0</v>
      </c>
      <c r="AX115" s="73">
        <f t="shared" si="118"/>
        <v>0</v>
      </c>
      <c r="AY115" s="73">
        <f t="shared" si="118"/>
        <v>0</v>
      </c>
      <c r="AZ115" s="73">
        <f t="shared" si="118"/>
        <v>0</v>
      </c>
      <c r="BA115" s="249">
        <f t="shared" si="118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119">SUM(BF112:BF114)</f>
        <v>0</v>
      </c>
      <c r="BG115" s="73">
        <f t="shared" si="119"/>
        <v>0</v>
      </c>
      <c r="BH115" s="73">
        <f t="shared" si="119"/>
        <v>0</v>
      </c>
      <c r="BI115" s="73">
        <f t="shared" si="119"/>
        <v>0</v>
      </c>
      <c r="BJ115" s="73">
        <f t="shared" si="119"/>
        <v>0</v>
      </c>
      <c r="BK115" s="73">
        <f t="shared" si="119"/>
        <v>0</v>
      </c>
      <c r="BL115" s="73">
        <f t="shared" si="119"/>
        <v>0</v>
      </c>
      <c r="BM115" s="73">
        <f t="shared" si="119"/>
        <v>0</v>
      </c>
      <c r="BN115" s="249">
        <f t="shared" si="119"/>
        <v>0</v>
      </c>
      <c r="BO115" s="268">
        <f t="shared" si="119"/>
        <v>0</v>
      </c>
      <c r="BQ115"/>
      <c r="BR115"/>
      <c r="BS115"/>
    </row>
    <row r="116" spans="1:71" s="3" customFormat="1" ht="15.75" customHeight="1" thickBot="1">
      <c r="A116" s="201" t="s">
        <v>236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120">AU115+AU111</f>
        <v>797581</v>
      </c>
      <c r="AV116" s="251">
        <f t="shared" si="120"/>
        <v>832817</v>
      </c>
      <c r="AW116" s="251">
        <f t="shared" si="120"/>
        <v>780241</v>
      </c>
      <c r="AX116" s="251">
        <f t="shared" si="120"/>
        <v>946514</v>
      </c>
      <c r="AY116" s="251">
        <f t="shared" si="120"/>
        <v>1196065</v>
      </c>
      <c r="AZ116" s="251">
        <f t="shared" si="120"/>
        <v>1229517</v>
      </c>
      <c r="BA116" s="255">
        <f t="shared" si="120"/>
        <v>5782735</v>
      </c>
      <c r="BB116" s="251">
        <v>1736018</v>
      </c>
      <c r="BC116" s="251">
        <v>1617081</v>
      </c>
      <c r="BD116" s="251">
        <v>1471486</v>
      </c>
      <c r="BE116" s="251">
        <v>1335322</v>
      </c>
      <c r="BF116" s="251">
        <f t="shared" si="120"/>
        <v>1165683</v>
      </c>
      <c r="BG116" s="251">
        <f t="shared" si="120"/>
        <v>950771</v>
      </c>
      <c r="BH116" s="251">
        <f t="shared" si="120"/>
        <v>812129</v>
      </c>
      <c r="BI116" s="251">
        <f t="shared" si="120"/>
        <v>847514</v>
      </c>
      <c r="BJ116" s="251">
        <f t="shared" si="120"/>
        <v>789180</v>
      </c>
      <c r="BK116" s="251">
        <f t="shared" si="120"/>
        <v>958240</v>
      </c>
      <c r="BL116" s="251">
        <f t="shared" si="120"/>
        <v>1210652</v>
      </c>
      <c r="BM116" s="251">
        <f t="shared" si="120"/>
        <v>1245136</v>
      </c>
      <c r="BN116" s="255">
        <f t="shared" si="120"/>
        <v>14139212</v>
      </c>
      <c r="BO116" s="269">
        <f t="shared" si="120"/>
        <v>14311478</v>
      </c>
    </row>
    <row r="117" spans="1:71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Q117" s="3"/>
      <c r="BR117" s="3"/>
      <c r="BS117" s="3"/>
    </row>
    <row r="118" spans="1:71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Q118" s="3"/>
      <c r="BR118" s="3"/>
      <c r="BS118" s="3"/>
    </row>
    <row r="119" spans="1:71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18</v>
      </c>
      <c r="AV119" s="280">
        <f>AU119</f>
        <v>18</v>
      </c>
      <c r="AW119" s="280">
        <f>AV119</f>
        <v>18</v>
      </c>
      <c r="AX119" s="280">
        <f t="shared" ref="AX119:AZ119" si="121">AW119</f>
        <v>18</v>
      </c>
      <c r="AY119" s="280">
        <f t="shared" si="121"/>
        <v>18</v>
      </c>
      <c r="AZ119" s="280">
        <f t="shared" si="121"/>
        <v>18</v>
      </c>
      <c r="BA119" s="259"/>
      <c r="BB119" s="280">
        <v>18</v>
      </c>
      <c r="BC119" s="280">
        <v>18</v>
      </c>
      <c r="BD119" s="280">
        <v>18</v>
      </c>
      <c r="BE119" s="280">
        <v>18</v>
      </c>
      <c r="BF119" s="280">
        <f t="shared" ref="BF119:BM119" si="122">BE119</f>
        <v>18</v>
      </c>
      <c r="BG119" s="280">
        <f t="shared" si="122"/>
        <v>18</v>
      </c>
      <c r="BH119" s="280">
        <f t="shared" si="122"/>
        <v>18</v>
      </c>
      <c r="BI119" s="280">
        <f t="shared" si="122"/>
        <v>18</v>
      </c>
      <c r="BJ119" s="280">
        <f t="shared" si="122"/>
        <v>18</v>
      </c>
      <c r="BK119" s="280">
        <f t="shared" si="122"/>
        <v>18</v>
      </c>
      <c r="BL119" s="280">
        <f t="shared" si="122"/>
        <v>18</v>
      </c>
      <c r="BM119" s="280">
        <f t="shared" si="122"/>
        <v>18</v>
      </c>
      <c r="BN119" s="259"/>
      <c r="BO119" s="343">
        <f>BM119</f>
        <v>18</v>
      </c>
    </row>
    <row r="120" spans="1:71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425284</v>
      </c>
      <c r="AU120" s="107">
        <v>448711.10395584174</v>
      </c>
      <c r="AV120" s="39">
        <f>ROUND(AW108/30*AV119,0)</f>
        <v>384280</v>
      </c>
      <c r="AW120" s="39">
        <f>ROUND(AX108/30*AW119,0)</f>
        <v>473694</v>
      </c>
      <c r="AX120" s="39">
        <f>ROUND(AY108/30*AX119,0)</f>
        <v>600636</v>
      </c>
      <c r="AY120" s="39">
        <f>ROUND(AZ108/30*AY119,0)</f>
        <v>617519</v>
      </c>
      <c r="AZ120" s="39">
        <f>ROUND(BB108/30*AZ119,0)</f>
        <v>898822</v>
      </c>
      <c r="BA120" s="215"/>
      <c r="BB120" s="346">
        <v>835792</v>
      </c>
      <c r="BC120" s="346">
        <v>761741</v>
      </c>
      <c r="BD120" s="346">
        <v>686315</v>
      </c>
      <c r="BE120" s="346">
        <v>588965</v>
      </c>
      <c r="BF120" s="346">
        <f t="shared" ref="BF120:BL120" si="123">ROUND(BG108/30*BF119,0)</f>
        <v>490143</v>
      </c>
      <c r="BG120" s="346">
        <f t="shared" si="123"/>
        <v>396024</v>
      </c>
      <c r="BH120" s="346">
        <f t="shared" si="123"/>
        <v>429875</v>
      </c>
      <c r="BI120" s="57">
        <f t="shared" si="123"/>
        <v>389174</v>
      </c>
      <c r="BJ120" s="57">
        <f t="shared" si="123"/>
        <v>480108</v>
      </c>
      <c r="BK120" s="57">
        <f t="shared" si="123"/>
        <v>608762</v>
      </c>
      <c r="BL120" s="57">
        <f t="shared" si="123"/>
        <v>625900</v>
      </c>
      <c r="BM120" s="57">
        <f>ROUND(BO108*0.11/30*BM119,0)</f>
        <v>801584</v>
      </c>
      <c r="BN120" s="215"/>
      <c r="BO120" s="141">
        <v>812090</v>
      </c>
    </row>
    <row r="121" spans="1:71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49267</v>
      </c>
      <c r="AU121" s="107">
        <v>39076</v>
      </c>
      <c r="AV121" s="39">
        <f>ROUND(AW110/30*AV119,0)</f>
        <v>81335</v>
      </c>
      <c r="AW121" s="39">
        <f>ROUND(AX110/30*AW119,0)</f>
        <v>91685</v>
      </c>
      <c r="AX121" s="39">
        <f>ROUND(AY110/30*AX119,0)</f>
        <v>114473</v>
      </c>
      <c r="AY121" s="39">
        <f>ROUND(AZ110/30*AY119,0)</f>
        <v>117662</v>
      </c>
      <c r="AZ121" s="39">
        <f>ROUND(BB110/30*AZ119,0)</f>
        <v>140259</v>
      </c>
      <c r="BA121" s="215"/>
      <c r="BB121" s="57">
        <v>131927</v>
      </c>
      <c r="BC121" s="57">
        <v>118621</v>
      </c>
      <c r="BD121" s="57">
        <v>112348</v>
      </c>
      <c r="BE121" s="57">
        <v>107915</v>
      </c>
      <c r="BF121" s="57">
        <f t="shared" ref="BF121:BL121" si="124">ROUND(BG110/30*BF119,0)</f>
        <v>77790</v>
      </c>
      <c r="BG121" s="57">
        <f t="shared" si="124"/>
        <v>88724</v>
      </c>
      <c r="BH121" s="57">
        <f t="shared" si="124"/>
        <v>76104</v>
      </c>
      <c r="BI121" s="57">
        <f t="shared" si="124"/>
        <v>81804</v>
      </c>
      <c r="BJ121" s="57">
        <f t="shared" si="124"/>
        <v>92306</v>
      </c>
      <c r="BK121" s="57">
        <f t="shared" si="124"/>
        <v>115099</v>
      </c>
      <c r="BL121" s="57">
        <f t="shared" si="124"/>
        <v>118652</v>
      </c>
      <c r="BM121" s="57">
        <f>ROUND(BO110*0.11/30*BM119,0)</f>
        <v>139634</v>
      </c>
      <c r="BN121" s="215"/>
      <c r="BO121" s="141">
        <v>140498</v>
      </c>
    </row>
    <row r="122" spans="1:71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-425284</v>
      </c>
      <c r="AV122" s="57">
        <f t="shared" ref="AV122:AZ123" si="125">-AU120</f>
        <v>-448711.10395584174</v>
      </c>
      <c r="AW122" s="57">
        <f t="shared" si="125"/>
        <v>-384280</v>
      </c>
      <c r="AX122" s="57">
        <f t="shared" si="125"/>
        <v>-473694</v>
      </c>
      <c r="AY122" s="57">
        <f t="shared" si="125"/>
        <v>-600636</v>
      </c>
      <c r="AZ122" s="57">
        <f t="shared" si="125"/>
        <v>-617519</v>
      </c>
      <c r="BA122" s="215"/>
      <c r="BB122" s="57">
        <v>-898822</v>
      </c>
      <c r="BC122" s="57">
        <v>-835792</v>
      </c>
      <c r="BD122" s="57">
        <v>-761741</v>
      </c>
      <c r="BE122" s="57">
        <v>-686315</v>
      </c>
      <c r="BF122" s="57">
        <f t="shared" ref="BF122:BM123" si="126">-BE120</f>
        <v>-588965</v>
      </c>
      <c r="BG122" s="57">
        <f t="shared" si="126"/>
        <v>-490143</v>
      </c>
      <c r="BH122" s="57">
        <f t="shared" si="126"/>
        <v>-396024</v>
      </c>
      <c r="BI122" s="57">
        <f t="shared" si="126"/>
        <v>-429875</v>
      </c>
      <c r="BJ122" s="57">
        <f t="shared" si="126"/>
        <v>-389174</v>
      </c>
      <c r="BK122" s="57">
        <f t="shared" si="126"/>
        <v>-480108</v>
      </c>
      <c r="BL122" s="57">
        <f t="shared" si="126"/>
        <v>-608762</v>
      </c>
      <c r="BM122" s="57">
        <f t="shared" si="126"/>
        <v>-625900</v>
      </c>
      <c r="BN122" s="215"/>
      <c r="BO122" s="141">
        <f>-BM120</f>
        <v>-801584</v>
      </c>
    </row>
    <row r="123" spans="1:71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-49267</v>
      </c>
      <c r="AV123" s="57">
        <f t="shared" si="125"/>
        <v>-39076</v>
      </c>
      <c r="AW123" s="57">
        <f t="shared" si="125"/>
        <v>-81335</v>
      </c>
      <c r="AX123" s="57">
        <f t="shared" si="125"/>
        <v>-91685</v>
      </c>
      <c r="AY123" s="57">
        <f t="shared" si="125"/>
        <v>-114473</v>
      </c>
      <c r="AZ123" s="57">
        <f t="shared" si="125"/>
        <v>-117662</v>
      </c>
      <c r="BA123" s="215"/>
      <c r="BB123" s="57">
        <v>-140259</v>
      </c>
      <c r="BC123" s="57">
        <v>-131927</v>
      </c>
      <c r="BD123" s="57">
        <v>-118621</v>
      </c>
      <c r="BE123" s="57">
        <v>-112348</v>
      </c>
      <c r="BF123" s="57">
        <f t="shared" si="126"/>
        <v>-107915</v>
      </c>
      <c r="BG123" s="57">
        <f t="shared" si="126"/>
        <v>-77790</v>
      </c>
      <c r="BH123" s="57">
        <f t="shared" si="126"/>
        <v>-88724</v>
      </c>
      <c r="BI123" s="57">
        <f t="shared" si="126"/>
        <v>-76104</v>
      </c>
      <c r="BJ123" s="57">
        <f t="shared" si="126"/>
        <v>-81804</v>
      </c>
      <c r="BK123" s="57">
        <f t="shared" si="126"/>
        <v>-92306</v>
      </c>
      <c r="BL123" s="57">
        <f t="shared" si="126"/>
        <v>-115099</v>
      </c>
      <c r="BM123" s="57">
        <f t="shared" si="126"/>
        <v>-118652</v>
      </c>
      <c r="BN123" s="215"/>
      <c r="BO123" s="141">
        <f>-BM121</f>
        <v>-139634</v>
      </c>
    </row>
    <row r="124" spans="1:71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13236.10395584174</v>
      </c>
      <c r="AV124" s="344">
        <f t="shared" ref="AV124:AZ124" si="127">SUM(AV120:AV123)</f>
        <v>-22172.10395584174</v>
      </c>
      <c r="AW124" s="344">
        <f t="shared" si="127"/>
        <v>99764</v>
      </c>
      <c r="AX124" s="344">
        <f t="shared" si="127"/>
        <v>149730</v>
      </c>
      <c r="AY124" s="344">
        <f t="shared" si="127"/>
        <v>20072</v>
      </c>
      <c r="AZ124" s="344">
        <f t="shared" si="127"/>
        <v>303900</v>
      </c>
      <c r="BA124" s="345"/>
      <c r="BB124" s="344">
        <v>-71362</v>
      </c>
      <c r="BC124" s="344">
        <v>-87357</v>
      </c>
      <c r="BD124" s="344">
        <v>-81699</v>
      </c>
      <c r="BE124" s="344">
        <v>-101783</v>
      </c>
      <c r="BF124" s="344">
        <f t="shared" ref="BF124:BO124" si="128">SUM(BF120:BF123)</f>
        <v>-128947</v>
      </c>
      <c r="BG124" s="344">
        <f t="shared" si="128"/>
        <v>-83185</v>
      </c>
      <c r="BH124" s="344">
        <f t="shared" si="128"/>
        <v>21231</v>
      </c>
      <c r="BI124" s="344">
        <f t="shared" si="128"/>
        <v>-35001</v>
      </c>
      <c r="BJ124" s="344">
        <f t="shared" si="128"/>
        <v>101436</v>
      </c>
      <c r="BK124" s="344">
        <f t="shared" si="128"/>
        <v>151447</v>
      </c>
      <c r="BL124" s="344">
        <f t="shared" si="128"/>
        <v>20691</v>
      </c>
      <c r="BM124" s="344">
        <f t="shared" si="128"/>
        <v>196666</v>
      </c>
      <c r="BN124" s="345"/>
      <c r="BO124" s="272">
        <f t="shared" si="128"/>
        <v>11370</v>
      </c>
    </row>
    <row r="125" spans="1:71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18</v>
      </c>
      <c r="AV125" s="344">
        <f>AU125</f>
        <v>18</v>
      </c>
      <c r="AW125" s="344">
        <f>AV125</f>
        <v>18</v>
      </c>
      <c r="AX125" s="344">
        <f t="shared" ref="AX125:AZ125" si="129">AW125</f>
        <v>18</v>
      </c>
      <c r="AY125" s="344">
        <f t="shared" si="129"/>
        <v>18</v>
      </c>
      <c r="AZ125" s="344">
        <f t="shared" si="129"/>
        <v>18</v>
      </c>
      <c r="BA125" s="345"/>
      <c r="BB125" s="344">
        <v>18</v>
      </c>
      <c r="BC125" s="344">
        <v>18</v>
      </c>
      <c r="BD125" s="344">
        <v>18</v>
      </c>
      <c r="BE125" s="344">
        <v>18</v>
      </c>
      <c r="BF125" s="344">
        <f t="shared" ref="BF125:BM125" si="130">BE125</f>
        <v>18</v>
      </c>
      <c r="BG125" s="344">
        <f t="shared" si="130"/>
        <v>18</v>
      </c>
      <c r="BH125" s="344">
        <f t="shared" si="130"/>
        <v>18</v>
      </c>
      <c r="BI125" s="344">
        <f t="shared" si="130"/>
        <v>18</v>
      </c>
      <c r="BJ125" s="344">
        <f t="shared" si="130"/>
        <v>18</v>
      </c>
      <c r="BK125" s="344">
        <f t="shared" si="130"/>
        <v>18</v>
      </c>
      <c r="BL125" s="344">
        <f t="shared" si="130"/>
        <v>18</v>
      </c>
      <c r="BM125" s="344">
        <f t="shared" si="130"/>
        <v>18</v>
      </c>
      <c r="BN125" s="345"/>
      <c r="BO125" s="272">
        <f>BM125</f>
        <v>18</v>
      </c>
    </row>
    <row r="126" spans="1:71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31">ROUND(AV112/30*AU125,0)</f>
        <v>0</v>
      </c>
      <c r="AV126" s="57">
        <f t="shared" si="131"/>
        <v>0</v>
      </c>
      <c r="AW126" s="57">
        <f t="shared" si="131"/>
        <v>0</v>
      </c>
      <c r="AX126" s="57">
        <f t="shared" si="131"/>
        <v>0</v>
      </c>
      <c r="AY126" s="57">
        <f t="shared" si="131"/>
        <v>0</v>
      </c>
      <c r="AZ126" s="57">
        <f t="shared" si="131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>BG112/30*BF125</f>
        <v>0</v>
      </c>
      <c r="BG126" s="57">
        <f>BH112/30*BG125</f>
        <v>0</v>
      </c>
      <c r="BH126" s="57">
        <f>BI112/30*BH125</f>
        <v>0</v>
      </c>
      <c r="BI126" s="57">
        <f>ROUND(BJ112/30*BI125,0)</f>
        <v>0</v>
      </c>
      <c r="BJ126" s="57">
        <f>ROUND(BK112/30*BJ125,0)</f>
        <v>0</v>
      </c>
      <c r="BK126" s="57">
        <f>ROUND(BL112/30*BK125,0)</f>
        <v>0</v>
      </c>
      <c r="BL126" s="57">
        <f>ROUND(BM112/30*BL125,0)</f>
        <v>0</v>
      </c>
      <c r="BM126" s="57">
        <f>ROUND(BO112*0.11/30*BM125,0)</f>
        <v>0</v>
      </c>
      <c r="BN126" s="215"/>
      <c r="BO126" s="141">
        <v>0</v>
      </c>
    </row>
    <row r="127" spans="1:71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32">ROUND(AV114/30*AU125,0)</f>
        <v>0</v>
      </c>
      <c r="AV127" s="57">
        <f t="shared" si="132"/>
        <v>0</v>
      </c>
      <c r="AW127" s="57">
        <f t="shared" si="132"/>
        <v>0</v>
      </c>
      <c r="AX127" s="57">
        <f t="shared" si="132"/>
        <v>0</v>
      </c>
      <c r="AY127" s="57">
        <f t="shared" si="132"/>
        <v>0</v>
      </c>
      <c r="AZ127" s="57">
        <f t="shared" si="132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133">ROUND(BG114/30*BF125,0)</f>
        <v>0</v>
      </c>
      <c r="BG127" s="57">
        <f t="shared" si="133"/>
        <v>0</v>
      </c>
      <c r="BH127" s="57">
        <f t="shared" si="133"/>
        <v>0</v>
      </c>
      <c r="BI127" s="57">
        <f t="shared" si="133"/>
        <v>0</v>
      </c>
      <c r="BJ127" s="57">
        <f t="shared" si="133"/>
        <v>0</v>
      </c>
      <c r="BK127" s="57">
        <f t="shared" si="133"/>
        <v>0</v>
      </c>
      <c r="BL127" s="57">
        <f t="shared" si="133"/>
        <v>0</v>
      </c>
      <c r="BM127" s="57">
        <f>ROUND(BO114*0.11/30*BM125,0)</f>
        <v>0</v>
      </c>
      <c r="BN127" s="215"/>
      <c r="BO127" s="141">
        <v>0</v>
      </c>
    </row>
    <row r="128" spans="1:71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134">-AU126</f>
        <v>0</v>
      </c>
      <c r="AW128" s="57">
        <f t="shared" si="134"/>
        <v>0</v>
      </c>
      <c r="AX128" s="57">
        <f t="shared" si="134"/>
        <v>0</v>
      </c>
      <c r="AY128" s="57">
        <f t="shared" si="134"/>
        <v>0</v>
      </c>
      <c r="AZ128" s="57">
        <f t="shared" si="134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135">-BE126</f>
        <v>0</v>
      </c>
      <c r="BG128" s="57">
        <f t="shared" si="135"/>
        <v>0</v>
      </c>
      <c r="BH128" s="57">
        <f t="shared" si="135"/>
        <v>0</v>
      </c>
      <c r="BI128" s="57">
        <f t="shared" si="135"/>
        <v>0</v>
      </c>
      <c r="BJ128" s="57">
        <f t="shared" si="135"/>
        <v>0</v>
      </c>
      <c r="BK128" s="57">
        <f t="shared" si="135"/>
        <v>0</v>
      </c>
      <c r="BL128" s="57">
        <f t="shared" si="135"/>
        <v>0</v>
      </c>
      <c r="BM128" s="57">
        <f t="shared" si="135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134"/>
        <v>0</v>
      </c>
      <c r="AW129" s="57">
        <f t="shared" si="134"/>
        <v>0</v>
      </c>
      <c r="AX129" s="57">
        <f t="shared" si="134"/>
        <v>0</v>
      </c>
      <c r="AY129" s="57">
        <f t="shared" si="134"/>
        <v>0</v>
      </c>
      <c r="AZ129" s="57">
        <f t="shared" si="134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135"/>
        <v>0</v>
      </c>
      <c r="BG129" s="57">
        <f t="shared" si="135"/>
        <v>0</v>
      </c>
      <c r="BH129" s="57">
        <f t="shared" si="135"/>
        <v>0</v>
      </c>
      <c r="BI129" s="57">
        <f t="shared" si="135"/>
        <v>0</v>
      </c>
      <c r="BJ129" s="57">
        <f t="shared" si="135"/>
        <v>0</v>
      </c>
      <c r="BK129" s="57">
        <f t="shared" si="135"/>
        <v>0</v>
      </c>
      <c r="BL129" s="57">
        <f t="shared" si="135"/>
        <v>0</v>
      </c>
      <c r="BM129" s="57">
        <f t="shared" si="135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136">SUM(AV126:AV129)</f>
        <v>0</v>
      </c>
      <c r="AW130" s="344">
        <f t="shared" si="136"/>
        <v>0</v>
      </c>
      <c r="AX130" s="344">
        <f t="shared" si="136"/>
        <v>0</v>
      </c>
      <c r="AY130" s="344">
        <f t="shared" si="136"/>
        <v>0</v>
      </c>
      <c r="AZ130" s="344">
        <f t="shared" si="136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137">SUM(BF126:BF129)</f>
        <v>0</v>
      </c>
      <c r="BG130" s="344">
        <f t="shared" si="137"/>
        <v>0</v>
      </c>
      <c r="BH130" s="344">
        <f t="shared" si="137"/>
        <v>0</v>
      </c>
      <c r="BI130" s="344">
        <f t="shared" si="137"/>
        <v>0</v>
      </c>
      <c r="BJ130" s="344">
        <f t="shared" si="137"/>
        <v>0</v>
      </c>
      <c r="BK130" s="344">
        <f t="shared" si="137"/>
        <v>0</v>
      </c>
      <c r="BL130" s="344">
        <f t="shared" si="137"/>
        <v>0</v>
      </c>
      <c r="BM130" s="344">
        <f t="shared" si="137"/>
        <v>0</v>
      </c>
      <c r="BN130" s="345"/>
      <c r="BO130" s="272">
        <f t="shared" ref="BO130" si="138">SUM(BO126:BO129)</f>
        <v>0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39">AU111+AU124</f>
        <v>810817.10395584174</v>
      </c>
      <c r="AV132" s="66">
        <f t="shared" si="139"/>
        <v>810644.89604415826</v>
      </c>
      <c r="AW132" s="66">
        <f t="shared" si="139"/>
        <v>880005</v>
      </c>
      <c r="AX132" s="66">
        <f t="shared" si="139"/>
        <v>1096244</v>
      </c>
      <c r="AY132" s="66">
        <f t="shared" si="139"/>
        <v>1216137</v>
      </c>
      <c r="AZ132" s="66">
        <f t="shared" si="139"/>
        <v>1533417</v>
      </c>
      <c r="BA132" s="216">
        <f>SUM(AT132:AZ132)</f>
        <v>6347265</v>
      </c>
      <c r="BB132" s="66">
        <v>1664656</v>
      </c>
      <c r="BC132" s="66">
        <v>1529724</v>
      </c>
      <c r="BD132" s="66">
        <v>1389787</v>
      </c>
      <c r="BE132" s="66">
        <v>1233539</v>
      </c>
      <c r="BF132" s="66">
        <f>BF111+BF124</f>
        <v>1036736</v>
      </c>
      <c r="BG132" s="66">
        <f>BG111+BG124</f>
        <v>867586</v>
      </c>
      <c r="BH132" s="66">
        <f>BH111+BH124</f>
        <v>833360</v>
      </c>
      <c r="BI132" s="66">
        <f>BI111+BI124+BI130</f>
        <v>812513</v>
      </c>
      <c r="BJ132" s="66">
        <f t="shared" ref="BJ132:BO132" si="140">BJ111+BJ124</f>
        <v>890616</v>
      </c>
      <c r="BK132" s="66">
        <f t="shared" si="140"/>
        <v>1109687</v>
      </c>
      <c r="BL132" s="66">
        <f t="shared" si="140"/>
        <v>1231343</v>
      </c>
      <c r="BM132" s="66">
        <f t="shared" si="140"/>
        <v>1441802</v>
      </c>
      <c r="BN132" s="216">
        <f t="shared" si="140"/>
        <v>14139212</v>
      </c>
      <c r="BO132" s="185">
        <f t="shared" si="140"/>
        <v>14322848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  <row r="134" spans="1:67">
      <c r="AN134" s="3"/>
    </row>
    <row r="135" spans="1:67">
      <c r="AN135" s="3"/>
    </row>
    <row r="136" spans="1:67">
      <c r="AN136" s="3"/>
    </row>
    <row r="137" spans="1:67">
      <c r="AN137" s="3"/>
    </row>
    <row r="138" spans="1:67">
      <c r="AN138" s="3"/>
    </row>
    <row r="139" spans="1:67">
      <c r="AN139" s="3"/>
    </row>
    <row r="140" spans="1:67">
      <c r="AN140" s="3"/>
    </row>
    <row r="141" spans="1:67">
      <c r="AN141" s="3"/>
    </row>
    <row r="142" spans="1:67">
      <c r="AN142" s="3"/>
    </row>
    <row r="143" spans="1:67">
      <c r="AN143" s="3"/>
    </row>
    <row r="144" spans="1:67">
      <c r="AN144" s="3"/>
    </row>
    <row r="145" spans="40:40">
      <c r="AN145" s="3"/>
    </row>
    <row r="146" spans="40:40">
      <c r="AN146" s="3"/>
    </row>
    <row r="147" spans="40:40">
      <c r="AN147" s="3"/>
    </row>
    <row r="148" spans="40:40">
      <c r="AN148" s="3"/>
    </row>
    <row r="149" spans="40:40">
      <c r="AN149" s="3"/>
    </row>
    <row r="150" spans="40:40">
      <c r="AN150" s="3"/>
    </row>
    <row r="151" spans="40:40">
      <c r="AN151" s="3"/>
    </row>
    <row r="152" spans="40:40">
      <c r="AN152" s="3"/>
    </row>
    <row r="153" spans="40:40">
      <c r="AN153" s="3"/>
    </row>
    <row r="154" spans="40:40">
      <c r="AN154" s="3"/>
    </row>
    <row r="155" spans="40:40">
      <c r="AN155" s="3"/>
    </row>
    <row r="156" spans="40:40">
      <c r="AN156" s="3"/>
    </row>
    <row r="157" spans="40:40">
      <c r="AN157" s="3"/>
    </row>
    <row r="158" spans="40:40">
      <c r="AN158" s="3"/>
    </row>
    <row r="159" spans="40:40">
      <c r="AN159" s="3"/>
    </row>
    <row r="160" spans="40:40">
      <c r="AN160" s="3"/>
    </row>
    <row r="161" spans="40:40">
      <c r="AN161" s="3"/>
    </row>
    <row r="162" spans="40:40">
      <c r="AN162" s="3"/>
    </row>
    <row r="163" spans="40:40">
      <c r="AN163" s="3"/>
    </row>
    <row r="164" spans="40:40">
      <c r="AN164" s="3"/>
    </row>
    <row r="165" spans="40:40">
      <c r="AN165" s="3"/>
    </row>
    <row r="166" spans="40:40">
      <c r="AN166" s="3"/>
    </row>
    <row r="167" spans="40:40">
      <c r="AN167" s="3"/>
    </row>
    <row r="168" spans="40:40">
      <c r="AN168" s="3"/>
    </row>
    <row r="169" spans="40:40">
      <c r="AN169" s="3"/>
    </row>
    <row r="170" spans="40:40">
      <c r="AN170" s="3"/>
    </row>
    <row r="171" spans="40:40">
      <c r="AN171" s="3"/>
    </row>
    <row r="172" spans="40:40">
      <c r="AN172" s="3"/>
    </row>
    <row r="173" spans="40:40">
      <c r="AN173" s="3"/>
    </row>
  </sheetData>
  <conditionalFormatting sqref="BN11">
    <cfRule type="cellIs" dxfId="39" priority="5" operator="lessThan">
      <formula>0</formula>
    </cfRule>
  </conditionalFormatting>
  <conditionalFormatting sqref="BN58">
    <cfRule type="cellIs" dxfId="38" priority="4" operator="lessThan">
      <formula>0</formula>
    </cfRule>
  </conditionalFormatting>
  <conditionalFormatting sqref="BN78">
    <cfRule type="cellIs" dxfId="37" priority="3" operator="lessThan">
      <formula>0</formula>
    </cfRule>
  </conditionalFormatting>
  <conditionalFormatting sqref="BN62">
    <cfRule type="cellIs" dxfId="36" priority="2" operator="lessThan">
      <formula>0</formula>
    </cfRule>
  </conditionalFormatting>
  <conditionalFormatting sqref="BN19">
    <cfRule type="cellIs" dxfId="35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U137"/>
  <sheetViews>
    <sheetView zoomScale="80" zoomScaleNormal="80" workbookViewId="0">
      <pane xSplit="1" ySplit="5" topLeftCell="N34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2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11.14062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20.140625" style="3" bestFit="1" customWidth="1" collapsed="1"/>
    <col min="54" max="54" width="15.42578125" hidden="1" customWidth="1" outlineLevel="2"/>
    <col min="55" max="55" width="15.28515625" hidden="1" customWidth="1" outlineLevel="2"/>
    <col min="56" max="56" width="15.42578125" hidden="1" customWidth="1" outlineLevel="2"/>
    <col min="57" max="57" width="15.28515625" hidden="1" customWidth="1" outlineLevel="2"/>
    <col min="58" max="58" width="15.5703125" hidden="1" customWidth="1" outlineLevel="2"/>
    <col min="59" max="60" width="15.28515625" hidden="1" customWidth="1" outlineLevel="2"/>
    <col min="61" max="61" width="14.85546875" hidden="1" customWidth="1" outlineLevel="2"/>
    <col min="62" max="62" width="15.7109375" hidden="1" customWidth="1" outlineLevel="2"/>
    <col min="63" max="63" width="15.140625" hidden="1" customWidth="1" outlineLevel="2"/>
    <col min="64" max="64" width="15" hidden="1" customWidth="1" outlineLevel="2"/>
    <col min="65" max="65" width="15.42578125" hidden="1" customWidth="1" outlineLevel="2"/>
    <col min="66" max="66" width="20" style="3" bestFit="1" customWidth="1" collapsed="1"/>
    <col min="67" max="67" width="18.140625" bestFit="1" customWidth="1"/>
    <col min="69" max="69" width="13.5703125" customWidth="1"/>
    <col min="70" max="70" width="13.28515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137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Customers!E198</f>
        <v>260</v>
      </c>
      <c r="AV7" s="124">
        <f>Customers!F198</f>
        <v>260</v>
      </c>
      <c r="AW7" s="124">
        <f>Customers!G198</f>
        <v>260</v>
      </c>
      <c r="AX7" s="124">
        <f>Customers!H198</f>
        <v>260</v>
      </c>
      <c r="AY7" s="124">
        <f>Customers!I198</f>
        <v>260</v>
      </c>
      <c r="AZ7" s="124">
        <f>Customers!J198</f>
        <v>260</v>
      </c>
      <c r="BA7" s="210">
        <f>AZ7</f>
        <v>260</v>
      </c>
      <c r="BB7" s="124">
        <v>261</v>
      </c>
      <c r="BC7" s="38">
        <v>261</v>
      </c>
      <c r="BD7" s="38">
        <v>261</v>
      </c>
      <c r="BE7" s="38">
        <v>261</v>
      </c>
      <c r="BF7" s="38">
        <f t="shared" ref="BF7:BM7" si="0">BE7</f>
        <v>261</v>
      </c>
      <c r="BG7" s="38">
        <f t="shared" si="0"/>
        <v>261</v>
      </c>
      <c r="BH7" s="38">
        <v>0</v>
      </c>
      <c r="BI7" s="38">
        <f t="shared" si="0"/>
        <v>0</v>
      </c>
      <c r="BJ7" s="38">
        <f t="shared" si="0"/>
        <v>0</v>
      </c>
      <c r="BK7" s="38">
        <v>0</v>
      </c>
      <c r="BL7" s="38">
        <f t="shared" si="0"/>
        <v>0</v>
      </c>
      <c r="BM7" s="38">
        <f t="shared" si="0"/>
        <v>0</v>
      </c>
      <c r="BN7" s="210">
        <v>0</v>
      </c>
      <c r="BO7" s="55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147242</v>
      </c>
      <c r="AV8" s="38">
        <f>ROUND(AV$11*'kWh Blocks by Rate Category'!D8,0)</f>
        <v>140174</v>
      </c>
      <c r="AW8" s="38">
        <f>ROUND(AW$11*'kWh Blocks by Rate Category'!E8,0)</f>
        <v>140655</v>
      </c>
      <c r="AX8" s="38">
        <f>ROUND(AX$11*'kWh Blocks by Rate Category'!F8,0)</f>
        <v>158221</v>
      </c>
      <c r="AY8" s="38">
        <f>ROUND(AY$11*'kWh Blocks by Rate Category'!G8,0)</f>
        <v>204100</v>
      </c>
      <c r="AZ8" s="38">
        <f>ROUND(AZ$11*'kWh Blocks by Rate Category'!H8,0)</f>
        <v>197699</v>
      </c>
      <c r="BA8" s="210">
        <f>SUM(AO8:AZ8)</f>
        <v>988091</v>
      </c>
      <c r="BB8" s="38">
        <v>278067</v>
      </c>
      <c r="BC8" s="38">
        <v>214862</v>
      </c>
      <c r="BD8" s="38">
        <v>239956</v>
      </c>
      <c r="BE8" s="38">
        <v>214881</v>
      </c>
      <c r="BF8" s="38">
        <f>ROUND(BF$11*'kWh Blocks by Rate Category'!N8,0)</f>
        <v>215813</v>
      </c>
      <c r="BG8" s="38">
        <f>ROUND(BG$11*'kWh Blocks by Rate Category'!O8,0)</f>
        <v>185094</v>
      </c>
      <c r="BH8" s="38">
        <f>ROUND(BH$11*'kWh Blocks by Rate Category'!P8,0)</f>
        <v>0</v>
      </c>
      <c r="BI8" s="38">
        <f>ROUND(BI$11*'kWh Blocks by Rate Category'!Q8,0)</f>
        <v>0</v>
      </c>
      <c r="BJ8" s="38">
        <f>ROUND(BJ$11*'kWh Blocks by Rate Category'!R8,0)</f>
        <v>0</v>
      </c>
      <c r="BK8" s="38">
        <f>ROUND(BK$11*'kWh Blocks by Rate Category'!S8,0)</f>
        <v>0</v>
      </c>
      <c r="BL8" s="38">
        <f>ROUND(BL$11*'kWh Blocks by Rate Category'!T8,0)</f>
        <v>0</v>
      </c>
      <c r="BM8" s="38">
        <f>ROUND(BM$11*'kWh Blocks by Rate Category'!U8,0)</f>
        <v>0</v>
      </c>
      <c r="BN8" s="210">
        <f>SUM(BB8:BM8)</f>
        <v>1348673</v>
      </c>
      <c r="BO8" s="38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78458</v>
      </c>
      <c r="AV9" s="38">
        <f>ROUND(AV$11*'kWh Blocks by Rate Category'!D9,0)</f>
        <v>74692</v>
      </c>
      <c r="AW9" s="38">
        <f>ROUND(AW$11*'kWh Blocks by Rate Category'!E9,0)</f>
        <v>74948</v>
      </c>
      <c r="AX9" s="38">
        <f>ROUND(AX$11*'kWh Blocks by Rate Category'!F9,0)</f>
        <v>84308</v>
      </c>
      <c r="AY9" s="38">
        <f>ROUND(AY$11*'kWh Blocks by Rate Category'!G9,0)</f>
        <v>108754</v>
      </c>
      <c r="AZ9" s="38">
        <f>ROUND(AZ$11*'kWh Blocks by Rate Category'!H9,0)</f>
        <v>105344</v>
      </c>
      <c r="BA9" s="210">
        <f>SUM(AO9:AZ9)</f>
        <v>526504</v>
      </c>
      <c r="BB9" s="38">
        <v>148168</v>
      </c>
      <c r="BC9" s="38">
        <v>114489</v>
      </c>
      <c r="BD9" s="38">
        <v>127861</v>
      </c>
      <c r="BE9" s="38">
        <v>114499</v>
      </c>
      <c r="BF9" s="38">
        <f>ROUND(BF$11*'kWh Blocks by Rate Category'!N9,0)</f>
        <v>114996</v>
      </c>
      <c r="BG9" s="38">
        <f>ROUND(BG$11*'kWh Blocks by Rate Category'!O9,0)</f>
        <v>98627</v>
      </c>
      <c r="BH9" s="38">
        <f>ROUND(BH$11*'kWh Blocks by Rate Category'!P9,0)</f>
        <v>0</v>
      </c>
      <c r="BI9" s="38">
        <f>ROUND(BI$11*'kWh Blocks by Rate Category'!Q9,0)</f>
        <v>0</v>
      </c>
      <c r="BJ9" s="38">
        <f>ROUND(BJ$11*'kWh Blocks by Rate Category'!R9,0)</f>
        <v>0</v>
      </c>
      <c r="BK9" s="38">
        <f>ROUND(BK$11*'kWh Blocks by Rate Category'!S9,0)</f>
        <v>0</v>
      </c>
      <c r="BL9" s="38">
        <f>ROUND(BL$11*'kWh Blocks by Rate Category'!T9,0)</f>
        <v>0</v>
      </c>
      <c r="BM9" s="38">
        <f>ROUND(BM$11*'kWh Blocks by Rate Category'!U9,0)</f>
        <v>0</v>
      </c>
      <c r="BN9" s="210">
        <f>SUM(BB9:BM9)</f>
        <v>718640</v>
      </c>
      <c r="BO9" s="38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14960</v>
      </c>
      <c r="AV10" s="38">
        <f>ROUND(AV$11*'kWh Blocks by Rate Category'!D10,0)</f>
        <v>14242</v>
      </c>
      <c r="AW10" s="38">
        <f>ROUND(AW$11*'kWh Blocks by Rate Category'!E10,0)</f>
        <v>14291</v>
      </c>
      <c r="AX10" s="38">
        <f>ROUND(AX$11*'kWh Blocks by Rate Category'!F10,0)</f>
        <v>16076</v>
      </c>
      <c r="AY10" s="38">
        <f>ROUND(AY$11*'kWh Blocks by Rate Category'!G10,0)</f>
        <v>20737</v>
      </c>
      <c r="AZ10" s="38">
        <f>ROUND(AZ$11*'kWh Blocks by Rate Category'!H10,0)</f>
        <v>20087</v>
      </c>
      <c r="BA10" s="210">
        <f>SUM(AO10:AZ10)</f>
        <v>100393</v>
      </c>
      <c r="BB10" s="38">
        <v>28252</v>
      </c>
      <c r="BC10" s="38">
        <v>21831</v>
      </c>
      <c r="BD10" s="38">
        <v>24380</v>
      </c>
      <c r="BE10" s="38">
        <v>21832</v>
      </c>
      <c r="BF10" s="38">
        <f>ROUND(BF$11*'kWh Blocks by Rate Category'!N10,0)</f>
        <v>21927</v>
      </c>
      <c r="BG10" s="38">
        <f>ROUND(BG$11*'kWh Blocks by Rate Category'!O10,0)</f>
        <v>18806</v>
      </c>
      <c r="BH10" s="38">
        <f>ROUND(BH$11*'kWh Blocks by Rate Category'!P10,0)</f>
        <v>0</v>
      </c>
      <c r="BI10" s="38">
        <f>ROUND(BI$11*'kWh Blocks by Rate Category'!Q10,0)</f>
        <v>0</v>
      </c>
      <c r="BJ10" s="38">
        <f>ROUND(BJ$11*'kWh Blocks by Rate Category'!R10,0)</f>
        <v>0</v>
      </c>
      <c r="BK10" s="38">
        <f>ROUND(BK$11*'kWh Blocks by Rate Category'!S10,0)</f>
        <v>0</v>
      </c>
      <c r="BL10" s="38">
        <f>ROUND(BL$11*'kWh Blocks by Rate Category'!T10,0)</f>
        <v>0</v>
      </c>
      <c r="BM10" s="38">
        <f>ROUND(BM$11*'kWh Blocks by Rate Category'!U10,0)</f>
        <v>0</v>
      </c>
      <c r="BN10" s="210">
        <f>SUM(BB10:BM10)</f>
        <v>137028</v>
      </c>
      <c r="BO10" s="38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240660</v>
      </c>
      <c r="AV11" s="64">
        <f t="shared" si="1"/>
        <v>229108</v>
      </c>
      <c r="AW11" s="64">
        <f t="shared" si="1"/>
        <v>229894</v>
      </c>
      <c r="AX11" s="64">
        <f t="shared" si="1"/>
        <v>258605</v>
      </c>
      <c r="AY11" s="64">
        <f t="shared" si="1"/>
        <v>333591</v>
      </c>
      <c r="AZ11" s="64">
        <f t="shared" si="1"/>
        <v>323129</v>
      </c>
      <c r="BA11" s="196">
        <f>SUM(AO11:AZ11)</f>
        <v>1614987</v>
      </c>
      <c r="BB11" s="64">
        <v>454488</v>
      </c>
      <c r="BC11" s="64">
        <v>351182</v>
      </c>
      <c r="BD11" s="64">
        <v>392197</v>
      </c>
      <c r="BE11" s="64">
        <v>351212</v>
      </c>
      <c r="BF11" s="64">
        <f t="shared" ref="BF11:BM11" si="2">IFERROR(ROUND(BF12*BF7,0),0)</f>
        <v>352736</v>
      </c>
      <c r="BG11" s="64">
        <f t="shared" si="2"/>
        <v>302527</v>
      </c>
      <c r="BH11" s="64">
        <f t="shared" si="2"/>
        <v>0</v>
      </c>
      <c r="BI11" s="64">
        <f t="shared" si="2"/>
        <v>0</v>
      </c>
      <c r="BJ11" s="64">
        <f t="shared" si="2"/>
        <v>0</v>
      </c>
      <c r="BK11" s="64">
        <f t="shared" si="2"/>
        <v>0</v>
      </c>
      <c r="BL11" s="64">
        <f t="shared" si="2"/>
        <v>0</v>
      </c>
      <c r="BM11" s="64">
        <f t="shared" si="2"/>
        <v>0</v>
      </c>
      <c r="BN11" s="196">
        <f>SUM(BB11:BM11)</f>
        <v>2204342</v>
      </c>
      <c r="BO11" s="147"/>
    </row>
    <row r="12" spans="1:67" ht="15" thickTop="1">
      <c r="A12" s="374" t="s">
        <v>54</v>
      </c>
      <c r="B12" s="84">
        <f>IF('kWh_Streetlight Data'!C205=0,"",'kWh_Streetlight Data'!C205)</f>
        <v>1635.7</v>
      </c>
      <c r="C12" s="108">
        <f>IF('kWh_Streetlight Data'!D205=0,"",'kWh_Streetlight Data'!D205)</f>
        <v>1368.0887096774193</v>
      </c>
      <c r="D12" s="108">
        <f>IF('kWh_Streetlight Data'!E205=0,"",'kWh_Streetlight Data'!E205)</f>
        <v>1417.0846774193549</v>
      </c>
      <c r="E12" s="108">
        <f>IF('kWh_Streetlight Data'!F205=0,"",'kWh_Streetlight Data'!F205)</f>
        <v>1348.4736842105262</v>
      </c>
      <c r="F12" s="108">
        <f>IF('kWh_Streetlight Data'!G205=0,"",'kWh_Streetlight Data'!G205)</f>
        <v>1255.2073170731708</v>
      </c>
      <c r="G12" s="108">
        <f>IF('kWh_Streetlight Data'!H205=0,"",'kWh_Streetlight Data'!H205)</f>
        <v>1172.9243027888447</v>
      </c>
      <c r="H12" s="108">
        <f>IF('kWh_Streetlight Data'!I205=0,"",'kWh_Streetlight Data'!I205)</f>
        <v>877.34241245136184</v>
      </c>
      <c r="I12" s="108">
        <f>IF('kWh_Streetlight Data'!J205=0,"",'kWh_Streetlight Data'!J205)</f>
        <v>800.91532258064512</v>
      </c>
      <c r="J12" s="108">
        <f>IF('kWh_Streetlight Data'!K205=0,"",'kWh_Streetlight Data'!K205)</f>
        <v>848.16205533596838</v>
      </c>
      <c r="K12" s="108">
        <f>IF('kWh_Streetlight Data'!L205=0,"",'kWh_Streetlight Data'!L205)</f>
        <v>1016.7480314960629</v>
      </c>
      <c r="L12" s="108">
        <f>IF('kWh_Streetlight Data'!M205=0,"",'kWh_Streetlight Data'!M205)</f>
        <v>1170</v>
      </c>
      <c r="M12" s="108">
        <f>IF('kWh_Streetlight Data'!N205=0,"",'kWh_Streetlight Data'!N205)</f>
        <v>1205.03125</v>
      </c>
      <c r="N12" s="424">
        <f>IF('kWh_Streetlight Data'!O205=0,"",'kWh_Streetlight Data'!O205)</f>
        <v>1174.8080371969445</v>
      </c>
      <c r="O12" s="84">
        <f>IF('kWh_Streetlight Data'!P205=0,"",'kWh_Streetlight Data'!P205)</f>
        <v>1676</v>
      </c>
      <c r="P12" s="108">
        <f>IF('kWh_Streetlight Data'!Q205=0,"",'kWh_Streetlight Data'!Q205)</f>
        <v>1575.2316602316603</v>
      </c>
      <c r="Q12" s="108">
        <f>IF('kWh_Streetlight Data'!R205=0,"",'kWh_Streetlight Data'!R205)</f>
        <v>1433.2230769230769</v>
      </c>
      <c r="R12" s="108">
        <f>IF('kWh_Streetlight Data'!S205=0,"",'kWh_Streetlight Data'!S205)</f>
        <v>1319.6574803149606</v>
      </c>
      <c r="S12" s="108">
        <f>IF('kWh_Streetlight Data'!T205=0,"",'kWh_Streetlight Data'!T205)</f>
        <v>1412.15625</v>
      </c>
      <c r="T12" s="108">
        <f>IF('kWh_Streetlight Data'!U205=0,"",'kWh_Streetlight Data'!U205)</f>
        <v>1114.1803921568628</v>
      </c>
      <c r="U12" s="108">
        <f>IF('kWh_Streetlight Data'!V205=0,"",'kWh_Streetlight Data'!V205)</f>
        <v>920.07086614173227</v>
      </c>
      <c r="V12" s="108">
        <f>IF('kWh_Streetlight Data'!W205=0,"",'kWh_Streetlight Data'!W205)</f>
        <v>895.9341085271318</v>
      </c>
      <c r="W12" s="108">
        <f>IF('kWh_Streetlight Data'!X205=0,"",'kWh_Streetlight Data'!X205)</f>
        <v>860.15953307392999</v>
      </c>
      <c r="X12" s="108">
        <f>IF('kWh_Streetlight Data'!Y205=0,"",'kWh_Streetlight Data'!Y205)</f>
        <v>939.8650793650794</v>
      </c>
      <c r="Y12" s="108">
        <f>IF('kWh_Streetlight Data'!Z205=0,"",'kWh_Streetlight Data'!Z205)</f>
        <v>1236.9209486166008</v>
      </c>
      <c r="Z12" s="108">
        <f>IF('kWh_Streetlight Data'!AA205=0,"",'kWh_Streetlight Data'!AA205)</f>
        <v>1211.8253968253969</v>
      </c>
      <c r="AA12" s="424">
        <f>IF('kWh_Streetlight Data'!AB205=0,"",'kWh_Streetlight Data'!AB205)</f>
        <v>1216.9334420880914</v>
      </c>
      <c r="AB12" s="129">
        <f>IF('kWh_Streetlight Data'!AC205=0,"",'kWh_Streetlight Data'!AC205)</f>
        <v>1912.30078125</v>
      </c>
      <c r="AC12" s="130">
        <f>IF('kWh_Streetlight Data'!AD205=0,"",'kWh_Streetlight Data'!AD205)</f>
        <v>1093.2529182879377</v>
      </c>
      <c r="AD12" s="130">
        <f>IF('kWh_Streetlight Data'!AE205=0,"",'kWh_Streetlight Data'!AE205)</f>
        <v>1657.7054263565892</v>
      </c>
      <c r="AE12" s="130">
        <f>IF('kWh_Streetlight Data'!AF205=0,"",'kWh_Streetlight Data'!AF205)</f>
        <v>1368.7923076923078</v>
      </c>
      <c r="AF12" s="130">
        <f>IF('kWh_Streetlight Data'!AG205=0,"",'kWh_Streetlight Data'!AG205)</f>
        <v>1387.0733590733591</v>
      </c>
      <c r="AG12" s="130">
        <f>IF('kWh_Streetlight Data'!AH205=0,"",'kWh_Streetlight Data'!AH205)</f>
        <v>1190.2118959107806</v>
      </c>
      <c r="AH12" s="130">
        <f>IF('kWh_Streetlight Data'!AI205=0,"",'kWh_Streetlight Data'!AI205)</f>
        <v>979.43018867924525</v>
      </c>
      <c r="AI12" s="130">
        <f>IF('kWh_Streetlight Data'!AJ205=0,"",'kWh_Streetlight Data'!AJ205)</f>
        <v>946.70992366412213</v>
      </c>
      <c r="AJ12" s="130">
        <f>IF('kWh_Streetlight Data'!AK205=0,"",'kWh_Streetlight Data'!AK205)</f>
        <v>944.29844961240315</v>
      </c>
      <c r="AK12" s="130">
        <f>IF('kWh_Streetlight Data'!AL205=0,"",'kWh_Streetlight Data'!AL205)</f>
        <v>1027.295719844358</v>
      </c>
      <c r="AL12" s="130">
        <f>IF('kWh_Streetlight Data'!AM205=0,"",'kWh_Streetlight Data'!AM205)</f>
        <v>1442.2093023255813</v>
      </c>
      <c r="AM12" s="130">
        <f>IF('kWh_Streetlight Data'!AN205=0,"",'kWh_Streetlight Data'!AN205)</f>
        <v>1311.5494071146245</v>
      </c>
      <c r="AN12" s="426">
        <f>IF('kWh_Streetlight Data'!AO205=0,"",'kWh_Streetlight Data'!AO205)</f>
        <v>1270.1320694087403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925.61448909077978</v>
      </c>
      <c r="AV12" s="9">
        <f t="shared" si="3"/>
        <v>881.18645159063306</v>
      </c>
      <c r="AW12" s="9">
        <f t="shared" si="3"/>
        <v>884.20667934076721</v>
      </c>
      <c r="AX12" s="9">
        <f t="shared" si="3"/>
        <v>994.63627690183341</v>
      </c>
      <c r="AY12" s="9">
        <f t="shared" si="3"/>
        <v>1283.0434169807274</v>
      </c>
      <c r="AZ12" s="9">
        <f t="shared" si="3"/>
        <v>1242.8020179800071</v>
      </c>
      <c r="BA12" s="211"/>
      <c r="BB12" s="17">
        <v>1741.3335937499999</v>
      </c>
      <c r="BC12" s="17">
        <v>1345.5244293990056</v>
      </c>
      <c r="BD12" s="17">
        <v>1502.671060233007</v>
      </c>
      <c r="BE12" s="17">
        <v>1345.6411574059314</v>
      </c>
      <c r="BF12" s="17">
        <f t="shared" ref="BF12:BM12" si="4">IFERROR(AVERAGE(F12,S12,AF12),0)</f>
        <v>1351.4789753821767</v>
      </c>
      <c r="BG12" s="17">
        <f t="shared" si="4"/>
        <v>1159.1055302854961</v>
      </c>
      <c r="BH12" s="17">
        <f t="shared" si="4"/>
        <v>925.6144890907799</v>
      </c>
      <c r="BI12" s="17">
        <f t="shared" si="4"/>
        <v>881.18645159063306</v>
      </c>
      <c r="BJ12" s="17">
        <f t="shared" si="4"/>
        <v>884.20667934076721</v>
      </c>
      <c r="BK12" s="17">
        <f t="shared" si="4"/>
        <v>994.63627690183341</v>
      </c>
      <c r="BL12" s="17">
        <f t="shared" si="4"/>
        <v>1283.0434169807274</v>
      </c>
      <c r="BM12" s="17">
        <f t="shared" si="4"/>
        <v>1242.8020179800071</v>
      </c>
      <c r="BN12" s="211">
        <v>0</v>
      </c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>
        <f>$BG$7</f>
        <v>261</v>
      </c>
      <c r="BI15" s="124">
        <f t="shared" ref="BI15:BL15" si="5">$BG$7</f>
        <v>261</v>
      </c>
      <c r="BJ15" s="124">
        <f t="shared" si="5"/>
        <v>261</v>
      </c>
      <c r="BK15" s="124">
        <f t="shared" si="5"/>
        <v>261</v>
      </c>
      <c r="BL15" s="124">
        <f t="shared" si="5"/>
        <v>261</v>
      </c>
      <c r="BM15" s="124">
        <f>$BG$7</f>
        <v>261</v>
      </c>
      <c r="BN15" s="210">
        <f>IFERROR(ROUND(AVERAGE(BH15:BM15,BB7:BG7),0),0)</f>
        <v>261</v>
      </c>
      <c r="BO15" s="125">
        <f>Customers!L198</f>
        <v>262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>
        <f>ROUND(BH$19*'kWh Blocks by Rate Category'!P15,0)</f>
        <v>147808</v>
      </c>
      <c r="BI16" s="38">
        <f>ROUND(BI$19*'kWh Blocks by Rate Category'!Q15,0)</f>
        <v>140714</v>
      </c>
      <c r="BJ16" s="38">
        <f>ROUND(BJ$19*'kWh Blocks by Rate Category'!R15,0)</f>
        <v>141196</v>
      </c>
      <c r="BK16" s="38">
        <f>ROUND(BK$19*'kWh Blocks by Rate Category'!S15,0)</f>
        <v>158830</v>
      </c>
      <c r="BL16" s="38">
        <f>ROUND(BL$19*'kWh Blocks by Rate Category'!T15,0)</f>
        <v>204885</v>
      </c>
      <c r="BM16" s="38">
        <f>ROUND(BM$19*'kWh Blocks by Rate Category'!U15,0)</f>
        <v>198459</v>
      </c>
      <c r="BN16" s="210">
        <f>SUM(BB16:BM16)</f>
        <v>991892</v>
      </c>
      <c r="BO16" s="143">
        <f>ROUND(BO$19*'kWh Blocks by Rate Category'!W15,0)</f>
        <v>2349532</v>
      </c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>
        <f>ROUND(BH$19*'kWh Blocks by Rate Category'!P16,0)</f>
        <v>78759</v>
      </c>
      <c r="BI17" s="38">
        <f>ROUND(BI$19*'kWh Blocks by Rate Category'!Q16,0)</f>
        <v>74979</v>
      </c>
      <c r="BJ17" s="38">
        <f>ROUND(BJ$19*'kWh Blocks by Rate Category'!R16,0)</f>
        <v>75236</v>
      </c>
      <c r="BK17" s="38">
        <f>ROUND(BK$19*'kWh Blocks by Rate Category'!S16,0)</f>
        <v>84632</v>
      </c>
      <c r="BL17" s="38">
        <f>ROUND(BL$19*'kWh Blocks by Rate Category'!T16,0)</f>
        <v>109173</v>
      </c>
      <c r="BM17" s="38">
        <f>ROUND(BM$19*'kWh Blocks by Rate Category'!U16,0)</f>
        <v>105749</v>
      </c>
      <c r="BN17" s="210">
        <f>SUM(BB17:BM17)</f>
        <v>528528</v>
      </c>
      <c r="BO17" s="143">
        <f>ROUND(BO$19*'kWh Blocks by Rate Category'!W16,0)</f>
        <v>1251947</v>
      </c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>
        <f>ROUND(BH$19*'kWh Blocks by Rate Category'!P17,0)</f>
        <v>15018</v>
      </c>
      <c r="BI18" s="38">
        <f>ROUND(BI$19*'kWh Blocks by Rate Category'!Q17,0)</f>
        <v>14297</v>
      </c>
      <c r="BJ18" s="38">
        <f>ROUND(BJ$19*'kWh Blocks by Rate Category'!R17,0)</f>
        <v>14346</v>
      </c>
      <c r="BK18" s="38">
        <f>ROUND(BK$19*'kWh Blocks by Rate Category'!S17,0)</f>
        <v>16138</v>
      </c>
      <c r="BL18" s="38">
        <f>ROUND(BL$19*'kWh Blocks by Rate Category'!T17,0)</f>
        <v>20817</v>
      </c>
      <c r="BM18" s="38">
        <f>ROUND(BM$19*'kWh Blocks by Rate Category'!U17,0)</f>
        <v>20164</v>
      </c>
      <c r="BN18" s="210">
        <f>SUM(BB18:BM18)</f>
        <v>100780</v>
      </c>
      <c r="BO18" s="143">
        <f>ROUND(BO$19*'kWh Blocks by Rate Category'!W17,0)</f>
        <v>238718</v>
      </c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>
        <f t="shared" ref="BH19:BM19" si="6">IFERROR(ROUND(BH20*BH15,0),0)</f>
        <v>241585</v>
      </c>
      <c r="BI19" s="64">
        <f t="shared" si="6"/>
        <v>229990</v>
      </c>
      <c r="BJ19" s="64">
        <f t="shared" si="6"/>
        <v>230778</v>
      </c>
      <c r="BK19" s="64">
        <f t="shared" si="6"/>
        <v>259600</v>
      </c>
      <c r="BL19" s="64">
        <f t="shared" si="6"/>
        <v>334874</v>
      </c>
      <c r="BM19" s="64">
        <f t="shared" si="6"/>
        <v>324371</v>
      </c>
      <c r="BN19" s="196">
        <f>SUM(BB19:BM19)</f>
        <v>1621198</v>
      </c>
      <c r="BO19" s="147">
        <f>ROUND(BO15*BO20,0)</f>
        <v>3840197</v>
      </c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17">
        <f t="shared" ref="BH20:BM20" si="7">BH12</f>
        <v>925.6144890907799</v>
      </c>
      <c r="BI20" s="17">
        <f t="shared" si="7"/>
        <v>881.18645159063306</v>
      </c>
      <c r="BJ20" s="17">
        <f t="shared" si="7"/>
        <v>884.20667934076721</v>
      </c>
      <c r="BK20" s="17">
        <f t="shared" si="7"/>
        <v>994.63627690183341</v>
      </c>
      <c r="BL20" s="17">
        <f t="shared" si="7"/>
        <v>1283.0434169807274</v>
      </c>
      <c r="BM20" s="17">
        <f t="shared" si="7"/>
        <v>1242.8020179800071</v>
      </c>
      <c r="BN20" s="211">
        <f>IFERROR((BN19+BN11)/SUM(BH15:BM15,BB7:BG7)*12,0)</f>
        <v>14657.241379310344</v>
      </c>
      <c r="BO20" s="20">
        <f>BN20</f>
        <v>14657.241379310344</v>
      </c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Data'!C206=0,"",'kWh_Streetlight Data'!C206)</f>
        <v/>
      </c>
      <c r="C27" s="108" t="str">
        <f>IF('kWh_Streetlight Data'!D206=0,"",'kWh_Streetlight Data'!D206)</f>
        <v/>
      </c>
      <c r="D27" s="108" t="str">
        <f>IF('kWh_Streetlight Data'!E206=0,"",'kWh_Streetlight Data'!E206)</f>
        <v/>
      </c>
      <c r="E27" s="108" t="str">
        <f>IF('kWh_Streetlight Data'!F206=0,"",'kWh_Streetlight Data'!F206)</f>
        <v/>
      </c>
      <c r="F27" s="108" t="str">
        <f>IF('kWh_Streetlight Data'!G206=0,"",'kWh_Streetlight Data'!G206)</f>
        <v/>
      </c>
      <c r="G27" s="108" t="str">
        <f>IF('kWh_Streetlight Data'!H206=0,"",'kWh_Streetlight Data'!H206)</f>
        <v/>
      </c>
      <c r="H27" s="108" t="str">
        <f>IF('kWh_Streetlight Data'!I206=0,"",'kWh_Streetlight Data'!I206)</f>
        <v/>
      </c>
      <c r="I27" s="108" t="str">
        <f>IF('kWh_Streetlight Data'!J206=0,"",'kWh_Streetlight Data'!J206)</f>
        <v/>
      </c>
      <c r="J27" s="108" t="str">
        <f>IF('kWh_Streetlight Data'!K206=0,"",'kWh_Streetlight Data'!K206)</f>
        <v/>
      </c>
      <c r="K27" s="108" t="str">
        <f>IF('kWh_Streetlight Data'!L206=0,"",'kWh_Streetlight Data'!L206)</f>
        <v/>
      </c>
      <c r="L27" s="108" t="str">
        <f>IF('kWh_Streetlight Data'!M206=0,"",'kWh_Streetlight Data'!M206)</f>
        <v/>
      </c>
      <c r="M27" s="108" t="str">
        <f>IF('kWh_Streetlight Data'!N206=0,"",'kWh_Streetlight Data'!N206)</f>
        <v/>
      </c>
      <c r="N27" s="424" t="str">
        <f>IF('kWh_Streetlight Data'!O206=0,"",'kWh_Streetlight Data'!O206)</f>
        <v/>
      </c>
      <c r="O27" s="84" t="str">
        <f>IF('kWh_Streetlight Data'!P206=0,"",'kWh_Streetlight Data'!P206)</f>
        <v/>
      </c>
      <c r="P27" s="108" t="str">
        <f>IF('kWh_Streetlight Data'!Q206=0,"",'kWh_Streetlight Data'!Q206)</f>
        <v/>
      </c>
      <c r="Q27" s="108" t="str">
        <f>IF('kWh_Streetlight Data'!R206=0,"",'kWh_Streetlight Data'!R206)</f>
        <v/>
      </c>
      <c r="R27" s="108" t="str">
        <f>IF('kWh_Streetlight Data'!S206=0,"",'kWh_Streetlight Data'!S206)</f>
        <v/>
      </c>
      <c r="S27" s="108" t="str">
        <f>IF('kWh_Streetlight Data'!T206=0,"",'kWh_Streetlight Data'!T206)</f>
        <v/>
      </c>
      <c r="T27" s="108" t="str">
        <f>IF('kWh_Streetlight Data'!U206=0,"",'kWh_Streetlight Data'!U206)</f>
        <v/>
      </c>
      <c r="U27" s="108" t="str">
        <f>IF('kWh_Streetlight Data'!V206=0,"",'kWh_Streetlight Data'!V206)</f>
        <v/>
      </c>
      <c r="V27" s="108" t="str">
        <f>IF('kWh_Streetlight Data'!W206=0,"",'kWh_Streetlight Data'!W206)</f>
        <v/>
      </c>
      <c r="W27" s="108" t="str">
        <f>IF('kWh_Streetlight Data'!X206=0,"",'kWh_Streetlight Data'!X206)</f>
        <v/>
      </c>
      <c r="X27" s="108" t="str">
        <f>IF('kWh_Streetlight Data'!Y206=0,"",'kWh_Streetlight Data'!Y206)</f>
        <v/>
      </c>
      <c r="Y27" s="108" t="str">
        <f>IF('kWh_Streetlight Data'!Z206=0,"",'kWh_Streetlight Data'!Z206)</f>
        <v/>
      </c>
      <c r="Z27" s="108" t="str">
        <f>IF('kWh_Streetlight Data'!AA206=0,"",'kWh_Streetlight Data'!AA206)</f>
        <v/>
      </c>
      <c r="AA27" s="424" t="str">
        <f>IF('kWh_Streetlight Data'!AB206=0,"",'kWh_Streetlight Data'!AB206)</f>
        <v/>
      </c>
      <c r="AB27" s="129" t="str">
        <f>IF('kWh_Streetlight Data'!AC206=0,"",'kWh_Streetlight Data'!AC206)</f>
        <v/>
      </c>
      <c r="AC27" s="130" t="str">
        <f>IF('kWh_Streetlight Data'!AD206=0,"",'kWh_Streetlight Data'!AD206)</f>
        <v/>
      </c>
      <c r="AD27" s="130" t="str">
        <f>IF('kWh_Streetlight Data'!AE206=0,"",'kWh_Streetlight Data'!AE206)</f>
        <v/>
      </c>
      <c r="AE27" s="130" t="str">
        <f>IF('kWh_Streetlight Data'!AF206=0,"",'kWh_Streetlight Data'!AF206)</f>
        <v/>
      </c>
      <c r="AF27" s="130" t="str">
        <f>IF('kWh_Streetlight Data'!AG206=0,"",'kWh_Streetlight Data'!AG206)</f>
        <v/>
      </c>
      <c r="AG27" s="130" t="str">
        <f>IF('kWh_Streetlight Data'!AH206=0,"",'kWh_Streetlight Data'!AH206)</f>
        <v/>
      </c>
      <c r="AH27" s="108" t="str">
        <f>IF('kWh_Streetlight Data'!AI206=0,"",'kWh_Streetlight Data'!AI206)</f>
        <v/>
      </c>
      <c r="AI27" s="108" t="str">
        <f>IF('kWh_Streetlight Data'!AJ206=0,"",'kWh_Streetlight Data'!AJ206)</f>
        <v/>
      </c>
      <c r="AJ27" s="108" t="str">
        <f>IF('kWh_Streetlight Data'!AK206=0,"",'kWh_Streetlight Data'!AK206)</f>
        <v/>
      </c>
      <c r="AK27" s="108" t="str">
        <f>IF('kWh_Streetlight Data'!AL206=0,"",'kWh_Streetlight Data'!AL206)</f>
        <v/>
      </c>
      <c r="AL27" s="108" t="str">
        <f>IF('kWh_Streetlight Data'!AM206=0,"",'kWh_Streetlight Data'!AM206)</f>
        <v/>
      </c>
      <c r="AM27" s="108" t="str">
        <f>IF('kWh_Streetlight Data'!AN206=0,"",'kWh_Streetlight Data'!AN206)</f>
        <v/>
      </c>
      <c r="AN27" s="426" t="str">
        <f>IF('kWh_Streetlight Data'!AO206=0,"",'kWh_Streetlight Data'!AO206)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Customers!E200</f>
        <v>25</v>
      </c>
      <c r="AV29" s="124">
        <f>Customers!F200</f>
        <v>25</v>
      </c>
      <c r="AW29" s="124">
        <f>Customers!G200</f>
        <v>25</v>
      </c>
      <c r="AX29" s="124">
        <f>Customers!H200</f>
        <v>25</v>
      </c>
      <c r="AY29" s="124">
        <f>Customers!I200</f>
        <v>25</v>
      </c>
      <c r="AZ29" s="124">
        <f>Customers!J200</f>
        <v>25</v>
      </c>
      <c r="BA29" s="210">
        <f>AZ29</f>
        <v>25</v>
      </c>
      <c r="BB29" s="124">
        <v>25</v>
      </c>
      <c r="BC29" s="38">
        <v>25</v>
      </c>
      <c r="BD29" s="38">
        <v>25</v>
      </c>
      <c r="BE29" s="38">
        <v>25</v>
      </c>
      <c r="BF29" s="38">
        <f t="shared" ref="BF29:BJ29" si="8">BE29</f>
        <v>25</v>
      </c>
      <c r="BG29" s="38">
        <f t="shared" si="8"/>
        <v>25</v>
      </c>
      <c r="BH29" s="38">
        <v>0</v>
      </c>
      <c r="BI29" s="38">
        <v>0</v>
      </c>
      <c r="BJ29" s="38">
        <f t="shared" si="8"/>
        <v>0</v>
      </c>
      <c r="BK29" s="38">
        <v>0</v>
      </c>
      <c r="BL29" s="38">
        <v>0</v>
      </c>
      <c r="BM29" s="38">
        <v>0</v>
      </c>
      <c r="BN29" s="210">
        <v>0</v>
      </c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30332</v>
      </c>
      <c r="AV30" s="38">
        <f>ROUND(AV$33*'kWh Blocks by Rate Category'!D29,0)</f>
        <v>31588</v>
      </c>
      <c r="AW30" s="38">
        <f>ROUND(AW$33*'kWh Blocks by Rate Category'!E29,0)</f>
        <v>29212</v>
      </c>
      <c r="AX30" s="38">
        <f>ROUND(AX$33*'kWh Blocks by Rate Category'!F29,0)</f>
        <v>28985</v>
      </c>
      <c r="AY30" s="38">
        <f>ROUND(AY$33*'kWh Blocks by Rate Category'!G29,0)</f>
        <v>35909</v>
      </c>
      <c r="AZ30" s="38">
        <f>ROUND(AZ$33*'kWh Blocks by Rate Category'!H29,0)</f>
        <v>36731</v>
      </c>
      <c r="BA30" s="210">
        <f>SUM(AO30:AZ30)</f>
        <v>192757</v>
      </c>
      <c r="BB30" s="38">
        <v>54102</v>
      </c>
      <c r="BC30" s="38">
        <v>42800</v>
      </c>
      <c r="BD30" s="38">
        <v>49418</v>
      </c>
      <c r="BE30" s="38">
        <v>39503</v>
      </c>
      <c r="BF30" s="38">
        <f>ROUND(BF$33*'kWh Blocks by Rate Category'!N29,0)</f>
        <v>36520</v>
      </c>
      <c r="BG30" s="38">
        <f>ROUND(BG$33*'kWh Blocks by Rate Category'!O29,0)</f>
        <v>30515</v>
      </c>
      <c r="BH30" s="38">
        <f>ROUND(BH$33*'kWh Blocks by Rate Category'!P29,0)</f>
        <v>0</v>
      </c>
      <c r="BI30" s="38">
        <f>ROUND(BI$33*'kWh Blocks by Rate Category'!Q29,0)</f>
        <v>0</v>
      </c>
      <c r="BJ30" s="38">
        <f>ROUND(BJ$33*'kWh Blocks by Rate Category'!R29,0)</f>
        <v>0</v>
      </c>
      <c r="BK30" s="38">
        <f>ROUND(BK$33*'kWh Blocks by Rate Category'!S29,0)</f>
        <v>0</v>
      </c>
      <c r="BL30" s="38">
        <f>ROUND(BL$33*'kWh Blocks by Rate Category'!T29,0)</f>
        <v>0</v>
      </c>
      <c r="BM30" s="38">
        <f>ROUND(BM$33*'kWh Blocks by Rate Category'!U29,0)</f>
        <v>0</v>
      </c>
      <c r="BN30" s="210">
        <f>SUM(BB30:BM30)</f>
        <v>252858</v>
      </c>
      <c r="BO30" s="38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2888</v>
      </c>
      <c r="AV31" s="38">
        <f>ROUND(AV$33*'kWh Blocks by Rate Category'!D30,0)</f>
        <v>3008</v>
      </c>
      <c r="AW31" s="38">
        <f>ROUND(AW$33*'kWh Blocks by Rate Category'!E30,0)</f>
        <v>2782</v>
      </c>
      <c r="AX31" s="38">
        <f>ROUND(AX$33*'kWh Blocks by Rate Category'!F30,0)</f>
        <v>2760</v>
      </c>
      <c r="AY31" s="38">
        <f>ROUND(AY$33*'kWh Blocks by Rate Category'!G30,0)</f>
        <v>3419</v>
      </c>
      <c r="AZ31" s="38">
        <f>ROUND(AZ$33*'kWh Blocks by Rate Category'!H30,0)</f>
        <v>3497</v>
      </c>
      <c r="BA31" s="210">
        <f>SUM(AO31:AZ31)</f>
        <v>18354</v>
      </c>
      <c r="BB31" s="38">
        <v>5152</v>
      </c>
      <c r="BC31" s="38">
        <v>4075</v>
      </c>
      <c r="BD31" s="38">
        <v>4705</v>
      </c>
      <c r="BE31" s="38">
        <v>3761</v>
      </c>
      <c r="BF31" s="38">
        <f>ROUND(BF$33*'kWh Blocks by Rate Category'!N30,0)</f>
        <v>3477</v>
      </c>
      <c r="BG31" s="38">
        <f>ROUND(BG$33*'kWh Blocks by Rate Category'!O30,0)</f>
        <v>2906</v>
      </c>
      <c r="BH31" s="38">
        <f>ROUND(BH$33*'kWh Blocks by Rate Category'!P30,0)</f>
        <v>0</v>
      </c>
      <c r="BI31" s="38">
        <f>ROUND(BI$33*'kWh Blocks by Rate Category'!Q30,0)</f>
        <v>0</v>
      </c>
      <c r="BJ31" s="38">
        <f>ROUND(BJ$33*'kWh Blocks by Rate Category'!R30,0)</f>
        <v>0</v>
      </c>
      <c r="BK31" s="38">
        <f>ROUND(BK$33*'kWh Blocks by Rate Category'!S30,0)</f>
        <v>0</v>
      </c>
      <c r="BL31" s="38">
        <f>ROUND(BL$33*'kWh Blocks by Rate Category'!T30,0)</f>
        <v>0</v>
      </c>
      <c r="BM31" s="38">
        <f>ROUND(BM$33*'kWh Blocks by Rate Category'!U30,0)</f>
        <v>0</v>
      </c>
      <c r="BN31" s="210">
        <f>SUM(BB31:BM31)</f>
        <v>24076</v>
      </c>
      <c r="BO31" s="38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9">IFERROR(ROUND(AU34*AU29,0),0)</f>
        <v>33220</v>
      </c>
      <c r="AV33" s="64">
        <f t="shared" si="9"/>
        <v>34596</v>
      </c>
      <c r="AW33" s="64">
        <f t="shared" si="9"/>
        <v>31994</v>
      </c>
      <c r="AX33" s="64">
        <f t="shared" si="9"/>
        <v>31745</v>
      </c>
      <c r="AY33" s="64">
        <f t="shared" si="9"/>
        <v>39328</v>
      </c>
      <c r="AZ33" s="64">
        <f t="shared" si="9"/>
        <v>40228</v>
      </c>
      <c r="BA33" s="196">
        <f>SUM(AO33:AZ33)</f>
        <v>211111</v>
      </c>
      <c r="BB33" s="64">
        <v>59254</v>
      </c>
      <c r="BC33" s="64">
        <v>46875</v>
      </c>
      <c r="BD33" s="64">
        <v>54123</v>
      </c>
      <c r="BE33" s="64">
        <v>43264</v>
      </c>
      <c r="BF33" s="64">
        <f t="shared" ref="BF33:BM33" si="10">IFERROR(ROUND(BF34*BF29,0),0)</f>
        <v>39997</v>
      </c>
      <c r="BG33" s="64">
        <f t="shared" si="10"/>
        <v>33421</v>
      </c>
      <c r="BH33" s="64">
        <f t="shared" si="10"/>
        <v>0</v>
      </c>
      <c r="BI33" s="64">
        <f t="shared" si="10"/>
        <v>0</v>
      </c>
      <c r="BJ33" s="64">
        <f t="shared" si="10"/>
        <v>0</v>
      </c>
      <c r="BK33" s="64">
        <f t="shared" si="10"/>
        <v>0</v>
      </c>
      <c r="BL33" s="64">
        <f t="shared" si="10"/>
        <v>0</v>
      </c>
      <c r="BM33" s="64">
        <f t="shared" si="10"/>
        <v>0</v>
      </c>
      <c r="BN33" s="196">
        <f>SUM(BB33:BM33)</f>
        <v>276934</v>
      </c>
      <c r="BO33" s="147"/>
    </row>
    <row r="34" spans="1:67" ht="15.75" customHeight="1" thickTop="1">
      <c r="A34" s="374" t="s">
        <v>54</v>
      </c>
      <c r="B34" s="84">
        <f>IF('kWh_Streetlight Data'!C207=0,"",'kWh_Streetlight Data'!C207)</f>
        <v>2312.2800000000002</v>
      </c>
      <c r="C34" s="108">
        <f>IF('kWh_Streetlight Data'!D207=0,"",'kWh_Streetlight Data'!D207)</f>
        <v>2013.92</v>
      </c>
      <c r="D34" s="108">
        <f>IF('kWh_Streetlight Data'!E207=0,"",'kWh_Streetlight Data'!E207)</f>
        <v>2037.4615384615386</v>
      </c>
      <c r="E34" s="108">
        <f>IF('kWh_Streetlight Data'!F207=0,"",'kWh_Streetlight Data'!F207)</f>
        <v>1768.5384615384614</v>
      </c>
      <c r="F34" s="108">
        <f>IF('kWh_Streetlight Data'!G207=0,"",'kWh_Streetlight Data'!G207)</f>
        <v>1524.5925925925926</v>
      </c>
      <c r="G34" s="108">
        <f>IF('kWh_Streetlight Data'!H207=0,"",'kWh_Streetlight Data'!H207)</f>
        <v>1434.68</v>
      </c>
      <c r="H34" s="108">
        <f>IF('kWh_Streetlight Data'!I207=0,"",'kWh_Streetlight Data'!I207)</f>
        <v>1481.9583333333333</v>
      </c>
      <c r="I34" s="108">
        <f>IF('kWh_Streetlight Data'!J207=0,"",'kWh_Streetlight Data'!J207)</f>
        <v>1311.4583333333333</v>
      </c>
      <c r="J34" s="108">
        <f>IF('kWh_Streetlight Data'!K207=0,"",'kWh_Streetlight Data'!K207)</f>
        <v>1269.0416666666667</v>
      </c>
      <c r="K34" s="108">
        <f>IF('kWh_Streetlight Data'!L207=0,"",'kWh_Streetlight Data'!L207)</f>
        <v>1392.8076923076924</v>
      </c>
      <c r="L34" s="108">
        <f>IF('kWh_Streetlight Data'!M207=0,"",'kWh_Streetlight Data'!M207)</f>
        <v>1613.6521739130435</v>
      </c>
      <c r="M34" s="108">
        <f>IF('kWh_Streetlight Data'!N207=0,"",'kWh_Streetlight Data'!N207)</f>
        <v>1746.4583333333333</v>
      </c>
      <c r="N34" s="424">
        <f>IF('kWh_Streetlight Data'!O207=0,"",'kWh_Streetlight Data'!O207)</f>
        <v>1661.8160535117056</v>
      </c>
      <c r="O34" s="84">
        <f>IF('kWh_Streetlight Data'!P207=0,"",'kWh_Streetlight Data'!P207)</f>
        <v>2302.7916666666665</v>
      </c>
      <c r="P34" s="108">
        <f>IF('kWh_Streetlight Data'!Q207=0,"",'kWh_Streetlight Data'!Q207)</f>
        <v>2281.5833333333335</v>
      </c>
      <c r="Q34" s="108">
        <f>IF('kWh_Streetlight Data'!R207=0,"",'kWh_Streetlight Data'!R207)</f>
        <v>2071.1666666666665</v>
      </c>
      <c r="R34" s="108">
        <f>IF('kWh_Streetlight Data'!S207=0,"",'kWh_Streetlight Data'!S207)</f>
        <v>1781.7916666666667</v>
      </c>
      <c r="S34" s="108">
        <f>IF('kWh_Streetlight Data'!T207=0,"",'kWh_Streetlight Data'!T207)</f>
        <v>1708.125</v>
      </c>
      <c r="T34" s="108">
        <f>IF('kWh_Streetlight Data'!U207=0,"",'kWh_Streetlight Data'!U207)</f>
        <v>1326.8333333333333</v>
      </c>
      <c r="U34" s="108">
        <f>IF('kWh_Streetlight Data'!V207=0,"",'kWh_Streetlight Data'!V207)</f>
        <v>1274.6400000000001</v>
      </c>
      <c r="V34" s="108">
        <f>IF('kWh_Streetlight Data'!W207=0,"",'kWh_Streetlight Data'!W207)</f>
        <v>1401.48</v>
      </c>
      <c r="W34" s="108">
        <f>IF('kWh_Streetlight Data'!X207=0,"",'kWh_Streetlight Data'!X207)</f>
        <v>1165.3599999999999</v>
      </c>
      <c r="X34" s="108">
        <f>IF('kWh_Streetlight Data'!Y207=0,"",'kWh_Streetlight Data'!Y207)</f>
        <v>1233.1666666666667</v>
      </c>
      <c r="Y34" s="108">
        <f>IF('kWh_Streetlight Data'!Z207=0,"",'kWh_Streetlight Data'!Z207)</f>
        <v>1481.6666666666667</v>
      </c>
      <c r="Z34" s="108">
        <f>IF('kWh_Streetlight Data'!AA207=0,"",'kWh_Streetlight Data'!AA207)</f>
        <v>1569.9259259259259</v>
      </c>
      <c r="AA34" s="424">
        <f>IF('kWh_Streetlight Data'!AB207=0,"",'kWh_Streetlight Data'!AB207)</f>
        <v>1627.4781144781145</v>
      </c>
      <c r="AB34" s="129">
        <f>IF('kWh_Streetlight Data'!AC207=0,"",'kWh_Streetlight Data'!AC207)</f>
        <v>2495.4230769230771</v>
      </c>
      <c r="AC34" s="130">
        <f>IF('kWh_Streetlight Data'!AD207=0,"",'kWh_Streetlight Data'!AD207)</f>
        <v>1329.5357142857142</v>
      </c>
      <c r="AD34" s="130">
        <f>IF('kWh_Streetlight Data'!AE207=0,"",'kWh_Streetlight Data'!AE207)</f>
        <v>2386.0833333333335</v>
      </c>
      <c r="AE34" s="130">
        <f>IF('kWh_Streetlight Data'!AF207=0,"",'kWh_Streetlight Data'!AF207)</f>
        <v>1641.2916666666667</v>
      </c>
      <c r="AF34" s="130">
        <f>IF('kWh_Streetlight Data'!AG207=0,"",'kWh_Streetlight Data'!AG207)</f>
        <v>1566.9166666666667</v>
      </c>
      <c r="AG34" s="130">
        <f>IF('kWh_Streetlight Data'!AH207=0,"",'kWh_Streetlight Data'!AH207)</f>
        <v>1248.9583333333333</v>
      </c>
      <c r="AH34" s="130">
        <f>IF('kWh_Streetlight Data'!AI207=0,"",'kWh_Streetlight Data'!AI207)</f>
        <v>1229.8333333333333</v>
      </c>
      <c r="AI34" s="130">
        <f>IF('kWh_Streetlight Data'!AJ207=0,"",'kWh_Streetlight Data'!AJ207)</f>
        <v>1438.5416666666667</v>
      </c>
      <c r="AJ34" s="130">
        <f>IF('kWh_Streetlight Data'!AK207=0,"",'kWh_Streetlight Data'!AK207)</f>
        <v>1404.8695652173913</v>
      </c>
      <c r="AK34" s="130">
        <f>IF('kWh_Streetlight Data'!AL207=0,"",'kWh_Streetlight Data'!AL207)</f>
        <v>1183.4583333333333</v>
      </c>
      <c r="AL34" s="130">
        <f>IF('kWh_Streetlight Data'!AM207=0,"",'kWh_Streetlight Data'!AM207)</f>
        <v>1624.0833333333333</v>
      </c>
      <c r="AM34" s="130">
        <f>IF('kWh_Streetlight Data'!AN207=0,"",'kWh_Streetlight Data'!AN207)</f>
        <v>1510.9166666666667</v>
      </c>
      <c r="AN34" s="426">
        <f>IF('kWh_Streetlight Data'!AO207=0,"",'kWh_Streetlight Data'!AO207)</f>
        <v>1591.6109215017066</v>
      </c>
      <c r="AO34" s="43"/>
      <c r="AP34" s="40"/>
      <c r="AQ34" s="40"/>
      <c r="AR34" s="40"/>
      <c r="AS34" s="40"/>
      <c r="AT34" s="17"/>
      <c r="AU34" s="9">
        <f t="shared" ref="AU34:AZ34" si="11">IFERROR(AVERAGE(AH34,U34,H34),0)</f>
        <v>1328.8105555555555</v>
      </c>
      <c r="AV34" s="9">
        <f t="shared" si="11"/>
        <v>1383.8266666666666</v>
      </c>
      <c r="AW34" s="9">
        <f t="shared" si="11"/>
        <v>1279.7570772946858</v>
      </c>
      <c r="AX34" s="9">
        <f t="shared" si="11"/>
        <v>1269.8108974358975</v>
      </c>
      <c r="AY34" s="9">
        <f t="shared" si="11"/>
        <v>1573.1340579710147</v>
      </c>
      <c r="AZ34" s="9">
        <f t="shared" si="11"/>
        <v>1609.1003086419753</v>
      </c>
      <c r="BA34" s="211"/>
      <c r="BB34" s="9">
        <v>2370.1649145299148</v>
      </c>
      <c r="BC34" s="17">
        <v>1875.013015873016</v>
      </c>
      <c r="BD34" s="17">
        <v>2164.9038461538462</v>
      </c>
      <c r="BE34" s="17">
        <v>1730.5405982905984</v>
      </c>
      <c r="BF34" s="17">
        <f t="shared" ref="BF34:BM34" si="12">IFERROR(AVERAGE(F34,S34,AF34),0)</f>
        <v>1599.8780864197531</v>
      </c>
      <c r="BG34" s="17">
        <f t="shared" si="12"/>
        <v>1336.8238888888889</v>
      </c>
      <c r="BH34" s="17">
        <f t="shared" si="12"/>
        <v>1328.8105555555555</v>
      </c>
      <c r="BI34" s="17">
        <f t="shared" si="12"/>
        <v>1383.8266666666668</v>
      </c>
      <c r="BJ34" s="17">
        <f t="shared" si="12"/>
        <v>1279.7570772946858</v>
      </c>
      <c r="BK34" s="17">
        <f t="shared" si="12"/>
        <v>1269.8108974358975</v>
      </c>
      <c r="BL34" s="17">
        <f t="shared" si="12"/>
        <v>1573.1340579710143</v>
      </c>
      <c r="BM34" s="9">
        <f t="shared" si="12"/>
        <v>1609.1003086419753</v>
      </c>
      <c r="BN34" s="211">
        <v>0</v>
      </c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338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>
        <f>$BG$29</f>
        <v>25</v>
      </c>
      <c r="BI36" s="124">
        <f t="shared" ref="BI36:BM36" si="13">$BG$29</f>
        <v>25</v>
      </c>
      <c r="BJ36" s="124">
        <f t="shared" si="13"/>
        <v>25</v>
      </c>
      <c r="BK36" s="124">
        <f t="shared" si="13"/>
        <v>25</v>
      </c>
      <c r="BL36" s="124">
        <f t="shared" si="13"/>
        <v>25</v>
      </c>
      <c r="BM36" s="124">
        <f t="shared" si="13"/>
        <v>25</v>
      </c>
      <c r="BN36" s="210">
        <f>IFERROR(ROUND(AVERAGE(BH36:BM36,BB29:BG29),0),0)</f>
        <v>25</v>
      </c>
      <c r="BO36" s="146">
        <f>Customers!L200</f>
        <v>25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>
        <f>ROUND(BH$40*'kWh Blocks by Rate Category'!P36,0)</f>
        <v>30332</v>
      </c>
      <c r="BI37" s="38">
        <f>ROUND(BI$40*'kWh Blocks by Rate Category'!Q36,0)</f>
        <v>31588</v>
      </c>
      <c r="BJ37" s="38">
        <f>ROUND(BJ$40*'kWh Blocks by Rate Category'!R36,0)</f>
        <v>29212</v>
      </c>
      <c r="BK37" s="38">
        <f>ROUND(BK$40*'kWh Blocks by Rate Category'!S36,0)</f>
        <v>28985</v>
      </c>
      <c r="BL37" s="38">
        <f>ROUND(BL$40*'kWh Blocks by Rate Category'!T36,0)</f>
        <v>35909</v>
      </c>
      <c r="BM37" s="38">
        <f>ROUND(BM$40*'kWh Blocks by Rate Category'!U36,0)</f>
        <v>36731</v>
      </c>
      <c r="BN37" s="210">
        <f>SUM(BB37:BM37)</f>
        <v>192757</v>
      </c>
      <c r="BO37" s="38">
        <f>ROUND(BO$40*'kWh Blocks by Rate Category'!W36,0)</f>
        <v>445614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>
        <f>ROUND(BH$40*'kWh Blocks by Rate Category'!P37,0)</f>
        <v>2888</v>
      </c>
      <c r="BI38" s="38">
        <f>ROUND(BI$40*'kWh Blocks by Rate Category'!Q37,0)</f>
        <v>3008</v>
      </c>
      <c r="BJ38" s="38">
        <f>ROUND(BJ$40*'kWh Blocks by Rate Category'!R37,0)</f>
        <v>2782</v>
      </c>
      <c r="BK38" s="38">
        <f>ROUND(BK$40*'kWh Blocks by Rate Category'!S37,0)</f>
        <v>2760</v>
      </c>
      <c r="BL38" s="38">
        <f>ROUND(BL$40*'kWh Blocks by Rate Category'!T37,0)</f>
        <v>3419</v>
      </c>
      <c r="BM38" s="38">
        <f>ROUND(BM$40*'kWh Blocks by Rate Category'!U37,0)</f>
        <v>3497</v>
      </c>
      <c r="BN38" s="210">
        <f>SUM(BB38:BM38)</f>
        <v>18354</v>
      </c>
      <c r="BO38" s="38">
        <f>ROUND(BO$40*'kWh Blocks by Rate Category'!W37,0)</f>
        <v>42431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>
        <f>ROUND(BH$40*'kWh Blocks by Rate Category'!P38,0)</f>
        <v>0</v>
      </c>
      <c r="BI39" s="38">
        <f>ROUND(BI$40*'kWh Blocks by Rate Category'!Q38,0)</f>
        <v>0</v>
      </c>
      <c r="BJ39" s="38">
        <f>ROUND(BJ$40*'kWh Blocks by Rate Category'!R38,0)</f>
        <v>0</v>
      </c>
      <c r="BK39" s="38">
        <f>ROUND(BK$40*'kWh Blocks by Rate Category'!S38,0)</f>
        <v>0</v>
      </c>
      <c r="BL39" s="38">
        <f>ROUND(BL$40*'kWh Blocks by Rate Category'!T38,0)</f>
        <v>0</v>
      </c>
      <c r="BM39" s="38">
        <f>ROUND(BM$40*'kWh Blocks by Rate Category'!U38,0)</f>
        <v>0</v>
      </c>
      <c r="BN39" s="210">
        <f>SUM(BB39:BM39)</f>
        <v>0</v>
      </c>
      <c r="BO39" s="38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>
        <f t="shared" ref="BH40:BM40" si="14">IFERROR(ROUND(BH41*BH36,0),0)</f>
        <v>33220</v>
      </c>
      <c r="BI40" s="64">
        <f t="shared" si="14"/>
        <v>34596</v>
      </c>
      <c r="BJ40" s="64">
        <f t="shared" si="14"/>
        <v>31994</v>
      </c>
      <c r="BK40" s="64">
        <f t="shared" si="14"/>
        <v>31745</v>
      </c>
      <c r="BL40" s="64">
        <f t="shared" si="14"/>
        <v>39328</v>
      </c>
      <c r="BM40" s="64">
        <f t="shared" si="14"/>
        <v>40228</v>
      </c>
      <c r="BN40" s="196">
        <f>SUM(BB40:BM40)</f>
        <v>211111</v>
      </c>
      <c r="BO40" s="333">
        <f>ROUND(BO36*BO41,0)</f>
        <v>488045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17">
        <f t="shared" ref="BH41:BM41" si="15">BH34</f>
        <v>1328.8105555555555</v>
      </c>
      <c r="BI41" s="17">
        <f t="shared" si="15"/>
        <v>1383.8266666666668</v>
      </c>
      <c r="BJ41" s="17">
        <f t="shared" si="15"/>
        <v>1279.7570772946858</v>
      </c>
      <c r="BK41" s="17">
        <f t="shared" si="15"/>
        <v>1269.8108974358975</v>
      </c>
      <c r="BL41" s="17">
        <f t="shared" si="15"/>
        <v>1573.1340579710143</v>
      </c>
      <c r="BM41" s="17">
        <f t="shared" si="15"/>
        <v>1609.1003086419753</v>
      </c>
      <c r="BN41" s="211">
        <f>IFERROR((BN40+BN33)/SUM(BH36:BM36,BB29:BG29)*12,0)</f>
        <v>19521.8</v>
      </c>
      <c r="BO41" s="273">
        <f>BN41</f>
        <v>19521.8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Customers!E201</f>
        <v>4</v>
      </c>
      <c r="AV43" s="124">
        <f>Customers!F201</f>
        <v>4</v>
      </c>
      <c r="AW43" s="124">
        <f>Customers!G201</f>
        <v>4</v>
      </c>
      <c r="AX43" s="124">
        <f>Customers!H201</f>
        <v>4</v>
      </c>
      <c r="AY43" s="124">
        <f>Customers!I201</f>
        <v>4</v>
      </c>
      <c r="AZ43" s="124">
        <f>Customers!J201</f>
        <v>4</v>
      </c>
      <c r="BA43" s="210">
        <f>AZ43</f>
        <v>4</v>
      </c>
      <c r="BB43" s="124">
        <v>4</v>
      </c>
      <c r="BC43" s="38">
        <v>4</v>
      </c>
      <c r="BD43" s="38">
        <v>4</v>
      </c>
      <c r="BE43" s="38">
        <v>4</v>
      </c>
      <c r="BF43" s="38">
        <f t="shared" ref="BF43:BJ43" si="16">BE43</f>
        <v>4</v>
      </c>
      <c r="BG43" s="38">
        <f t="shared" si="16"/>
        <v>4</v>
      </c>
      <c r="BH43" s="38">
        <v>0</v>
      </c>
      <c r="BI43" s="38">
        <f t="shared" si="16"/>
        <v>0</v>
      </c>
      <c r="BJ43" s="38">
        <f t="shared" si="16"/>
        <v>0</v>
      </c>
      <c r="BK43" s="38">
        <v>0</v>
      </c>
      <c r="BL43" s="38">
        <v>0</v>
      </c>
      <c r="BM43" s="38">
        <v>0</v>
      </c>
      <c r="BN43" s="210">
        <v>0</v>
      </c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23305</v>
      </c>
      <c r="AV44" s="38">
        <f t="shared" ref="AV44:AZ44" si="17">AV47</f>
        <v>22908</v>
      </c>
      <c r="AW44" s="38">
        <f t="shared" si="17"/>
        <v>21428</v>
      </c>
      <c r="AX44" s="38">
        <f t="shared" si="17"/>
        <v>18605</v>
      </c>
      <c r="AY44" s="38">
        <f t="shared" si="17"/>
        <v>23831</v>
      </c>
      <c r="AZ44" s="38">
        <f t="shared" si="17"/>
        <v>23422</v>
      </c>
      <c r="BA44" s="210">
        <f>SUM(AO44:AZ44)</f>
        <v>133499</v>
      </c>
      <c r="BB44" s="38">
        <v>35077</v>
      </c>
      <c r="BC44" s="38">
        <v>31862</v>
      </c>
      <c r="BD44" s="38">
        <v>33886</v>
      </c>
      <c r="BE44" s="38">
        <v>26500</v>
      </c>
      <c r="BF44" s="38">
        <f>ROUND(BF$47*'kWh Blocks by Rate Category'!N43,0)</f>
        <v>23283</v>
      </c>
      <c r="BG44" s="38">
        <f>ROUND(BG$47*'kWh Blocks by Rate Category'!O43,0)</f>
        <v>20133</v>
      </c>
      <c r="BH44" s="38">
        <f>ROUND(BH$47*'kWh Blocks by Rate Category'!P43,0)</f>
        <v>0</v>
      </c>
      <c r="BI44" s="38">
        <f>ROUND(BI$47*'kWh Blocks by Rate Category'!Q43,0)</f>
        <v>0</v>
      </c>
      <c r="BJ44" s="38">
        <f>ROUND(BJ$47*'kWh Blocks by Rate Category'!R43,0)</f>
        <v>0</v>
      </c>
      <c r="BK44" s="38">
        <f>ROUND(BK$47*'kWh Blocks by Rate Category'!S43,0)</f>
        <v>0</v>
      </c>
      <c r="BL44" s="38">
        <f>ROUND(BL$47*'kWh Blocks by Rate Category'!T43,0)</f>
        <v>0</v>
      </c>
      <c r="BM44" s="38">
        <f>ROUND(BM$47*'kWh Blocks by Rate Category'!U43,0)</f>
        <v>0</v>
      </c>
      <c r="BN44" s="210">
        <f>SUM(BB44:BM44)</f>
        <v>170741</v>
      </c>
      <c r="BO44" s="38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2985</v>
      </c>
      <c r="BC45" s="38">
        <v>2711</v>
      </c>
      <c r="BD45" s="38">
        <v>2883</v>
      </c>
      <c r="BE45" s="38">
        <v>2255</v>
      </c>
      <c r="BF45" s="38">
        <f>ROUND(BF$47*'kWh Blocks by Rate Category'!N44,0)</f>
        <v>1981</v>
      </c>
      <c r="BG45" s="38">
        <f>ROUND(BG$47*'kWh Blocks by Rate Category'!O44,0)</f>
        <v>1713</v>
      </c>
      <c r="BH45" s="38">
        <f>ROUND(BH$47*'kWh Blocks by Rate Category'!P44,0)</f>
        <v>0</v>
      </c>
      <c r="BI45" s="38">
        <f>ROUND(BI$47*'kWh Blocks by Rate Category'!Q44,0)</f>
        <v>0</v>
      </c>
      <c r="BJ45" s="38">
        <f>ROUND(BJ$47*'kWh Blocks by Rate Category'!R44,0)</f>
        <v>0</v>
      </c>
      <c r="BK45" s="38">
        <f>ROUND(BK$47*'kWh Blocks by Rate Category'!S44,0)</f>
        <v>0</v>
      </c>
      <c r="BL45" s="38">
        <f>ROUND(BL$47*'kWh Blocks by Rate Category'!T44,0)</f>
        <v>0</v>
      </c>
      <c r="BM45" s="38">
        <f>ROUND(BM$47*'kWh Blocks by Rate Category'!U44,0)</f>
        <v>0</v>
      </c>
      <c r="BN45" s="210">
        <f>SUM(BB45:BM45)</f>
        <v>14528</v>
      </c>
      <c r="BO45" s="38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1219</v>
      </c>
      <c r="BC46" s="38">
        <v>1107</v>
      </c>
      <c r="BD46" s="38">
        <v>1177</v>
      </c>
      <c r="BE46" s="38">
        <v>921</v>
      </c>
      <c r="BF46" s="38">
        <f>ROUND(BF$47*'kWh Blocks by Rate Category'!N45,0)</f>
        <v>809</v>
      </c>
      <c r="BG46" s="38">
        <f>ROUND(BG$47*'kWh Blocks by Rate Category'!O45,0)</f>
        <v>699</v>
      </c>
      <c r="BH46" s="38">
        <f>ROUND(BH$47*'kWh Blocks by Rate Category'!P45,0)</f>
        <v>0</v>
      </c>
      <c r="BI46" s="38">
        <f>ROUND(BI$47*'kWh Blocks by Rate Category'!Q45,0)</f>
        <v>0</v>
      </c>
      <c r="BJ46" s="38">
        <f>ROUND(BJ$47*'kWh Blocks by Rate Category'!R45,0)</f>
        <v>0</v>
      </c>
      <c r="BK46" s="38">
        <f>ROUND(BK$47*'kWh Blocks by Rate Category'!S45,0)</f>
        <v>0</v>
      </c>
      <c r="BL46" s="38">
        <f>ROUND(BL$47*'kWh Blocks by Rate Category'!T45,0)</f>
        <v>0</v>
      </c>
      <c r="BM46" s="38">
        <f>ROUND(BM$47*'kWh Blocks by Rate Category'!U45,0)</f>
        <v>0</v>
      </c>
      <c r="BN46" s="210">
        <f>SUM(BB46:BM46)</f>
        <v>5932</v>
      </c>
      <c r="BO46" s="38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8">IFERROR(ROUND(AU48*AU43,0),0)</f>
        <v>23305</v>
      </c>
      <c r="AV47" s="64">
        <f t="shared" si="18"/>
        <v>22908</v>
      </c>
      <c r="AW47" s="64">
        <f t="shared" si="18"/>
        <v>21428</v>
      </c>
      <c r="AX47" s="64">
        <f t="shared" si="18"/>
        <v>18605</v>
      </c>
      <c r="AY47" s="64">
        <f t="shared" si="18"/>
        <v>23831</v>
      </c>
      <c r="AZ47" s="64">
        <f t="shared" si="18"/>
        <v>23422</v>
      </c>
      <c r="BA47" s="196">
        <f>SUM(AO47:AZ47)</f>
        <v>133499</v>
      </c>
      <c r="BB47" s="64">
        <v>39280</v>
      </c>
      <c r="BC47" s="64">
        <v>35680</v>
      </c>
      <c r="BD47" s="64">
        <v>37946</v>
      </c>
      <c r="BE47" s="64">
        <v>29675</v>
      </c>
      <c r="BF47" s="64">
        <f t="shared" ref="BF47:BM47" si="19">IFERROR(ROUND(BF48*BF43,0),0)</f>
        <v>26073</v>
      </c>
      <c r="BG47" s="64">
        <f t="shared" si="19"/>
        <v>22546</v>
      </c>
      <c r="BH47" s="64">
        <f t="shared" si="19"/>
        <v>0</v>
      </c>
      <c r="BI47" s="64">
        <f t="shared" si="19"/>
        <v>0</v>
      </c>
      <c r="BJ47" s="64">
        <f t="shared" si="19"/>
        <v>0</v>
      </c>
      <c r="BK47" s="64">
        <f t="shared" si="19"/>
        <v>0</v>
      </c>
      <c r="BL47" s="64">
        <f t="shared" si="19"/>
        <v>0</v>
      </c>
      <c r="BM47" s="64">
        <f t="shared" si="19"/>
        <v>0</v>
      </c>
      <c r="BN47" s="196">
        <f>SUM(BB47:BM47)</f>
        <v>191200</v>
      </c>
      <c r="BO47" s="333"/>
    </row>
    <row r="48" spans="1:67" ht="15.75" customHeight="1" thickTop="1">
      <c r="A48" s="374" t="s">
        <v>54</v>
      </c>
      <c r="B48" s="129">
        <f>IF('kWh_Streetlight Data'!C208=0,"",'kWh_Streetlight Data'!C208)</f>
        <v>11640</v>
      </c>
      <c r="C48" s="130">
        <f>IF('kWh_Streetlight Data'!D208=0,"",'kWh_Streetlight Data'!D208)</f>
        <v>9120</v>
      </c>
      <c r="D48" s="130">
        <f>IF('kWh_Streetlight Data'!E208=0,"",'kWh_Streetlight Data'!E208)</f>
        <v>10720</v>
      </c>
      <c r="E48" s="130">
        <f>IF('kWh_Streetlight Data'!F208=0,"",'kWh_Streetlight Data'!F208)</f>
        <v>7080</v>
      </c>
      <c r="F48" s="130">
        <f>IF('kWh_Streetlight Data'!G208=0,"",'kWh_Streetlight Data'!G208)</f>
        <v>6000</v>
      </c>
      <c r="G48" s="130">
        <f>IF('kWh_Streetlight Data'!H208=0,"",'kWh_Streetlight Data'!H208)</f>
        <v>5760</v>
      </c>
      <c r="H48" s="130">
        <f>IF('kWh_Streetlight Data'!I208=0,"",'kWh_Streetlight Data'!I208)</f>
        <v>6640</v>
      </c>
      <c r="I48" s="130">
        <f>IF('kWh_Streetlight Data'!J208=0,"",'kWh_Streetlight Data'!J208)</f>
        <v>5520</v>
      </c>
      <c r="J48" s="130">
        <f>IF('kWh_Streetlight Data'!K208=0,"",'kWh_Streetlight Data'!K208)</f>
        <v>6640</v>
      </c>
      <c r="K48" s="130">
        <f>IF('kWh_Streetlight Data'!L208=0,"",'kWh_Streetlight Data'!L208)</f>
        <v>4800</v>
      </c>
      <c r="L48" s="130">
        <f>IF('kWh_Streetlight Data'!M208=0,"",'kWh_Streetlight Data'!M208)</f>
        <v>7080</v>
      </c>
      <c r="M48" s="130">
        <f>IF('kWh_Streetlight Data'!N208=0,"",'kWh_Streetlight Data'!N208)</f>
        <v>7040</v>
      </c>
      <c r="N48" s="424">
        <f>IF('kWh_Streetlight Data'!O208=0,"",'kWh_Streetlight Data'!O208)</f>
        <v>7336.666666666667</v>
      </c>
      <c r="O48" s="129">
        <f>IF('kWh_Streetlight Data'!P208=0,"",'kWh_Streetlight Data'!P208)</f>
        <v>12120</v>
      </c>
      <c r="P48" s="130">
        <f>IF('kWh_Streetlight Data'!Q208=0,"",'kWh_Streetlight Data'!Q208)</f>
        <v>12640</v>
      </c>
      <c r="Q48" s="130">
        <f>IF('kWh_Streetlight Data'!R208=0,"",'kWh_Streetlight Data'!R208)</f>
        <v>10800</v>
      </c>
      <c r="R48" s="130">
        <f>IF('kWh_Streetlight Data'!S208=0,"",'kWh_Streetlight Data'!S208)</f>
        <v>8640</v>
      </c>
      <c r="S48" s="130">
        <f>IF('kWh_Streetlight Data'!T208=0,"",'kWh_Streetlight Data'!T208)</f>
        <v>8920</v>
      </c>
      <c r="T48" s="130">
        <f>IF('kWh_Streetlight Data'!U208=0,"",'kWh_Streetlight Data'!U208)</f>
        <v>7520</v>
      </c>
      <c r="U48" s="130">
        <f>IF('kWh_Streetlight Data'!V208=0,"",'kWh_Streetlight Data'!V208)</f>
        <v>7240</v>
      </c>
      <c r="V48" s="130">
        <f>IF('kWh_Streetlight Data'!W208=0,"",'kWh_Streetlight Data'!W208)</f>
        <v>6840</v>
      </c>
      <c r="W48" s="130">
        <f>IF('kWh_Streetlight Data'!X208=0,"",'kWh_Streetlight Data'!X208)</f>
        <v>5800</v>
      </c>
      <c r="X48" s="130">
        <f>IF('kWh_Streetlight Data'!Y208=0,"",'kWh_Streetlight Data'!Y208)</f>
        <v>5960</v>
      </c>
      <c r="Y48" s="130">
        <f>IF('kWh_Streetlight Data'!Z208=0,"",'kWh_Streetlight Data'!Z208)</f>
        <v>5840</v>
      </c>
      <c r="Z48" s="130">
        <f>IF('kWh_Streetlight Data'!AA208=0,"",'kWh_Streetlight Data'!AA208)</f>
        <v>4600</v>
      </c>
      <c r="AA48" s="424">
        <f>IF('kWh_Streetlight Data'!AB208=0,"",'kWh_Streetlight Data'!AB208)</f>
        <v>7904.6153846153848</v>
      </c>
      <c r="AB48" s="129">
        <f>IF('kWh_Streetlight Data'!AC208=0,"",'kWh_Streetlight Data'!AC208)</f>
        <v>5700</v>
      </c>
      <c r="AC48" s="130">
        <f>IF('kWh_Streetlight Data'!AD208=0,"",'kWh_Streetlight Data'!AD208)</f>
        <v>5000</v>
      </c>
      <c r="AD48" s="130">
        <f>IF('kWh_Streetlight Data'!AE208=0,"",'kWh_Streetlight Data'!AE208)</f>
        <v>6939.4</v>
      </c>
      <c r="AE48" s="130">
        <f>IF('kWh_Streetlight Data'!AF208=0,"",'kWh_Streetlight Data'!AF208)</f>
        <v>6536</v>
      </c>
      <c r="AF48" s="130">
        <f>IF('kWh_Streetlight Data'!AG208=0,"",'kWh_Streetlight Data'!AG208)</f>
        <v>4635</v>
      </c>
      <c r="AG48" s="130">
        <f>IF('kWh_Streetlight Data'!AH208=0,"",'kWh_Streetlight Data'!AH208)</f>
        <v>3629.6666666666665</v>
      </c>
      <c r="AH48" s="130">
        <f>IF('kWh_Streetlight Data'!AI208=0,"",'kWh_Streetlight Data'!AI208)</f>
        <v>3599</v>
      </c>
      <c r="AI48" s="130">
        <f>IF('kWh_Streetlight Data'!AJ208=0,"",'kWh_Streetlight Data'!AJ208)</f>
        <v>4821</v>
      </c>
      <c r="AJ48" s="130">
        <f>IF('kWh_Streetlight Data'!AK208=0,"",'kWh_Streetlight Data'!AK208)</f>
        <v>3631.25</v>
      </c>
      <c r="AK48" s="130">
        <f>IF('kWh_Streetlight Data'!AL208=0,"",'kWh_Streetlight Data'!AL208)</f>
        <v>3193.5</v>
      </c>
      <c r="AL48" s="130">
        <f>IF('kWh_Streetlight Data'!AM208=0,"",'kWh_Streetlight Data'!AM208)</f>
        <v>4953</v>
      </c>
      <c r="AM48" s="130">
        <f>IF('kWh_Streetlight Data'!AN208=0,"",'kWh_Streetlight Data'!AN208)</f>
        <v>5926.25</v>
      </c>
      <c r="AN48" s="426">
        <f>IF('kWh_Streetlight Data'!AO208=0,"",'kWh_Streetlight Data'!AO208)</f>
        <v>4891.4473684210525</v>
      </c>
      <c r="AO48" s="43"/>
      <c r="AP48" s="40"/>
      <c r="AQ48" s="40"/>
      <c r="AR48" s="40"/>
      <c r="AS48" s="40"/>
      <c r="AT48" s="17"/>
      <c r="AU48" s="9">
        <f t="shared" ref="AU48:AZ48" si="20">IFERROR(AVERAGE(AH48,U48,H48),0)</f>
        <v>5826.333333333333</v>
      </c>
      <c r="AV48" s="9">
        <f t="shared" si="20"/>
        <v>5727</v>
      </c>
      <c r="AW48" s="9">
        <f t="shared" si="20"/>
        <v>5357.083333333333</v>
      </c>
      <c r="AX48" s="9">
        <f t="shared" si="20"/>
        <v>4651.166666666667</v>
      </c>
      <c r="AY48" s="9">
        <f t="shared" si="20"/>
        <v>5957.666666666667</v>
      </c>
      <c r="AZ48" s="9">
        <f t="shared" si="20"/>
        <v>5855.416666666667</v>
      </c>
      <c r="BA48" s="211"/>
      <c r="BB48" s="9">
        <v>9820</v>
      </c>
      <c r="BC48" s="17">
        <v>8920</v>
      </c>
      <c r="BD48" s="17">
        <v>9486.4666666666672</v>
      </c>
      <c r="BE48" s="17">
        <v>7418.666666666667</v>
      </c>
      <c r="BF48" s="17">
        <f t="shared" ref="BF48:BM48" si="21">IFERROR(AVERAGE(F48,S48,AF48),0)</f>
        <v>6518.333333333333</v>
      </c>
      <c r="BG48" s="17">
        <f t="shared" si="21"/>
        <v>5636.5555555555557</v>
      </c>
      <c r="BH48" s="17">
        <f t="shared" si="21"/>
        <v>5826.333333333333</v>
      </c>
      <c r="BI48" s="17">
        <f t="shared" si="21"/>
        <v>5727</v>
      </c>
      <c r="BJ48" s="17">
        <f t="shared" si="21"/>
        <v>5357.083333333333</v>
      </c>
      <c r="BK48" s="17">
        <f t="shared" si="21"/>
        <v>4651.166666666667</v>
      </c>
      <c r="BL48" s="17">
        <f t="shared" si="21"/>
        <v>5957.666666666667</v>
      </c>
      <c r="BM48" s="9">
        <f t="shared" si="21"/>
        <v>5855.416666666667</v>
      </c>
      <c r="BN48" s="211">
        <f>IFERROR(BN47/BN43,0)</f>
        <v>0</v>
      </c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>
        <f>$BG$43</f>
        <v>4</v>
      </c>
      <c r="BI50" s="38">
        <f t="shared" ref="BI50:BM50" si="22">$BG$43</f>
        <v>4</v>
      </c>
      <c r="BJ50" s="38">
        <f t="shared" si="22"/>
        <v>4</v>
      </c>
      <c r="BK50" s="38">
        <f t="shared" si="22"/>
        <v>4</v>
      </c>
      <c r="BL50" s="38">
        <f t="shared" si="22"/>
        <v>4</v>
      </c>
      <c r="BM50" s="38">
        <f t="shared" si="22"/>
        <v>4</v>
      </c>
      <c r="BN50" s="210">
        <f>IFERROR(ROUND(AVERAGE(BH50:BM50,BB43:BG43),0),0)</f>
        <v>4</v>
      </c>
      <c r="BO50" s="146">
        <f>Customers!L201</f>
        <v>4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>
        <f>ROUND(BH$54*'kWh Blocks by Rate Category'!P50,0)</f>
        <v>20811</v>
      </c>
      <c r="BI51" s="38">
        <f>ROUND(BI$54*'kWh Blocks by Rate Category'!Q50,0)</f>
        <v>20457</v>
      </c>
      <c r="BJ51" s="38">
        <f>ROUND(BJ$54*'kWh Blocks by Rate Category'!R50,0)</f>
        <v>19135</v>
      </c>
      <c r="BK51" s="38">
        <f>ROUND(BK$54*'kWh Blocks by Rate Category'!S50,0)</f>
        <v>16614</v>
      </c>
      <c r="BL51" s="38">
        <f>ROUND(BL$54*'kWh Blocks by Rate Category'!T50,0)</f>
        <v>21281</v>
      </c>
      <c r="BM51" s="38">
        <f>ROUND(BM$54*'kWh Blocks by Rate Category'!U50,0)</f>
        <v>20916</v>
      </c>
      <c r="BN51" s="210">
        <f>SUM(BB51:BM51)</f>
        <v>119214</v>
      </c>
      <c r="BO51" s="38">
        <f>ROUND(BO$54*'kWh Blocks by Rate Category'!W50,0)</f>
        <v>289954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>
        <f>ROUND(BH$54*'kWh Blocks by Rate Category'!P51,0)</f>
        <v>1771</v>
      </c>
      <c r="BI52" s="38">
        <f>ROUND(BI$54*'kWh Blocks by Rate Category'!Q51,0)</f>
        <v>1741</v>
      </c>
      <c r="BJ52" s="38">
        <f>ROUND(BJ$54*'kWh Blocks by Rate Category'!R51,0)</f>
        <v>1628</v>
      </c>
      <c r="BK52" s="38">
        <f>ROUND(BK$54*'kWh Blocks by Rate Category'!S51,0)</f>
        <v>1414</v>
      </c>
      <c r="BL52" s="38">
        <f>ROUND(BL$54*'kWh Blocks by Rate Category'!T51,0)</f>
        <v>1811</v>
      </c>
      <c r="BM52" s="38">
        <f>ROUND(BM$54*'kWh Blocks by Rate Category'!U51,0)</f>
        <v>1780</v>
      </c>
      <c r="BN52" s="210">
        <f>SUM(BB52:BM52)</f>
        <v>10145</v>
      </c>
      <c r="BO52" s="38">
        <f>ROUND(BO$54*'kWh Blocks by Rate Category'!W51,0)</f>
        <v>24671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>
        <f>ROUND(BH$54*'kWh Blocks by Rate Category'!P52,0)</f>
        <v>723</v>
      </c>
      <c r="BI53" s="38">
        <f>ROUND(BI$54*'kWh Blocks by Rate Category'!Q52,0)</f>
        <v>711</v>
      </c>
      <c r="BJ53" s="38">
        <f>ROUND(BJ$54*'kWh Blocks by Rate Category'!R52,0)</f>
        <v>665</v>
      </c>
      <c r="BK53" s="38">
        <f>ROUND(BK$54*'kWh Blocks by Rate Category'!S52,0)</f>
        <v>577</v>
      </c>
      <c r="BL53" s="38">
        <f>ROUND(BL$54*'kWh Blocks by Rate Category'!T52,0)</f>
        <v>739</v>
      </c>
      <c r="BM53" s="38">
        <f>ROUND(BM$54*'kWh Blocks by Rate Category'!U52,0)</f>
        <v>727</v>
      </c>
      <c r="BN53" s="210">
        <f>SUM(BB53:BM53)</f>
        <v>4142</v>
      </c>
      <c r="BO53" s="38">
        <f>ROUND(BO$54*'kWh Blocks by Rate Category'!W52,0)</f>
        <v>10074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>
        <f t="shared" ref="BH54:BM54" si="23">IFERROR(ROUND(BH55*BH50,0),0)</f>
        <v>23305</v>
      </c>
      <c r="BI54" s="64">
        <f t="shared" si="23"/>
        <v>22908</v>
      </c>
      <c r="BJ54" s="64">
        <f t="shared" si="23"/>
        <v>21428</v>
      </c>
      <c r="BK54" s="64">
        <f t="shared" si="23"/>
        <v>18605</v>
      </c>
      <c r="BL54" s="64">
        <f t="shared" si="23"/>
        <v>23831</v>
      </c>
      <c r="BM54" s="64">
        <f t="shared" si="23"/>
        <v>23422</v>
      </c>
      <c r="BN54" s="196">
        <f>SUM(BB54:BM54)</f>
        <v>133499</v>
      </c>
      <c r="BO54" s="333">
        <f>ROUND(BO50*BO55,0)</f>
        <v>324699</v>
      </c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>
        <f t="shared" ref="BH55:BM55" si="24">BH48</f>
        <v>5826.333333333333</v>
      </c>
      <c r="BI55" s="17">
        <f t="shared" si="24"/>
        <v>5727</v>
      </c>
      <c r="BJ55" s="17">
        <f t="shared" si="24"/>
        <v>5357.083333333333</v>
      </c>
      <c r="BK55" s="17">
        <f t="shared" si="24"/>
        <v>4651.166666666667</v>
      </c>
      <c r="BL55" s="17">
        <f t="shared" si="24"/>
        <v>5957.666666666667</v>
      </c>
      <c r="BM55" s="17">
        <f t="shared" si="24"/>
        <v>5855.416666666667</v>
      </c>
      <c r="BN55" s="211">
        <f>IFERROR((BN54+BN47)/SUM(BH50:BM50,BB43:BG43)*12,0)</f>
        <v>81174.75</v>
      </c>
      <c r="BO55" s="20">
        <f>BN55</f>
        <v>81174.75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56"/>
      <c r="AU57" s="128">
        <f>Customers!E146</f>
        <v>1</v>
      </c>
      <c r="AV57" s="128">
        <f>Customers!F146</f>
        <v>1</v>
      </c>
      <c r="AW57" s="128">
        <f>Customers!G146</f>
        <v>1</v>
      </c>
      <c r="AX57" s="128">
        <f>Customers!H146</f>
        <v>1</v>
      </c>
      <c r="AY57" s="128">
        <f>Customers!I146</f>
        <v>1</v>
      </c>
      <c r="AZ57" s="128">
        <f>Customers!J146</f>
        <v>1</v>
      </c>
      <c r="BA57" s="204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M58" si="25">BE57</f>
        <v>1</v>
      </c>
      <c r="BG57" s="38">
        <f t="shared" si="25"/>
        <v>1</v>
      </c>
      <c r="BH57" s="38">
        <v>0</v>
      </c>
      <c r="BI57" s="38">
        <f t="shared" si="25"/>
        <v>0</v>
      </c>
      <c r="BJ57" s="38">
        <f t="shared" si="25"/>
        <v>0</v>
      </c>
      <c r="BK57" s="38">
        <f t="shared" si="25"/>
        <v>0</v>
      </c>
      <c r="BL57" s="38">
        <f t="shared" si="25"/>
        <v>0</v>
      </c>
      <c r="BM57" s="38">
        <f t="shared" si="25"/>
        <v>0</v>
      </c>
      <c r="BN57" s="210">
        <v>0</v>
      </c>
      <c r="BO57" s="156"/>
    </row>
    <row r="58" spans="1:67" ht="15.75" customHeight="1" thickBot="1">
      <c r="A58" s="201" t="s">
        <v>30</v>
      </c>
      <c r="B58" s="113" t="str">
        <f>IF('kWh_Streetlight Data'!C248=0,"",'kWh_Streetlight Data'!C248)</f>
        <v/>
      </c>
      <c r="C58" s="114" t="str">
        <f>IF('kWh_Streetlight Data'!D248=0,"",'kWh_Streetlight Data'!D248)</f>
        <v/>
      </c>
      <c r="D58" s="114" t="str">
        <f>IF('kWh_Streetlight Data'!E248=0,"",'kWh_Streetlight Data'!E248)</f>
        <v/>
      </c>
      <c r="E58" s="114" t="str">
        <f>IF('kWh_Streetlight Data'!F248=0,"",'kWh_Streetlight Data'!F248)</f>
        <v/>
      </c>
      <c r="F58" s="114" t="str">
        <f>IF('kWh_Streetlight Data'!G248=0,"",'kWh_Streetlight Data'!G248)</f>
        <v/>
      </c>
      <c r="G58" s="114" t="str">
        <f>IF('kWh_Streetlight Data'!H248=0,"",'kWh_Streetlight Data'!H248)</f>
        <v/>
      </c>
      <c r="H58" s="114" t="str">
        <f>IF('kWh_Streetlight Data'!I248=0,"",'kWh_Streetlight Data'!I248)</f>
        <v/>
      </c>
      <c r="I58" s="114" t="str">
        <f>IF('kWh_Streetlight Data'!J248=0,"",'kWh_Streetlight Data'!J248)</f>
        <v/>
      </c>
      <c r="J58" s="114" t="str">
        <f>IF('kWh_Streetlight Data'!K248=0,"",'kWh_Streetlight Data'!K248)</f>
        <v/>
      </c>
      <c r="K58" s="114" t="str">
        <f>IF('kWh_Streetlight Data'!L248=0,"",'kWh_Streetlight Data'!L248)</f>
        <v/>
      </c>
      <c r="L58" s="114" t="str">
        <f>IF('kWh_Streetlight Data'!M248=0,"",'kWh_Streetlight Data'!M248)</f>
        <v/>
      </c>
      <c r="M58" s="114" t="str">
        <f>IF('kWh_Streetlight Data'!N248=0,"",'kWh_Streetlight Data'!N248)</f>
        <v/>
      </c>
      <c r="N58" s="459" t="str">
        <f>IF('kWh_Streetlight Data'!O248=0,"",'kWh_Streetlight Data'!O248)</f>
        <v/>
      </c>
      <c r="O58" s="113" t="str">
        <f>IF('kWh_Streetlight Data'!P248=0,"",'kWh_Streetlight Data'!P248)</f>
        <v/>
      </c>
      <c r="P58" s="114" t="str">
        <f>IF('kWh_Streetlight Data'!Q248=0,"",'kWh_Streetlight Data'!Q248)</f>
        <v/>
      </c>
      <c r="Q58" s="114" t="str">
        <f>IF('kWh_Streetlight Data'!R248=0,"",'kWh_Streetlight Data'!R248)</f>
        <v/>
      </c>
      <c r="R58" s="114" t="str">
        <f>IF('kWh_Streetlight Data'!S248=0,"",'kWh_Streetlight Data'!S248)</f>
        <v/>
      </c>
      <c r="S58" s="114" t="str">
        <f>IF('kWh_Streetlight Data'!T248=0,"",'kWh_Streetlight Data'!T248)</f>
        <v/>
      </c>
      <c r="T58" s="114" t="str">
        <f>IF('kWh_Streetlight Data'!U248=0,"",'kWh_Streetlight Data'!U248)</f>
        <v/>
      </c>
      <c r="U58" s="114" t="str">
        <f>IF('kWh_Streetlight Data'!V248=0,"",'kWh_Streetlight Data'!V248)</f>
        <v/>
      </c>
      <c r="V58" s="114" t="str">
        <f>IF('kWh_Streetlight Data'!W248=0,"",'kWh_Streetlight Data'!W248)</f>
        <v/>
      </c>
      <c r="W58" s="114" t="str">
        <f>IF('kWh_Streetlight Data'!X248=0,"",'kWh_Streetlight Data'!X248)</f>
        <v/>
      </c>
      <c r="X58" s="114" t="str">
        <f>IF('kWh_Streetlight Data'!Y248=0,"",'kWh_Streetlight Data'!Y248)</f>
        <v/>
      </c>
      <c r="Y58" s="114" t="str">
        <f>IF('kWh_Streetlight Data'!Z248=0,"",'kWh_Streetlight Data'!Z248)</f>
        <v/>
      </c>
      <c r="Z58" s="114" t="str">
        <f>IF('kWh_Streetlight Data'!AA248=0,"",'kWh_Streetlight Data'!AA248)</f>
        <v/>
      </c>
      <c r="AA58" s="459" t="str">
        <f>IF('kWh_Streetlight Data'!AB248=0,"",'kWh_Streetlight Data'!AB248)</f>
        <v/>
      </c>
      <c r="AB58" s="240">
        <f>IF('kWh_Streetlight Data'!AC248=0,"",'kWh_Streetlight Data'!AC248)</f>
        <v>3708</v>
      </c>
      <c r="AC58" s="117">
        <f>IF('kWh_Streetlight Data'!AD248=0,"",'kWh_Streetlight Data'!AD248)</f>
        <v>3708</v>
      </c>
      <c r="AD58" s="117">
        <f>IF('kWh_Streetlight Data'!AE248=0,"",'kWh_Streetlight Data'!AE248)</f>
        <v>3708</v>
      </c>
      <c r="AE58" s="117">
        <f>IF('kWh_Streetlight Data'!AF248=0,"",'kWh_Streetlight Data'!AF248)</f>
        <v>3708</v>
      </c>
      <c r="AF58" s="117">
        <f>IF('kWh_Streetlight Data'!AG248=0,"",'kWh_Streetlight Data'!AG248)</f>
        <v>3708</v>
      </c>
      <c r="AG58" s="117">
        <f>IF('kWh_Streetlight Data'!AH248=0,"",'kWh_Streetlight Data'!AH248)</f>
        <v>3708</v>
      </c>
      <c r="AH58" s="117">
        <f>IF('kWh_Streetlight Data'!AI248=0,"",'kWh_Streetlight Data'!AI248)</f>
        <v>3708</v>
      </c>
      <c r="AI58" s="117">
        <f>IF('kWh_Streetlight Data'!AJ248=0,"",'kWh_Streetlight Data'!AJ248)</f>
        <v>3708</v>
      </c>
      <c r="AJ58" s="117">
        <f>IF('kWh_Streetlight Data'!AK248=0,"",'kWh_Streetlight Data'!AK248)</f>
        <v>3708</v>
      </c>
      <c r="AK58" s="117">
        <f>IF('kWh_Streetlight Data'!AL248=0,"",'kWh_Streetlight Data'!AL248)</f>
        <v>3708</v>
      </c>
      <c r="AL58" s="117">
        <f>IF('kWh_Streetlight Data'!AM248=0,"",'kWh_Streetlight Data'!AM248)</f>
        <v>3708</v>
      </c>
      <c r="AM58" s="117">
        <f>IF('kWh_Streetlight Data'!AN248=0,"",'kWh_Streetlight Data'!AN248)</f>
        <v>3708</v>
      </c>
      <c r="AN58" s="464">
        <f>IF('kWh_Streetlight Data'!AO248=0,"",'kWh_Streetlight Data'!AO248)</f>
        <v>3708</v>
      </c>
      <c r="AO58" s="151"/>
      <c r="AP58" s="152"/>
      <c r="AQ58" s="152"/>
      <c r="AR58" s="152"/>
      <c r="AS58" s="152"/>
      <c r="AT58" s="160"/>
      <c r="AU58" s="160">
        <f t="shared" ref="AU58:AZ58" si="26">ROUND(AH58,0)</f>
        <v>3708</v>
      </c>
      <c r="AV58" s="160">
        <f t="shared" si="26"/>
        <v>3708</v>
      </c>
      <c r="AW58" s="160">
        <f t="shared" si="26"/>
        <v>3708</v>
      </c>
      <c r="AX58" s="160">
        <f t="shared" si="26"/>
        <v>3708</v>
      </c>
      <c r="AY58" s="160">
        <f t="shared" si="26"/>
        <v>3708</v>
      </c>
      <c r="AZ58" s="160">
        <f t="shared" si="26"/>
        <v>3708</v>
      </c>
      <c r="BA58" s="213">
        <f>SUM(AT58:AZ58)</f>
        <v>22248</v>
      </c>
      <c r="BB58" s="160">
        <v>3708</v>
      </c>
      <c r="BC58" s="160">
        <v>3708</v>
      </c>
      <c r="BD58" s="160">
        <v>3708</v>
      </c>
      <c r="BE58" s="160">
        <v>3708</v>
      </c>
      <c r="BF58" s="160">
        <f t="shared" si="25"/>
        <v>3708</v>
      </c>
      <c r="BG58" s="160">
        <f t="shared" si="25"/>
        <v>3708</v>
      </c>
      <c r="BH58" s="160">
        <v>0</v>
      </c>
      <c r="BI58" s="160">
        <f t="shared" si="25"/>
        <v>0</v>
      </c>
      <c r="BJ58" s="160">
        <f t="shared" si="25"/>
        <v>0</v>
      </c>
      <c r="BK58" s="160">
        <f t="shared" si="25"/>
        <v>0</v>
      </c>
      <c r="BL58" s="160">
        <f t="shared" si="25"/>
        <v>0</v>
      </c>
      <c r="BM58" s="160">
        <f t="shared" si="25"/>
        <v>0</v>
      </c>
      <c r="BN58" s="213">
        <f>SUM(BB58:BM58)</f>
        <v>22248</v>
      </c>
      <c r="BO58" s="175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>
        <f>$BG$57</f>
        <v>1</v>
      </c>
      <c r="BI61" s="38">
        <f>BH61</f>
        <v>1</v>
      </c>
      <c r="BJ61" s="38">
        <f t="shared" ref="BJ61:BM62" si="27">BI61</f>
        <v>1</v>
      </c>
      <c r="BK61" s="38">
        <f t="shared" si="27"/>
        <v>1</v>
      </c>
      <c r="BL61" s="38">
        <f t="shared" si="27"/>
        <v>1</v>
      </c>
      <c r="BM61" s="38">
        <f t="shared" si="27"/>
        <v>1</v>
      </c>
      <c r="BN61" s="204">
        <f>BM61</f>
        <v>1</v>
      </c>
      <c r="BO61" s="175">
        <f>Customers!L202</f>
        <v>1</v>
      </c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>
        <f>BG58</f>
        <v>3708</v>
      </c>
      <c r="BI62" s="160">
        <f>BH62</f>
        <v>3708</v>
      </c>
      <c r="BJ62" s="160">
        <f t="shared" si="27"/>
        <v>3708</v>
      </c>
      <c r="BK62" s="160">
        <f t="shared" si="27"/>
        <v>3708</v>
      </c>
      <c r="BL62" s="160">
        <f t="shared" si="27"/>
        <v>3708</v>
      </c>
      <c r="BM62" s="160">
        <f t="shared" si="27"/>
        <v>3708</v>
      </c>
      <c r="BN62" s="213">
        <f>SUM(BH62:BM62)</f>
        <v>22248</v>
      </c>
      <c r="BO62" s="144">
        <f>BN62+BN58</f>
        <v>44496</v>
      </c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Data'!C209=0,"",'kWh_Streetlight Data'!C209)</f>
        <v/>
      </c>
      <c r="C69" s="130" t="str">
        <f>IF('kWh_Streetlight Data'!D209=0,"",'kWh_Streetlight Data'!D209)</f>
        <v/>
      </c>
      <c r="D69" s="130" t="str">
        <f>IF('kWh_Streetlight Data'!E209=0,"",'kWh_Streetlight Data'!E209)</f>
        <v/>
      </c>
      <c r="E69" s="130" t="str">
        <f>IF('kWh_Streetlight Data'!F209=0,"",'kWh_Streetlight Data'!F209)</f>
        <v/>
      </c>
      <c r="F69" s="130" t="str">
        <f>IF('kWh_Streetlight Data'!G209=0,"",'kWh_Streetlight Data'!G209)</f>
        <v/>
      </c>
      <c r="G69" s="130" t="str">
        <f>IF('kWh_Streetlight Data'!H209=0,"",'kWh_Streetlight Data'!H209)</f>
        <v/>
      </c>
      <c r="H69" s="130" t="str">
        <f>IF('kWh_Streetlight Data'!I209=0,"",'kWh_Streetlight Data'!I209)</f>
        <v/>
      </c>
      <c r="I69" s="130" t="str">
        <f>IF('kWh_Streetlight Data'!J209=0,"",'kWh_Streetlight Data'!J209)</f>
        <v/>
      </c>
      <c r="J69" s="130" t="str">
        <f>IF('kWh_Streetlight Data'!K209=0,"",'kWh_Streetlight Data'!K209)</f>
        <v/>
      </c>
      <c r="K69" s="130" t="str">
        <f>IF('kWh_Streetlight Data'!L209=0,"",'kWh_Streetlight Data'!L209)</f>
        <v/>
      </c>
      <c r="L69" s="130" t="str">
        <f>IF('kWh_Streetlight Data'!M209=0,"",'kWh_Streetlight Data'!M209)</f>
        <v/>
      </c>
      <c r="M69" s="130" t="str">
        <f>IF('kWh_Streetlight Data'!N209=0,"",'kWh_Streetlight Data'!N209)</f>
        <v/>
      </c>
      <c r="N69" s="424" t="str">
        <f>IF('kWh_Streetlight Data'!O209=0,"",'kWh_Streetlight Data'!O209)</f>
        <v/>
      </c>
      <c r="O69" s="84" t="str">
        <f>IF('kWh_Streetlight Data'!P209=0,"",'kWh_Streetlight Data'!P209)</f>
        <v/>
      </c>
      <c r="P69" s="108" t="str">
        <f>IF('kWh_Streetlight Data'!Q209=0,"",'kWh_Streetlight Data'!Q209)</f>
        <v/>
      </c>
      <c r="Q69" s="108" t="str">
        <f>IF('kWh_Streetlight Data'!R209=0,"",'kWh_Streetlight Data'!R209)</f>
        <v/>
      </c>
      <c r="R69" s="108" t="str">
        <f>IF('kWh_Streetlight Data'!S209=0,"",'kWh_Streetlight Data'!S209)</f>
        <v/>
      </c>
      <c r="S69" s="108" t="str">
        <f>IF('kWh_Streetlight Data'!T209=0,"",'kWh_Streetlight Data'!T209)</f>
        <v/>
      </c>
      <c r="T69" s="108" t="str">
        <f>IF('kWh_Streetlight Data'!U209=0,"",'kWh_Streetlight Data'!U209)</f>
        <v/>
      </c>
      <c r="U69" s="108" t="str">
        <f>IF('kWh_Streetlight Data'!V209=0,"",'kWh_Streetlight Data'!V209)</f>
        <v/>
      </c>
      <c r="V69" s="108" t="str">
        <f>IF('kWh_Streetlight Data'!W209=0,"",'kWh_Streetlight Data'!W209)</f>
        <v/>
      </c>
      <c r="W69" s="108" t="str">
        <f>IF('kWh_Streetlight Data'!X209=0,"",'kWh_Streetlight Data'!X209)</f>
        <v/>
      </c>
      <c r="X69" s="108" t="str">
        <f>IF('kWh_Streetlight Data'!Y209=0,"",'kWh_Streetlight Data'!Y209)</f>
        <v/>
      </c>
      <c r="Y69" s="108" t="str">
        <f>IF('kWh_Streetlight Data'!Z209=0,"",'kWh_Streetlight Data'!Z209)</f>
        <v/>
      </c>
      <c r="Z69" s="108" t="str">
        <f>IF('kWh_Streetlight Data'!AA209=0,"",'kWh_Streetlight Data'!AA209)</f>
        <v/>
      </c>
      <c r="AA69" s="424" t="str">
        <f>IF('kWh_Streetlight Data'!AB209=0,"",'kWh_Streetlight Data'!AB209)</f>
        <v/>
      </c>
      <c r="AB69" s="84" t="str">
        <f>IF('kWh_Streetlight Data'!AC209=0,"",'kWh_Streetlight Data'!AC209)</f>
        <v/>
      </c>
      <c r="AC69" s="108" t="str">
        <f>IF('kWh_Streetlight Data'!AD209=0,"",'kWh_Streetlight Data'!AD209)</f>
        <v/>
      </c>
      <c r="AD69" s="108" t="str">
        <f>IF('kWh_Streetlight Data'!AE209=0,"",'kWh_Streetlight Data'!AE209)</f>
        <v/>
      </c>
      <c r="AE69" s="108" t="str">
        <f>IF('kWh_Streetlight Data'!AF209=0,"",'kWh_Streetlight Data'!AF209)</f>
        <v/>
      </c>
      <c r="AF69" s="108" t="str">
        <f>IF('kWh_Streetlight Data'!AG209=0,"",'kWh_Streetlight Data'!AG209)</f>
        <v/>
      </c>
      <c r="AG69" s="108" t="str">
        <f>IF('kWh_Streetlight Data'!AH209=0,"",'kWh_Streetlight Data'!AH209)</f>
        <v/>
      </c>
      <c r="AH69" s="130" t="str">
        <f>IF('kWh_Streetlight Data'!AI209=0,"",'kWh_Streetlight Data'!AI209)</f>
        <v/>
      </c>
      <c r="AI69" s="130" t="str">
        <f>IF('kWh_Streetlight Data'!AJ209=0,"",'kWh_Streetlight Data'!AJ209)</f>
        <v/>
      </c>
      <c r="AJ69" s="130" t="str">
        <f>IF('kWh_Streetlight Data'!AK209=0,"",'kWh_Streetlight Data'!AK209)</f>
        <v/>
      </c>
      <c r="AK69" s="130" t="str">
        <f>IF('kWh_Streetlight Data'!AL209=0,"",'kWh_Streetlight Data'!AL209)</f>
        <v/>
      </c>
      <c r="AL69" s="130" t="str">
        <f>IF('kWh_Streetlight Data'!AM209=0,"",'kWh_Streetlight Data'!AM209)</f>
        <v/>
      </c>
      <c r="AM69" s="130" t="str">
        <f>IF('kWh_Streetlight Data'!AN209=0,"",'kWh_Streetlight Data'!AN209)</f>
        <v/>
      </c>
      <c r="AN69" s="424" t="str">
        <f>IF('kWh_Streetlight Data'!AO209=0,"",'kWh_Streetlight Data'!AO209)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Customers!E205</f>
        <v>12</v>
      </c>
      <c r="AV75" s="38">
        <f>Customers!F205</f>
        <v>12</v>
      </c>
      <c r="AW75" s="38">
        <f>Customers!G205</f>
        <v>13</v>
      </c>
      <c r="AX75" s="38">
        <f>Customers!H205</f>
        <v>13</v>
      </c>
      <c r="AY75" s="38">
        <f>Customers!I205</f>
        <v>13</v>
      </c>
      <c r="AZ75" s="38">
        <f>Customers!J205</f>
        <v>13</v>
      </c>
      <c r="BA75" s="210">
        <f>AZ75</f>
        <v>13</v>
      </c>
      <c r="BB75" s="347">
        <v>16</v>
      </c>
      <c r="BC75" s="38">
        <v>16</v>
      </c>
      <c r="BD75" s="38">
        <v>16</v>
      </c>
      <c r="BE75" s="38">
        <v>16</v>
      </c>
      <c r="BF75" s="38">
        <f t="shared" ref="BF75:BM75" si="28">BE75</f>
        <v>16</v>
      </c>
      <c r="BG75" s="38">
        <f t="shared" si="28"/>
        <v>16</v>
      </c>
      <c r="BH75" s="38">
        <v>0</v>
      </c>
      <c r="BI75" s="38">
        <f t="shared" si="28"/>
        <v>0</v>
      </c>
      <c r="BJ75" s="38">
        <f t="shared" si="28"/>
        <v>0</v>
      </c>
      <c r="BK75" s="38">
        <v>0</v>
      </c>
      <c r="BL75" s="38">
        <v>0</v>
      </c>
      <c r="BM75" s="38">
        <f t="shared" si="28"/>
        <v>0</v>
      </c>
      <c r="BN75" s="210">
        <v>0</v>
      </c>
      <c r="BO75" s="143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29">IF(AU78&gt;(AU75*250),AU75*250,AU78)</f>
        <v>3000</v>
      </c>
      <c r="AV76" s="38">
        <f t="shared" si="29"/>
        <v>3000</v>
      </c>
      <c r="AW76" s="38">
        <f t="shared" si="29"/>
        <v>3250</v>
      </c>
      <c r="AX76" s="38">
        <f t="shared" si="29"/>
        <v>3250</v>
      </c>
      <c r="AY76" s="38">
        <f t="shared" si="29"/>
        <v>3250</v>
      </c>
      <c r="AZ76" s="38">
        <f t="shared" si="29"/>
        <v>3250</v>
      </c>
      <c r="BA76" s="210">
        <f>SUM(AO76:AZ76)</f>
        <v>19000</v>
      </c>
      <c r="BB76" s="38">
        <v>4000</v>
      </c>
      <c r="BC76" s="38">
        <v>4000</v>
      </c>
      <c r="BD76" s="38">
        <v>4000</v>
      </c>
      <c r="BE76" s="38">
        <v>4000</v>
      </c>
      <c r="BF76" s="38">
        <f t="shared" ref="BF76:BM76" si="30">IF(BF78&gt;(BF75*250),BF75*250,BF78)</f>
        <v>4000</v>
      </c>
      <c r="BG76" s="38">
        <f t="shared" si="30"/>
        <v>4000</v>
      </c>
      <c r="BH76" s="38">
        <f t="shared" si="30"/>
        <v>0</v>
      </c>
      <c r="BI76" s="38">
        <f t="shared" si="30"/>
        <v>0</v>
      </c>
      <c r="BJ76" s="38">
        <f t="shared" si="30"/>
        <v>0</v>
      </c>
      <c r="BK76" s="38">
        <f t="shared" si="30"/>
        <v>0</v>
      </c>
      <c r="BL76" s="38">
        <f t="shared" si="30"/>
        <v>0</v>
      </c>
      <c r="BM76" s="38">
        <f t="shared" si="30"/>
        <v>0</v>
      </c>
      <c r="BN76" s="210">
        <f>SUM(BB76:BM76)</f>
        <v>24000</v>
      </c>
      <c r="BO76" s="143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31">ROUND(AU78-AU76,0)</f>
        <v>4752</v>
      </c>
      <c r="AV77" s="38">
        <f t="shared" si="31"/>
        <v>4846</v>
      </c>
      <c r="AW77" s="38">
        <f t="shared" si="31"/>
        <v>3417</v>
      </c>
      <c r="AX77" s="38">
        <f t="shared" si="31"/>
        <v>4364</v>
      </c>
      <c r="AY77" s="38">
        <f t="shared" si="31"/>
        <v>5632</v>
      </c>
      <c r="AZ77" s="38">
        <f t="shared" si="31"/>
        <v>5059</v>
      </c>
      <c r="BA77" s="210">
        <f>SUM(AO77:AZ77)</f>
        <v>28070</v>
      </c>
      <c r="BB77" s="38">
        <v>10955</v>
      </c>
      <c r="BC77" s="38">
        <v>10965</v>
      </c>
      <c r="BD77" s="38">
        <v>10267</v>
      </c>
      <c r="BE77" s="38">
        <v>8031</v>
      </c>
      <c r="BF77" s="38">
        <f t="shared" ref="BF77:BM77" si="32">ROUND(BF78-BF76,0)</f>
        <v>8555</v>
      </c>
      <c r="BG77" s="38">
        <f t="shared" si="32"/>
        <v>7441</v>
      </c>
      <c r="BH77" s="38">
        <f t="shared" si="32"/>
        <v>0</v>
      </c>
      <c r="BI77" s="38">
        <f t="shared" si="32"/>
        <v>0</v>
      </c>
      <c r="BJ77" s="38">
        <f t="shared" si="32"/>
        <v>0</v>
      </c>
      <c r="BK77" s="38">
        <f t="shared" si="32"/>
        <v>0</v>
      </c>
      <c r="BL77" s="38">
        <f t="shared" si="32"/>
        <v>0</v>
      </c>
      <c r="BM77" s="38">
        <f t="shared" si="32"/>
        <v>0</v>
      </c>
      <c r="BN77" s="210">
        <f>SUM(BB77:BM77)</f>
        <v>56214</v>
      </c>
      <c r="BO77" s="156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33">IFERROR(ROUND(AU79*AU75,0),0)</f>
        <v>7752</v>
      </c>
      <c r="AV78" s="64">
        <f t="shared" si="33"/>
        <v>7846</v>
      </c>
      <c r="AW78" s="64">
        <f t="shared" si="33"/>
        <v>6667</v>
      </c>
      <c r="AX78" s="64">
        <f t="shared" si="33"/>
        <v>7614</v>
      </c>
      <c r="AY78" s="64">
        <f t="shared" si="33"/>
        <v>8882</v>
      </c>
      <c r="AZ78" s="64">
        <f t="shared" si="33"/>
        <v>8309</v>
      </c>
      <c r="BA78" s="196">
        <f>SUM(AO78:AZ78)</f>
        <v>47070</v>
      </c>
      <c r="BB78" s="64">
        <v>14955</v>
      </c>
      <c r="BC78" s="64">
        <v>14965</v>
      </c>
      <c r="BD78" s="64">
        <v>14267</v>
      </c>
      <c r="BE78" s="64">
        <v>12031</v>
      </c>
      <c r="BF78" s="64">
        <f t="shared" ref="BF78:BM78" si="34">IFERROR(ROUND(BF79*BF75,0),0)</f>
        <v>12555</v>
      </c>
      <c r="BG78" s="64">
        <f t="shared" si="34"/>
        <v>11441</v>
      </c>
      <c r="BH78" s="64">
        <f t="shared" si="34"/>
        <v>0</v>
      </c>
      <c r="BI78" s="64">
        <f t="shared" si="34"/>
        <v>0</v>
      </c>
      <c r="BJ78" s="64">
        <f t="shared" si="34"/>
        <v>0</v>
      </c>
      <c r="BK78" s="64">
        <f t="shared" si="34"/>
        <v>0</v>
      </c>
      <c r="BL78" s="64">
        <f t="shared" si="34"/>
        <v>0</v>
      </c>
      <c r="BM78" s="64">
        <f t="shared" si="34"/>
        <v>0</v>
      </c>
      <c r="BN78" s="196">
        <f>SUM(BB78:BM78)</f>
        <v>80214</v>
      </c>
      <c r="BO78" s="88"/>
    </row>
    <row r="79" spans="1:67" ht="15.75" customHeight="1" thickTop="1">
      <c r="A79" s="374" t="s">
        <v>54</v>
      </c>
      <c r="B79" s="84">
        <f>IF('kWh_Streetlight Data'!C210=0,"",'kWh_Streetlight Data'!C210)</f>
        <v>835.875</v>
      </c>
      <c r="C79" s="108">
        <f>IF('kWh_Streetlight Data'!D210=0,"",'kWh_Streetlight Data'!D210)</f>
        <v>911</v>
      </c>
      <c r="D79" s="108">
        <f>IF('kWh_Streetlight Data'!E210=0,"",'kWh_Streetlight Data'!E210)</f>
        <v>907.125</v>
      </c>
      <c r="E79" s="108">
        <f>IF('kWh_Streetlight Data'!F210=0,"",'kWh_Streetlight Data'!F210)</f>
        <v>823.625</v>
      </c>
      <c r="F79" s="108">
        <f>IF('kWh_Streetlight Data'!G210=0,"",'kWh_Streetlight Data'!G210)</f>
        <v>843.375</v>
      </c>
      <c r="G79" s="108">
        <f>IF('kWh_Streetlight Data'!H210=0,"",'kWh_Streetlight Data'!H210)</f>
        <v>894.875</v>
      </c>
      <c r="H79" s="108">
        <f>IF('kWh_Streetlight Data'!I210=0,"",'kWh_Streetlight Data'!I210)</f>
        <v>676.75</v>
      </c>
      <c r="I79" s="108">
        <f>IF('kWh_Streetlight Data'!J210=0,"",'kWh_Streetlight Data'!J210)</f>
        <v>648</v>
      </c>
      <c r="J79" s="108">
        <f>IF('kWh_Streetlight Data'!K210=0,"",'kWh_Streetlight Data'!K210)</f>
        <v>615.125</v>
      </c>
      <c r="K79" s="108">
        <f>IF('kWh_Streetlight Data'!L210=0,"",'kWh_Streetlight Data'!L210)</f>
        <v>644.5</v>
      </c>
      <c r="L79" s="108">
        <f>IF('kWh_Streetlight Data'!M210=0,"",'kWh_Streetlight Data'!M210)</f>
        <v>734.25</v>
      </c>
      <c r="M79" s="108">
        <f>IF('kWh_Streetlight Data'!N210=0,"",'kWh_Streetlight Data'!N210)</f>
        <v>715.25</v>
      </c>
      <c r="N79" s="424">
        <f>IF('kWh_Streetlight Data'!O210=0,"",'kWh_Streetlight Data'!O210)</f>
        <v>770.8125</v>
      </c>
      <c r="O79" s="84">
        <f>IF('kWh_Streetlight Data'!P210=0,"",'kWh_Streetlight Data'!P210)</f>
        <v>1057.5</v>
      </c>
      <c r="P79" s="108">
        <f>IF('kWh_Streetlight Data'!Q210=0,"",'kWh_Streetlight Data'!Q210)</f>
        <v>1271.25</v>
      </c>
      <c r="Q79" s="108">
        <f>IF('kWh_Streetlight Data'!R210=0,"",'kWh_Streetlight Data'!R210)</f>
        <v>976.25</v>
      </c>
      <c r="R79" s="108">
        <f>IF('kWh_Streetlight Data'!S210=0,"",'kWh_Streetlight Data'!S210)</f>
        <v>841.125</v>
      </c>
      <c r="S79" s="108">
        <f>IF('kWh_Streetlight Data'!T210=0,"",'kWh_Streetlight Data'!T210)</f>
        <v>859.125</v>
      </c>
      <c r="T79" s="108">
        <f>IF('kWh_Streetlight Data'!U210=0,"",'kWh_Streetlight Data'!U210)</f>
        <v>633.125</v>
      </c>
      <c r="U79" s="108">
        <f>IF('kWh_Streetlight Data'!V210=0,"",'kWh_Streetlight Data'!V210)</f>
        <v>611.55555555555554</v>
      </c>
      <c r="V79" s="108">
        <f>IF('kWh_Streetlight Data'!W210=0,"",'kWh_Streetlight Data'!W210)</f>
        <v>631.625</v>
      </c>
      <c r="W79" s="108">
        <f>IF('kWh_Streetlight Data'!X210=0,"",'kWh_Streetlight Data'!X210)</f>
        <v>447.7</v>
      </c>
      <c r="X79" s="108">
        <f>IF('kWh_Streetlight Data'!Y210=0,"",'kWh_Streetlight Data'!Y210)</f>
        <v>611.5</v>
      </c>
      <c r="Y79" s="108">
        <f>IF('kWh_Streetlight Data'!Z210=0,"",'kWh_Streetlight Data'!Z210)</f>
        <v>678.25</v>
      </c>
      <c r="Z79" s="108">
        <f>IF('kWh_Streetlight Data'!AA210=0,"",'kWh_Streetlight Data'!AA210)</f>
        <v>674.5</v>
      </c>
      <c r="AA79" s="424">
        <f>IF('kWh_Streetlight Data'!AB210=0,"",'kWh_Streetlight Data'!AB210)</f>
        <v>766.21212121212125</v>
      </c>
      <c r="AB79" s="129">
        <f>IF('kWh_Streetlight Data'!AC210=0,"",'kWh_Streetlight Data'!AC210)</f>
        <v>910.75</v>
      </c>
      <c r="AC79" s="130">
        <f>IF('kWh_Streetlight Data'!AD210=0,"",'kWh_Streetlight Data'!AD210)</f>
        <v>623.75</v>
      </c>
      <c r="AD79" s="130">
        <f>IF('kWh_Streetlight Data'!AE210=0,"",'kWh_Streetlight Data'!AE210)</f>
        <v>791.75</v>
      </c>
      <c r="AE79" s="130">
        <f>IF('kWh_Streetlight Data'!AF210=0,"",'kWh_Streetlight Data'!AF210)</f>
        <v>591.125</v>
      </c>
      <c r="AF79" s="130">
        <f>IF('kWh_Streetlight Data'!AG210=0,"",'kWh_Streetlight Data'!AG210)</f>
        <v>651.625</v>
      </c>
      <c r="AG79" s="130">
        <f>IF('kWh_Streetlight Data'!AH210=0,"",'kWh_Streetlight Data'!AH210)</f>
        <v>617.25</v>
      </c>
      <c r="AH79" s="130">
        <f>IF('kWh_Streetlight Data'!AI210=0,"",'kWh_Streetlight Data'!AI210)</f>
        <v>649.625</v>
      </c>
      <c r="AI79" s="130">
        <f>IF('kWh_Streetlight Data'!AJ210=0,"",'kWh_Streetlight Data'!AJ210)</f>
        <v>681.85714285714289</v>
      </c>
      <c r="AJ79" s="130">
        <f>IF('kWh_Streetlight Data'!AK210=0,"",'kWh_Streetlight Data'!AK210)</f>
        <v>475.75</v>
      </c>
      <c r="AK79" s="130">
        <f>IF('kWh_Streetlight Data'!AL210=0,"",'kWh_Streetlight Data'!AL210)</f>
        <v>501</v>
      </c>
      <c r="AL79" s="130">
        <f>IF('kWh_Streetlight Data'!AM210=0,"",'kWh_Streetlight Data'!AM210)</f>
        <v>637.25</v>
      </c>
      <c r="AM79" s="130">
        <f>IF('kWh_Streetlight Data'!AN210=0,"",'kWh_Streetlight Data'!AN210)</f>
        <v>527.625</v>
      </c>
      <c r="AN79" s="424">
        <f>IF('kWh_Streetlight Data'!AO210=0,"",'kWh_Streetlight Data'!AO210)</f>
        <v>637.82105263157894</v>
      </c>
      <c r="AO79" s="34"/>
      <c r="AP79" s="35"/>
      <c r="AQ79" s="35"/>
      <c r="AR79" s="35"/>
      <c r="AS79" s="35"/>
      <c r="AT79" s="9"/>
      <c r="AU79" s="9">
        <f t="shared" ref="AU79:AZ79" si="35">IFERROR(AVERAGE(AH79,U79,H79),0)</f>
        <v>645.97685185185185</v>
      </c>
      <c r="AV79" s="9">
        <f t="shared" si="35"/>
        <v>653.82738095238096</v>
      </c>
      <c r="AW79" s="9">
        <f t="shared" si="35"/>
        <v>512.85833333333335</v>
      </c>
      <c r="AX79" s="9">
        <f t="shared" si="35"/>
        <v>585.66666666666663</v>
      </c>
      <c r="AY79" s="9">
        <f t="shared" si="35"/>
        <v>683.25</v>
      </c>
      <c r="AZ79" s="9">
        <f t="shared" si="35"/>
        <v>639.125</v>
      </c>
      <c r="BA79" s="211"/>
      <c r="BB79" s="9">
        <v>934.70833333333337</v>
      </c>
      <c r="BC79" s="17">
        <v>935.33333333333337</v>
      </c>
      <c r="BD79" s="17">
        <v>891.70833333333337</v>
      </c>
      <c r="BE79" s="17">
        <v>751.95833333333337</v>
      </c>
      <c r="BF79" s="17">
        <f t="shared" ref="BF79:BM79" si="36">IFERROR(AVERAGE(F79,S79,AF79),0)</f>
        <v>784.70833333333337</v>
      </c>
      <c r="BG79" s="17">
        <f t="shared" si="36"/>
        <v>715.08333333333337</v>
      </c>
      <c r="BH79" s="17">
        <f t="shared" si="36"/>
        <v>645.97685185185185</v>
      </c>
      <c r="BI79" s="17">
        <f t="shared" si="36"/>
        <v>653.82738095238096</v>
      </c>
      <c r="BJ79" s="17">
        <f t="shared" si="36"/>
        <v>512.85833333333335</v>
      </c>
      <c r="BK79" s="17">
        <f t="shared" si="36"/>
        <v>585.66666666666663</v>
      </c>
      <c r="BL79" s="17">
        <f t="shared" si="36"/>
        <v>683.25</v>
      </c>
      <c r="BM79" s="9">
        <f t="shared" si="36"/>
        <v>639.125</v>
      </c>
      <c r="BN79" s="211">
        <v>0</v>
      </c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Data'!C211=0,"",'kWh_Streetlight Data'!C211)</f>
        <v/>
      </c>
      <c r="C83" s="108" t="str">
        <f>IF('kWh_Streetlight Data'!D211=0,"",'kWh_Streetlight Data'!D211)</f>
        <v/>
      </c>
      <c r="D83" s="108" t="str">
        <f>IF('kWh_Streetlight Data'!E211=0,"",'kWh_Streetlight Data'!E211)</f>
        <v/>
      </c>
      <c r="E83" s="108" t="str">
        <f>IF('kWh_Streetlight Data'!F211=0,"",'kWh_Streetlight Data'!F211)</f>
        <v/>
      </c>
      <c r="F83" s="108" t="str">
        <f>IF('kWh_Streetlight Data'!G211=0,"",'kWh_Streetlight Data'!G211)</f>
        <v/>
      </c>
      <c r="G83" s="108" t="str">
        <f>IF('kWh_Streetlight Data'!H211=0,"",'kWh_Streetlight Data'!H211)</f>
        <v/>
      </c>
      <c r="H83" s="108" t="str">
        <f>IF('kWh_Streetlight Data'!I211=0,"",'kWh_Streetlight Data'!I211)</f>
        <v/>
      </c>
      <c r="I83" s="108" t="str">
        <f>IF('kWh_Streetlight Data'!J211=0,"",'kWh_Streetlight Data'!J211)</f>
        <v/>
      </c>
      <c r="J83" s="108" t="str">
        <f>IF('kWh_Streetlight Data'!K211=0,"",'kWh_Streetlight Data'!K211)</f>
        <v/>
      </c>
      <c r="K83" s="108" t="str">
        <f>IF('kWh_Streetlight Data'!L211=0,"",'kWh_Streetlight Data'!L211)</f>
        <v/>
      </c>
      <c r="L83" s="108" t="str">
        <f>IF('kWh_Streetlight Data'!M211=0,"",'kWh_Streetlight Data'!M211)</f>
        <v/>
      </c>
      <c r="M83" s="108" t="str">
        <f>IF('kWh_Streetlight Data'!N211=0,"",'kWh_Streetlight Data'!N211)</f>
        <v/>
      </c>
      <c r="N83" s="424" t="str">
        <f>IF('kWh_Streetlight Data'!O211=0,"",'kWh_Streetlight Data'!O211)</f>
        <v/>
      </c>
      <c r="O83" s="84" t="str">
        <f>IF('kWh_Streetlight Data'!P211=0,"",'kWh_Streetlight Data'!P211)</f>
        <v/>
      </c>
      <c r="P83" s="108" t="str">
        <f>IF('kWh_Streetlight Data'!Q211=0,"",'kWh_Streetlight Data'!Q211)</f>
        <v/>
      </c>
      <c r="Q83" s="108" t="str">
        <f>IF('kWh_Streetlight Data'!R211=0,"",'kWh_Streetlight Data'!R211)</f>
        <v/>
      </c>
      <c r="R83" s="108" t="str">
        <f>IF('kWh_Streetlight Data'!S211=0,"",'kWh_Streetlight Data'!S211)</f>
        <v/>
      </c>
      <c r="S83" s="108" t="str">
        <f>IF('kWh_Streetlight Data'!T211=0,"",'kWh_Streetlight Data'!T211)</f>
        <v/>
      </c>
      <c r="T83" s="108" t="str">
        <f>IF('kWh_Streetlight Data'!U211=0,"",'kWh_Streetlight Data'!U211)</f>
        <v/>
      </c>
      <c r="U83" s="108" t="str">
        <f>IF('kWh_Streetlight Data'!V211=0,"",'kWh_Streetlight Data'!V211)</f>
        <v/>
      </c>
      <c r="V83" s="108" t="str">
        <f>IF('kWh_Streetlight Data'!W211=0,"",'kWh_Streetlight Data'!W211)</f>
        <v/>
      </c>
      <c r="W83" s="108" t="str">
        <f>IF('kWh_Streetlight Data'!X211=0,"",'kWh_Streetlight Data'!X211)</f>
        <v/>
      </c>
      <c r="X83" s="108" t="str">
        <f>IF('kWh_Streetlight Data'!Y211=0,"",'kWh_Streetlight Data'!Y211)</f>
        <v/>
      </c>
      <c r="Y83" s="108" t="str">
        <f>IF('kWh_Streetlight Data'!Z211=0,"",'kWh_Streetlight Data'!Z211)</f>
        <v/>
      </c>
      <c r="Z83" s="108" t="str">
        <f>IF('kWh_Streetlight Data'!AA211=0,"",'kWh_Streetlight Data'!AA211)</f>
        <v/>
      </c>
      <c r="AA83" s="424" t="str">
        <f>IF('kWh_Streetlight Data'!AB211=0,"",'kWh_Streetlight Data'!AB211)</f>
        <v/>
      </c>
      <c r="AB83" s="442" t="str">
        <f>IF('kWh_Streetlight Data'!AC211=0,"",'kWh_Streetlight Data'!AC211)</f>
        <v/>
      </c>
      <c r="AC83" s="443" t="str">
        <f>IF('kWh_Streetlight Data'!AD211=0,"",'kWh_Streetlight Data'!AD211)</f>
        <v/>
      </c>
      <c r="AD83" s="443" t="str">
        <f>IF('kWh_Streetlight Data'!AE211=0,"",'kWh_Streetlight Data'!AE211)</f>
        <v/>
      </c>
      <c r="AE83" s="443" t="str">
        <f>IF('kWh_Streetlight Data'!AF211=0,"",'kWh_Streetlight Data'!AF211)</f>
        <v/>
      </c>
      <c r="AF83" s="443" t="str">
        <f>IF('kWh_Streetlight Data'!AG211=0,"",'kWh_Streetlight Data'!AG211)</f>
        <v/>
      </c>
      <c r="AG83" s="443" t="str">
        <f>IF('kWh_Streetlight Data'!AH211=0,"",'kWh_Streetlight Data'!AH211)</f>
        <v/>
      </c>
      <c r="AH83" s="108" t="str">
        <f>IF('kWh_Streetlight Data'!AI211=0,"",'kWh_Streetlight Data'!AI211)</f>
        <v/>
      </c>
      <c r="AI83" s="108" t="str">
        <f>IF('kWh_Streetlight Data'!AJ211=0,"",'kWh_Streetlight Data'!AJ211)</f>
        <v/>
      </c>
      <c r="AJ83" s="108" t="str">
        <f>IF('kWh_Streetlight Data'!AK211=0,"",'kWh_Streetlight Data'!AK211)</f>
        <v/>
      </c>
      <c r="AK83" s="108" t="str">
        <f>IF('kWh_Streetlight Data'!AL211=0,"",'kWh_Streetlight Data'!AL211)</f>
        <v/>
      </c>
      <c r="AL83" s="108" t="str">
        <f>IF('kWh_Streetlight Data'!AM211=0,"",'kWh_Streetlight Data'!AM211)</f>
        <v/>
      </c>
      <c r="AM83" s="108" t="str">
        <f>IF('kWh_Streetlight Data'!AN211=0,"",'kWh_Streetlight Data'!AN211)</f>
        <v/>
      </c>
      <c r="AN83" s="424" t="str">
        <f>IF('kWh_Streetlight Data'!AO211=0,"",'kWh_Streetlight Data'!AO211)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Customers!E206</f>
        <v>22</v>
      </c>
      <c r="AV86" s="38">
        <f>Customers!F206</f>
        <v>22</v>
      </c>
      <c r="AW86" s="38">
        <f>Customers!G206</f>
        <v>22</v>
      </c>
      <c r="AX86" s="38">
        <f>Customers!H206</f>
        <v>22</v>
      </c>
      <c r="AY86" s="38">
        <f>Customers!I206</f>
        <v>22</v>
      </c>
      <c r="AZ86" s="38">
        <f>Customers!J206</f>
        <v>22</v>
      </c>
      <c r="BA86" s="210">
        <f>AZ86</f>
        <v>22</v>
      </c>
      <c r="BB86" s="347">
        <v>22</v>
      </c>
      <c r="BC86" s="38">
        <v>22</v>
      </c>
      <c r="BD86" s="38">
        <v>22</v>
      </c>
      <c r="BE86" s="38">
        <v>22</v>
      </c>
      <c r="BF86" s="38">
        <f t="shared" ref="BF86:BM86" si="37">BE86</f>
        <v>22</v>
      </c>
      <c r="BG86" s="38">
        <f t="shared" si="37"/>
        <v>22</v>
      </c>
      <c r="BH86" s="38">
        <v>0</v>
      </c>
      <c r="BI86" s="38">
        <f t="shared" si="37"/>
        <v>0</v>
      </c>
      <c r="BJ86" s="38">
        <f t="shared" si="37"/>
        <v>0</v>
      </c>
      <c r="BK86" s="38">
        <v>0</v>
      </c>
      <c r="BL86" s="38">
        <v>0</v>
      </c>
      <c r="BM86" s="38">
        <f t="shared" si="37"/>
        <v>0</v>
      </c>
      <c r="BN86" s="210">
        <v>0</v>
      </c>
      <c r="BO86" s="143"/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38">IFERROR(ROUND(AU88*AU86,0),0)</f>
        <v>39258</v>
      </c>
      <c r="AV87" s="160">
        <f t="shared" si="38"/>
        <v>49851</v>
      </c>
      <c r="AW87" s="160">
        <f t="shared" si="38"/>
        <v>42243</v>
      </c>
      <c r="AX87" s="160">
        <f t="shared" si="38"/>
        <v>42741</v>
      </c>
      <c r="AY87" s="160">
        <f t="shared" si="38"/>
        <v>50739</v>
      </c>
      <c r="AZ87" s="160">
        <f t="shared" si="38"/>
        <v>59768</v>
      </c>
      <c r="BA87" s="196">
        <f>SUM(AO87:AZ87)</f>
        <v>284600</v>
      </c>
      <c r="BB87" s="160">
        <v>74198</v>
      </c>
      <c r="BC87" s="160">
        <v>58214</v>
      </c>
      <c r="BD87" s="160">
        <v>61375</v>
      </c>
      <c r="BE87" s="160">
        <v>50269</v>
      </c>
      <c r="BF87" s="160">
        <f t="shared" ref="BF87:BM87" si="39">IFERROR(ROUND(BF88*BF86,0),0)</f>
        <v>50521</v>
      </c>
      <c r="BG87" s="160">
        <f t="shared" si="39"/>
        <v>46090</v>
      </c>
      <c r="BH87" s="160">
        <f t="shared" si="39"/>
        <v>0</v>
      </c>
      <c r="BI87" s="160">
        <f t="shared" si="39"/>
        <v>0</v>
      </c>
      <c r="BJ87" s="160">
        <f t="shared" si="39"/>
        <v>0</v>
      </c>
      <c r="BK87" s="160">
        <f t="shared" si="39"/>
        <v>0</v>
      </c>
      <c r="BL87" s="160">
        <f t="shared" si="39"/>
        <v>0</v>
      </c>
      <c r="BM87" s="160">
        <f t="shared" si="39"/>
        <v>0</v>
      </c>
      <c r="BN87" s="196">
        <f>SUM(BB87:BM87)</f>
        <v>340667</v>
      </c>
      <c r="BO87" s="144"/>
      <c r="BR87" t="s">
        <v>237</v>
      </c>
      <c r="BS87" t="s">
        <v>169</v>
      </c>
      <c r="BT87" t="s">
        <v>170</v>
      </c>
      <c r="BU87" t="s">
        <v>171</v>
      </c>
    </row>
    <row r="88" spans="1:73" ht="15.75" customHeight="1" thickTop="1">
      <c r="A88" s="374" t="s">
        <v>54</v>
      </c>
      <c r="B88" s="84">
        <f>IF('kWh_Streetlight Data'!C212=0,"",'kWh_Streetlight Data'!C212)</f>
        <v>3171.818181818182</v>
      </c>
      <c r="C88" s="108">
        <f>IF('kWh_Streetlight Data'!D212=0,"",'kWh_Streetlight Data'!D212)</f>
        <v>2774.2727272727275</v>
      </c>
      <c r="D88" s="108">
        <f>IF('kWh_Streetlight Data'!E212=0,"",'kWh_Streetlight Data'!E212)</f>
        <v>2809.9545454545455</v>
      </c>
      <c r="E88" s="108">
        <f>IF('kWh_Streetlight Data'!F212=0,"",'kWh_Streetlight Data'!F212)</f>
        <v>2187.9523809523807</v>
      </c>
      <c r="F88" s="108">
        <f>IF('kWh_Streetlight Data'!G212=0,"",'kWh_Streetlight Data'!G212)</f>
        <v>2007.4285714285713</v>
      </c>
      <c r="G88" s="108">
        <f>IF('kWh_Streetlight Data'!H212=0,"",'kWh_Streetlight Data'!H212)</f>
        <v>2213.65</v>
      </c>
      <c r="H88" s="108">
        <f>IF('kWh_Streetlight Data'!I212=0,"",'kWh_Streetlight Data'!I212)</f>
        <v>1875.1904761904761</v>
      </c>
      <c r="I88" s="108">
        <f>IF('kWh_Streetlight Data'!J212=0,"",'kWh_Streetlight Data'!J212)</f>
        <v>3118.1153846153848</v>
      </c>
      <c r="J88" s="108">
        <f>IF('kWh_Streetlight Data'!K212=0,"",'kWh_Streetlight Data'!K212)</f>
        <v>2220.2727272727275</v>
      </c>
      <c r="K88" s="108">
        <f>IF('kWh_Streetlight Data'!L212=0,"",'kWh_Streetlight Data'!L212)</f>
        <v>1994</v>
      </c>
      <c r="L88" s="108">
        <f>IF('kWh_Streetlight Data'!M212=0,"",'kWh_Streetlight Data'!M212)</f>
        <v>1729</v>
      </c>
      <c r="M88" s="108">
        <f>IF('kWh_Streetlight Data'!N212=0,"",'kWh_Streetlight Data'!N212)</f>
        <v>3330.875</v>
      </c>
      <c r="N88" s="424">
        <f>IF('kWh_Streetlight Data'!O212=0,"",'kWh_Streetlight Data'!O212)</f>
        <v>2477.871212121212</v>
      </c>
      <c r="O88" s="84">
        <f>IF('kWh_Streetlight Data'!P212=0,"",'kWh_Streetlight Data'!P212)</f>
        <v>3357</v>
      </c>
      <c r="P88" s="108">
        <f>IF('kWh_Streetlight Data'!Q212=0,"",'kWh_Streetlight Data'!Q212)</f>
        <v>2873.0454545454545</v>
      </c>
      <c r="Q88" s="108">
        <f>IF('kWh_Streetlight Data'!R212=0,"",'kWh_Streetlight Data'!R212)</f>
        <v>2657.2272727272725</v>
      </c>
      <c r="R88" s="108">
        <f>IF('kWh_Streetlight Data'!S212=0,"",'kWh_Streetlight Data'!S212)</f>
        <v>2366.7272727272725</v>
      </c>
      <c r="S88" s="108">
        <f>IF('kWh_Streetlight Data'!T212=0,"",'kWh_Streetlight Data'!T212)</f>
        <v>2554.7272727272725</v>
      </c>
      <c r="T88" s="108">
        <f>IF('kWh_Streetlight Data'!U212=0,"",'kWh_Streetlight Data'!U212)</f>
        <v>2027.1818181818182</v>
      </c>
      <c r="U88" s="108">
        <f>IF('kWh_Streetlight Data'!V212=0,"",'kWh_Streetlight Data'!V212)</f>
        <v>1710.304347826087</v>
      </c>
      <c r="V88" s="108">
        <f>IF('kWh_Streetlight Data'!W212=0,"",'kWh_Streetlight Data'!W212)</f>
        <v>1883.5217391304348</v>
      </c>
      <c r="W88" s="108">
        <f>IF('kWh_Streetlight Data'!X212=0,"",'kWh_Streetlight Data'!X212)</f>
        <v>1752.9565217391305</v>
      </c>
      <c r="X88" s="108">
        <f>IF('kWh_Streetlight Data'!Y212=0,"",'kWh_Streetlight Data'!Y212)</f>
        <v>2005.1304347826087</v>
      </c>
      <c r="Y88" s="108">
        <f>IF('kWh_Streetlight Data'!Z212=0,"",'kWh_Streetlight Data'!Z212)</f>
        <v>2578.7727272727275</v>
      </c>
      <c r="Z88" s="108">
        <f>IF('kWh_Streetlight Data'!AA212=0,"",'kWh_Streetlight Data'!AA212)</f>
        <v>2740.1739130434785</v>
      </c>
      <c r="AA88" s="426">
        <f>IF('kWh_Streetlight Data'!AB212=0,"",'kWh_Streetlight Data'!AB212)</f>
        <v>2368.9256505576209</v>
      </c>
      <c r="AB88" s="442">
        <f>IF('kWh_Streetlight Data'!AC212=0,"",'kWh_Streetlight Data'!AC212)</f>
        <v>3589.0434782608695</v>
      </c>
      <c r="AC88" s="443">
        <f>IF('kWh_Streetlight Data'!AD212=0,"",'kWh_Streetlight Data'!AD212)</f>
        <v>2290.913043478261</v>
      </c>
      <c r="AD88" s="443">
        <f>IF('kWh_Streetlight Data'!AE212=0,"",'kWh_Streetlight Data'!AE212)</f>
        <v>2902.16</v>
      </c>
      <c r="AE88" s="443">
        <f>IF('kWh_Streetlight Data'!AF212=0,"",'kWh_Streetlight Data'!AF212)</f>
        <v>2300.1999999999998</v>
      </c>
      <c r="AF88" s="443">
        <f>IF('kWh_Streetlight Data'!AG212=0,"",'kWh_Streetlight Data'!AG212)</f>
        <v>2327.08</v>
      </c>
      <c r="AG88" s="443">
        <f>IF('kWh_Streetlight Data'!AH212=0,"",'kWh_Streetlight Data'!AH212)</f>
        <v>2044.12</v>
      </c>
      <c r="AH88" s="443">
        <f>IF('kWh_Streetlight Data'!AI212=0,"",'kWh_Streetlight Data'!AI212)</f>
        <v>1767.84</v>
      </c>
      <c r="AI88" s="443">
        <f>IF('kWh_Streetlight Data'!AJ212=0,"",'kWh_Streetlight Data'!AJ212)</f>
        <v>1796.2</v>
      </c>
      <c r="AJ88" s="443">
        <f>IF('kWh_Streetlight Data'!AK212=0,"",'kWh_Streetlight Data'!AK212)</f>
        <v>1787.12</v>
      </c>
      <c r="AK88" s="443">
        <f>IF('kWh_Streetlight Data'!AL212=0,"",'kWh_Streetlight Data'!AL212)</f>
        <v>1829.2</v>
      </c>
      <c r="AL88" s="443">
        <f>IF('kWh_Streetlight Data'!AM212=0,"",'kWh_Streetlight Data'!AM212)</f>
        <v>2611.16</v>
      </c>
      <c r="AM88" s="443">
        <f>IF('kWh_Streetlight Data'!AN212=0,"",'kWh_Streetlight Data'!AN212)</f>
        <v>2079.08</v>
      </c>
      <c r="AN88" s="424">
        <f>IF('kWh_Streetlight Data'!AO212=0,"",'kWh_Streetlight Data'!AO212)</f>
        <v>2268.0506756756758</v>
      </c>
      <c r="AO88" s="34"/>
      <c r="AP88" s="35"/>
      <c r="AQ88" s="35"/>
      <c r="AR88" s="35"/>
      <c r="AS88" s="35"/>
      <c r="AT88" s="9"/>
      <c r="AU88" s="9">
        <f t="shared" ref="AU88:AZ88" si="40">IFERROR(AVERAGE(AH88,U88,H88),0)</f>
        <v>1784.4449413388545</v>
      </c>
      <c r="AV88" s="9">
        <f t="shared" si="40"/>
        <v>2265.945707915273</v>
      </c>
      <c r="AW88" s="9">
        <f t="shared" si="40"/>
        <v>1920.116416337286</v>
      </c>
      <c r="AX88" s="9">
        <f t="shared" si="40"/>
        <v>1942.7768115942029</v>
      </c>
      <c r="AY88" s="9">
        <f t="shared" si="40"/>
        <v>2306.3109090909093</v>
      </c>
      <c r="AZ88" s="9">
        <f t="shared" si="40"/>
        <v>2716.7096376811592</v>
      </c>
      <c r="BA88" s="211"/>
      <c r="BB88" s="9">
        <v>3372.620553359684</v>
      </c>
      <c r="BC88" s="41">
        <v>2646.0770750988145</v>
      </c>
      <c r="BD88" s="41">
        <v>2789.7806060606058</v>
      </c>
      <c r="BE88" s="41">
        <v>2284.9598845598844</v>
      </c>
      <c r="BF88" s="41">
        <f t="shared" ref="BF88:BM88" si="41">IFERROR(AVERAGE(F88,S88,AF88),0)</f>
        <v>2296.411948051948</v>
      </c>
      <c r="BG88" s="41">
        <f t="shared" si="41"/>
        <v>2094.9839393939396</v>
      </c>
      <c r="BH88" s="41">
        <f t="shared" si="41"/>
        <v>1784.4449413388545</v>
      </c>
      <c r="BI88" s="41">
        <f t="shared" si="41"/>
        <v>2265.945707915273</v>
      </c>
      <c r="BJ88" s="41">
        <f t="shared" si="41"/>
        <v>1920.116416337286</v>
      </c>
      <c r="BK88" s="41">
        <f t="shared" si="41"/>
        <v>1942.7768115942029</v>
      </c>
      <c r="BL88" s="41">
        <f t="shared" si="41"/>
        <v>2306.3109090909093</v>
      </c>
      <c r="BM88" s="9">
        <f t="shared" si="41"/>
        <v>2716.7096376811592</v>
      </c>
      <c r="BN88" s="211">
        <v>0</v>
      </c>
      <c r="BO88" s="20"/>
      <c r="BQ88" t="s">
        <v>238</v>
      </c>
      <c r="BR88">
        <f>Customers!N206</f>
        <v>22711</v>
      </c>
      <c r="BS88">
        <f>BR88</f>
        <v>22711</v>
      </c>
      <c r="BT88">
        <f>BS88</f>
        <v>22711</v>
      </c>
      <c r="BU88">
        <f>BT88</f>
        <v>22711</v>
      </c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Q89" s="2" t="s">
        <v>239</v>
      </c>
      <c r="BR89" s="2">
        <f>ROUND(BJ79*7,0)</f>
        <v>3590</v>
      </c>
      <c r="BS89" s="2">
        <f>ROUND(BK79*7,0)</f>
        <v>4100</v>
      </c>
      <c r="BT89" s="2">
        <f>ROUND(BL79*7,0)</f>
        <v>4783</v>
      </c>
      <c r="BU89" s="2">
        <f>ROUND(BM79*7,0)</f>
        <v>4474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R90">
        <f>SUM(BR88:BR89)</f>
        <v>26301</v>
      </c>
      <c r="BS90">
        <f>SUM(BS88:BS89)</f>
        <v>26811</v>
      </c>
      <c r="BT90">
        <f>SUM(BT88:BT89)</f>
        <v>27494</v>
      </c>
      <c r="BU90">
        <f>SUM(BU88:BU89)</f>
        <v>27185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>
        <f>$BG$86+$BG$75</f>
        <v>38</v>
      </c>
      <c r="BI92" s="38">
        <f>$BG$86+$BG$75</f>
        <v>38</v>
      </c>
      <c r="BJ92" s="38">
        <f>$BG$86+$BG$75+7+1</f>
        <v>46</v>
      </c>
      <c r="BK92" s="38">
        <f>BJ92</f>
        <v>46</v>
      </c>
      <c r="BL92" s="38">
        <f t="shared" ref="BL92:BM92" si="42">BK92</f>
        <v>46</v>
      </c>
      <c r="BM92" s="38">
        <f t="shared" si="42"/>
        <v>46</v>
      </c>
      <c r="BN92" s="210">
        <f>BM92</f>
        <v>46</v>
      </c>
      <c r="BO92" s="125">
        <f>Customers!L205+Customers!L206</f>
        <v>51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>
        <f>ROUND((BH79*$BG$75)+(BH88*$BG$86),0)</f>
        <v>49593</v>
      </c>
      <c r="BI93" s="160">
        <f>ROUND((BI79*$BG$75)+(BI88*$BG$86),0)</f>
        <v>60312</v>
      </c>
      <c r="BJ93" s="160">
        <f>ROUND((BJ79*$BG$75)+(BJ88*$BG$86),0)+BR90</f>
        <v>76749</v>
      </c>
      <c r="BK93" s="160">
        <f>ROUND((BK79*$BG$75)+(BK88*$BG$86),0)+BS90</f>
        <v>78923</v>
      </c>
      <c r="BL93" s="160">
        <f>ROUND((BL79*$BG$75)+(BL88*$BG$86),0)+BT90</f>
        <v>89165</v>
      </c>
      <c r="BM93" s="160">
        <f>ROUND((BM79*$BG$75)+(BM88*$BG$86),0)+BU90</f>
        <v>97179</v>
      </c>
      <c r="BN93" s="196">
        <f>SUM(BB93:BM93)</f>
        <v>451921</v>
      </c>
      <c r="BO93" s="144">
        <f t="shared" ref="BO93" si="43">IFERROR(ROUND(BO94*BO92,0),0)</f>
        <v>1094580</v>
      </c>
      <c r="BQ93" t="s">
        <v>2</v>
      </c>
      <c r="BR93" s="202" t="s">
        <v>2</v>
      </c>
    </row>
    <row r="94" spans="1:73" ht="15.75" customHeight="1" thickTop="1">
      <c r="A94" s="374" t="s">
        <v>54</v>
      </c>
      <c r="B94" s="84" t="str">
        <f>IF('kWh_Streetlight Data'!C213=0,"",'kWh_Streetlight Data'!C213)</f>
        <v/>
      </c>
      <c r="C94" s="108" t="str">
        <f>IF('kWh_Streetlight Data'!D213=0,"",'kWh_Streetlight Data'!D213)</f>
        <v/>
      </c>
      <c r="D94" s="108" t="str">
        <f>IF('kWh_Streetlight Data'!E213=0,"",'kWh_Streetlight Data'!E213)</f>
        <v/>
      </c>
      <c r="E94" s="108" t="str">
        <f>IF('kWh_Streetlight Data'!F213=0,"",'kWh_Streetlight Data'!F213)</f>
        <v/>
      </c>
      <c r="F94" s="108" t="str">
        <f>IF('kWh_Streetlight Data'!G213=0,"",'kWh_Streetlight Data'!G213)</f>
        <v/>
      </c>
      <c r="G94" s="108" t="str">
        <f>IF('kWh_Streetlight Data'!H213=0,"",'kWh_Streetlight Data'!H213)</f>
        <v/>
      </c>
      <c r="H94" s="108" t="str">
        <f>IF('kWh_Streetlight Data'!I213=0,"",'kWh_Streetlight Data'!I213)</f>
        <v/>
      </c>
      <c r="I94" s="108" t="str">
        <f>IF('kWh_Streetlight Data'!J213=0,"",'kWh_Streetlight Data'!J213)</f>
        <v/>
      </c>
      <c r="J94" s="108" t="str">
        <f>IF('kWh_Streetlight Data'!K213=0,"",'kWh_Streetlight Data'!K213)</f>
        <v/>
      </c>
      <c r="K94" s="108" t="str">
        <f>IF('kWh_Streetlight Data'!L213=0,"",'kWh_Streetlight Data'!L213)</f>
        <v/>
      </c>
      <c r="L94" s="130" t="str">
        <f>IF('kWh_Streetlight Data'!M213=0,"",'kWh_Streetlight Data'!M213)</f>
        <v/>
      </c>
      <c r="M94" s="130" t="str">
        <f>IF('kWh_Streetlight Data'!N213=0,"",'kWh_Streetlight Data'!N213)</f>
        <v/>
      </c>
      <c r="N94" s="425" t="str">
        <f>IF('kWh_Streetlight Data'!O213=0,"",'kWh_Streetlight Data'!O213)</f>
        <v/>
      </c>
      <c r="O94" s="84" t="str">
        <f>IF('kWh_Streetlight Data'!P213=0,"",'kWh_Streetlight Data'!P213)</f>
        <v/>
      </c>
      <c r="P94" s="108" t="str">
        <f>IF('kWh_Streetlight Data'!Q213=0,"",'kWh_Streetlight Data'!Q213)</f>
        <v/>
      </c>
      <c r="Q94" s="108" t="str">
        <f>IF('kWh_Streetlight Data'!R213=0,"",'kWh_Streetlight Data'!R213)</f>
        <v/>
      </c>
      <c r="R94" s="108" t="str">
        <f>IF('kWh_Streetlight Data'!S213=0,"",'kWh_Streetlight Data'!S213)</f>
        <v/>
      </c>
      <c r="S94" s="108" t="str">
        <f>IF('kWh_Streetlight Data'!T213=0,"",'kWh_Streetlight Data'!T213)</f>
        <v/>
      </c>
      <c r="T94" s="108" t="str">
        <f>IF('kWh_Streetlight Data'!U213=0,"",'kWh_Streetlight Data'!U213)</f>
        <v/>
      </c>
      <c r="U94" s="108" t="str">
        <f>IF('kWh_Streetlight Data'!V213=0,"",'kWh_Streetlight Data'!V213)</f>
        <v/>
      </c>
      <c r="V94" s="108" t="str">
        <f>IF('kWh_Streetlight Data'!W213=0,"",'kWh_Streetlight Data'!W213)</f>
        <v/>
      </c>
      <c r="W94" s="108" t="str">
        <f>IF('kWh_Streetlight Data'!X213=0,"",'kWh_Streetlight Data'!X213)</f>
        <v/>
      </c>
      <c r="X94" s="108" t="str">
        <f>IF('kWh_Streetlight Data'!Y213=0,"",'kWh_Streetlight Data'!Y213)</f>
        <v/>
      </c>
      <c r="Y94" s="108" t="str">
        <f>IF('kWh_Streetlight Data'!Z213=0,"",'kWh_Streetlight Data'!Z213)</f>
        <v/>
      </c>
      <c r="Z94" s="108" t="str">
        <f>IF('kWh_Streetlight Data'!AA213=0,"",'kWh_Streetlight Data'!AA213)</f>
        <v/>
      </c>
      <c r="AA94" s="426" t="str">
        <f>IF('kWh_Streetlight Data'!AB213=0,"",'kWh_Streetlight Data'!AB213)</f>
        <v/>
      </c>
      <c r="AB94" s="84" t="str">
        <f>IF('kWh_Streetlight Data'!AC213=0,"",'kWh_Streetlight Data'!AC213)</f>
        <v/>
      </c>
      <c r="AC94" s="108" t="str">
        <f>IF('kWh_Streetlight Data'!AD213=0,"",'kWh_Streetlight Data'!AD213)</f>
        <v/>
      </c>
      <c r="AD94" s="108" t="str">
        <f>IF('kWh_Streetlight Data'!AE213=0,"",'kWh_Streetlight Data'!AE213)</f>
        <v/>
      </c>
      <c r="AE94" s="108" t="str">
        <f>IF('kWh_Streetlight Data'!AF213=0,"",'kWh_Streetlight Data'!AF213)</f>
        <v/>
      </c>
      <c r="AF94" s="108" t="str">
        <f>IF('kWh_Streetlight Data'!AG213=0,"",'kWh_Streetlight Data'!AG213)</f>
        <v/>
      </c>
      <c r="AG94" s="108" t="str">
        <f>IF('kWh_Streetlight Data'!AH213=0,"",'kWh_Streetlight Data'!AH213)</f>
        <v/>
      </c>
      <c r="AH94" s="108" t="str">
        <f>IF('kWh_Streetlight Data'!AI213=0,"",'kWh_Streetlight Data'!AI213)</f>
        <v/>
      </c>
      <c r="AI94" s="108" t="str">
        <f>IF('kWh_Streetlight Data'!AJ213=0,"",'kWh_Streetlight Data'!AJ213)</f>
        <v/>
      </c>
      <c r="AJ94" s="108" t="str">
        <f>IF('kWh_Streetlight Data'!AK213=0,"",'kWh_Streetlight Data'!AK213)</f>
        <v/>
      </c>
      <c r="AK94" s="108" t="str">
        <f>IF('kWh_Streetlight Data'!AL213=0,"",'kWh_Streetlight Data'!AL213)</f>
        <v/>
      </c>
      <c r="AL94" s="108" t="str">
        <f>IF('kWh_Streetlight Data'!AM213=0,"",'kWh_Streetlight Data'!AM213)</f>
        <v/>
      </c>
      <c r="AM94" s="108" t="str">
        <f>IF('kWh_Streetlight Data'!AN213=0,"",'kWh_Streetlight Data'!AN213)</f>
        <v/>
      </c>
      <c r="AN94" s="424" t="str">
        <f>IF('kWh_Streetlight Data'!AO213=0,"",'kWh_Streetlight Data'!AO213)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482"/>
      <c r="BI94" s="482"/>
      <c r="BJ94" s="482"/>
      <c r="BK94" s="482"/>
      <c r="BL94" s="482"/>
      <c r="BM94" s="339"/>
      <c r="BN94" s="211">
        <f>IFERROR((BN78+BN87+BN93)/SUM(BH92:BM92,BB86:BG86,BB75:BG75,)*12,0)</f>
        <v>21462.344262295082</v>
      </c>
      <c r="BO94" s="20">
        <f>BN94</f>
        <v>21462.344262295082</v>
      </c>
      <c r="BR94" t="s">
        <v>2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  <c r="BR95" s="202" t="s">
        <v>2</v>
      </c>
    </row>
    <row r="96" spans="1:73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  <c r="BR96" t="s">
        <v>2</v>
      </c>
    </row>
    <row r="97" spans="1:70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  <c r="BR97" s="202" t="s">
        <v>2</v>
      </c>
    </row>
    <row r="98" spans="1:70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44">AU7+AU22+AU29+AU43</f>
        <v>289</v>
      </c>
      <c r="AV98" s="9">
        <f t="shared" si="44"/>
        <v>289</v>
      </c>
      <c r="AW98" s="9">
        <f t="shared" si="44"/>
        <v>289</v>
      </c>
      <c r="AX98" s="9">
        <f t="shared" si="44"/>
        <v>289</v>
      </c>
      <c r="AY98" s="9">
        <f t="shared" si="44"/>
        <v>289</v>
      </c>
      <c r="AZ98" s="9">
        <f t="shared" si="44"/>
        <v>289</v>
      </c>
      <c r="BA98" s="138">
        <f t="shared" si="44"/>
        <v>289</v>
      </c>
      <c r="BB98" s="9">
        <v>290</v>
      </c>
      <c r="BC98" s="9">
        <v>290</v>
      </c>
      <c r="BD98" s="9">
        <v>290</v>
      </c>
      <c r="BE98" s="9">
        <v>290</v>
      </c>
      <c r="BF98" s="9">
        <f t="shared" ref="BF98:BO98" si="45">BF7+BF22+BF29+BF43</f>
        <v>290</v>
      </c>
      <c r="BG98" s="9">
        <f t="shared" si="45"/>
        <v>290</v>
      </c>
      <c r="BH98" s="9">
        <f t="shared" si="45"/>
        <v>0</v>
      </c>
      <c r="BI98" s="9">
        <f t="shared" si="45"/>
        <v>0</v>
      </c>
      <c r="BJ98" s="9">
        <f t="shared" si="45"/>
        <v>0</v>
      </c>
      <c r="BK98" s="9">
        <f t="shared" si="45"/>
        <v>0</v>
      </c>
      <c r="BL98" s="9">
        <f t="shared" si="45"/>
        <v>0</v>
      </c>
      <c r="BM98" s="9">
        <f t="shared" si="45"/>
        <v>0</v>
      </c>
      <c r="BN98" s="138">
        <f t="shared" si="45"/>
        <v>0</v>
      </c>
      <c r="BO98" s="58">
        <f t="shared" si="45"/>
        <v>0</v>
      </c>
    </row>
    <row r="99" spans="1:70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46">AU57</f>
        <v>1</v>
      </c>
      <c r="AV99" s="9">
        <f t="shared" si="46"/>
        <v>1</v>
      </c>
      <c r="AW99" s="9">
        <f t="shared" si="46"/>
        <v>1</v>
      </c>
      <c r="AX99" s="9">
        <f t="shared" si="46"/>
        <v>1</v>
      </c>
      <c r="AY99" s="9">
        <f t="shared" si="46"/>
        <v>1</v>
      </c>
      <c r="AZ99" s="9">
        <f t="shared" si="46"/>
        <v>1</v>
      </c>
      <c r="BA99" s="138">
        <f t="shared" si="46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47">BF57</f>
        <v>1</v>
      </c>
      <c r="BG99" s="9">
        <f t="shared" si="47"/>
        <v>1</v>
      </c>
      <c r="BH99" s="9">
        <f t="shared" si="47"/>
        <v>0</v>
      </c>
      <c r="BI99" s="9">
        <f t="shared" si="47"/>
        <v>0</v>
      </c>
      <c r="BJ99" s="9">
        <f t="shared" si="47"/>
        <v>0</v>
      </c>
      <c r="BK99" s="9">
        <f t="shared" si="47"/>
        <v>0</v>
      </c>
      <c r="BL99" s="9">
        <f t="shared" si="47"/>
        <v>0</v>
      </c>
      <c r="BM99" s="9">
        <f t="shared" si="47"/>
        <v>0</v>
      </c>
      <c r="BN99" s="138">
        <f t="shared" si="47"/>
        <v>0</v>
      </c>
      <c r="BO99" s="58">
        <f t="shared" si="47"/>
        <v>0</v>
      </c>
    </row>
    <row r="100" spans="1:70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>AU65+AU75+AU81+AU86+Customers!E207</f>
        <v>42</v>
      </c>
      <c r="AV100" s="9">
        <f>AV65+AV75+AV81+AV86+Customers!F207</f>
        <v>42</v>
      </c>
      <c r="AW100" s="9">
        <f>AW65+AW75+AW81+AW86+Customers!G207</f>
        <v>43</v>
      </c>
      <c r="AX100" s="9">
        <f>AX65+AX75+AX81+AX86+Customers!H207</f>
        <v>43</v>
      </c>
      <c r="AY100" s="9">
        <f>AY65+AY75+AY81+AY86+Customers!I207</f>
        <v>43</v>
      </c>
      <c r="AZ100" s="9">
        <f>AZ65+AZ75+AZ81+AZ86+Customers!J207</f>
        <v>43</v>
      </c>
      <c r="BA100" s="138">
        <f>BA65+BA75+BA81+BA86+Customers!J207</f>
        <v>43</v>
      </c>
      <c r="BB100" s="9">
        <v>46</v>
      </c>
      <c r="BC100" s="9">
        <v>46</v>
      </c>
      <c r="BD100" s="9">
        <v>46</v>
      </c>
      <c r="BE100" s="9">
        <v>46</v>
      </c>
      <c r="BF100" s="9">
        <f>BF65+BF75+BF81+BF86+Customers!$K$207</f>
        <v>46</v>
      </c>
      <c r="BG100" s="9">
        <f>BG65+BG75+BG81+BG86+Customers!$K$207</f>
        <v>46</v>
      </c>
      <c r="BH100" s="9">
        <f t="shared" ref="BH100:BO100" si="48">BH65+BH75+BH81+BH86</f>
        <v>0</v>
      </c>
      <c r="BI100" s="9">
        <f t="shared" si="48"/>
        <v>0</v>
      </c>
      <c r="BJ100" s="9">
        <f t="shared" si="48"/>
        <v>0</v>
      </c>
      <c r="BK100" s="9">
        <f t="shared" si="48"/>
        <v>0</v>
      </c>
      <c r="BL100" s="9">
        <f t="shared" si="48"/>
        <v>0</v>
      </c>
      <c r="BM100" s="9">
        <f t="shared" si="48"/>
        <v>0</v>
      </c>
      <c r="BN100" s="138">
        <f t="shared" si="48"/>
        <v>0</v>
      </c>
      <c r="BO100" s="58">
        <f t="shared" si="48"/>
        <v>0</v>
      </c>
    </row>
    <row r="101" spans="1:70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49">SUM(AU98:AU100)</f>
        <v>332</v>
      </c>
      <c r="AV101" s="73">
        <f t="shared" si="49"/>
        <v>332</v>
      </c>
      <c r="AW101" s="73">
        <f t="shared" si="49"/>
        <v>333</v>
      </c>
      <c r="AX101" s="73">
        <f t="shared" si="49"/>
        <v>333</v>
      </c>
      <c r="AY101" s="73">
        <f t="shared" si="49"/>
        <v>333</v>
      </c>
      <c r="AZ101" s="73">
        <f t="shared" si="49"/>
        <v>333</v>
      </c>
      <c r="BA101" s="249">
        <f t="shared" si="49"/>
        <v>333</v>
      </c>
      <c r="BB101" s="73">
        <v>337</v>
      </c>
      <c r="BC101" s="73">
        <v>337</v>
      </c>
      <c r="BD101" s="73">
        <v>337</v>
      </c>
      <c r="BE101" s="73">
        <v>337</v>
      </c>
      <c r="BF101" s="73">
        <f t="shared" ref="BF101:BO101" si="50">SUM(BF98:BF100)</f>
        <v>337</v>
      </c>
      <c r="BG101" s="73">
        <f t="shared" si="50"/>
        <v>337</v>
      </c>
      <c r="BH101" s="73">
        <f t="shared" si="50"/>
        <v>0</v>
      </c>
      <c r="BI101" s="73">
        <f t="shared" si="50"/>
        <v>0</v>
      </c>
      <c r="BJ101" s="73">
        <f t="shared" si="50"/>
        <v>0</v>
      </c>
      <c r="BK101" s="73">
        <f t="shared" si="50"/>
        <v>0</v>
      </c>
      <c r="BL101" s="73">
        <f t="shared" si="50"/>
        <v>0</v>
      </c>
      <c r="BM101" s="73">
        <f t="shared" si="50"/>
        <v>0</v>
      </c>
      <c r="BN101" s="249">
        <f t="shared" si="50"/>
        <v>0</v>
      </c>
      <c r="BO101" s="268">
        <f t="shared" si="50"/>
        <v>0</v>
      </c>
    </row>
    <row r="102" spans="1:70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51">AU15+AU36+AU50</f>
        <v>0</v>
      </c>
      <c r="AV102" s="9">
        <f t="shared" si="51"/>
        <v>0</v>
      </c>
      <c r="AW102" s="9">
        <f t="shared" si="51"/>
        <v>0</v>
      </c>
      <c r="AX102" s="9">
        <f t="shared" si="51"/>
        <v>0</v>
      </c>
      <c r="AY102" s="9">
        <f t="shared" si="51"/>
        <v>0</v>
      </c>
      <c r="AZ102" s="9">
        <f t="shared" si="51"/>
        <v>0</v>
      </c>
      <c r="BA102" s="138">
        <f t="shared" si="51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52">BF15+BF36+BF50</f>
        <v>0</v>
      </c>
      <c r="BG102" s="9">
        <f t="shared" si="52"/>
        <v>0</v>
      </c>
      <c r="BH102" s="9">
        <f t="shared" si="52"/>
        <v>290</v>
      </c>
      <c r="BI102" s="9">
        <f t="shared" si="52"/>
        <v>290</v>
      </c>
      <c r="BJ102" s="9">
        <f t="shared" si="52"/>
        <v>290</v>
      </c>
      <c r="BK102" s="9">
        <f t="shared" si="52"/>
        <v>290</v>
      </c>
      <c r="BL102" s="9">
        <f t="shared" si="52"/>
        <v>290</v>
      </c>
      <c r="BM102" s="9">
        <f t="shared" si="52"/>
        <v>290</v>
      </c>
      <c r="BN102" s="138">
        <f t="shared" si="52"/>
        <v>290</v>
      </c>
      <c r="BO102" s="266">
        <f t="shared" si="52"/>
        <v>291</v>
      </c>
    </row>
    <row r="103" spans="1:70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>
        <f t="shared" ref="BH103:BO103" si="53">BH61</f>
        <v>1</v>
      </c>
      <c r="BI103" s="9">
        <f t="shared" si="53"/>
        <v>1</v>
      </c>
      <c r="BJ103" s="9">
        <f t="shared" si="53"/>
        <v>1</v>
      </c>
      <c r="BK103" s="9">
        <f t="shared" si="53"/>
        <v>1</v>
      </c>
      <c r="BL103" s="9">
        <f t="shared" si="53"/>
        <v>1</v>
      </c>
      <c r="BM103" s="9">
        <f t="shared" si="53"/>
        <v>1</v>
      </c>
      <c r="BN103" s="138">
        <f t="shared" si="53"/>
        <v>1</v>
      </c>
      <c r="BO103" s="58">
        <f t="shared" si="53"/>
        <v>1</v>
      </c>
    </row>
    <row r="104" spans="1:70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54">AU92</f>
        <v>0</v>
      </c>
      <c r="AV104" s="9">
        <f t="shared" si="54"/>
        <v>0</v>
      </c>
      <c r="AW104" s="9">
        <f t="shared" si="54"/>
        <v>0</v>
      </c>
      <c r="AX104" s="9">
        <f t="shared" si="54"/>
        <v>0</v>
      </c>
      <c r="AY104" s="9">
        <f t="shared" si="54"/>
        <v>0</v>
      </c>
      <c r="AZ104" s="9">
        <f t="shared" si="54"/>
        <v>0</v>
      </c>
      <c r="BA104" s="138">
        <f t="shared" si="54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>BF92</f>
        <v>0</v>
      </c>
      <c r="BG104" s="9">
        <f>BG92</f>
        <v>0</v>
      </c>
      <c r="BH104" s="9">
        <f>BH92+Customers!$K$207</f>
        <v>46</v>
      </c>
      <c r="BI104" s="9">
        <f>BI92+Customers!$K$207</f>
        <v>46</v>
      </c>
      <c r="BJ104" s="9">
        <f>BJ92+Customers!$K$207</f>
        <v>54</v>
      </c>
      <c r="BK104" s="9">
        <f>BK92+Customers!$K$207</f>
        <v>54</v>
      </c>
      <c r="BL104" s="9">
        <f>BL92+Customers!$K$207</f>
        <v>54</v>
      </c>
      <c r="BM104" s="9">
        <f>BM92+Customers!$K$207</f>
        <v>54</v>
      </c>
      <c r="BN104" s="414">
        <f>BN92+Customers!$K$207</f>
        <v>54</v>
      </c>
      <c r="BO104" s="58">
        <f>BO92+Customers!L207</f>
        <v>59</v>
      </c>
    </row>
    <row r="105" spans="1:70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55">SUM(AU102:AU104)</f>
        <v>0</v>
      </c>
      <c r="AV105" s="73">
        <f t="shared" si="55"/>
        <v>0</v>
      </c>
      <c r="AW105" s="73">
        <f t="shared" si="55"/>
        <v>0</v>
      </c>
      <c r="AX105" s="73">
        <f t="shared" si="55"/>
        <v>0</v>
      </c>
      <c r="AY105" s="73">
        <f t="shared" si="55"/>
        <v>0</v>
      </c>
      <c r="AZ105" s="73">
        <f t="shared" si="55"/>
        <v>0</v>
      </c>
      <c r="BA105" s="249">
        <f t="shared" si="5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56">SUM(BF102:BF104)</f>
        <v>0</v>
      </c>
      <c r="BG105" s="73">
        <f t="shared" si="56"/>
        <v>0</v>
      </c>
      <c r="BH105" s="73">
        <f t="shared" si="56"/>
        <v>337</v>
      </c>
      <c r="BI105" s="73">
        <f t="shared" si="56"/>
        <v>337</v>
      </c>
      <c r="BJ105" s="73">
        <f t="shared" si="56"/>
        <v>345</v>
      </c>
      <c r="BK105" s="73">
        <f t="shared" si="56"/>
        <v>345</v>
      </c>
      <c r="BL105" s="73">
        <f t="shared" si="56"/>
        <v>345</v>
      </c>
      <c r="BM105" s="73">
        <f t="shared" si="56"/>
        <v>345</v>
      </c>
      <c r="BN105" s="249">
        <f t="shared" si="56"/>
        <v>345</v>
      </c>
      <c r="BO105" s="268">
        <f t="shared" si="56"/>
        <v>351</v>
      </c>
    </row>
    <row r="106" spans="1:70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57">AU105+AU101</f>
        <v>332</v>
      </c>
      <c r="AV106" s="251">
        <f t="shared" si="57"/>
        <v>332</v>
      </c>
      <c r="AW106" s="251">
        <f t="shared" si="57"/>
        <v>333</v>
      </c>
      <c r="AX106" s="251">
        <f t="shared" si="57"/>
        <v>333</v>
      </c>
      <c r="AY106" s="251">
        <f t="shared" si="57"/>
        <v>333</v>
      </c>
      <c r="AZ106" s="251">
        <f t="shared" si="57"/>
        <v>333</v>
      </c>
      <c r="BA106" s="255">
        <f t="shared" si="57"/>
        <v>333</v>
      </c>
      <c r="BB106" s="251">
        <v>337</v>
      </c>
      <c r="BC106" s="251">
        <v>337</v>
      </c>
      <c r="BD106" s="251">
        <v>337</v>
      </c>
      <c r="BE106" s="251">
        <v>337</v>
      </c>
      <c r="BF106" s="251">
        <f t="shared" si="57"/>
        <v>337</v>
      </c>
      <c r="BG106" s="251">
        <f t="shared" si="57"/>
        <v>337</v>
      </c>
      <c r="BH106" s="251">
        <f t="shared" si="57"/>
        <v>337</v>
      </c>
      <c r="BI106" s="251">
        <f t="shared" si="57"/>
        <v>337</v>
      </c>
      <c r="BJ106" s="251">
        <f t="shared" si="57"/>
        <v>345</v>
      </c>
      <c r="BK106" s="251">
        <f t="shared" si="57"/>
        <v>345</v>
      </c>
      <c r="BL106" s="251">
        <f t="shared" si="57"/>
        <v>345</v>
      </c>
      <c r="BM106" s="251">
        <f t="shared" si="57"/>
        <v>345</v>
      </c>
      <c r="BN106" s="255">
        <f t="shared" si="57"/>
        <v>345</v>
      </c>
      <c r="BO106" s="269">
        <f t="shared" si="57"/>
        <v>351</v>
      </c>
    </row>
    <row r="107" spans="1:70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70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58">AU11+AU26+AU33+AU47</f>
        <v>297185</v>
      </c>
      <c r="AV108" s="9">
        <f t="shared" si="58"/>
        <v>286612</v>
      </c>
      <c r="AW108" s="9">
        <f t="shared" si="58"/>
        <v>283316</v>
      </c>
      <c r="AX108" s="9">
        <f t="shared" si="58"/>
        <v>308955</v>
      </c>
      <c r="AY108" s="9">
        <f t="shared" si="58"/>
        <v>396750</v>
      </c>
      <c r="AZ108" s="9">
        <f t="shared" si="58"/>
        <v>386779</v>
      </c>
      <c r="BA108" s="138">
        <f t="shared" si="58"/>
        <v>1959597</v>
      </c>
      <c r="BB108" s="9">
        <v>553022</v>
      </c>
      <c r="BC108" s="9">
        <v>433737</v>
      </c>
      <c r="BD108" s="9">
        <v>484266</v>
      </c>
      <c r="BE108" s="9">
        <v>424151</v>
      </c>
      <c r="BF108" s="9">
        <f t="shared" ref="BF108:BO108" si="59">BF11+BF26+BF33+BF47</f>
        <v>418806</v>
      </c>
      <c r="BG108" s="9">
        <f t="shared" si="59"/>
        <v>358494</v>
      </c>
      <c r="BH108" s="9">
        <f t="shared" si="59"/>
        <v>0</v>
      </c>
      <c r="BI108" s="9">
        <f t="shared" si="59"/>
        <v>0</v>
      </c>
      <c r="BJ108" s="9">
        <f t="shared" si="59"/>
        <v>0</v>
      </c>
      <c r="BK108" s="9">
        <f t="shared" si="59"/>
        <v>0</v>
      </c>
      <c r="BL108" s="9">
        <f t="shared" si="59"/>
        <v>0</v>
      </c>
      <c r="BM108" s="9">
        <f t="shared" si="59"/>
        <v>0</v>
      </c>
      <c r="BN108" s="138">
        <f t="shared" si="59"/>
        <v>2672476</v>
      </c>
      <c r="BO108" s="58">
        <f t="shared" si="59"/>
        <v>0</v>
      </c>
    </row>
    <row r="109" spans="1:70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60">AU58</f>
        <v>3708</v>
      </c>
      <c r="AV109" s="9">
        <f t="shared" si="60"/>
        <v>3708</v>
      </c>
      <c r="AW109" s="9">
        <f t="shared" si="60"/>
        <v>3708</v>
      </c>
      <c r="AX109" s="9">
        <f t="shared" si="60"/>
        <v>3708</v>
      </c>
      <c r="AY109" s="9">
        <f t="shared" si="60"/>
        <v>3708</v>
      </c>
      <c r="AZ109" s="9">
        <f t="shared" si="60"/>
        <v>3708</v>
      </c>
      <c r="BA109" s="138">
        <f t="shared" si="60"/>
        <v>22248</v>
      </c>
      <c r="BB109" s="9">
        <v>3708</v>
      </c>
      <c r="BC109" s="9">
        <v>3708</v>
      </c>
      <c r="BD109" s="9">
        <v>3708</v>
      </c>
      <c r="BE109" s="9">
        <v>3708</v>
      </c>
      <c r="BF109" s="9">
        <f t="shared" ref="BF109:BO109" si="61">BF58</f>
        <v>3708</v>
      </c>
      <c r="BG109" s="9">
        <f t="shared" si="61"/>
        <v>3708</v>
      </c>
      <c r="BH109" s="9">
        <f t="shared" si="61"/>
        <v>0</v>
      </c>
      <c r="BI109" s="9">
        <f t="shared" si="61"/>
        <v>0</v>
      </c>
      <c r="BJ109" s="9">
        <f t="shared" si="61"/>
        <v>0</v>
      </c>
      <c r="BK109" s="9">
        <f t="shared" si="61"/>
        <v>0</v>
      </c>
      <c r="BL109" s="9">
        <f t="shared" si="61"/>
        <v>0</v>
      </c>
      <c r="BM109" s="9">
        <f t="shared" si="61"/>
        <v>0</v>
      </c>
      <c r="BN109" s="138">
        <f t="shared" si="61"/>
        <v>22248</v>
      </c>
      <c r="BO109" s="58">
        <f t="shared" si="61"/>
        <v>0</v>
      </c>
    </row>
    <row r="110" spans="1:70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62">AU68+AU78+AU82+AU87</f>
        <v>47010</v>
      </c>
      <c r="AV110" s="9">
        <f t="shared" si="62"/>
        <v>57697</v>
      </c>
      <c r="AW110" s="9">
        <f t="shared" si="62"/>
        <v>48910</v>
      </c>
      <c r="AX110" s="9">
        <f t="shared" si="62"/>
        <v>50355</v>
      </c>
      <c r="AY110" s="9">
        <f t="shared" si="62"/>
        <v>59621</v>
      </c>
      <c r="AZ110" s="9">
        <f t="shared" si="62"/>
        <v>68077</v>
      </c>
      <c r="BA110" s="138">
        <f t="shared" si="62"/>
        <v>331670</v>
      </c>
      <c r="BB110" s="9">
        <v>89153</v>
      </c>
      <c r="BC110" s="9">
        <v>73179</v>
      </c>
      <c r="BD110" s="9">
        <v>75642</v>
      </c>
      <c r="BE110" s="9">
        <v>62300</v>
      </c>
      <c r="BF110" s="9">
        <f t="shared" ref="BF110:BO110" si="63">BF68+BF78+BF82+BF87</f>
        <v>63076</v>
      </c>
      <c r="BG110" s="9">
        <f t="shared" si="63"/>
        <v>57531</v>
      </c>
      <c r="BH110" s="9">
        <f t="shared" si="63"/>
        <v>0</v>
      </c>
      <c r="BI110" s="9">
        <f t="shared" si="63"/>
        <v>0</v>
      </c>
      <c r="BJ110" s="9">
        <f t="shared" si="63"/>
        <v>0</v>
      </c>
      <c r="BK110" s="9">
        <f t="shared" si="63"/>
        <v>0</v>
      </c>
      <c r="BL110" s="9">
        <f t="shared" si="63"/>
        <v>0</v>
      </c>
      <c r="BM110" s="9">
        <f t="shared" si="63"/>
        <v>0</v>
      </c>
      <c r="BN110" s="138">
        <f t="shared" si="63"/>
        <v>420881</v>
      </c>
      <c r="BO110" s="58">
        <f t="shared" si="63"/>
        <v>0</v>
      </c>
    </row>
    <row r="111" spans="1:70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64">SUM(AU108:AU110)</f>
        <v>347903</v>
      </c>
      <c r="AV111" s="73">
        <f t="shared" si="64"/>
        <v>348017</v>
      </c>
      <c r="AW111" s="73">
        <f t="shared" si="64"/>
        <v>335934</v>
      </c>
      <c r="AX111" s="73">
        <f t="shared" si="64"/>
        <v>363018</v>
      </c>
      <c r="AY111" s="73">
        <f t="shared" si="64"/>
        <v>460079</v>
      </c>
      <c r="AZ111" s="73">
        <f t="shared" si="64"/>
        <v>458564</v>
      </c>
      <c r="BA111" s="249">
        <f t="shared" si="64"/>
        <v>2313515</v>
      </c>
      <c r="BB111" s="73">
        <v>645883</v>
      </c>
      <c r="BC111" s="73">
        <v>510624</v>
      </c>
      <c r="BD111" s="73">
        <v>563616</v>
      </c>
      <c r="BE111" s="73">
        <v>490159</v>
      </c>
      <c r="BF111" s="73">
        <f t="shared" ref="BF111:BO111" si="65">SUM(BF108:BF110)</f>
        <v>485590</v>
      </c>
      <c r="BG111" s="73">
        <f t="shared" si="65"/>
        <v>419733</v>
      </c>
      <c r="BH111" s="73">
        <f t="shared" si="65"/>
        <v>0</v>
      </c>
      <c r="BI111" s="73">
        <f t="shared" si="65"/>
        <v>0</v>
      </c>
      <c r="BJ111" s="73">
        <f t="shared" si="65"/>
        <v>0</v>
      </c>
      <c r="BK111" s="73">
        <f t="shared" si="65"/>
        <v>0</v>
      </c>
      <c r="BL111" s="73">
        <f t="shared" si="65"/>
        <v>0</v>
      </c>
      <c r="BM111" s="73">
        <f t="shared" si="65"/>
        <v>0</v>
      </c>
      <c r="BN111" s="249">
        <f t="shared" si="65"/>
        <v>3115605</v>
      </c>
      <c r="BO111" s="268">
        <f t="shared" si="65"/>
        <v>0</v>
      </c>
    </row>
    <row r="112" spans="1:70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66">AU19+AU40+AU54</f>
        <v>0</v>
      </c>
      <c r="AV112" s="9">
        <f t="shared" si="66"/>
        <v>0</v>
      </c>
      <c r="AW112" s="9">
        <f t="shared" si="66"/>
        <v>0</v>
      </c>
      <c r="AX112" s="9">
        <f t="shared" si="66"/>
        <v>0</v>
      </c>
      <c r="AY112" s="9">
        <f t="shared" si="66"/>
        <v>0</v>
      </c>
      <c r="AZ112" s="9">
        <f t="shared" si="66"/>
        <v>0</v>
      </c>
      <c r="BA112" s="138">
        <f t="shared" si="66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67">BF19+BF40+BF54</f>
        <v>0</v>
      </c>
      <c r="BG112" s="9">
        <f t="shared" si="67"/>
        <v>0</v>
      </c>
      <c r="BH112" s="9">
        <f t="shared" si="67"/>
        <v>298110</v>
      </c>
      <c r="BI112" s="9">
        <f t="shared" si="67"/>
        <v>287494</v>
      </c>
      <c r="BJ112" s="9">
        <f t="shared" si="67"/>
        <v>284200</v>
      </c>
      <c r="BK112" s="9">
        <f t="shared" si="67"/>
        <v>309950</v>
      </c>
      <c r="BL112" s="9">
        <f t="shared" si="67"/>
        <v>398033</v>
      </c>
      <c r="BM112" s="9">
        <f t="shared" si="67"/>
        <v>388021</v>
      </c>
      <c r="BN112" s="138">
        <f t="shared" si="67"/>
        <v>1965808</v>
      </c>
      <c r="BO112" s="58">
        <f t="shared" si="67"/>
        <v>4652941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>
        <f t="shared" ref="BH113:BO113" si="68">BH62</f>
        <v>3708</v>
      </c>
      <c r="BI113" s="9">
        <f t="shared" si="68"/>
        <v>3708</v>
      </c>
      <c r="BJ113" s="9">
        <f t="shared" si="68"/>
        <v>3708</v>
      </c>
      <c r="BK113" s="9">
        <f t="shared" si="68"/>
        <v>3708</v>
      </c>
      <c r="BL113" s="9">
        <f t="shared" si="68"/>
        <v>3708</v>
      </c>
      <c r="BM113" s="9">
        <f t="shared" si="68"/>
        <v>3708</v>
      </c>
      <c r="BN113" s="138">
        <f t="shared" si="68"/>
        <v>22248</v>
      </c>
      <c r="BO113" s="58">
        <f t="shared" si="68"/>
        <v>44496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69">AU93</f>
        <v>0</v>
      </c>
      <c r="AV114" s="9">
        <f t="shared" si="69"/>
        <v>0</v>
      </c>
      <c r="AW114" s="9">
        <f t="shared" si="69"/>
        <v>0</v>
      </c>
      <c r="AX114" s="9">
        <f t="shared" si="69"/>
        <v>0</v>
      </c>
      <c r="AY114" s="9">
        <f t="shared" si="69"/>
        <v>0</v>
      </c>
      <c r="AZ114" s="9">
        <f t="shared" si="69"/>
        <v>0</v>
      </c>
      <c r="BA114" s="138">
        <f t="shared" si="69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70">BF93</f>
        <v>0</v>
      </c>
      <c r="BG114" s="9">
        <f t="shared" si="70"/>
        <v>0</v>
      </c>
      <c r="BH114" s="9">
        <f t="shared" si="70"/>
        <v>49593</v>
      </c>
      <c r="BI114" s="9">
        <f t="shared" si="70"/>
        <v>60312</v>
      </c>
      <c r="BJ114" s="9">
        <f t="shared" si="70"/>
        <v>76749</v>
      </c>
      <c r="BK114" s="9">
        <f t="shared" si="70"/>
        <v>78923</v>
      </c>
      <c r="BL114" s="9">
        <f t="shared" si="70"/>
        <v>89165</v>
      </c>
      <c r="BM114" s="9">
        <f t="shared" si="70"/>
        <v>97179</v>
      </c>
      <c r="BN114" s="138">
        <f t="shared" si="70"/>
        <v>451921</v>
      </c>
      <c r="BO114" s="58">
        <f t="shared" si="70"/>
        <v>1094580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71">SUM(AU112:AU114)</f>
        <v>0</v>
      </c>
      <c r="AV115" s="73">
        <f t="shared" si="71"/>
        <v>0</v>
      </c>
      <c r="AW115" s="73">
        <f t="shared" si="71"/>
        <v>0</v>
      </c>
      <c r="AX115" s="73">
        <f t="shared" si="71"/>
        <v>0</v>
      </c>
      <c r="AY115" s="73">
        <f t="shared" si="71"/>
        <v>0</v>
      </c>
      <c r="AZ115" s="73">
        <f t="shared" si="71"/>
        <v>0</v>
      </c>
      <c r="BA115" s="249">
        <f t="shared" si="71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72">SUM(BF112:BF114)</f>
        <v>0</v>
      </c>
      <c r="BG115" s="73">
        <f t="shared" si="72"/>
        <v>0</v>
      </c>
      <c r="BH115" s="73">
        <f t="shared" si="72"/>
        <v>351411</v>
      </c>
      <c r="BI115" s="73">
        <f t="shared" si="72"/>
        <v>351514</v>
      </c>
      <c r="BJ115" s="73">
        <f t="shared" si="72"/>
        <v>364657</v>
      </c>
      <c r="BK115" s="73">
        <f t="shared" si="72"/>
        <v>392581</v>
      </c>
      <c r="BL115" s="73">
        <f t="shared" si="72"/>
        <v>490906</v>
      </c>
      <c r="BM115" s="73">
        <f t="shared" si="72"/>
        <v>488908</v>
      </c>
      <c r="BN115" s="249">
        <f t="shared" si="72"/>
        <v>2439977</v>
      </c>
      <c r="BO115" s="268">
        <f t="shared" si="72"/>
        <v>5792017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73">AU115+AU111</f>
        <v>347903</v>
      </c>
      <c r="AV116" s="251">
        <f t="shared" si="73"/>
        <v>348017</v>
      </c>
      <c r="AW116" s="251">
        <f t="shared" si="73"/>
        <v>335934</v>
      </c>
      <c r="AX116" s="251">
        <f t="shared" si="73"/>
        <v>363018</v>
      </c>
      <c r="AY116" s="251">
        <f t="shared" si="73"/>
        <v>460079</v>
      </c>
      <c r="AZ116" s="251">
        <f t="shared" si="73"/>
        <v>458564</v>
      </c>
      <c r="BA116" s="255">
        <f t="shared" si="73"/>
        <v>2313515</v>
      </c>
      <c r="BB116" s="251">
        <v>645883</v>
      </c>
      <c r="BC116" s="251">
        <v>510624</v>
      </c>
      <c r="BD116" s="251">
        <v>563616</v>
      </c>
      <c r="BE116" s="251">
        <v>490159</v>
      </c>
      <c r="BF116" s="251">
        <f t="shared" si="73"/>
        <v>485590</v>
      </c>
      <c r="BG116" s="251">
        <f t="shared" si="73"/>
        <v>419733</v>
      </c>
      <c r="BH116" s="251">
        <f t="shared" si="73"/>
        <v>351411</v>
      </c>
      <c r="BI116" s="251">
        <f t="shared" si="73"/>
        <v>351514</v>
      </c>
      <c r="BJ116" s="251">
        <f t="shared" si="73"/>
        <v>364657</v>
      </c>
      <c r="BK116" s="251">
        <f t="shared" si="73"/>
        <v>392581</v>
      </c>
      <c r="BL116" s="251">
        <f t="shared" si="73"/>
        <v>490906</v>
      </c>
      <c r="BM116" s="251">
        <f t="shared" si="73"/>
        <v>488908</v>
      </c>
      <c r="BN116" s="255">
        <f t="shared" si="73"/>
        <v>5555582</v>
      </c>
      <c r="BO116" s="269">
        <f t="shared" si="73"/>
        <v>5792017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21</v>
      </c>
      <c r="AV119" s="280">
        <f>AU119</f>
        <v>21</v>
      </c>
      <c r="AW119" s="280">
        <f>AV119</f>
        <v>21</v>
      </c>
      <c r="AX119" s="280">
        <f t="shared" ref="AX119:AZ119" si="74">AW119</f>
        <v>21</v>
      </c>
      <c r="AY119" s="280">
        <f t="shared" si="74"/>
        <v>21</v>
      </c>
      <c r="AZ119" s="280">
        <f t="shared" si="74"/>
        <v>21</v>
      </c>
      <c r="BA119" s="259"/>
      <c r="BB119" s="280">
        <v>21</v>
      </c>
      <c r="BC119" s="280">
        <v>21</v>
      </c>
      <c r="BD119" s="280">
        <v>21</v>
      </c>
      <c r="BE119" s="280">
        <v>21</v>
      </c>
      <c r="BF119" s="280">
        <f t="shared" ref="BF119:BM119" si="75">BE119</f>
        <v>21</v>
      </c>
      <c r="BG119" s="280">
        <f t="shared" si="75"/>
        <v>21</v>
      </c>
      <c r="BH119" s="280">
        <f t="shared" si="75"/>
        <v>21</v>
      </c>
      <c r="BI119" s="280">
        <f t="shared" si="75"/>
        <v>21</v>
      </c>
      <c r="BJ119" s="280">
        <f t="shared" si="75"/>
        <v>21</v>
      </c>
      <c r="BK119" s="280">
        <f t="shared" si="75"/>
        <v>21</v>
      </c>
      <c r="BL119" s="280">
        <f t="shared" si="75"/>
        <v>21</v>
      </c>
      <c r="BM119" s="280">
        <f t="shared" si="75"/>
        <v>21</v>
      </c>
      <c r="BN119" s="259"/>
      <c r="BO119" s="343">
        <f>BM119</f>
        <v>21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220943</v>
      </c>
      <c r="AU120" s="107">
        <v>235978.39433302669</v>
      </c>
      <c r="AV120" s="39">
        <f>ROUND(AW108/30*AV119,0)</f>
        <v>198321</v>
      </c>
      <c r="AW120" s="39">
        <f>ROUND(AX108/30*AW119,0)</f>
        <v>216269</v>
      </c>
      <c r="AX120" s="39">
        <f>ROUND(AY108/30*AX119,0)</f>
        <v>277725</v>
      </c>
      <c r="AY120" s="39">
        <f>ROUND(AZ108/30*AY119,0)</f>
        <v>270745</v>
      </c>
      <c r="AZ120" s="39">
        <f>ROUND(BB108/30*AZ119,0)</f>
        <v>387115</v>
      </c>
      <c r="BA120" s="215"/>
      <c r="BB120" s="346">
        <v>303616</v>
      </c>
      <c r="BC120" s="346">
        <v>338986</v>
      </c>
      <c r="BD120" s="346">
        <v>296906</v>
      </c>
      <c r="BE120" s="346">
        <v>293164</v>
      </c>
      <c r="BF120" s="346">
        <f>ROUND(BG108/30*BF119,0)</f>
        <v>250946</v>
      </c>
      <c r="BG120" s="57">
        <f>BH112/30*BG119</f>
        <v>208677</v>
      </c>
      <c r="BH120" s="57">
        <f>BI108/30*BH119</f>
        <v>0</v>
      </c>
      <c r="BI120" s="57">
        <f>BJ108/30*BI119</f>
        <v>0</v>
      </c>
      <c r="BJ120" s="57">
        <f>BK108/30*BJ119</f>
        <v>0</v>
      </c>
      <c r="BK120" s="57">
        <f>BL108/30*BK119</f>
        <v>0</v>
      </c>
      <c r="BL120" s="57">
        <f>BM108/30*BL119</f>
        <v>0</v>
      </c>
      <c r="BM120" s="57">
        <f>ROUND(BO108*0.11/30*BM119,0)</f>
        <v>0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35316</v>
      </c>
      <c r="AU121" s="107">
        <v>35113.743999999999</v>
      </c>
      <c r="AV121" s="39">
        <f>ROUND(AW110/30*AV119,0)</f>
        <v>34237</v>
      </c>
      <c r="AW121" s="39">
        <f>ROUND(AX110/30*AW119,0)</f>
        <v>35249</v>
      </c>
      <c r="AX121" s="39">
        <f>ROUND(AY110/30*AX119,0)</f>
        <v>41735</v>
      </c>
      <c r="AY121" s="39">
        <f>ROUND(AZ110/30*AY119,0)</f>
        <v>47654</v>
      </c>
      <c r="AZ121" s="39">
        <f>ROUND(BB110/30*AZ119,0)</f>
        <v>62407</v>
      </c>
      <c r="BA121" s="215"/>
      <c r="BB121" s="57">
        <v>51225</v>
      </c>
      <c r="BC121" s="57">
        <v>52949</v>
      </c>
      <c r="BD121" s="57">
        <v>43610</v>
      </c>
      <c r="BE121" s="57">
        <v>44153</v>
      </c>
      <c r="BF121" s="57">
        <f>ROUND(BG110/30*BF119,0)</f>
        <v>40272</v>
      </c>
      <c r="BG121" s="57">
        <f>ROUND(BH114/30*BG119,0)</f>
        <v>34715</v>
      </c>
      <c r="BH121" s="57">
        <f>ROUND(BI110/30*BH119,0)</f>
        <v>0</v>
      </c>
      <c r="BI121" s="57">
        <f>ROUND(BJ110/30*BI119,0)</f>
        <v>0</v>
      </c>
      <c r="BJ121" s="57">
        <f>ROUND(BK110/30*BJ119,0)</f>
        <v>0</v>
      </c>
      <c r="BK121" s="57">
        <f>ROUND(BL110/30*BK119,0)</f>
        <v>0</v>
      </c>
      <c r="BL121" s="57">
        <f>ROUND(BM110/30*BL119,0)</f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-220943</v>
      </c>
      <c r="AV122" s="57">
        <f t="shared" ref="AV122:AZ123" si="76">-AU120</f>
        <v>-235978.39433302669</v>
      </c>
      <c r="AW122" s="57">
        <f t="shared" si="76"/>
        <v>-198321</v>
      </c>
      <c r="AX122" s="57">
        <f t="shared" si="76"/>
        <v>-216269</v>
      </c>
      <c r="AY122" s="57">
        <f t="shared" si="76"/>
        <v>-277725</v>
      </c>
      <c r="AZ122" s="57">
        <f t="shared" si="76"/>
        <v>-270745</v>
      </c>
      <c r="BA122" s="215"/>
      <c r="BB122" s="57">
        <v>-387115</v>
      </c>
      <c r="BC122" s="57">
        <v>-303616</v>
      </c>
      <c r="BD122" s="57">
        <v>-338986</v>
      </c>
      <c r="BE122" s="57">
        <v>-296906</v>
      </c>
      <c r="BF122" s="57">
        <f t="shared" ref="BF122:BM123" si="77">-BE120</f>
        <v>-293164</v>
      </c>
      <c r="BG122" s="57">
        <f t="shared" si="77"/>
        <v>-250946</v>
      </c>
      <c r="BH122" s="57">
        <v>0</v>
      </c>
      <c r="BI122" s="57">
        <f t="shared" si="77"/>
        <v>0</v>
      </c>
      <c r="BJ122" s="57">
        <f t="shared" si="77"/>
        <v>0</v>
      </c>
      <c r="BK122" s="57">
        <f t="shared" si="77"/>
        <v>0</v>
      </c>
      <c r="BL122" s="57">
        <f t="shared" si="77"/>
        <v>0</v>
      </c>
      <c r="BM122" s="57">
        <f t="shared" si="77"/>
        <v>0</v>
      </c>
      <c r="BN122" s="215"/>
      <c r="BO122" s="141">
        <f>-BM120</f>
        <v>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-35316</v>
      </c>
      <c r="AV123" s="57">
        <f t="shared" si="76"/>
        <v>-35113.743999999999</v>
      </c>
      <c r="AW123" s="57">
        <f t="shared" si="76"/>
        <v>-34237</v>
      </c>
      <c r="AX123" s="57">
        <f t="shared" si="76"/>
        <v>-35249</v>
      </c>
      <c r="AY123" s="57">
        <f t="shared" si="76"/>
        <v>-41735</v>
      </c>
      <c r="AZ123" s="57">
        <f t="shared" si="76"/>
        <v>-47654</v>
      </c>
      <c r="BA123" s="215"/>
      <c r="BB123" s="57">
        <v>-62407</v>
      </c>
      <c r="BC123" s="57">
        <v>-51225</v>
      </c>
      <c r="BD123" s="57">
        <v>-52949</v>
      </c>
      <c r="BE123" s="57">
        <v>-43610</v>
      </c>
      <c r="BF123" s="57">
        <f t="shared" si="77"/>
        <v>-44153</v>
      </c>
      <c r="BG123" s="57">
        <f t="shared" si="77"/>
        <v>-40272</v>
      </c>
      <c r="BH123" s="57">
        <v>0</v>
      </c>
      <c r="BI123" s="57">
        <f t="shared" si="77"/>
        <v>0</v>
      </c>
      <c r="BJ123" s="57">
        <f t="shared" si="77"/>
        <v>0</v>
      </c>
      <c r="BK123" s="57">
        <f t="shared" si="77"/>
        <v>0</v>
      </c>
      <c r="BL123" s="57">
        <f t="shared" si="77"/>
        <v>0</v>
      </c>
      <c r="BM123" s="57">
        <f t="shared" si="77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14833.138333026669</v>
      </c>
      <c r="AV124" s="344">
        <f t="shared" ref="AV124:AZ124" si="78">SUM(AV120:AV123)</f>
        <v>-38534.138333026691</v>
      </c>
      <c r="AW124" s="344">
        <f t="shared" si="78"/>
        <v>18960</v>
      </c>
      <c r="AX124" s="344">
        <f t="shared" si="78"/>
        <v>67942</v>
      </c>
      <c r="AY124" s="344">
        <f t="shared" si="78"/>
        <v>-1061</v>
      </c>
      <c r="AZ124" s="344">
        <f t="shared" si="78"/>
        <v>131123</v>
      </c>
      <c r="BA124" s="345"/>
      <c r="BB124" s="344">
        <v>-94681</v>
      </c>
      <c r="BC124" s="344">
        <v>37094</v>
      </c>
      <c r="BD124" s="344">
        <v>-51419</v>
      </c>
      <c r="BE124" s="344">
        <v>-3199</v>
      </c>
      <c r="BF124" s="344">
        <f t="shared" ref="BF124:BO124" si="79">SUM(BF120:BF123)</f>
        <v>-46099</v>
      </c>
      <c r="BG124" s="344">
        <f t="shared" si="79"/>
        <v>-47826</v>
      </c>
      <c r="BH124" s="344">
        <f t="shared" si="79"/>
        <v>0</v>
      </c>
      <c r="BI124" s="344">
        <f t="shared" si="79"/>
        <v>0</v>
      </c>
      <c r="BJ124" s="344">
        <f t="shared" si="79"/>
        <v>0</v>
      </c>
      <c r="BK124" s="344">
        <f t="shared" si="79"/>
        <v>0</v>
      </c>
      <c r="BL124" s="344">
        <f t="shared" si="79"/>
        <v>0</v>
      </c>
      <c r="BM124" s="344">
        <f t="shared" si="79"/>
        <v>0</v>
      </c>
      <c r="BN124" s="345"/>
      <c r="BO124" s="272">
        <f t="shared" si="79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21</v>
      </c>
      <c r="AV125" s="344">
        <f>AU125</f>
        <v>21</v>
      </c>
      <c r="AW125" s="344">
        <f>AV125</f>
        <v>21</v>
      </c>
      <c r="AX125" s="344">
        <f t="shared" ref="AX125:AZ125" si="80">AW125</f>
        <v>21</v>
      </c>
      <c r="AY125" s="344">
        <f t="shared" si="80"/>
        <v>21</v>
      </c>
      <c r="AZ125" s="344">
        <f t="shared" si="80"/>
        <v>21</v>
      </c>
      <c r="BA125" s="345"/>
      <c r="BB125" s="344">
        <v>21</v>
      </c>
      <c r="BC125" s="344">
        <v>21</v>
      </c>
      <c r="BD125" s="344">
        <v>21</v>
      </c>
      <c r="BE125" s="344">
        <v>21</v>
      </c>
      <c r="BF125" s="344">
        <f t="shared" ref="BF125:BM125" si="81">BE125</f>
        <v>21</v>
      </c>
      <c r="BG125" s="344">
        <f t="shared" si="81"/>
        <v>21</v>
      </c>
      <c r="BH125" s="344">
        <f t="shared" si="81"/>
        <v>21</v>
      </c>
      <c r="BI125" s="344">
        <f t="shared" si="81"/>
        <v>21</v>
      </c>
      <c r="BJ125" s="344">
        <f t="shared" si="81"/>
        <v>21</v>
      </c>
      <c r="BK125" s="344">
        <f t="shared" si="81"/>
        <v>21</v>
      </c>
      <c r="BL125" s="344">
        <f t="shared" si="81"/>
        <v>21</v>
      </c>
      <c r="BM125" s="344">
        <f t="shared" si="81"/>
        <v>21</v>
      </c>
      <c r="BN125" s="345"/>
      <c r="BO125" s="272">
        <f>BM125</f>
        <v>21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82">ROUND(AV112/30*AU125,0)</f>
        <v>0</v>
      </c>
      <c r="AV126" s="57">
        <f t="shared" si="82"/>
        <v>0</v>
      </c>
      <c r="AW126" s="57">
        <f t="shared" si="82"/>
        <v>0</v>
      </c>
      <c r="AX126" s="57">
        <f t="shared" si="82"/>
        <v>0</v>
      </c>
      <c r="AY126" s="57">
        <f t="shared" si="82"/>
        <v>0</v>
      </c>
      <c r="AZ126" s="57">
        <f t="shared" si="82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>BG112/30*BF125</f>
        <v>0</v>
      </c>
      <c r="BG126" s="57">
        <v>0</v>
      </c>
      <c r="BH126" s="57">
        <f>ROUND(BI112/30*BH125,0)</f>
        <v>201246</v>
      </c>
      <c r="BI126" s="57">
        <f>ROUND(BJ112/30*BI125,0)</f>
        <v>198940</v>
      </c>
      <c r="BJ126" s="57">
        <f>ROUND(BK112/30*BJ125,0)</f>
        <v>216965</v>
      </c>
      <c r="BK126" s="57">
        <f>ROUND(BL112/30*BK125,0)</f>
        <v>278623</v>
      </c>
      <c r="BL126" s="57">
        <f>ROUND(BM112/30*BL125,0)</f>
        <v>271615</v>
      </c>
      <c r="BM126" s="57">
        <f>ROUND(BO112*0.11/30*BM125,0)</f>
        <v>358276</v>
      </c>
      <c r="BN126" s="215"/>
      <c r="BO126" s="141">
        <v>359405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83">ROUND(AV114/30*AU125,0)</f>
        <v>0</v>
      </c>
      <c r="AV127" s="57">
        <f t="shared" si="83"/>
        <v>0</v>
      </c>
      <c r="AW127" s="57">
        <f t="shared" si="83"/>
        <v>0</v>
      </c>
      <c r="AX127" s="57">
        <f t="shared" si="83"/>
        <v>0</v>
      </c>
      <c r="AY127" s="57">
        <f t="shared" si="83"/>
        <v>0</v>
      </c>
      <c r="AZ127" s="57">
        <f t="shared" si="83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>ROUND(BG114/30*BF125,0)</f>
        <v>0</v>
      </c>
      <c r="BG127" s="57">
        <v>0</v>
      </c>
      <c r="BH127" s="57">
        <f>ROUND(BI114/30*BH125,0)</f>
        <v>42218</v>
      </c>
      <c r="BI127" s="57">
        <f>ROUND(BJ114/30*BI125,0)</f>
        <v>53724</v>
      </c>
      <c r="BJ127" s="57">
        <f>ROUND(BK114/30*BJ125,0)</f>
        <v>55246</v>
      </c>
      <c r="BK127" s="57">
        <f>ROUND(BL114/30*BK125,0)</f>
        <v>62416</v>
      </c>
      <c r="BL127" s="57">
        <f>ROUND(BM114/30*BL125,0)</f>
        <v>68025</v>
      </c>
      <c r="BM127" s="57">
        <f>ROUND(BO114*0.11/30*BM125,0)</f>
        <v>84283</v>
      </c>
      <c r="BN127" s="215"/>
      <c r="BO127" s="141">
        <v>94198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84">-AU126</f>
        <v>0</v>
      </c>
      <c r="AW128" s="57">
        <f t="shared" si="84"/>
        <v>0</v>
      </c>
      <c r="AX128" s="57">
        <f t="shared" si="84"/>
        <v>0</v>
      </c>
      <c r="AY128" s="57">
        <f t="shared" si="84"/>
        <v>0</v>
      </c>
      <c r="AZ128" s="57">
        <f t="shared" si="84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85">-BE126</f>
        <v>0</v>
      </c>
      <c r="BG128" s="57">
        <f t="shared" si="85"/>
        <v>0</v>
      </c>
      <c r="BH128" s="57">
        <f>-BG120</f>
        <v>-208677</v>
      </c>
      <c r="BI128" s="57">
        <f t="shared" si="85"/>
        <v>-201246</v>
      </c>
      <c r="BJ128" s="57">
        <f t="shared" si="85"/>
        <v>-198940</v>
      </c>
      <c r="BK128" s="57">
        <f t="shared" si="85"/>
        <v>-216965</v>
      </c>
      <c r="BL128" s="57">
        <f t="shared" si="85"/>
        <v>-278623</v>
      </c>
      <c r="BM128" s="57">
        <f t="shared" si="85"/>
        <v>-271615</v>
      </c>
      <c r="BN128" s="215"/>
      <c r="BO128" s="141">
        <f>-BM126</f>
        <v>-358276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84"/>
        <v>0</v>
      </c>
      <c r="AW129" s="57">
        <f t="shared" si="84"/>
        <v>0</v>
      </c>
      <c r="AX129" s="57">
        <f t="shared" si="84"/>
        <v>0</v>
      </c>
      <c r="AY129" s="57">
        <f t="shared" si="84"/>
        <v>0</v>
      </c>
      <c r="AZ129" s="57">
        <f t="shared" si="84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85"/>
        <v>0</v>
      </c>
      <c r="BG129" s="57">
        <f t="shared" si="85"/>
        <v>0</v>
      </c>
      <c r="BH129" s="57">
        <f>-BG121</f>
        <v>-34715</v>
      </c>
      <c r="BI129" s="57">
        <f t="shared" si="85"/>
        <v>-42218</v>
      </c>
      <c r="BJ129" s="57">
        <f t="shared" si="85"/>
        <v>-53724</v>
      </c>
      <c r="BK129" s="57">
        <f t="shared" si="85"/>
        <v>-55246</v>
      </c>
      <c r="BL129" s="57">
        <f t="shared" si="85"/>
        <v>-62416</v>
      </c>
      <c r="BM129" s="57">
        <f t="shared" si="85"/>
        <v>-68025</v>
      </c>
      <c r="BN129" s="215"/>
      <c r="BO129" s="141">
        <f>-BM127</f>
        <v>-84283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86">SUM(AV126:AV129)</f>
        <v>0</v>
      </c>
      <c r="AW130" s="344">
        <f t="shared" si="86"/>
        <v>0</v>
      </c>
      <c r="AX130" s="344">
        <f t="shared" si="86"/>
        <v>0</v>
      </c>
      <c r="AY130" s="344">
        <f t="shared" si="86"/>
        <v>0</v>
      </c>
      <c r="AZ130" s="344">
        <f t="shared" si="86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87">SUM(BF126:BF129)</f>
        <v>0</v>
      </c>
      <c r="BG130" s="344">
        <f t="shared" si="87"/>
        <v>0</v>
      </c>
      <c r="BH130" s="344">
        <f t="shared" si="87"/>
        <v>72</v>
      </c>
      <c r="BI130" s="344">
        <f t="shared" si="87"/>
        <v>9200</v>
      </c>
      <c r="BJ130" s="344">
        <f t="shared" si="87"/>
        <v>19547</v>
      </c>
      <c r="BK130" s="344">
        <f t="shared" si="87"/>
        <v>68828</v>
      </c>
      <c r="BL130" s="344">
        <f t="shared" si="87"/>
        <v>-1399</v>
      </c>
      <c r="BM130" s="344">
        <f t="shared" si="87"/>
        <v>102919</v>
      </c>
      <c r="BN130" s="345"/>
      <c r="BO130" s="272">
        <f t="shared" ref="BO130" si="88">SUM(BO126:BO129)</f>
        <v>11044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89">AU111+AU124</f>
        <v>362736.13833302667</v>
      </c>
      <c r="AV132" s="66">
        <f t="shared" si="89"/>
        <v>309482.86166697333</v>
      </c>
      <c r="AW132" s="66">
        <f t="shared" si="89"/>
        <v>354894</v>
      </c>
      <c r="AX132" s="66">
        <f t="shared" si="89"/>
        <v>430960</v>
      </c>
      <c r="AY132" s="66">
        <f t="shared" si="89"/>
        <v>459018</v>
      </c>
      <c r="AZ132" s="66">
        <f t="shared" si="89"/>
        <v>589687</v>
      </c>
      <c r="BA132" s="216">
        <f>SUM(AT132:AZ132)</f>
        <v>2506778</v>
      </c>
      <c r="BB132" s="66">
        <v>551202</v>
      </c>
      <c r="BC132" s="66">
        <v>547718</v>
      </c>
      <c r="BD132" s="66">
        <v>512197</v>
      </c>
      <c r="BE132" s="66">
        <v>486960</v>
      </c>
      <c r="BF132" s="66">
        <f t="shared" ref="BF132:BO132" si="90">BF111+BF124</f>
        <v>439491</v>
      </c>
      <c r="BG132" s="66">
        <f t="shared" si="90"/>
        <v>371907</v>
      </c>
      <c r="BH132" s="66">
        <f t="shared" si="90"/>
        <v>0</v>
      </c>
      <c r="BI132" s="66">
        <f t="shared" si="90"/>
        <v>0</v>
      </c>
      <c r="BJ132" s="66">
        <f t="shared" si="90"/>
        <v>0</v>
      </c>
      <c r="BK132" s="66">
        <f t="shared" si="90"/>
        <v>0</v>
      </c>
      <c r="BL132" s="66">
        <f t="shared" si="90"/>
        <v>0</v>
      </c>
      <c r="BM132" s="66">
        <f t="shared" si="90"/>
        <v>0</v>
      </c>
      <c r="BN132" s="216">
        <f t="shared" si="90"/>
        <v>3115605</v>
      </c>
      <c r="BO132" s="185">
        <f t="shared" si="90"/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  <row r="134" spans="1:67">
      <c r="AN134" s="3"/>
    </row>
    <row r="135" spans="1:67">
      <c r="AN135" s="3"/>
    </row>
    <row r="136" spans="1:67">
      <c r="AN136" s="3"/>
    </row>
    <row r="137" spans="1:67">
      <c r="AN137" s="3"/>
    </row>
  </sheetData>
  <conditionalFormatting sqref="BN11">
    <cfRule type="cellIs" dxfId="34" priority="5" operator="lessThan">
      <formula>0</formula>
    </cfRule>
  </conditionalFormatting>
  <conditionalFormatting sqref="BN58">
    <cfRule type="cellIs" dxfId="33" priority="4" operator="lessThan">
      <formula>0</formula>
    </cfRule>
  </conditionalFormatting>
  <conditionalFormatting sqref="BN78">
    <cfRule type="cellIs" dxfId="32" priority="3" operator="lessThan">
      <formula>0</formula>
    </cfRule>
  </conditionalFormatting>
  <conditionalFormatting sqref="BN62">
    <cfRule type="cellIs" dxfId="31" priority="2" operator="lessThan">
      <formula>0</formula>
    </cfRule>
  </conditionalFormatting>
  <conditionalFormatting sqref="BN19">
    <cfRule type="cellIs" dxfId="30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S133"/>
  <sheetViews>
    <sheetView zoomScale="80" zoomScaleNormal="80" workbookViewId="0">
      <selection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7" width="12" hidden="1" customWidth="1" outlineLevel="1"/>
    <col min="8" max="8" width="12.42578125" hidden="1" customWidth="1" outlineLevel="1"/>
    <col min="9" max="9" width="11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1" width="12.42578125" hidden="1" customWidth="1" outlineLevel="1"/>
    <col min="22" max="22" width="12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2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1" width="15.42578125" hidden="1" customWidth="1" outlineLevel="1"/>
    <col min="42" max="42" width="15.140625" hidden="1" customWidth="1" outlineLevel="1"/>
    <col min="43" max="43" width="15.42578125" hidden="1" customWidth="1" outlineLevel="1"/>
    <col min="44" max="44" width="15.28515625" hidden="1" customWidth="1" outlineLevel="1"/>
    <col min="45" max="46" width="15.425781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9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9.7109375" style="3" bestFit="1" customWidth="1" collapsed="1"/>
    <col min="67" max="67" width="15.42578125" customWidth="1"/>
    <col min="69" max="69" width="11.140625" bestFit="1" customWidth="1"/>
    <col min="70" max="70" width="11.5703125" bestFit="1" customWidth="1"/>
  </cols>
  <sheetData>
    <row r="1" spans="1:68">
      <c r="A1" s="198" t="s">
        <v>0</v>
      </c>
    </row>
    <row r="2" spans="1:68" ht="15" thickBot="1">
      <c r="A2" s="198" t="s">
        <v>204</v>
      </c>
      <c r="AS2" s="37"/>
      <c r="BF2" s="37" t="s">
        <v>205</v>
      </c>
      <c r="BO2" s="134"/>
    </row>
    <row r="3" spans="1:68" ht="15" thickBot="1">
      <c r="A3" s="198" t="s">
        <v>240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8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8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18" t="s">
        <v>36</v>
      </c>
      <c r="AP5" s="519" t="s">
        <v>37</v>
      </c>
      <c r="AQ5" s="519" t="s">
        <v>38</v>
      </c>
      <c r="AR5" s="519" t="s">
        <v>39</v>
      </c>
      <c r="AS5" s="519" t="s">
        <v>40</v>
      </c>
      <c r="AT5" s="519" t="s">
        <v>41</v>
      </c>
      <c r="AU5" s="519" t="s">
        <v>42</v>
      </c>
      <c r="AV5" s="519" t="s">
        <v>43</v>
      </c>
      <c r="AW5" s="519" t="s">
        <v>44</v>
      </c>
      <c r="AX5" s="519" t="s">
        <v>45</v>
      </c>
      <c r="AY5" s="519" t="s">
        <v>46</v>
      </c>
      <c r="AZ5" s="519" t="s">
        <v>47</v>
      </c>
      <c r="BA5" s="531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8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8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48"/>
      <c r="AP7" s="149"/>
      <c r="AQ7" s="149"/>
      <c r="AR7" s="149"/>
      <c r="AS7" s="149"/>
      <c r="AT7" s="107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8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8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8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8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8" ht="15" thickTop="1">
      <c r="A12" s="374" t="s">
        <v>54</v>
      </c>
      <c r="B12" s="129">
        <f>IF('kWh_Streetlight Data'!C139=0,"",'kWh_Streetlight Data'!C139)</f>
        <v>2140.3333333333335</v>
      </c>
      <c r="C12" s="108">
        <f>IF('kWh_Streetlight Data'!D139=0,"",'kWh_Streetlight Data'!D139)</f>
        <v>2012.5</v>
      </c>
      <c r="D12" s="108">
        <f>IF('kWh_Streetlight Data'!E139=0,"",'kWh_Streetlight Data'!E139)</f>
        <v>1585.5</v>
      </c>
      <c r="E12" s="108">
        <f>IF('kWh_Streetlight Data'!F139=0,"",'kWh_Streetlight Data'!F139)</f>
        <v>1571.3333333333333</v>
      </c>
      <c r="F12" s="108">
        <f>IF('kWh_Streetlight Data'!G139=0,"",'kWh_Streetlight Data'!G139)</f>
        <v>1317.1666666666667</v>
      </c>
      <c r="G12" s="108">
        <f>IF('kWh_Streetlight Data'!H139=0,"",'kWh_Streetlight Data'!H139)</f>
        <v>1198.1666666666667</v>
      </c>
      <c r="H12" s="108">
        <f>IF('kWh_Streetlight Data'!I139=0,"",'kWh_Streetlight Data'!I139)</f>
        <v>959.83333333333337</v>
      </c>
      <c r="I12" s="108">
        <f>IF('kWh_Streetlight Data'!J139=0,"",'kWh_Streetlight Data'!J139)</f>
        <v>854.16666666666663</v>
      </c>
      <c r="J12" s="108">
        <f>IF('kWh_Streetlight Data'!K139=0,"",'kWh_Streetlight Data'!K139)</f>
        <v>829.5</v>
      </c>
      <c r="K12" s="108">
        <f>IF('kWh_Streetlight Data'!L139=0,"",'kWh_Streetlight Data'!L139)</f>
        <v>1029.6666666666667</v>
      </c>
      <c r="L12" s="108">
        <f>IF('kWh_Streetlight Data'!M139=0,"",'kWh_Streetlight Data'!M139)</f>
        <v>2116.6666666666665</v>
      </c>
      <c r="M12" s="108">
        <f>IF('kWh_Streetlight Data'!N139=0,"",'kWh_Streetlight Data'!N139)</f>
        <v>2279.8333333333335</v>
      </c>
      <c r="N12" s="424">
        <f>IF('kWh_Streetlight Data'!O139=0,"",'kWh_Streetlight Data'!O139)</f>
        <v>1491.2222222222222</v>
      </c>
      <c r="O12" s="84">
        <f>IF('kWh_Streetlight Data'!P139=0,"",'kWh_Streetlight Data'!P139)</f>
        <v>2552.1666666666665</v>
      </c>
      <c r="P12" s="108">
        <f>IF('kWh_Streetlight Data'!Q139=0,"",'kWh_Streetlight Data'!Q139)</f>
        <v>2343.3333333333335</v>
      </c>
      <c r="Q12" s="108">
        <f>IF('kWh_Streetlight Data'!R139=0,"",'kWh_Streetlight Data'!R139)</f>
        <v>1363.1666666666667</v>
      </c>
      <c r="R12" s="108">
        <f>IF('kWh_Streetlight Data'!S139=0,"",'kWh_Streetlight Data'!S139)</f>
        <v>1402.75</v>
      </c>
      <c r="S12" s="108">
        <f>IF('kWh_Streetlight Data'!T139=0,"",'kWh_Streetlight Data'!T139)</f>
        <v>2380.6666666666665</v>
      </c>
      <c r="T12" s="108">
        <f>IF('kWh_Streetlight Data'!U139=0,"",'kWh_Streetlight Data'!U139)</f>
        <v>1229.3333333333333</v>
      </c>
      <c r="U12" s="108">
        <f>IF('kWh_Streetlight Data'!V139=0,"",'kWh_Streetlight Data'!V139)</f>
        <v>1203.3333333333333</v>
      </c>
      <c r="V12" s="108">
        <f>IF('kWh_Streetlight Data'!W139=0,"",'kWh_Streetlight Data'!W139)</f>
        <v>726</v>
      </c>
      <c r="W12" s="108">
        <f>IF('kWh_Streetlight Data'!X139=0,"",'kWh_Streetlight Data'!X139)</f>
        <v>975.66666666666663</v>
      </c>
      <c r="X12" s="108">
        <f>IF('kWh_Streetlight Data'!Y139=0,"",'kWh_Streetlight Data'!Y139)</f>
        <v>938.5</v>
      </c>
      <c r="Y12" s="108">
        <f>IF('kWh_Streetlight Data'!Z139=0,"",'kWh_Streetlight Data'!Z139)</f>
        <v>1402.8333333333333</v>
      </c>
      <c r="Z12" s="108">
        <f>IF('kWh_Streetlight Data'!AA139=0,"",'kWh_Streetlight Data'!AA139)</f>
        <v>1657.5</v>
      </c>
      <c r="AA12" s="424">
        <f>IF('kWh_Streetlight Data'!AB139=0,"",'kWh_Streetlight Data'!AB139)</f>
        <v>1511.581081081081</v>
      </c>
      <c r="AB12" s="129">
        <f>IF('kWh_Streetlight Data'!AC139=0,"",'kWh_Streetlight Data'!AC139)</f>
        <v>2304.6666666666665</v>
      </c>
      <c r="AC12" s="130">
        <f>IF('kWh_Streetlight Data'!AD139=0,"",'kWh_Streetlight Data'!AD139)</f>
        <v>1975.6666666666667</v>
      </c>
      <c r="AD12" s="130">
        <f>IF('kWh_Streetlight Data'!AE139=0,"",'kWh_Streetlight Data'!AE139)</f>
        <v>1766.3333333333333</v>
      </c>
      <c r="AE12" s="130">
        <f>IF('kWh_Streetlight Data'!AF139=0,"",'kWh_Streetlight Data'!AF139)</f>
        <v>2122.6</v>
      </c>
      <c r="AF12" s="130">
        <f>IF('kWh_Streetlight Data'!AG139=0,"",'kWh_Streetlight Data'!AG139)</f>
        <v>1433.6</v>
      </c>
      <c r="AG12" s="130">
        <f>IF('kWh_Streetlight Data'!AH139=0,"",'kWh_Streetlight Data'!AH139)</f>
        <v>999.5</v>
      </c>
      <c r="AH12" s="130">
        <f>IF('kWh_Streetlight Data'!AI139=0,"",'kWh_Streetlight Data'!AI139)</f>
        <v>751.83333333333337</v>
      </c>
      <c r="AI12" s="130">
        <f>IF('kWh_Streetlight Data'!AJ139=0,"",'kWh_Streetlight Data'!AJ139)</f>
        <v>863.5</v>
      </c>
      <c r="AJ12" s="130">
        <f>IF('kWh_Streetlight Data'!AK139=0,"",'kWh_Streetlight Data'!AK139)</f>
        <v>865.33333333333337</v>
      </c>
      <c r="AK12" s="130">
        <f>IF('kWh_Streetlight Data'!AL139=0,"",'kWh_Streetlight Data'!AL139)</f>
        <v>1152.5</v>
      </c>
      <c r="AL12" s="130">
        <f>IF('kWh_Streetlight Data'!AM139=0,"",'kWh_Streetlight Data'!AM139)</f>
        <v>1614.3333333333333</v>
      </c>
      <c r="AM12" s="130">
        <f>IF('kWh_Streetlight Data'!AN139=0,"",'kWh_Streetlight Data'!AN139)</f>
        <v>1774.1666666666667</v>
      </c>
      <c r="AN12" s="426">
        <f>IF('kWh_Streetlight Data'!AO139=0,"",'kWh_Streetlight Data'!AO139)</f>
        <v>1459.8285714285714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8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8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22"/>
      <c r="BL14" s="22"/>
      <c r="BM14" s="22"/>
      <c r="BN14" s="209"/>
      <c r="BO14" s="7"/>
    </row>
    <row r="15" spans="1:68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48"/>
      <c r="AP15" s="149"/>
      <c r="AQ15" s="149"/>
      <c r="AR15" s="149"/>
      <c r="AS15" s="149"/>
      <c r="AT15" s="107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>
        <f>Customers!L250</f>
        <v>13</v>
      </c>
    </row>
    <row r="16" spans="1:68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9"/>
      <c r="BJ16" s="39"/>
      <c r="BK16" s="38"/>
      <c r="BL16" s="38"/>
      <c r="BM16" s="38"/>
      <c r="BN16" s="210"/>
      <c r="BO16" s="143">
        <f>ROUND(BO$19*'kWh Blocks by Rate Category'!W15,0)</f>
        <v>83040</v>
      </c>
      <c r="BP16" t="s">
        <v>2</v>
      </c>
    </row>
    <row r="17" spans="1:71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9"/>
      <c r="BJ17" s="39"/>
      <c r="BK17" s="38"/>
      <c r="BL17" s="38"/>
      <c r="BM17" s="38"/>
      <c r="BN17" s="210"/>
      <c r="BO17" s="143">
        <f>ROUND(BO$19*'kWh Blocks by Rate Category'!W16,0)</f>
        <v>44248</v>
      </c>
    </row>
    <row r="18" spans="1:71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9"/>
      <c r="BJ18" s="39"/>
      <c r="BK18" s="38"/>
      <c r="BL18" s="38"/>
      <c r="BM18" s="38"/>
      <c r="BN18" s="210"/>
      <c r="BO18" s="143">
        <f>ROUND(BO$19*'kWh Blocks by Rate Category'!W17,0)</f>
        <v>8437</v>
      </c>
      <c r="BR18" t="s">
        <v>232</v>
      </c>
    </row>
    <row r="19" spans="1:71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88">
        <f>IFERROR(ROUND(BO20*BO15/12*$BR$19,0),0)</f>
        <v>135725</v>
      </c>
      <c r="BR19">
        <v>7</v>
      </c>
      <c r="BS19" t="s">
        <v>233</v>
      </c>
    </row>
    <row r="20" spans="1:71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Oba!BO12</f>
        <v>17897.833333333332</v>
      </c>
    </row>
    <row r="21" spans="1:71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1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71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71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71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71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1" ht="15" thickTop="1">
      <c r="A27" s="374" t="s">
        <v>54</v>
      </c>
      <c r="B27" s="129">
        <f>IF('kWh_Streetlight Data'!C140=0,"",'kWh_Streetlight Data'!C140)</f>
        <v>758</v>
      </c>
      <c r="C27" s="108" t="str">
        <f>IF('kWh_Streetlight Data'!D140=0,"",'kWh_Streetlight Data'!D140)</f>
        <v/>
      </c>
      <c r="D27" s="108" t="str">
        <f>IF('kWh_Streetlight Data'!E140=0,"",'kWh_Streetlight Data'!E140)</f>
        <v/>
      </c>
      <c r="E27" s="108">
        <f>IF('kWh_Streetlight Data'!F140=0,"",'kWh_Streetlight Data'!F140)</f>
        <v>1242.7777777777778</v>
      </c>
      <c r="F27" s="108" t="str">
        <f>IF('kWh_Streetlight Data'!G140=0,"",'kWh_Streetlight Data'!G140)</f>
        <v/>
      </c>
      <c r="G27" s="108" t="str">
        <f>IF('kWh_Streetlight Data'!H140=0,"",'kWh_Streetlight Data'!H140)</f>
        <v/>
      </c>
      <c r="H27" s="108">
        <f>IF('kWh_Streetlight Data'!I140=0,"",'kWh_Streetlight Data'!I140)</f>
        <v>1040</v>
      </c>
      <c r="I27" s="108" t="str">
        <f>IF('kWh_Streetlight Data'!J140=0,"",'kWh_Streetlight Data'!J140)</f>
        <v/>
      </c>
      <c r="J27" s="108" t="str">
        <f>IF('kWh_Streetlight Data'!K140=0,"",'kWh_Streetlight Data'!K140)</f>
        <v/>
      </c>
      <c r="K27" s="108">
        <f>IF('kWh_Streetlight Data'!L140=0,"",'kWh_Streetlight Data'!L140)</f>
        <v>714.10526315789468</v>
      </c>
      <c r="L27" s="108" t="str">
        <f>IF('kWh_Streetlight Data'!M140=0,"",'kWh_Streetlight Data'!M140)</f>
        <v/>
      </c>
      <c r="M27" s="108" t="str">
        <f>IF('kWh_Streetlight Data'!N140=0,"",'kWh_Streetlight Data'!N140)</f>
        <v/>
      </c>
      <c r="N27" s="424">
        <f>IF('kWh_Streetlight Data'!O140=0,"",'kWh_Streetlight Data'!O140)</f>
        <v>742.2166666666667</v>
      </c>
      <c r="O27" s="84">
        <f>IF('kWh_Streetlight Data'!P140=0,"",'kWh_Streetlight Data'!P140)</f>
        <v>702.90909090909088</v>
      </c>
      <c r="P27" s="108" t="str">
        <f>IF('kWh_Streetlight Data'!Q140=0,"",'kWh_Streetlight Data'!Q140)</f>
        <v/>
      </c>
      <c r="Q27" s="108" t="str">
        <f>IF('kWh_Streetlight Data'!R140=0,"",'kWh_Streetlight Data'!R140)</f>
        <v/>
      </c>
      <c r="R27" s="108">
        <f>IF('kWh_Streetlight Data'!S140=0,"",'kWh_Streetlight Data'!S140)</f>
        <v>297.57142857142856</v>
      </c>
      <c r="S27" s="108" t="str">
        <f>IF('kWh_Streetlight Data'!T140=0,"",'kWh_Streetlight Data'!T140)</f>
        <v/>
      </c>
      <c r="T27" s="108" t="str">
        <f>IF('kWh_Streetlight Data'!U140=0,"",'kWh_Streetlight Data'!U140)</f>
        <v/>
      </c>
      <c r="U27" s="108">
        <f>IF('kWh_Streetlight Data'!V140=0,"",'kWh_Streetlight Data'!V140)</f>
        <v>758.57142857142856</v>
      </c>
      <c r="V27" s="108" t="str">
        <f>IF('kWh_Streetlight Data'!W140=0,"",'kWh_Streetlight Data'!W140)</f>
        <v/>
      </c>
      <c r="W27" s="108" t="str">
        <f>IF('kWh_Streetlight Data'!X140=0,"",'kWh_Streetlight Data'!X140)</f>
        <v/>
      </c>
      <c r="X27" s="108">
        <f>IF('kWh_Streetlight Data'!Y140=0,"",'kWh_Streetlight Data'!Y140)</f>
        <v>470.55555555555554</v>
      </c>
      <c r="Y27" s="108" t="str">
        <f>IF('kWh_Streetlight Data'!Z140=0,"",'kWh_Streetlight Data'!Z140)</f>
        <v/>
      </c>
      <c r="Z27" s="108" t="str">
        <f>IF('kWh_Streetlight Data'!AA140=0,"",'kWh_Streetlight Data'!AA140)</f>
        <v/>
      </c>
      <c r="AA27" s="424">
        <f>IF('kWh_Streetlight Data'!AB140=0,"",'kWh_Streetlight Data'!AB140)</f>
        <v>530.9636363636364</v>
      </c>
      <c r="AB27" s="129" t="str">
        <f>IF('kWh_Streetlight Data'!AC140=0,"",'kWh_Streetlight Data'!AC140)</f>
        <v/>
      </c>
      <c r="AC27" s="130" t="str">
        <f>IF('kWh_Streetlight Data'!AD140=0,"",'kWh_Streetlight Data'!AD140)</f>
        <v/>
      </c>
      <c r="AD27" s="130" t="str">
        <f>IF('kWh_Streetlight Data'!AE140=0,"",'kWh_Streetlight Data'!AE140)</f>
        <v/>
      </c>
      <c r="AE27" s="130">
        <f>IF('kWh_Streetlight Data'!AF140=0,"",'kWh_Streetlight Data'!AF140)</f>
        <v>432</v>
      </c>
      <c r="AF27" s="130" t="str">
        <f>IF('kWh_Streetlight Data'!AG140=0,"",'kWh_Streetlight Data'!AG140)</f>
        <v/>
      </c>
      <c r="AG27" s="130" t="str">
        <f>IF('kWh_Streetlight Data'!AH140=0,"",'kWh_Streetlight Data'!AH140)</f>
        <v/>
      </c>
      <c r="AH27" s="130">
        <f>IF('kWh_Streetlight Data'!AI140=0,"",'kWh_Streetlight Data'!AI140)</f>
        <v>834.35714285714289</v>
      </c>
      <c r="AI27" s="130" t="str">
        <f>IF('kWh_Streetlight Data'!AJ140=0,"",'kWh_Streetlight Data'!AJ140)</f>
        <v/>
      </c>
      <c r="AJ27" s="130" t="str">
        <f>IF('kWh_Streetlight Data'!AK140=0,"",'kWh_Streetlight Data'!AK140)</f>
        <v/>
      </c>
      <c r="AK27" s="130">
        <f>IF('kWh_Streetlight Data'!AL140=0,"",'kWh_Streetlight Data'!AL140)</f>
        <v>652.5454545454545</v>
      </c>
      <c r="AL27" s="130" t="str">
        <f>IF('kWh_Streetlight Data'!AM140=0,"",'kWh_Streetlight Data'!AM140)</f>
        <v/>
      </c>
      <c r="AM27" s="130" t="str">
        <f>IF('kWh_Streetlight Data'!AN140=0,"",'kWh_Streetlight Data'!AN140)</f>
        <v/>
      </c>
      <c r="AN27" s="426">
        <f>IF('kWh_Streetlight Data'!AO140=0,"",'kWh_Streetlight Data'!AO140)</f>
        <v>605.28947368421052</v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71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1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71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71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71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129">
        <f>IF('kWh_Streetlight Data'!C141=0,"",'kWh_Streetlight Data'!C141)</f>
        <v>1619.8</v>
      </c>
      <c r="C34" s="108">
        <f>IF('kWh_Streetlight Data'!D141=0,"",'kWh_Streetlight Data'!D141)</f>
        <v>1645.2</v>
      </c>
      <c r="D34" s="108">
        <f>IF('kWh_Streetlight Data'!E141=0,"",'kWh_Streetlight Data'!E141)</f>
        <v>1263.5999999999999</v>
      </c>
      <c r="E34" s="108">
        <f>IF('kWh_Streetlight Data'!F141=0,"",'kWh_Streetlight Data'!F141)</f>
        <v>1359.8</v>
      </c>
      <c r="F34" s="108">
        <f>IF('kWh_Streetlight Data'!G141=0,"",'kWh_Streetlight Data'!G141)</f>
        <v>1047.5999999999999</v>
      </c>
      <c r="G34" s="108">
        <f>IF('kWh_Streetlight Data'!H141=0,"",'kWh_Streetlight Data'!H141)</f>
        <v>1161.5999999999999</v>
      </c>
      <c r="H34" s="108">
        <f>IF('kWh_Streetlight Data'!I141=0,"",'kWh_Streetlight Data'!I141)</f>
        <v>1043.2</v>
      </c>
      <c r="I34" s="108">
        <f>IF('kWh_Streetlight Data'!J141=0,"",'kWh_Streetlight Data'!J141)</f>
        <v>1162.5999999999999</v>
      </c>
      <c r="J34" s="108">
        <f>IF('kWh_Streetlight Data'!K141=0,"",'kWh_Streetlight Data'!K141)</f>
        <v>1131.4000000000001</v>
      </c>
      <c r="K34" s="108">
        <f>IF('kWh_Streetlight Data'!L141=0,"",'kWh_Streetlight Data'!L141)</f>
        <v>1044.2</v>
      </c>
      <c r="L34" s="108">
        <f>IF('kWh_Streetlight Data'!M141=0,"",'kWh_Streetlight Data'!M141)</f>
        <v>1273.8</v>
      </c>
      <c r="M34" s="108">
        <f>IF('kWh_Streetlight Data'!N141=0,"",'kWh_Streetlight Data'!N141)</f>
        <v>1598.8</v>
      </c>
      <c r="N34" s="424">
        <f>IF('kWh_Streetlight Data'!O141=0,"",'kWh_Streetlight Data'!O141)</f>
        <v>1279.3</v>
      </c>
      <c r="O34" s="84">
        <f>IF('kWh_Streetlight Data'!P141=0,"",'kWh_Streetlight Data'!P141)</f>
        <v>1959</v>
      </c>
      <c r="P34" s="108">
        <f>IF('kWh_Streetlight Data'!Q141=0,"",'kWh_Streetlight Data'!Q141)</f>
        <v>1703.6</v>
      </c>
      <c r="Q34" s="108">
        <f>IF('kWh_Streetlight Data'!R141=0,"",'kWh_Streetlight Data'!R141)</f>
        <v>1269.2</v>
      </c>
      <c r="R34" s="108">
        <f>IF('kWh_Streetlight Data'!S141=0,"",'kWh_Streetlight Data'!S141)</f>
        <v>1480.8</v>
      </c>
      <c r="S34" s="108">
        <f>IF('kWh_Streetlight Data'!T141=0,"",'kWh_Streetlight Data'!T141)</f>
        <v>1811.8</v>
      </c>
      <c r="T34" s="108">
        <f>IF('kWh_Streetlight Data'!U141=0,"",'kWh_Streetlight Data'!U141)</f>
        <v>1241.5999999999999</v>
      </c>
      <c r="U34" s="108">
        <f>IF('kWh_Streetlight Data'!V141=0,"",'kWh_Streetlight Data'!V141)</f>
        <v>1600.8</v>
      </c>
      <c r="V34" s="108">
        <f>IF('kWh_Streetlight Data'!W141=0,"",'kWh_Streetlight Data'!W141)</f>
        <v>1816</v>
      </c>
      <c r="W34" s="108">
        <f>IF('kWh_Streetlight Data'!X141=0,"",'kWh_Streetlight Data'!X141)</f>
        <v>1791.8</v>
      </c>
      <c r="X34" s="108">
        <f>IF('kWh_Streetlight Data'!Y141=0,"",'kWh_Streetlight Data'!Y141)</f>
        <v>1368.2</v>
      </c>
      <c r="Y34" s="108">
        <f>IF('kWh_Streetlight Data'!Z141=0,"",'kWh_Streetlight Data'!Z141)</f>
        <v>1458.8</v>
      </c>
      <c r="Z34" s="108">
        <f>IF('kWh_Streetlight Data'!AA141=0,"",'kWh_Streetlight Data'!AA141)</f>
        <v>1650.6</v>
      </c>
      <c r="AA34" s="424">
        <f>IF('kWh_Streetlight Data'!AB141=0,"",'kWh_Streetlight Data'!AB141)</f>
        <v>1596.0166666666667</v>
      </c>
      <c r="AB34" s="129">
        <f>IF('kWh_Streetlight Data'!AC141=0,"",'kWh_Streetlight Data'!AC141)</f>
        <v>2546.4</v>
      </c>
      <c r="AC34" s="130">
        <f>IF('kWh_Streetlight Data'!AD141=0,"",'kWh_Streetlight Data'!AD141)</f>
        <v>2194</v>
      </c>
      <c r="AD34" s="130">
        <f>IF('kWh_Streetlight Data'!AE141=0,"",'kWh_Streetlight Data'!AE141)</f>
        <v>2155</v>
      </c>
      <c r="AE34" s="130">
        <f>IF('kWh_Streetlight Data'!AF141=0,"",'kWh_Streetlight Data'!AF141)</f>
        <v>2435.8000000000002</v>
      </c>
      <c r="AF34" s="130">
        <f>IF('kWh_Streetlight Data'!AG141=0,"",'kWh_Streetlight Data'!AG141)</f>
        <v>1761.6</v>
      </c>
      <c r="AG34" s="130">
        <f>IF('kWh_Streetlight Data'!AH141=0,"",'kWh_Streetlight Data'!AH141)</f>
        <v>1438.2</v>
      </c>
      <c r="AH34" s="130">
        <f>IF('kWh_Streetlight Data'!AI141=0,"",'kWh_Streetlight Data'!AI141)</f>
        <v>1006.4</v>
      </c>
      <c r="AI34" s="130">
        <f>IF('kWh_Streetlight Data'!AJ141=0,"",'kWh_Streetlight Data'!AJ141)</f>
        <v>1548</v>
      </c>
      <c r="AJ34" s="130">
        <f>IF('kWh_Streetlight Data'!AK141=0,"",'kWh_Streetlight Data'!AK141)</f>
        <v>1044.8</v>
      </c>
      <c r="AK34" s="130">
        <f>IF('kWh_Streetlight Data'!AL141=0,"",'kWh_Streetlight Data'!AL141)</f>
        <v>1330.4</v>
      </c>
      <c r="AL34" s="130">
        <f>IF('kWh_Streetlight Data'!AM141=0,"",'kWh_Streetlight Data'!AM141)</f>
        <v>1331.6</v>
      </c>
      <c r="AM34" s="130">
        <f>IF('kWh_Streetlight Data'!AN141=0,"",'kWh_Streetlight Data'!AN141)</f>
        <v>1380.4</v>
      </c>
      <c r="AN34" s="426">
        <f>IF('kWh_Streetlight Data'!AO141=0,"",'kWh_Streetlight Data'!AO141)</f>
        <v>1681.05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48"/>
      <c r="AP36" s="149"/>
      <c r="AQ36" s="149"/>
      <c r="AR36" s="149"/>
      <c r="AS36" s="149"/>
      <c r="AT36" s="107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>
        <f>Customers!L251</f>
        <v>6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9"/>
      <c r="BJ37" s="39"/>
      <c r="BK37" s="38"/>
      <c r="BL37" s="38"/>
      <c r="BM37" s="38"/>
      <c r="BN37" s="210"/>
      <c r="BO37" s="143">
        <f>ROUND(BO$40*'kWh Blocks by Rate Category'!W36,0)</f>
        <v>58243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9"/>
      <c r="BJ38" s="39"/>
      <c r="BK38" s="38"/>
      <c r="BL38" s="38"/>
      <c r="BM38" s="38"/>
      <c r="BN38" s="210"/>
      <c r="BO38" s="143">
        <f>ROUND(BO$40*'kWh Blocks by Rate Category'!W37,0)</f>
        <v>5546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9"/>
      <c r="BJ39" s="39"/>
      <c r="BK39" s="38"/>
      <c r="BL39" s="38"/>
      <c r="BM39" s="38"/>
      <c r="BN39" s="210"/>
      <c r="BO39" s="143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88">
        <f>IFERROR(ROUND(BO41*BO36/12*$BR$19,0),0)</f>
        <v>63789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Oba!BO34</f>
        <v>18225.400000000001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 t="str">
        <f>IF('kWh_Streetlight Data'!C142=0,"",'kWh_Streetlight Data'!C142)</f>
        <v/>
      </c>
      <c r="C48" s="130" t="str">
        <f>IF('kWh_Streetlight Data'!D142=0,"",'kWh_Streetlight Data'!D142)</f>
        <v/>
      </c>
      <c r="D48" s="130" t="str">
        <f>IF('kWh_Streetlight Data'!E142=0,"",'kWh_Streetlight Data'!E142)</f>
        <v/>
      </c>
      <c r="E48" s="130" t="str">
        <f>IF('kWh_Streetlight Data'!F142=0,"",'kWh_Streetlight Data'!F142)</f>
        <v/>
      </c>
      <c r="F48" s="130" t="str">
        <f>IF('kWh_Streetlight Data'!G142=0,"",'kWh_Streetlight Data'!G142)</f>
        <v/>
      </c>
      <c r="G48" s="130" t="str">
        <f>IF('kWh_Streetlight Data'!H142=0,"",'kWh_Streetlight Data'!H142)</f>
        <v/>
      </c>
      <c r="H48" s="130" t="str">
        <f>IF('kWh_Streetlight Data'!I142=0,"",'kWh_Streetlight Data'!I142)</f>
        <v/>
      </c>
      <c r="I48" s="130" t="str">
        <f>IF('kWh_Streetlight Data'!J142=0,"",'kWh_Streetlight Data'!J142)</f>
        <v/>
      </c>
      <c r="J48" s="130" t="str">
        <f>IF('kWh_Streetlight Data'!K142=0,"",'kWh_Streetlight Data'!K142)</f>
        <v/>
      </c>
      <c r="K48" s="130" t="str">
        <f>IF('kWh_Streetlight Data'!L142=0,"",'kWh_Streetlight Data'!L142)</f>
        <v/>
      </c>
      <c r="L48" s="130" t="str">
        <f>IF('kWh_Streetlight Data'!M142=0,"",'kWh_Streetlight Data'!M142)</f>
        <v/>
      </c>
      <c r="M48" s="130" t="str">
        <f>IF('kWh_Streetlight Data'!N142=0,"",'kWh_Streetlight Data'!N142)</f>
        <v/>
      </c>
      <c r="N48" s="424" t="str">
        <f>IF('kWh_Streetlight Data'!O142=0,"",'kWh_Streetlight Data'!O142)</f>
        <v/>
      </c>
      <c r="O48" s="129" t="str">
        <f>IF('kWh_Streetlight Data'!P142=0,"",'kWh_Streetlight Data'!P142)</f>
        <v/>
      </c>
      <c r="P48" s="130" t="str">
        <f>IF('kWh_Streetlight Data'!Q142=0,"",'kWh_Streetlight Data'!Q142)</f>
        <v/>
      </c>
      <c r="Q48" s="130" t="str">
        <f>IF('kWh_Streetlight Data'!R142=0,"",'kWh_Streetlight Data'!R142)</f>
        <v/>
      </c>
      <c r="R48" s="130" t="str">
        <f>IF('kWh_Streetlight Data'!S142=0,"",'kWh_Streetlight Data'!S142)</f>
        <v/>
      </c>
      <c r="S48" s="130" t="str">
        <f>IF('kWh_Streetlight Data'!T142=0,"",'kWh_Streetlight Data'!T142)</f>
        <v/>
      </c>
      <c r="T48" s="130" t="str">
        <f>IF('kWh_Streetlight Data'!U142=0,"",'kWh_Streetlight Data'!U142)</f>
        <v/>
      </c>
      <c r="U48" s="130" t="str">
        <f>IF('kWh_Streetlight Data'!V142=0,"",'kWh_Streetlight Data'!V142)</f>
        <v/>
      </c>
      <c r="V48" s="130" t="str">
        <f>IF('kWh_Streetlight Data'!W142=0,"",'kWh_Streetlight Data'!W142)</f>
        <v/>
      </c>
      <c r="W48" s="130" t="str">
        <f>IF('kWh_Streetlight Data'!X142=0,"",'kWh_Streetlight Data'!X142)</f>
        <v/>
      </c>
      <c r="X48" s="130" t="str">
        <f>IF('kWh_Streetlight Data'!Y142=0,"",'kWh_Streetlight Data'!Y142)</f>
        <v/>
      </c>
      <c r="Y48" s="130" t="str">
        <f>IF('kWh_Streetlight Data'!Z142=0,"",'kWh_Streetlight Data'!Z142)</f>
        <v/>
      </c>
      <c r="Z48" s="130" t="str">
        <f>IF('kWh_Streetlight Data'!AA142=0,"",'kWh_Streetlight Data'!AA142)</f>
        <v/>
      </c>
      <c r="AA48" s="424" t="str">
        <f>IF('kWh_Streetlight Data'!AB142=0,"",'kWh_Streetlight Data'!AB142)</f>
        <v/>
      </c>
      <c r="AB48" s="129" t="str">
        <f>IF('kWh_Streetlight Data'!AC142=0,"",'kWh_Streetlight Data'!AC142)</f>
        <v/>
      </c>
      <c r="AC48" s="130" t="str">
        <f>IF('kWh_Streetlight Data'!AD142=0,"",'kWh_Streetlight Data'!AD142)</f>
        <v/>
      </c>
      <c r="AD48" s="130" t="str">
        <f>IF('kWh_Streetlight Data'!AE142=0,"",'kWh_Streetlight Data'!AE142)</f>
        <v/>
      </c>
      <c r="AE48" s="130" t="str">
        <f>IF('kWh_Streetlight Data'!AF142=0,"",'kWh_Streetlight Data'!AF142)</f>
        <v/>
      </c>
      <c r="AF48" s="130" t="str">
        <f>IF('kWh_Streetlight Data'!AG142=0,"",'kWh_Streetlight Data'!AG142)</f>
        <v/>
      </c>
      <c r="AG48" s="130" t="str">
        <f>IF('kWh_Streetlight Data'!AH142=0,"",'kWh_Streetlight Data'!AH142)</f>
        <v/>
      </c>
      <c r="AH48" s="130" t="str">
        <f>IF('kWh_Streetlight Data'!AI142=0,"",'kWh_Streetlight Data'!AI142)</f>
        <v/>
      </c>
      <c r="AI48" s="130" t="str">
        <f>IF('kWh_Streetlight Data'!AJ142=0,"",'kWh_Streetlight Data'!AJ142)</f>
        <v/>
      </c>
      <c r="AJ48" s="130" t="str">
        <f>IF('kWh_Streetlight Data'!AK142=0,"",'kWh_Streetlight Data'!AK142)</f>
        <v/>
      </c>
      <c r="AK48" s="130" t="str">
        <f>IF('kWh_Streetlight Data'!AL142=0,"",'kWh_Streetlight Data'!AL142)</f>
        <v/>
      </c>
      <c r="AL48" s="130" t="str">
        <f>IF('kWh_Streetlight Data'!AM142=0,"",'kWh_Streetlight Data'!AM142)</f>
        <v/>
      </c>
      <c r="AM48" s="130" t="str">
        <f>IF('kWh_Streetlight Data'!AN142=0,"",'kWh_Streetlight Data'!AN142)</f>
        <v/>
      </c>
      <c r="AN48" s="426" t="str">
        <f>IF('kWh_Streetlight Data'!AO142=0,"",'kWh_Streetlight Data'!AO142)</f>
        <v/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48"/>
      <c r="AP50" s="149"/>
      <c r="AQ50" s="149"/>
      <c r="AR50" s="149"/>
      <c r="AS50" s="149"/>
      <c r="AT50" s="107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210"/>
      <c r="BO50" s="125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88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113" t="str">
        <f>IF('kWh_Streetlight Data'!C242=0,"",'kWh_Streetlight Data'!C242)</f>
        <v/>
      </c>
      <c r="C58" s="114" t="str">
        <f>IF('kWh_Streetlight Data'!D242=0,"",'kWh_Streetlight Data'!D242)</f>
        <v/>
      </c>
      <c r="D58" s="114" t="str">
        <f>IF('kWh_Streetlight Data'!E242=0,"",'kWh_Streetlight Data'!E242)</f>
        <v/>
      </c>
      <c r="E58" s="114" t="str">
        <f>IF('kWh_Streetlight Data'!F242=0,"",'kWh_Streetlight Data'!F242)</f>
        <v/>
      </c>
      <c r="F58" s="114" t="str">
        <f>IF('kWh_Streetlight Data'!G242=0,"",'kWh_Streetlight Data'!G242)</f>
        <v/>
      </c>
      <c r="G58" s="114" t="str">
        <f>IF('kWh_Streetlight Data'!H242=0,"",'kWh_Streetlight Data'!H242)</f>
        <v/>
      </c>
      <c r="H58" s="114" t="str">
        <f>IF('kWh_Streetlight Data'!I242=0,"",'kWh_Streetlight Data'!I242)</f>
        <v/>
      </c>
      <c r="I58" s="114" t="str">
        <f>IF('kWh_Streetlight Data'!J242=0,"",'kWh_Streetlight Data'!J242)</f>
        <v/>
      </c>
      <c r="J58" s="114" t="str">
        <f>IF('kWh_Streetlight Data'!K242=0,"",'kWh_Streetlight Data'!K242)</f>
        <v/>
      </c>
      <c r="K58" s="114" t="str">
        <f>IF('kWh_Streetlight Data'!L242=0,"",'kWh_Streetlight Data'!L242)</f>
        <v/>
      </c>
      <c r="L58" s="114" t="str">
        <f>IF('kWh_Streetlight Data'!M242=0,"",'kWh_Streetlight Data'!M242)</f>
        <v/>
      </c>
      <c r="M58" s="114" t="str">
        <f>IF('kWh_Streetlight Data'!N242=0,"",'kWh_Streetlight Data'!N242)</f>
        <v/>
      </c>
      <c r="N58" s="459" t="str">
        <f>IF('kWh_Streetlight Data'!O242=0,"",'kWh_Streetlight Data'!O242)</f>
        <v/>
      </c>
      <c r="O58" s="113" t="str">
        <f>IF('kWh_Streetlight Data'!P242=0,"",'kWh_Streetlight Data'!P242)</f>
        <v/>
      </c>
      <c r="P58" s="114" t="str">
        <f>IF('kWh_Streetlight Data'!Q242=0,"",'kWh_Streetlight Data'!Q242)</f>
        <v/>
      </c>
      <c r="Q58" s="114" t="str">
        <f>IF('kWh_Streetlight Data'!R242=0,"",'kWh_Streetlight Data'!R242)</f>
        <v/>
      </c>
      <c r="R58" s="114" t="str">
        <f>IF('kWh_Streetlight Data'!S242=0,"",'kWh_Streetlight Data'!S242)</f>
        <v/>
      </c>
      <c r="S58" s="114" t="str">
        <f>IF('kWh_Streetlight Data'!T242=0,"",'kWh_Streetlight Data'!T242)</f>
        <v/>
      </c>
      <c r="T58" s="114" t="str">
        <f>IF('kWh_Streetlight Data'!U242=0,"",'kWh_Streetlight Data'!U242)</f>
        <v/>
      </c>
      <c r="U58" s="114" t="str">
        <f>IF('kWh_Streetlight Data'!V242=0,"",'kWh_Streetlight Data'!V242)</f>
        <v/>
      </c>
      <c r="V58" s="114" t="str">
        <f>IF('kWh_Streetlight Data'!W242=0,"",'kWh_Streetlight Data'!W242)</f>
        <v/>
      </c>
      <c r="W58" s="114" t="str">
        <f>IF('kWh_Streetlight Data'!X242=0,"",'kWh_Streetlight Data'!X242)</f>
        <v/>
      </c>
      <c r="X58" s="114" t="str">
        <f>IF('kWh_Streetlight Data'!Y242=0,"",'kWh_Streetlight Data'!Y242)</f>
        <v/>
      </c>
      <c r="Y58" s="114" t="str">
        <f>IF('kWh_Streetlight Data'!Z242=0,"",'kWh_Streetlight Data'!Z242)</f>
        <v/>
      </c>
      <c r="Z58" s="114" t="str">
        <f>IF('kWh_Streetlight Data'!AA242=0,"",'kWh_Streetlight Data'!AA242)</f>
        <v/>
      </c>
      <c r="AA58" s="459" t="str">
        <f>IF('kWh_Streetlight Data'!AB242=0,"",'kWh_Streetlight Data'!AB242)</f>
        <v/>
      </c>
      <c r="AB58" s="240" t="str">
        <f>IF('kWh_Streetlight Data'!AC242=0,"",'kWh_Streetlight Data'!AC242)</f>
        <v/>
      </c>
      <c r="AC58" s="117" t="str">
        <f>IF('kWh_Streetlight Data'!AD242=0,"",'kWh_Streetlight Data'!AD242)</f>
        <v/>
      </c>
      <c r="AD58" s="117" t="str">
        <f>IF('kWh_Streetlight Data'!AE242=0,"",'kWh_Streetlight Data'!AE242)</f>
        <v/>
      </c>
      <c r="AE58" s="117" t="str">
        <f>IF('kWh_Streetlight Data'!AF242=0,"",'kWh_Streetlight Data'!AF242)</f>
        <v/>
      </c>
      <c r="AF58" s="117" t="str">
        <f>IF('kWh_Streetlight Data'!AG242=0,"",'kWh_Streetlight Data'!AG242)</f>
        <v/>
      </c>
      <c r="AG58" s="117" t="str">
        <f>IF('kWh_Streetlight Data'!AH242=0,"",'kWh_Streetlight Data'!AH242)</f>
        <v/>
      </c>
      <c r="AH58" s="117" t="str">
        <f>IF('kWh_Streetlight Data'!AI242=0,"",'kWh_Streetlight Data'!AI242)</f>
        <v/>
      </c>
      <c r="AI58" s="117" t="str">
        <f>IF('kWh_Streetlight Data'!AJ242=0,"",'kWh_Streetlight Data'!AJ242)</f>
        <v/>
      </c>
      <c r="AJ58" s="117" t="str">
        <f>IF('kWh_Streetlight Data'!AK242=0,"",'kWh_Streetlight Data'!AK242)</f>
        <v/>
      </c>
      <c r="AK58" s="117" t="str">
        <f>IF('kWh_Streetlight Data'!AL242=0,"",'kWh_Streetlight Data'!AL242)</f>
        <v/>
      </c>
      <c r="AL58" s="117" t="str">
        <f>IF('kWh_Streetlight Data'!AM242=0,"",'kWh_Streetlight Data'!AM242)</f>
        <v/>
      </c>
      <c r="AM58" s="117" t="str">
        <f>IF('kWh_Streetlight Data'!AN242=0,"",'kWh_Streetlight Data'!AN242)</f>
        <v/>
      </c>
      <c r="AN58" s="464" t="str">
        <f>IF('kWh_Streetlight Data'!AO242=0,"",'kWh_Streetlight Data'!AO242)</f>
        <v/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129" t="str">
        <f>IF('kWh_Streetlight Data'!C143=0,"",'kWh_Streetlight Data'!C143)</f>
        <v/>
      </c>
      <c r="C69" s="130" t="str">
        <f>IF('kWh_Streetlight Data'!D143=0,"",'kWh_Streetlight Data'!D143)</f>
        <v/>
      </c>
      <c r="D69" s="130" t="str">
        <f>IF('kWh_Streetlight Data'!E143=0,"",'kWh_Streetlight Data'!E143)</f>
        <v/>
      </c>
      <c r="E69" s="130" t="str">
        <f>IF('kWh_Streetlight Data'!F143=0,"",'kWh_Streetlight Data'!F143)</f>
        <v/>
      </c>
      <c r="F69" s="130" t="str">
        <f>IF('kWh_Streetlight Data'!G143=0,"",'kWh_Streetlight Data'!G143)</f>
        <v/>
      </c>
      <c r="G69" s="130" t="str">
        <f>IF('kWh_Streetlight Data'!H143=0,"",'kWh_Streetlight Data'!H143)</f>
        <v/>
      </c>
      <c r="H69" s="130" t="str">
        <f>IF('kWh_Streetlight Data'!I143=0,"",'kWh_Streetlight Data'!I143)</f>
        <v/>
      </c>
      <c r="I69" s="130" t="str">
        <f>IF('kWh_Streetlight Data'!J143=0,"",'kWh_Streetlight Data'!J143)</f>
        <v/>
      </c>
      <c r="J69" s="130" t="str">
        <f>IF('kWh_Streetlight Data'!K143=0,"",'kWh_Streetlight Data'!K143)</f>
        <v/>
      </c>
      <c r="K69" s="130" t="str">
        <f>IF('kWh_Streetlight Data'!L143=0,"",'kWh_Streetlight Data'!L143)</f>
        <v/>
      </c>
      <c r="L69" s="130" t="str">
        <f>IF('kWh_Streetlight Data'!M143=0,"",'kWh_Streetlight Data'!M143)</f>
        <v/>
      </c>
      <c r="M69" s="130" t="str">
        <f>IF('kWh_Streetlight Data'!N143=0,"",'kWh_Streetlight Data'!N143)</f>
        <v/>
      </c>
      <c r="N69" s="424" t="str">
        <f>IF('kWh_Streetlight Data'!O143=0,"",'kWh_Streetlight Data'!O143)</f>
        <v/>
      </c>
      <c r="O69" s="84" t="str">
        <f>IF('kWh_Streetlight Data'!P143=0,"",'kWh_Streetlight Data'!P143)</f>
        <v/>
      </c>
      <c r="P69" s="108" t="str">
        <f>IF('kWh_Streetlight Data'!Q143=0,"",'kWh_Streetlight Data'!Q143)</f>
        <v/>
      </c>
      <c r="Q69" s="108" t="str">
        <f>IF('kWh_Streetlight Data'!R143=0,"",'kWh_Streetlight Data'!R143)</f>
        <v/>
      </c>
      <c r="R69" s="108" t="str">
        <f>IF('kWh_Streetlight Data'!S143=0,"",'kWh_Streetlight Data'!S143)</f>
        <v/>
      </c>
      <c r="S69" s="108" t="str">
        <f>IF('kWh_Streetlight Data'!T143=0,"",'kWh_Streetlight Data'!T143)</f>
        <v/>
      </c>
      <c r="T69" s="108" t="str">
        <f>IF('kWh_Streetlight Data'!U143=0,"",'kWh_Streetlight Data'!U143)</f>
        <v/>
      </c>
      <c r="U69" s="108" t="str">
        <f>IF('kWh_Streetlight Data'!V143=0,"",'kWh_Streetlight Data'!V143)</f>
        <v/>
      </c>
      <c r="V69" s="108" t="str">
        <f>IF('kWh_Streetlight Data'!W143=0,"",'kWh_Streetlight Data'!W143)</f>
        <v/>
      </c>
      <c r="W69" s="108" t="str">
        <f>IF('kWh_Streetlight Data'!X143=0,"",'kWh_Streetlight Data'!X143)</f>
        <v/>
      </c>
      <c r="X69" s="108" t="str">
        <f>IF('kWh_Streetlight Data'!Y143=0,"",'kWh_Streetlight Data'!Y143)</f>
        <v/>
      </c>
      <c r="Y69" s="108" t="str">
        <f>IF('kWh_Streetlight Data'!Z143=0,"",'kWh_Streetlight Data'!Z143)</f>
        <v/>
      </c>
      <c r="Z69" s="108" t="str">
        <f>IF('kWh_Streetlight Data'!AA143=0,"",'kWh_Streetlight Data'!AA143)</f>
        <v/>
      </c>
      <c r="AA69" s="424" t="str">
        <f>IF('kWh_Streetlight Data'!AB143=0,"",'kWh_Streetlight Data'!AB143)</f>
        <v/>
      </c>
      <c r="AB69" s="84" t="str">
        <f>IF('kWh_Streetlight Data'!AC143=0,"",'kWh_Streetlight Data'!AC143)</f>
        <v/>
      </c>
      <c r="AC69" s="108" t="str">
        <f>IF('kWh_Streetlight Data'!AD143=0,"",'kWh_Streetlight Data'!AD143)</f>
        <v/>
      </c>
      <c r="AD69" s="108" t="str">
        <f>IF('kWh_Streetlight Data'!AE143=0,"",'kWh_Streetlight Data'!AE143)</f>
        <v/>
      </c>
      <c r="AE69" s="108" t="str">
        <f>IF('kWh_Streetlight Data'!AF143=0,"",'kWh_Streetlight Data'!AF143)</f>
        <v/>
      </c>
      <c r="AF69" s="108" t="str">
        <f>IF('kWh_Streetlight Data'!AG143=0,"",'kWh_Streetlight Data'!AG143)</f>
        <v/>
      </c>
      <c r="AG69" s="108" t="str">
        <f>IF('kWh_Streetlight Data'!AH143=0,"",'kWh_Streetlight Data'!AH143)</f>
        <v/>
      </c>
      <c r="AH69" s="130" t="str">
        <f>IF('kWh_Streetlight Data'!AI143=0,"",'kWh_Streetlight Data'!AI143)</f>
        <v/>
      </c>
      <c r="AI69" s="130" t="str">
        <f>IF('kWh_Streetlight Data'!AJ143=0,"",'kWh_Streetlight Data'!AJ143)</f>
        <v/>
      </c>
      <c r="AJ69" s="130" t="str">
        <f>IF('kWh_Streetlight Data'!AK143=0,"",'kWh_Streetlight Data'!AK143)</f>
        <v/>
      </c>
      <c r="AK69" s="130" t="str">
        <f>IF('kWh_Streetlight Data'!AL143=0,"",'kWh_Streetlight Data'!AL143)</f>
        <v/>
      </c>
      <c r="AL69" s="130" t="str">
        <f>IF('kWh_Streetlight Data'!AM143=0,"",'kWh_Streetlight Data'!AM143)</f>
        <v/>
      </c>
      <c r="AM69" s="130" t="str">
        <f>IF('kWh_Streetlight Data'!AN143=0,"",'kWh_Streetlight Data'!AN143)</f>
        <v/>
      </c>
      <c r="AN69" s="424" t="str">
        <f>IF('kWh_Streetlight Data'!AO143=0,"",'kWh_Streetlight Data'!AO143)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129" t="str">
        <f>IF('kWh_Streetlight Data'!C144=0,"",'kWh_Streetlight Data'!C144)</f>
        <v/>
      </c>
      <c r="C79" s="108" t="str">
        <f>IF('kWh_Streetlight Data'!D144=0,"",'kWh_Streetlight Data'!D144)</f>
        <v/>
      </c>
      <c r="D79" s="108" t="str">
        <f>IF('kWh_Streetlight Data'!E144=0,"",'kWh_Streetlight Data'!E144)</f>
        <v/>
      </c>
      <c r="E79" s="108" t="str">
        <f>IF('kWh_Streetlight Data'!F144=0,"",'kWh_Streetlight Data'!F144)</f>
        <v/>
      </c>
      <c r="F79" s="108" t="str">
        <f>IF('kWh_Streetlight Data'!G144=0,"",'kWh_Streetlight Data'!G144)</f>
        <v/>
      </c>
      <c r="G79" s="108" t="str">
        <f>IF('kWh_Streetlight Data'!H144=0,"",'kWh_Streetlight Data'!H144)</f>
        <v/>
      </c>
      <c r="H79" s="108" t="str">
        <f>IF('kWh_Streetlight Data'!I144=0,"",'kWh_Streetlight Data'!I144)</f>
        <v/>
      </c>
      <c r="I79" s="108" t="str">
        <f>IF('kWh_Streetlight Data'!J144=0,"",'kWh_Streetlight Data'!J144)</f>
        <v/>
      </c>
      <c r="J79" s="108" t="str">
        <f>IF('kWh_Streetlight Data'!K144=0,"",'kWh_Streetlight Data'!K144)</f>
        <v/>
      </c>
      <c r="K79" s="108" t="str">
        <f>IF('kWh_Streetlight Data'!L144=0,"",'kWh_Streetlight Data'!L144)</f>
        <v/>
      </c>
      <c r="L79" s="108" t="str">
        <f>IF('kWh_Streetlight Data'!M144=0,"",'kWh_Streetlight Data'!M144)</f>
        <v/>
      </c>
      <c r="M79" s="108" t="str">
        <f>IF('kWh_Streetlight Data'!N144=0,"",'kWh_Streetlight Data'!N144)</f>
        <v/>
      </c>
      <c r="N79" s="424" t="str">
        <f>IF('kWh_Streetlight Data'!O144=0,"",'kWh_Streetlight Data'!O144)</f>
        <v/>
      </c>
      <c r="O79" s="84" t="str">
        <f>IF('kWh_Streetlight Data'!P144=0,"",'kWh_Streetlight Data'!P144)</f>
        <v/>
      </c>
      <c r="P79" s="108" t="str">
        <f>IF('kWh_Streetlight Data'!Q144=0,"",'kWh_Streetlight Data'!Q144)</f>
        <v/>
      </c>
      <c r="Q79" s="108" t="str">
        <f>IF('kWh_Streetlight Data'!R144=0,"",'kWh_Streetlight Data'!R144)</f>
        <v/>
      </c>
      <c r="R79" s="108" t="str">
        <f>IF('kWh_Streetlight Data'!S144=0,"",'kWh_Streetlight Data'!S144)</f>
        <v/>
      </c>
      <c r="S79" s="108" t="str">
        <f>IF('kWh_Streetlight Data'!T144=0,"",'kWh_Streetlight Data'!T144)</f>
        <v/>
      </c>
      <c r="T79" s="108" t="str">
        <f>IF('kWh_Streetlight Data'!U144=0,"",'kWh_Streetlight Data'!U144)</f>
        <v/>
      </c>
      <c r="U79" s="108" t="str">
        <f>IF('kWh_Streetlight Data'!V144=0,"",'kWh_Streetlight Data'!V144)</f>
        <v/>
      </c>
      <c r="V79" s="108" t="str">
        <f>IF('kWh_Streetlight Data'!W144=0,"",'kWh_Streetlight Data'!W144)</f>
        <v/>
      </c>
      <c r="W79" s="108" t="str">
        <f>IF('kWh_Streetlight Data'!X144=0,"",'kWh_Streetlight Data'!X144)</f>
        <v/>
      </c>
      <c r="X79" s="108" t="str">
        <f>IF('kWh_Streetlight Data'!Y144=0,"",'kWh_Streetlight Data'!Y144)</f>
        <v/>
      </c>
      <c r="Y79" s="108" t="str">
        <f>IF('kWh_Streetlight Data'!Z144=0,"",'kWh_Streetlight Data'!Z144)</f>
        <v/>
      </c>
      <c r="Z79" s="108" t="str">
        <f>IF('kWh_Streetlight Data'!AA144=0,"",'kWh_Streetlight Data'!AA144)</f>
        <v/>
      </c>
      <c r="AA79" s="424" t="str">
        <f>IF('kWh_Streetlight Data'!AB144=0,"",'kWh_Streetlight Data'!AB144)</f>
        <v/>
      </c>
      <c r="AB79" s="129" t="str">
        <f>IF('kWh_Streetlight Data'!AC144=0,"",'kWh_Streetlight Data'!AC144)</f>
        <v/>
      </c>
      <c r="AC79" s="130" t="str">
        <f>IF('kWh_Streetlight Data'!AD144=0,"",'kWh_Streetlight Data'!AD144)</f>
        <v/>
      </c>
      <c r="AD79" s="130" t="str">
        <f>IF('kWh_Streetlight Data'!AE144=0,"",'kWh_Streetlight Data'!AE144)</f>
        <v/>
      </c>
      <c r="AE79" s="130" t="str">
        <f>IF('kWh_Streetlight Data'!AF144=0,"",'kWh_Streetlight Data'!AF144)</f>
        <v/>
      </c>
      <c r="AF79" s="130" t="str">
        <f>IF('kWh_Streetlight Data'!AG144=0,"",'kWh_Streetlight Data'!AG144)</f>
        <v/>
      </c>
      <c r="AG79" s="130" t="str">
        <f>IF('kWh_Streetlight Data'!AH144=0,"",'kWh_Streetlight Data'!AH144)</f>
        <v/>
      </c>
      <c r="AH79" s="108" t="str">
        <f>IF('kWh_Streetlight Data'!AI144=0,"",'kWh_Streetlight Data'!AI144)</f>
        <v/>
      </c>
      <c r="AI79" s="108" t="str">
        <f>IF('kWh_Streetlight Data'!AJ144=0,"",'kWh_Streetlight Data'!AJ144)</f>
        <v/>
      </c>
      <c r="AJ79" s="108" t="str">
        <f>IF('kWh_Streetlight Data'!AK144=0,"",'kWh_Streetlight Data'!AK144)</f>
        <v/>
      </c>
      <c r="AK79" s="108" t="str">
        <f>IF('kWh_Streetlight Data'!AL144=0,"",'kWh_Streetlight Data'!AL144)</f>
        <v/>
      </c>
      <c r="AL79" s="108" t="str">
        <f>IF('kWh_Streetlight Data'!AM144=0,"",'kWh_Streetlight Data'!AM144)</f>
        <v/>
      </c>
      <c r="AM79" s="108" t="str">
        <f>IF('kWh_Streetlight Data'!AN144=0,"",'kWh_Streetlight Data'!AN144)</f>
        <v/>
      </c>
      <c r="AN79" s="424" t="str">
        <f>IF('kWh_Streetlight Data'!AO144=0,"",'kWh_Streetlight Data'!AO144)</f>
        <v/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129" t="str">
        <f>IF('kWh_Streetlight Data'!C145=0,"",'kWh_Streetlight Data'!C145)</f>
        <v/>
      </c>
      <c r="C83" s="108" t="str">
        <f>IF('kWh_Streetlight Data'!D145=0,"",'kWh_Streetlight Data'!D145)</f>
        <v/>
      </c>
      <c r="D83" s="108" t="str">
        <f>IF('kWh_Streetlight Data'!E145=0,"",'kWh_Streetlight Data'!E145)</f>
        <v/>
      </c>
      <c r="E83" s="108" t="str">
        <f>IF('kWh_Streetlight Data'!F145=0,"",'kWh_Streetlight Data'!F145)</f>
        <v/>
      </c>
      <c r="F83" s="108" t="str">
        <f>IF('kWh_Streetlight Data'!G145=0,"",'kWh_Streetlight Data'!G145)</f>
        <v/>
      </c>
      <c r="G83" s="108" t="str">
        <f>IF('kWh_Streetlight Data'!H145=0,"",'kWh_Streetlight Data'!H145)</f>
        <v/>
      </c>
      <c r="H83" s="108" t="str">
        <f>IF('kWh_Streetlight Data'!I145=0,"",'kWh_Streetlight Data'!I145)</f>
        <v/>
      </c>
      <c r="I83" s="108" t="str">
        <f>IF('kWh_Streetlight Data'!J145=0,"",'kWh_Streetlight Data'!J145)</f>
        <v/>
      </c>
      <c r="J83" s="108" t="str">
        <f>IF('kWh_Streetlight Data'!K145=0,"",'kWh_Streetlight Data'!K145)</f>
        <v/>
      </c>
      <c r="K83" s="108" t="str">
        <f>IF('kWh_Streetlight Data'!L145=0,"",'kWh_Streetlight Data'!L145)</f>
        <v/>
      </c>
      <c r="L83" s="108" t="str">
        <f>IF('kWh_Streetlight Data'!M145=0,"",'kWh_Streetlight Data'!M145)</f>
        <v/>
      </c>
      <c r="M83" s="108" t="str">
        <f>IF('kWh_Streetlight Data'!N145=0,"",'kWh_Streetlight Data'!N145)</f>
        <v/>
      </c>
      <c r="N83" s="424" t="str">
        <f>IF('kWh_Streetlight Data'!O145=0,"",'kWh_Streetlight Data'!O145)</f>
        <v/>
      </c>
      <c r="O83" s="84" t="str">
        <f>IF('kWh_Streetlight Data'!P145=0,"",'kWh_Streetlight Data'!P145)</f>
        <v/>
      </c>
      <c r="P83" s="108" t="str">
        <f>IF('kWh_Streetlight Data'!Q145=0,"",'kWh_Streetlight Data'!Q145)</f>
        <v/>
      </c>
      <c r="Q83" s="108" t="str">
        <f>IF('kWh_Streetlight Data'!R145=0,"",'kWh_Streetlight Data'!R145)</f>
        <v/>
      </c>
      <c r="R83" s="108" t="str">
        <f>IF('kWh_Streetlight Data'!S145=0,"",'kWh_Streetlight Data'!S145)</f>
        <v/>
      </c>
      <c r="S83" s="108" t="str">
        <f>IF('kWh_Streetlight Data'!T145=0,"",'kWh_Streetlight Data'!T145)</f>
        <v/>
      </c>
      <c r="T83" s="108" t="str">
        <f>IF('kWh_Streetlight Data'!U145=0,"",'kWh_Streetlight Data'!U145)</f>
        <v/>
      </c>
      <c r="U83" s="108" t="str">
        <f>IF('kWh_Streetlight Data'!V145=0,"",'kWh_Streetlight Data'!V145)</f>
        <v/>
      </c>
      <c r="V83" s="108" t="str">
        <f>IF('kWh_Streetlight Data'!W145=0,"",'kWh_Streetlight Data'!W145)</f>
        <v/>
      </c>
      <c r="W83" s="108" t="str">
        <f>IF('kWh_Streetlight Data'!X145=0,"",'kWh_Streetlight Data'!X145)</f>
        <v/>
      </c>
      <c r="X83" s="108" t="str">
        <f>IF('kWh_Streetlight Data'!Y145=0,"",'kWh_Streetlight Data'!Y145)</f>
        <v/>
      </c>
      <c r="Y83" s="108" t="str">
        <f>IF('kWh_Streetlight Data'!Z145=0,"",'kWh_Streetlight Data'!Z145)</f>
        <v/>
      </c>
      <c r="Z83" s="108" t="str">
        <f>IF('kWh_Streetlight Data'!AA145=0,"",'kWh_Streetlight Data'!AA145)</f>
        <v/>
      </c>
      <c r="AA83" s="424" t="str">
        <f>IF('kWh_Streetlight Data'!AB145=0,"",'kWh_Streetlight Data'!AB145)</f>
        <v/>
      </c>
      <c r="AB83" s="442" t="str">
        <f>IF('kWh_Streetlight Data'!AC145=0,"",'kWh_Streetlight Data'!AC145)</f>
        <v/>
      </c>
      <c r="AC83" s="443" t="str">
        <f>IF('kWh_Streetlight Data'!AD145=0,"",'kWh_Streetlight Data'!AD145)</f>
        <v/>
      </c>
      <c r="AD83" s="443" t="str">
        <f>IF('kWh_Streetlight Data'!AE145=0,"",'kWh_Streetlight Data'!AE145)</f>
        <v/>
      </c>
      <c r="AE83" s="443" t="str">
        <f>IF('kWh_Streetlight Data'!AF145=0,"",'kWh_Streetlight Data'!AF145)</f>
        <v/>
      </c>
      <c r="AF83" s="443" t="str">
        <f>IF('kWh_Streetlight Data'!AG145=0,"",'kWh_Streetlight Data'!AG145)</f>
        <v/>
      </c>
      <c r="AG83" s="443" t="str">
        <f>IF('kWh_Streetlight Data'!AH145=0,"",'kWh_Streetlight Data'!AH145)</f>
        <v/>
      </c>
      <c r="AH83" s="108" t="str">
        <f>IF('kWh_Streetlight Data'!AI145=0,"",'kWh_Streetlight Data'!AI145)</f>
        <v/>
      </c>
      <c r="AI83" s="108" t="str">
        <f>IF('kWh_Streetlight Data'!AJ145=0,"",'kWh_Streetlight Data'!AJ145)</f>
        <v/>
      </c>
      <c r="AJ83" s="108" t="str">
        <f>IF('kWh_Streetlight Data'!AK145=0,"",'kWh_Streetlight Data'!AK145)</f>
        <v/>
      </c>
      <c r="AK83" s="108" t="str">
        <f>IF('kWh_Streetlight Data'!AL145=0,"",'kWh_Streetlight Data'!AL145)</f>
        <v/>
      </c>
      <c r="AL83" s="108" t="str">
        <f>IF('kWh_Streetlight Data'!AM145=0,"",'kWh_Streetlight Data'!AM145)</f>
        <v/>
      </c>
      <c r="AM83" s="108" t="str">
        <f>IF('kWh_Streetlight Data'!AN145=0,"",'kWh_Streetlight Data'!AN145)</f>
        <v/>
      </c>
      <c r="AN83" s="424" t="str">
        <f>IF('kWh_Streetlight Data'!AO145=0,"",'kWh_Streetlight Data'!AO145)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129" t="str">
        <f>IF('kWh_Streetlight Data'!C146=0,"",'kWh_Streetlight Data'!C146)</f>
        <v/>
      </c>
      <c r="C88" s="108" t="str">
        <f>IF('kWh_Streetlight Data'!D146=0,"",'kWh_Streetlight Data'!D146)</f>
        <v/>
      </c>
      <c r="D88" s="108" t="str">
        <f>IF('kWh_Streetlight Data'!E146=0,"",'kWh_Streetlight Data'!E146)</f>
        <v/>
      </c>
      <c r="E88" s="108" t="str">
        <f>IF('kWh_Streetlight Data'!F146=0,"",'kWh_Streetlight Data'!F146)</f>
        <v/>
      </c>
      <c r="F88" s="108" t="str">
        <f>IF('kWh_Streetlight Data'!G146=0,"",'kWh_Streetlight Data'!G146)</f>
        <v/>
      </c>
      <c r="G88" s="108" t="str">
        <f>IF('kWh_Streetlight Data'!H146=0,"",'kWh_Streetlight Data'!H146)</f>
        <v/>
      </c>
      <c r="H88" s="108" t="str">
        <f>IF('kWh_Streetlight Data'!I146=0,"",'kWh_Streetlight Data'!I146)</f>
        <v/>
      </c>
      <c r="I88" s="108" t="str">
        <f>IF('kWh_Streetlight Data'!J146=0,"",'kWh_Streetlight Data'!J146)</f>
        <v/>
      </c>
      <c r="J88" s="108" t="str">
        <f>IF('kWh_Streetlight Data'!K146=0,"",'kWh_Streetlight Data'!K146)</f>
        <v/>
      </c>
      <c r="K88" s="108" t="str">
        <f>IF('kWh_Streetlight Data'!L146=0,"",'kWh_Streetlight Data'!L146)</f>
        <v/>
      </c>
      <c r="L88" s="108" t="str">
        <f>IF('kWh_Streetlight Data'!M146=0,"",'kWh_Streetlight Data'!M146)</f>
        <v/>
      </c>
      <c r="M88" s="108" t="str">
        <f>IF('kWh_Streetlight Data'!N146=0,"",'kWh_Streetlight Data'!N146)</f>
        <v/>
      </c>
      <c r="N88" s="424" t="str">
        <f>IF('kWh_Streetlight Data'!O146=0,"",'kWh_Streetlight Data'!O146)</f>
        <v/>
      </c>
      <c r="O88" s="84" t="str">
        <f>IF('kWh_Streetlight Data'!P146=0,"",'kWh_Streetlight Data'!P146)</f>
        <v/>
      </c>
      <c r="P88" s="108" t="str">
        <f>IF('kWh_Streetlight Data'!Q146=0,"",'kWh_Streetlight Data'!Q146)</f>
        <v/>
      </c>
      <c r="Q88" s="108" t="str">
        <f>IF('kWh_Streetlight Data'!R146=0,"",'kWh_Streetlight Data'!R146)</f>
        <v/>
      </c>
      <c r="R88" s="108" t="str">
        <f>IF('kWh_Streetlight Data'!S146=0,"",'kWh_Streetlight Data'!S146)</f>
        <v/>
      </c>
      <c r="S88" s="108" t="str">
        <f>IF('kWh_Streetlight Data'!T146=0,"",'kWh_Streetlight Data'!T146)</f>
        <v/>
      </c>
      <c r="T88" s="108" t="str">
        <f>IF('kWh_Streetlight Data'!U146=0,"",'kWh_Streetlight Data'!U146)</f>
        <v/>
      </c>
      <c r="U88" s="108" t="str">
        <f>IF('kWh_Streetlight Data'!V146=0,"",'kWh_Streetlight Data'!V146)</f>
        <v/>
      </c>
      <c r="V88" s="108" t="str">
        <f>IF('kWh_Streetlight Data'!W146=0,"",'kWh_Streetlight Data'!W146)</f>
        <v/>
      </c>
      <c r="W88" s="108" t="str">
        <f>IF('kWh_Streetlight Data'!X146=0,"",'kWh_Streetlight Data'!X146)</f>
        <v/>
      </c>
      <c r="X88" s="108" t="str">
        <f>IF('kWh_Streetlight Data'!Y146=0,"",'kWh_Streetlight Data'!Y146)</f>
        <v/>
      </c>
      <c r="Y88" s="108" t="str">
        <f>IF('kWh_Streetlight Data'!Z146=0,"",'kWh_Streetlight Data'!Z146)</f>
        <v/>
      </c>
      <c r="Z88" s="108" t="str">
        <f>IF('kWh_Streetlight Data'!AA146=0,"",'kWh_Streetlight Data'!AA146)</f>
        <v/>
      </c>
      <c r="AA88" s="426" t="str">
        <f>IF('kWh_Streetlight Data'!AB146=0,"",'kWh_Streetlight Data'!AB146)</f>
        <v/>
      </c>
      <c r="AB88" s="442" t="str">
        <f>IF('kWh_Streetlight Data'!AC146=0,"",'kWh_Streetlight Data'!AC146)</f>
        <v/>
      </c>
      <c r="AC88" s="443" t="str">
        <f>IF('kWh_Streetlight Data'!AD146=0,"",'kWh_Streetlight Data'!AD146)</f>
        <v/>
      </c>
      <c r="AD88" s="443" t="str">
        <f>IF('kWh_Streetlight Data'!AE146=0,"",'kWh_Streetlight Data'!AE146)</f>
        <v/>
      </c>
      <c r="AE88" s="443" t="str">
        <f>IF('kWh_Streetlight Data'!AF146=0,"",'kWh_Streetlight Data'!AF146)</f>
        <v/>
      </c>
      <c r="AF88" s="443" t="str">
        <f>IF('kWh_Streetlight Data'!AG146=0,"",'kWh_Streetlight Data'!AG146)</f>
        <v/>
      </c>
      <c r="AG88" s="443" t="str">
        <f>IF('kWh_Streetlight Data'!AH146=0,"",'kWh_Streetlight Data'!AH146)</f>
        <v/>
      </c>
      <c r="AH88" s="108" t="str">
        <f>IF('kWh_Streetlight Data'!AI146=0,"",'kWh_Streetlight Data'!AI146)</f>
        <v/>
      </c>
      <c r="AI88" s="108" t="str">
        <f>IF('kWh_Streetlight Data'!AJ146=0,"",'kWh_Streetlight Data'!AJ146)</f>
        <v/>
      </c>
      <c r="AJ88" s="108" t="str">
        <f>IF('kWh_Streetlight Data'!AK146=0,"",'kWh_Streetlight Data'!AK146)</f>
        <v/>
      </c>
      <c r="AK88" s="108" t="str">
        <f>IF('kWh_Streetlight Data'!AL146=0,"",'kWh_Streetlight Data'!AL146)</f>
        <v/>
      </c>
      <c r="AL88" s="108" t="str">
        <f>IF('kWh_Streetlight Data'!AM146=0,"",'kWh_Streetlight Data'!AM146)</f>
        <v/>
      </c>
      <c r="AM88" s="108" t="str">
        <f>IF('kWh_Streetlight Data'!AN146=0,"",'kWh_Streetlight Data'!AN146)</f>
        <v/>
      </c>
      <c r="AN88" s="424" t="str">
        <f>IF('kWh_Streetlight Data'!AO146=0,"",'kWh_Streetlight Data'!AO146)</f>
        <v/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39"/>
      <c r="BJ92" s="39"/>
      <c r="BK92" s="109"/>
      <c r="BL92" s="39"/>
      <c r="BM92" s="39"/>
      <c r="BN92" s="210"/>
      <c r="BO92" s="133">
        <f>Customers!L253</f>
        <v>12</v>
      </c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64"/>
      <c r="BJ93" s="64"/>
      <c r="BK93" s="160"/>
      <c r="BL93" s="160"/>
      <c r="BM93" s="160"/>
      <c r="BN93" s="196"/>
      <c r="BO93" s="144">
        <f>IFERROR(ROUND(BO94*BO92/12*BR19,0),0)</f>
        <v>157250</v>
      </c>
    </row>
    <row r="94" spans="1:67" ht="15.75" customHeight="1" thickTop="1">
      <c r="A94" s="374" t="s">
        <v>54</v>
      </c>
      <c r="B94" s="129" t="str">
        <f>IF('kWh_Streetlight Data'!C147=0,"",'kWh_Streetlight Data'!C147)</f>
        <v/>
      </c>
      <c r="C94" s="108" t="str">
        <f>IF('kWh_Streetlight Data'!D147=0,"",'kWh_Streetlight Data'!D147)</f>
        <v/>
      </c>
      <c r="D94" s="108" t="str">
        <f>IF('kWh_Streetlight Data'!E147=0,"",'kWh_Streetlight Data'!E147)</f>
        <v/>
      </c>
      <c r="E94" s="108" t="str">
        <f>IF('kWh_Streetlight Data'!F147=0,"",'kWh_Streetlight Data'!F147)</f>
        <v/>
      </c>
      <c r="F94" s="108" t="str">
        <f>IF('kWh_Streetlight Data'!G147=0,"",'kWh_Streetlight Data'!G147)</f>
        <v/>
      </c>
      <c r="G94" s="108" t="str">
        <f>IF('kWh_Streetlight Data'!H147=0,"",'kWh_Streetlight Data'!H147)</f>
        <v/>
      </c>
      <c r="H94" s="108" t="str">
        <f>IF('kWh_Streetlight Data'!I147=0,"",'kWh_Streetlight Data'!I147)</f>
        <v/>
      </c>
      <c r="I94" s="108" t="str">
        <f>IF('kWh_Streetlight Data'!J147=0,"",'kWh_Streetlight Data'!J147)</f>
        <v/>
      </c>
      <c r="J94" s="108" t="str">
        <f>IF('kWh_Streetlight Data'!K147=0,"",'kWh_Streetlight Data'!K147)</f>
        <v/>
      </c>
      <c r="K94" s="108" t="str">
        <f>IF('kWh_Streetlight Data'!L147=0,"",'kWh_Streetlight Data'!L147)</f>
        <v/>
      </c>
      <c r="L94" s="130" t="str">
        <f>IF('kWh_Streetlight Data'!M147=0,"",'kWh_Streetlight Data'!M147)</f>
        <v/>
      </c>
      <c r="M94" s="130" t="str">
        <f>IF('kWh_Streetlight Data'!N147=0,"",'kWh_Streetlight Data'!N147)</f>
        <v/>
      </c>
      <c r="N94" s="425" t="str">
        <f>IF('kWh_Streetlight Data'!O147=0,"",'kWh_Streetlight Data'!O147)</f>
        <v/>
      </c>
      <c r="O94" s="84" t="str">
        <f>IF('kWh_Streetlight Data'!P147=0,"",'kWh_Streetlight Data'!P147)</f>
        <v/>
      </c>
      <c r="P94" s="108" t="str">
        <f>IF('kWh_Streetlight Data'!Q147=0,"",'kWh_Streetlight Data'!Q147)</f>
        <v/>
      </c>
      <c r="Q94" s="108" t="str">
        <f>IF('kWh_Streetlight Data'!R147=0,"",'kWh_Streetlight Data'!R147)</f>
        <v/>
      </c>
      <c r="R94" s="108" t="str">
        <f>IF('kWh_Streetlight Data'!S147=0,"",'kWh_Streetlight Data'!S147)</f>
        <v/>
      </c>
      <c r="S94" s="108" t="str">
        <f>IF('kWh_Streetlight Data'!T147=0,"",'kWh_Streetlight Data'!T147)</f>
        <v/>
      </c>
      <c r="T94" s="108" t="str">
        <f>IF('kWh_Streetlight Data'!U147=0,"",'kWh_Streetlight Data'!U147)</f>
        <v/>
      </c>
      <c r="U94" s="108" t="str">
        <f>IF('kWh_Streetlight Data'!V147=0,"",'kWh_Streetlight Data'!V147)</f>
        <v/>
      </c>
      <c r="V94" s="108" t="str">
        <f>IF('kWh_Streetlight Data'!W147=0,"",'kWh_Streetlight Data'!W147)</f>
        <v/>
      </c>
      <c r="W94" s="108" t="str">
        <f>IF('kWh_Streetlight Data'!X147=0,"",'kWh_Streetlight Data'!X147)</f>
        <v/>
      </c>
      <c r="X94" s="108" t="str">
        <f>IF('kWh_Streetlight Data'!Y147=0,"",'kWh_Streetlight Data'!Y147)</f>
        <v/>
      </c>
      <c r="Y94" s="108" t="str">
        <f>IF('kWh_Streetlight Data'!Z147=0,"",'kWh_Streetlight Data'!Z147)</f>
        <v/>
      </c>
      <c r="Z94" s="108" t="str">
        <f>IF('kWh_Streetlight Data'!AA147=0,"",'kWh_Streetlight Data'!AA147)</f>
        <v/>
      </c>
      <c r="AA94" s="426" t="str">
        <f>IF('kWh_Streetlight Data'!AB147=0,"",'kWh_Streetlight Data'!AB147)</f>
        <v/>
      </c>
      <c r="AB94" s="84" t="str">
        <f>IF('kWh_Streetlight Data'!AC147=0,"",'kWh_Streetlight Data'!AC147)</f>
        <v/>
      </c>
      <c r="AC94" s="108" t="str">
        <f>IF('kWh_Streetlight Data'!AD147=0,"",'kWh_Streetlight Data'!AD147)</f>
        <v/>
      </c>
      <c r="AD94" s="108" t="str">
        <f>IF('kWh_Streetlight Data'!AE147=0,"",'kWh_Streetlight Data'!AE147)</f>
        <v/>
      </c>
      <c r="AE94" s="108" t="str">
        <f>IF('kWh_Streetlight Data'!AF147=0,"",'kWh_Streetlight Data'!AF147)</f>
        <v/>
      </c>
      <c r="AF94" s="108" t="str">
        <f>IF('kWh_Streetlight Data'!AG147=0,"",'kWh_Streetlight Data'!AG147)</f>
        <v/>
      </c>
      <c r="AG94" s="108" t="str">
        <f>IF('kWh_Streetlight Data'!AH147=0,"",'kWh_Streetlight Data'!AH147)</f>
        <v/>
      </c>
      <c r="AH94" s="108" t="str">
        <f>IF('kWh_Streetlight Data'!AI147=0,"",'kWh_Streetlight Data'!AI147)</f>
        <v/>
      </c>
      <c r="AI94" s="108" t="str">
        <f>IF('kWh_Streetlight Data'!AJ147=0,"",'kWh_Streetlight Data'!AJ147)</f>
        <v/>
      </c>
      <c r="AJ94" s="108" t="str">
        <f>IF('kWh_Streetlight Data'!AK147=0,"",'kWh_Streetlight Data'!AK147)</f>
        <v/>
      </c>
      <c r="AK94" s="108" t="str">
        <f>IF('kWh_Streetlight Data'!AL147=0,"",'kWh_Streetlight Data'!AL147)</f>
        <v/>
      </c>
      <c r="AL94" s="108" t="str">
        <f>IF('kWh_Streetlight Data'!AM147=0,"",'kWh_Streetlight Data'!AM147)</f>
        <v/>
      </c>
      <c r="AM94" s="108" t="str">
        <f>IF('kWh_Streetlight Data'!AN147=0,"",'kWh_Streetlight Data'!AN147)</f>
        <v/>
      </c>
      <c r="AN94" s="424" t="str">
        <f>IF('kWh_Streetlight Data'!AO147=0,"",'kWh_Streetlight Data'!AO147)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108"/>
      <c r="BL94" s="108"/>
      <c r="BM94" s="108"/>
      <c r="BN94" s="211"/>
      <c r="BO94" s="140">
        <f>Wapekeka!BO94</f>
        <v>22464.25</v>
      </c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>
        <f>BO7+BO22+BO29+BO43</f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>
        <f>BO57</f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>
        <f t="shared" ref="BO101" si="0">SUM(BO98:BO100)</f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>
        <f>BO15+BO36+BO50</f>
        <v>19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>
        <f>BO92</f>
        <v>12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>
        <f t="shared" ref="BO105" si="1">SUM(BO102:BO104)</f>
        <v>31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>
        <f t="shared" ref="BO106" si="2">BO105+BO101</f>
        <v>31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>
        <f>BO11+BO26+BO33+BO47</f>
        <v>0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>
        <f>BO58</f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>
        <f>BO68+BO78+BO82+BO87</f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>
        <f t="shared" ref="BO111" si="3">SUM(BO108:BO110)</f>
        <v>0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>
        <f>BO19+BO40+BO54</f>
        <v>199514</v>
      </c>
    </row>
    <row r="113" spans="1:70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70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>
        <f>BO93</f>
        <v>157250</v>
      </c>
    </row>
    <row r="115" spans="1:70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>
        <f t="shared" ref="BO115" si="4">SUM(BO112:BO114)</f>
        <v>356764</v>
      </c>
    </row>
    <row r="116" spans="1:70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>
        <f t="shared" ref="BO116" si="5">BO115+BO111</f>
        <v>356764</v>
      </c>
      <c r="BR116" s="294"/>
    </row>
    <row r="117" spans="1:70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70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70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/>
      <c r="AV119" s="280"/>
      <c r="AW119" s="280"/>
      <c r="AX119" s="280"/>
      <c r="AY119" s="280"/>
      <c r="AZ119" s="280"/>
      <c r="BA119" s="259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59"/>
      <c r="BO119" s="343">
        <v>22</v>
      </c>
    </row>
    <row r="120" spans="1:70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/>
      <c r="AU120" s="107"/>
      <c r="AV120" s="39"/>
      <c r="AW120" s="39"/>
      <c r="AX120" s="39"/>
      <c r="AY120" s="39"/>
      <c r="AZ120" s="39"/>
      <c r="BA120" s="215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215"/>
      <c r="BO120" s="141">
        <v>0</v>
      </c>
    </row>
    <row r="121" spans="1:70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/>
      <c r="AU121" s="107"/>
      <c r="AV121" s="39"/>
      <c r="AW121" s="39"/>
      <c r="AX121" s="39"/>
      <c r="AY121" s="39"/>
      <c r="AZ121" s="39"/>
      <c r="BA121" s="215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215"/>
      <c r="BO121" s="141">
        <v>0</v>
      </c>
    </row>
    <row r="122" spans="1:70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/>
      <c r="AV122" s="57"/>
      <c r="AW122" s="57"/>
      <c r="AX122" s="57"/>
      <c r="AY122" s="57"/>
      <c r="AZ122" s="57"/>
      <c r="BA122" s="215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215"/>
      <c r="BO122" s="141">
        <f>-BM120</f>
        <v>0</v>
      </c>
    </row>
    <row r="123" spans="1:70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/>
      <c r="AV123" s="57"/>
      <c r="AW123" s="57"/>
      <c r="AX123" s="57"/>
      <c r="AY123" s="57"/>
      <c r="AZ123" s="57"/>
      <c r="BA123" s="215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215"/>
      <c r="BO123" s="141">
        <f>-BM121</f>
        <v>0</v>
      </c>
    </row>
    <row r="124" spans="1:70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/>
      <c r="AV124" s="344"/>
      <c r="AW124" s="344"/>
      <c r="AX124" s="344"/>
      <c r="AY124" s="344"/>
      <c r="AZ124" s="344"/>
      <c r="BA124" s="345"/>
      <c r="BB124" s="344"/>
      <c r="BC124" s="344"/>
      <c r="BD124" s="344"/>
      <c r="BE124" s="344"/>
      <c r="BF124" s="344"/>
      <c r="BG124" s="344"/>
      <c r="BH124" s="344"/>
      <c r="BI124" s="344"/>
      <c r="BJ124" s="344"/>
      <c r="BK124" s="344"/>
      <c r="BL124" s="344"/>
      <c r="BM124" s="344"/>
      <c r="BN124" s="345"/>
      <c r="BO124" s="272">
        <f t="shared" ref="BO124" si="6">SUM(BO120:BO123)</f>
        <v>0</v>
      </c>
    </row>
    <row r="125" spans="1:70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>
        <v>22</v>
      </c>
    </row>
    <row r="126" spans="1:70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>
        <v>27590</v>
      </c>
    </row>
    <row r="127" spans="1:70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>
        <v>21745</v>
      </c>
    </row>
    <row r="128" spans="1:70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>
        <f t="shared" ref="BO130" si="7">SUM(BO126:BO129)</f>
        <v>49335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/>
      <c r="AU132" s="66"/>
      <c r="AV132" s="66"/>
      <c r="AW132" s="66"/>
      <c r="AX132" s="66"/>
      <c r="AY132" s="66"/>
      <c r="AZ132" s="66"/>
      <c r="BA132" s="21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216"/>
      <c r="BO132" s="185">
        <f>BO111+BO124</f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S134"/>
  <sheetViews>
    <sheetView zoomScale="80" zoomScaleNormal="80" workbookViewId="0">
      <selection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1" width="12.42578125" hidden="1" customWidth="1" outlineLevel="1"/>
    <col min="22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4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9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9.7109375" style="3" bestFit="1" customWidth="1" collapsed="1"/>
    <col min="67" max="67" width="13.85546875" bestFit="1" customWidth="1"/>
    <col min="69" max="69" width="11.140625" bestFit="1" customWidth="1"/>
    <col min="70" max="70" width="11.5703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241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18" t="s">
        <v>36</v>
      </c>
      <c r="AP5" s="519" t="s">
        <v>37</v>
      </c>
      <c r="AQ5" s="519" t="s">
        <v>38</v>
      </c>
      <c r="AR5" s="519" t="s">
        <v>39</v>
      </c>
      <c r="AS5" s="519" t="s">
        <v>40</v>
      </c>
      <c r="AT5" s="519" t="s">
        <v>41</v>
      </c>
      <c r="AU5" s="519" t="s">
        <v>42</v>
      </c>
      <c r="AV5" s="519" t="s">
        <v>43</v>
      </c>
      <c r="AW5" s="519" t="s">
        <v>44</v>
      </c>
      <c r="AX5" s="519" t="s">
        <v>45</v>
      </c>
      <c r="AY5" s="519" t="s">
        <v>46</v>
      </c>
      <c r="AZ5" s="519" t="s">
        <v>47</v>
      </c>
      <c r="BA5" s="531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48"/>
      <c r="AP7" s="149"/>
      <c r="AQ7" s="149"/>
      <c r="AR7" s="149"/>
      <c r="AS7" s="149"/>
      <c r="AT7" s="107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>
        <f>IF('kWh_Streetlight Data'!C161=0,"",'kWh_Streetlight Data'!C161)</f>
        <v>1681.4565217391305</v>
      </c>
      <c r="C12" s="108">
        <f>IF('kWh_Streetlight Data'!D161=0,"",'kWh_Streetlight Data'!D161)</f>
        <v>1699.0139860139859</v>
      </c>
      <c r="D12" s="108">
        <f>IF('kWh_Streetlight Data'!E161=0,"",'kWh_Streetlight Data'!E161)</f>
        <v>1719.4861111111111</v>
      </c>
      <c r="E12" s="108">
        <f>IF('kWh_Streetlight Data'!F161=0,"",'kWh_Streetlight Data'!F161)</f>
        <v>1128.0734463276835</v>
      </c>
      <c r="F12" s="108">
        <f>IF('kWh_Streetlight Data'!G161=0,"",'kWh_Streetlight Data'!G161)</f>
        <v>1383.9662162162163</v>
      </c>
      <c r="G12" s="108">
        <f>IF('kWh_Streetlight Data'!H161=0,"",'kWh_Streetlight Data'!H161)</f>
        <v>1374.7083333333333</v>
      </c>
      <c r="H12" s="108">
        <f>IF('kWh_Streetlight Data'!I161=0,"",'kWh_Streetlight Data'!I161)</f>
        <v>932.51428571428573</v>
      </c>
      <c r="I12" s="108">
        <f>IF('kWh_Streetlight Data'!J161=0,"",'kWh_Streetlight Data'!J161)</f>
        <v>966.30597014925377</v>
      </c>
      <c r="J12" s="108">
        <f>IF('kWh_Streetlight Data'!K161=0,"",'kWh_Streetlight Data'!K161)</f>
        <v>318.77777777777777</v>
      </c>
      <c r="K12" s="108">
        <f>IF('kWh_Streetlight Data'!L161=0,"",'kWh_Streetlight Data'!L161)</f>
        <v>1095.0567375886526</v>
      </c>
      <c r="L12" s="108">
        <f>IF('kWh_Streetlight Data'!M161=0,"",'kWh_Streetlight Data'!M161)</f>
        <v>1462.4166666666667</v>
      </c>
      <c r="M12" s="108">
        <f>IF('kWh_Streetlight Data'!N161=0,"",'kWh_Streetlight Data'!N161)</f>
        <v>695.66666666666663</v>
      </c>
      <c r="N12" s="424">
        <f>IF('kWh_Streetlight Data'!O161=0,"",'kWh_Streetlight Data'!O161)</f>
        <v>1315.7527440785673</v>
      </c>
      <c r="O12" s="84">
        <f>IF('kWh_Streetlight Data'!P161=0,"",'kWh_Streetlight Data'!P161)</f>
        <v>1644.5357142857142</v>
      </c>
      <c r="P12" s="108">
        <f>IF('kWh_Streetlight Data'!Q161=0,"",'kWh_Streetlight Data'!Q161)</f>
        <v>1976.8</v>
      </c>
      <c r="Q12" s="108">
        <f>IF('kWh_Streetlight Data'!R161=0,"",'kWh_Streetlight Data'!R161)</f>
        <v>1738.4429530201342</v>
      </c>
      <c r="R12" s="108">
        <f>IF('kWh_Streetlight Data'!S161=0,"",'kWh_Streetlight Data'!S161)</f>
        <v>1471.3092105263158</v>
      </c>
      <c r="S12" s="108">
        <f>IF('kWh_Streetlight Data'!T161=0,"",'kWh_Streetlight Data'!T161)</f>
        <v>1552.1517241379311</v>
      </c>
      <c r="T12" s="108">
        <f>IF('kWh_Streetlight Data'!U161=0,"",'kWh_Streetlight Data'!U161)</f>
        <v>1275.952380952381</v>
      </c>
      <c r="U12" s="108">
        <f>IF('kWh_Streetlight Data'!V161=0,"",'kWh_Streetlight Data'!V161)</f>
        <v>1028.0999999999999</v>
      </c>
      <c r="V12" s="108">
        <f>IF('kWh_Streetlight Data'!W161=0,"",'kWh_Streetlight Data'!W161)</f>
        <v>1051.0555555555557</v>
      </c>
      <c r="W12" s="108">
        <f>IF('kWh_Streetlight Data'!X161=0,"",'kWh_Streetlight Data'!X161)</f>
        <v>881</v>
      </c>
      <c r="X12" s="108">
        <f>IF('kWh_Streetlight Data'!Y161=0,"",'kWh_Streetlight Data'!Y161)</f>
        <v>983.67346938775506</v>
      </c>
      <c r="Y12" s="108">
        <f>IF('kWh_Streetlight Data'!Z161=0,"",'kWh_Streetlight Data'!Z161)</f>
        <v>1534.2397260273972</v>
      </c>
      <c r="Z12" s="108">
        <f>IF('kWh_Streetlight Data'!AA161=0,"",'kWh_Streetlight Data'!AA161)</f>
        <v>1503.8571428571429</v>
      </c>
      <c r="AA12" s="424">
        <f>IF('kWh_Streetlight Data'!AB161=0,"",'kWh_Streetlight Data'!AB161)</f>
        <v>1385.679180887372</v>
      </c>
      <c r="AB12" s="129">
        <f>IF('kWh_Streetlight Data'!AC161=0,"",'kWh_Streetlight Data'!AC161)</f>
        <v>2175.7702702702704</v>
      </c>
      <c r="AC12" s="130">
        <f>IF('kWh_Streetlight Data'!AD161=0,"",'kWh_Streetlight Data'!AD161)</f>
        <v>1800.8243243243244</v>
      </c>
      <c r="AD12" s="130">
        <f>IF('kWh_Streetlight Data'!AE161=0,"",'kWh_Streetlight Data'!AE161)</f>
        <v>1956.1879194630872</v>
      </c>
      <c r="AE12" s="130">
        <f>IF('kWh_Streetlight Data'!AF161=0,"",'kWh_Streetlight Data'!AF161)</f>
        <v>1984.2617449664428</v>
      </c>
      <c r="AF12" s="130">
        <f>IF('kWh_Streetlight Data'!AG161=0,"",'kWh_Streetlight Data'!AG161)</f>
        <v>1664.3133333333333</v>
      </c>
      <c r="AG12" s="130">
        <f>IF('kWh_Streetlight Data'!AH161=0,"",'kWh_Streetlight Data'!AH161)</f>
        <v>1574.5394736842106</v>
      </c>
      <c r="AH12" s="130">
        <f>IF('kWh_Streetlight Data'!AI161=0,"",'kWh_Streetlight Data'!AI161)</f>
        <v>1182.5677419354838</v>
      </c>
      <c r="AI12" s="130">
        <f>IF('kWh_Streetlight Data'!AJ161=0,"",'kWh_Streetlight Data'!AJ161)</f>
        <v>1073.6081081081081</v>
      </c>
      <c r="AJ12" s="130">
        <f>IF('kWh_Streetlight Data'!AK161=0,"",'kWh_Streetlight Data'!AK161)</f>
        <v>857.81366459627327</v>
      </c>
      <c r="AK12" s="130">
        <f>IF('kWh_Streetlight Data'!AL161=0,"",'kWh_Streetlight Data'!AL161)</f>
        <v>1231.9597315436242</v>
      </c>
      <c r="AL12" s="130">
        <f>IF('kWh_Streetlight Data'!AM161=0,"",'kWh_Streetlight Data'!AM161)</f>
        <v>1524.36</v>
      </c>
      <c r="AM12" s="130">
        <f>IF('kWh_Streetlight Data'!AN161=0,"",'kWh_Streetlight Data'!AN161)</f>
        <v>1724.418918918919</v>
      </c>
      <c r="AN12" s="426">
        <f>IF('kWh_Streetlight Data'!AO161=0,"",'kWh_Streetlight Data'!AO161)</f>
        <v>1556.3752075262867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48"/>
      <c r="AP15" s="149"/>
      <c r="AQ15" s="149"/>
      <c r="AR15" s="149"/>
      <c r="AS15" s="149"/>
      <c r="AT15" s="107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>
        <f>Customers!L269</f>
        <v>162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8"/>
      <c r="BJ16" s="38"/>
      <c r="BK16" s="38"/>
      <c r="BL16" s="38"/>
      <c r="BM16" s="38"/>
      <c r="BN16" s="210"/>
      <c r="BO16" s="143">
        <f>ROUND(BO$19*'kWh Blocks by Rate Category'!W15,0)</f>
        <v>960720</v>
      </c>
    </row>
    <row r="17" spans="1:71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8"/>
      <c r="BJ17" s="38"/>
      <c r="BK17" s="38"/>
      <c r="BL17" s="38"/>
      <c r="BM17" s="38"/>
      <c r="BN17" s="210"/>
      <c r="BO17" s="143">
        <f>ROUND(BO$19*'kWh Blocks by Rate Category'!W16,0)</f>
        <v>511919</v>
      </c>
    </row>
    <row r="18" spans="1:71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8"/>
      <c r="BJ18" s="38"/>
      <c r="BK18" s="38"/>
      <c r="BL18" s="38"/>
      <c r="BM18" s="38"/>
      <c r="BN18" s="210"/>
      <c r="BO18" s="143">
        <f>ROUND(BO$19*'kWh Blocks by Rate Category'!W17,0)</f>
        <v>97612</v>
      </c>
      <c r="BR18" t="s">
        <v>232</v>
      </c>
    </row>
    <row r="19" spans="1:71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88">
        <f>IFERROR(ROUND(BO20*BO15/12*$BR$19,0),0)</f>
        <v>1570250</v>
      </c>
      <c r="BR19">
        <v>7</v>
      </c>
      <c r="BS19" t="s">
        <v>233</v>
      </c>
    </row>
    <row r="20" spans="1:71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Sachigo!BO20</f>
        <v>16616.401315789473</v>
      </c>
    </row>
    <row r="21" spans="1:71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1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71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71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71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71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1" ht="15" thickTop="1">
      <c r="A27" s="374" t="s">
        <v>54</v>
      </c>
      <c r="B27" s="84" t="str">
        <f>IF('kWh_Streetlight Data'!C162=0,"",'kWh_Streetlight Data'!C162)</f>
        <v/>
      </c>
      <c r="C27" s="108" t="str">
        <f>IF('kWh_Streetlight Data'!D162=0,"",'kWh_Streetlight Data'!D162)</f>
        <v/>
      </c>
      <c r="D27" s="108" t="str">
        <f>IF('kWh_Streetlight Data'!E162=0,"",'kWh_Streetlight Data'!E162)</f>
        <v/>
      </c>
      <c r="E27" s="108" t="str">
        <f>IF('kWh_Streetlight Data'!F162=0,"",'kWh_Streetlight Data'!F162)</f>
        <v/>
      </c>
      <c r="F27" s="108" t="str">
        <f>IF('kWh_Streetlight Data'!G162=0,"",'kWh_Streetlight Data'!G162)</f>
        <v/>
      </c>
      <c r="G27" s="108" t="str">
        <f>IF('kWh_Streetlight Data'!H162=0,"",'kWh_Streetlight Data'!H162)</f>
        <v/>
      </c>
      <c r="H27" s="108" t="str">
        <f>IF('kWh_Streetlight Data'!I162=0,"",'kWh_Streetlight Data'!I162)</f>
        <v/>
      </c>
      <c r="I27" s="108" t="str">
        <f>IF('kWh_Streetlight Data'!J162=0,"",'kWh_Streetlight Data'!J162)</f>
        <v/>
      </c>
      <c r="J27" s="108" t="str">
        <f>IF('kWh_Streetlight Data'!K162=0,"",'kWh_Streetlight Data'!K162)</f>
        <v/>
      </c>
      <c r="K27" s="108" t="str">
        <f>IF('kWh_Streetlight Data'!L162=0,"",'kWh_Streetlight Data'!L162)</f>
        <v/>
      </c>
      <c r="L27" s="108" t="str">
        <f>IF('kWh_Streetlight Data'!M162=0,"",'kWh_Streetlight Data'!M162)</f>
        <v/>
      </c>
      <c r="M27" s="108" t="str">
        <f>IF('kWh_Streetlight Data'!N162=0,"",'kWh_Streetlight Data'!N162)</f>
        <v/>
      </c>
      <c r="N27" s="424" t="str">
        <f>IF('kWh_Streetlight Data'!O162=0,"",'kWh_Streetlight Data'!O162)</f>
        <v/>
      </c>
      <c r="O27" s="84" t="str">
        <f>IF('kWh_Streetlight Data'!P162=0,"",'kWh_Streetlight Data'!P162)</f>
        <v/>
      </c>
      <c r="P27" s="108" t="str">
        <f>IF('kWh_Streetlight Data'!Q162=0,"",'kWh_Streetlight Data'!Q162)</f>
        <v/>
      </c>
      <c r="Q27" s="108" t="str">
        <f>IF('kWh_Streetlight Data'!R162=0,"",'kWh_Streetlight Data'!R162)</f>
        <v/>
      </c>
      <c r="R27" s="108" t="str">
        <f>IF('kWh_Streetlight Data'!S162=0,"",'kWh_Streetlight Data'!S162)</f>
        <v/>
      </c>
      <c r="S27" s="108" t="str">
        <f>IF('kWh_Streetlight Data'!T162=0,"",'kWh_Streetlight Data'!T162)</f>
        <v/>
      </c>
      <c r="T27" s="108" t="str">
        <f>IF('kWh_Streetlight Data'!U162=0,"",'kWh_Streetlight Data'!U162)</f>
        <v/>
      </c>
      <c r="U27" s="108" t="str">
        <f>IF('kWh_Streetlight Data'!V162=0,"",'kWh_Streetlight Data'!V162)</f>
        <v/>
      </c>
      <c r="V27" s="108" t="str">
        <f>IF('kWh_Streetlight Data'!W162=0,"",'kWh_Streetlight Data'!W162)</f>
        <v/>
      </c>
      <c r="W27" s="108" t="str">
        <f>IF('kWh_Streetlight Data'!X162=0,"",'kWh_Streetlight Data'!X162)</f>
        <v/>
      </c>
      <c r="X27" s="108" t="str">
        <f>IF('kWh_Streetlight Data'!Y162=0,"",'kWh_Streetlight Data'!Y162)</f>
        <v/>
      </c>
      <c r="Y27" s="108" t="str">
        <f>IF('kWh_Streetlight Data'!Z162=0,"",'kWh_Streetlight Data'!Z162)</f>
        <v/>
      </c>
      <c r="Z27" s="108" t="str">
        <f>IF('kWh_Streetlight Data'!AA162=0,"",'kWh_Streetlight Data'!AA162)</f>
        <v/>
      </c>
      <c r="AA27" s="424" t="str">
        <f>IF('kWh_Streetlight Data'!AB162=0,"",'kWh_Streetlight Data'!AB162)</f>
        <v/>
      </c>
      <c r="AB27" s="129" t="str">
        <f>IF('kWh_Streetlight Data'!AC162=0,"",'kWh_Streetlight Data'!AC162)</f>
        <v/>
      </c>
      <c r="AC27" s="130" t="str">
        <f>IF('kWh_Streetlight Data'!AD162=0,"",'kWh_Streetlight Data'!AD162)</f>
        <v/>
      </c>
      <c r="AD27" s="130" t="str">
        <f>IF('kWh_Streetlight Data'!AE162=0,"",'kWh_Streetlight Data'!AE162)</f>
        <v/>
      </c>
      <c r="AE27" s="130" t="str">
        <f>IF('kWh_Streetlight Data'!AF162=0,"",'kWh_Streetlight Data'!AF162)</f>
        <v/>
      </c>
      <c r="AF27" s="130" t="str">
        <f>IF('kWh_Streetlight Data'!AG162=0,"",'kWh_Streetlight Data'!AG162)</f>
        <v/>
      </c>
      <c r="AG27" s="130" t="str">
        <f>IF('kWh_Streetlight Data'!AH162=0,"",'kWh_Streetlight Data'!AH162)</f>
        <v/>
      </c>
      <c r="AH27" s="108" t="str">
        <f>IF('kWh_Streetlight Data'!AI162=0,"",'kWh_Streetlight Data'!AI162)</f>
        <v/>
      </c>
      <c r="AI27" s="108" t="str">
        <f>IF('kWh_Streetlight Data'!AJ162=0,"",'kWh_Streetlight Data'!AJ162)</f>
        <v/>
      </c>
      <c r="AJ27" s="108" t="str">
        <f>IF('kWh_Streetlight Data'!AK162=0,"",'kWh_Streetlight Data'!AK162)</f>
        <v/>
      </c>
      <c r="AK27" s="108" t="str">
        <f>IF('kWh_Streetlight Data'!AL162=0,"",'kWh_Streetlight Data'!AL162)</f>
        <v/>
      </c>
      <c r="AL27" s="108" t="str">
        <f>IF('kWh_Streetlight Data'!AM162=0,"",'kWh_Streetlight Data'!AM162)</f>
        <v/>
      </c>
      <c r="AM27" s="108" t="str">
        <f>IF('kWh_Streetlight Data'!AN162=0,"",'kWh_Streetlight Data'!AN162)</f>
        <v/>
      </c>
      <c r="AN27" s="426" t="str">
        <f>IF('kWh_Streetlight Data'!AO162=0,"",'kWh_Streetlight Data'!AO162)</f>
        <v/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71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1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71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71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71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>
        <f>IF('kWh_Streetlight Data'!C163=0,"",'kWh_Streetlight Data'!C163)</f>
        <v>1483.6</v>
      </c>
      <c r="C34" s="108">
        <f>IF('kWh_Streetlight Data'!D163=0,"",'kWh_Streetlight Data'!D163)</f>
        <v>1958.5333333333333</v>
      </c>
      <c r="D34" s="108">
        <f>IF('kWh_Streetlight Data'!E163=0,"",'kWh_Streetlight Data'!E163)</f>
        <v>2162.8000000000002</v>
      </c>
      <c r="E34" s="108">
        <f>IF('kWh_Streetlight Data'!F163=0,"",'kWh_Streetlight Data'!F163)</f>
        <v>1610.3333333333333</v>
      </c>
      <c r="F34" s="108">
        <f>IF('kWh_Streetlight Data'!G163=0,"",'kWh_Streetlight Data'!G163)</f>
        <v>1334.4</v>
      </c>
      <c r="G34" s="108">
        <f>IF('kWh_Streetlight Data'!H163=0,"",'kWh_Streetlight Data'!H163)</f>
        <v>831.8</v>
      </c>
      <c r="H34" s="108">
        <f>IF('kWh_Streetlight Data'!I163=0,"",'kWh_Streetlight Data'!I163)</f>
        <v>559.20000000000005</v>
      </c>
      <c r="I34" s="108">
        <f>IF('kWh_Streetlight Data'!J163=0,"",'kWh_Streetlight Data'!J163)</f>
        <v>602.4666666666667</v>
      </c>
      <c r="J34" s="108" t="str">
        <f>IF('kWh_Streetlight Data'!K163=0,"",'kWh_Streetlight Data'!K163)</f>
        <v/>
      </c>
      <c r="K34" s="108">
        <f>IF('kWh_Streetlight Data'!L163=0,"",'kWh_Streetlight Data'!L163)</f>
        <v>757.93333333333328</v>
      </c>
      <c r="L34" s="108">
        <f>IF('kWh_Streetlight Data'!M163=0,"",'kWh_Streetlight Data'!M163)</f>
        <v>1029.2</v>
      </c>
      <c r="M34" s="108" t="str">
        <f>IF('kWh_Streetlight Data'!N163=0,"",'kWh_Streetlight Data'!N163)</f>
        <v/>
      </c>
      <c r="N34" s="424">
        <f>IF('kWh_Streetlight Data'!O163=0,"",'kWh_Streetlight Data'!O163)</f>
        <v>1163.4944444444445</v>
      </c>
      <c r="O34" s="84">
        <f>IF('kWh_Streetlight Data'!P163=0,"",'kWh_Streetlight Data'!P163)</f>
        <v>1535.2857142857142</v>
      </c>
      <c r="P34" s="108">
        <f>IF('kWh_Streetlight Data'!Q163=0,"",'kWh_Streetlight Data'!Q163)</f>
        <v>1874.4375</v>
      </c>
      <c r="Q34" s="108">
        <f>IF('kWh_Streetlight Data'!R163=0,"",'kWh_Streetlight Data'!R163)</f>
        <v>2016.5</v>
      </c>
      <c r="R34" s="108">
        <f>IF('kWh_Streetlight Data'!S163=0,"",'kWh_Streetlight Data'!S163)</f>
        <v>1616.6875</v>
      </c>
      <c r="S34" s="108">
        <f>IF('kWh_Streetlight Data'!T163=0,"",'kWh_Streetlight Data'!T163)</f>
        <v>1197.375</v>
      </c>
      <c r="T34" s="108">
        <f>IF('kWh_Streetlight Data'!U163=0,"",'kWh_Streetlight Data'!U163)</f>
        <v>992.5</v>
      </c>
      <c r="U34" s="108">
        <f>IF('kWh_Streetlight Data'!V163=0,"",'kWh_Streetlight Data'!V163)</f>
        <v>718.94117647058829</v>
      </c>
      <c r="V34" s="108">
        <f>IF('kWh_Streetlight Data'!W163=0,"",'kWh_Streetlight Data'!W163)</f>
        <v>978.75</v>
      </c>
      <c r="W34" s="108">
        <f>IF('kWh_Streetlight Data'!X163=0,"",'kWh_Streetlight Data'!X163)</f>
        <v>932.5625</v>
      </c>
      <c r="X34" s="108">
        <f>IF('kWh_Streetlight Data'!Y163=0,"",'kWh_Streetlight Data'!Y163)</f>
        <v>879.88235294117646</v>
      </c>
      <c r="Y34" s="108">
        <f>IF('kWh_Streetlight Data'!Z163=0,"",'kWh_Streetlight Data'!Z163)</f>
        <v>1389.6875</v>
      </c>
      <c r="Z34" s="108">
        <f>IF('kWh_Streetlight Data'!AA163=0,"",'kWh_Streetlight Data'!AA163)</f>
        <v>2045.4375</v>
      </c>
      <c r="AA34" s="424">
        <f>IF('kWh_Streetlight Data'!AB163=0,"",'kWh_Streetlight Data'!AB163)</f>
        <v>1340.5052083333333</v>
      </c>
      <c r="AB34" s="129">
        <f>IF('kWh_Streetlight Data'!AC163=0,"",'kWh_Streetlight Data'!AC163)</f>
        <v>2414.125</v>
      </c>
      <c r="AC34" s="130">
        <f>IF('kWh_Streetlight Data'!AD163=0,"",'kWh_Streetlight Data'!AD163)</f>
        <v>1998.7647058823529</v>
      </c>
      <c r="AD34" s="130">
        <f>IF('kWh_Streetlight Data'!AE163=0,"",'kWh_Streetlight Data'!AE163)</f>
        <v>2070.8666666666668</v>
      </c>
      <c r="AE34" s="130">
        <f>IF('kWh_Streetlight Data'!AF163=0,"",'kWh_Streetlight Data'!AF163)</f>
        <v>1737.9375</v>
      </c>
      <c r="AF34" s="130">
        <f>IF('kWh_Streetlight Data'!AG163=0,"",'kWh_Streetlight Data'!AG163)</f>
        <v>957.6875</v>
      </c>
      <c r="AG34" s="130">
        <f>IF('kWh_Streetlight Data'!AH163=0,"",'kWh_Streetlight Data'!AH163)</f>
        <v>1049.75</v>
      </c>
      <c r="AH34" s="130">
        <f>IF('kWh_Streetlight Data'!AI163=0,"",'kWh_Streetlight Data'!AI163)</f>
        <v>930.6</v>
      </c>
      <c r="AI34" s="130">
        <f>IF('kWh_Streetlight Data'!AJ163=0,"",'kWh_Streetlight Data'!AJ163)</f>
        <v>903.2</v>
      </c>
      <c r="AJ34" s="130">
        <f>IF('kWh_Streetlight Data'!AK163=0,"",'kWh_Streetlight Data'!AK163)</f>
        <v>1005.3333333333334</v>
      </c>
      <c r="AK34" s="130">
        <f>IF('kWh_Streetlight Data'!AL163=0,"",'kWh_Streetlight Data'!AL163)</f>
        <v>1025.625</v>
      </c>
      <c r="AL34" s="130">
        <f>IF('kWh_Streetlight Data'!AM163=0,"",'kWh_Streetlight Data'!AM163)</f>
        <v>1506.75</v>
      </c>
      <c r="AM34" s="130">
        <f>IF('kWh_Streetlight Data'!AN163=0,"",'kWh_Streetlight Data'!AN163)</f>
        <v>1295.1333333333334</v>
      </c>
      <c r="AN34" s="426">
        <f>IF('kWh_Streetlight Data'!AO163=0,"",'kWh_Streetlight Data'!AO163)</f>
        <v>1415.563829787234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48"/>
      <c r="AP36" s="149"/>
      <c r="AQ36" s="149"/>
      <c r="AR36" s="149"/>
      <c r="AS36" s="149"/>
      <c r="AT36" s="107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>
        <f>Customers!L270</f>
        <v>16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8"/>
      <c r="BJ37" s="38"/>
      <c r="BK37" s="38"/>
      <c r="BL37" s="38"/>
      <c r="BM37" s="38"/>
      <c r="BN37" s="210"/>
      <c r="BO37" s="143">
        <f>ROUND(BO$40*'kWh Blocks by Rate Category'!W36,0)</f>
        <v>136473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8"/>
      <c r="BJ38" s="38"/>
      <c r="BK38" s="38"/>
      <c r="BL38" s="38"/>
      <c r="BM38" s="38"/>
      <c r="BN38" s="210"/>
      <c r="BO38" s="143">
        <f>ROUND(BO$40*'kWh Blocks by Rate Category'!W37,0)</f>
        <v>12995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8"/>
      <c r="BJ39" s="38"/>
      <c r="BK39" s="38"/>
      <c r="BL39" s="38"/>
      <c r="BM39" s="38"/>
      <c r="BN39" s="210"/>
      <c r="BO39" s="143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88">
        <f>IFERROR(ROUND(BO41*BO36/12*$BR$19,0),0)</f>
        <v>149468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Sachigo!BO41</f>
        <v>16014.4375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84">
        <f>IF('kWh_Streetlight Data'!C164=0,"",'kWh_Streetlight Data'!C164)</f>
        <v>11595</v>
      </c>
      <c r="C48" s="130">
        <f>IF('kWh_Streetlight Data'!D164=0,"",'kWh_Streetlight Data'!D164)</f>
        <v>11455</v>
      </c>
      <c r="D48" s="130">
        <f>IF('kWh_Streetlight Data'!E164=0,"",'kWh_Streetlight Data'!E164)</f>
        <v>12545</v>
      </c>
      <c r="E48" s="130">
        <f>IF('kWh_Streetlight Data'!F164=0,"",'kWh_Streetlight Data'!F164)</f>
        <v>10990</v>
      </c>
      <c r="F48" s="130">
        <f>IF('kWh_Streetlight Data'!G164=0,"",'kWh_Streetlight Data'!G164)</f>
        <v>11540</v>
      </c>
      <c r="G48" s="130">
        <f>IF('kWh_Streetlight Data'!H164=0,"",'kWh_Streetlight Data'!H164)</f>
        <v>13645</v>
      </c>
      <c r="H48" s="130">
        <f>IF('kWh_Streetlight Data'!I164=0,"",'kWh_Streetlight Data'!I164)</f>
        <v>10825</v>
      </c>
      <c r="I48" s="130">
        <f>IF('kWh_Streetlight Data'!J164=0,"",'kWh_Streetlight Data'!J164)</f>
        <v>11910</v>
      </c>
      <c r="J48" s="130" t="str">
        <f>IF('kWh_Streetlight Data'!K164=0,"",'kWh_Streetlight Data'!K164)</f>
        <v/>
      </c>
      <c r="K48" s="130">
        <f>IF('kWh_Streetlight Data'!L164=0,"",'kWh_Streetlight Data'!L164)</f>
        <v>10610</v>
      </c>
      <c r="L48" s="130">
        <f>IF('kWh_Streetlight Data'!M164=0,"",'kWh_Streetlight Data'!M164)</f>
        <v>11077.5</v>
      </c>
      <c r="M48" s="130" t="str">
        <f>IF('kWh_Streetlight Data'!N164=0,"",'kWh_Streetlight Data'!N164)</f>
        <v/>
      </c>
      <c r="N48" s="424">
        <f>IF('kWh_Streetlight Data'!O164=0,"",'kWh_Streetlight Data'!O164)</f>
        <v>11598.333333333334</v>
      </c>
      <c r="O48" s="129">
        <f>IF('kWh_Streetlight Data'!P164=0,"",'kWh_Streetlight Data'!P164)</f>
        <v>11310</v>
      </c>
      <c r="P48" s="130">
        <f>IF('kWh_Streetlight Data'!Q164=0,"",'kWh_Streetlight Data'!Q164)</f>
        <v>11770</v>
      </c>
      <c r="Q48" s="130">
        <f>IF('kWh_Streetlight Data'!R164=0,"",'kWh_Streetlight Data'!R164)</f>
        <v>10850</v>
      </c>
      <c r="R48" s="130">
        <f>IF('kWh_Streetlight Data'!S164=0,"",'kWh_Streetlight Data'!S164)</f>
        <v>10590</v>
      </c>
      <c r="S48" s="130">
        <f>IF('kWh_Streetlight Data'!T164=0,"",'kWh_Streetlight Data'!T164)</f>
        <v>11140</v>
      </c>
      <c r="T48" s="130">
        <f>IF('kWh_Streetlight Data'!U164=0,"",'kWh_Streetlight Data'!U164)</f>
        <v>10270</v>
      </c>
      <c r="U48" s="130">
        <f>IF('kWh_Streetlight Data'!V164=0,"",'kWh_Streetlight Data'!V164)</f>
        <v>7842</v>
      </c>
      <c r="V48" s="130">
        <f>IF('kWh_Streetlight Data'!W164=0,"",'kWh_Streetlight Data'!W164)</f>
        <v>10890</v>
      </c>
      <c r="W48" s="130">
        <f>IF('kWh_Streetlight Data'!X164=0,"",'kWh_Streetlight Data'!X164)</f>
        <v>11786.666666666666</v>
      </c>
      <c r="X48" s="130">
        <f>IF('kWh_Streetlight Data'!Y164=0,"",'kWh_Streetlight Data'!Y164)</f>
        <v>11556.666666666666</v>
      </c>
      <c r="Y48" s="130">
        <f>IF('kWh_Streetlight Data'!Z164=0,"",'kWh_Streetlight Data'!Z164)</f>
        <v>16420</v>
      </c>
      <c r="Z48" s="130">
        <f>IF('kWh_Streetlight Data'!AA164=0,"",'kWh_Streetlight Data'!AA164)</f>
        <v>19590</v>
      </c>
      <c r="AA48" s="424">
        <f>IF('kWh_Streetlight Data'!AB164=0,"",'kWh_Streetlight Data'!AB164)</f>
        <v>11931.25</v>
      </c>
      <c r="AB48" s="129">
        <f>IF('kWh_Streetlight Data'!AC164=0,"",'kWh_Streetlight Data'!AC164)</f>
        <v>22810</v>
      </c>
      <c r="AC48" s="130">
        <f>IF('kWh_Streetlight Data'!AD164=0,"",'kWh_Streetlight Data'!AD164)</f>
        <v>15002</v>
      </c>
      <c r="AD48" s="130">
        <f>IF('kWh_Streetlight Data'!AE164=0,"",'kWh_Streetlight Data'!AE164)</f>
        <v>20873.333333333332</v>
      </c>
      <c r="AE48" s="130">
        <f>IF('kWh_Streetlight Data'!AF164=0,"",'kWh_Streetlight Data'!AF164)</f>
        <v>17705</v>
      </c>
      <c r="AF48" s="130">
        <f>IF('kWh_Streetlight Data'!AG164=0,"",'kWh_Streetlight Data'!AG164)</f>
        <v>11700</v>
      </c>
      <c r="AG48" s="130">
        <f>IF('kWh_Streetlight Data'!AH164=0,"",'kWh_Streetlight Data'!AH164)</f>
        <v>11030</v>
      </c>
      <c r="AH48" s="130">
        <f>IF('kWh_Streetlight Data'!AI164=0,"",'kWh_Streetlight Data'!AI164)</f>
        <v>9747.5</v>
      </c>
      <c r="AI48" s="130">
        <f>IF('kWh_Streetlight Data'!AJ164=0,"",'kWh_Streetlight Data'!AJ164)</f>
        <v>8180</v>
      </c>
      <c r="AJ48" s="130">
        <f>IF('kWh_Streetlight Data'!AK164=0,"",'kWh_Streetlight Data'!AK164)</f>
        <v>8547.5</v>
      </c>
      <c r="AK48" s="130">
        <f>IF('kWh_Streetlight Data'!AL164=0,"",'kWh_Streetlight Data'!AL164)</f>
        <v>9220</v>
      </c>
      <c r="AL48" s="130">
        <f>IF('kWh_Streetlight Data'!AM164=0,"",'kWh_Streetlight Data'!AM164)</f>
        <v>12967.5</v>
      </c>
      <c r="AM48" s="130">
        <f>IF('kWh_Streetlight Data'!AN164=0,"",'kWh_Streetlight Data'!AN164)</f>
        <v>15560</v>
      </c>
      <c r="AN48" s="426">
        <f>IF('kWh_Streetlight Data'!AO164=0,"",'kWh_Streetlight Data'!AO164)</f>
        <v>13291.276595744681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48"/>
      <c r="AP50" s="149"/>
      <c r="AQ50" s="149"/>
      <c r="AR50" s="149"/>
      <c r="AS50" s="149"/>
      <c r="AT50" s="107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109"/>
      <c r="BJ50" s="39"/>
      <c r="BK50" s="39"/>
      <c r="BL50" s="39"/>
      <c r="BM50" s="39"/>
      <c r="BN50" s="210"/>
      <c r="BO50" s="125">
        <f>Customers!L271</f>
        <v>4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>
        <f>BO54</f>
        <v>351005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>
        <v>0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>
        <v>0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88">
        <f>IFERROR(ROUND(BO55*BO50/12*$BR$19,0),0)</f>
        <v>351005</v>
      </c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>
        <f>Sachigo!BO55</f>
        <v>150430.5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113" t="str">
        <f>IF('kWh_Streetlight Data'!C244=0,"",'kWh_Streetlight Data'!C244)</f>
        <v/>
      </c>
      <c r="C58" s="114" t="str">
        <f>IF('kWh_Streetlight Data'!D244=0,"",'kWh_Streetlight Data'!D244)</f>
        <v/>
      </c>
      <c r="D58" s="114" t="str">
        <f>IF('kWh_Streetlight Data'!E244=0,"",'kWh_Streetlight Data'!E244)</f>
        <v/>
      </c>
      <c r="E58" s="114" t="str">
        <f>IF('kWh_Streetlight Data'!F244=0,"",'kWh_Streetlight Data'!F244)</f>
        <v/>
      </c>
      <c r="F58" s="114" t="str">
        <f>IF('kWh_Streetlight Data'!G244=0,"",'kWh_Streetlight Data'!G244)</f>
        <v/>
      </c>
      <c r="G58" s="114" t="str">
        <f>IF('kWh_Streetlight Data'!H244=0,"",'kWh_Streetlight Data'!H244)</f>
        <v/>
      </c>
      <c r="H58" s="114" t="str">
        <f>IF('kWh_Streetlight Data'!I244=0,"",'kWh_Streetlight Data'!I244)</f>
        <v/>
      </c>
      <c r="I58" s="114" t="str">
        <f>IF('kWh_Streetlight Data'!J244=0,"",'kWh_Streetlight Data'!J244)</f>
        <v/>
      </c>
      <c r="J58" s="114" t="str">
        <f>IF('kWh_Streetlight Data'!K244=0,"",'kWh_Streetlight Data'!K244)</f>
        <v/>
      </c>
      <c r="K58" s="114" t="str">
        <f>IF('kWh_Streetlight Data'!L244=0,"",'kWh_Streetlight Data'!L244)</f>
        <v/>
      </c>
      <c r="L58" s="114" t="str">
        <f>IF('kWh_Streetlight Data'!M244=0,"",'kWh_Streetlight Data'!M244)</f>
        <v/>
      </c>
      <c r="M58" s="114" t="str">
        <f>IF('kWh_Streetlight Data'!N244=0,"",'kWh_Streetlight Data'!N244)</f>
        <v/>
      </c>
      <c r="N58" s="459" t="str">
        <f>IF('kWh_Streetlight Data'!O244=0,"",'kWh_Streetlight Data'!O244)</f>
        <v/>
      </c>
      <c r="O58" s="113" t="str">
        <f>IF('kWh_Streetlight Data'!P244=0,"",'kWh_Streetlight Data'!P244)</f>
        <v/>
      </c>
      <c r="P58" s="114" t="str">
        <f>IF('kWh_Streetlight Data'!Q244=0,"",'kWh_Streetlight Data'!Q244)</f>
        <v/>
      </c>
      <c r="Q58" s="114" t="str">
        <f>IF('kWh_Streetlight Data'!R244=0,"",'kWh_Streetlight Data'!R244)</f>
        <v/>
      </c>
      <c r="R58" s="114" t="str">
        <f>IF('kWh_Streetlight Data'!S244=0,"",'kWh_Streetlight Data'!S244)</f>
        <v/>
      </c>
      <c r="S58" s="114" t="str">
        <f>IF('kWh_Streetlight Data'!T244=0,"",'kWh_Streetlight Data'!T244)</f>
        <v/>
      </c>
      <c r="T58" s="114" t="str">
        <f>IF('kWh_Streetlight Data'!U244=0,"",'kWh_Streetlight Data'!U244)</f>
        <v/>
      </c>
      <c r="U58" s="114" t="str">
        <f>IF('kWh_Streetlight Data'!V244=0,"",'kWh_Streetlight Data'!V244)</f>
        <v/>
      </c>
      <c r="V58" s="114" t="str">
        <f>IF('kWh_Streetlight Data'!W244=0,"",'kWh_Streetlight Data'!W244)</f>
        <v/>
      </c>
      <c r="W58" s="114" t="str">
        <f>IF('kWh_Streetlight Data'!X244=0,"",'kWh_Streetlight Data'!X244)</f>
        <v/>
      </c>
      <c r="X58" s="114" t="str">
        <f>IF('kWh_Streetlight Data'!Y244=0,"",'kWh_Streetlight Data'!Y244)</f>
        <v/>
      </c>
      <c r="Y58" s="114" t="str">
        <f>IF('kWh_Streetlight Data'!Z244=0,"",'kWh_Streetlight Data'!Z244)</f>
        <v/>
      </c>
      <c r="Z58" s="114" t="str">
        <f>IF('kWh_Streetlight Data'!AA244=0,"",'kWh_Streetlight Data'!AA244)</f>
        <v/>
      </c>
      <c r="AA58" s="459" t="str">
        <f>IF('kWh_Streetlight Data'!AB244=0,"",'kWh_Streetlight Data'!AB244)</f>
        <v/>
      </c>
      <c r="AB58" s="115">
        <f>IF('kWh_Streetlight Data'!AC244=0,"",'kWh_Streetlight Data'!AC244)</f>
        <v>3400</v>
      </c>
      <c r="AC58" s="116">
        <f>IF('kWh_Streetlight Data'!AD244=0,"",'kWh_Streetlight Data'!AD244)</f>
        <v>3400</v>
      </c>
      <c r="AD58" s="116">
        <f>IF('kWh_Streetlight Data'!AE244=0,"",'kWh_Streetlight Data'!AE244)</f>
        <v>3400</v>
      </c>
      <c r="AE58" s="116">
        <f>IF('kWh_Streetlight Data'!AF244=0,"",'kWh_Streetlight Data'!AF244)</f>
        <v>3400</v>
      </c>
      <c r="AF58" s="116">
        <f>IF('kWh_Streetlight Data'!AG244=0,"",'kWh_Streetlight Data'!AG244)</f>
        <v>3400</v>
      </c>
      <c r="AG58" s="116">
        <f>IF('kWh_Streetlight Data'!AH244=0,"",'kWh_Streetlight Data'!AH244)</f>
        <v>3400</v>
      </c>
      <c r="AH58" s="116">
        <f>IF('kWh_Streetlight Data'!AI244=0,"",'kWh_Streetlight Data'!AI244)</f>
        <v>3400</v>
      </c>
      <c r="AI58" s="116">
        <f>IF('kWh_Streetlight Data'!AJ244=0,"",'kWh_Streetlight Data'!AJ244)</f>
        <v>3400</v>
      </c>
      <c r="AJ58" s="116">
        <f>IF('kWh_Streetlight Data'!AK244=0,"",'kWh_Streetlight Data'!AK244)</f>
        <v>3400</v>
      </c>
      <c r="AK58" s="116">
        <f>IF('kWh_Streetlight Data'!AL244=0,"",'kWh_Streetlight Data'!AL244)</f>
        <v>3400</v>
      </c>
      <c r="AL58" s="116">
        <f>IF('kWh_Streetlight Data'!AM244=0,"",'kWh_Streetlight Data'!AM244)</f>
        <v>3400</v>
      </c>
      <c r="AM58" s="475">
        <f>IF('kWh_Streetlight Data'!AN244=0,"",'kWh_Streetlight Data'!AN244)</f>
        <v>3400</v>
      </c>
      <c r="AN58" s="458">
        <f>IF('kWh_Streetlight Data'!AO244=0,"",'kWh_Streetlight Data'!AO244)</f>
        <v>3400</v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84" t="str">
        <f>IF('kWh_Streetlight Data'!C165=0,"",'kWh_Streetlight Data'!C165)</f>
        <v/>
      </c>
      <c r="C69" s="130" t="str">
        <f>IF('kWh_Streetlight Data'!D165=0,"",'kWh_Streetlight Data'!D165)</f>
        <v/>
      </c>
      <c r="D69" s="130" t="str">
        <f>IF('kWh_Streetlight Data'!E165=0,"",'kWh_Streetlight Data'!E165)</f>
        <v/>
      </c>
      <c r="E69" s="130" t="str">
        <f>IF('kWh_Streetlight Data'!F165=0,"",'kWh_Streetlight Data'!F165)</f>
        <v/>
      </c>
      <c r="F69" s="130" t="str">
        <f>IF('kWh_Streetlight Data'!G165=0,"",'kWh_Streetlight Data'!G165)</f>
        <v/>
      </c>
      <c r="G69" s="130" t="str">
        <f>IF('kWh_Streetlight Data'!H165=0,"",'kWh_Streetlight Data'!H165)</f>
        <v/>
      </c>
      <c r="H69" s="130" t="str">
        <f>IF('kWh_Streetlight Data'!I165=0,"",'kWh_Streetlight Data'!I165)</f>
        <v/>
      </c>
      <c r="I69" s="130" t="str">
        <f>IF('kWh_Streetlight Data'!J165=0,"",'kWh_Streetlight Data'!J165)</f>
        <v/>
      </c>
      <c r="J69" s="130" t="str">
        <f>IF('kWh_Streetlight Data'!K165=0,"",'kWh_Streetlight Data'!K165)</f>
        <v/>
      </c>
      <c r="K69" s="130" t="str">
        <f>IF('kWh_Streetlight Data'!L165=0,"",'kWh_Streetlight Data'!L165)</f>
        <v/>
      </c>
      <c r="L69" s="130" t="str">
        <f>IF('kWh_Streetlight Data'!M165=0,"",'kWh_Streetlight Data'!M165)</f>
        <v/>
      </c>
      <c r="M69" s="130" t="str">
        <f>IF('kWh_Streetlight Data'!N165=0,"",'kWh_Streetlight Data'!N165)</f>
        <v/>
      </c>
      <c r="N69" s="424" t="str">
        <f>IF('kWh_Streetlight Data'!O165=0,"",'kWh_Streetlight Data'!O165)</f>
        <v/>
      </c>
      <c r="O69" s="84" t="str">
        <f>IF('kWh_Streetlight Data'!P165=0,"",'kWh_Streetlight Data'!P165)</f>
        <v/>
      </c>
      <c r="P69" s="108" t="str">
        <f>IF('kWh_Streetlight Data'!Q165=0,"",'kWh_Streetlight Data'!Q165)</f>
        <v/>
      </c>
      <c r="Q69" s="108" t="str">
        <f>IF('kWh_Streetlight Data'!R165=0,"",'kWh_Streetlight Data'!R165)</f>
        <v/>
      </c>
      <c r="R69" s="108" t="str">
        <f>IF('kWh_Streetlight Data'!S165=0,"",'kWh_Streetlight Data'!S165)</f>
        <v/>
      </c>
      <c r="S69" s="108" t="str">
        <f>IF('kWh_Streetlight Data'!T165=0,"",'kWh_Streetlight Data'!T165)</f>
        <v/>
      </c>
      <c r="T69" s="108" t="str">
        <f>IF('kWh_Streetlight Data'!U165=0,"",'kWh_Streetlight Data'!U165)</f>
        <v/>
      </c>
      <c r="U69" s="108" t="str">
        <f>IF('kWh_Streetlight Data'!V165=0,"",'kWh_Streetlight Data'!V165)</f>
        <v/>
      </c>
      <c r="V69" s="108" t="str">
        <f>IF('kWh_Streetlight Data'!W165=0,"",'kWh_Streetlight Data'!W165)</f>
        <v/>
      </c>
      <c r="W69" s="108" t="str">
        <f>IF('kWh_Streetlight Data'!X165=0,"",'kWh_Streetlight Data'!X165)</f>
        <v/>
      </c>
      <c r="X69" s="108" t="str">
        <f>IF('kWh_Streetlight Data'!Y165=0,"",'kWh_Streetlight Data'!Y165)</f>
        <v/>
      </c>
      <c r="Y69" s="108" t="str">
        <f>IF('kWh_Streetlight Data'!Z165=0,"",'kWh_Streetlight Data'!Z165)</f>
        <v/>
      </c>
      <c r="Z69" s="108" t="str">
        <f>IF('kWh_Streetlight Data'!AA165=0,"",'kWh_Streetlight Data'!AA165)</f>
        <v/>
      </c>
      <c r="AA69" s="424" t="str">
        <f>IF('kWh_Streetlight Data'!AB165=0,"",'kWh_Streetlight Data'!AB165)</f>
        <v/>
      </c>
      <c r="AB69" s="84" t="str">
        <f>IF('kWh_Streetlight Data'!AC165=0,"",'kWh_Streetlight Data'!AC165)</f>
        <v/>
      </c>
      <c r="AC69" s="108" t="str">
        <f>IF('kWh_Streetlight Data'!AD165=0,"",'kWh_Streetlight Data'!AD165)</f>
        <v/>
      </c>
      <c r="AD69" s="108" t="str">
        <f>IF('kWh_Streetlight Data'!AE165=0,"",'kWh_Streetlight Data'!AE165)</f>
        <v/>
      </c>
      <c r="AE69" s="108" t="str">
        <f>IF('kWh_Streetlight Data'!AF165=0,"",'kWh_Streetlight Data'!AF165)</f>
        <v/>
      </c>
      <c r="AF69" s="108" t="str">
        <f>IF('kWh_Streetlight Data'!AG165=0,"",'kWh_Streetlight Data'!AG165)</f>
        <v/>
      </c>
      <c r="AG69" s="108" t="str">
        <f>IF('kWh_Streetlight Data'!AH165=0,"",'kWh_Streetlight Data'!AH165)</f>
        <v/>
      </c>
      <c r="AH69" s="130" t="str">
        <f>IF('kWh_Streetlight Data'!AI165=0,"",'kWh_Streetlight Data'!AI165)</f>
        <v/>
      </c>
      <c r="AI69" s="130" t="str">
        <f>IF('kWh_Streetlight Data'!AJ165=0,"",'kWh_Streetlight Data'!AJ165)</f>
        <v/>
      </c>
      <c r="AJ69" s="130" t="str">
        <f>IF('kWh_Streetlight Data'!AK165=0,"",'kWh_Streetlight Data'!AK165)</f>
        <v/>
      </c>
      <c r="AK69" s="130" t="str">
        <f>IF('kWh_Streetlight Data'!AL165=0,"",'kWh_Streetlight Data'!AL165)</f>
        <v/>
      </c>
      <c r="AL69" s="130" t="str">
        <f>IF('kWh_Streetlight Data'!AM165=0,"",'kWh_Streetlight Data'!AM165)</f>
        <v/>
      </c>
      <c r="AM69" s="130" t="str">
        <f>IF('kWh_Streetlight Data'!AN165=0,"",'kWh_Streetlight Data'!AN165)</f>
        <v/>
      </c>
      <c r="AN69" s="424" t="str">
        <f>IF('kWh_Streetlight Data'!AO165=0,"",'kWh_Streetlight Data'!AO165)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84">
        <f>IF('kWh_Streetlight Data'!C166=0,"",'kWh_Streetlight Data'!C166)</f>
        <v>2679.2</v>
      </c>
      <c r="C79" s="108">
        <f>IF('kWh_Streetlight Data'!D166=0,"",'kWh_Streetlight Data'!D166)</f>
        <v>2861.4</v>
      </c>
      <c r="D79" s="108">
        <f>IF('kWh_Streetlight Data'!E166=0,"",'kWh_Streetlight Data'!E166)</f>
        <v>2954.2</v>
      </c>
      <c r="E79" s="108">
        <f>IF('kWh_Streetlight Data'!F166=0,"",'kWh_Streetlight Data'!F166)</f>
        <v>2313.1999999999998</v>
      </c>
      <c r="F79" s="108">
        <f>IF('kWh_Streetlight Data'!G166=0,"",'kWh_Streetlight Data'!G166)</f>
        <v>2312</v>
      </c>
      <c r="G79" s="108">
        <f>IF('kWh_Streetlight Data'!H166=0,"",'kWh_Streetlight Data'!H166)</f>
        <v>2199.4</v>
      </c>
      <c r="H79" s="108">
        <f>IF('kWh_Streetlight Data'!I166=0,"",'kWh_Streetlight Data'!I166)</f>
        <v>1104.8</v>
      </c>
      <c r="I79" s="108">
        <f>IF('kWh_Streetlight Data'!J166=0,"",'kWh_Streetlight Data'!J166)</f>
        <v>1002.4</v>
      </c>
      <c r="J79" s="108" t="str">
        <f>IF('kWh_Streetlight Data'!K166=0,"",'kWh_Streetlight Data'!K166)</f>
        <v/>
      </c>
      <c r="K79" s="108">
        <f>IF('kWh_Streetlight Data'!L166=0,"",'kWh_Streetlight Data'!L166)</f>
        <v>1423.6</v>
      </c>
      <c r="L79" s="108">
        <f>IF('kWh_Streetlight Data'!M166=0,"",'kWh_Streetlight Data'!M166)</f>
        <v>1984.7777777777778</v>
      </c>
      <c r="M79" s="108">
        <f>IF('kWh_Streetlight Data'!N166=0,"",'kWh_Streetlight Data'!N166)</f>
        <v>4441</v>
      </c>
      <c r="N79" s="111">
        <f>IF('kWh_Streetlight Data'!O166=0,"",'kWh_Streetlight Data'!O166)</f>
        <v>2026.1166666666666</v>
      </c>
      <c r="O79" s="84">
        <f>IF('kWh_Streetlight Data'!P166=0,"",'kWh_Streetlight Data'!P166)</f>
        <v>2184</v>
      </c>
      <c r="P79" s="108">
        <f>IF('kWh_Streetlight Data'!Q166=0,"",'kWh_Streetlight Data'!Q166)</f>
        <v>2485.4</v>
      </c>
      <c r="Q79" s="108">
        <f>IF('kWh_Streetlight Data'!R166=0,"",'kWh_Streetlight Data'!R166)</f>
        <v>2288.6</v>
      </c>
      <c r="R79" s="108">
        <f>IF('kWh_Streetlight Data'!S166=0,"",'kWh_Streetlight Data'!S166)</f>
        <v>2122.6</v>
      </c>
      <c r="S79" s="108">
        <f>IF('kWh_Streetlight Data'!T166=0,"",'kWh_Streetlight Data'!T166)</f>
        <v>1946.2</v>
      </c>
      <c r="T79" s="108">
        <f>IF('kWh_Streetlight Data'!U166=0,"",'kWh_Streetlight Data'!U166)</f>
        <v>425.375</v>
      </c>
      <c r="U79" s="108">
        <f>IF('kWh_Streetlight Data'!V166=0,"",'kWh_Streetlight Data'!V166)</f>
        <v>823.16666666666663</v>
      </c>
      <c r="V79" s="108">
        <f>IF('kWh_Streetlight Data'!W166=0,"",'kWh_Streetlight Data'!W166)</f>
        <v>833.25</v>
      </c>
      <c r="W79" s="108">
        <f>IF('kWh_Streetlight Data'!X166=0,"",'kWh_Streetlight Data'!X166)</f>
        <v>917.25</v>
      </c>
      <c r="X79" s="108">
        <f>IF('kWh_Streetlight Data'!Y166=0,"",'kWh_Streetlight Data'!Y166)</f>
        <v>1327.5</v>
      </c>
      <c r="Y79" s="108">
        <f>IF('kWh_Streetlight Data'!Z166=0,"",'kWh_Streetlight Data'!Z166)</f>
        <v>2177</v>
      </c>
      <c r="Z79" s="108">
        <f>IF('kWh_Streetlight Data'!AA166=0,"",'kWh_Streetlight Data'!AA166)</f>
        <v>2636</v>
      </c>
      <c r="AA79" s="424">
        <f>IF('kWh_Streetlight Data'!AB166=0,"",'kWh_Streetlight Data'!AB166)</f>
        <v>1610.8474576271187</v>
      </c>
      <c r="AB79" s="129">
        <f>IF('kWh_Streetlight Data'!AC166=0,"",'kWh_Streetlight Data'!AC166)</f>
        <v>3394.75</v>
      </c>
      <c r="AC79" s="130">
        <f>IF('kWh_Streetlight Data'!AD166=0,"",'kWh_Streetlight Data'!AD166)</f>
        <v>2653.75</v>
      </c>
      <c r="AD79" s="130">
        <f>IF('kWh_Streetlight Data'!AE166=0,"",'kWh_Streetlight Data'!AE166)</f>
        <v>2946.5</v>
      </c>
      <c r="AE79" s="130">
        <f>IF('kWh_Streetlight Data'!AF166=0,"",'kWh_Streetlight Data'!AF166)</f>
        <v>2833</v>
      </c>
      <c r="AF79" s="130">
        <f>IF('kWh_Streetlight Data'!AG166=0,"",'kWh_Streetlight Data'!AG166)</f>
        <v>2109.75</v>
      </c>
      <c r="AG79" s="130">
        <f>IF('kWh_Streetlight Data'!AH166=0,"",'kWh_Streetlight Data'!AH166)</f>
        <v>1832.5</v>
      </c>
      <c r="AH79" s="130">
        <f>IF('kWh_Streetlight Data'!AI166=0,"",'kWh_Streetlight Data'!AI166)</f>
        <v>1202</v>
      </c>
      <c r="AI79" s="130">
        <f>IF('kWh_Streetlight Data'!AJ166=0,"",'kWh_Streetlight Data'!AJ166)</f>
        <v>793.75</v>
      </c>
      <c r="AJ79" s="130">
        <f>IF('kWh_Streetlight Data'!AK166=0,"",'kWh_Streetlight Data'!AK166)</f>
        <v>877.25</v>
      </c>
      <c r="AK79" s="130">
        <f>IF('kWh_Streetlight Data'!AL166=0,"",'kWh_Streetlight Data'!AL166)</f>
        <v>1503.25</v>
      </c>
      <c r="AL79" s="130">
        <f>IF('kWh_Streetlight Data'!AM166=0,"",'kWh_Streetlight Data'!AM166)</f>
        <v>2124.75</v>
      </c>
      <c r="AM79" s="130">
        <f>IF('kWh_Streetlight Data'!AN166=0,"",'kWh_Streetlight Data'!AN166)</f>
        <v>2402.75</v>
      </c>
      <c r="AN79" s="424">
        <f>IF('kWh_Streetlight Data'!AO166=0,"",'kWh_Streetlight Data'!AO166)</f>
        <v>2056.1666666666665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Data'!C167=0,"",'kWh_Streetlight Data'!C167)</f>
        <v/>
      </c>
      <c r="C83" s="108" t="str">
        <f>IF('kWh_Streetlight Data'!D167=0,"",'kWh_Streetlight Data'!D167)</f>
        <v/>
      </c>
      <c r="D83" s="108" t="str">
        <f>IF('kWh_Streetlight Data'!E167=0,"",'kWh_Streetlight Data'!E167)</f>
        <v/>
      </c>
      <c r="E83" s="108" t="str">
        <f>IF('kWh_Streetlight Data'!F167=0,"",'kWh_Streetlight Data'!F167)</f>
        <v/>
      </c>
      <c r="F83" s="108" t="str">
        <f>IF('kWh_Streetlight Data'!G167=0,"",'kWh_Streetlight Data'!G167)</f>
        <v/>
      </c>
      <c r="G83" s="108" t="str">
        <f>IF('kWh_Streetlight Data'!H167=0,"",'kWh_Streetlight Data'!H167)</f>
        <v/>
      </c>
      <c r="H83" s="108" t="str">
        <f>IF('kWh_Streetlight Data'!I167=0,"",'kWh_Streetlight Data'!I167)</f>
        <v/>
      </c>
      <c r="I83" s="108" t="str">
        <f>IF('kWh_Streetlight Data'!J167=0,"",'kWh_Streetlight Data'!J167)</f>
        <v/>
      </c>
      <c r="J83" s="108" t="str">
        <f>IF('kWh_Streetlight Data'!K167=0,"",'kWh_Streetlight Data'!K167)</f>
        <v/>
      </c>
      <c r="K83" s="108" t="str">
        <f>IF('kWh_Streetlight Data'!L167=0,"",'kWh_Streetlight Data'!L167)</f>
        <v/>
      </c>
      <c r="L83" s="108" t="str">
        <f>IF('kWh_Streetlight Data'!M167=0,"",'kWh_Streetlight Data'!M167)</f>
        <v/>
      </c>
      <c r="M83" s="108" t="str">
        <f>IF('kWh_Streetlight Data'!N167=0,"",'kWh_Streetlight Data'!N167)</f>
        <v/>
      </c>
      <c r="N83" s="424" t="str">
        <f>IF('kWh_Streetlight Data'!O167=0,"",'kWh_Streetlight Data'!O167)</f>
        <v/>
      </c>
      <c r="O83" s="84" t="str">
        <f>IF('kWh_Streetlight Data'!P167=0,"",'kWh_Streetlight Data'!P167)</f>
        <v/>
      </c>
      <c r="P83" s="108" t="str">
        <f>IF('kWh_Streetlight Data'!Q167=0,"",'kWh_Streetlight Data'!Q167)</f>
        <v/>
      </c>
      <c r="Q83" s="108" t="str">
        <f>IF('kWh_Streetlight Data'!R167=0,"",'kWh_Streetlight Data'!R167)</f>
        <v/>
      </c>
      <c r="R83" s="108" t="str">
        <f>IF('kWh_Streetlight Data'!S167=0,"",'kWh_Streetlight Data'!S167)</f>
        <v/>
      </c>
      <c r="S83" s="108" t="str">
        <f>IF('kWh_Streetlight Data'!T167=0,"",'kWh_Streetlight Data'!T167)</f>
        <v/>
      </c>
      <c r="T83" s="108" t="str">
        <f>IF('kWh_Streetlight Data'!U167=0,"",'kWh_Streetlight Data'!U167)</f>
        <v/>
      </c>
      <c r="U83" s="108" t="str">
        <f>IF('kWh_Streetlight Data'!V167=0,"",'kWh_Streetlight Data'!V167)</f>
        <v/>
      </c>
      <c r="V83" s="108" t="str">
        <f>IF('kWh_Streetlight Data'!W167=0,"",'kWh_Streetlight Data'!W167)</f>
        <v/>
      </c>
      <c r="W83" s="108" t="str">
        <f>IF('kWh_Streetlight Data'!X167=0,"",'kWh_Streetlight Data'!X167)</f>
        <v/>
      </c>
      <c r="X83" s="108" t="str">
        <f>IF('kWh_Streetlight Data'!Y167=0,"",'kWh_Streetlight Data'!Y167)</f>
        <v/>
      </c>
      <c r="Y83" s="108" t="str">
        <f>IF('kWh_Streetlight Data'!Z167=0,"",'kWh_Streetlight Data'!Z167)</f>
        <v/>
      </c>
      <c r="Z83" s="108" t="str">
        <f>IF('kWh_Streetlight Data'!AA167=0,"",'kWh_Streetlight Data'!AA167)</f>
        <v/>
      </c>
      <c r="AA83" s="424" t="str">
        <f>IF('kWh_Streetlight Data'!AB167=0,"",'kWh_Streetlight Data'!AB167)</f>
        <v/>
      </c>
      <c r="AB83" s="442" t="str">
        <f>IF('kWh_Streetlight Data'!AC167=0,"",'kWh_Streetlight Data'!AC167)</f>
        <v/>
      </c>
      <c r="AC83" s="443" t="str">
        <f>IF('kWh_Streetlight Data'!AD167=0,"",'kWh_Streetlight Data'!AD167)</f>
        <v/>
      </c>
      <c r="AD83" s="443" t="str">
        <f>IF('kWh_Streetlight Data'!AE167=0,"",'kWh_Streetlight Data'!AE167)</f>
        <v/>
      </c>
      <c r="AE83" s="443" t="str">
        <f>IF('kWh_Streetlight Data'!AF167=0,"",'kWh_Streetlight Data'!AF167)</f>
        <v/>
      </c>
      <c r="AF83" s="443" t="str">
        <f>IF('kWh_Streetlight Data'!AG167=0,"",'kWh_Streetlight Data'!AG167)</f>
        <v/>
      </c>
      <c r="AG83" s="443" t="str">
        <f>IF('kWh_Streetlight Data'!AH167=0,"",'kWh_Streetlight Data'!AH167)</f>
        <v/>
      </c>
      <c r="AH83" s="108" t="str">
        <f>IF('kWh_Streetlight Data'!AI167=0,"",'kWh_Streetlight Data'!AI167)</f>
        <v/>
      </c>
      <c r="AI83" s="108" t="str">
        <f>IF('kWh_Streetlight Data'!AJ167=0,"",'kWh_Streetlight Data'!AJ167)</f>
        <v/>
      </c>
      <c r="AJ83" s="108" t="str">
        <f>IF('kWh_Streetlight Data'!AK167=0,"",'kWh_Streetlight Data'!AK167)</f>
        <v/>
      </c>
      <c r="AK83" s="108" t="str">
        <f>IF('kWh_Streetlight Data'!AL167=0,"",'kWh_Streetlight Data'!AL167)</f>
        <v/>
      </c>
      <c r="AL83" s="108" t="str">
        <f>IF('kWh_Streetlight Data'!AM167=0,"",'kWh_Streetlight Data'!AM167)</f>
        <v/>
      </c>
      <c r="AM83" s="108" t="str">
        <f>IF('kWh_Streetlight Data'!AN167=0,"",'kWh_Streetlight Data'!AN167)</f>
        <v/>
      </c>
      <c r="AN83" s="424" t="str">
        <f>IF('kWh_Streetlight Data'!AO167=0,"",'kWh_Streetlight Data'!AO167)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Data'!C168=0,"",'kWh_Streetlight Data'!C168)</f>
        <v>4465.6153846153848</v>
      </c>
      <c r="C88" s="108">
        <f>IF('kWh_Streetlight Data'!D168=0,"",'kWh_Streetlight Data'!D168)</f>
        <v>4426.2307692307695</v>
      </c>
      <c r="D88" s="108">
        <f>IF('kWh_Streetlight Data'!E168=0,"",'kWh_Streetlight Data'!E168)</f>
        <v>4819.6153846153848</v>
      </c>
      <c r="E88" s="108">
        <f>IF('kWh_Streetlight Data'!F168=0,"",'kWh_Streetlight Data'!F168)</f>
        <v>3753.7692307692309</v>
      </c>
      <c r="F88" s="108">
        <f>IF('kWh_Streetlight Data'!G168=0,"",'kWh_Streetlight Data'!G168)</f>
        <v>3750.3846153846152</v>
      </c>
      <c r="G88" s="108">
        <f>IF('kWh_Streetlight Data'!H168=0,"",'kWh_Streetlight Data'!H168)</f>
        <v>3906.2307692307691</v>
      </c>
      <c r="H88" s="108">
        <f>IF('kWh_Streetlight Data'!I168=0,"",'kWh_Streetlight Data'!I168)</f>
        <v>2671.5384615384614</v>
      </c>
      <c r="I88" s="108">
        <f>IF('kWh_Streetlight Data'!J168=0,"",'kWh_Streetlight Data'!J168)</f>
        <v>2726.1538461538462</v>
      </c>
      <c r="J88" s="108" t="str">
        <f>IF('kWh_Streetlight Data'!K168=0,"",'kWh_Streetlight Data'!K168)</f>
        <v/>
      </c>
      <c r="K88" s="108">
        <f>IF('kWh_Streetlight Data'!L168=0,"",'kWh_Streetlight Data'!L168)</f>
        <v>2947.5384615384614</v>
      </c>
      <c r="L88" s="108">
        <f>IF('kWh_Streetlight Data'!M168=0,"",'kWh_Streetlight Data'!M168)</f>
        <v>3983.2692307692309</v>
      </c>
      <c r="M88" s="108" t="str">
        <f>IF('kWh_Streetlight Data'!N168=0,"",'kWh_Streetlight Data'!N168)</f>
        <v/>
      </c>
      <c r="N88" s="424">
        <f>IF('kWh_Streetlight Data'!O168=0,"",'kWh_Streetlight Data'!O168)</f>
        <v>3679.9807692307691</v>
      </c>
      <c r="O88" s="84">
        <f>IF('kWh_Streetlight Data'!P168=0,"",'kWh_Streetlight Data'!P168)</f>
        <v>4309.0769230769229</v>
      </c>
      <c r="P88" s="108">
        <f>IF('kWh_Streetlight Data'!Q168=0,"",'kWh_Streetlight Data'!Q168)</f>
        <v>4825.6153846153848</v>
      </c>
      <c r="Q88" s="108">
        <f>IF('kWh_Streetlight Data'!R168=0,"",'kWh_Streetlight Data'!R168)</f>
        <v>4390.9230769230771</v>
      </c>
      <c r="R88" s="108">
        <f>IF('kWh_Streetlight Data'!S168=0,"",'kWh_Streetlight Data'!S168)</f>
        <v>4205.6923076923076</v>
      </c>
      <c r="S88" s="108">
        <f>IF('kWh_Streetlight Data'!T168=0,"",'kWh_Streetlight Data'!T168)</f>
        <v>3875.8461538461538</v>
      </c>
      <c r="T88" s="108">
        <f>IF('kWh_Streetlight Data'!U168=0,"",'kWh_Streetlight Data'!U168)</f>
        <v>3268.7692307692309</v>
      </c>
      <c r="U88" s="108">
        <f>IF('kWh_Streetlight Data'!V168=0,"",'kWh_Streetlight Data'!V168)</f>
        <v>2895.8461538461538</v>
      </c>
      <c r="V88" s="108">
        <f>IF('kWh_Streetlight Data'!W168=0,"",'kWh_Streetlight Data'!W168)</f>
        <v>3691.4615384615386</v>
      </c>
      <c r="W88" s="108">
        <f>IF('kWh_Streetlight Data'!X168=0,"",'kWh_Streetlight Data'!X168)</f>
        <v>2922.9230769230771</v>
      </c>
      <c r="X88" s="108">
        <f>IF('kWh_Streetlight Data'!Y168=0,"",'kWh_Streetlight Data'!Y168)</f>
        <v>2321.6428571428573</v>
      </c>
      <c r="Y88" s="108">
        <f>IF('kWh_Streetlight Data'!Z168=0,"",'kWh_Streetlight Data'!Z168)</f>
        <v>3971.2307692307691</v>
      </c>
      <c r="Z88" s="108">
        <f>IF('kWh_Streetlight Data'!AA168=0,"",'kWh_Streetlight Data'!AA168)</f>
        <v>4035.7692307692309</v>
      </c>
      <c r="AA88" s="426">
        <f>IF('kWh_Streetlight Data'!AB168=0,"",'kWh_Streetlight Data'!AB168)</f>
        <v>3717.2866242038217</v>
      </c>
      <c r="AB88" s="442">
        <f>IF('kWh_Streetlight Data'!AC168=0,"",'kWh_Streetlight Data'!AC168)</f>
        <v>5088.7692307692305</v>
      </c>
      <c r="AC88" s="443">
        <f>IF('kWh_Streetlight Data'!AD168=0,"",'kWh_Streetlight Data'!AD168)</f>
        <v>3126</v>
      </c>
      <c r="AD88" s="443">
        <f>IF('kWh_Streetlight Data'!AE168=0,"",'kWh_Streetlight Data'!AE168)</f>
        <v>3796.6470588235293</v>
      </c>
      <c r="AE88" s="443">
        <f>IF('kWh_Streetlight Data'!AF168=0,"",'kWh_Streetlight Data'!AF168)</f>
        <v>3650.4705882352941</v>
      </c>
      <c r="AF88" s="443">
        <f>IF('kWh_Streetlight Data'!AG168=0,"",'kWh_Streetlight Data'!AG168)</f>
        <v>2681.3529411764707</v>
      </c>
      <c r="AG88" s="443">
        <f>IF('kWh_Streetlight Data'!AH168=0,"",'kWh_Streetlight Data'!AH168)</f>
        <v>2518.705882352941</v>
      </c>
      <c r="AH88" s="443">
        <f>IF('kWh_Streetlight Data'!AI168=0,"",'kWh_Streetlight Data'!AI168)</f>
        <v>2516.8235294117649</v>
      </c>
      <c r="AI88" s="443">
        <f>IF('kWh_Streetlight Data'!AJ168=0,"",'kWh_Streetlight Data'!AJ168)</f>
        <v>2495.6470588235293</v>
      </c>
      <c r="AJ88" s="443">
        <f>IF('kWh_Streetlight Data'!AK168=0,"",'kWh_Streetlight Data'!AK168)</f>
        <v>2962.6666666666665</v>
      </c>
      <c r="AK88" s="443">
        <f>IF('kWh_Streetlight Data'!AL168=0,"",'kWh_Streetlight Data'!AL168)</f>
        <v>2945.8</v>
      </c>
      <c r="AL88" s="443">
        <f>IF('kWh_Streetlight Data'!AM168=0,"",'kWh_Streetlight Data'!AM168)</f>
        <v>3153.8666666666668</v>
      </c>
      <c r="AM88" s="443">
        <f>IF('kWh_Streetlight Data'!AN168=0,"",'kWh_Streetlight Data'!AN168)</f>
        <v>4081.8461538461538</v>
      </c>
      <c r="AN88" s="424">
        <f>IF('kWh_Streetlight Data'!AO168=0,"",'kWh_Streetlight Data'!AO168)</f>
        <v>3202.6789473684212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109"/>
      <c r="BJ92" s="39"/>
      <c r="BK92" s="39"/>
      <c r="BL92" s="39"/>
      <c r="BM92" s="39"/>
      <c r="BN92" s="210"/>
      <c r="BO92" s="133">
        <f>Customers!L272</f>
        <v>17</v>
      </c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160"/>
      <c r="BJ93" s="160"/>
      <c r="BK93" s="160"/>
      <c r="BL93" s="160"/>
      <c r="BM93" s="160"/>
      <c r="BN93" s="196"/>
      <c r="BO93" s="144">
        <f>IFERROR(ROUND(BO94*BO92/12*BR19,0),0)</f>
        <v>379257</v>
      </c>
    </row>
    <row r="94" spans="1:67" ht="15.75" customHeight="1" thickTop="1">
      <c r="A94" s="374" t="s">
        <v>54</v>
      </c>
      <c r="B94" s="84" t="str">
        <f>IF('kWh_Streetlight Data'!C169=0,"",'kWh_Streetlight Data'!C169)</f>
        <v/>
      </c>
      <c r="C94" s="108" t="str">
        <f>IF('kWh_Streetlight Data'!D169=0,"",'kWh_Streetlight Data'!D169)</f>
        <v/>
      </c>
      <c r="D94" s="108" t="str">
        <f>IF('kWh_Streetlight Data'!E169=0,"",'kWh_Streetlight Data'!E169)</f>
        <v/>
      </c>
      <c r="E94" s="108" t="str">
        <f>IF('kWh_Streetlight Data'!F169=0,"",'kWh_Streetlight Data'!F169)</f>
        <v/>
      </c>
      <c r="F94" s="108" t="str">
        <f>IF('kWh_Streetlight Data'!G169=0,"",'kWh_Streetlight Data'!G169)</f>
        <v/>
      </c>
      <c r="G94" s="108" t="str">
        <f>IF('kWh_Streetlight Data'!H169=0,"",'kWh_Streetlight Data'!H169)</f>
        <v/>
      </c>
      <c r="H94" s="108" t="str">
        <f>IF('kWh_Streetlight Data'!I169=0,"",'kWh_Streetlight Data'!I169)</f>
        <v/>
      </c>
      <c r="I94" s="108" t="str">
        <f>IF('kWh_Streetlight Data'!J169=0,"",'kWh_Streetlight Data'!J169)</f>
        <v/>
      </c>
      <c r="J94" s="108" t="str">
        <f>IF('kWh_Streetlight Data'!K169=0,"",'kWh_Streetlight Data'!K169)</f>
        <v/>
      </c>
      <c r="K94" s="108" t="str">
        <f>IF('kWh_Streetlight Data'!L169=0,"",'kWh_Streetlight Data'!L169)</f>
        <v/>
      </c>
      <c r="L94" s="130" t="str">
        <f>IF('kWh_Streetlight Data'!M169=0,"",'kWh_Streetlight Data'!M169)</f>
        <v/>
      </c>
      <c r="M94" s="130" t="str">
        <f>IF('kWh_Streetlight Data'!N169=0,"",'kWh_Streetlight Data'!N169)</f>
        <v/>
      </c>
      <c r="N94" s="425" t="str">
        <f>IF('kWh_Streetlight Data'!O169=0,"",'kWh_Streetlight Data'!O169)</f>
        <v/>
      </c>
      <c r="O94" s="84" t="str">
        <f>IF('kWh_Streetlight Data'!P169=0,"",'kWh_Streetlight Data'!P169)</f>
        <v/>
      </c>
      <c r="P94" s="108" t="str">
        <f>IF('kWh_Streetlight Data'!Q169=0,"",'kWh_Streetlight Data'!Q169)</f>
        <v/>
      </c>
      <c r="Q94" s="108" t="str">
        <f>IF('kWh_Streetlight Data'!R169=0,"",'kWh_Streetlight Data'!R169)</f>
        <v/>
      </c>
      <c r="R94" s="108" t="str">
        <f>IF('kWh_Streetlight Data'!S169=0,"",'kWh_Streetlight Data'!S169)</f>
        <v/>
      </c>
      <c r="S94" s="108" t="str">
        <f>IF('kWh_Streetlight Data'!T169=0,"",'kWh_Streetlight Data'!T169)</f>
        <v/>
      </c>
      <c r="T94" s="108" t="str">
        <f>IF('kWh_Streetlight Data'!U169=0,"",'kWh_Streetlight Data'!U169)</f>
        <v/>
      </c>
      <c r="U94" s="108" t="str">
        <f>IF('kWh_Streetlight Data'!V169=0,"",'kWh_Streetlight Data'!V169)</f>
        <v/>
      </c>
      <c r="V94" s="108" t="str">
        <f>IF('kWh_Streetlight Data'!W169=0,"",'kWh_Streetlight Data'!W169)</f>
        <v/>
      </c>
      <c r="W94" s="108" t="str">
        <f>IF('kWh_Streetlight Data'!X169=0,"",'kWh_Streetlight Data'!X169)</f>
        <v/>
      </c>
      <c r="X94" s="108" t="str">
        <f>IF('kWh_Streetlight Data'!Y169=0,"",'kWh_Streetlight Data'!Y169)</f>
        <v/>
      </c>
      <c r="Y94" s="108" t="str">
        <f>IF('kWh_Streetlight Data'!Z169=0,"",'kWh_Streetlight Data'!Z169)</f>
        <v/>
      </c>
      <c r="Z94" s="108" t="str">
        <f>IF('kWh_Streetlight Data'!AA169=0,"",'kWh_Streetlight Data'!AA169)</f>
        <v/>
      </c>
      <c r="AA94" s="426" t="str">
        <f>IF('kWh_Streetlight Data'!AB169=0,"",'kWh_Streetlight Data'!AB169)</f>
        <v/>
      </c>
      <c r="AB94" s="84" t="str">
        <f>IF('kWh_Streetlight Data'!AC169=0,"",'kWh_Streetlight Data'!AC169)</f>
        <v/>
      </c>
      <c r="AC94" s="108" t="str">
        <f>IF('kWh_Streetlight Data'!AD169=0,"",'kWh_Streetlight Data'!AD169)</f>
        <v/>
      </c>
      <c r="AD94" s="108" t="str">
        <f>IF('kWh_Streetlight Data'!AE169=0,"",'kWh_Streetlight Data'!AE169)</f>
        <v/>
      </c>
      <c r="AE94" s="108" t="str">
        <f>IF('kWh_Streetlight Data'!AF169=0,"",'kWh_Streetlight Data'!AF169)</f>
        <v/>
      </c>
      <c r="AF94" s="108" t="str">
        <f>IF('kWh_Streetlight Data'!AG169=0,"",'kWh_Streetlight Data'!AG169)</f>
        <v/>
      </c>
      <c r="AG94" s="108" t="str">
        <f>IF('kWh_Streetlight Data'!AH169=0,"",'kWh_Streetlight Data'!AH169)</f>
        <v/>
      </c>
      <c r="AH94" s="108" t="str">
        <f>IF('kWh_Streetlight Data'!AI169=0,"",'kWh_Streetlight Data'!AI169)</f>
        <v/>
      </c>
      <c r="AI94" s="108" t="str">
        <f>IF('kWh_Streetlight Data'!AJ169=0,"",'kWh_Streetlight Data'!AJ169)</f>
        <v/>
      </c>
      <c r="AJ94" s="108" t="str">
        <f>IF('kWh_Streetlight Data'!AK169=0,"",'kWh_Streetlight Data'!AK169)</f>
        <v/>
      </c>
      <c r="AK94" s="108" t="str">
        <f>IF('kWh_Streetlight Data'!AL169=0,"",'kWh_Streetlight Data'!AL169)</f>
        <v/>
      </c>
      <c r="AL94" s="108" t="str">
        <f>IF('kWh_Streetlight Data'!AM169=0,"",'kWh_Streetlight Data'!AM169)</f>
        <v/>
      </c>
      <c r="AM94" s="108" t="str">
        <f>IF('kWh_Streetlight Data'!AN169=0,"",'kWh_Streetlight Data'!AN169)</f>
        <v/>
      </c>
      <c r="AN94" s="424" t="str">
        <f>IF('kWh_Streetlight Data'!AO169=0,"",'kWh_Streetlight Data'!AO169)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108"/>
      <c r="BJ94" s="108"/>
      <c r="BK94" s="108"/>
      <c r="BL94" s="108"/>
      <c r="BM94" s="108"/>
      <c r="BN94" s="211"/>
      <c r="BO94" s="140">
        <f>Sachigo!BO94</f>
        <v>38244.352941176468</v>
      </c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>
        <f>BO7+BO22+BO29+BO43</f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>
        <f>BO57</f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>
        <f t="shared" ref="BO101" si="0">SUM(BO98:BO100)</f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>
        <f>BO15+BO36+BO50</f>
        <v>182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>
        <f>BO92</f>
        <v>17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>
        <f t="shared" ref="BO105" si="1">SUM(BO102:BO104)</f>
        <v>199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>
        <f t="shared" ref="BO106" si="2">BO105+BO101</f>
        <v>199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>
        <f>BO11+BO26+BO33+BO47</f>
        <v>0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>
        <f>BO58</f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>
        <f>BO68+BO78+BO82+BO87</f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>
        <f t="shared" ref="BO111" si="3">SUM(BO108:BO110)</f>
        <v>0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>
        <f>BO19+BO40+BO54</f>
        <v>2070723</v>
      </c>
    </row>
    <row r="113" spans="1:70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70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>
        <f>BO93</f>
        <v>379257</v>
      </c>
    </row>
    <row r="115" spans="1:70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>
        <f t="shared" ref="BO115" si="4">SUM(BO112:BO114)</f>
        <v>2449980</v>
      </c>
    </row>
    <row r="116" spans="1:70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>
        <f t="shared" ref="BO116" si="5">BO115+BO111</f>
        <v>2449980</v>
      </c>
      <c r="BR116" s="294"/>
    </row>
    <row r="117" spans="1:70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70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70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/>
      <c r="AV119" s="280"/>
      <c r="AW119" s="280"/>
      <c r="AX119" s="280"/>
      <c r="AY119" s="280"/>
      <c r="AZ119" s="280"/>
      <c r="BA119" s="259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59"/>
      <c r="BO119" s="343">
        <v>31</v>
      </c>
    </row>
    <row r="120" spans="1:70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/>
      <c r="AU120" s="107"/>
      <c r="AV120" s="39"/>
      <c r="AW120" s="39"/>
      <c r="AX120" s="39"/>
      <c r="AY120" s="39"/>
      <c r="AZ120" s="39"/>
      <c r="BA120" s="215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215"/>
      <c r="BO120" s="141">
        <v>0</v>
      </c>
    </row>
    <row r="121" spans="1:70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/>
      <c r="AU121" s="107"/>
      <c r="AV121" s="39"/>
      <c r="AW121" s="39"/>
      <c r="AX121" s="39"/>
      <c r="AY121" s="39"/>
      <c r="AZ121" s="39"/>
      <c r="BA121" s="215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215"/>
      <c r="BO121" s="141">
        <v>0</v>
      </c>
    </row>
    <row r="122" spans="1:70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/>
      <c r="AV122" s="57"/>
      <c r="AW122" s="57"/>
      <c r="AX122" s="57"/>
      <c r="AY122" s="57"/>
      <c r="AZ122" s="57"/>
      <c r="BA122" s="215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215"/>
      <c r="BO122" s="141">
        <f>-BM120</f>
        <v>0</v>
      </c>
    </row>
    <row r="123" spans="1:70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/>
      <c r="AV123" s="57"/>
      <c r="AW123" s="57"/>
      <c r="AX123" s="57"/>
      <c r="AY123" s="57"/>
      <c r="AZ123" s="57"/>
      <c r="BA123" s="215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215"/>
      <c r="BO123" s="141">
        <f>-BM121</f>
        <v>0</v>
      </c>
    </row>
    <row r="124" spans="1:70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/>
      <c r="AV124" s="344"/>
      <c r="AW124" s="344"/>
      <c r="AX124" s="344"/>
      <c r="AY124" s="344"/>
      <c r="AZ124" s="344"/>
      <c r="BA124" s="345"/>
      <c r="BB124" s="344"/>
      <c r="BC124" s="344"/>
      <c r="BD124" s="344"/>
      <c r="BE124" s="344"/>
      <c r="BF124" s="344"/>
      <c r="BG124" s="344"/>
      <c r="BH124" s="344"/>
      <c r="BI124" s="344"/>
      <c r="BJ124" s="344"/>
      <c r="BK124" s="344"/>
      <c r="BL124" s="344"/>
      <c r="BM124" s="344"/>
      <c r="BN124" s="345"/>
      <c r="BO124" s="272">
        <f t="shared" ref="BO124" si="6">SUM(BO120:BO123)</f>
        <v>0</v>
      </c>
    </row>
    <row r="125" spans="1:70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>
        <v>31</v>
      </c>
    </row>
    <row r="126" spans="1:70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>
        <v>407273</v>
      </c>
    </row>
    <row r="127" spans="1:70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>
        <v>73901</v>
      </c>
    </row>
    <row r="128" spans="1:70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>
        <f t="shared" ref="BO130" si="7">SUM(BO126:BO129)</f>
        <v>481174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/>
      <c r="AU132" s="66"/>
      <c r="AV132" s="66"/>
      <c r="AW132" s="66"/>
      <c r="AX132" s="66"/>
      <c r="AY132" s="66"/>
      <c r="AZ132" s="66"/>
      <c r="BA132" s="21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216"/>
      <c r="BO132" s="185">
        <f>BO111+BO124</f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  <row r="134" spans="1:67">
      <c r="BH134" s="230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A133"/>
  <sheetViews>
    <sheetView zoomScale="80" zoomScaleNormal="80" workbookViewId="0">
      <pane xSplit="1" ySplit="5" topLeftCell="BA78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7" width="14" hidden="1" customWidth="1" outlineLevel="1"/>
    <col min="8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20.1406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20.28515625" style="3" bestFit="1" customWidth="1" collapsed="1"/>
    <col min="67" max="67" width="15.140625" bestFit="1" customWidth="1"/>
    <col min="69" max="69" width="18" bestFit="1" customWidth="1"/>
    <col min="70" max="70" width="16.7109375" customWidth="1"/>
    <col min="71" max="71" width="42" bestFit="1" customWidth="1"/>
    <col min="72" max="72" width="13.85546875" bestFit="1" customWidth="1"/>
    <col min="73" max="73" width="13.28515625" bestFit="1" customWidth="1"/>
    <col min="74" max="74" width="13.5703125" customWidth="1"/>
    <col min="75" max="79" width="8.85546875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242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77" t="s">
        <v>2</v>
      </c>
      <c r="O6" s="21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93"/>
      <c r="AB6" s="21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09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Customers!E85</f>
        <v>310</v>
      </c>
      <c r="AV7" s="109">
        <f>Customers!F85</f>
        <v>310</v>
      </c>
      <c r="AW7" s="109">
        <f>Customers!G85</f>
        <v>312</v>
      </c>
      <c r="AX7" s="109">
        <f>Customers!H85</f>
        <v>312</v>
      </c>
      <c r="AY7" s="109">
        <f>Customers!I85</f>
        <v>312</v>
      </c>
      <c r="AZ7" s="109">
        <f>Customers!J85</f>
        <v>312</v>
      </c>
      <c r="BA7" s="210">
        <f>AZ7</f>
        <v>312</v>
      </c>
      <c r="BB7" s="124">
        <v>317</v>
      </c>
      <c r="BC7" s="38">
        <v>317</v>
      </c>
      <c r="BD7" s="38">
        <v>317</v>
      </c>
      <c r="BE7" s="38">
        <v>317</v>
      </c>
      <c r="BF7" s="38">
        <f t="shared" ref="BF7:BM7" si="0">BE7</f>
        <v>317</v>
      </c>
      <c r="BG7" s="38">
        <f t="shared" si="0"/>
        <v>317</v>
      </c>
      <c r="BH7" s="38">
        <f t="shared" si="0"/>
        <v>317</v>
      </c>
      <c r="BI7" s="38">
        <f t="shared" si="0"/>
        <v>317</v>
      </c>
      <c r="BJ7" s="38">
        <f t="shared" si="0"/>
        <v>317</v>
      </c>
      <c r="BK7" s="38">
        <f t="shared" si="0"/>
        <v>317</v>
      </c>
      <c r="BL7" s="38">
        <f t="shared" si="0"/>
        <v>317</v>
      </c>
      <c r="BM7" s="38">
        <f t="shared" si="0"/>
        <v>317</v>
      </c>
      <c r="BN7" s="210">
        <f>IFERROR(ROUND(AVERAGE(BB7:BM7),0),0)</f>
        <v>317</v>
      </c>
      <c r="BO7" s="55">
        <v>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>
        <f>ROUND(AU$11*'kWh Blocks by Rate Category'!C8,0)</f>
        <v>173098</v>
      </c>
      <c r="AV8" s="39">
        <f>ROUND(AV$11*'kWh Blocks by Rate Category'!D8,0)</f>
        <v>161626</v>
      </c>
      <c r="AW8" s="39">
        <f>ROUND(AW$11*'kWh Blocks by Rate Category'!E8,0)</f>
        <v>184563</v>
      </c>
      <c r="AX8" s="39">
        <f>ROUND(AX$11*'kWh Blocks by Rate Category'!F8,0)</f>
        <v>198828</v>
      </c>
      <c r="AY8" s="39">
        <f>ROUND(AY$11*'kWh Blocks by Rate Category'!G8,0)</f>
        <v>259125</v>
      </c>
      <c r="AZ8" s="39">
        <f>ROUND(AZ$11*'kWh Blocks by Rate Category'!H8,0)</f>
        <v>263152</v>
      </c>
      <c r="BA8" s="210">
        <f>SUM(AO8:AZ8)</f>
        <v>1240392</v>
      </c>
      <c r="BB8" s="38">
        <v>369163</v>
      </c>
      <c r="BC8" s="38">
        <v>308415</v>
      </c>
      <c r="BD8" s="38">
        <v>289967</v>
      </c>
      <c r="BE8" s="38">
        <v>316603</v>
      </c>
      <c r="BF8" s="38">
        <f>ROUND(BF$11*'kWh Blocks by Rate Category'!N8,0)</f>
        <v>255481</v>
      </c>
      <c r="BG8" s="38">
        <f>ROUND(BG$11*'kWh Blocks by Rate Category'!O8,0)</f>
        <v>195614</v>
      </c>
      <c r="BH8" s="38">
        <f>ROUND(BH$11*'kWh Blocks by Rate Category'!P8,0)</f>
        <v>177007</v>
      </c>
      <c r="BI8" s="38">
        <f>ROUND(BI$11*'kWh Blocks by Rate Category'!Q8,0)</f>
        <v>165276</v>
      </c>
      <c r="BJ8" s="38">
        <f>ROUND(BJ$11*'kWh Blocks by Rate Category'!R8,0)</f>
        <v>187521</v>
      </c>
      <c r="BK8" s="38">
        <f>ROUND(BK$11*'kWh Blocks by Rate Category'!S8,0)</f>
        <v>202014</v>
      </c>
      <c r="BL8" s="38">
        <f>ROUND(BL$11*'kWh Blocks by Rate Category'!T8,0)</f>
        <v>263277</v>
      </c>
      <c r="BM8" s="38">
        <f>ROUND(BM$11*'kWh Blocks by Rate Category'!U8,0)</f>
        <v>267369</v>
      </c>
      <c r="BN8" s="210">
        <f>SUM(BB8:BM8)</f>
        <v>2997707</v>
      </c>
      <c r="BO8" s="38">
        <f>ROUND(BO$11*'kWh Blocks by Rate Category'!W8,0)</f>
        <v>1522495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>
        <f>ROUND(AU$11*'kWh Blocks by Rate Category'!C9,0)</f>
        <v>92235</v>
      </c>
      <c r="AV9" s="39">
        <f>ROUND(AV$11*'kWh Blocks by Rate Category'!D9,0)</f>
        <v>86122</v>
      </c>
      <c r="AW9" s="39">
        <f>ROUND(AW$11*'kWh Blocks by Rate Category'!E9,0)</f>
        <v>98345</v>
      </c>
      <c r="AX9" s="39">
        <f>ROUND(AX$11*'kWh Blocks by Rate Category'!F9,0)</f>
        <v>105945</v>
      </c>
      <c r="AY9" s="39">
        <f>ROUND(AY$11*'kWh Blocks by Rate Category'!G9,0)</f>
        <v>138075</v>
      </c>
      <c r="AZ9" s="39">
        <f>ROUND(AZ$11*'kWh Blocks by Rate Category'!H9,0)</f>
        <v>140220</v>
      </c>
      <c r="BA9" s="210">
        <f>SUM(AO9:AZ9)</f>
        <v>660942</v>
      </c>
      <c r="BB9" s="38">
        <v>196708</v>
      </c>
      <c r="BC9" s="38">
        <v>164339</v>
      </c>
      <c r="BD9" s="38">
        <v>154509</v>
      </c>
      <c r="BE9" s="38">
        <v>168702</v>
      </c>
      <c r="BF9" s="38">
        <f>ROUND(BF$11*'kWh Blocks by Rate Category'!N9,0)</f>
        <v>136133</v>
      </c>
      <c r="BG9" s="38">
        <f>ROUND(BG$11*'kWh Blocks by Rate Category'!O9,0)</f>
        <v>104233</v>
      </c>
      <c r="BH9" s="38">
        <f>ROUND(BH$11*'kWh Blocks by Rate Category'!P9,0)</f>
        <v>94318</v>
      </c>
      <c r="BI9" s="38">
        <f>ROUND(BI$11*'kWh Blocks by Rate Category'!Q9,0)</f>
        <v>88067</v>
      </c>
      <c r="BJ9" s="38">
        <f>ROUND(BJ$11*'kWh Blocks by Rate Category'!R9,0)</f>
        <v>99920</v>
      </c>
      <c r="BK9" s="38">
        <f>ROUND(BK$11*'kWh Blocks by Rate Category'!S9,0)</f>
        <v>107643</v>
      </c>
      <c r="BL9" s="38">
        <f>ROUND(BL$11*'kWh Blocks by Rate Category'!T9,0)</f>
        <v>140287</v>
      </c>
      <c r="BM9" s="38">
        <f>ROUND(BM$11*'kWh Blocks by Rate Category'!U9,0)</f>
        <v>142468</v>
      </c>
      <c r="BN9" s="210">
        <f>SUM(BB9:BM9)</f>
        <v>1597327</v>
      </c>
      <c r="BO9" s="38">
        <f>ROUND(BO$11*'kWh Blocks by Rate Category'!W9,0)</f>
        <v>811261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>
        <f>ROUND(AU$11*'kWh Blocks by Rate Category'!C10,0)</f>
        <v>17587</v>
      </c>
      <c r="AV10" s="39">
        <f>ROUND(AV$11*'kWh Blocks by Rate Category'!D10,0)</f>
        <v>16422</v>
      </c>
      <c r="AW10" s="39">
        <f>ROUND(AW$11*'kWh Blocks by Rate Category'!E10,0)</f>
        <v>18752</v>
      </c>
      <c r="AX10" s="39">
        <f>ROUND(AX$11*'kWh Blocks by Rate Category'!F10,0)</f>
        <v>20201</v>
      </c>
      <c r="AY10" s="39">
        <f>ROUND(AY$11*'kWh Blocks by Rate Category'!G10,0)</f>
        <v>26328</v>
      </c>
      <c r="AZ10" s="39">
        <f>ROUND(AZ$11*'kWh Blocks by Rate Category'!H10,0)</f>
        <v>26737</v>
      </c>
      <c r="BA10" s="210">
        <f>SUM(AO10:AZ10)</f>
        <v>126027</v>
      </c>
      <c r="BB10" s="38">
        <v>37508</v>
      </c>
      <c r="BC10" s="38">
        <v>31336</v>
      </c>
      <c r="BD10" s="38">
        <v>29461</v>
      </c>
      <c r="BE10" s="38">
        <v>32168</v>
      </c>
      <c r="BF10" s="38">
        <f>ROUND(BF$11*'kWh Blocks by Rate Category'!N10,0)</f>
        <v>25957</v>
      </c>
      <c r="BG10" s="38">
        <f>ROUND(BG$11*'kWh Blocks by Rate Category'!O10,0)</f>
        <v>19875</v>
      </c>
      <c r="BH10" s="38">
        <f>ROUND(BH$11*'kWh Blocks by Rate Category'!P10,0)</f>
        <v>17984</v>
      </c>
      <c r="BI10" s="38">
        <f>ROUND(BI$11*'kWh Blocks by Rate Category'!Q10,0)</f>
        <v>16792</v>
      </c>
      <c r="BJ10" s="38">
        <f>ROUND(BJ$11*'kWh Blocks by Rate Category'!R10,0)</f>
        <v>19053</v>
      </c>
      <c r="BK10" s="38">
        <f>ROUND(BK$11*'kWh Blocks by Rate Category'!S10,0)</f>
        <v>20525</v>
      </c>
      <c r="BL10" s="38">
        <f>ROUND(BL$11*'kWh Blocks by Rate Category'!T10,0)</f>
        <v>26750</v>
      </c>
      <c r="BM10" s="38">
        <f>ROUND(BM$11*'kWh Blocks by Rate Category'!U10,0)</f>
        <v>27165</v>
      </c>
      <c r="BN10" s="210">
        <f>SUM(BB10:BM10)</f>
        <v>304574</v>
      </c>
      <c r="BO10" s="38">
        <f>ROUND(BO$11*'kWh Blocks by Rate Category'!W10,0)-1</f>
        <v>154688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282921</v>
      </c>
      <c r="AV11" s="64">
        <f t="shared" si="1"/>
        <v>264170</v>
      </c>
      <c r="AW11" s="64">
        <f t="shared" si="1"/>
        <v>301660</v>
      </c>
      <c r="AX11" s="64">
        <f t="shared" si="1"/>
        <v>324975</v>
      </c>
      <c r="AY11" s="64">
        <f t="shared" si="1"/>
        <v>423527</v>
      </c>
      <c r="AZ11" s="64">
        <f t="shared" si="1"/>
        <v>430109</v>
      </c>
      <c r="BA11" s="196">
        <f>SUM(AO11:AZ11)</f>
        <v>2027362</v>
      </c>
      <c r="BB11" s="64">
        <v>603379</v>
      </c>
      <c r="BC11" s="64">
        <v>504090</v>
      </c>
      <c r="BD11" s="64">
        <v>473937</v>
      </c>
      <c r="BE11" s="64">
        <v>517473</v>
      </c>
      <c r="BF11" s="64">
        <f t="shared" ref="BF11:BM11" si="2">IFERROR(ROUND(BF12*BF7,0),0)</f>
        <v>417571</v>
      </c>
      <c r="BG11" s="64">
        <f t="shared" si="2"/>
        <v>319721</v>
      </c>
      <c r="BH11" s="64">
        <f t="shared" si="2"/>
        <v>289310</v>
      </c>
      <c r="BI11" s="64">
        <f t="shared" si="2"/>
        <v>270135</v>
      </c>
      <c r="BJ11" s="64">
        <f t="shared" si="2"/>
        <v>306494</v>
      </c>
      <c r="BK11" s="64">
        <f t="shared" si="2"/>
        <v>330183</v>
      </c>
      <c r="BL11" s="64">
        <f t="shared" si="2"/>
        <v>430314</v>
      </c>
      <c r="BM11" s="64">
        <f t="shared" si="2"/>
        <v>437002</v>
      </c>
      <c r="BN11" s="196">
        <f>SUM(BB11:BM11)</f>
        <v>4899609</v>
      </c>
      <c r="BO11" s="147">
        <f>BQ19-BO19</f>
        <v>2488445</v>
      </c>
    </row>
    <row r="12" spans="1:67" ht="15" thickTop="1">
      <c r="A12" s="374" t="s">
        <v>54</v>
      </c>
      <c r="B12" s="84">
        <f>IF('kWh_Streetlight Data'!C29=0,"",'kWh_Streetlight Data'!C29)</f>
        <v>2055.1133333333332</v>
      </c>
      <c r="C12" s="108">
        <f>IF('kWh_Streetlight Data'!D29=0,"",'kWh_Streetlight Data'!D29)</f>
        <v>1650.391304347826</v>
      </c>
      <c r="D12" s="108">
        <f>IF('kWh_Streetlight Data'!E29=0,"",'kWh_Streetlight Data'!E29)</f>
        <v>1438.9117647058824</v>
      </c>
      <c r="E12" s="108">
        <f>IF('kWh_Streetlight Data'!F29=0,"",'kWh_Streetlight Data'!F29)</f>
        <v>1557.495145631068</v>
      </c>
      <c r="F12" s="108">
        <f>IF('kWh_Streetlight Data'!G29=0,"",'kWh_Streetlight Data'!G29)</f>
        <v>1267.2712418300653</v>
      </c>
      <c r="G12" s="108">
        <f>IF('kWh_Streetlight Data'!H29=0,"",'kWh_Streetlight Data'!H29)</f>
        <v>1011.5222929936306</v>
      </c>
      <c r="H12" s="108">
        <f>IF('kWh_Streetlight Data'!I29=0,"",'kWh_Streetlight Data'!I29)</f>
        <v>861.58631921824099</v>
      </c>
      <c r="I12" s="108">
        <f>IF('kWh_Streetlight Data'!J29=0,"",'kWh_Streetlight Data'!J29)</f>
        <v>805.26845637583892</v>
      </c>
      <c r="J12" s="108">
        <f>IF('kWh_Streetlight Data'!K29=0,"",'kWh_Streetlight Data'!K29)</f>
        <v>1033.4664429530201</v>
      </c>
      <c r="K12" s="108">
        <f>IF('kWh_Streetlight Data'!L29=0,"",'kWh_Streetlight Data'!L29)</f>
        <v>1033.84520123839</v>
      </c>
      <c r="L12" s="108">
        <f>IF('kWh_Streetlight Data'!M29=0,"",'kWh_Streetlight Data'!M29)</f>
        <v>1456.7100977198697</v>
      </c>
      <c r="M12" s="108">
        <f>IF('kWh_Streetlight Data'!N29=0,"",'kWh_Streetlight Data'!N29)</f>
        <v>1324.9228295819935</v>
      </c>
      <c r="N12" s="424">
        <f>IF('kWh_Streetlight Data'!O29=0,"",'kWh_Streetlight Data'!O29)</f>
        <v>1291.6992704674412</v>
      </c>
      <c r="O12" s="84">
        <f>IF('kWh_Streetlight Data'!P29=0,"",'kWh_Streetlight Data'!P29)</f>
        <v>1771.9494949494949</v>
      </c>
      <c r="P12" s="108">
        <f>IF('kWh_Streetlight Data'!Q29=0,"",'kWh_Streetlight Data'!Q29)</f>
        <v>1656.0813559322035</v>
      </c>
      <c r="Q12" s="108">
        <f>IF('kWh_Streetlight Data'!R29=0,"",'kWh_Streetlight Data'!R29)</f>
        <v>1579.5304054054054</v>
      </c>
      <c r="R12" s="108">
        <f>IF('kWh_Streetlight Data'!S29=0,"",'kWh_Streetlight Data'!S29)</f>
        <v>1540.9731543624162</v>
      </c>
      <c r="S12" s="108">
        <f>IF('kWh_Streetlight Data'!T29=0,"",'kWh_Streetlight Data'!T29)</f>
        <v>1403.8223684210527</v>
      </c>
      <c r="T12" s="108">
        <f>IF('kWh_Streetlight Data'!U29=0,"",'kWh_Streetlight Data'!U29)</f>
        <v>960.06461538461542</v>
      </c>
      <c r="U12" s="108">
        <f>IF('kWh_Streetlight Data'!V29=0,"",'kWh_Streetlight Data'!V29)</f>
        <v>972.49163879598666</v>
      </c>
      <c r="V12" s="108">
        <f>IF('kWh_Streetlight Data'!W29=0,"",'kWh_Streetlight Data'!W29)</f>
        <v>797.76315789473688</v>
      </c>
      <c r="W12" s="108">
        <f>IF('kWh_Streetlight Data'!X29=0,"",'kWh_Streetlight Data'!X29)</f>
        <v>807.83112582781462</v>
      </c>
      <c r="X12" s="108">
        <f>IF('kWh_Streetlight Data'!Y29=0,"",'kWh_Streetlight Data'!Y29)</f>
        <v>1027.6040268456377</v>
      </c>
      <c r="Y12" s="108">
        <f>IF('kWh_Streetlight Data'!Z29=0,"",'kWh_Streetlight Data'!Z29)</f>
        <v>1333.2269736842106</v>
      </c>
      <c r="Z12" s="108">
        <f>IF('kWh_Streetlight Data'!AA29=0,"",'kWh_Streetlight Data'!AA29)</f>
        <v>1455.545751633987</v>
      </c>
      <c r="AA12" s="424">
        <f>IF('kWh_Streetlight Data'!AB29=0,"",'kWh_Streetlight Data'!AB29)</f>
        <v>1271.9214443219405</v>
      </c>
      <c r="AB12" s="129">
        <f>IF('kWh_Streetlight Data'!AC29=0,"",'kWh_Streetlight Data'!AC29)</f>
        <v>1883.14381270903</v>
      </c>
      <c r="AC12" s="130">
        <f>IF('kWh_Streetlight Data'!AD29=0,"",'kWh_Streetlight Data'!AD29)</f>
        <v>1464.0996677740864</v>
      </c>
      <c r="AD12" s="130">
        <f>IF('kWh_Streetlight Data'!AE29=0,"",'kWh_Streetlight Data'!AE29)</f>
        <v>1466.7658862876253</v>
      </c>
      <c r="AE12" s="130">
        <f>IF('kWh_Streetlight Data'!AF29=0,"",'kWh_Streetlight Data'!AF29)</f>
        <v>1798.7558528428094</v>
      </c>
      <c r="AF12" s="130">
        <f>IF('kWh_Streetlight Data'!AG29=0,"",'kWh_Streetlight Data'!AG29)</f>
        <v>1280.6843853820599</v>
      </c>
      <c r="AG12" s="130">
        <f>IF('kWh_Streetlight Data'!AH29=0,"",'kWh_Streetlight Data'!AH29)</f>
        <v>1054.1671826625386</v>
      </c>
      <c r="AH12" s="130">
        <f>IF('kWh_Streetlight Data'!AI29=0,"",'kWh_Streetlight Data'!AI29)</f>
        <v>903.86816720257229</v>
      </c>
      <c r="AI12" s="130">
        <f>IF('kWh_Streetlight Data'!AJ29=0,"",'kWh_Streetlight Data'!AJ29)</f>
        <v>953.45482866043619</v>
      </c>
      <c r="AJ12" s="130">
        <f>IF('kWh_Streetlight Data'!AK29=0,"",'kWh_Streetlight Data'!AK29)</f>
        <v>1059.275167785235</v>
      </c>
      <c r="AK12" s="130">
        <f>IF('kWh_Streetlight Data'!AL29=0,"",'kWh_Streetlight Data'!AL29)</f>
        <v>1063.3076923076924</v>
      </c>
      <c r="AL12" s="130">
        <f>IF('kWh_Streetlight Data'!AM29=0,"",'kWh_Streetlight Data'!AM29)</f>
        <v>1282.4389438943895</v>
      </c>
      <c r="AM12" s="130">
        <f>IF('kWh_Streetlight Data'!AN29=0,"",'kWh_Streetlight Data'!AN29)</f>
        <v>1355.195652173913</v>
      </c>
      <c r="AN12" s="426">
        <f>IF('kWh_Streetlight Data'!AO29=0,"",'kWh_Streetlight Data'!AO29)</f>
        <v>1291.8560585524533</v>
      </c>
      <c r="AO12" s="34"/>
      <c r="AP12" s="35"/>
      <c r="AQ12" s="35"/>
      <c r="AR12" s="35"/>
      <c r="AS12" s="35"/>
      <c r="AT12" s="17"/>
      <c r="AU12" s="17">
        <f t="shared" ref="AU12:AZ12" si="3">IFERROR(AVERAGE(AH12,U12,H12),0)</f>
        <v>912.6487084055999</v>
      </c>
      <c r="AV12" s="17">
        <f t="shared" si="3"/>
        <v>852.16214764367066</v>
      </c>
      <c r="AW12" s="17">
        <f t="shared" si="3"/>
        <v>966.85757885535656</v>
      </c>
      <c r="AX12" s="17">
        <f t="shared" si="3"/>
        <v>1041.5856401305734</v>
      </c>
      <c r="AY12" s="17">
        <f t="shared" si="3"/>
        <v>1357.4586717661566</v>
      </c>
      <c r="AZ12" s="17">
        <f t="shared" si="3"/>
        <v>1378.5547444632978</v>
      </c>
      <c r="BA12" s="211">
        <f>IFERROR(BA11/SUM(AO7:AZ7),0)</f>
        <v>1085.3115631691649</v>
      </c>
      <c r="BB12" s="17">
        <v>1903.402213663953</v>
      </c>
      <c r="BC12" s="17">
        <v>1590.1907760180384</v>
      </c>
      <c r="BD12" s="17">
        <v>1495.0693521329711</v>
      </c>
      <c r="BE12" s="17">
        <v>1632.4080509454313</v>
      </c>
      <c r="BF12" s="17">
        <f t="shared" ref="BF12:BM12" si="4">IFERROR(AVERAGE(F12,S12,AF12),0)</f>
        <v>1317.259331877726</v>
      </c>
      <c r="BG12" s="17">
        <f t="shared" si="4"/>
        <v>1008.5846970135948</v>
      </c>
      <c r="BH12" s="17">
        <f t="shared" si="4"/>
        <v>912.6487084055999</v>
      </c>
      <c r="BI12" s="17">
        <f t="shared" si="4"/>
        <v>852.16214764367066</v>
      </c>
      <c r="BJ12" s="17">
        <f t="shared" si="4"/>
        <v>966.85757885535656</v>
      </c>
      <c r="BK12" s="17">
        <f t="shared" si="4"/>
        <v>1041.5856401305734</v>
      </c>
      <c r="BL12" s="17">
        <f t="shared" si="4"/>
        <v>1357.4586717661566</v>
      </c>
      <c r="BM12" s="17">
        <f t="shared" si="4"/>
        <v>1378.5547444632978</v>
      </c>
      <c r="BN12" s="211">
        <f>IFERROR(BN11/SUM(BB7:BM7)*12,0)</f>
        <v>15456.179810725553</v>
      </c>
      <c r="BO12" s="20">
        <v>0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 t="s">
        <v>2</v>
      </c>
      <c r="AV13" s="39" t="s">
        <v>2</v>
      </c>
      <c r="AW13" s="39" t="s">
        <v>2</v>
      </c>
      <c r="AX13" s="39" t="s">
        <v>2</v>
      </c>
      <c r="AY13" s="39" t="s">
        <v>2</v>
      </c>
      <c r="AZ13" s="39" t="s">
        <v>2</v>
      </c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/>
      <c r="BI15" s="124"/>
      <c r="BJ15" s="124"/>
      <c r="BK15" s="124"/>
      <c r="BL15" s="124"/>
      <c r="BM15" s="124"/>
      <c r="BN15" s="210"/>
      <c r="BO15" s="125">
        <f>Customers!L85</f>
        <v>322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38">
        <f>ROUND(BO$19*'kWh Blocks by Rate Category'!W15,0)</f>
        <v>1522495</v>
      </c>
    </row>
    <row r="17" spans="1:70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38">
        <f>ROUND(BO$19*'kWh Blocks by Rate Category'!W16,0)</f>
        <v>811261</v>
      </c>
      <c r="BR17" s="229" t="s">
        <v>221</v>
      </c>
    </row>
    <row r="18" spans="1:70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38">
        <f>ROUND(BO$19*'kWh Blocks by Rate Category'!W17,0)</f>
        <v>154689</v>
      </c>
      <c r="BQ18" s="229" t="s">
        <v>222</v>
      </c>
      <c r="BR18" s="229" t="s">
        <v>223</v>
      </c>
    </row>
    <row r="19" spans="1:70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ROUND(BQ19/12*BR19,0)</f>
        <v>2488445</v>
      </c>
      <c r="BQ19" s="39">
        <f>ROUND(BO20*BO15,0)</f>
        <v>4976890</v>
      </c>
      <c r="BR19" s="296">
        <v>6</v>
      </c>
    </row>
    <row r="20" spans="1:70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BN12</f>
        <v>15456.179810725553</v>
      </c>
      <c r="BR20" s="229" t="s">
        <v>224</v>
      </c>
    </row>
    <row r="21" spans="1:70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0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0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0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0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0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0" ht="15" thickTop="1">
      <c r="A27" s="374" t="s">
        <v>54</v>
      </c>
      <c r="B27" s="84" t="str">
        <f>IF('kWh_Streetlight Data'!C30=0,"",'kWh_Streetlight Data'!C30)</f>
        <v/>
      </c>
      <c r="C27" s="108" t="str">
        <f>IF('kWh_Streetlight Data'!D30=0,"",'kWh_Streetlight Data'!D30)</f>
        <v/>
      </c>
      <c r="D27" s="108" t="str">
        <f>IF('kWh_Streetlight Data'!E30=0,"",'kWh_Streetlight Data'!E30)</f>
        <v/>
      </c>
      <c r="E27" s="108" t="str">
        <f>IF('kWh_Streetlight Data'!F30=0,"",'kWh_Streetlight Data'!F30)</f>
        <v/>
      </c>
      <c r="F27" s="108" t="str">
        <f>IF('kWh_Streetlight Data'!G30=0,"",'kWh_Streetlight Data'!G30)</f>
        <v/>
      </c>
      <c r="G27" s="108" t="str">
        <f>IF('kWh_Streetlight Data'!H30=0,"",'kWh_Streetlight Data'!H30)</f>
        <v/>
      </c>
      <c r="H27" s="108" t="str">
        <f>IF('kWh_Streetlight Data'!I30=0,"",'kWh_Streetlight Data'!I30)</f>
        <v/>
      </c>
      <c r="I27" s="108" t="str">
        <f>IF('kWh_Streetlight Data'!J30=0,"",'kWh_Streetlight Data'!J30)</f>
        <v/>
      </c>
      <c r="J27" s="108" t="str">
        <f>IF('kWh_Streetlight Data'!K30=0,"",'kWh_Streetlight Data'!K30)</f>
        <v/>
      </c>
      <c r="K27" s="108" t="str">
        <f>IF('kWh_Streetlight Data'!L30=0,"",'kWh_Streetlight Data'!L30)</f>
        <v/>
      </c>
      <c r="L27" s="108" t="str">
        <f>IF('kWh_Streetlight Data'!M30=0,"",'kWh_Streetlight Data'!M30)</f>
        <v/>
      </c>
      <c r="M27" s="108" t="str">
        <f>IF('kWh_Streetlight Data'!N30=0,"",'kWh_Streetlight Data'!N30)</f>
        <v/>
      </c>
      <c r="N27" s="424" t="str">
        <f>IF('kWh_Streetlight Data'!O30=0,"",'kWh_Streetlight Data'!O30)</f>
        <v/>
      </c>
      <c r="O27" s="84" t="str">
        <f>IF('kWh_Streetlight Data'!P30=0,"",'kWh_Streetlight Data'!P30)</f>
        <v/>
      </c>
      <c r="P27" s="108" t="str">
        <f>IF('kWh_Streetlight Data'!Q30=0,"",'kWh_Streetlight Data'!Q30)</f>
        <v/>
      </c>
      <c r="Q27" s="108" t="str">
        <f>IF('kWh_Streetlight Data'!R30=0,"",'kWh_Streetlight Data'!R30)</f>
        <v/>
      </c>
      <c r="R27" s="108" t="str">
        <f>IF('kWh_Streetlight Data'!S30=0,"",'kWh_Streetlight Data'!S30)</f>
        <v/>
      </c>
      <c r="S27" s="108" t="str">
        <f>IF('kWh_Streetlight Data'!T30=0,"",'kWh_Streetlight Data'!T30)</f>
        <v/>
      </c>
      <c r="T27" s="108" t="str">
        <f>IF('kWh_Streetlight Data'!U30=0,"",'kWh_Streetlight Data'!U30)</f>
        <v/>
      </c>
      <c r="U27" s="108" t="str">
        <f>IF('kWh_Streetlight Data'!V30=0,"",'kWh_Streetlight Data'!V30)</f>
        <v/>
      </c>
      <c r="V27" s="108" t="str">
        <f>IF('kWh_Streetlight Data'!W30=0,"",'kWh_Streetlight Data'!W30)</f>
        <v/>
      </c>
      <c r="W27" s="108" t="str">
        <f>IF('kWh_Streetlight Data'!X30=0,"",'kWh_Streetlight Data'!X30)</f>
        <v/>
      </c>
      <c r="X27" s="108" t="str">
        <f>IF('kWh_Streetlight Data'!Y30=0,"",'kWh_Streetlight Data'!Y30)</f>
        <v/>
      </c>
      <c r="Y27" s="108" t="str">
        <f>IF('kWh_Streetlight Data'!Z30=0,"",'kWh_Streetlight Data'!Z30)</f>
        <v/>
      </c>
      <c r="Z27" s="108" t="str">
        <f>IF('kWh_Streetlight Data'!AA30=0,"",'kWh_Streetlight Data'!AA30)</f>
        <v/>
      </c>
      <c r="AA27" s="424" t="str">
        <f>IF('kWh_Streetlight Data'!AB30=0,"",'kWh_Streetlight Data'!AB30)</f>
        <v/>
      </c>
      <c r="AB27" s="129" t="str">
        <f>IF('kWh_Streetlight Data'!AC30=0,"",'kWh_Streetlight Data'!AC30)</f>
        <v/>
      </c>
      <c r="AC27" s="130" t="str">
        <f>IF('kWh_Streetlight Data'!AD30=0,"",'kWh_Streetlight Data'!AD30)</f>
        <v/>
      </c>
      <c r="AD27" s="130" t="str">
        <f>IF('kWh_Streetlight Data'!AE30=0,"",'kWh_Streetlight Data'!AE30)</f>
        <v/>
      </c>
      <c r="AE27" s="130" t="str">
        <f>IF('kWh_Streetlight Data'!AF30=0,"",'kWh_Streetlight Data'!AF30)</f>
        <v/>
      </c>
      <c r="AF27" s="130" t="str">
        <f>IF('kWh_Streetlight Data'!AG30=0,"",'kWh_Streetlight Data'!AG30)</f>
        <v/>
      </c>
      <c r="AG27" s="130" t="str">
        <f>IF('kWh_Streetlight Data'!AH30=0,"",'kWh_Streetlight Data'!AH30)</f>
        <v/>
      </c>
      <c r="AH27" s="108" t="str">
        <f>IF('kWh_Streetlight Data'!AI30=0,"",'kWh_Streetlight Data'!AI30)</f>
        <v/>
      </c>
      <c r="AI27" s="108" t="str">
        <f>IF('kWh_Streetlight Data'!AJ30=0,"",'kWh_Streetlight Data'!AJ30)</f>
        <v/>
      </c>
      <c r="AJ27" s="108" t="str">
        <f>IF('kWh_Streetlight Data'!AK30=0,"",'kWh_Streetlight Data'!AK30)</f>
        <v/>
      </c>
      <c r="AK27" s="108" t="str">
        <f>IF('kWh_Streetlight Data'!AL30=0,"",'kWh_Streetlight Data'!AL30)</f>
        <v/>
      </c>
      <c r="AL27" s="108" t="str">
        <f>IF('kWh_Streetlight Data'!AM30=0,"",'kWh_Streetlight Data'!AM30)</f>
        <v/>
      </c>
      <c r="AM27" s="108" t="str">
        <f>IF('kWh_Streetlight Data'!AN30=0,"",'kWh_Streetlight Data'!AN30)</f>
        <v/>
      </c>
      <c r="AN27" s="426" t="str">
        <f>IF('kWh_Streetlight Data'!AO30=0,"",'kWh_Streetlight Data'!AO30)</f>
        <v/>
      </c>
      <c r="AO27" s="48"/>
      <c r="AP27" s="49"/>
      <c r="AQ27" s="49"/>
      <c r="AR27" s="49"/>
      <c r="AS27" s="49"/>
      <c r="AT27" s="9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0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0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Customers!E87</f>
        <v>30</v>
      </c>
      <c r="AV29" s="124">
        <f>Customers!F87</f>
        <v>30</v>
      </c>
      <c r="AW29" s="124">
        <f>Customers!G87</f>
        <v>30</v>
      </c>
      <c r="AX29" s="124">
        <f>Customers!H87</f>
        <v>30</v>
      </c>
      <c r="AY29" s="124">
        <f>Customers!I87</f>
        <v>30</v>
      </c>
      <c r="AZ29" s="124">
        <f>Customers!J87</f>
        <v>30</v>
      </c>
      <c r="BA29" s="210">
        <f>AZ29</f>
        <v>30</v>
      </c>
      <c r="BB29" s="124">
        <v>30</v>
      </c>
      <c r="BC29" s="38">
        <v>30</v>
      </c>
      <c r="BD29" s="38">
        <v>30</v>
      </c>
      <c r="BE29" s="38">
        <v>30</v>
      </c>
      <c r="BF29" s="38">
        <f t="shared" ref="BF29:BM29" si="5">BE29</f>
        <v>30</v>
      </c>
      <c r="BG29" s="38">
        <f t="shared" si="5"/>
        <v>30</v>
      </c>
      <c r="BH29" s="38">
        <f t="shared" si="5"/>
        <v>30</v>
      </c>
      <c r="BI29" s="38">
        <f t="shared" si="5"/>
        <v>30</v>
      </c>
      <c r="BJ29" s="38">
        <f t="shared" si="5"/>
        <v>30</v>
      </c>
      <c r="BK29" s="38">
        <f t="shared" si="5"/>
        <v>30</v>
      </c>
      <c r="BL29" s="38">
        <f t="shared" si="5"/>
        <v>30</v>
      </c>
      <c r="BM29" s="38">
        <f t="shared" si="5"/>
        <v>30</v>
      </c>
      <c r="BN29" s="210">
        <f>IFERROR(ROUND(AVERAGE(BB29:BM29),0),0)</f>
        <v>30</v>
      </c>
      <c r="BO29" s="90">
        <v>0</v>
      </c>
    </row>
    <row r="30" spans="1:70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35658</v>
      </c>
      <c r="AV30" s="38">
        <f>ROUND(AV$33*'kWh Blocks by Rate Category'!D29,0)</f>
        <v>39449</v>
      </c>
      <c r="AW30" s="38">
        <f>ROUND(AW$33*'kWh Blocks by Rate Category'!E29,0)</f>
        <v>35451</v>
      </c>
      <c r="AX30" s="38">
        <f>ROUND(AX$33*'kWh Blocks by Rate Category'!F29,0)</f>
        <v>40303</v>
      </c>
      <c r="AY30" s="38">
        <f>ROUND(AY$33*'kWh Blocks by Rate Category'!G29,0)</f>
        <v>50999</v>
      </c>
      <c r="AZ30" s="38">
        <f>ROUND(AZ$33*'kWh Blocks by Rate Category'!H29,0)</f>
        <v>53135</v>
      </c>
      <c r="BA30" s="210">
        <f>SUM(AO30:AZ30)</f>
        <v>254995</v>
      </c>
      <c r="BB30" s="38">
        <v>79664</v>
      </c>
      <c r="BC30" s="38">
        <v>71212</v>
      </c>
      <c r="BD30" s="38">
        <v>60939</v>
      </c>
      <c r="BE30" s="38">
        <v>62073</v>
      </c>
      <c r="BF30" s="38">
        <f>ROUND(BF$33*'kWh Blocks by Rate Category'!N29,0)</f>
        <v>45318</v>
      </c>
      <c r="BG30" s="38">
        <f>ROUND(BG$33*'kWh Blocks by Rate Category'!O29,0)</f>
        <v>35163</v>
      </c>
      <c r="BH30" s="38">
        <f>ROUND(BH$33*'kWh Blocks by Rate Category'!P29,0)</f>
        <v>35658</v>
      </c>
      <c r="BI30" s="38">
        <f>ROUND(BI$33*'kWh Blocks by Rate Category'!Q29,0)</f>
        <v>39449</v>
      </c>
      <c r="BJ30" s="38">
        <f>ROUND(BJ$33*'kWh Blocks by Rate Category'!R29,0)</f>
        <v>35451</v>
      </c>
      <c r="BK30" s="38">
        <f>ROUND(BK$33*'kWh Blocks by Rate Category'!S29,0)</f>
        <v>40303</v>
      </c>
      <c r="BL30" s="38">
        <f>ROUND(BL$33*'kWh Blocks by Rate Category'!T29,0)</f>
        <v>50999</v>
      </c>
      <c r="BM30" s="38">
        <f>ROUND(BM$33*'kWh Blocks by Rate Category'!U29,0)</f>
        <v>53135</v>
      </c>
      <c r="BN30" s="210">
        <f>SUM(BB30:BM30)</f>
        <v>609364</v>
      </c>
      <c r="BO30" s="38">
        <f>ROUND(BO$33*'kWh Blocks by Rate Category'!W29,0)</f>
        <v>304682</v>
      </c>
    </row>
    <row r="31" spans="1:70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3395</v>
      </c>
      <c r="AV31" s="38">
        <f>ROUND(AV$33*'kWh Blocks by Rate Category'!D30,0)</f>
        <v>3756</v>
      </c>
      <c r="AW31" s="38">
        <f>ROUND(AW$33*'kWh Blocks by Rate Category'!E30,0)</f>
        <v>3376</v>
      </c>
      <c r="AX31" s="38">
        <f>ROUND(AX$33*'kWh Blocks by Rate Category'!F30,0)</f>
        <v>3838</v>
      </c>
      <c r="AY31" s="38">
        <f>ROUND(AY$33*'kWh Blocks by Rate Category'!G30,0)</f>
        <v>4856</v>
      </c>
      <c r="AZ31" s="38">
        <f>ROUND(AZ$33*'kWh Blocks by Rate Category'!H30,0)</f>
        <v>5059</v>
      </c>
      <c r="BA31" s="210">
        <f>SUM(AO31:AZ31)</f>
        <v>24280</v>
      </c>
      <c r="BB31" s="38">
        <v>7585</v>
      </c>
      <c r="BC31" s="38">
        <v>6781</v>
      </c>
      <c r="BD31" s="38">
        <v>5803</v>
      </c>
      <c r="BE31" s="38">
        <v>5911</v>
      </c>
      <c r="BF31" s="38">
        <f>ROUND(BF$33*'kWh Blocks by Rate Category'!N30,0)</f>
        <v>4315</v>
      </c>
      <c r="BG31" s="38">
        <f>ROUND(BG$33*'kWh Blocks by Rate Category'!O30,0)</f>
        <v>3348</v>
      </c>
      <c r="BH31" s="38">
        <f>ROUND(BH$33*'kWh Blocks by Rate Category'!P30,0)</f>
        <v>3395</v>
      </c>
      <c r="BI31" s="38">
        <f>ROUND(BI$33*'kWh Blocks by Rate Category'!Q30,0)</f>
        <v>3756</v>
      </c>
      <c r="BJ31" s="38">
        <f>ROUND(BJ$33*'kWh Blocks by Rate Category'!R30,0)</f>
        <v>3376</v>
      </c>
      <c r="BK31" s="38">
        <f>ROUND(BK$33*'kWh Blocks by Rate Category'!S30,0)</f>
        <v>3838</v>
      </c>
      <c r="BL31" s="38">
        <f>ROUND(BL$33*'kWh Blocks by Rate Category'!T30,0)</f>
        <v>4856</v>
      </c>
      <c r="BM31" s="38">
        <f>ROUND(BM$33*'kWh Blocks by Rate Category'!U30,0)</f>
        <v>5059</v>
      </c>
      <c r="BN31" s="210">
        <f>SUM(BB31:BM31)</f>
        <v>58023</v>
      </c>
      <c r="BO31" s="38">
        <f>ROUND(BO$33*'kWh Blocks by Rate Category'!W30,0)</f>
        <v>29011</v>
      </c>
    </row>
    <row r="32" spans="1:70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9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39053</v>
      </c>
      <c r="AV33" s="64">
        <f t="shared" si="6"/>
        <v>43205</v>
      </c>
      <c r="AW33" s="64">
        <f t="shared" si="6"/>
        <v>38827</v>
      </c>
      <c r="AX33" s="64">
        <f t="shared" si="6"/>
        <v>44141</v>
      </c>
      <c r="AY33" s="64">
        <f t="shared" si="6"/>
        <v>55855</v>
      </c>
      <c r="AZ33" s="64">
        <f t="shared" si="6"/>
        <v>58194</v>
      </c>
      <c r="BA33" s="196">
        <f>SUM(AO33:AZ33)</f>
        <v>279275</v>
      </c>
      <c r="BB33" s="64">
        <v>87249</v>
      </c>
      <c r="BC33" s="64">
        <v>77993</v>
      </c>
      <c r="BD33" s="64">
        <v>66742</v>
      </c>
      <c r="BE33" s="64">
        <v>67984</v>
      </c>
      <c r="BF33" s="64">
        <f t="shared" ref="BF33:BM33" si="7">IFERROR(ROUND(BF34*BF29,0),0)</f>
        <v>49633</v>
      </c>
      <c r="BG33" s="64">
        <f t="shared" si="7"/>
        <v>38511</v>
      </c>
      <c r="BH33" s="64">
        <f t="shared" si="7"/>
        <v>39053</v>
      </c>
      <c r="BI33" s="64">
        <f t="shared" si="7"/>
        <v>43205</v>
      </c>
      <c r="BJ33" s="64">
        <f t="shared" si="7"/>
        <v>38827</v>
      </c>
      <c r="BK33" s="64">
        <f t="shared" si="7"/>
        <v>44141</v>
      </c>
      <c r="BL33" s="64">
        <f t="shared" si="7"/>
        <v>55855</v>
      </c>
      <c r="BM33" s="64">
        <f t="shared" si="7"/>
        <v>58194</v>
      </c>
      <c r="BN33" s="196">
        <f>SUM(BB33:BM33)</f>
        <v>667387</v>
      </c>
      <c r="BO33" s="147">
        <f>BQ40-BO40</f>
        <v>333693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2"/>
    </row>
    <row r="34" spans="1:79" ht="15.75" customHeight="1" thickTop="1">
      <c r="A34" s="374" t="s">
        <v>54</v>
      </c>
      <c r="B34" s="84">
        <f>IF('kWh_Streetlight Data'!C31=0,"",'kWh_Streetlight Data'!C31)</f>
        <v>3759.7666666666669</v>
      </c>
      <c r="C34" s="108">
        <f>IF('kWh_Streetlight Data'!D31=0,"",'kWh_Streetlight Data'!D31)</f>
        <v>3345.4333333333334</v>
      </c>
      <c r="D34" s="108">
        <f>IF('kWh_Streetlight Data'!E31=0,"",'kWh_Streetlight Data'!E31)</f>
        <v>2609.1333333333332</v>
      </c>
      <c r="E34" s="108">
        <f>IF('kWh_Streetlight Data'!F31=0,"",'kWh_Streetlight Data'!F31)</f>
        <v>2689.2333333333331</v>
      </c>
      <c r="F34" s="108">
        <f>IF('kWh_Streetlight Data'!G31=0,"",'kWh_Streetlight Data'!G31)</f>
        <v>1748.3333333333333</v>
      </c>
      <c r="G34" s="108">
        <f>IF('kWh_Streetlight Data'!H31=0,"",'kWh_Streetlight Data'!H31)</f>
        <v>1423.5</v>
      </c>
      <c r="H34" s="108">
        <f>IF('kWh_Streetlight Data'!I31=0,"",'kWh_Streetlight Data'!I31)</f>
        <v>1439.6</v>
      </c>
      <c r="I34" s="108">
        <f>IF('kWh_Streetlight Data'!J31=0,"",'kWh_Streetlight Data'!J31)</f>
        <v>1315.9333333333334</v>
      </c>
      <c r="J34" s="108">
        <f>IF('kWh_Streetlight Data'!K31=0,"",'kWh_Streetlight Data'!K31)</f>
        <v>1503.0666666666666</v>
      </c>
      <c r="K34" s="108">
        <f>IF('kWh_Streetlight Data'!L31=0,"",'kWh_Streetlight Data'!L31)</f>
        <v>1683.5333333333333</v>
      </c>
      <c r="L34" s="108">
        <f>IF('kWh_Streetlight Data'!M31=0,"",'kWh_Streetlight Data'!M31)</f>
        <v>2398.8387096774195</v>
      </c>
      <c r="M34" s="108">
        <f>IF('kWh_Streetlight Data'!N31=0,"",'kWh_Streetlight Data'!N31)</f>
        <v>2077.7096774193546</v>
      </c>
      <c r="N34" s="424">
        <f>IF('kWh_Streetlight Data'!O31=0,"",'kWh_Streetlight Data'!O31)</f>
        <v>2166.5718232044201</v>
      </c>
      <c r="O34" s="84">
        <f>IF('kWh_Streetlight Data'!P31=0,"",'kWh_Streetlight Data'!P31)</f>
        <v>2515.9354838709678</v>
      </c>
      <c r="P34" s="108">
        <f>IF('kWh_Streetlight Data'!Q31=0,"",'kWh_Streetlight Data'!Q31)</f>
        <v>2486.8333333333335</v>
      </c>
      <c r="Q34" s="108">
        <f>IF('kWh_Streetlight Data'!R31=0,"",'kWh_Streetlight Data'!R31)</f>
        <v>2080.0689655172414</v>
      </c>
      <c r="R34" s="108">
        <f>IF('kWh_Streetlight Data'!S31=0,"",'kWh_Streetlight Data'!S31)</f>
        <v>2061.5</v>
      </c>
      <c r="S34" s="108">
        <f>IF('kWh_Streetlight Data'!T31=0,"",'kWh_Streetlight Data'!T31)</f>
        <v>1796.75</v>
      </c>
      <c r="T34" s="108">
        <f>IF('kWh_Streetlight Data'!U31=0,"",'kWh_Streetlight Data'!U31)</f>
        <v>1249.9032258064517</v>
      </c>
      <c r="U34" s="108">
        <f>IF('kWh_Streetlight Data'!V31=0,"",'kWh_Streetlight Data'!V31)</f>
        <v>1194.53125</v>
      </c>
      <c r="V34" s="108">
        <f>IF('kWh_Streetlight Data'!W31=0,"",'kWh_Streetlight Data'!W31)</f>
        <v>1482</v>
      </c>
      <c r="W34" s="108">
        <f>IF('kWh_Streetlight Data'!X31=0,"",'kWh_Streetlight Data'!X31)</f>
        <v>1136.6666666666667</v>
      </c>
      <c r="X34" s="108">
        <f>IF('kWh_Streetlight Data'!Y31=0,"",'kWh_Streetlight Data'!Y31)</f>
        <v>1346.6428571428571</v>
      </c>
      <c r="Y34" s="108">
        <f>IF('kWh_Streetlight Data'!Z31=0,"",'kWh_Streetlight Data'!Z31)</f>
        <v>1603.9642857142858</v>
      </c>
      <c r="Z34" s="108">
        <f>IF('kWh_Streetlight Data'!AA31=0,"",'kWh_Streetlight Data'!AA31)</f>
        <v>1982.7857142857142</v>
      </c>
      <c r="AA34" s="424">
        <f>IF('kWh_Streetlight Data'!AB31=0,"",'kWh_Streetlight Data'!AB31)</f>
        <v>1748.5965417867435</v>
      </c>
      <c r="AB34" s="129">
        <f>IF('kWh_Streetlight Data'!AC31=0,"",'kWh_Streetlight Data'!AC31)</f>
        <v>2449.2142857142858</v>
      </c>
      <c r="AC34" s="130">
        <f>IF('kWh_Streetlight Data'!AD31=0,"",'kWh_Streetlight Data'!AD31)</f>
        <v>1967.0357142857142</v>
      </c>
      <c r="AD34" s="130">
        <f>IF('kWh_Streetlight Data'!AE31=0,"",'kWh_Streetlight Data'!AE31)</f>
        <v>1984.9642857142858</v>
      </c>
      <c r="AE34" s="130">
        <f>IF('kWh_Streetlight Data'!AF31=0,"",'kWh_Streetlight Data'!AF31)</f>
        <v>2047.6785714285713</v>
      </c>
      <c r="AF34" s="130">
        <f>IF('kWh_Streetlight Data'!AG31=0,"",'kWh_Streetlight Data'!AG31)</f>
        <v>1418.1785714285713</v>
      </c>
      <c r="AG34" s="130">
        <f>IF('kWh_Streetlight Data'!AH31=0,"",'kWh_Streetlight Data'!AH31)</f>
        <v>1177.7241379310344</v>
      </c>
      <c r="AH34" s="130">
        <f>IF('kWh_Streetlight Data'!AI31=0,"",'kWh_Streetlight Data'!AI31)</f>
        <v>1271.1379310344828</v>
      </c>
      <c r="AI34" s="130">
        <f>IF('kWh_Streetlight Data'!AJ31=0,"",'kWh_Streetlight Data'!AJ31)</f>
        <v>1522.5357142857142</v>
      </c>
      <c r="AJ34" s="130">
        <f>IF('kWh_Streetlight Data'!AK31=0,"",'kWh_Streetlight Data'!AK31)</f>
        <v>1243</v>
      </c>
      <c r="AK34" s="130">
        <f>IF('kWh_Streetlight Data'!AL31=0,"",'kWh_Streetlight Data'!AL31)</f>
        <v>1383.8928571428571</v>
      </c>
      <c r="AL34" s="130">
        <f>IF('kWh_Streetlight Data'!AM31=0,"",'kWh_Streetlight Data'!AM31)</f>
        <v>1582.7096774193549</v>
      </c>
      <c r="AM34" s="441">
        <f>IF('kWh_Streetlight Data'!AN31=0,"",'kWh_Streetlight Data'!AN31)</f>
        <v>1758.9</v>
      </c>
      <c r="AN34" s="426">
        <f>IF('kWh_Streetlight Data'!AO31=0,"",'kWh_Streetlight Data'!AO31)</f>
        <v>1646.9563953488373</v>
      </c>
      <c r="AO34" s="43"/>
      <c r="AP34" s="40"/>
      <c r="AQ34" s="40"/>
      <c r="AR34" s="40"/>
      <c r="AS34" s="40"/>
      <c r="AT34" s="17"/>
      <c r="AU34" s="17">
        <f t="shared" ref="AU34" si="8">IFERROR(AVERAGE(AH34,U34,H34),0)</f>
        <v>1301.756393678161</v>
      </c>
      <c r="AV34" s="17">
        <f t="shared" ref="AV34" si="9">IFERROR(AVERAGE(AI34,V34,I34),0)</f>
        <v>1440.1563492063494</v>
      </c>
      <c r="AW34" s="17">
        <f t="shared" ref="AW34" si="10">IFERROR(AVERAGE(AJ34,W34,J34),0)</f>
        <v>1294.2444444444445</v>
      </c>
      <c r="AX34" s="17">
        <f t="shared" ref="AX34" si="11">IFERROR(AVERAGE(AK34,X34,K34),0)</f>
        <v>1471.3563492063493</v>
      </c>
      <c r="AY34" s="17">
        <f t="shared" ref="AY34" si="12">IFERROR(AVERAGE(AL34,Y34,L34),0)</f>
        <v>1861.8375576036867</v>
      </c>
      <c r="AZ34" s="17">
        <f t="shared" ref="AZ34" si="13">IFERROR(AVERAGE(AM34,Z34,M34),0)</f>
        <v>1939.7984639016897</v>
      </c>
      <c r="BA34" s="211">
        <f>IFERROR(BA33/SUM(AO29:AZ29),0)</f>
        <v>1551.5277777777778</v>
      </c>
      <c r="BB34" s="9">
        <v>2908.3054787506403</v>
      </c>
      <c r="BC34" s="17">
        <v>2599.7674603174601</v>
      </c>
      <c r="BD34" s="17">
        <v>2224.7221948549536</v>
      </c>
      <c r="BE34" s="17">
        <v>2266.1373015873019</v>
      </c>
      <c r="BF34" s="17">
        <f t="shared" ref="BF34:BM34" si="14">IFERROR(AVERAGE(F34,S34,AF34),0)</f>
        <v>1654.4206349206349</v>
      </c>
      <c r="BG34" s="17">
        <f t="shared" si="14"/>
        <v>1283.7091212458288</v>
      </c>
      <c r="BH34" s="17">
        <f t="shared" si="14"/>
        <v>1301.756393678161</v>
      </c>
      <c r="BI34" s="17">
        <f t="shared" si="14"/>
        <v>1440.1563492063494</v>
      </c>
      <c r="BJ34" s="17">
        <f t="shared" si="14"/>
        <v>1294.2444444444445</v>
      </c>
      <c r="BK34" s="17">
        <f t="shared" si="14"/>
        <v>1471.3563492063493</v>
      </c>
      <c r="BL34" s="17">
        <f t="shared" si="14"/>
        <v>1861.8375576036867</v>
      </c>
      <c r="BM34" s="9">
        <f t="shared" si="14"/>
        <v>1939.7984639016897</v>
      </c>
      <c r="BN34" s="211">
        <f>IFERROR(BN33/SUM(BB29:BM29)*12,0)</f>
        <v>22246.233333333334</v>
      </c>
      <c r="BO34" s="20"/>
    </row>
    <row r="35" spans="1:79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79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210"/>
      <c r="BO36" s="125">
        <f>Customers!L87</f>
        <v>30</v>
      </c>
    </row>
    <row r="37" spans="1:79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>
        <f>ROUND(BO$40*'kWh Blocks by Rate Category'!W36,0)</f>
        <v>304682</v>
      </c>
    </row>
    <row r="38" spans="1:79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>
        <f>ROUND(BO$40*'kWh Blocks by Rate Category'!W37,0)</f>
        <v>29012</v>
      </c>
      <c r="BR38" s="229" t="s">
        <v>221</v>
      </c>
    </row>
    <row r="39" spans="1:79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56">
        <f>ROUND(BO$40*'kWh Blocks by Rate Category'!W38,0)</f>
        <v>0</v>
      </c>
      <c r="BQ39" s="229" t="s">
        <v>222</v>
      </c>
      <c r="BR39" s="229" t="s">
        <v>223</v>
      </c>
    </row>
    <row r="40" spans="1:79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ROUND(BQ40/12*BR40,0)</f>
        <v>333694</v>
      </c>
      <c r="BQ40" s="39">
        <f>ROUND(BO41*BO36,0)</f>
        <v>667387</v>
      </c>
      <c r="BR40" s="296">
        <f>BR19</f>
        <v>6</v>
      </c>
    </row>
    <row r="41" spans="1:79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BN34</f>
        <v>22246.233333333334</v>
      </c>
      <c r="BR41" s="229" t="s">
        <v>224</v>
      </c>
    </row>
    <row r="42" spans="1:79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9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Customers!E88</f>
        <v>6</v>
      </c>
      <c r="AV43" s="124">
        <f>Customers!F88</f>
        <v>6</v>
      </c>
      <c r="AW43" s="124">
        <f>Customers!G88</f>
        <v>6</v>
      </c>
      <c r="AX43" s="124">
        <f>Customers!H88</f>
        <v>6</v>
      </c>
      <c r="AY43" s="124">
        <f>Customers!I88</f>
        <v>6</v>
      </c>
      <c r="AZ43" s="124">
        <f>Customers!J88</f>
        <v>6</v>
      </c>
      <c r="BA43" s="210">
        <f>AZ43</f>
        <v>6</v>
      </c>
      <c r="BB43" s="124">
        <v>6</v>
      </c>
      <c r="BC43" s="38">
        <v>6</v>
      </c>
      <c r="BD43" s="38">
        <v>6</v>
      </c>
      <c r="BE43" s="38">
        <v>6</v>
      </c>
      <c r="BF43" s="38">
        <f t="shared" ref="BF43:BM43" si="15">BE43</f>
        <v>6</v>
      </c>
      <c r="BG43" s="38">
        <f t="shared" si="15"/>
        <v>6</v>
      </c>
      <c r="BH43" s="38">
        <f t="shared" si="15"/>
        <v>6</v>
      </c>
      <c r="BI43" s="38">
        <f t="shared" si="15"/>
        <v>6</v>
      </c>
      <c r="BJ43" s="38">
        <f t="shared" si="15"/>
        <v>6</v>
      </c>
      <c r="BK43" s="38">
        <f t="shared" si="15"/>
        <v>6</v>
      </c>
      <c r="BL43" s="38">
        <f t="shared" si="15"/>
        <v>6</v>
      </c>
      <c r="BM43" s="38">
        <f t="shared" si="15"/>
        <v>6</v>
      </c>
      <c r="BN43" s="210">
        <f>IFERROR(ROUND(AVERAGE(BB43:BM43),0),0)</f>
        <v>6</v>
      </c>
      <c r="BO43" s="90"/>
    </row>
    <row r="44" spans="1:79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 t="shared" ref="AU44:AZ44" si="16">AU47</f>
        <v>34483</v>
      </c>
      <c r="AV44" s="38">
        <f t="shared" si="16"/>
        <v>37017</v>
      </c>
      <c r="AW44" s="38">
        <f t="shared" si="16"/>
        <v>33370</v>
      </c>
      <c r="AX44" s="38">
        <f t="shared" si="16"/>
        <v>34213</v>
      </c>
      <c r="AY44" s="38">
        <f t="shared" si="16"/>
        <v>43320</v>
      </c>
      <c r="AZ44" s="38">
        <f t="shared" si="16"/>
        <v>45647</v>
      </c>
      <c r="BA44" s="210">
        <f>SUM(AO44:AZ44)</f>
        <v>228050</v>
      </c>
      <c r="BB44" s="38">
        <v>53622</v>
      </c>
      <c r="BC44" s="38">
        <v>48356</v>
      </c>
      <c r="BD44" s="38">
        <v>44893</v>
      </c>
      <c r="BE44" s="38">
        <v>43581</v>
      </c>
      <c r="BF44" s="38">
        <f>ROUND(BF$47*'kWh Blocks by Rate Category'!N43,0)</f>
        <v>35068</v>
      </c>
      <c r="BG44" s="38">
        <f>ROUND(BG$47*'kWh Blocks by Rate Category'!O43,0)</f>
        <v>28555</v>
      </c>
      <c r="BH44" s="38">
        <f>ROUND(BH$47*'kWh Blocks by Rate Category'!P43,0)</f>
        <v>30793</v>
      </c>
      <c r="BI44" s="38">
        <f>ROUND(BI$47*'kWh Blocks by Rate Category'!Q43,0)</f>
        <v>33056</v>
      </c>
      <c r="BJ44" s="38">
        <f>ROUND(BJ$47*'kWh Blocks by Rate Category'!R43,0)</f>
        <v>29799</v>
      </c>
      <c r="BK44" s="38">
        <f>ROUND(BK$47*'kWh Blocks by Rate Category'!S43,0)</f>
        <v>30552</v>
      </c>
      <c r="BL44" s="38">
        <f>ROUND(BL$47*'kWh Blocks by Rate Category'!T43,0)</f>
        <v>38684</v>
      </c>
      <c r="BM44" s="38">
        <f>ROUND(BM$47*'kWh Blocks by Rate Category'!U43,0)</f>
        <v>40762</v>
      </c>
      <c r="BN44" s="210">
        <f>SUM(BB44:BM44)</f>
        <v>457721</v>
      </c>
      <c r="BO44" s="38">
        <f>ROUND(BO$47*'kWh Blocks by Rate Category'!W43,0)</f>
        <v>228861</v>
      </c>
    </row>
    <row r="45" spans="1:79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4562</v>
      </c>
      <c r="BC45" s="38">
        <v>4114</v>
      </c>
      <c r="BD45" s="38">
        <v>3820</v>
      </c>
      <c r="BE45" s="38">
        <v>3708</v>
      </c>
      <c r="BF45" s="38">
        <f>ROUND(BF$47*'kWh Blocks by Rate Category'!N44,0)</f>
        <v>2984</v>
      </c>
      <c r="BG45" s="38">
        <f>ROUND(BG$47*'kWh Blocks by Rate Category'!O44,0)</f>
        <v>2430</v>
      </c>
      <c r="BH45" s="38">
        <f>ROUND(BH$47*'kWh Blocks by Rate Category'!P44,0)</f>
        <v>2620</v>
      </c>
      <c r="BI45" s="38">
        <f>ROUND(BI$47*'kWh Blocks by Rate Category'!Q44,0)</f>
        <v>2813</v>
      </c>
      <c r="BJ45" s="38">
        <f>ROUND(BJ$47*'kWh Blocks by Rate Category'!R44,0)</f>
        <v>2536</v>
      </c>
      <c r="BK45" s="38">
        <f>ROUND(BK$47*'kWh Blocks by Rate Category'!S44,0)</f>
        <v>2600</v>
      </c>
      <c r="BL45" s="38">
        <f>ROUND(BL$47*'kWh Blocks by Rate Category'!T44,0)</f>
        <v>3292</v>
      </c>
      <c r="BM45" s="38">
        <f>ROUND(BM$47*'kWh Blocks by Rate Category'!U44,0)</f>
        <v>3468</v>
      </c>
      <c r="BN45" s="210">
        <f>SUM(BB45:BM45)</f>
        <v>38947</v>
      </c>
      <c r="BO45" s="38">
        <f>ROUND(BO$47*'kWh Blocks by Rate Category'!W44,0)</f>
        <v>19473</v>
      </c>
    </row>
    <row r="46" spans="1:79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1863</v>
      </c>
      <c r="BC46" s="38">
        <v>1680</v>
      </c>
      <c r="BD46" s="38">
        <v>1560</v>
      </c>
      <c r="BE46" s="38">
        <v>1514</v>
      </c>
      <c r="BF46" s="38">
        <f>ROUND(BF$47*'kWh Blocks by Rate Category'!N45,0)</f>
        <v>1218</v>
      </c>
      <c r="BG46" s="38">
        <f>ROUND(BG$47*'kWh Blocks by Rate Category'!O45,0)</f>
        <v>992</v>
      </c>
      <c r="BH46" s="38">
        <f>ROUND(BH$47*'kWh Blocks by Rate Category'!P45,0)</f>
        <v>1070</v>
      </c>
      <c r="BI46" s="38">
        <f>ROUND(BI$47*'kWh Blocks by Rate Category'!Q45,0)</f>
        <v>1148</v>
      </c>
      <c r="BJ46" s="38">
        <f>ROUND(BJ$47*'kWh Blocks by Rate Category'!R45,0)</f>
        <v>1035</v>
      </c>
      <c r="BK46" s="38">
        <f>ROUND(BK$47*'kWh Blocks by Rate Category'!S45,0)</f>
        <v>1061</v>
      </c>
      <c r="BL46" s="38">
        <f>ROUND(BL$47*'kWh Blocks by Rate Category'!T45,0)</f>
        <v>1344</v>
      </c>
      <c r="BM46" s="38">
        <f>ROUND(BM$47*'kWh Blocks by Rate Category'!U45,0)</f>
        <v>1416</v>
      </c>
      <c r="BN46" s="210">
        <f>SUM(BB46:BM46)</f>
        <v>15901</v>
      </c>
      <c r="BO46" s="38">
        <f>ROUND(BO$47*'kWh Blocks by Rate Category'!W45,0)</f>
        <v>7951</v>
      </c>
    </row>
    <row r="47" spans="1:79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180"/>
      <c r="AC47" s="181"/>
      <c r="AD47" s="181"/>
      <c r="AE47" s="181"/>
      <c r="AF47" s="181"/>
      <c r="AG47" s="181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7">IFERROR(ROUND(AU48*AU43,0),0)</f>
        <v>34483</v>
      </c>
      <c r="AV47" s="64">
        <f t="shared" si="17"/>
        <v>37017</v>
      </c>
      <c r="AW47" s="64">
        <f t="shared" si="17"/>
        <v>33370</v>
      </c>
      <c r="AX47" s="64">
        <f t="shared" si="17"/>
        <v>34213</v>
      </c>
      <c r="AY47" s="64">
        <f t="shared" si="17"/>
        <v>43320</v>
      </c>
      <c r="AZ47" s="64">
        <f t="shared" si="17"/>
        <v>45647</v>
      </c>
      <c r="BA47" s="196">
        <f>SUM(AO47:AZ47)</f>
        <v>228050</v>
      </c>
      <c r="BB47" s="64">
        <v>60047</v>
      </c>
      <c r="BC47" s="64">
        <v>54150</v>
      </c>
      <c r="BD47" s="64">
        <v>50273</v>
      </c>
      <c r="BE47" s="64">
        <v>48803</v>
      </c>
      <c r="BF47" s="64">
        <f t="shared" ref="BF47:BM47" si="18">IFERROR(ROUND(BF48*BF43,0),0)</f>
        <v>39270</v>
      </c>
      <c r="BG47" s="64">
        <f t="shared" si="18"/>
        <v>31977</v>
      </c>
      <c r="BH47" s="64">
        <f t="shared" si="18"/>
        <v>34483</v>
      </c>
      <c r="BI47" s="64">
        <f t="shared" si="18"/>
        <v>37017</v>
      </c>
      <c r="BJ47" s="64">
        <f t="shared" si="18"/>
        <v>33370</v>
      </c>
      <c r="BK47" s="64">
        <f t="shared" si="18"/>
        <v>34213</v>
      </c>
      <c r="BL47" s="64">
        <f t="shared" si="18"/>
        <v>43320</v>
      </c>
      <c r="BM47" s="64">
        <f t="shared" si="18"/>
        <v>45647</v>
      </c>
      <c r="BN47" s="196">
        <f>SUM(BB47:BM47)</f>
        <v>512570</v>
      </c>
      <c r="BO47" s="147">
        <f>BQ54-BO54</f>
        <v>256285</v>
      </c>
    </row>
    <row r="48" spans="1:79" ht="15.75" customHeight="1" thickTop="1">
      <c r="A48" s="374" t="s">
        <v>54</v>
      </c>
      <c r="B48" s="129">
        <f>IF('kWh_Streetlight Data'!C32=0,"",'kWh_Streetlight Data'!C32)</f>
        <v>12613.333333333334</v>
      </c>
      <c r="C48" s="130">
        <f>IF('kWh_Streetlight Data'!D32=0,"",'kWh_Streetlight Data'!D32)</f>
        <v>11690</v>
      </c>
      <c r="D48" s="130">
        <f>IF('kWh_Streetlight Data'!E32=0,"",'kWh_Streetlight Data'!E32)</f>
        <v>9176.6666666666661</v>
      </c>
      <c r="E48" s="130">
        <f>IF('kWh_Streetlight Data'!F32=0,"",'kWh_Streetlight Data'!F32)</f>
        <v>8471.6666666666661</v>
      </c>
      <c r="F48" s="130">
        <f>IF('kWh_Streetlight Data'!G32=0,"",'kWh_Streetlight Data'!G32)</f>
        <v>9155</v>
      </c>
      <c r="G48" s="130">
        <f>IF('kWh_Streetlight Data'!H32=0,"",'kWh_Streetlight Data'!H32)</f>
        <v>6196.666666666667</v>
      </c>
      <c r="H48" s="130">
        <f>IF('kWh_Streetlight Data'!I32=0,"",'kWh_Streetlight Data'!I32)</f>
        <v>6625</v>
      </c>
      <c r="I48" s="130">
        <f>IF('kWh_Streetlight Data'!J32=0,"",'kWh_Streetlight Data'!J32)</f>
        <v>6295</v>
      </c>
      <c r="J48" s="130">
        <f>IF('kWh_Streetlight Data'!K32=0,"",'kWh_Streetlight Data'!K32)</f>
        <v>6953.333333333333</v>
      </c>
      <c r="K48" s="130">
        <f>IF('kWh_Streetlight Data'!L32=0,"",'kWh_Streetlight Data'!L32)</f>
        <v>6453.333333333333</v>
      </c>
      <c r="L48" s="130">
        <f>IF('kWh_Streetlight Data'!M32=0,"",'kWh_Streetlight Data'!M32)</f>
        <v>8716.6666666666661</v>
      </c>
      <c r="M48" s="130">
        <f>IF('kWh_Streetlight Data'!N32=0,"",'kWh_Streetlight Data'!N32)</f>
        <v>7021.666666666667</v>
      </c>
      <c r="N48" s="424">
        <f>IF('kWh_Streetlight Data'!O32=0,"",'kWh_Streetlight Data'!O32)</f>
        <v>8280.6944444444453</v>
      </c>
      <c r="O48" s="129">
        <f>IF('kWh_Streetlight Data'!P32=0,"",'kWh_Streetlight Data'!P32)</f>
        <v>8418.3333333333339</v>
      </c>
      <c r="P48" s="130">
        <f>IF('kWh_Streetlight Data'!Q32=0,"",'kWh_Streetlight Data'!Q32)</f>
        <v>8400</v>
      </c>
      <c r="Q48" s="130">
        <f>IF('kWh_Streetlight Data'!R32=0,"",'kWh_Streetlight Data'!R32)</f>
        <v>8305</v>
      </c>
      <c r="R48" s="130">
        <f>IF('kWh_Streetlight Data'!S32=0,"",'kWh_Streetlight Data'!S32)</f>
        <v>6465</v>
      </c>
      <c r="S48" s="130">
        <f>IF('kWh_Streetlight Data'!T32=0,"",'kWh_Streetlight Data'!T32)</f>
        <v>5961.666666666667</v>
      </c>
      <c r="T48" s="130">
        <f>IF('kWh_Streetlight Data'!U32=0,"",'kWh_Streetlight Data'!U32)</f>
        <v>4973.333333333333</v>
      </c>
      <c r="U48" s="130">
        <f>IF('kWh_Streetlight Data'!V32=0,"",'kWh_Streetlight Data'!V32)</f>
        <v>5671.666666666667</v>
      </c>
      <c r="V48" s="130">
        <f>IF('kWh_Streetlight Data'!W32=0,"",'kWh_Streetlight Data'!W32)</f>
        <v>5661.666666666667</v>
      </c>
      <c r="W48" s="130">
        <f>IF('kWh_Streetlight Data'!X32=0,"",'kWh_Streetlight Data'!X32)</f>
        <v>4566.666666666667</v>
      </c>
      <c r="X48" s="130">
        <f>IF('kWh_Streetlight Data'!Y32=0,"",'kWh_Streetlight Data'!Y32)</f>
        <v>5151.666666666667</v>
      </c>
      <c r="Y48" s="130">
        <f>IF('kWh_Streetlight Data'!Z32=0,"",'kWh_Streetlight Data'!Z32)</f>
        <v>6431.666666666667</v>
      </c>
      <c r="Z48" s="130">
        <f>IF('kWh_Streetlight Data'!AA32=0,"",'kWh_Streetlight Data'!AA32)</f>
        <v>7836.666666666667</v>
      </c>
      <c r="AA48" s="424">
        <f>IF('kWh_Streetlight Data'!AB32=0,"",'kWh_Streetlight Data'!AB32)</f>
        <v>6486.9444444444443</v>
      </c>
      <c r="AB48" s="129">
        <f>IF('kWh_Streetlight Data'!AC32=0,"",'kWh_Streetlight Data'!AC32)</f>
        <v>8991.6666666666661</v>
      </c>
      <c r="AC48" s="130">
        <f>IF('kWh_Streetlight Data'!AD32=0,"",'kWh_Streetlight Data'!AD32)</f>
        <v>6985</v>
      </c>
      <c r="AD48" s="130">
        <f>IF('kWh_Streetlight Data'!AE32=0,"",'kWh_Streetlight Data'!AE32)</f>
        <v>7655</v>
      </c>
      <c r="AE48" s="130">
        <f>IF('kWh_Streetlight Data'!AF32=0,"",'kWh_Streetlight Data'!AF32)</f>
        <v>9465</v>
      </c>
      <c r="AF48" s="130">
        <f>IF('kWh_Streetlight Data'!AG32=0,"",'kWh_Streetlight Data'!AG32)</f>
        <v>4518.5714285714284</v>
      </c>
      <c r="AG48" s="130">
        <f>IF('kWh_Streetlight Data'!AH32=0,"",'kWh_Streetlight Data'!AH32)</f>
        <v>4818.333333333333</v>
      </c>
      <c r="AH48" s="130">
        <f>IF('kWh_Streetlight Data'!AI32=0,"",'kWh_Streetlight Data'!AI32)</f>
        <v>4945</v>
      </c>
      <c r="AI48" s="130">
        <f>IF('kWh_Streetlight Data'!AJ32=0,"",'kWh_Streetlight Data'!AJ32)</f>
        <v>6551.666666666667</v>
      </c>
      <c r="AJ48" s="130">
        <f>IF('kWh_Streetlight Data'!AK32=0,"",'kWh_Streetlight Data'!AK32)</f>
        <v>5165</v>
      </c>
      <c r="AK48" s="130">
        <f>IF('kWh_Streetlight Data'!AL32=0,"",'kWh_Streetlight Data'!AL32)</f>
        <v>5501.666666666667</v>
      </c>
      <c r="AL48" s="130">
        <f>IF('kWh_Streetlight Data'!AM32=0,"",'kWh_Streetlight Data'!AM32)</f>
        <v>6511.666666666667</v>
      </c>
      <c r="AM48" s="130">
        <f>IF('kWh_Streetlight Data'!AN32=0,"",'kWh_Streetlight Data'!AN32)</f>
        <v>7965</v>
      </c>
      <c r="AN48" s="426">
        <f>IF('kWh_Streetlight Data'!AO32=0,"",'kWh_Streetlight Data'!AO32)</f>
        <v>6561.0958904109593</v>
      </c>
      <c r="AO48" s="43"/>
      <c r="AP48" s="40"/>
      <c r="AQ48" s="40"/>
      <c r="AR48" s="40"/>
      <c r="AS48" s="40"/>
      <c r="AT48" s="17"/>
      <c r="AU48" s="17">
        <f t="shared" ref="AU48" si="19">IFERROR(AVERAGE(AH48,U48,H48),0)</f>
        <v>5747.2222222222226</v>
      </c>
      <c r="AV48" s="17">
        <f t="shared" ref="AV48" si="20">IFERROR(AVERAGE(AI48,V48,I48),0)</f>
        <v>6169.4444444444453</v>
      </c>
      <c r="AW48" s="17">
        <f t="shared" ref="AW48" si="21">IFERROR(AVERAGE(AJ48,W48,J48),0)</f>
        <v>5561.666666666667</v>
      </c>
      <c r="AX48" s="17">
        <f t="shared" ref="AX48" si="22">IFERROR(AVERAGE(AK48,X48,K48),0)</f>
        <v>5702.2222222222226</v>
      </c>
      <c r="AY48" s="17">
        <f t="shared" ref="AY48" si="23">IFERROR(AVERAGE(AL48,Y48,L48),0)</f>
        <v>7220</v>
      </c>
      <c r="AZ48" s="17">
        <f t="shared" ref="AZ48" si="24">IFERROR(AVERAGE(AM48,Z48,M48),0)</f>
        <v>7607.7777777777783</v>
      </c>
      <c r="BA48" s="211">
        <f>IFERROR(BA47/SUM(AO43:AZ43),0)</f>
        <v>6334.7222222222226</v>
      </c>
      <c r="BB48" s="9">
        <v>10007.777777777779</v>
      </c>
      <c r="BC48" s="17">
        <v>9025</v>
      </c>
      <c r="BD48" s="17">
        <v>8378.8888888888887</v>
      </c>
      <c r="BE48" s="17">
        <v>8133.8888888888878</v>
      </c>
      <c r="BF48" s="17">
        <f t="shared" ref="BF48:BM48" si="25">IFERROR(AVERAGE(F48,S48,AF48),0)</f>
        <v>6545.0793650793648</v>
      </c>
      <c r="BG48" s="17">
        <f t="shared" si="25"/>
        <v>5329.4444444444443</v>
      </c>
      <c r="BH48" s="17">
        <f t="shared" si="25"/>
        <v>5747.2222222222226</v>
      </c>
      <c r="BI48" s="17">
        <f t="shared" si="25"/>
        <v>6169.4444444444453</v>
      </c>
      <c r="BJ48" s="17">
        <f t="shared" si="25"/>
        <v>5561.666666666667</v>
      </c>
      <c r="BK48" s="17">
        <f t="shared" si="25"/>
        <v>5702.2222222222226</v>
      </c>
      <c r="BL48" s="17">
        <f t="shared" si="25"/>
        <v>7220</v>
      </c>
      <c r="BM48" s="9">
        <f t="shared" si="25"/>
        <v>7607.7777777777783</v>
      </c>
      <c r="BN48" s="211">
        <f>IFERROR(BN47/SUM(BB43:BM43)*12,0)</f>
        <v>85428.333333333328</v>
      </c>
      <c r="BO48" s="20"/>
    </row>
    <row r="49" spans="1:7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7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>
        <f>Customers!L88</f>
        <v>6</v>
      </c>
    </row>
    <row r="51" spans="1:7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>
        <f>ROUND(BO$54*'kWh Blocks by Rate Category'!W50,0)</f>
        <v>228861</v>
      </c>
    </row>
    <row r="52" spans="1:7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>
        <f>ROUND(BO$54*'kWh Blocks by Rate Category'!W51,0)</f>
        <v>19473</v>
      </c>
      <c r="BR52" s="229" t="s">
        <v>221</v>
      </c>
    </row>
    <row r="53" spans="1:7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>
        <f>ROUND(BO$54*'kWh Blocks by Rate Category'!W52,0)</f>
        <v>7951</v>
      </c>
      <c r="BQ53" s="229" t="s">
        <v>222</v>
      </c>
      <c r="BR53" s="229" t="s">
        <v>223</v>
      </c>
    </row>
    <row r="54" spans="1:7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ROUND(BQ54/12*BR54,0)</f>
        <v>256285</v>
      </c>
      <c r="BQ54" s="39">
        <f>ROUND(BO55*BO50,0)</f>
        <v>512570</v>
      </c>
      <c r="BR54" s="296">
        <f>BR40</f>
        <v>6</v>
      </c>
    </row>
    <row r="55" spans="1:7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>
        <f>BN48</f>
        <v>85428.333333333328</v>
      </c>
      <c r="BR55" s="229" t="s">
        <v>224</v>
      </c>
    </row>
    <row r="56" spans="1:7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7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10"/>
      <c r="BO57" s="156"/>
    </row>
    <row r="58" spans="1:70" ht="15.75" customHeight="1" thickBot="1">
      <c r="A58" s="201" t="s">
        <v>30</v>
      </c>
      <c r="B58" s="113" t="str">
        <f>IF('kWh_Streetlight Data'!C232=0,"",'kWh_Streetlight Data'!C232)</f>
        <v/>
      </c>
      <c r="C58" s="114" t="str">
        <f>IF('kWh_Streetlight Data'!D232=0,"",'kWh_Streetlight Data'!D232)</f>
        <v/>
      </c>
      <c r="D58" s="114" t="str">
        <f>IF('kWh_Streetlight Data'!E232=0,"",'kWh_Streetlight Data'!E232)</f>
        <v/>
      </c>
      <c r="E58" s="114" t="str">
        <f>IF('kWh_Streetlight Data'!F232=0,"",'kWh_Streetlight Data'!F232)</f>
        <v/>
      </c>
      <c r="F58" s="114" t="str">
        <f>IF('kWh_Streetlight Data'!G232=0,"",'kWh_Streetlight Data'!G232)</f>
        <v/>
      </c>
      <c r="G58" s="114" t="str">
        <f>IF('kWh_Streetlight Data'!H232=0,"",'kWh_Streetlight Data'!H232)</f>
        <v/>
      </c>
      <c r="H58" s="114" t="str">
        <f>IF('kWh_Streetlight Data'!I232=0,"",'kWh_Streetlight Data'!I232)</f>
        <v/>
      </c>
      <c r="I58" s="114" t="str">
        <f>IF('kWh_Streetlight Data'!J232=0,"",'kWh_Streetlight Data'!J232)</f>
        <v/>
      </c>
      <c r="J58" s="114" t="str">
        <f>IF('kWh_Streetlight Data'!K232=0,"",'kWh_Streetlight Data'!K232)</f>
        <v/>
      </c>
      <c r="K58" s="114" t="str">
        <f>IF('kWh_Streetlight Data'!L232=0,"",'kWh_Streetlight Data'!L232)</f>
        <v/>
      </c>
      <c r="L58" s="114" t="str">
        <f>IF('kWh_Streetlight Data'!M232=0,"",'kWh_Streetlight Data'!M232)</f>
        <v/>
      </c>
      <c r="M58" s="114" t="str">
        <f>IF('kWh_Streetlight Data'!N232=0,"",'kWh_Streetlight Data'!N232)</f>
        <v/>
      </c>
      <c r="N58" s="459" t="str">
        <f>IF('kWh_Streetlight Data'!O232=0,"",'kWh_Streetlight Data'!O232)</f>
        <v/>
      </c>
      <c r="O58" s="113" t="str">
        <f>IF('kWh_Streetlight Data'!P232=0,"",'kWh_Streetlight Data'!P232)</f>
        <v/>
      </c>
      <c r="P58" s="114" t="str">
        <f>IF('kWh_Streetlight Data'!Q232=0,"",'kWh_Streetlight Data'!Q232)</f>
        <v/>
      </c>
      <c r="Q58" s="114" t="str">
        <f>IF('kWh_Streetlight Data'!R232=0,"",'kWh_Streetlight Data'!R232)</f>
        <v/>
      </c>
      <c r="R58" s="114" t="str">
        <f>IF('kWh_Streetlight Data'!S232=0,"",'kWh_Streetlight Data'!S232)</f>
        <v/>
      </c>
      <c r="S58" s="114" t="str">
        <f>IF('kWh_Streetlight Data'!T232=0,"",'kWh_Streetlight Data'!T232)</f>
        <v/>
      </c>
      <c r="T58" s="114" t="str">
        <f>IF('kWh_Streetlight Data'!U232=0,"",'kWh_Streetlight Data'!U232)</f>
        <v/>
      </c>
      <c r="U58" s="114" t="str">
        <f>IF('kWh_Streetlight Data'!V232=0,"",'kWh_Streetlight Data'!V232)</f>
        <v/>
      </c>
      <c r="V58" s="114" t="str">
        <f>IF('kWh_Streetlight Data'!W232=0,"",'kWh_Streetlight Data'!W232)</f>
        <v/>
      </c>
      <c r="W58" s="114" t="str">
        <f>IF('kWh_Streetlight Data'!X232=0,"",'kWh_Streetlight Data'!X232)</f>
        <v/>
      </c>
      <c r="X58" s="114" t="str">
        <f>IF('kWh_Streetlight Data'!Y232=0,"",'kWh_Streetlight Data'!Y232)</f>
        <v/>
      </c>
      <c r="Y58" s="114" t="str">
        <f>IF('kWh_Streetlight Data'!Z232=0,"",'kWh_Streetlight Data'!Z232)</f>
        <v/>
      </c>
      <c r="Z58" s="114" t="str">
        <f>IF('kWh_Streetlight Data'!AA232=0,"",'kWh_Streetlight Data'!AA232)</f>
        <v/>
      </c>
      <c r="AA58" s="459" t="str">
        <f>IF('kWh_Streetlight Data'!AB232=0,"",'kWh_Streetlight Data'!AB232)</f>
        <v/>
      </c>
      <c r="AB58" s="240" t="str">
        <f>IF('kWh_Streetlight Data'!AC232=0,"",'kWh_Streetlight Data'!AC232)</f>
        <v/>
      </c>
      <c r="AC58" s="117" t="str">
        <f>IF('kWh_Streetlight Data'!AD232=0,"",'kWh_Streetlight Data'!AD232)</f>
        <v/>
      </c>
      <c r="AD58" s="117" t="str">
        <f>IF('kWh_Streetlight Data'!AE232=0,"",'kWh_Streetlight Data'!AE232)</f>
        <v/>
      </c>
      <c r="AE58" s="117" t="str">
        <f>IF('kWh_Streetlight Data'!AF232=0,"",'kWh_Streetlight Data'!AF232)</f>
        <v/>
      </c>
      <c r="AF58" s="117" t="str">
        <f>IF('kWh_Streetlight Data'!AG232=0,"",'kWh_Streetlight Data'!AG232)</f>
        <v/>
      </c>
      <c r="AG58" s="117" t="str">
        <f>IF('kWh_Streetlight Data'!AH232=0,"",'kWh_Streetlight Data'!AH232)</f>
        <v/>
      </c>
      <c r="AH58" s="117" t="str">
        <f>IF('kWh_Streetlight Data'!AI232=0,"",'kWh_Streetlight Data'!AI232)</f>
        <v/>
      </c>
      <c r="AI58" s="117" t="str">
        <f>IF('kWh_Streetlight Data'!AJ232=0,"",'kWh_Streetlight Data'!AJ232)</f>
        <v/>
      </c>
      <c r="AJ58" s="117" t="str">
        <f>IF('kWh_Streetlight Data'!AK232=0,"",'kWh_Streetlight Data'!AK232)</f>
        <v/>
      </c>
      <c r="AK58" s="117" t="str">
        <f>IF('kWh_Streetlight Data'!AL232=0,"",'kWh_Streetlight Data'!AL232)</f>
        <v/>
      </c>
      <c r="AL58" s="117" t="str">
        <f>IF('kWh_Streetlight Data'!AM232=0,"",'kWh_Streetlight Data'!AM232)</f>
        <v/>
      </c>
      <c r="AM58" s="117" t="str">
        <f>IF('kWh_Streetlight Data'!AN232=0,"",'kWh_Streetlight Data'!AN232)</f>
        <v/>
      </c>
      <c r="AN58" s="464" t="str">
        <f>IF('kWh_Streetlight Data'!AO232=0,"",'kWh_Streetlight Data'!AO232)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213"/>
      <c r="BO58" s="175"/>
    </row>
    <row r="59" spans="1:7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7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7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7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7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7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Data'!C33=0,"",'kWh_Streetlight Data'!C33)</f>
        <v/>
      </c>
      <c r="C69" s="130" t="str">
        <f>IF('kWh_Streetlight Data'!D33=0,"",'kWh_Streetlight Data'!D33)</f>
        <v/>
      </c>
      <c r="D69" s="130" t="str">
        <f>IF('kWh_Streetlight Data'!E33=0,"",'kWh_Streetlight Data'!E33)</f>
        <v/>
      </c>
      <c r="E69" s="130" t="str">
        <f>IF('kWh_Streetlight Data'!F33=0,"",'kWh_Streetlight Data'!F33)</f>
        <v/>
      </c>
      <c r="F69" s="130" t="str">
        <f>IF('kWh_Streetlight Data'!G33=0,"",'kWh_Streetlight Data'!G33)</f>
        <v/>
      </c>
      <c r="G69" s="130" t="str">
        <f>IF('kWh_Streetlight Data'!H33=0,"",'kWh_Streetlight Data'!H33)</f>
        <v/>
      </c>
      <c r="H69" s="130" t="str">
        <f>IF('kWh_Streetlight Data'!I33=0,"",'kWh_Streetlight Data'!I33)</f>
        <v/>
      </c>
      <c r="I69" s="130" t="str">
        <f>IF('kWh_Streetlight Data'!J33=0,"",'kWh_Streetlight Data'!J33)</f>
        <v/>
      </c>
      <c r="J69" s="130" t="str">
        <f>IF('kWh_Streetlight Data'!K33=0,"",'kWh_Streetlight Data'!K33)</f>
        <v/>
      </c>
      <c r="K69" s="130" t="str">
        <f>IF('kWh_Streetlight Data'!L33=0,"",'kWh_Streetlight Data'!L33)</f>
        <v/>
      </c>
      <c r="L69" s="130" t="str">
        <f>IF('kWh_Streetlight Data'!M33=0,"",'kWh_Streetlight Data'!M33)</f>
        <v/>
      </c>
      <c r="M69" s="130" t="str">
        <f>IF('kWh_Streetlight Data'!N33=0,"",'kWh_Streetlight Data'!N33)</f>
        <v/>
      </c>
      <c r="N69" s="424" t="str">
        <f>IF('kWh_Streetlight Data'!O33=0,"",'kWh_Streetlight Data'!O33)</f>
        <v/>
      </c>
      <c r="O69" s="84" t="str">
        <f>IF('kWh_Streetlight Data'!P33=0,"",'kWh_Streetlight Data'!P33)</f>
        <v/>
      </c>
      <c r="P69" s="108" t="str">
        <f>IF('kWh_Streetlight Data'!Q33=0,"",'kWh_Streetlight Data'!Q33)</f>
        <v/>
      </c>
      <c r="Q69" s="108" t="str">
        <f>IF('kWh_Streetlight Data'!R33=0,"",'kWh_Streetlight Data'!R33)</f>
        <v/>
      </c>
      <c r="R69" s="108" t="str">
        <f>IF('kWh_Streetlight Data'!S33=0,"",'kWh_Streetlight Data'!S33)</f>
        <v/>
      </c>
      <c r="S69" s="108" t="str">
        <f>IF('kWh_Streetlight Data'!T33=0,"",'kWh_Streetlight Data'!T33)</f>
        <v/>
      </c>
      <c r="T69" s="108" t="str">
        <f>IF('kWh_Streetlight Data'!U33=0,"",'kWh_Streetlight Data'!U33)</f>
        <v/>
      </c>
      <c r="U69" s="108" t="str">
        <f>IF('kWh_Streetlight Data'!V33=0,"",'kWh_Streetlight Data'!V33)</f>
        <v/>
      </c>
      <c r="V69" s="108" t="str">
        <f>IF('kWh_Streetlight Data'!W33=0,"",'kWh_Streetlight Data'!W33)</f>
        <v/>
      </c>
      <c r="W69" s="108" t="str">
        <f>IF('kWh_Streetlight Data'!X33=0,"",'kWh_Streetlight Data'!X33)</f>
        <v/>
      </c>
      <c r="X69" s="108" t="str">
        <f>IF('kWh_Streetlight Data'!Y33=0,"",'kWh_Streetlight Data'!Y33)</f>
        <v/>
      </c>
      <c r="Y69" s="108" t="str">
        <f>IF('kWh_Streetlight Data'!Z33=0,"",'kWh_Streetlight Data'!Z33)</f>
        <v/>
      </c>
      <c r="Z69" s="108" t="str">
        <f>IF('kWh_Streetlight Data'!AA33=0,"",'kWh_Streetlight Data'!AA33)</f>
        <v/>
      </c>
      <c r="AA69" s="424" t="str">
        <f>IF('kWh_Streetlight Data'!AB33=0,"",'kWh_Streetlight Data'!AB33)</f>
        <v/>
      </c>
      <c r="AB69" s="84" t="str">
        <f>IF('kWh_Streetlight Data'!AC33=0,"",'kWh_Streetlight Data'!AC33)</f>
        <v/>
      </c>
      <c r="AC69" s="108" t="str">
        <f>IF('kWh_Streetlight Data'!AD33=0,"",'kWh_Streetlight Data'!AD33)</f>
        <v/>
      </c>
      <c r="AD69" s="108" t="str">
        <f>IF('kWh_Streetlight Data'!AE33=0,"",'kWh_Streetlight Data'!AE33)</f>
        <v/>
      </c>
      <c r="AE69" s="108" t="str">
        <f>IF('kWh_Streetlight Data'!AF33=0,"",'kWh_Streetlight Data'!AF33)</f>
        <v/>
      </c>
      <c r="AF69" s="108" t="str">
        <f>IF('kWh_Streetlight Data'!AG33=0,"",'kWh_Streetlight Data'!AG33)</f>
        <v/>
      </c>
      <c r="AG69" s="108" t="str">
        <f>IF('kWh_Streetlight Data'!AH33=0,"",'kWh_Streetlight Data'!AH33)</f>
        <v/>
      </c>
      <c r="AH69" s="130" t="str">
        <f>IF('kWh_Streetlight Data'!AI33=0,"",'kWh_Streetlight Data'!AI33)</f>
        <v/>
      </c>
      <c r="AI69" s="130" t="str">
        <f>IF('kWh_Streetlight Data'!AJ33=0,"",'kWh_Streetlight Data'!AJ33)</f>
        <v/>
      </c>
      <c r="AJ69" s="130" t="str">
        <f>IF('kWh_Streetlight Data'!AK33=0,"",'kWh_Streetlight Data'!AK33)</f>
        <v/>
      </c>
      <c r="AK69" s="130" t="str">
        <f>IF('kWh_Streetlight Data'!AL33=0,"",'kWh_Streetlight Data'!AL33)</f>
        <v/>
      </c>
      <c r="AL69" s="130" t="str">
        <f>IF('kWh_Streetlight Data'!AM33=0,"",'kWh_Streetlight Data'!AM33)</f>
        <v/>
      </c>
      <c r="AM69" s="130" t="str">
        <f>IF('kWh_Streetlight Data'!AN33=0,"",'kWh_Streetlight Data'!AN33)</f>
        <v/>
      </c>
      <c r="AN69" s="424" t="str">
        <f>IF('kWh_Streetlight Data'!AO33=0,"",'kWh_Streetlight Data'!AO33)</f>
        <v/>
      </c>
      <c r="AO69" s="43"/>
      <c r="AP69" s="40"/>
      <c r="AQ69" s="40"/>
      <c r="AR69" s="40"/>
      <c r="AS69" s="40"/>
      <c r="AT69" s="9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124">
        <f>Customers!E92</f>
        <v>14</v>
      </c>
      <c r="AV75" s="124">
        <f>Customers!F92</f>
        <v>14</v>
      </c>
      <c r="AW75" s="124">
        <f>Customers!G92</f>
        <v>14</v>
      </c>
      <c r="AX75" s="124">
        <f>Customers!H92</f>
        <v>14</v>
      </c>
      <c r="AY75" s="124">
        <f>Customers!I92</f>
        <v>14</v>
      </c>
      <c r="AZ75" s="124">
        <f>Customers!J92</f>
        <v>14</v>
      </c>
      <c r="BA75" s="210">
        <f>IFERROR(ROUND(AVERAGE(AO75:AZ75),0),0)</f>
        <v>14</v>
      </c>
      <c r="BB75" s="124">
        <v>14</v>
      </c>
      <c r="BC75" s="38">
        <v>14</v>
      </c>
      <c r="BD75" s="38">
        <v>14</v>
      </c>
      <c r="BE75" s="38">
        <v>14</v>
      </c>
      <c r="BF75" s="38">
        <f t="shared" ref="BF75:BM75" si="26">BE75</f>
        <v>14</v>
      </c>
      <c r="BG75" s="38">
        <f t="shared" si="26"/>
        <v>14</v>
      </c>
      <c r="BH75" s="38">
        <f t="shared" si="26"/>
        <v>14</v>
      </c>
      <c r="BI75" s="38">
        <f t="shared" si="26"/>
        <v>14</v>
      </c>
      <c r="BJ75" s="38">
        <f>BI75+4</f>
        <v>18</v>
      </c>
      <c r="BK75" s="38">
        <f t="shared" si="26"/>
        <v>18</v>
      </c>
      <c r="BL75" s="38">
        <f t="shared" si="26"/>
        <v>18</v>
      </c>
      <c r="BM75" s="38">
        <f t="shared" si="26"/>
        <v>18</v>
      </c>
      <c r="BN75" s="210">
        <f>IFERROR(ROUND(AVERAGE(BB75:BM75),0),0)</f>
        <v>15</v>
      </c>
      <c r="BO75" s="143">
        <v>0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27">IF(AU78&gt;250,250,0)</f>
        <v>250</v>
      </c>
      <c r="AV76" s="38">
        <f t="shared" si="27"/>
        <v>250</v>
      </c>
      <c r="AW76" s="38">
        <f t="shared" si="27"/>
        <v>250</v>
      </c>
      <c r="AX76" s="38">
        <f t="shared" si="27"/>
        <v>250</v>
      </c>
      <c r="AY76" s="38">
        <f t="shared" si="27"/>
        <v>250</v>
      </c>
      <c r="AZ76" s="38">
        <f t="shared" si="27"/>
        <v>250</v>
      </c>
      <c r="BA76" s="210">
        <f>SUM(AO76:AZ76)</f>
        <v>1500</v>
      </c>
      <c r="BB76" s="38">
        <v>3500</v>
      </c>
      <c r="BC76" s="38">
        <v>3500</v>
      </c>
      <c r="BD76" s="38">
        <v>3500</v>
      </c>
      <c r="BE76" s="38">
        <v>3500</v>
      </c>
      <c r="BF76" s="38">
        <f t="shared" ref="BF76:BM76" si="28">IF(BF78&gt;(BF75*250),BF75*250,BF78)</f>
        <v>3500</v>
      </c>
      <c r="BG76" s="38">
        <f t="shared" si="28"/>
        <v>3500</v>
      </c>
      <c r="BH76" s="38">
        <f t="shared" si="28"/>
        <v>3500</v>
      </c>
      <c r="BI76" s="38">
        <f t="shared" si="28"/>
        <v>3500</v>
      </c>
      <c r="BJ76" s="38">
        <f t="shared" si="28"/>
        <v>4500</v>
      </c>
      <c r="BK76" s="38">
        <f t="shared" si="28"/>
        <v>4500</v>
      </c>
      <c r="BL76" s="38">
        <f t="shared" si="28"/>
        <v>4500</v>
      </c>
      <c r="BM76" s="38">
        <f t="shared" si="28"/>
        <v>4500</v>
      </c>
      <c r="BN76" s="210">
        <f>SUM(BB76:BM76)</f>
        <v>46000</v>
      </c>
      <c r="BO76" s="143">
        <f>IF(BO78&gt;(BM75*250),BM75*250,BO78)</f>
        <v>4500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29">ROUND(AU78-AU76,0)</f>
        <v>16060</v>
      </c>
      <c r="AV77" s="38">
        <f t="shared" si="29"/>
        <v>13155</v>
      </c>
      <c r="AW77" s="38">
        <f t="shared" si="29"/>
        <v>16323</v>
      </c>
      <c r="AX77" s="38">
        <f t="shared" si="29"/>
        <v>19178</v>
      </c>
      <c r="AY77" s="38">
        <f t="shared" si="29"/>
        <v>23314</v>
      </c>
      <c r="AZ77" s="38">
        <f t="shared" si="29"/>
        <v>22196</v>
      </c>
      <c r="BA77" s="210">
        <f>SUM(AO77:AZ77)</f>
        <v>110226</v>
      </c>
      <c r="BB77" s="38">
        <v>18103</v>
      </c>
      <c r="BC77" s="38">
        <v>18475</v>
      </c>
      <c r="BD77" s="38">
        <v>15178</v>
      </c>
      <c r="BE77" s="38">
        <v>16108</v>
      </c>
      <c r="BF77" s="38">
        <f t="shared" ref="BF77:BM77" si="30">ROUND(BF78-BF76,0)</f>
        <v>13502</v>
      </c>
      <c r="BG77" s="38">
        <f t="shared" si="30"/>
        <v>10065</v>
      </c>
      <c r="BH77" s="38">
        <f t="shared" si="30"/>
        <v>12810</v>
      </c>
      <c r="BI77" s="38">
        <f t="shared" si="30"/>
        <v>9905</v>
      </c>
      <c r="BJ77" s="38">
        <f t="shared" si="30"/>
        <v>16808</v>
      </c>
      <c r="BK77" s="38">
        <f t="shared" si="30"/>
        <v>20479</v>
      </c>
      <c r="BL77" s="38">
        <f t="shared" si="30"/>
        <v>25797</v>
      </c>
      <c r="BM77" s="38">
        <f t="shared" si="30"/>
        <v>24359</v>
      </c>
      <c r="BN77" s="210">
        <f>SUM(BB77:BM77)</f>
        <v>201589</v>
      </c>
      <c r="BO77" s="156">
        <f t="shared" ref="BO77" si="31">ROUND(BO78-BO76,0)</f>
        <v>140824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32">IFERROR(ROUND(AU79*AU75,0),0)</f>
        <v>16310</v>
      </c>
      <c r="AV78" s="64">
        <f t="shared" si="32"/>
        <v>13405</v>
      </c>
      <c r="AW78" s="64">
        <f t="shared" si="32"/>
        <v>16573</v>
      </c>
      <c r="AX78" s="64">
        <f t="shared" si="32"/>
        <v>19428</v>
      </c>
      <c r="AY78" s="64">
        <f t="shared" si="32"/>
        <v>23564</v>
      </c>
      <c r="AZ78" s="64">
        <f t="shared" si="32"/>
        <v>22446</v>
      </c>
      <c r="BA78" s="196">
        <f>SUM(AO78:AZ78)</f>
        <v>111726</v>
      </c>
      <c r="BB78" s="64">
        <v>21603</v>
      </c>
      <c r="BC78" s="64">
        <v>21975</v>
      </c>
      <c r="BD78" s="64">
        <v>18678</v>
      </c>
      <c r="BE78" s="64">
        <v>19608</v>
      </c>
      <c r="BF78" s="64">
        <f t="shared" ref="BF78:BM78" si="33">IFERROR(ROUND(BF79*BF75,0),0)</f>
        <v>17002</v>
      </c>
      <c r="BG78" s="64">
        <f t="shared" si="33"/>
        <v>13565</v>
      </c>
      <c r="BH78" s="64">
        <f t="shared" si="33"/>
        <v>16310</v>
      </c>
      <c r="BI78" s="64">
        <f t="shared" si="33"/>
        <v>13405</v>
      </c>
      <c r="BJ78" s="64">
        <f t="shared" si="33"/>
        <v>21308</v>
      </c>
      <c r="BK78" s="64">
        <f t="shared" si="33"/>
        <v>24979</v>
      </c>
      <c r="BL78" s="64">
        <f t="shared" si="33"/>
        <v>30297</v>
      </c>
      <c r="BM78" s="64">
        <f t="shared" si="33"/>
        <v>28859</v>
      </c>
      <c r="BN78" s="196">
        <f>SUM(BB78:BM78)</f>
        <v>247589</v>
      </c>
      <c r="BO78" s="144">
        <f>BU91</f>
        <v>145324</v>
      </c>
    </row>
    <row r="79" spans="1:67" ht="15.75" customHeight="1" thickTop="1">
      <c r="A79" s="374" t="s">
        <v>54</v>
      </c>
      <c r="B79" s="84">
        <f>IF('kWh_Streetlight Data'!C34=0,"",'kWh_Streetlight Data'!C34)</f>
        <v>1465.7</v>
      </c>
      <c r="C79" s="108">
        <f>IF('kWh_Streetlight Data'!D34=0,"",'kWh_Streetlight Data'!D34)</f>
        <v>1624.8</v>
      </c>
      <c r="D79" s="108">
        <f>IF('kWh_Streetlight Data'!E34=0,"",'kWh_Streetlight Data'!E34)</f>
        <v>1099.5</v>
      </c>
      <c r="E79" s="108">
        <f>IF('kWh_Streetlight Data'!F34=0,"",'kWh_Streetlight Data'!F34)</f>
        <v>1361.7</v>
      </c>
      <c r="F79" s="108">
        <f>IF('kWh_Streetlight Data'!G34=0,"",'kWh_Streetlight Data'!G34)</f>
        <v>1168.8</v>
      </c>
      <c r="G79" s="108">
        <f>IF('kWh_Streetlight Data'!H34=0,"",'kWh_Streetlight Data'!H34)</f>
        <v>1174.4444444444443</v>
      </c>
      <c r="H79" s="108">
        <f>IF('kWh_Streetlight Data'!I34=0,"",'kWh_Streetlight Data'!I34)</f>
        <v>1052.5555555555557</v>
      </c>
      <c r="I79" s="108">
        <f>IF('kWh_Streetlight Data'!J34=0,"",'kWh_Streetlight Data'!J34)</f>
        <v>1123.1111111111111</v>
      </c>
      <c r="J79" s="108">
        <f>IF('kWh_Streetlight Data'!K34=0,"",'kWh_Streetlight Data'!K34)</f>
        <v>1300.5555555555557</v>
      </c>
      <c r="K79" s="108">
        <f>IF('kWh_Streetlight Data'!L34=0,"",'kWh_Streetlight Data'!L34)</f>
        <v>1443.4444444444443</v>
      </c>
      <c r="L79" s="108">
        <f>IF('kWh_Streetlight Data'!M34=0,"",'kWh_Streetlight Data'!M34)</f>
        <v>1831.5555555555557</v>
      </c>
      <c r="M79" s="108">
        <f>IF('kWh_Streetlight Data'!N34=0,"",'kWh_Streetlight Data'!N34)</f>
        <v>1576.7777777777778</v>
      </c>
      <c r="N79" s="424">
        <f>IF('kWh_Streetlight Data'!O34=0,"",'kWh_Streetlight Data'!O34)</f>
        <v>1351.5663716814158</v>
      </c>
      <c r="O79" s="84">
        <f>IF('kWh_Streetlight Data'!P34=0,"",'kWh_Streetlight Data'!P34)</f>
        <v>1441.3333333333333</v>
      </c>
      <c r="P79" s="108">
        <f>IF('kWh_Streetlight Data'!Q34=0,"",'kWh_Streetlight Data'!Q34)</f>
        <v>1535.3333333333333</v>
      </c>
      <c r="Q79" s="108">
        <f>IF('kWh_Streetlight Data'!R34=0,"",'kWh_Streetlight Data'!R34)</f>
        <v>1438.4444444444443</v>
      </c>
      <c r="R79" s="108">
        <f>IF('kWh_Streetlight Data'!S34=0,"",'kWh_Streetlight Data'!S34)</f>
        <v>1544</v>
      </c>
      <c r="S79" s="108">
        <f>IF('kWh_Streetlight Data'!T34=0,"",'kWh_Streetlight Data'!T34)</f>
        <v>1409.1111111111111</v>
      </c>
      <c r="T79" s="108">
        <f>IF('kWh_Streetlight Data'!U34=0,"",'kWh_Streetlight Data'!U34)</f>
        <v>675.5</v>
      </c>
      <c r="U79" s="108">
        <f>IF('kWh_Streetlight Data'!V34=0,"",'kWh_Streetlight Data'!V34)</f>
        <v>1448.7</v>
      </c>
      <c r="V79" s="108">
        <f>IF('kWh_Streetlight Data'!W34=0,"",'kWh_Streetlight Data'!W34)</f>
        <v>804.11111111111109</v>
      </c>
      <c r="W79" s="108">
        <f>IF('kWh_Streetlight Data'!X34=0,"",'kWh_Streetlight Data'!X34)</f>
        <v>1114.4444444444443</v>
      </c>
      <c r="X79" s="108">
        <f>IF('kWh_Streetlight Data'!Y34=0,"",'kWh_Streetlight Data'!Y34)</f>
        <v>1409.4444444444443</v>
      </c>
      <c r="Y79" s="108">
        <f>IF('kWh_Streetlight Data'!Z34=0,"",'kWh_Streetlight Data'!Z34)</f>
        <v>1681.4444444444443</v>
      </c>
      <c r="Z79" s="108">
        <f>IF('kWh_Streetlight Data'!AA34=0,"",'kWh_Streetlight Data'!AA34)</f>
        <v>1726</v>
      </c>
      <c r="AA79" s="424">
        <f>IF('kWh_Streetlight Data'!AB34=0,"",'kWh_Streetlight Data'!AB34)</f>
        <v>1359.4814814814815</v>
      </c>
      <c r="AB79" s="129">
        <f>IF('kWh_Streetlight Data'!AC34=0,"",'kWh_Streetlight Data'!AC34)</f>
        <v>1722.2222222222222</v>
      </c>
      <c r="AC79" s="130">
        <f>IF('kWh_Streetlight Data'!AD34=0,"",'kWh_Streetlight Data'!AD34)</f>
        <v>1548.7777777777778</v>
      </c>
      <c r="AD79" s="130">
        <f>IF('kWh_Streetlight Data'!AE34=0,"",'kWh_Streetlight Data'!AE34)</f>
        <v>1464.5555555555557</v>
      </c>
      <c r="AE79" s="130">
        <f>IF('kWh_Streetlight Data'!AF34=0,"",'kWh_Streetlight Data'!AF34)</f>
        <v>1296.1111111111111</v>
      </c>
      <c r="AF79" s="130">
        <f>IF('kWh_Streetlight Data'!AG34=0,"",'kWh_Streetlight Data'!AG34)</f>
        <v>1065.3333333333333</v>
      </c>
      <c r="AG79" s="130">
        <f>IF('kWh_Streetlight Data'!AH34=0,"",'kWh_Streetlight Data'!AH34)</f>
        <v>1056.8888888888889</v>
      </c>
      <c r="AH79" s="108">
        <f>IF('kWh_Streetlight Data'!AI34=0,"",'kWh_Streetlight Data'!AI34)</f>
        <v>993.66666666666663</v>
      </c>
      <c r="AI79" s="108">
        <f>IF('kWh_Streetlight Data'!AJ34=0,"",'kWh_Streetlight Data'!AJ34)</f>
        <v>945.33333333333337</v>
      </c>
      <c r="AJ79" s="108">
        <f>IF('kWh_Streetlight Data'!AK34=0,"",'kWh_Streetlight Data'!AK34)</f>
        <v>1136.4000000000001</v>
      </c>
      <c r="AK79" s="108">
        <f>IF('kWh_Streetlight Data'!AL34=0,"",'kWh_Streetlight Data'!AL34)</f>
        <v>1310.3</v>
      </c>
      <c r="AL79" s="108">
        <f>IF('kWh_Streetlight Data'!AM34=0,"",'kWh_Streetlight Data'!AM34)</f>
        <v>1536.5</v>
      </c>
      <c r="AM79" s="108">
        <f>IF('kWh_Streetlight Data'!AN34=0,"",'kWh_Streetlight Data'!AN34)</f>
        <v>1507</v>
      </c>
      <c r="AN79" s="424">
        <f>IF('kWh_Streetlight Data'!AO34=0,"",'kWh_Streetlight Data'!AO34)</f>
        <v>1301.2321428571429</v>
      </c>
      <c r="AO79" s="34"/>
      <c r="AP79" s="35"/>
      <c r="AQ79" s="35"/>
      <c r="AR79" s="35"/>
      <c r="AS79" s="35"/>
      <c r="AT79" s="17"/>
      <c r="AU79" s="17">
        <f t="shared" ref="AU79" si="34">IFERROR(AVERAGE(AH79,U79,H79),0)</f>
        <v>1164.9740740740742</v>
      </c>
      <c r="AV79" s="17">
        <f t="shared" ref="AV79" si="35">IFERROR(AVERAGE(AI79,V79,I79),0)</f>
        <v>957.51851851851859</v>
      </c>
      <c r="AW79" s="17">
        <f t="shared" ref="AW79" si="36">IFERROR(AVERAGE(AJ79,W79,J79),0)</f>
        <v>1183.8</v>
      </c>
      <c r="AX79" s="17">
        <f t="shared" ref="AX79" si="37">IFERROR(AVERAGE(AK79,X79,K79),0)</f>
        <v>1387.7296296296297</v>
      </c>
      <c r="AY79" s="17">
        <f t="shared" ref="AY79" si="38">IFERROR(AVERAGE(AL79,Y79,L79),0)</f>
        <v>1683.1666666666667</v>
      </c>
      <c r="AZ79" s="17">
        <f t="shared" ref="AZ79" si="39">IFERROR(AVERAGE(AM79,Z79,M79),0)</f>
        <v>1603.2592592592591</v>
      </c>
      <c r="BA79" s="211">
        <f>IFERROR(BA78/SUM(AO75:AZ75),0)</f>
        <v>1330.0714285714287</v>
      </c>
      <c r="BB79" s="9">
        <v>1543.0851851851851</v>
      </c>
      <c r="BC79" s="17">
        <v>1569.6370370370369</v>
      </c>
      <c r="BD79" s="17">
        <v>1334.1666666666667</v>
      </c>
      <c r="BE79" s="17">
        <v>1400.6037037037038</v>
      </c>
      <c r="BF79" s="17">
        <f t="shared" ref="BF79:BM79" si="40">IFERROR(AVERAGE(F79,S79,AF79),0)</f>
        <v>1214.4148148148149</v>
      </c>
      <c r="BG79" s="17">
        <f t="shared" si="40"/>
        <v>968.94444444444434</v>
      </c>
      <c r="BH79" s="17">
        <f t="shared" si="40"/>
        <v>1164.974074074074</v>
      </c>
      <c r="BI79" s="17">
        <f t="shared" si="40"/>
        <v>957.51851851851859</v>
      </c>
      <c r="BJ79" s="17">
        <f t="shared" si="40"/>
        <v>1183.8</v>
      </c>
      <c r="BK79" s="17">
        <f t="shared" si="40"/>
        <v>1387.7296296296297</v>
      </c>
      <c r="BL79" s="17">
        <f t="shared" si="40"/>
        <v>1683.1666666666667</v>
      </c>
      <c r="BM79" s="9">
        <f t="shared" si="40"/>
        <v>1603.2592592592591</v>
      </c>
      <c r="BN79" s="211">
        <f>IFERROR(BN78/SUM(BB75:BM75)*12,0)</f>
        <v>16147.108695652172</v>
      </c>
      <c r="BO79" s="20">
        <v>0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>
        <f t="shared" ref="AU81" si="41">AT81</f>
        <v>0</v>
      </c>
      <c r="AV81" s="128">
        <f t="shared" ref="AV81" si="42">AU81</f>
        <v>0</v>
      </c>
      <c r="AW81" s="128">
        <f t="shared" ref="AW81" si="43">AV81</f>
        <v>0</v>
      </c>
      <c r="AX81" s="128">
        <f t="shared" ref="AX81" si="44">AW81</f>
        <v>0</v>
      </c>
      <c r="AY81" s="128">
        <f t="shared" ref="AY81" si="45">AX81</f>
        <v>0</v>
      </c>
      <c r="AZ81" s="128">
        <f t="shared" ref="AZ81" si="46">AY81</f>
        <v>0</v>
      </c>
      <c r="BA81" s="210">
        <f>IFERROR(ROUND(AVERAGE(AO81:AZ81),0),0)</f>
        <v>0</v>
      </c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Data'!C35=0,"",'kWh_Streetlight Data'!C35)</f>
        <v/>
      </c>
      <c r="C83" s="108" t="str">
        <f>IF('kWh_Streetlight Data'!D35=0,"",'kWh_Streetlight Data'!D35)</f>
        <v/>
      </c>
      <c r="D83" s="108" t="str">
        <f>IF('kWh_Streetlight Data'!E35=0,"",'kWh_Streetlight Data'!E35)</f>
        <v/>
      </c>
      <c r="E83" s="108" t="str">
        <f>IF('kWh_Streetlight Data'!F35=0,"",'kWh_Streetlight Data'!F35)</f>
        <v/>
      </c>
      <c r="F83" s="108" t="str">
        <f>IF('kWh_Streetlight Data'!G35=0,"",'kWh_Streetlight Data'!G35)</f>
        <v/>
      </c>
      <c r="G83" s="108" t="str">
        <f>IF('kWh_Streetlight Data'!H35=0,"",'kWh_Streetlight Data'!H35)</f>
        <v/>
      </c>
      <c r="H83" s="108" t="str">
        <f>IF('kWh_Streetlight Data'!I35=0,"",'kWh_Streetlight Data'!I35)</f>
        <v/>
      </c>
      <c r="I83" s="108" t="str">
        <f>IF('kWh_Streetlight Data'!J35=0,"",'kWh_Streetlight Data'!J35)</f>
        <v/>
      </c>
      <c r="J83" s="108" t="str">
        <f>IF('kWh_Streetlight Data'!K35=0,"",'kWh_Streetlight Data'!K35)</f>
        <v/>
      </c>
      <c r="K83" s="108" t="str">
        <f>IF('kWh_Streetlight Data'!L35=0,"",'kWh_Streetlight Data'!L35)</f>
        <v/>
      </c>
      <c r="L83" s="108" t="str">
        <f>IF('kWh_Streetlight Data'!M35=0,"",'kWh_Streetlight Data'!M35)</f>
        <v/>
      </c>
      <c r="M83" s="108" t="str">
        <f>IF('kWh_Streetlight Data'!N35=0,"",'kWh_Streetlight Data'!N35)</f>
        <v/>
      </c>
      <c r="N83" s="424" t="str">
        <f>IF('kWh_Streetlight Data'!O35=0,"",'kWh_Streetlight Data'!O35)</f>
        <v/>
      </c>
      <c r="O83" s="84" t="str">
        <f>IF('kWh_Streetlight Data'!P35=0,"",'kWh_Streetlight Data'!P35)</f>
        <v/>
      </c>
      <c r="P83" s="108" t="str">
        <f>IF('kWh_Streetlight Data'!Q35=0,"",'kWh_Streetlight Data'!Q35)</f>
        <v/>
      </c>
      <c r="Q83" s="108" t="str">
        <f>IF('kWh_Streetlight Data'!R35=0,"",'kWh_Streetlight Data'!R35)</f>
        <v/>
      </c>
      <c r="R83" s="108" t="str">
        <f>IF('kWh_Streetlight Data'!S35=0,"",'kWh_Streetlight Data'!S35)</f>
        <v/>
      </c>
      <c r="S83" s="108" t="str">
        <f>IF('kWh_Streetlight Data'!T35=0,"",'kWh_Streetlight Data'!T35)</f>
        <v/>
      </c>
      <c r="T83" s="108" t="str">
        <f>IF('kWh_Streetlight Data'!U35=0,"",'kWh_Streetlight Data'!U35)</f>
        <v/>
      </c>
      <c r="U83" s="108" t="str">
        <f>IF('kWh_Streetlight Data'!V35=0,"",'kWh_Streetlight Data'!V35)</f>
        <v/>
      </c>
      <c r="V83" s="108" t="str">
        <f>IF('kWh_Streetlight Data'!W35=0,"",'kWh_Streetlight Data'!W35)</f>
        <v/>
      </c>
      <c r="W83" s="108" t="str">
        <f>IF('kWh_Streetlight Data'!X35=0,"",'kWh_Streetlight Data'!X35)</f>
        <v/>
      </c>
      <c r="X83" s="108" t="str">
        <f>IF('kWh_Streetlight Data'!Y35=0,"",'kWh_Streetlight Data'!Y35)</f>
        <v/>
      </c>
      <c r="Y83" s="108" t="str">
        <f>IF('kWh_Streetlight Data'!Z35=0,"",'kWh_Streetlight Data'!Z35)</f>
        <v/>
      </c>
      <c r="Z83" s="108" t="str">
        <f>IF('kWh_Streetlight Data'!AA35=0,"",'kWh_Streetlight Data'!AA35)</f>
        <v/>
      </c>
      <c r="AA83" s="424" t="str">
        <f>IF('kWh_Streetlight Data'!AB35=0,"",'kWh_Streetlight Data'!AB35)</f>
        <v/>
      </c>
      <c r="AB83" s="442" t="str">
        <f>IF('kWh_Streetlight Data'!AC35=0,"",'kWh_Streetlight Data'!AC35)</f>
        <v/>
      </c>
      <c r="AC83" s="443" t="str">
        <f>IF('kWh_Streetlight Data'!AD35=0,"",'kWh_Streetlight Data'!AD35)</f>
        <v/>
      </c>
      <c r="AD83" s="443" t="str">
        <f>IF('kWh_Streetlight Data'!AE35=0,"",'kWh_Streetlight Data'!AE35)</f>
        <v/>
      </c>
      <c r="AE83" s="443" t="str">
        <f>IF('kWh_Streetlight Data'!AF35=0,"",'kWh_Streetlight Data'!AF35)</f>
        <v/>
      </c>
      <c r="AF83" s="443" t="str">
        <f>IF('kWh_Streetlight Data'!AG35=0,"",'kWh_Streetlight Data'!AG35)</f>
        <v/>
      </c>
      <c r="AG83" s="443" t="str">
        <f>IF('kWh_Streetlight Data'!AH35=0,"",'kWh_Streetlight Data'!AH35)</f>
        <v/>
      </c>
      <c r="AH83" s="108" t="str">
        <f>IF('kWh_Streetlight Data'!AI35=0,"",'kWh_Streetlight Data'!AI35)</f>
        <v/>
      </c>
      <c r="AI83" s="108" t="str">
        <f>IF('kWh_Streetlight Data'!AJ35=0,"",'kWh_Streetlight Data'!AJ35)</f>
        <v/>
      </c>
      <c r="AJ83" s="108" t="str">
        <f>IF('kWh_Streetlight Data'!AK35=0,"",'kWh_Streetlight Data'!AK35)</f>
        <v/>
      </c>
      <c r="AK83" s="108" t="str">
        <f>IF('kWh_Streetlight Data'!AL35=0,"",'kWh_Streetlight Data'!AL35)</f>
        <v/>
      </c>
      <c r="AL83" s="108" t="str">
        <f>IF('kWh_Streetlight Data'!AM35=0,"",'kWh_Streetlight Data'!AM35)</f>
        <v/>
      </c>
      <c r="AM83" s="108" t="str">
        <f>IF('kWh_Streetlight Data'!AN35=0,"",'kWh_Streetlight Data'!AN35)</f>
        <v/>
      </c>
      <c r="AN83" s="424" t="str">
        <f>IF('kWh_Streetlight Data'!AO35=0,"",'kWh_Streetlight Data'!AO35)</f>
        <v/>
      </c>
      <c r="AO83" s="34"/>
      <c r="AP83" s="35"/>
      <c r="AQ83" s="35"/>
      <c r="AR83" s="35"/>
      <c r="AS83" s="35"/>
      <c r="AT83" s="9"/>
      <c r="AU83" s="9">
        <f>IFERROR(AVERAGE(H83,U83,AG83),0)</f>
        <v>0</v>
      </c>
      <c r="AV83" s="9">
        <f t="shared" ref="AV83" si="47">IFERROR(AVERAGE(I83,V83,AH83),0)</f>
        <v>0</v>
      </c>
      <c r="AW83" s="9">
        <f t="shared" ref="AW83" si="48">IFERROR(AVERAGE(J83,W83,AI83),0)</f>
        <v>0</v>
      </c>
      <c r="AX83" s="9">
        <f t="shared" ref="AX83" si="49">IFERROR(AVERAGE(K83,X83,AJ83),0)</f>
        <v>0</v>
      </c>
      <c r="AY83" s="9">
        <f t="shared" ref="AY83" si="50">IFERROR(AVERAGE(L83,Y83,AK83),0)</f>
        <v>0</v>
      </c>
      <c r="AZ83" s="9">
        <f t="shared" ref="AZ83" si="51">IFERROR(AVERAGE(M83,Z83,AL83),0)</f>
        <v>0</v>
      </c>
      <c r="BA83" s="211">
        <f>IFERROR(BA82/SUM(#REF!),0)</f>
        <v>0</v>
      </c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124">
        <f>Customers!E93</f>
        <v>30</v>
      </c>
      <c r="AV86" s="124">
        <f>Customers!F93</f>
        <v>30</v>
      </c>
      <c r="AW86" s="124">
        <f>Customers!G93</f>
        <v>30</v>
      </c>
      <c r="AX86" s="124">
        <f>Customers!H93</f>
        <v>30</v>
      </c>
      <c r="AY86" s="124">
        <f>Customers!I93</f>
        <v>30</v>
      </c>
      <c r="AZ86" s="124">
        <f>Customers!J93</f>
        <v>30</v>
      </c>
      <c r="BA86" s="210">
        <f>IFERROR(ROUND(AVERAGE(AO86:AZ86),0),0)</f>
        <v>30</v>
      </c>
      <c r="BB86" s="124">
        <v>30</v>
      </c>
      <c r="BC86" s="38">
        <v>30</v>
      </c>
      <c r="BD86" s="38">
        <v>30</v>
      </c>
      <c r="BE86" s="38">
        <v>30</v>
      </c>
      <c r="BF86" s="38">
        <f t="shared" ref="BF86:BM86" si="52">BE86</f>
        <v>30</v>
      </c>
      <c r="BG86" s="38">
        <f t="shared" si="52"/>
        <v>30</v>
      </c>
      <c r="BH86" s="38">
        <f t="shared" si="52"/>
        <v>30</v>
      </c>
      <c r="BI86" s="38">
        <f t="shared" si="52"/>
        <v>30</v>
      </c>
      <c r="BJ86" s="38">
        <f>BI86+1</f>
        <v>31</v>
      </c>
      <c r="BK86" s="38">
        <f t="shared" si="52"/>
        <v>31</v>
      </c>
      <c r="BL86" s="38">
        <f t="shared" si="52"/>
        <v>31</v>
      </c>
      <c r="BM86" s="38">
        <f t="shared" si="52"/>
        <v>31</v>
      </c>
      <c r="BN86" s="210">
        <f>IFERROR(ROUND(AVERAGE(BB86:BM86),0),0)</f>
        <v>30</v>
      </c>
      <c r="BO86" s="143">
        <v>0</v>
      </c>
      <c r="BT86" s="229" t="s">
        <v>225</v>
      </c>
      <c r="BU86" s="229" t="s">
        <v>226</v>
      </c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53">IFERROR(ROUND(AU88*AU86,0),0)</f>
        <v>47718</v>
      </c>
      <c r="AV87" s="160">
        <f t="shared" si="53"/>
        <v>59344</v>
      </c>
      <c r="AW87" s="160">
        <f t="shared" si="53"/>
        <v>60015</v>
      </c>
      <c r="AX87" s="160">
        <f t="shared" si="53"/>
        <v>64920</v>
      </c>
      <c r="AY87" s="160">
        <f t="shared" si="53"/>
        <v>78152</v>
      </c>
      <c r="AZ87" s="160">
        <f t="shared" si="53"/>
        <v>85455</v>
      </c>
      <c r="BA87" s="196">
        <f>SUM(AO87:AZ87)</f>
        <v>395604</v>
      </c>
      <c r="BB87" s="160">
        <v>92520</v>
      </c>
      <c r="BC87" s="160">
        <v>84354</v>
      </c>
      <c r="BD87" s="160">
        <v>76081</v>
      </c>
      <c r="BE87" s="160">
        <v>82436</v>
      </c>
      <c r="BF87" s="160">
        <f t="shared" ref="BF87:BI87" si="54">IFERROR(ROUND(BF88*BF86,0),0)</f>
        <v>79599</v>
      </c>
      <c r="BG87" s="160">
        <f t="shared" si="54"/>
        <v>80599</v>
      </c>
      <c r="BH87" s="160">
        <f t="shared" si="54"/>
        <v>47718</v>
      </c>
      <c r="BI87" s="160">
        <f t="shared" si="54"/>
        <v>59344</v>
      </c>
      <c r="BJ87" s="160">
        <f>IFERROR(ROUND(BJ88*BJ86,0),0)-2001+Customers!N93</f>
        <v>81082</v>
      </c>
      <c r="BK87" s="160">
        <f>IFERROR(ROUND(BK88*BK86,0),0)-2164+Customers!N93</f>
        <v>85987</v>
      </c>
      <c r="BL87" s="160">
        <f>IFERROR(ROUND(BL88*BL86,0),0)-2605+Customers!N93</f>
        <v>99219</v>
      </c>
      <c r="BM87" s="160">
        <f>IFERROR(ROUND(BM88*BM86,0),0)-2849+Customers!N93</f>
        <v>106522</v>
      </c>
      <c r="BN87" s="196">
        <f>SUM(BB87:BM87)</f>
        <v>975461</v>
      </c>
      <c r="BO87" s="144">
        <f>BT91</f>
        <v>571998</v>
      </c>
      <c r="BS87" t="s">
        <v>230</v>
      </c>
      <c r="BT87" s="231">
        <f>BN87</f>
        <v>975461</v>
      </c>
      <c r="BU87" s="231">
        <f>ROUND(BN79*BM75,0)</f>
        <v>290648</v>
      </c>
    </row>
    <row r="88" spans="1:73" ht="15.75" customHeight="1" thickTop="1">
      <c r="A88" s="374" t="s">
        <v>54</v>
      </c>
      <c r="B88" s="84">
        <f>IF('kWh_Streetlight Data'!C36=0,"",'kWh_Streetlight Data'!C36)</f>
        <v>3114.6521739130435</v>
      </c>
      <c r="C88" s="108">
        <f>IF('kWh_Streetlight Data'!D36=0,"",'kWh_Streetlight Data'!D36)</f>
        <v>2722.4583333333335</v>
      </c>
      <c r="D88" s="108">
        <f>IF('kWh_Streetlight Data'!E36=0,"",'kWh_Streetlight Data'!E36)</f>
        <v>2379.9583333333335</v>
      </c>
      <c r="E88" s="108">
        <f>IF('kWh_Streetlight Data'!F36=0,"",'kWh_Streetlight Data'!F36)</f>
        <v>2655.7083333333335</v>
      </c>
      <c r="F88" s="108">
        <f>IF('kWh_Streetlight Data'!G36=0,"",'kWh_Streetlight Data'!G36)</f>
        <v>2726.217391304348</v>
      </c>
      <c r="G88" s="108">
        <f>IF('kWh_Streetlight Data'!H36=0,"",'kWh_Streetlight Data'!H36)</f>
        <v>2208.84</v>
      </c>
      <c r="H88" s="108">
        <f>IF('kWh_Streetlight Data'!I36=0,"",'kWh_Streetlight Data'!I36)</f>
        <v>1935.08</v>
      </c>
      <c r="I88" s="108">
        <f>IF('kWh_Streetlight Data'!J36=0,"",'kWh_Streetlight Data'!J36)</f>
        <v>1931.64</v>
      </c>
      <c r="J88" s="108">
        <f>IF('kWh_Streetlight Data'!K36=0,"",'kWh_Streetlight Data'!K36)</f>
        <v>2123.3076923076924</v>
      </c>
      <c r="K88" s="108">
        <f>IF('kWh_Streetlight Data'!L36=0,"",'kWh_Streetlight Data'!L36)</f>
        <v>2059.92</v>
      </c>
      <c r="L88" s="108">
        <f>IF('kWh_Streetlight Data'!M36=0,"",'kWh_Streetlight Data'!M36)</f>
        <v>2933.6521739130435</v>
      </c>
      <c r="M88" s="108">
        <f>IF('kWh_Streetlight Data'!N36=0,"",'kWh_Streetlight Data'!N36)</f>
        <v>2686.4166666666665</v>
      </c>
      <c r="N88" s="424">
        <f>IF('kWh_Streetlight Data'!O36=0,"",'kWh_Streetlight Data'!O36)</f>
        <v>2443.5601374570447</v>
      </c>
      <c r="O88" s="84">
        <f>IF('kWh_Streetlight Data'!P36=0,"",'kWh_Streetlight Data'!P36)</f>
        <v>2735.12</v>
      </c>
      <c r="P88" s="108">
        <f>IF('kWh_Streetlight Data'!Q36=0,"",'kWh_Streetlight Data'!Q36)</f>
        <v>2694.6153846153848</v>
      </c>
      <c r="Q88" s="108">
        <f>IF('kWh_Streetlight Data'!R36=0,"",'kWh_Streetlight Data'!R36)</f>
        <v>2702.48</v>
      </c>
      <c r="R88" s="108">
        <f>IF('kWh_Streetlight Data'!S36=0,"",'kWh_Streetlight Data'!S36)</f>
        <v>2589.037037037037</v>
      </c>
      <c r="S88" s="108">
        <f>IF('kWh_Streetlight Data'!T36=0,"",'kWh_Streetlight Data'!T36)</f>
        <v>2468.8888888888887</v>
      </c>
      <c r="T88" s="108">
        <f>IF('kWh_Streetlight Data'!U36=0,"",'kWh_Streetlight Data'!U36)</f>
        <v>2409.75</v>
      </c>
      <c r="U88" s="108">
        <f>IF('kWh_Streetlight Data'!V36=0,"",'kWh_Streetlight Data'!V36)</f>
        <v>1416.4285714285713</v>
      </c>
      <c r="V88" s="108">
        <f>IF('kWh_Streetlight Data'!W36=0,"",'kWh_Streetlight Data'!W36)</f>
        <v>2061.7199999999998</v>
      </c>
      <c r="W88" s="108">
        <f>IF('kWh_Streetlight Data'!X36=0,"",'kWh_Streetlight Data'!X36)</f>
        <v>1871.9230769230769</v>
      </c>
      <c r="X88" s="108">
        <f>IF('kWh_Streetlight Data'!Y36=0,"",'kWh_Streetlight Data'!Y36)</f>
        <v>2170.8461538461538</v>
      </c>
      <c r="Y88" s="108">
        <f>IF('kWh_Streetlight Data'!Z36=0,"",'kWh_Streetlight Data'!Z36)</f>
        <v>2682.6923076923076</v>
      </c>
      <c r="Z88" s="108">
        <f>IF('kWh_Streetlight Data'!AA36=0,"",'kWh_Streetlight Data'!AA36)</f>
        <v>3087.3461538461538</v>
      </c>
      <c r="AA88" s="426">
        <f>IF('kWh_Streetlight Data'!AB36=0,"",'kWh_Streetlight Data'!AB36)</f>
        <v>2379.3993710691825</v>
      </c>
      <c r="AB88" s="442">
        <f>IF('kWh_Streetlight Data'!AC36=0,"",'kWh_Streetlight Data'!AC36)</f>
        <v>3402.25</v>
      </c>
      <c r="AC88" s="443">
        <f>IF('kWh_Streetlight Data'!AD36=0,"",'kWh_Streetlight Data'!AD36)</f>
        <v>3018.28</v>
      </c>
      <c r="AD88" s="443">
        <f>IF('kWh_Streetlight Data'!AE36=0,"",'kWh_Streetlight Data'!AE36)</f>
        <v>2525.6666666666665</v>
      </c>
      <c r="AE88" s="443">
        <f>IF('kWh_Streetlight Data'!AF36=0,"",'kWh_Streetlight Data'!AF36)</f>
        <v>2998.8571428571427</v>
      </c>
      <c r="AF88" s="443">
        <f>IF('kWh_Streetlight Data'!AG36=0,"",'kWh_Streetlight Data'!AG36)</f>
        <v>2764.75</v>
      </c>
      <c r="AG88" s="443">
        <f>IF('kWh_Streetlight Data'!AH36=0,"",'kWh_Streetlight Data'!AH36)</f>
        <v>3441.3333333333335</v>
      </c>
      <c r="AH88" s="443">
        <f>IF('kWh_Streetlight Data'!AI36=0,"",'kWh_Streetlight Data'!AI36)</f>
        <v>1420.2962962962963</v>
      </c>
      <c r="AI88" s="443">
        <f>IF('kWh_Streetlight Data'!AJ36=0,"",'kWh_Streetlight Data'!AJ36)</f>
        <v>1941</v>
      </c>
      <c r="AJ88" s="443">
        <f>IF('kWh_Streetlight Data'!AK36=0,"",'kWh_Streetlight Data'!AK36)</f>
        <v>2006.3076923076924</v>
      </c>
      <c r="AK88" s="443">
        <f>IF('kWh_Streetlight Data'!AL36=0,"",'kWh_Streetlight Data'!AL36)</f>
        <v>2261.2399999999998</v>
      </c>
      <c r="AL88" s="443">
        <f>IF('kWh_Streetlight Data'!AM36=0,"",'kWh_Streetlight Data'!AM36)</f>
        <v>2198.8888888888887</v>
      </c>
      <c r="AM88" s="443">
        <f>IF('kWh_Streetlight Data'!AN36=0,"",'kWh_Streetlight Data'!AN36)</f>
        <v>2771.7692307692309</v>
      </c>
      <c r="AN88" s="424">
        <f>IF('kWh_Streetlight Data'!AO36=0,"",'kWh_Streetlight Data'!AO36)</f>
        <v>2563.0521472392638</v>
      </c>
      <c r="AO88" s="34"/>
      <c r="AP88" s="35"/>
      <c r="AQ88" s="35"/>
      <c r="AR88" s="35"/>
      <c r="AS88" s="35"/>
      <c r="AT88" s="17"/>
      <c r="AU88" s="17">
        <f t="shared" ref="AU88" si="55">IFERROR(AVERAGE(AH88,U88,H88),0)</f>
        <v>1590.6016225749561</v>
      </c>
      <c r="AV88" s="17">
        <f t="shared" ref="AV88" si="56">IFERROR(AVERAGE(AI88,V88,I88),0)</f>
        <v>1978.12</v>
      </c>
      <c r="AW88" s="17">
        <f t="shared" ref="AW88" si="57">IFERROR(AVERAGE(AJ88,W88,J88),0)</f>
        <v>2000.5128205128206</v>
      </c>
      <c r="AX88" s="17">
        <f t="shared" ref="AX88" si="58">IFERROR(AVERAGE(AK88,X88,K88),0)</f>
        <v>2164.0020512820515</v>
      </c>
      <c r="AY88" s="17">
        <f t="shared" ref="AY88" si="59">IFERROR(AVERAGE(AL88,Y88,L88),0)</f>
        <v>2605.0777901647466</v>
      </c>
      <c r="AZ88" s="17">
        <f t="shared" ref="AZ88" si="60">IFERROR(AVERAGE(AM88,Z88,M88),0)</f>
        <v>2848.5106837606836</v>
      </c>
      <c r="BA88" s="211">
        <f>IFERROR(BA87/SUM(#REF!),0)</f>
        <v>0</v>
      </c>
      <c r="BB88" s="9">
        <v>3084.0073913043475</v>
      </c>
      <c r="BC88" s="41">
        <v>2811.784572649573</v>
      </c>
      <c r="BD88" s="41">
        <v>2536.0349999999999</v>
      </c>
      <c r="BE88" s="41">
        <v>2747.867504409171</v>
      </c>
      <c r="BF88" s="41">
        <f t="shared" ref="BF88:BM88" si="61">IFERROR(AVERAGE(F88,S88,AF88),0)</f>
        <v>2653.285426731079</v>
      </c>
      <c r="BG88" s="41">
        <f t="shared" si="61"/>
        <v>2686.6411111111115</v>
      </c>
      <c r="BH88" s="41">
        <f t="shared" si="61"/>
        <v>1590.6016225749561</v>
      </c>
      <c r="BI88" s="41">
        <f t="shared" si="61"/>
        <v>1978.12</v>
      </c>
      <c r="BJ88" s="41">
        <f t="shared" si="61"/>
        <v>2000.5128205128206</v>
      </c>
      <c r="BK88" s="41">
        <f t="shared" si="61"/>
        <v>2164.0020512820515</v>
      </c>
      <c r="BL88" s="41">
        <f t="shared" si="61"/>
        <v>2605.0777901647466</v>
      </c>
      <c r="BM88" s="9">
        <f t="shared" si="61"/>
        <v>2848.5106837606836</v>
      </c>
      <c r="BN88" s="211">
        <f>IFERROR(BN87/SUM(BB86:BM86)*12,0)</f>
        <v>32158.054945054944</v>
      </c>
      <c r="BO88" s="20"/>
      <c r="BS88" t="s">
        <v>243</v>
      </c>
      <c r="BT88" s="231">
        <f>ROUND(Customers!N93*8,0)</f>
        <v>168536</v>
      </c>
      <c r="BU88" s="231"/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T89" s="38">
        <f>SUM(BT87:BT88)</f>
        <v>1143997</v>
      </c>
      <c r="BU89" s="38">
        <f>SUM(BU87:BU88)</f>
        <v>290648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T90" s="231">
        <f>ROUND(BT89/12*BR93,0)</f>
        <v>571999</v>
      </c>
      <c r="BU90" s="231">
        <f>ROUND(BU89/12*BR93,0)</f>
        <v>145324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T91" s="202">
        <f>BT89-BT90</f>
        <v>571998</v>
      </c>
      <c r="BU91" s="202">
        <f>BU89-BU90</f>
        <v>145324</v>
      </c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>
        <f>Customers!L92+Customers!L93</f>
        <v>49</v>
      </c>
      <c r="BQ92" s="229" t="s">
        <v>222</v>
      </c>
      <c r="BR92" s="3" t="s">
        <v>227</v>
      </c>
      <c r="BT92" s="202" t="s">
        <v>2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>
        <f>SUM(AO93:AZ93)</f>
        <v>0</v>
      </c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>
        <f>SUM(BB93:BM93)</f>
        <v>0</v>
      </c>
      <c r="BO93" s="147">
        <f>BT90+BU90</f>
        <v>717323</v>
      </c>
      <c r="BQ93" s="39"/>
      <c r="BR93" s="296">
        <v>6</v>
      </c>
    </row>
    <row r="94" spans="1:73" ht="15.75" customHeight="1" thickTop="1">
      <c r="A94" s="374" t="s">
        <v>54</v>
      </c>
      <c r="B94" s="84" t="str">
        <f>IF('kWh_Streetlight Data'!C37=0,"",'kWh_Streetlight Data'!C37)</f>
        <v/>
      </c>
      <c r="C94" s="108" t="str">
        <f>IF('kWh_Streetlight Data'!D37=0,"",'kWh_Streetlight Data'!D37)</f>
        <v/>
      </c>
      <c r="D94" s="108" t="str">
        <f>IF('kWh_Streetlight Data'!E37=0,"",'kWh_Streetlight Data'!E37)</f>
        <v/>
      </c>
      <c r="E94" s="108" t="str">
        <f>IF('kWh_Streetlight Data'!F37=0,"",'kWh_Streetlight Data'!F37)</f>
        <v/>
      </c>
      <c r="F94" s="108" t="str">
        <f>IF('kWh_Streetlight Data'!G37=0,"",'kWh_Streetlight Data'!G37)</f>
        <v/>
      </c>
      <c r="G94" s="108" t="str">
        <f>IF('kWh_Streetlight Data'!H37=0,"",'kWh_Streetlight Data'!H37)</f>
        <v/>
      </c>
      <c r="H94" s="108" t="str">
        <f>IF('kWh_Streetlight Data'!I37=0,"",'kWh_Streetlight Data'!I37)</f>
        <v/>
      </c>
      <c r="I94" s="108" t="str">
        <f>IF('kWh_Streetlight Data'!J37=0,"",'kWh_Streetlight Data'!J37)</f>
        <v/>
      </c>
      <c r="J94" s="108" t="str">
        <f>IF('kWh_Streetlight Data'!K37=0,"",'kWh_Streetlight Data'!K37)</f>
        <v/>
      </c>
      <c r="K94" s="108" t="str">
        <f>IF('kWh_Streetlight Data'!L37=0,"",'kWh_Streetlight Data'!L37)</f>
        <v/>
      </c>
      <c r="L94" s="130" t="str">
        <f>IF('kWh_Streetlight Data'!M37=0,"",'kWh_Streetlight Data'!M37)</f>
        <v/>
      </c>
      <c r="M94" s="130" t="str">
        <f>IF('kWh_Streetlight Data'!N37=0,"",'kWh_Streetlight Data'!N37)</f>
        <v/>
      </c>
      <c r="N94" s="425" t="str">
        <f>IF('kWh_Streetlight Data'!O37=0,"",'kWh_Streetlight Data'!O37)</f>
        <v/>
      </c>
      <c r="O94" s="84" t="str">
        <f>IF('kWh_Streetlight Data'!P37=0,"",'kWh_Streetlight Data'!P37)</f>
        <v/>
      </c>
      <c r="P94" s="108" t="str">
        <f>IF('kWh_Streetlight Data'!Q37=0,"",'kWh_Streetlight Data'!Q37)</f>
        <v/>
      </c>
      <c r="Q94" s="108" t="str">
        <f>IF('kWh_Streetlight Data'!R37=0,"",'kWh_Streetlight Data'!R37)</f>
        <v/>
      </c>
      <c r="R94" s="108" t="str">
        <f>IF('kWh_Streetlight Data'!S37=0,"",'kWh_Streetlight Data'!S37)</f>
        <v/>
      </c>
      <c r="S94" s="108" t="str">
        <f>IF('kWh_Streetlight Data'!T37=0,"",'kWh_Streetlight Data'!T37)</f>
        <v/>
      </c>
      <c r="T94" s="108" t="str">
        <f>IF('kWh_Streetlight Data'!U37=0,"",'kWh_Streetlight Data'!U37)</f>
        <v/>
      </c>
      <c r="U94" s="108" t="str">
        <f>IF('kWh_Streetlight Data'!V37=0,"",'kWh_Streetlight Data'!V37)</f>
        <v/>
      </c>
      <c r="V94" s="108" t="str">
        <f>IF('kWh_Streetlight Data'!W37=0,"",'kWh_Streetlight Data'!W37)</f>
        <v/>
      </c>
      <c r="W94" s="108" t="str">
        <f>IF('kWh_Streetlight Data'!X37=0,"",'kWh_Streetlight Data'!X37)</f>
        <v/>
      </c>
      <c r="X94" s="108" t="str">
        <f>IF('kWh_Streetlight Data'!Y37=0,"",'kWh_Streetlight Data'!Y37)</f>
        <v/>
      </c>
      <c r="Y94" s="108" t="str">
        <f>IF('kWh_Streetlight Data'!Z37=0,"",'kWh_Streetlight Data'!Z37)</f>
        <v/>
      </c>
      <c r="Z94" s="108" t="str">
        <f>IF('kWh_Streetlight Data'!AA37=0,"",'kWh_Streetlight Data'!AA37)</f>
        <v/>
      </c>
      <c r="AA94" s="426" t="str">
        <f>IF('kWh_Streetlight Data'!AB37=0,"",'kWh_Streetlight Data'!AB37)</f>
        <v/>
      </c>
      <c r="AB94" s="84" t="str">
        <f>IF('kWh_Streetlight Data'!AC37=0,"",'kWh_Streetlight Data'!AC37)</f>
        <v/>
      </c>
      <c r="AC94" s="108" t="str">
        <f>IF('kWh_Streetlight Data'!AD37=0,"",'kWh_Streetlight Data'!AD37)</f>
        <v/>
      </c>
      <c r="AD94" s="108" t="str">
        <f>IF('kWh_Streetlight Data'!AE37=0,"",'kWh_Streetlight Data'!AE37)</f>
        <v/>
      </c>
      <c r="AE94" s="108" t="str">
        <f>IF('kWh_Streetlight Data'!AF37=0,"",'kWh_Streetlight Data'!AF37)</f>
        <v/>
      </c>
      <c r="AF94" s="108" t="str">
        <f>IF('kWh_Streetlight Data'!AG37=0,"",'kWh_Streetlight Data'!AG37)</f>
        <v/>
      </c>
      <c r="AG94" s="108" t="str">
        <f>IF('kWh_Streetlight Data'!AH37=0,"",'kWh_Streetlight Data'!AH37)</f>
        <v/>
      </c>
      <c r="AH94" s="108" t="str">
        <f>IF('kWh_Streetlight Data'!AI37=0,"",'kWh_Streetlight Data'!AI37)</f>
        <v/>
      </c>
      <c r="AI94" s="108" t="str">
        <f>IF('kWh_Streetlight Data'!AJ37=0,"",'kWh_Streetlight Data'!AJ37)</f>
        <v/>
      </c>
      <c r="AJ94" s="108" t="str">
        <f>IF('kWh_Streetlight Data'!AK37=0,"",'kWh_Streetlight Data'!AK37)</f>
        <v/>
      </c>
      <c r="AK94" s="108" t="str">
        <f>IF('kWh_Streetlight Data'!AL37=0,"",'kWh_Streetlight Data'!AL37)</f>
        <v/>
      </c>
      <c r="AL94" s="108" t="str">
        <f>IF('kWh_Streetlight Data'!AM37=0,"",'kWh_Streetlight Data'!AM37)</f>
        <v/>
      </c>
      <c r="AM94" s="108" t="str">
        <f>IF('kWh_Streetlight Data'!AN37=0,"",'kWh_Streetlight Data'!AN37)</f>
        <v/>
      </c>
      <c r="AN94" s="424" t="str">
        <f>IF('kWh_Streetlight Data'!AO37=0,"",'kWh_Streetlight Data'!AO37)</f>
        <v/>
      </c>
      <c r="AO94" s="34"/>
      <c r="AP94" s="35"/>
      <c r="AQ94" s="35"/>
      <c r="AR94" s="35"/>
      <c r="AS94" s="35"/>
      <c r="AT94" s="9"/>
      <c r="AU94" s="9">
        <f>IFERROR(AVERAGE(H94,U94,AG94),0)</f>
        <v>0</v>
      </c>
      <c r="AV94" s="9">
        <f t="shared" ref="AV94" si="62">IFERROR(AVERAGE(I94,V94,AH94),0)</f>
        <v>0</v>
      </c>
      <c r="AW94" s="9">
        <f t="shared" ref="AW94" si="63">IFERROR(AVERAGE(J94,W94,AI94),0)</f>
        <v>0</v>
      </c>
      <c r="AX94" s="9">
        <f t="shared" ref="AX94" si="64">IFERROR(AVERAGE(K94,X94,AJ94),0)</f>
        <v>0</v>
      </c>
      <c r="AY94" s="9">
        <f t="shared" ref="AY94" si="65">IFERROR(AVERAGE(L94,Y94,AK94),0)</f>
        <v>0</v>
      </c>
      <c r="AZ94" s="9">
        <f t="shared" ref="AZ94" si="66">IFERROR(AVERAGE(M94,Z94,AL94),0)</f>
        <v>0</v>
      </c>
      <c r="BA94" s="211">
        <f>IFERROR(BA93/SUM(AO89:AZ89),0)</f>
        <v>0</v>
      </c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>
        <f>((BO93+BO87+BO78)/BO92)</f>
        <v>29278.469387755104</v>
      </c>
      <c r="BQ94" s="234" t="s">
        <v>2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3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67">AU7+AU22+AU29+AU43</f>
        <v>346</v>
      </c>
      <c r="AV98" s="9">
        <f t="shared" si="67"/>
        <v>346</v>
      </c>
      <c r="AW98" s="9">
        <f t="shared" si="67"/>
        <v>348</v>
      </c>
      <c r="AX98" s="9">
        <f t="shared" si="67"/>
        <v>348</v>
      </c>
      <c r="AY98" s="9">
        <f t="shared" si="67"/>
        <v>348</v>
      </c>
      <c r="AZ98" s="9">
        <f t="shared" si="67"/>
        <v>348</v>
      </c>
      <c r="BA98" s="138">
        <f t="shared" si="67"/>
        <v>348</v>
      </c>
      <c r="BB98" s="9">
        <v>353</v>
      </c>
      <c r="BC98" s="9">
        <v>353</v>
      </c>
      <c r="BD98" s="9">
        <v>353</v>
      </c>
      <c r="BE98" s="9">
        <v>353</v>
      </c>
      <c r="BF98" s="9">
        <f t="shared" ref="BF98:BO98" si="68">BF7+BF22+BF29+BF43</f>
        <v>353</v>
      </c>
      <c r="BG98" s="9">
        <f t="shared" si="68"/>
        <v>353</v>
      </c>
      <c r="BH98" s="9">
        <f t="shared" si="68"/>
        <v>353</v>
      </c>
      <c r="BI98" s="9">
        <f t="shared" si="68"/>
        <v>353</v>
      </c>
      <c r="BJ98" s="9">
        <f t="shared" si="68"/>
        <v>353</v>
      </c>
      <c r="BK98" s="9">
        <f t="shared" si="68"/>
        <v>353</v>
      </c>
      <c r="BL98" s="9">
        <f t="shared" si="68"/>
        <v>353</v>
      </c>
      <c r="BM98" s="9">
        <f t="shared" si="68"/>
        <v>353</v>
      </c>
      <c r="BN98" s="138">
        <f t="shared" si="68"/>
        <v>353</v>
      </c>
      <c r="BO98" s="58">
        <f t="shared" si="68"/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69">AU57</f>
        <v>0</v>
      </c>
      <c r="AV99" s="9">
        <f t="shared" si="69"/>
        <v>0</v>
      </c>
      <c r="AW99" s="9">
        <f t="shared" si="69"/>
        <v>0</v>
      </c>
      <c r="AX99" s="9">
        <f t="shared" si="69"/>
        <v>0</v>
      </c>
      <c r="AY99" s="9">
        <f t="shared" si="69"/>
        <v>0</v>
      </c>
      <c r="AZ99" s="9">
        <f t="shared" si="69"/>
        <v>0</v>
      </c>
      <c r="BA99" s="138">
        <f t="shared" si="69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70">BF57</f>
        <v>0</v>
      </c>
      <c r="BG99" s="9">
        <f t="shared" si="70"/>
        <v>0</v>
      </c>
      <c r="BH99" s="9">
        <f t="shared" si="70"/>
        <v>0</v>
      </c>
      <c r="BI99" s="9">
        <f t="shared" si="70"/>
        <v>0</v>
      </c>
      <c r="BJ99" s="9">
        <f t="shared" si="70"/>
        <v>0</v>
      </c>
      <c r="BK99" s="9">
        <f t="shared" si="70"/>
        <v>0</v>
      </c>
      <c r="BL99" s="9">
        <f t="shared" si="70"/>
        <v>0</v>
      </c>
      <c r="BM99" s="9">
        <f t="shared" si="70"/>
        <v>0</v>
      </c>
      <c r="BN99" s="138">
        <f t="shared" si="70"/>
        <v>0</v>
      </c>
      <c r="BO99" s="58">
        <f t="shared" si="70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>AU65+AU75+AU81+AU86+Customers!E94</f>
        <v>63</v>
      </c>
      <c r="AV100" s="9">
        <f>AV65+AV75+AV81+AV86+Customers!F94</f>
        <v>63</v>
      </c>
      <c r="AW100" s="9">
        <f>AW65+AW75+AW81+AW86+Customers!G94</f>
        <v>63</v>
      </c>
      <c r="AX100" s="9">
        <f>AX65+AX75+AX81+AX86+Customers!H94</f>
        <v>63</v>
      </c>
      <c r="AY100" s="9">
        <f>AY65+AY75+AY81+AY86+Customers!I94</f>
        <v>63</v>
      </c>
      <c r="AZ100" s="9">
        <f>AZ65+AZ75+AZ81+AZ86+Customers!J94</f>
        <v>63</v>
      </c>
      <c r="BA100" s="138">
        <f>BA65+BA75+BA81+BA86+Customers!J94</f>
        <v>63</v>
      </c>
      <c r="BB100" s="9">
        <v>63</v>
      </c>
      <c r="BC100" s="9">
        <v>63</v>
      </c>
      <c r="BD100" s="9">
        <v>63</v>
      </c>
      <c r="BE100" s="9">
        <v>63</v>
      </c>
      <c r="BF100" s="9">
        <f>BF65+BF75+BF81+BF86+Customers!$K$94</f>
        <v>63</v>
      </c>
      <c r="BG100" s="9">
        <f>BG65+BG75+BG81+BG86+Customers!$K$94</f>
        <v>63</v>
      </c>
      <c r="BH100" s="9">
        <f>BH65+BH75+BH81+BH86+Customers!$K$94</f>
        <v>63</v>
      </c>
      <c r="BI100" s="9">
        <f>BI65+BI75+BI81+BI86+Customers!$K$94</f>
        <v>63</v>
      </c>
      <c r="BJ100" s="9">
        <f>BJ65+BJ75+BJ81+BJ86+Customers!$K$94</f>
        <v>68</v>
      </c>
      <c r="BK100" s="9">
        <f>BK65+BK75+BK81+BK86+Customers!$K$94</f>
        <v>68</v>
      </c>
      <c r="BL100" s="9">
        <f>BL65+BL75+BL81+BL86+Customers!$K$94</f>
        <v>68</v>
      </c>
      <c r="BM100" s="9">
        <f>BM65+BM75+BM81+BM86+Customers!$K$94</f>
        <v>68</v>
      </c>
      <c r="BN100" s="138">
        <f>BN65+BN75+BN81+BN86</f>
        <v>45</v>
      </c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O101" si="71">SUM(AU98:AU100)</f>
        <v>409</v>
      </c>
      <c r="AV101" s="73">
        <f t="shared" si="71"/>
        <v>409</v>
      </c>
      <c r="AW101" s="73">
        <f t="shared" si="71"/>
        <v>411</v>
      </c>
      <c r="AX101" s="73">
        <f t="shared" si="71"/>
        <v>411</v>
      </c>
      <c r="AY101" s="73">
        <f t="shared" si="71"/>
        <v>411</v>
      </c>
      <c r="AZ101" s="73">
        <f t="shared" si="71"/>
        <v>411</v>
      </c>
      <c r="BA101" s="249">
        <f t="shared" si="71"/>
        <v>411</v>
      </c>
      <c r="BB101" s="73">
        <v>416</v>
      </c>
      <c r="BC101" s="73">
        <v>416</v>
      </c>
      <c r="BD101" s="73">
        <v>416</v>
      </c>
      <c r="BE101" s="73">
        <v>416</v>
      </c>
      <c r="BF101" s="73">
        <f t="shared" si="71"/>
        <v>416</v>
      </c>
      <c r="BG101" s="73">
        <f t="shared" si="71"/>
        <v>416</v>
      </c>
      <c r="BH101" s="73">
        <f t="shared" si="71"/>
        <v>416</v>
      </c>
      <c r="BI101" s="73">
        <f t="shared" si="71"/>
        <v>416</v>
      </c>
      <c r="BJ101" s="73">
        <f t="shared" si="71"/>
        <v>421</v>
      </c>
      <c r="BK101" s="73">
        <f t="shared" si="71"/>
        <v>421</v>
      </c>
      <c r="BL101" s="73">
        <f t="shared" si="71"/>
        <v>421</v>
      </c>
      <c r="BM101" s="73">
        <f t="shared" si="71"/>
        <v>421</v>
      </c>
      <c r="BN101" s="249">
        <f t="shared" si="71"/>
        <v>398</v>
      </c>
      <c r="BO101" s="268">
        <f t="shared" si="71"/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72">AU15+AU36+AU50</f>
        <v>0</v>
      </c>
      <c r="AV102" s="9">
        <f t="shared" si="72"/>
        <v>0</v>
      </c>
      <c r="AW102" s="9">
        <f t="shared" si="72"/>
        <v>0</v>
      </c>
      <c r="AX102" s="9">
        <f t="shared" si="72"/>
        <v>0</v>
      </c>
      <c r="AY102" s="9">
        <f t="shared" si="72"/>
        <v>0</v>
      </c>
      <c r="AZ102" s="9">
        <f t="shared" si="72"/>
        <v>0</v>
      </c>
      <c r="BA102" s="138">
        <f t="shared" si="72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73">BF15+BF36+BF50</f>
        <v>0</v>
      </c>
      <c r="BG102" s="9">
        <f t="shared" si="73"/>
        <v>0</v>
      </c>
      <c r="BH102" s="9">
        <f t="shared" si="73"/>
        <v>0</v>
      </c>
      <c r="BI102" s="9">
        <f t="shared" si="73"/>
        <v>0</v>
      </c>
      <c r="BJ102" s="9">
        <f t="shared" si="73"/>
        <v>0</v>
      </c>
      <c r="BK102" s="9">
        <f t="shared" si="73"/>
        <v>0</v>
      </c>
      <c r="BL102" s="9">
        <f t="shared" si="73"/>
        <v>0</v>
      </c>
      <c r="BM102" s="9">
        <f t="shared" si="73"/>
        <v>0</v>
      </c>
      <c r="BN102" s="138">
        <f t="shared" si="73"/>
        <v>0</v>
      </c>
      <c r="BO102" s="266">
        <f t="shared" si="73"/>
        <v>358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74">AU92</f>
        <v>0</v>
      </c>
      <c r="AV104" s="9">
        <f t="shared" si="74"/>
        <v>0</v>
      </c>
      <c r="AW104" s="9">
        <f t="shared" si="74"/>
        <v>0</v>
      </c>
      <c r="AX104" s="9">
        <f t="shared" si="74"/>
        <v>0</v>
      </c>
      <c r="AY104" s="9">
        <f t="shared" si="74"/>
        <v>0</v>
      </c>
      <c r="AZ104" s="9">
        <f t="shared" si="74"/>
        <v>0</v>
      </c>
      <c r="BA104" s="138">
        <f t="shared" si="74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N104" si="75">BF92</f>
        <v>0</v>
      </c>
      <c r="BG104" s="9">
        <f t="shared" si="75"/>
        <v>0</v>
      </c>
      <c r="BH104" s="9">
        <f t="shared" si="75"/>
        <v>0</v>
      </c>
      <c r="BI104" s="9">
        <f t="shared" si="75"/>
        <v>0</v>
      </c>
      <c r="BJ104" s="9">
        <f t="shared" si="75"/>
        <v>0</v>
      </c>
      <c r="BK104" s="9">
        <f t="shared" si="75"/>
        <v>0</v>
      </c>
      <c r="BL104" s="9">
        <f t="shared" si="75"/>
        <v>0</v>
      </c>
      <c r="BM104" s="9">
        <f t="shared" si="75"/>
        <v>0</v>
      </c>
      <c r="BN104" s="138">
        <f t="shared" si="75"/>
        <v>0</v>
      </c>
      <c r="BO104" s="58">
        <f>BO92+Customers!L94</f>
        <v>68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O105" si="76">SUM(AU102:AU104)</f>
        <v>0</v>
      </c>
      <c r="AV105" s="73">
        <f t="shared" si="76"/>
        <v>0</v>
      </c>
      <c r="AW105" s="73">
        <f t="shared" si="76"/>
        <v>0</v>
      </c>
      <c r="AX105" s="73">
        <f t="shared" si="76"/>
        <v>0</v>
      </c>
      <c r="AY105" s="73">
        <f t="shared" si="76"/>
        <v>0</v>
      </c>
      <c r="AZ105" s="73">
        <f t="shared" si="76"/>
        <v>0</v>
      </c>
      <c r="BA105" s="249">
        <f t="shared" si="76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si="76"/>
        <v>0</v>
      </c>
      <c r="BG105" s="73">
        <f t="shared" si="76"/>
        <v>0</v>
      </c>
      <c r="BH105" s="73">
        <f t="shared" si="76"/>
        <v>0</v>
      </c>
      <c r="BI105" s="73">
        <f t="shared" si="76"/>
        <v>0</v>
      </c>
      <c r="BJ105" s="73">
        <f t="shared" si="76"/>
        <v>0</v>
      </c>
      <c r="BK105" s="73">
        <f t="shared" si="76"/>
        <v>0</v>
      </c>
      <c r="BL105" s="73">
        <f t="shared" si="76"/>
        <v>0</v>
      </c>
      <c r="BM105" s="73">
        <f t="shared" si="76"/>
        <v>0</v>
      </c>
      <c r="BN105" s="249">
        <f t="shared" si="76"/>
        <v>0</v>
      </c>
      <c r="BO105" s="268">
        <f t="shared" si="76"/>
        <v>426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77">AU105+AU101</f>
        <v>409</v>
      </c>
      <c r="AV106" s="251">
        <f t="shared" si="77"/>
        <v>409</v>
      </c>
      <c r="AW106" s="251">
        <f t="shared" si="77"/>
        <v>411</v>
      </c>
      <c r="AX106" s="251">
        <f t="shared" si="77"/>
        <v>411</v>
      </c>
      <c r="AY106" s="251">
        <f t="shared" si="77"/>
        <v>411</v>
      </c>
      <c r="AZ106" s="251">
        <f t="shared" si="77"/>
        <v>411</v>
      </c>
      <c r="BA106" s="255">
        <f t="shared" si="77"/>
        <v>411</v>
      </c>
      <c r="BB106" s="251">
        <v>416</v>
      </c>
      <c r="BC106" s="251">
        <v>416</v>
      </c>
      <c r="BD106" s="251">
        <v>416</v>
      </c>
      <c r="BE106" s="251">
        <v>416</v>
      </c>
      <c r="BF106" s="251">
        <f t="shared" si="77"/>
        <v>416</v>
      </c>
      <c r="BG106" s="251">
        <f t="shared" si="77"/>
        <v>416</v>
      </c>
      <c r="BH106" s="251">
        <f t="shared" si="77"/>
        <v>416</v>
      </c>
      <c r="BI106" s="251">
        <f t="shared" si="77"/>
        <v>416</v>
      </c>
      <c r="BJ106" s="251">
        <f t="shared" si="77"/>
        <v>421</v>
      </c>
      <c r="BK106" s="251">
        <f t="shared" si="77"/>
        <v>421</v>
      </c>
      <c r="BL106" s="251">
        <f t="shared" si="77"/>
        <v>421</v>
      </c>
      <c r="BM106" s="251">
        <f t="shared" si="77"/>
        <v>421</v>
      </c>
      <c r="BN106" s="255">
        <f t="shared" si="77"/>
        <v>398</v>
      </c>
      <c r="BO106" s="269">
        <f t="shared" si="77"/>
        <v>426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78">AU11+AU26+AU33+AU47</f>
        <v>356457</v>
      </c>
      <c r="AV108" s="9">
        <f t="shared" si="78"/>
        <v>344392</v>
      </c>
      <c r="AW108" s="9">
        <f t="shared" si="78"/>
        <v>373857</v>
      </c>
      <c r="AX108" s="9">
        <f t="shared" si="78"/>
        <v>403329</v>
      </c>
      <c r="AY108" s="9">
        <f t="shared" si="78"/>
        <v>522702</v>
      </c>
      <c r="AZ108" s="9">
        <f t="shared" si="78"/>
        <v>533950</v>
      </c>
      <c r="BA108" s="138">
        <f t="shared" si="78"/>
        <v>2534687</v>
      </c>
      <c r="BB108" s="9">
        <v>750675</v>
      </c>
      <c r="BC108" s="9">
        <v>636233</v>
      </c>
      <c r="BD108" s="9">
        <v>590952</v>
      </c>
      <c r="BE108" s="9">
        <v>634260</v>
      </c>
      <c r="BF108" s="9">
        <f t="shared" ref="BF108:BO108" si="79">BF11+BF26+BF33+BF47</f>
        <v>506474</v>
      </c>
      <c r="BG108" s="9">
        <f t="shared" si="79"/>
        <v>390209</v>
      </c>
      <c r="BH108" s="9">
        <f t="shared" si="79"/>
        <v>362846</v>
      </c>
      <c r="BI108" s="9">
        <f t="shared" si="79"/>
        <v>350357</v>
      </c>
      <c r="BJ108" s="9">
        <f t="shared" si="79"/>
        <v>378691</v>
      </c>
      <c r="BK108" s="9">
        <f t="shared" si="79"/>
        <v>408537</v>
      </c>
      <c r="BL108" s="9">
        <f t="shared" si="79"/>
        <v>529489</v>
      </c>
      <c r="BM108" s="9">
        <f t="shared" si="79"/>
        <v>540843</v>
      </c>
      <c r="BN108" s="138">
        <f t="shared" si="79"/>
        <v>6079566</v>
      </c>
      <c r="BO108" s="58">
        <f t="shared" si="79"/>
        <v>3078423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80">AU58</f>
        <v>0</v>
      </c>
      <c r="AV109" s="9">
        <f t="shared" si="80"/>
        <v>0</v>
      </c>
      <c r="AW109" s="9">
        <f t="shared" si="80"/>
        <v>0</v>
      </c>
      <c r="AX109" s="9">
        <f t="shared" si="80"/>
        <v>0</v>
      </c>
      <c r="AY109" s="9">
        <f t="shared" si="80"/>
        <v>0</v>
      </c>
      <c r="AZ109" s="9">
        <f t="shared" si="80"/>
        <v>0</v>
      </c>
      <c r="BA109" s="138">
        <f t="shared" si="80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81">BF58</f>
        <v>0</v>
      </c>
      <c r="BG109" s="9">
        <f t="shared" si="81"/>
        <v>0</v>
      </c>
      <c r="BH109" s="9">
        <f t="shared" si="81"/>
        <v>0</v>
      </c>
      <c r="BI109" s="9">
        <f t="shared" si="81"/>
        <v>0</v>
      </c>
      <c r="BJ109" s="9">
        <f t="shared" si="81"/>
        <v>0</v>
      </c>
      <c r="BK109" s="9">
        <f t="shared" si="81"/>
        <v>0</v>
      </c>
      <c r="BL109" s="9">
        <f t="shared" si="81"/>
        <v>0</v>
      </c>
      <c r="BM109" s="9">
        <f t="shared" si="81"/>
        <v>0</v>
      </c>
      <c r="BN109" s="138">
        <f t="shared" si="81"/>
        <v>0</v>
      </c>
      <c r="BO109" s="58">
        <f t="shared" si="81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82">AU68+AU78+AU82+AU87</f>
        <v>64028</v>
      </c>
      <c r="AV110" s="9">
        <f t="shared" si="82"/>
        <v>72749</v>
      </c>
      <c r="AW110" s="9">
        <f t="shared" si="82"/>
        <v>76588</v>
      </c>
      <c r="AX110" s="9">
        <f t="shared" si="82"/>
        <v>84348</v>
      </c>
      <c r="AY110" s="9">
        <f t="shared" si="82"/>
        <v>101716</v>
      </c>
      <c r="AZ110" s="9">
        <f t="shared" si="82"/>
        <v>107901</v>
      </c>
      <c r="BA110" s="138">
        <f t="shared" si="82"/>
        <v>507330</v>
      </c>
      <c r="BB110" s="9">
        <v>114123</v>
      </c>
      <c r="BC110" s="9">
        <v>106329</v>
      </c>
      <c r="BD110" s="9">
        <v>94759</v>
      </c>
      <c r="BE110" s="9">
        <v>102044</v>
      </c>
      <c r="BF110" s="9">
        <f t="shared" ref="BF110:BO110" si="83">BF68+BF78+BF82+BF87</f>
        <v>96601</v>
      </c>
      <c r="BG110" s="9">
        <f t="shared" si="83"/>
        <v>94164</v>
      </c>
      <c r="BH110" s="9">
        <f t="shared" si="83"/>
        <v>64028</v>
      </c>
      <c r="BI110" s="9">
        <f t="shared" si="83"/>
        <v>72749</v>
      </c>
      <c r="BJ110" s="9">
        <f t="shared" si="83"/>
        <v>102390</v>
      </c>
      <c r="BK110" s="9">
        <f t="shared" si="83"/>
        <v>110966</v>
      </c>
      <c r="BL110" s="9">
        <f t="shared" si="83"/>
        <v>129516</v>
      </c>
      <c r="BM110" s="9">
        <f t="shared" si="83"/>
        <v>135381</v>
      </c>
      <c r="BN110" s="138">
        <f t="shared" si="83"/>
        <v>1223050</v>
      </c>
      <c r="BO110" s="58">
        <f t="shared" si="83"/>
        <v>717322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O111" si="84">SUM(AU108:AU110)</f>
        <v>420485</v>
      </c>
      <c r="AV111" s="73">
        <f t="shared" si="84"/>
        <v>417141</v>
      </c>
      <c r="AW111" s="73">
        <f t="shared" si="84"/>
        <v>450445</v>
      </c>
      <c r="AX111" s="73">
        <f t="shared" si="84"/>
        <v>487677</v>
      </c>
      <c r="AY111" s="73">
        <f t="shared" si="84"/>
        <v>624418</v>
      </c>
      <c r="AZ111" s="73">
        <f t="shared" si="84"/>
        <v>641851</v>
      </c>
      <c r="BA111" s="249">
        <f t="shared" si="84"/>
        <v>3042017</v>
      </c>
      <c r="BB111" s="73">
        <v>864798</v>
      </c>
      <c r="BC111" s="73">
        <v>742562</v>
      </c>
      <c r="BD111" s="73">
        <v>685711</v>
      </c>
      <c r="BE111" s="73">
        <v>736304</v>
      </c>
      <c r="BF111" s="73">
        <f t="shared" si="84"/>
        <v>603075</v>
      </c>
      <c r="BG111" s="73">
        <f t="shared" si="84"/>
        <v>484373</v>
      </c>
      <c r="BH111" s="73">
        <f t="shared" si="84"/>
        <v>426874</v>
      </c>
      <c r="BI111" s="73">
        <f t="shared" si="84"/>
        <v>423106</v>
      </c>
      <c r="BJ111" s="73">
        <f t="shared" si="84"/>
        <v>481081</v>
      </c>
      <c r="BK111" s="73">
        <f t="shared" si="84"/>
        <v>519503</v>
      </c>
      <c r="BL111" s="73">
        <f t="shared" si="84"/>
        <v>659005</v>
      </c>
      <c r="BM111" s="73">
        <f t="shared" si="84"/>
        <v>676224</v>
      </c>
      <c r="BN111" s="249">
        <f t="shared" si="84"/>
        <v>7302616</v>
      </c>
      <c r="BO111" s="268">
        <f t="shared" si="84"/>
        <v>3795745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85">AU19+AU40+AU54</f>
        <v>0</v>
      </c>
      <c r="AV112" s="9">
        <f t="shared" si="85"/>
        <v>0</v>
      </c>
      <c r="AW112" s="9">
        <f t="shared" si="85"/>
        <v>0</v>
      </c>
      <c r="AX112" s="9">
        <f t="shared" si="85"/>
        <v>0</v>
      </c>
      <c r="AY112" s="9">
        <f t="shared" si="85"/>
        <v>0</v>
      </c>
      <c r="AZ112" s="9">
        <f t="shared" si="85"/>
        <v>0</v>
      </c>
      <c r="BA112" s="138">
        <f t="shared" si="85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86">BF19+BF40+BF54</f>
        <v>0</v>
      </c>
      <c r="BG112" s="9">
        <f t="shared" si="86"/>
        <v>0</v>
      </c>
      <c r="BH112" s="9">
        <f t="shared" si="86"/>
        <v>0</v>
      </c>
      <c r="BI112" s="9">
        <f t="shared" si="86"/>
        <v>0</v>
      </c>
      <c r="BJ112" s="9">
        <f t="shared" si="86"/>
        <v>0</v>
      </c>
      <c r="BK112" s="9">
        <f t="shared" si="86"/>
        <v>0</v>
      </c>
      <c r="BL112" s="9">
        <f t="shared" si="86"/>
        <v>0</v>
      </c>
      <c r="BM112" s="9">
        <f t="shared" si="86"/>
        <v>0</v>
      </c>
      <c r="BN112" s="138">
        <f t="shared" si="86"/>
        <v>0</v>
      </c>
      <c r="BO112" s="58">
        <f t="shared" si="86"/>
        <v>3078424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87">AU93</f>
        <v>0</v>
      </c>
      <c r="AV114" s="9">
        <f t="shared" si="87"/>
        <v>0</v>
      </c>
      <c r="AW114" s="9">
        <f t="shared" si="87"/>
        <v>0</v>
      </c>
      <c r="AX114" s="9">
        <f t="shared" si="87"/>
        <v>0</v>
      </c>
      <c r="AY114" s="9">
        <f t="shared" si="87"/>
        <v>0</v>
      </c>
      <c r="AZ114" s="9">
        <f t="shared" si="87"/>
        <v>0</v>
      </c>
      <c r="BA114" s="138">
        <f t="shared" si="87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88">BF93</f>
        <v>0</v>
      </c>
      <c r="BG114" s="9">
        <f t="shared" si="88"/>
        <v>0</v>
      </c>
      <c r="BH114" s="9">
        <f t="shared" si="88"/>
        <v>0</v>
      </c>
      <c r="BI114" s="9">
        <f t="shared" si="88"/>
        <v>0</v>
      </c>
      <c r="BJ114" s="9">
        <f t="shared" si="88"/>
        <v>0</v>
      </c>
      <c r="BK114" s="9">
        <f t="shared" si="88"/>
        <v>0</v>
      </c>
      <c r="BL114" s="9">
        <f t="shared" si="88"/>
        <v>0</v>
      </c>
      <c r="BM114" s="9">
        <f t="shared" si="88"/>
        <v>0</v>
      </c>
      <c r="BN114" s="138">
        <f t="shared" si="88"/>
        <v>0</v>
      </c>
      <c r="BO114" s="58">
        <f t="shared" si="88"/>
        <v>717323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O115" si="89">SUM(AU112:AU114)</f>
        <v>0</v>
      </c>
      <c r="AV115" s="73">
        <f t="shared" si="89"/>
        <v>0</v>
      </c>
      <c r="AW115" s="73">
        <f t="shared" si="89"/>
        <v>0</v>
      </c>
      <c r="AX115" s="73">
        <f t="shared" si="89"/>
        <v>0</v>
      </c>
      <c r="AY115" s="73">
        <f t="shared" si="89"/>
        <v>0</v>
      </c>
      <c r="AZ115" s="73">
        <f t="shared" si="89"/>
        <v>0</v>
      </c>
      <c r="BA115" s="249">
        <f t="shared" si="89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si="89"/>
        <v>0</v>
      </c>
      <c r="BG115" s="73">
        <f t="shared" si="89"/>
        <v>0</v>
      </c>
      <c r="BH115" s="73">
        <f t="shared" si="89"/>
        <v>0</v>
      </c>
      <c r="BI115" s="73">
        <f t="shared" si="89"/>
        <v>0</v>
      </c>
      <c r="BJ115" s="73">
        <f t="shared" si="89"/>
        <v>0</v>
      </c>
      <c r="BK115" s="73">
        <f t="shared" si="89"/>
        <v>0</v>
      </c>
      <c r="BL115" s="73">
        <f t="shared" si="89"/>
        <v>0</v>
      </c>
      <c r="BM115" s="73">
        <f t="shared" si="89"/>
        <v>0</v>
      </c>
      <c r="BN115" s="249">
        <f t="shared" si="89"/>
        <v>0</v>
      </c>
      <c r="BO115" s="268">
        <f t="shared" si="89"/>
        <v>3795747</v>
      </c>
    </row>
    <row r="116" spans="1:67" s="3" customFormat="1" ht="15.75" customHeight="1" thickBot="1">
      <c r="A116" s="201" t="s">
        <v>212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90">AU115+AU111</f>
        <v>420485</v>
      </c>
      <c r="AV116" s="251">
        <f t="shared" si="90"/>
        <v>417141</v>
      </c>
      <c r="AW116" s="251">
        <f t="shared" si="90"/>
        <v>450445</v>
      </c>
      <c r="AX116" s="251">
        <f t="shared" si="90"/>
        <v>487677</v>
      </c>
      <c r="AY116" s="251">
        <f t="shared" si="90"/>
        <v>624418</v>
      </c>
      <c r="AZ116" s="251">
        <f t="shared" si="90"/>
        <v>641851</v>
      </c>
      <c r="BA116" s="255">
        <f t="shared" si="90"/>
        <v>3042017</v>
      </c>
      <c r="BB116" s="251">
        <v>864798</v>
      </c>
      <c r="BC116" s="251">
        <v>742562</v>
      </c>
      <c r="BD116" s="251">
        <v>685711</v>
      </c>
      <c r="BE116" s="251">
        <v>736304</v>
      </c>
      <c r="BF116" s="251">
        <f t="shared" si="90"/>
        <v>603075</v>
      </c>
      <c r="BG116" s="251">
        <f t="shared" si="90"/>
        <v>484373</v>
      </c>
      <c r="BH116" s="251">
        <f t="shared" si="90"/>
        <v>426874</v>
      </c>
      <c r="BI116" s="251">
        <f t="shared" si="90"/>
        <v>423106</v>
      </c>
      <c r="BJ116" s="251">
        <f t="shared" si="90"/>
        <v>481081</v>
      </c>
      <c r="BK116" s="251">
        <f t="shared" si="90"/>
        <v>519503</v>
      </c>
      <c r="BL116" s="251">
        <f t="shared" si="90"/>
        <v>659005</v>
      </c>
      <c r="BM116" s="251">
        <f t="shared" si="90"/>
        <v>676224</v>
      </c>
      <c r="BN116" s="255">
        <f t="shared" si="90"/>
        <v>7302616</v>
      </c>
      <c r="BO116" s="269">
        <f t="shared" si="90"/>
        <v>7591492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11</v>
      </c>
      <c r="AV119" s="280">
        <f>AU119</f>
        <v>11</v>
      </c>
      <c r="AW119" s="280">
        <f>AV119</f>
        <v>11</v>
      </c>
      <c r="AX119" s="280">
        <f t="shared" ref="AX119:AZ119" si="91">AW119</f>
        <v>11</v>
      </c>
      <c r="AY119" s="280">
        <f t="shared" si="91"/>
        <v>11</v>
      </c>
      <c r="AZ119" s="280">
        <f t="shared" si="91"/>
        <v>11</v>
      </c>
      <c r="BA119" s="259"/>
      <c r="BB119" s="280">
        <v>11</v>
      </c>
      <c r="BC119" s="280">
        <v>11</v>
      </c>
      <c r="BD119" s="280">
        <v>11</v>
      </c>
      <c r="BE119" s="280">
        <v>11</v>
      </c>
      <c r="BF119" s="280">
        <f t="shared" ref="BF119:BM119" si="92">BE119</f>
        <v>11</v>
      </c>
      <c r="BG119" s="280">
        <f t="shared" si="92"/>
        <v>11</v>
      </c>
      <c r="BH119" s="280">
        <f t="shared" si="92"/>
        <v>11</v>
      </c>
      <c r="BI119" s="280">
        <f t="shared" si="92"/>
        <v>11</v>
      </c>
      <c r="BJ119" s="280">
        <f t="shared" si="92"/>
        <v>11</v>
      </c>
      <c r="BK119" s="280">
        <f t="shared" si="92"/>
        <v>11</v>
      </c>
      <c r="BL119" s="280">
        <f t="shared" si="92"/>
        <v>11</v>
      </c>
      <c r="BM119" s="280">
        <f t="shared" si="92"/>
        <v>11</v>
      </c>
      <c r="BN119" s="259"/>
      <c r="BO119" s="343">
        <f>BM119</f>
        <v>11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165344</v>
      </c>
      <c r="AU120" s="107">
        <v>135800</v>
      </c>
      <c r="AV120" s="39">
        <f>ROUND(AW108/30*AV119,0)</f>
        <v>137081</v>
      </c>
      <c r="AW120" s="39">
        <f>ROUND(AX108/30*AW119,0)</f>
        <v>147887</v>
      </c>
      <c r="AX120" s="39">
        <f>ROUND(AY108/30*AX119,0)</f>
        <v>191657</v>
      </c>
      <c r="AY120" s="39">
        <f>ROUND(AZ108/30*AY119,0)</f>
        <v>195782</v>
      </c>
      <c r="AZ120" s="39">
        <f>ROUND(BB108/30*AZ119,0)</f>
        <v>275248</v>
      </c>
      <c r="BA120" s="215"/>
      <c r="BB120" s="346">
        <v>233285</v>
      </c>
      <c r="BC120" s="346">
        <v>216682</v>
      </c>
      <c r="BD120" s="346">
        <v>232562</v>
      </c>
      <c r="BE120" s="346">
        <v>185707</v>
      </c>
      <c r="BF120" s="346">
        <f t="shared" ref="BF120:BL120" si="93">ROUND(BG108/30*BF119,0)</f>
        <v>143077</v>
      </c>
      <c r="BG120" s="346">
        <f t="shared" si="93"/>
        <v>133044</v>
      </c>
      <c r="BH120" s="346">
        <f t="shared" si="93"/>
        <v>128464</v>
      </c>
      <c r="BI120" s="346">
        <f t="shared" si="93"/>
        <v>138853</v>
      </c>
      <c r="BJ120" s="346">
        <f t="shared" si="93"/>
        <v>149797</v>
      </c>
      <c r="BK120" s="346">
        <f t="shared" si="93"/>
        <v>194146</v>
      </c>
      <c r="BL120" s="346">
        <f t="shared" si="93"/>
        <v>198309</v>
      </c>
      <c r="BM120" s="57">
        <f>ROUND((BO108+BO112)*0.11/30*BM119,0)</f>
        <v>248326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25280</v>
      </c>
      <c r="AU121" s="107">
        <v>20850</v>
      </c>
      <c r="AV121" s="39">
        <f>ROUND(AW110/30*AV119,0)</f>
        <v>28082</v>
      </c>
      <c r="AW121" s="39">
        <f>ROUND(AX110/30*AW119,0)</f>
        <v>30928</v>
      </c>
      <c r="AX121" s="39">
        <f>ROUND(AY110/30*AX119,0)</f>
        <v>37296</v>
      </c>
      <c r="AY121" s="39">
        <f>ROUND(AZ110/30*AY119,0)</f>
        <v>39564</v>
      </c>
      <c r="AZ121" s="39">
        <f>ROUND(BB110/30*AZ119,0)</f>
        <v>41845</v>
      </c>
      <c r="BA121" s="215"/>
      <c r="BB121" s="57">
        <v>38987</v>
      </c>
      <c r="BC121" s="57">
        <v>34745</v>
      </c>
      <c r="BD121" s="57">
        <v>37416</v>
      </c>
      <c r="BE121" s="57">
        <v>35420</v>
      </c>
      <c r="BF121" s="57">
        <f t="shared" ref="BF121:BL121" si="94">ROUND(BG110/30*BF119,0)</f>
        <v>34527</v>
      </c>
      <c r="BG121" s="57">
        <f t="shared" si="94"/>
        <v>23477</v>
      </c>
      <c r="BH121" s="57">
        <f t="shared" si="94"/>
        <v>26675</v>
      </c>
      <c r="BI121" s="57">
        <f t="shared" si="94"/>
        <v>37543</v>
      </c>
      <c r="BJ121" s="57">
        <f t="shared" si="94"/>
        <v>40688</v>
      </c>
      <c r="BK121" s="57">
        <f t="shared" si="94"/>
        <v>47489</v>
      </c>
      <c r="BL121" s="57">
        <f t="shared" si="94"/>
        <v>49640</v>
      </c>
      <c r="BM121" s="57">
        <f>ROUND((BO110+BO114)*0.11/30*BM119,0)</f>
        <v>57864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-165344</v>
      </c>
      <c r="AV122" s="57">
        <f t="shared" ref="AV122:AZ123" si="95">-AU120</f>
        <v>-135800</v>
      </c>
      <c r="AW122" s="57">
        <f t="shared" si="95"/>
        <v>-137081</v>
      </c>
      <c r="AX122" s="57">
        <f t="shared" si="95"/>
        <v>-147887</v>
      </c>
      <c r="AY122" s="57">
        <f t="shared" si="95"/>
        <v>-191657</v>
      </c>
      <c r="AZ122" s="57">
        <f t="shared" si="95"/>
        <v>-195782</v>
      </c>
      <c r="BA122" s="215"/>
      <c r="BB122" s="57">
        <v>-275248</v>
      </c>
      <c r="BC122" s="57">
        <v>-233285</v>
      </c>
      <c r="BD122" s="57">
        <v>-216682</v>
      </c>
      <c r="BE122" s="57">
        <v>-232562</v>
      </c>
      <c r="BF122" s="57">
        <f t="shared" ref="BF122:BM123" si="96">-BE120</f>
        <v>-185707</v>
      </c>
      <c r="BG122" s="57">
        <f t="shared" si="96"/>
        <v>-143077</v>
      </c>
      <c r="BH122" s="57">
        <f t="shared" si="96"/>
        <v>-133044</v>
      </c>
      <c r="BI122" s="57">
        <f t="shared" si="96"/>
        <v>-128464</v>
      </c>
      <c r="BJ122" s="57">
        <f t="shared" si="96"/>
        <v>-138853</v>
      </c>
      <c r="BK122" s="57">
        <f t="shared" si="96"/>
        <v>-149797</v>
      </c>
      <c r="BL122" s="57">
        <f t="shared" si="96"/>
        <v>-194146</v>
      </c>
      <c r="BM122" s="57">
        <f t="shared" si="96"/>
        <v>-198309</v>
      </c>
      <c r="BN122" s="215"/>
      <c r="BO122" s="141">
        <f>-BM120</f>
        <v>-248326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-25280</v>
      </c>
      <c r="AV123" s="57">
        <f t="shared" si="95"/>
        <v>-20850</v>
      </c>
      <c r="AW123" s="57">
        <f t="shared" si="95"/>
        <v>-28082</v>
      </c>
      <c r="AX123" s="57">
        <f t="shared" si="95"/>
        <v>-30928</v>
      </c>
      <c r="AY123" s="57">
        <f t="shared" si="95"/>
        <v>-37296</v>
      </c>
      <c r="AZ123" s="57">
        <f t="shared" si="95"/>
        <v>-39564</v>
      </c>
      <c r="BA123" s="215"/>
      <c r="BB123" s="57">
        <v>-41845</v>
      </c>
      <c r="BC123" s="57">
        <v>-38987</v>
      </c>
      <c r="BD123" s="57">
        <v>-34745</v>
      </c>
      <c r="BE123" s="57">
        <v>-37416</v>
      </c>
      <c r="BF123" s="57">
        <f t="shared" si="96"/>
        <v>-35420</v>
      </c>
      <c r="BG123" s="57">
        <f t="shared" si="96"/>
        <v>-34527</v>
      </c>
      <c r="BH123" s="57">
        <f t="shared" si="96"/>
        <v>-23477</v>
      </c>
      <c r="BI123" s="57">
        <f t="shared" si="96"/>
        <v>-26675</v>
      </c>
      <c r="BJ123" s="57">
        <f t="shared" si="96"/>
        <v>-37543</v>
      </c>
      <c r="BK123" s="57">
        <f t="shared" si="96"/>
        <v>-40688</v>
      </c>
      <c r="BL123" s="57">
        <f t="shared" si="96"/>
        <v>-47489</v>
      </c>
      <c r="BM123" s="57">
        <f t="shared" si="96"/>
        <v>-49640</v>
      </c>
      <c r="BN123" s="215"/>
      <c r="BO123" s="141">
        <f>-BM121</f>
        <v>-57864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-33974</v>
      </c>
      <c r="AV124" s="344">
        <f t="shared" ref="AV124:AZ124" si="97">SUM(AV120:AV123)</f>
        <v>8513</v>
      </c>
      <c r="AW124" s="344">
        <f t="shared" si="97"/>
        <v>13652</v>
      </c>
      <c r="AX124" s="344">
        <f t="shared" si="97"/>
        <v>50138</v>
      </c>
      <c r="AY124" s="344">
        <f t="shared" si="97"/>
        <v>6393</v>
      </c>
      <c r="AZ124" s="344">
        <f t="shared" si="97"/>
        <v>81747</v>
      </c>
      <c r="BA124" s="345"/>
      <c r="BB124" s="344">
        <v>-44821</v>
      </c>
      <c r="BC124" s="344">
        <v>-20845</v>
      </c>
      <c r="BD124" s="344">
        <v>18551</v>
      </c>
      <c r="BE124" s="344">
        <v>-48851</v>
      </c>
      <c r="BF124" s="344">
        <f t="shared" ref="BF124:BO124" si="98">SUM(BF120:BF123)</f>
        <v>-43523</v>
      </c>
      <c r="BG124" s="344">
        <f t="shared" si="98"/>
        <v>-21083</v>
      </c>
      <c r="BH124" s="344">
        <f t="shared" si="98"/>
        <v>-1382</v>
      </c>
      <c r="BI124" s="344">
        <f t="shared" si="98"/>
        <v>21257</v>
      </c>
      <c r="BJ124" s="344">
        <f t="shared" si="98"/>
        <v>14089</v>
      </c>
      <c r="BK124" s="344">
        <f t="shared" si="98"/>
        <v>51150</v>
      </c>
      <c r="BL124" s="344">
        <f t="shared" si="98"/>
        <v>6314</v>
      </c>
      <c r="BM124" s="344">
        <f t="shared" si="98"/>
        <v>58241</v>
      </c>
      <c r="BN124" s="345"/>
      <c r="BO124" s="272">
        <f t="shared" si="98"/>
        <v>-306190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11</v>
      </c>
      <c r="AV125" s="344">
        <f>AU125</f>
        <v>11</v>
      </c>
      <c r="AW125" s="344">
        <f>AV125</f>
        <v>11</v>
      </c>
      <c r="AX125" s="344">
        <f t="shared" ref="AX125:AZ125" si="99">AW125</f>
        <v>11</v>
      </c>
      <c r="AY125" s="344">
        <f t="shared" si="99"/>
        <v>11</v>
      </c>
      <c r="AZ125" s="344">
        <f t="shared" si="99"/>
        <v>11</v>
      </c>
      <c r="BA125" s="345"/>
      <c r="BB125" s="344">
        <v>11</v>
      </c>
      <c r="BC125" s="344">
        <v>11</v>
      </c>
      <c r="BD125" s="344">
        <v>11</v>
      </c>
      <c r="BE125" s="344">
        <v>11</v>
      </c>
      <c r="BF125" s="344">
        <f t="shared" ref="BF125:BM125" si="100">BE125</f>
        <v>11</v>
      </c>
      <c r="BG125" s="344">
        <f t="shared" si="100"/>
        <v>11</v>
      </c>
      <c r="BH125" s="344">
        <f t="shared" si="100"/>
        <v>11</v>
      </c>
      <c r="BI125" s="344">
        <f t="shared" si="100"/>
        <v>11</v>
      </c>
      <c r="BJ125" s="344">
        <f t="shared" si="100"/>
        <v>11</v>
      </c>
      <c r="BK125" s="344">
        <f t="shared" si="100"/>
        <v>11</v>
      </c>
      <c r="BL125" s="344">
        <f t="shared" si="100"/>
        <v>11</v>
      </c>
      <c r="BM125" s="344">
        <f t="shared" si="100"/>
        <v>11</v>
      </c>
      <c r="BN125" s="345"/>
      <c r="BO125" s="272">
        <f>BM125</f>
        <v>11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01">ROUND(AV112/30*AU125,0)</f>
        <v>0</v>
      </c>
      <c r="AV126" s="57">
        <f t="shared" si="101"/>
        <v>0</v>
      </c>
      <c r="AW126" s="57">
        <f t="shared" si="101"/>
        <v>0</v>
      </c>
      <c r="AX126" s="57">
        <f t="shared" si="101"/>
        <v>0</v>
      </c>
      <c r="AY126" s="57">
        <f t="shared" si="101"/>
        <v>0</v>
      </c>
      <c r="AZ126" s="57">
        <f t="shared" si="101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102">BG112/30*BF125</f>
        <v>0</v>
      </c>
      <c r="BG126" s="57">
        <f t="shared" si="102"/>
        <v>0</v>
      </c>
      <c r="BH126" s="57">
        <f t="shared" si="102"/>
        <v>0</v>
      </c>
      <c r="BI126" s="57">
        <f t="shared" si="102"/>
        <v>0</v>
      </c>
      <c r="BJ126" s="57">
        <f t="shared" si="102"/>
        <v>0</v>
      </c>
      <c r="BK126" s="57">
        <f t="shared" si="102"/>
        <v>0</v>
      </c>
      <c r="BL126" s="57">
        <f t="shared" si="102"/>
        <v>0</v>
      </c>
      <c r="BM126" s="57">
        <v>0</v>
      </c>
      <c r="BN126" s="215"/>
      <c r="BO126" s="141">
        <v>251443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03">ROUND(AV114/30*AU125,0)</f>
        <v>0</v>
      </c>
      <c r="AV127" s="57">
        <f t="shared" si="103"/>
        <v>0</v>
      </c>
      <c r="AW127" s="57">
        <f t="shared" si="103"/>
        <v>0</v>
      </c>
      <c r="AX127" s="57">
        <f t="shared" si="103"/>
        <v>0</v>
      </c>
      <c r="AY127" s="57">
        <f t="shared" si="103"/>
        <v>0</v>
      </c>
      <c r="AZ127" s="57">
        <f t="shared" si="103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104">ROUND(BG114/30*BF125,0)</f>
        <v>0</v>
      </c>
      <c r="BG127" s="57">
        <f t="shared" si="104"/>
        <v>0</v>
      </c>
      <c r="BH127" s="57">
        <f t="shared" si="104"/>
        <v>0</v>
      </c>
      <c r="BI127" s="57">
        <f t="shared" si="104"/>
        <v>0</v>
      </c>
      <c r="BJ127" s="57">
        <f t="shared" si="104"/>
        <v>0</v>
      </c>
      <c r="BK127" s="57">
        <f t="shared" si="104"/>
        <v>0</v>
      </c>
      <c r="BL127" s="57">
        <f t="shared" si="104"/>
        <v>0</v>
      </c>
      <c r="BM127" s="57">
        <v>0</v>
      </c>
      <c r="BN127" s="215"/>
      <c r="BO127" s="141">
        <v>57864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105">-AU126</f>
        <v>0</v>
      </c>
      <c r="AW128" s="57">
        <f t="shared" si="105"/>
        <v>0</v>
      </c>
      <c r="AX128" s="57">
        <f t="shared" si="105"/>
        <v>0</v>
      </c>
      <c r="AY128" s="57">
        <f t="shared" si="105"/>
        <v>0</v>
      </c>
      <c r="AZ128" s="57">
        <f t="shared" si="105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106">-BE126</f>
        <v>0</v>
      </c>
      <c r="BG128" s="57">
        <f t="shared" si="106"/>
        <v>0</v>
      </c>
      <c r="BH128" s="57">
        <f t="shared" si="106"/>
        <v>0</v>
      </c>
      <c r="BI128" s="57">
        <f t="shared" si="106"/>
        <v>0</v>
      </c>
      <c r="BJ128" s="57">
        <f t="shared" si="106"/>
        <v>0</v>
      </c>
      <c r="BK128" s="57">
        <f t="shared" si="106"/>
        <v>0</v>
      </c>
      <c r="BL128" s="57">
        <f t="shared" si="106"/>
        <v>0</v>
      </c>
      <c r="BM128" s="57">
        <f t="shared" si="106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105"/>
        <v>0</v>
      </c>
      <c r="AW129" s="57">
        <f t="shared" si="105"/>
        <v>0</v>
      </c>
      <c r="AX129" s="57">
        <f t="shared" si="105"/>
        <v>0</v>
      </c>
      <c r="AY129" s="57">
        <f t="shared" si="105"/>
        <v>0</v>
      </c>
      <c r="AZ129" s="57">
        <f t="shared" si="105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106"/>
        <v>0</v>
      </c>
      <c r="BG129" s="57">
        <f t="shared" si="106"/>
        <v>0</v>
      </c>
      <c r="BH129" s="57">
        <f t="shared" si="106"/>
        <v>0</v>
      </c>
      <c r="BI129" s="57">
        <f t="shared" si="106"/>
        <v>0</v>
      </c>
      <c r="BJ129" s="57">
        <f t="shared" si="106"/>
        <v>0</v>
      </c>
      <c r="BK129" s="57">
        <f t="shared" si="106"/>
        <v>0</v>
      </c>
      <c r="BL129" s="57">
        <f t="shared" si="106"/>
        <v>0</v>
      </c>
      <c r="BM129" s="57">
        <f t="shared" si="106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107">SUM(AV126:AV129)</f>
        <v>0</v>
      </c>
      <c r="AW130" s="344">
        <f t="shared" si="107"/>
        <v>0</v>
      </c>
      <c r="AX130" s="344">
        <f t="shared" si="107"/>
        <v>0</v>
      </c>
      <c r="AY130" s="344">
        <f t="shared" si="107"/>
        <v>0</v>
      </c>
      <c r="AZ130" s="344">
        <f t="shared" si="107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108">SUM(BF126:BF129)</f>
        <v>0</v>
      </c>
      <c r="BG130" s="344">
        <f t="shared" si="108"/>
        <v>0</v>
      </c>
      <c r="BH130" s="344">
        <f t="shared" si="108"/>
        <v>0</v>
      </c>
      <c r="BI130" s="344">
        <f t="shared" si="108"/>
        <v>0</v>
      </c>
      <c r="BJ130" s="344">
        <f t="shared" si="108"/>
        <v>0</v>
      </c>
      <c r="BK130" s="344">
        <f t="shared" si="108"/>
        <v>0</v>
      </c>
      <c r="BL130" s="344">
        <f t="shared" si="108"/>
        <v>0</v>
      </c>
      <c r="BM130" s="344">
        <f t="shared" si="108"/>
        <v>0</v>
      </c>
      <c r="BN130" s="345"/>
      <c r="BO130" s="272">
        <f t="shared" ref="BO130" si="109">SUM(BO126:BO129)</f>
        <v>309307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10">AU111+AU124</f>
        <v>386511</v>
      </c>
      <c r="AV132" s="66">
        <f t="shared" si="110"/>
        <v>425654</v>
      </c>
      <c r="AW132" s="66">
        <f t="shared" si="110"/>
        <v>464097</v>
      </c>
      <c r="AX132" s="66">
        <f t="shared" si="110"/>
        <v>537815</v>
      </c>
      <c r="AY132" s="66">
        <f t="shared" si="110"/>
        <v>630811</v>
      </c>
      <c r="AZ132" s="66">
        <f t="shared" si="110"/>
        <v>723598</v>
      </c>
      <c r="BA132" s="216">
        <f>SUM(AT132:AZ132)</f>
        <v>3168486</v>
      </c>
      <c r="BB132" s="66">
        <v>819977</v>
      </c>
      <c r="BC132" s="66">
        <v>721717</v>
      </c>
      <c r="BD132" s="66">
        <v>704262</v>
      </c>
      <c r="BE132" s="66">
        <v>687453</v>
      </c>
      <c r="BF132" s="66">
        <f t="shared" ref="BF132:BO132" si="111">BF111+BF124</f>
        <v>559552</v>
      </c>
      <c r="BG132" s="66">
        <f t="shared" si="111"/>
        <v>463290</v>
      </c>
      <c r="BH132" s="66">
        <f t="shared" si="111"/>
        <v>425492</v>
      </c>
      <c r="BI132" s="66">
        <f t="shared" si="111"/>
        <v>444363</v>
      </c>
      <c r="BJ132" s="66">
        <f t="shared" si="111"/>
        <v>495170</v>
      </c>
      <c r="BK132" s="66">
        <f t="shared" si="111"/>
        <v>570653</v>
      </c>
      <c r="BL132" s="66">
        <f t="shared" si="111"/>
        <v>665319</v>
      </c>
      <c r="BM132" s="66">
        <f t="shared" si="111"/>
        <v>734465</v>
      </c>
      <c r="BN132" s="216">
        <f t="shared" si="111"/>
        <v>7302616</v>
      </c>
      <c r="BO132" s="66">
        <f t="shared" si="111"/>
        <v>3489555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54">
    <cfRule type="cellIs" dxfId="29" priority="2" operator="lessThan">
      <formula>0</formula>
    </cfRule>
  </conditionalFormatting>
  <conditionalFormatting sqref="BA33">
    <cfRule type="cellIs" dxfId="28" priority="8" operator="lessThan">
      <formula>0</formula>
    </cfRule>
  </conditionalFormatting>
  <conditionalFormatting sqref="BN11">
    <cfRule type="cellIs" dxfId="27" priority="7" operator="lessThan">
      <formula>0</formula>
    </cfRule>
  </conditionalFormatting>
  <conditionalFormatting sqref="BN58">
    <cfRule type="cellIs" dxfId="26" priority="6" operator="lessThan">
      <formula>0</formula>
    </cfRule>
  </conditionalFormatting>
  <conditionalFormatting sqref="BN78">
    <cfRule type="cellIs" dxfId="25" priority="5" operator="lessThan">
      <formula>0</formula>
    </cfRule>
  </conditionalFormatting>
  <conditionalFormatting sqref="BN19">
    <cfRule type="cellIs" dxfId="24" priority="4" operator="lessThan">
      <formula>0</formula>
    </cfRule>
  </conditionalFormatting>
  <conditionalFormatting sqref="BN40">
    <cfRule type="cellIs" dxfId="23" priority="3" operator="lessThan">
      <formula>0</formula>
    </cfRule>
  </conditionalFormatting>
  <conditionalFormatting sqref="BN62">
    <cfRule type="cellIs" dxfId="22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O133"/>
  <sheetViews>
    <sheetView zoomScale="80" zoomScaleNormal="80" workbookViewId="0">
      <selection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14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9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9.7109375" style="3" bestFit="1" customWidth="1" collapsed="1"/>
    <col min="67" max="67" width="15.85546875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244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2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>
        <v>2022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/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48"/>
      <c r="AP7" s="149"/>
      <c r="AQ7" s="149"/>
      <c r="AR7" s="149"/>
      <c r="AS7" s="149"/>
      <c r="AT7" s="107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>
        <f>IF('kWh_Streetlight Data'!C51=0,"",'kWh_Streetlight Data'!C51)</f>
        <v>3074.0625</v>
      </c>
      <c r="C12" s="108">
        <f>IF('kWh_Streetlight Data'!D51=0,"",'kWh_Streetlight Data'!D51)</f>
        <v>2768.8238636363635</v>
      </c>
      <c r="D12" s="108">
        <f>IF('kWh_Streetlight Data'!E51=0,"",'kWh_Streetlight Data'!E51)</f>
        <v>2012.4261363636363</v>
      </c>
      <c r="E12" s="108">
        <f>IF('kWh_Streetlight Data'!F51=0,"",'kWh_Streetlight Data'!F51)</f>
        <v>2392.8636363636365</v>
      </c>
      <c r="F12" s="108">
        <f>IF('kWh_Streetlight Data'!G51=0,"",'kWh_Streetlight Data'!G51)</f>
        <v>1639.8514285714286</v>
      </c>
      <c r="G12" s="108">
        <f>IF('kWh_Streetlight Data'!H51=0,"",'kWh_Streetlight Data'!H51)</f>
        <v>1361.0617977528091</v>
      </c>
      <c r="H12" s="108">
        <f>IF('kWh_Streetlight Data'!I51=0,"",'kWh_Streetlight Data'!I51)</f>
        <v>832.57386363636363</v>
      </c>
      <c r="I12" s="108">
        <f>IF('kWh_Streetlight Data'!J51=0,"",'kWh_Streetlight Data'!J51)</f>
        <v>1103.6352941176472</v>
      </c>
      <c r="J12" s="108">
        <f>IF('kWh_Streetlight Data'!K51=0,"",'kWh_Streetlight Data'!K51)</f>
        <v>869.44508670520236</v>
      </c>
      <c r="K12" s="108">
        <f>IF('kWh_Streetlight Data'!L51=0,"",'kWh_Streetlight Data'!L51)</f>
        <v>1515.3636363636363</v>
      </c>
      <c r="L12" s="108">
        <f>IF('kWh_Streetlight Data'!M51=0,"",'kWh_Streetlight Data'!M51)</f>
        <v>1640.6720430107528</v>
      </c>
      <c r="M12" s="108">
        <f>IF('kWh_Streetlight Data'!N51=0,"",'kWh_Streetlight Data'!N51)</f>
        <v>2137.2857142857142</v>
      </c>
      <c r="N12" s="424">
        <f>IF('kWh_Streetlight Data'!O51=0,"",'kWh_Streetlight Data'!O51)</f>
        <v>1781.0605773781353</v>
      </c>
      <c r="O12" s="84">
        <f>IF('kWh_Streetlight Data'!P51=0,"",'kWh_Streetlight Data'!P51)</f>
        <v>2731.2457142857143</v>
      </c>
      <c r="P12" s="108">
        <f>IF('kWh_Streetlight Data'!Q51=0,"",'kWh_Streetlight Data'!Q51)</f>
        <v>2749.3407821229052</v>
      </c>
      <c r="Q12" s="108">
        <f>IF('kWh_Streetlight Data'!R51=0,"",'kWh_Streetlight Data'!R51)</f>
        <v>2403.7541899441339</v>
      </c>
      <c r="R12" s="108">
        <f>IF('kWh_Streetlight Data'!S51=0,"",'kWh_Streetlight Data'!S51)</f>
        <v>2016.6666666666667</v>
      </c>
      <c r="S12" s="108">
        <f>IF('kWh_Streetlight Data'!T51=0,"",'kWh_Streetlight Data'!T51)</f>
        <v>1836.0335195530727</v>
      </c>
      <c r="T12" s="108">
        <f>IF('kWh_Streetlight Data'!U51=0,"",'kWh_Streetlight Data'!U51)</f>
        <v>1232.1945945945945</v>
      </c>
      <c r="U12" s="108">
        <f>IF('kWh_Streetlight Data'!V51=0,"",'kWh_Streetlight Data'!V51)</f>
        <v>987.27692307692303</v>
      </c>
      <c r="V12" s="108">
        <f>IF('kWh_Streetlight Data'!W51=0,"",'kWh_Streetlight Data'!W51)</f>
        <v>939.51977401129943</v>
      </c>
      <c r="W12" s="108">
        <f>IF('kWh_Streetlight Data'!X51=0,"",'kWh_Streetlight Data'!X51)</f>
        <v>1000.5955056179776</v>
      </c>
      <c r="X12" s="108">
        <f>IF('kWh_Streetlight Data'!Y51=0,"",'kWh_Streetlight Data'!Y51)</f>
        <v>1141.911111111111</v>
      </c>
      <c r="Y12" s="108">
        <f>IF('kWh_Streetlight Data'!Z51=0,"",'kWh_Streetlight Data'!Z51)</f>
        <v>1889.3257142857142</v>
      </c>
      <c r="Z12" s="108">
        <f>IF('kWh_Streetlight Data'!AA51=0,"",'kWh_Streetlight Data'!AA51)</f>
        <v>2077.1864406779659</v>
      </c>
      <c r="AA12" s="424">
        <f>IF('kWh_Streetlight Data'!AB51=0,"",'kWh_Streetlight Data'!AB51)</f>
        <v>1741.8879110699397</v>
      </c>
      <c r="AB12" s="129">
        <f>IF('kWh_Streetlight Data'!AC51=0,"",'kWh_Streetlight Data'!AC51)</f>
        <v>2961.5706214689267</v>
      </c>
      <c r="AC12" s="130">
        <f>IF('kWh_Streetlight Data'!AD51=0,"",'kWh_Streetlight Data'!AD51)</f>
        <v>3580.6440677966102</v>
      </c>
      <c r="AD12" s="130">
        <f>IF('kWh_Streetlight Data'!AE51=0,"",'kWh_Streetlight Data'!AE51)</f>
        <v>1723.0395480225989</v>
      </c>
      <c r="AE12" s="130">
        <f>IF('kWh_Streetlight Data'!AF51=0,"",'kWh_Streetlight Data'!AF51)</f>
        <v>2710.2146892655369</v>
      </c>
      <c r="AF12" s="130">
        <f>IF('kWh_Streetlight Data'!AG51=0,"",'kWh_Streetlight Data'!AG51)</f>
        <v>1779.1355932203389</v>
      </c>
      <c r="AG12" s="130">
        <f>IF('kWh_Streetlight Data'!AH51=0,"",'kWh_Streetlight Data'!AH51)</f>
        <v>1208.6158192090395</v>
      </c>
      <c r="AH12" s="130">
        <f>IF('kWh_Streetlight Data'!AI51=0,"",'kWh_Streetlight Data'!AI51)</f>
        <v>1148.2768361581921</v>
      </c>
      <c r="AI12" s="130">
        <f>IF('kWh_Streetlight Data'!AJ51=0,"",'kWh_Streetlight Data'!AJ51)</f>
        <v>1134.659090909091</v>
      </c>
      <c r="AJ12" s="130">
        <f>IF('kWh_Streetlight Data'!AK51=0,"",'kWh_Streetlight Data'!AK51)</f>
        <v>1062.4021739130435</v>
      </c>
      <c r="AK12" s="130">
        <f>IF('kWh_Streetlight Data'!AL51=0,"",'kWh_Streetlight Data'!AL51)</f>
        <v>1214.0558659217877</v>
      </c>
      <c r="AL12" s="130">
        <f>IF('kWh_Streetlight Data'!AM51=0,"",'kWh_Streetlight Data'!AM51)</f>
        <v>2152.7765363128492</v>
      </c>
      <c r="AM12" s="130">
        <f>IF('kWh_Streetlight Data'!AN51=0,"",'kWh_Streetlight Data'!AN51)</f>
        <v>2133.5567567567568</v>
      </c>
      <c r="AN12" s="426">
        <f>IF('kWh_Streetlight Data'!AO51=0,"",'kWh_Streetlight Data'!AO51)</f>
        <v>1898.8272642390289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48"/>
      <c r="AP15" s="149"/>
      <c r="AQ15" s="149"/>
      <c r="AR15" s="149"/>
      <c r="AS15" s="149"/>
      <c r="AT15" s="107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25">
        <f>Customers!L232</f>
        <v>211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210"/>
      <c r="BO16" s="143">
        <f>ROUND(BO$19*'kWh Blocks by Rate Category'!W15,0)</f>
        <v>2804037</v>
      </c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210"/>
      <c r="BO17" s="143">
        <f>ROUND(BO$19*'kWh Blocks by Rate Category'!W16,0)</f>
        <v>1494130</v>
      </c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210"/>
      <c r="BO18" s="143">
        <f>ROUND(BO$19*'kWh Blocks by Rate Category'!W17,0)</f>
        <v>284897</v>
      </c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ROUND(BO15*BO20,0)</f>
        <v>4583064</v>
      </c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58">
        <f>'Deer Lake'!BO12</f>
        <v>21720.683417085427</v>
      </c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424"/>
      <c r="O27" s="84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424"/>
      <c r="AB27" s="129"/>
      <c r="AC27" s="130"/>
      <c r="AD27" s="130"/>
      <c r="AE27" s="130"/>
      <c r="AF27" s="130"/>
      <c r="AG27" s="130"/>
      <c r="AH27" s="108"/>
      <c r="AI27" s="108"/>
      <c r="AJ27" s="108"/>
      <c r="AK27" s="108"/>
      <c r="AL27" s="108"/>
      <c r="AM27" s="108"/>
      <c r="AN27" s="426"/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365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>
        <f>IF('kWh_Streetlight Data'!C53=0,"",'kWh_Streetlight Data'!C53)</f>
        <v>4325.8</v>
      </c>
      <c r="C34" s="108">
        <f>IF('kWh_Streetlight Data'!D53=0,"",'kWh_Streetlight Data'!D53)</f>
        <v>4779</v>
      </c>
      <c r="D34" s="108">
        <f>IF('kWh_Streetlight Data'!E53=0,"",'kWh_Streetlight Data'!E53)</f>
        <v>3639.4545454545455</v>
      </c>
      <c r="E34" s="108">
        <f>IF('kWh_Streetlight Data'!F53=0,"",'kWh_Streetlight Data'!F53)</f>
        <v>4495.5</v>
      </c>
      <c r="F34" s="108">
        <f>IF('kWh_Streetlight Data'!G53=0,"",'kWh_Streetlight Data'!G53)</f>
        <v>1740.5454545454545</v>
      </c>
      <c r="G34" s="108">
        <f>IF('kWh_Streetlight Data'!H53=0,"",'kWh_Streetlight Data'!H53)</f>
        <v>1796.6</v>
      </c>
      <c r="H34" s="108">
        <f>IF('kWh_Streetlight Data'!I53=0,"",'kWh_Streetlight Data'!I53)</f>
        <v>1387.7</v>
      </c>
      <c r="I34" s="108">
        <f>IF('kWh_Streetlight Data'!J53=0,"",'kWh_Streetlight Data'!J53)</f>
        <v>1793.2</v>
      </c>
      <c r="J34" s="108">
        <f>IF('kWh_Streetlight Data'!K53=0,"",'kWh_Streetlight Data'!K53)</f>
        <v>1381.7</v>
      </c>
      <c r="K34" s="108">
        <f>IF('kWh_Streetlight Data'!L53=0,"",'kWh_Streetlight Data'!L53)</f>
        <v>1711.2727272727273</v>
      </c>
      <c r="L34" s="108">
        <f>IF('kWh_Streetlight Data'!M53=0,"",'kWh_Streetlight Data'!M53)</f>
        <v>2257.4444444444443</v>
      </c>
      <c r="M34" s="108">
        <f>IF('kWh_Streetlight Data'!N53=0,"",'kWh_Streetlight Data'!N53)</f>
        <v>3558</v>
      </c>
      <c r="N34" s="424">
        <f>IF('kWh_Streetlight Data'!O53=0,"",'kWh_Streetlight Data'!O53)</f>
        <v>2726.7603305785124</v>
      </c>
      <c r="O34" s="84">
        <f>IF('kWh_Streetlight Data'!P53=0,"",'kWh_Streetlight Data'!P53)</f>
        <v>5028.666666666667</v>
      </c>
      <c r="P34" s="108">
        <f>IF('kWh_Streetlight Data'!Q53=0,"",'kWh_Streetlight Data'!Q53)</f>
        <v>4904.2222222222226</v>
      </c>
      <c r="Q34" s="108">
        <f>IF('kWh_Streetlight Data'!R53=0,"",'kWh_Streetlight Data'!R53)</f>
        <v>4838.7777777777774</v>
      </c>
      <c r="R34" s="108">
        <f>IF('kWh_Streetlight Data'!S53=0,"",'kWh_Streetlight Data'!S53)</f>
        <v>4214.666666666667</v>
      </c>
      <c r="S34" s="108">
        <f>IF('kWh_Streetlight Data'!T53=0,"",'kWh_Streetlight Data'!T53)</f>
        <v>4040.1111111111113</v>
      </c>
      <c r="T34" s="108">
        <f>IF('kWh_Streetlight Data'!U53=0,"",'kWh_Streetlight Data'!U53)</f>
        <v>1321.7142857142858</v>
      </c>
      <c r="U34" s="108">
        <f>IF('kWh_Streetlight Data'!V53=0,"",'kWh_Streetlight Data'!V53)</f>
        <v>1505</v>
      </c>
      <c r="V34" s="108">
        <f>IF('kWh_Streetlight Data'!W53=0,"",'kWh_Streetlight Data'!W53)</f>
        <v>1285.8888888888889</v>
      </c>
      <c r="W34" s="108">
        <f>IF('kWh_Streetlight Data'!X53=0,"",'kWh_Streetlight Data'!X53)</f>
        <v>2424.1999999999998</v>
      </c>
      <c r="X34" s="108">
        <f>IF('kWh_Streetlight Data'!Y53=0,"",'kWh_Streetlight Data'!Y53)</f>
        <v>1706.8</v>
      </c>
      <c r="Y34" s="108">
        <f>IF('kWh_Streetlight Data'!Z53=0,"",'kWh_Streetlight Data'!Z53)</f>
        <v>2372.3000000000002</v>
      </c>
      <c r="Z34" s="108">
        <f>IF('kWh_Streetlight Data'!AA53=0,"",'kWh_Streetlight Data'!AA53)</f>
        <v>2842.3</v>
      </c>
      <c r="AA34" s="424">
        <f>IF('kWh_Streetlight Data'!AB53=0,"",'kWh_Streetlight Data'!AB53)</f>
        <v>2930.6864406779659</v>
      </c>
      <c r="AB34" s="129">
        <f>IF('kWh_Streetlight Data'!AC53=0,"",'kWh_Streetlight Data'!AC53)</f>
        <v>5302.8888888888887</v>
      </c>
      <c r="AC34" s="130">
        <f>IF('kWh_Streetlight Data'!AD53=0,"",'kWh_Streetlight Data'!AD53)</f>
        <v>6858.1111111111113</v>
      </c>
      <c r="AD34" s="130">
        <f>IF('kWh_Streetlight Data'!AE53=0,"",'kWh_Streetlight Data'!AE53)</f>
        <v>3321.6666666666665</v>
      </c>
      <c r="AE34" s="130">
        <f>IF('kWh_Streetlight Data'!AF53=0,"",'kWh_Streetlight Data'!AF53)</f>
        <v>3931.3333333333335</v>
      </c>
      <c r="AF34" s="130">
        <f>IF('kWh_Streetlight Data'!AG53=0,"",'kWh_Streetlight Data'!AG53)</f>
        <v>2019.5555555555557</v>
      </c>
      <c r="AG34" s="130">
        <f>IF('kWh_Streetlight Data'!AH53=0,"",'kWh_Streetlight Data'!AH53)</f>
        <v>1479.3333333333333</v>
      </c>
      <c r="AH34" s="130">
        <f>IF('kWh_Streetlight Data'!AI53=0,"",'kWh_Streetlight Data'!AI53)</f>
        <v>1701.2222222222222</v>
      </c>
      <c r="AI34" s="130">
        <f>IF('kWh_Streetlight Data'!AJ53=0,"",'kWh_Streetlight Data'!AJ53)</f>
        <v>1406.2222222222222</v>
      </c>
      <c r="AJ34" s="130">
        <f>IF('kWh_Streetlight Data'!AK53=0,"",'kWh_Streetlight Data'!AK53)</f>
        <v>1265.2222222222222</v>
      </c>
      <c r="AK34" s="130">
        <f>IF('kWh_Streetlight Data'!AL53=0,"",'kWh_Streetlight Data'!AL53)</f>
        <v>1544</v>
      </c>
      <c r="AL34" s="130">
        <f>IF('kWh_Streetlight Data'!AM53=0,"",'kWh_Streetlight Data'!AM53)</f>
        <v>2683.5555555555557</v>
      </c>
      <c r="AM34" s="130">
        <f>IF('kWh_Streetlight Data'!AN53=0,"",'kWh_Streetlight Data'!AN53)</f>
        <v>3147.6666666666665</v>
      </c>
      <c r="AN34" s="426">
        <f>IF('kWh_Streetlight Data'!AO53=0,"",'kWh_Streetlight Data'!AO53)</f>
        <v>2888.3981481481483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48"/>
      <c r="AP36" s="149"/>
      <c r="AQ36" s="149"/>
      <c r="AR36" s="149"/>
      <c r="AS36" s="149"/>
      <c r="AT36" s="107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>
        <f>Customers!L233</f>
        <v>10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210"/>
      <c r="BO37" s="38">
        <f>ROUND(BO$40*'kWh Blocks by Rate Category'!W36,0)</f>
        <v>316563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210"/>
      <c r="BO38" s="38">
        <f>ROUND(BO$40*'kWh Blocks by Rate Category'!W37,0)</f>
        <v>30143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210"/>
      <c r="BO39" s="38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ROUND(BO36*BO41,0)</f>
        <v>346706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58">
        <f>'Deer Lake'!BO34</f>
        <v>34670.6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365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>
        <f>IF('kWh_Streetlight Data'!C54=0,"",'kWh_Streetlight Data'!C54)</f>
        <v>11183.333333333334</v>
      </c>
      <c r="C48" s="130">
        <f>IF('kWh_Streetlight Data'!D54=0,"",'kWh_Streetlight Data'!D54)</f>
        <v>10263.333333333334</v>
      </c>
      <c r="D48" s="130">
        <f>IF('kWh_Streetlight Data'!E54=0,"",'kWh_Streetlight Data'!E54)</f>
        <v>8223.3333333333339</v>
      </c>
      <c r="E48" s="130">
        <f>IF('kWh_Streetlight Data'!F54=0,"",'kWh_Streetlight Data'!F54)</f>
        <v>10966.666666666666</v>
      </c>
      <c r="F48" s="130">
        <f>IF('kWh_Streetlight Data'!G54=0,"",'kWh_Streetlight Data'!G54)</f>
        <v>8650</v>
      </c>
      <c r="G48" s="130">
        <f>IF('kWh_Streetlight Data'!H54=0,"",'kWh_Streetlight Data'!H54)</f>
        <v>9850</v>
      </c>
      <c r="H48" s="130">
        <f>IF('kWh_Streetlight Data'!I54=0,"",'kWh_Streetlight Data'!I54)</f>
        <v>8740</v>
      </c>
      <c r="I48" s="130">
        <f>IF('kWh_Streetlight Data'!J54=0,"",'kWh_Streetlight Data'!J54)</f>
        <v>10546.666666666666</v>
      </c>
      <c r="J48" s="130">
        <f>IF('kWh_Streetlight Data'!K54=0,"",'kWh_Streetlight Data'!K54)</f>
        <v>8726.6666666666661</v>
      </c>
      <c r="K48" s="130">
        <f>IF('kWh_Streetlight Data'!L54=0,"",'kWh_Streetlight Data'!L54)</f>
        <v>9136.6666666666661</v>
      </c>
      <c r="L48" s="130">
        <f>IF('kWh_Streetlight Data'!M54=0,"",'kWh_Streetlight Data'!M54)</f>
        <v>7900</v>
      </c>
      <c r="M48" s="130">
        <f>IF('kWh_Streetlight Data'!N54=0,"",'kWh_Streetlight Data'!N54)</f>
        <v>8180</v>
      </c>
      <c r="N48" s="424">
        <f>IF('kWh_Streetlight Data'!O54=0,"",'kWh_Streetlight Data'!O54)</f>
        <v>9363.8888888888887</v>
      </c>
      <c r="O48" s="129">
        <f>IF('kWh_Streetlight Data'!P54=0,"",'kWh_Streetlight Data'!P54)</f>
        <v>10810</v>
      </c>
      <c r="P48" s="130">
        <f>IF('kWh_Streetlight Data'!Q54=0,"",'kWh_Streetlight Data'!Q54)</f>
        <v>9786.6666666666661</v>
      </c>
      <c r="Q48" s="130">
        <f>IF('kWh_Streetlight Data'!R54=0,"",'kWh_Streetlight Data'!R54)</f>
        <v>9846.6666666666661</v>
      </c>
      <c r="R48" s="130">
        <f>IF('kWh_Streetlight Data'!S54=0,"",'kWh_Streetlight Data'!S54)</f>
        <v>10230</v>
      </c>
      <c r="S48" s="130">
        <f>IF('kWh_Streetlight Data'!T54=0,"",'kWh_Streetlight Data'!T54)</f>
        <v>9590</v>
      </c>
      <c r="T48" s="130">
        <f>IF('kWh_Streetlight Data'!U54=0,"",'kWh_Streetlight Data'!U54)</f>
        <v>9793.3333333333339</v>
      </c>
      <c r="U48" s="130">
        <f>IF('kWh_Streetlight Data'!V54=0,"",'kWh_Streetlight Data'!V54)</f>
        <v>12456.666666666666</v>
      </c>
      <c r="V48" s="130">
        <f>IF('kWh_Streetlight Data'!W54=0,"",'kWh_Streetlight Data'!W54)</f>
        <v>10463.333333333334</v>
      </c>
      <c r="W48" s="130">
        <f>IF('kWh_Streetlight Data'!X54=0,"",'kWh_Streetlight Data'!X54)</f>
        <v>10593.333333333334</v>
      </c>
      <c r="X48" s="130">
        <f>IF('kWh_Streetlight Data'!Y54=0,"",'kWh_Streetlight Data'!Y54)</f>
        <v>10090</v>
      </c>
      <c r="Y48" s="130">
        <f>IF('kWh_Streetlight Data'!Z54=0,"",'kWh_Streetlight Data'!Z54)</f>
        <v>8916.6666666666661</v>
      </c>
      <c r="Z48" s="130">
        <f>IF('kWh_Streetlight Data'!AA54=0,"",'kWh_Streetlight Data'!AA54)</f>
        <v>9713.3333333333339</v>
      </c>
      <c r="AA48" s="424">
        <f>IF('kWh_Streetlight Data'!AB54=0,"",'kWh_Streetlight Data'!AB54)</f>
        <v>10190.833333333334</v>
      </c>
      <c r="AB48" s="129">
        <f>IF('kWh_Streetlight Data'!AC54=0,"",'kWh_Streetlight Data'!AC54)</f>
        <v>11823.333333333334</v>
      </c>
      <c r="AC48" s="130">
        <f>IF('kWh_Streetlight Data'!AD54=0,"",'kWh_Streetlight Data'!AD54)</f>
        <v>14326.666666666666</v>
      </c>
      <c r="AD48" s="130">
        <f>IF('kWh_Streetlight Data'!AE54=0,"",'kWh_Streetlight Data'!AE54)</f>
        <v>7306.666666666667</v>
      </c>
      <c r="AE48" s="130">
        <f>IF('kWh_Streetlight Data'!AF54=0,"",'kWh_Streetlight Data'!AF54)</f>
        <v>12073.333333333334</v>
      </c>
      <c r="AF48" s="130">
        <f>IF('kWh_Streetlight Data'!AG54=0,"",'kWh_Streetlight Data'!AG54)</f>
        <v>8613.3333333333339</v>
      </c>
      <c r="AG48" s="130">
        <f>IF('kWh_Streetlight Data'!AH54=0,"",'kWh_Streetlight Data'!AH54)</f>
        <v>8730</v>
      </c>
      <c r="AH48" s="130">
        <f>IF('kWh_Streetlight Data'!AI54=0,"",'kWh_Streetlight Data'!AI54)</f>
        <v>9700</v>
      </c>
      <c r="AI48" s="130">
        <f>IF('kWh_Streetlight Data'!AJ54=0,"",'kWh_Streetlight Data'!AJ54)</f>
        <v>10550</v>
      </c>
      <c r="AJ48" s="130">
        <f>IF('kWh_Streetlight Data'!AK54=0,"",'kWh_Streetlight Data'!AK54)</f>
        <v>9643.3333333333339</v>
      </c>
      <c r="AK48" s="130">
        <f>IF('kWh_Streetlight Data'!AL54=0,"",'kWh_Streetlight Data'!AL54)</f>
        <v>8236.6666666666661</v>
      </c>
      <c r="AL48" s="130">
        <f>IF('kWh_Streetlight Data'!AM54=0,"",'kWh_Streetlight Data'!AM54)</f>
        <v>9270</v>
      </c>
      <c r="AM48" s="130">
        <f>IF('kWh_Streetlight Data'!AN54=0,"",'kWh_Streetlight Data'!AN54)</f>
        <v>8303.3333333333339</v>
      </c>
      <c r="AN48" s="426">
        <f>IF('kWh_Streetlight Data'!AO54=0,"",'kWh_Streetlight Data'!AO54)</f>
        <v>9881.3888888888887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37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48"/>
      <c r="AP50" s="149"/>
      <c r="AQ50" s="149"/>
      <c r="AR50" s="149"/>
      <c r="AS50" s="149"/>
      <c r="AT50" s="107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210"/>
      <c r="BO50" s="133">
        <f>Customers!L234</f>
        <v>3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143">
        <f t="shared" ref="BO51" si="0">BO54</f>
        <v>353234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143">
        <v>0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156">
        <v>0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ROUND(BO50*BO55,0)</f>
        <v>353234</v>
      </c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58">
        <f>'Deer Lake'!BO48</f>
        <v>117744.66666666666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7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223"/>
      <c r="O58" s="78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223"/>
      <c r="AB58" s="180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361"/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242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16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424"/>
      <c r="O69" s="84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424"/>
      <c r="AB69" s="84"/>
      <c r="AC69" s="108"/>
      <c r="AD69" s="108"/>
      <c r="AE69" s="108"/>
      <c r="AF69" s="108"/>
      <c r="AG69" s="108"/>
      <c r="AH69" s="130"/>
      <c r="AI69" s="130"/>
      <c r="AJ69" s="130"/>
      <c r="AK69" s="130"/>
      <c r="AL69" s="130"/>
      <c r="AM69" s="130"/>
      <c r="AN69" s="424"/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196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>
        <f>IF('kWh_Streetlight Data'!C56=0,"",'kWh_Streetlight Data'!C56)</f>
        <v>1202.090909090909</v>
      </c>
      <c r="C79" s="108">
        <f>IF('kWh_Streetlight Data'!D56=0,"",'kWh_Streetlight Data'!D56)</f>
        <v>1167.2727272727273</v>
      </c>
      <c r="D79" s="108">
        <f>IF('kWh_Streetlight Data'!E56=0,"",'kWh_Streetlight Data'!E56)</f>
        <v>729.90909090909088</v>
      </c>
      <c r="E79" s="108">
        <f>IF('kWh_Streetlight Data'!F56=0,"",'kWh_Streetlight Data'!F56)</f>
        <v>942.72727272727275</v>
      </c>
      <c r="F79" s="108">
        <f>IF('kWh_Streetlight Data'!G56=0,"",'kWh_Streetlight Data'!G56)</f>
        <v>648.09090909090912</v>
      </c>
      <c r="G79" s="108">
        <f>IF('kWh_Streetlight Data'!H56=0,"",'kWh_Streetlight Data'!H56)</f>
        <v>874.5454545454545</v>
      </c>
      <c r="H79" s="108">
        <f>IF('kWh_Streetlight Data'!I56=0,"",'kWh_Streetlight Data'!I56)</f>
        <v>510.09090909090907</v>
      </c>
      <c r="I79" s="108">
        <f>IF('kWh_Streetlight Data'!J56=0,"",'kWh_Streetlight Data'!J56)</f>
        <v>555.9</v>
      </c>
      <c r="J79" s="108">
        <f>IF('kWh_Streetlight Data'!K56=0,"",'kWh_Streetlight Data'!K56)</f>
        <v>541.5454545454545</v>
      </c>
      <c r="K79" s="108">
        <f>IF('kWh_Streetlight Data'!L56=0,"",'kWh_Streetlight Data'!L56)</f>
        <v>835.5454545454545</v>
      </c>
      <c r="L79" s="108">
        <f>IF('kWh_Streetlight Data'!M56=0,"",'kWh_Streetlight Data'!M56)</f>
        <v>923.90909090909088</v>
      </c>
      <c r="M79" s="108">
        <f>IF('kWh_Streetlight Data'!N56=0,"",'kWh_Streetlight Data'!N56)</f>
        <v>1018.6363636363636</v>
      </c>
      <c r="N79" s="424">
        <f>IF('kWh_Streetlight Data'!O56=0,"",'kWh_Streetlight Data'!O56)</f>
        <v>831.27480916030538</v>
      </c>
      <c r="O79" s="84">
        <f>IF('kWh_Streetlight Data'!P56=0,"",'kWh_Streetlight Data'!P56)</f>
        <v>1050.4545454545455</v>
      </c>
      <c r="P79" s="108">
        <f>IF('kWh_Streetlight Data'!Q56=0,"",'kWh_Streetlight Data'!Q56)</f>
        <v>1064.7272727272727</v>
      </c>
      <c r="Q79" s="108">
        <f>IF('kWh_Streetlight Data'!R56=0,"",'kWh_Streetlight Data'!R56)</f>
        <v>1030</v>
      </c>
      <c r="R79" s="108">
        <f>IF('kWh_Streetlight Data'!S56=0,"",'kWh_Streetlight Data'!S56)</f>
        <v>920</v>
      </c>
      <c r="S79" s="108">
        <f>IF('kWh_Streetlight Data'!T56=0,"",'kWh_Streetlight Data'!T56)</f>
        <v>920.63636363636363</v>
      </c>
      <c r="T79" s="108">
        <f>IF('kWh_Streetlight Data'!U56=0,"",'kWh_Streetlight Data'!U56)</f>
        <v>607.61538461538464</v>
      </c>
      <c r="U79" s="108">
        <f>IF('kWh_Streetlight Data'!V56=0,"",'kWh_Streetlight Data'!V56)</f>
        <v>582.53846153846155</v>
      </c>
      <c r="V79" s="108">
        <f>IF('kWh_Streetlight Data'!W56=0,"",'kWh_Streetlight Data'!W56)</f>
        <v>415.07692307692309</v>
      </c>
      <c r="W79" s="108">
        <f>IF('kWh_Streetlight Data'!X56=0,"",'kWh_Streetlight Data'!X56)</f>
        <v>576.23076923076928</v>
      </c>
      <c r="X79" s="108">
        <f>IF('kWh_Streetlight Data'!Y56=0,"",'kWh_Streetlight Data'!Y56)</f>
        <v>584.25</v>
      </c>
      <c r="Y79" s="108">
        <f>IF('kWh_Streetlight Data'!Z56=0,"",'kWh_Streetlight Data'!Z56)</f>
        <v>833.69230769230774</v>
      </c>
      <c r="Z79" s="108">
        <f>IF('kWh_Streetlight Data'!AA56=0,"",'kWh_Streetlight Data'!AA56)</f>
        <v>1151.7692307692307</v>
      </c>
      <c r="AA79" s="424">
        <f>IF('kWh_Streetlight Data'!AB56=0,"",'kWh_Streetlight Data'!AB56)</f>
        <v>800.17241379310349</v>
      </c>
      <c r="AB79" s="129">
        <f>IF('kWh_Streetlight Data'!AC56=0,"",'kWh_Streetlight Data'!AC56)</f>
        <v>1521.7692307692307</v>
      </c>
      <c r="AC79" s="130">
        <f>IF('kWh_Streetlight Data'!AD56=0,"",'kWh_Streetlight Data'!AD56)</f>
        <v>1982.7692307692307</v>
      </c>
      <c r="AD79" s="130">
        <f>IF('kWh_Streetlight Data'!AE56=0,"",'kWh_Streetlight Data'!AE56)</f>
        <v>968.30769230769226</v>
      </c>
      <c r="AE79" s="130">
        <f>IF('kWh_Streetlight Data'!AF56=0,"",'kWh_Streetlight Data'!AF56)</f>
        <v>1556.8461538461538</v>
      </c>
      <c r="AF79" s="130">
        <f>IF('kWh_Streetlight Data'!AG56=0,"",'kWh_Streetlight Data'!AG56)</f>
        <v>1055.9230769230769</v>
      </c>
      <c r="AG79" s="130">
        <f>IF('kWh_Streetlight Data'!AH56=0,"",'kWh_Streetlight Data'!AH56)</f>
        <v>763.69230769230774</v>
      </c>
      <c r="AH79" s="130">
        <f>IF('kWh_Streetlight Data'!AI56=0,"",'kWh_Streetlight Data'!AI56)</f>
        <v>655.30769230769226</v>
      </c>
      <c r="AI79" s="130">
        <f>IF('kWh_Streetlight Data'!AJ56=0,"",'kWh_Streetlight Data'!AJ56)</f>
        <v>792.15384615384619</v>
      </c>
      <c r="AJ79" s="130">
        <f>IF('kWh_Streetlight Data'!AK56=0,"",'kWh_Streetlight Data'!AK56)</f>
        <v>823.76923076923072</v>
      </c>
      <c r="AK79" s="130">
        <f>IF('kWh_Streetlight Data'!AL56=0,"",'kWh_Streetlight Data'!AL56)</f>
        <v>812.84615384615381</v>
      </c>
      <c r="AL79" s="130">
        <f>IF('kWh_Streetlight Data'!AM56=0,"",'kWh_Streetlight Data'!AM56)</f>
        <v>1396.8461538461538</v>
      </c>
      <c r="AM79" s="130">
        <f>IF('kWh_Streetlight Data'!AN56=0,"",'kWh_Streetlight Data'!AN56)</f>
        <v>1352.3846153846155</v>
      </c>
      <c r="AN79" s="424">
        <f>IF('kWh_Streetlight Data'!AO56=0,"",'kWh_Streetlight Data'!AO56)</f>
        <v>1140.2179487179487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Data'!C57=0,"",'kWh_Streetlight Data'!C57)</f>
        <v/>
      </c>
      <c r="C83" s="108" t="str">
        <f>IF('kWh_Streetlight Data'!D57=0,"",'kWh_Streetlight Data'!D57)</f>
        <v/>
      </c>
      <c r="D83" s="108" t="str">
        <f>IF('kWh_Streetlight Data'!E57=0,"",'kWh_Streetlight Data'!E57)</f>
        <v/>
      </c>
      <c r="E83" s="108" t="str">
        <f>IF('kWh_Streetlight Data'!F57=0,"",'kWh_Streetlight Data'!F57)</f>
        <v/>
      </c>
      <c r="F83" s="108" t="str">
        <f>IF('kWh_Streetlight Data'!G57=0,"",'kWh_Streetlight Data'!G57)</f>
        <v/>
      </c>
      <c r="G83" s="108" t="str">
        <f>IF('kWh_Streetlight Data'!H57=0,"",'kWh_Streetlight Data'!H57)</f>
        <v/>
      </c>
      <c r="H83" s="108" t="str">
        <f>IF('kWh_Streetlight Data'!I57=0,"",'kWh_Streetlight Data'!I57)</f>
        <v/>
      </c>
      <c r="I83" s="108" t="str">
        <f>IF('kWh_Streetlight Data'!J57=0,"",'kWh_Streetlight Data'!J57)</f>
        <v/>
      </c>
      <c r="J83" s="108" t="str">
        <f>IF('kWh_Streetlight Data'!K57=0,"",'kWh_Streetlight Data'!K57)</f>
        <v/>
      </c>
      <c r="K83" s="108" t="str">
        <f>IF('kWh_Streetlight Data'!L57=0,"",'kWh_Streetlight Data'!L57)</f>
        <v/>
      </c>
      <c r="L83" s="108" t="str">
        <f>IF('kWh_Streetlight Data'!M57=0,"",'kWh_Streetlight Data'!M57)</f>
        <v/>
      </c>
      <c r="M83" s="108" t="str">
        <f>IF('kWh_Streetlight Data'!N57=0,"",'kWh_Streetlight Data'!N57)</f>
        <v/>
      </c>
      <c r="N83" s="424" t="str">
        <f>IF('kWh_Streetlight Data'!O57=0,"",'kWh_Streetlight Data'!O57)</f>
        <v/>
      </c>
      <c r="O83" s="84" t="str">
        <f>IF('kWh_Streetlight Data'!P57=0,"",'kWh_Streetlight Data'!P57)</f>
        <v/>
      </c>
      <c r="P83" s="108" t="str">
        <f>IF('kWh_Streetlight Data'!Q57=0,"",'kWh_Streetlight Data'!Q57)</f>
        <v/>
      </c>
      <c r="Q83" s="108" t="str">
        <f>IF('kWh_Streetlight Data'!R57=0,"",'kWh_Streetlight Data'!R57)</f>
        <v/>
      </c>
      <c r="R83" s="108" t="str">
        <f>IF('kWh_Streetlight Data'!S57=0,"",'kWh_Streetlight Data'!S57)</f>
        <v/>
      </c>
      <c r="S83" s="108" t="str">
        <f>IF('kWh_Streetlight Data'!T57=0,"",'kWh_Streetlight Data'!T57)</f>
        <v/>
      </c>
      <c r="T83" s="108" t="str">
        <f>IF('kWh_Streetlight Data'!U57=0,"",'kWh_Streetlight Data'!U57)</f>
        <v/>
      </c>
      <c r="U83" s="108" t="str">
        <f>IF('kWh_Streetlight Data'!V57=0,"",'kWh_Streetlight Data'!V57)</f>
        <v/>
      </c>
      <c r="V83" s="108" t="str">
        <f>IF('kWh_Streetlight Data'!W57=0,"",'kWh_Streetlight Data'!W57)</f>
        <v/>
      </c>
      <c r="W83" s="108" t="str">
        <f>IF('kWh_Streetlight Data'!X57=0,"",'kWh_Streetlight Data'!X57)</f>
        <v/>
      </c>
      <c r="X83" s="108" t="str">
        <f>IF('kWh_Streetlight Data'!Y57=0,"",'kWh_Streetlight Data'!Y57)</f>
        <v/>
      </c>
      <c r="Y83" s="108" t="str">
        <f>IF('kWh_Streetlight Data'!Z57=0,"",'kWh_Streetlight Data'!Z57)</f>
        <v/>
      </c>
      <c r="Z83" s="108" t="str">
        <f>IF('kWh_Streetlight Data'!AA57=0,"",'kWh_Streetlight Data'!AA57)</f>
        <v/>
      </c>
      <c r="AA83" s="424" t="str">
        <f>IF('kWh_Streetlight Data'!AB57=0,"",'kWh_Streetlight Data'!AB57)</f>
        <v/>
      </c>
      <c r="AB83" s="442" t="str">
        <f>IF('kWh_Streetlight Data'!AC57=0,"",'kWh_Streetlight Data'!AC57)</f>
        <v/>
      </c>
      <c r="AC83" s="443" t="str">
        <f>IF('kWh_Streetlight Data'!AD57=0,"",'kWh_Streetlight Data'!AD57)</f>
        <v/>
      </c>
      <c r="AD83" s="443" t="str">
        <f>IF('kWh_Streetlight Data'!AE57=0,"",'kWh_Streetlight Data'!AE57)</f>
        <v/>
      </c>
      <c r="AE83" s="443" t="str">
        <f>IF('kWh_Streetlight Data'!AF57=0,"",'kWh_Streetlight Data'!AF57)</f>
        <v/>
      </c>
      <c r="AF83" s="443" t="str">
        <f>IF('kWh_Streetlight Data'!AG57=0,"",'kWh_Streetlight Data'!AG57)</f>
        <v/>
      </c>
      <c r="AG83" s="443" t="str">
        <f>IF('kWh_Streetlight Data'!AH57=0,"",'kWh_Streetlight Data'!AH57)</f>
        <v/>
      </c>
      <c r="AH83" s="108" t="str">
        <f>IF('kWh_Streetlight Data'!AI57=0,"",'kWh_Streetlight Data'!AI57)</f>
        <v/>
      </c>
      <c r="AI83" s="108" t="str">
        <f>IF('kWh_Streetlight Data'!AJ57=0,"",'kWh_Streetlight Data'!AJ57)</f>
        <v/>
      </c>
      <c r="AJ83" s="108" t="str">
        <f>IF('kWh_Streetlight Data'!AK57=0,"",'kWh_Streetlight Data'!AK57)</f>
        <v/>
      </c>
      <c r="AK83" s="108" t="str">
        <f>IF('kWh_Streetlight Data'!AL57=0,"",'kWh_Streetlight Data'!AL57)</f>
        <v/>
      </c>
      <c r="AL83" s="108" t="str">
        <f>IF('kWh_Streetlight Data'!AM57=0,"",'kWh_Streetlight Data'!AM57)</f>
        <v/>
      </c>
      <c r="AM83" s="108" t="str">
        <f>IF('kWh_Streetlight Data'!AN57=0,"",'kWh_Streetlight Data'!AN57)</f>
        <v/>
      </c>
      <c r="AN83" s="424" t="str">
        <f>IF('kWh_Streetlight Data'!AO57=0,"",'kWh_Streetlight Data'!AO57)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Data'!C58=0,"",'kWh_Streetlight Data'!C58)</f>
        <v>6574.1</v>
      </c>
      <c r="C88" s="108">
        <f>IF('kWh_Streetlight Data'!D58=0,"",'kWh_Streetlight Data'!D58)</f>
        <v>6004.05</v>
      </c>
      <c r="D88" s="108">
        <f>IF('kWh_Streetlight Data'!E58=0,"",'kWh_Streetlight Data'!E58)</f>
        <v>4741.95</v>
      </c>
      <c r="E88" s="108">
        <f>IF('kWh_Streetlight Data'!F58=0,"",'kWh_Streetlight Data'!F58)</f>
        <v>5199.2</v>
      </c>
      <c r="F88" s="108">
        <f>IF('kWh_Streetlight Data'!G58=0,"",'kWh_Streetlight Data'!G58)</f>
        <v>3956.8</v>
      </c>
      <c r="G88" s="108">
        <f>IF('kWh_Streetlight Data'!H58=0,"",'kWh_Streetlight Data'!H58)</f>
        <v>4344.1000000000004</v>
      </c>
      <c r="H88" s="108">
        <f>IF('kWh_Streetlight Data'!I58=0,"",'kWh_Streetlight Data'!I58)</f>
        <v>2530.4</v>
      </c>
      <c r="I88" s="108">
        <f>IF('kWh_Streetlight Data'!J58=0,"",'kWh_Streetlight Data'!J58)</f>
        <v>2875.3333333333335</v>
      </c>
      <c r="J88" s="108">
        <f>IF('kWh_Streetlight Data'!K58=0,"",'kWh_Streetlight Data'!K58)</f>
        <v>2486.7619047619046</v>
      </c>
      <c r="K88" s="108">
        <f>IF('kWh_Streetlight Data'!L58=0,"",'kWh_Streetlight Data'!L58)</f>
        <v>3900.8571428571427</v>
      </c>
      <c r="L88" s="108">
        <f>IF('kWh_Streetlight Data'!M58=0,"",'kWh_Streetlight Data'!M58)</f>
        <v>4111.7142857142853</v>
      </c>
      <c r="M88" s="108">
        <f>IF('kWh_Streetlight Data'!N58=0,"",'kWh_Streetlight Data'!N58)</f>
        <v>5175.045454545455</v>
      </c>
      <c r="N88" s="424">
        <f>IF('kWh_Streetlight Data'!O58=0,"",'kWh_Streetlight Data'!O58)</f>
        <v>4315.9796747967475</v>
      </c>
      <c r="O88" s="84">
        <f>IF('kWh_Streetlight Data'!P58=0,"",'kWh_Streetlight Data'!P58)</f>
        <v>6502.3809523809523</v>
      </c>
      <c r="P88" s="108">
        <f>IF('kWh_Streetlight Data'!Q58=0,"",'kWh_Streetlight Data'!Q58)</f>
        <v>5450.363636363636</v>
      </c>
      <c r="Q88" s="108">
        <f>IF('kWh_Streetlight Data'!R58=0,"",'kWh_Streetlight Data'!R58)</f>
        <v>5943</v>
      </c>
      <c r="R88" s="108">
        <f>IF('kWh_Streetlight Data'!S58=0,"",'kWh_Streetlight Data'!S58)</f>
        <v>4733.4761904761908</v>
      </c>
      <c r="S88" s="108">
        <f>IF('kWh_Streetlight Data'!T58=0,"",'kWh_Streetlight Data'!T58)</f>
        <v>4551.9047619047615</v>
      </c>
      <c r="T88" s="108">
        <f>IF('kWh_Streetlight Data'!U58=0,"",'kWh_Streetlight Data'!U58)</f>
        <v>3058.5238095238096</v>
      </c>
      <c r="U88" s="108">
        <f>IF('kWh_Streetlight Data'!V58=0,"",'kWh_Streetlight Data'!V58)</f>
        <v>3196.35</v>
      </c>
      <c r="V88" s="108">
        <f>IF('kWh_Streetlight Data'!W58=0,"",'kWh_Streetlight Data'!W58)</f>
        <v>3027.6</v>
      </c>
      <c r="W88" s="108">
        <f>IF('kWh_Streetlight Data'!X58=0,"",'kWh_Streetlight Data'!X58)</f>
        <v>2754.3809523809523</v>
      </c>
      <c r="X88" s="108">
        <f>IF('kWh_Streetlight Data'!Y58=0,"",'kWh_Streetlight Data'!Y58)</f>
        <v>3151.4761904761904</v>
      </c>
      <c r="Y88" s="108">
        <f>IF('kWh_Streetlight Data'!Z58=0,"",'kWh_Streetlight Data'!Z58)</f>
        <v>4972.6190476190477</v>
      </c>
      <c r="Z88" s="108">
        <f>IF('kWh_Streetlight Data'!AA58=0,"",'kWh_Streetlight Data'!AA58)</f>
        <v>5743</v>
      </c>
      <c r="AA88" s="426">
        <f>IF('kWh_Streetlight Data'!AB58=0,"",'kWh_Streetlight Data'!AB58)</f>
        <v>4438.2988047808767</v>
      </c>
      <c r="AB88" s="442">
        <f>IF('kWh_Streetlight Data'!AC58=0,"",'kWh_Streetlight Data'!AC58)</f>
        <v>6366.2380952380954</v>
      </c>
      <c r="AC88" s="443">
        <f>IF('kWh_Streetlight Data'!AD58=0,"",'kWh_Streetlight Data'!AD58)</f>
        <v>8256.3333333333339</v>
      </c>
      <c r="AD88" s="443">
        <f>IF('kWh_Streetlight Data'!AE58=0,"",'kWh_Streetlight Data'!AE58)</f>
        <v>3910.3333333333335</v>
      </c>
      <c r="AE88" s="443">
        <f>IF('kWh_Streetlight Data'!AF58=0,"",'kWh_Streetlight Data'!AF58)</f>
        <v>6320.666666666667</v>
      </c>
      <c r="AF88" s="443">
        <f>IF('kWh_Streetlight Data'!AG58=0,"",'kWh_Streetlight Data'!AG58)</f>
        <v>4219.9047619047615</v>
      </c>
      <c r="AG88" s="443">
        <f>IF('kWh_Streetlight Data'!AH58=0,"",'kWh_Streetlight Data'!AH58)</f>
        <v>3315.1428571428573</v>
      </c>
      <c r="AH88" s="443">
        <f>IF('kWh_Streetlight Data'!AI58=0,"",'kWh_Streetlight Data'!AI58)</f>
        <v>3144.3333333333335</v>
      </c>
      <c r="AI88" s="443">
        <f>IF('kWh_Streetlight Data'!AJ58=0,"",'kWh_Streetlight Data'!AJ58)</f>
        <v>2757.9047619047619</v>
      </c>
      <c r="AJ88" s="443">
        <f>IF('kWh_Streetlight Data'!AK58=0,"",'kWh_Streetlight Data'!AK58)</f>
        <v>2717.0952380952381</v>
      </c>
      <c r="AK88" s="443">
        <f>IF('kWh_Streetlight Data'!AL58=0,"",'kWh_Streetlight Data'!AL58)</f>
        <v>2742.0476190476193</v>
      </c>
      <c r="AL88" s="443">
        <f>IF('kWh_Streetlight Data'!AM58=0,"",'kWh_Streetlight Data'!AM58)</f>
        <v>5348.4761904761908</v>
      </c>
      <c r="AM88" s="443">
        <f>IF('kWh_Streetlight Data'!AN58=0,"",'kWh_Streetlight Data'!AN58)</f>
        <v>5103.9523809523807</v>
      </c>
      <c r="AN88" s="424">
        <f>IF('kWh_Streetlight Data'!AO58=0,"",'kWh_Streetlight Data'!AO58)</f>
        <v>4516.8690476190477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210"/>
      <c r="BO92" s="133">
        <f>Customers!L235</f>
        <v>36</v>
      </c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196">
        <f>SUM(BB93:BM93)</f>
        <v>0</v>
      </c>
      <c r="BO93" s="88">
        <f>IFERROR(ROUND(BO94*BO92,0),0)</f>
        <v>1281165</v>
      </c>
    </row>
    <row r="94" spans="1:67" ht="15.75" customHeight="1" thickTop="1">
      <c r="A94" s="374" t="s">
        <v>54</v>
      </c>
      <c r="B94" s="84"/>
      <c r="C94" s="108"/>
      <c r="D94" s="108"/>
      <c r="E94" s="108"/>
      <c r="F94" s="108"/>
      <c r="G94" s="108"/>
      <c r="H94" s="108"/>
      <c r="I94" s="108"/>
      <c r="J94" s="108"/>
      <c r="K94" s="108"/>
      <c r="L94" s="130"/>
      <c r="M94" s="130"/>
      <c r="N94" s="425"/>
      <c r="O94" s="84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426"/>
      <c r="AB94" s="84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424"/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211"/>
      <c r="BO94" s="110">
        <f>('Deer Lake'!BO87+'Deer Lake'!BO78)/('Deer Lake'!BO86+'Deer Lake'!BO75)</f>
        <v>35587.916666666664</v>
      </c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>
        <f>BO7+BO22+BO29+BO43</f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>
        <f>BO57</f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>
        <f t="shared" ref="BO101" si="1">SUM(BO98:BO100)</f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266">
        <f>BO15+BO36+BO50</f>
        <v>224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>
        <f>BO92</f>
        <v>36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>
        <f t="shared" ref="BO105" si="2">SUM(BO102:BO104)</f>
        <v>260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>
        <f t="shared" ref="BO106" si="3">BO105+BO101</f>
        <v>260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>
        <f>BO11+BO26+BO33+BO47</f>
        <v>0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>
        <f>BO58</f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>
        <f>BO68+BO78+BO82+BO87</f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>
        <f t="shared" ref="BO111" si="4">SUM(BO108:BO110)</f>
        <v>0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>
        <f>BO19+BO40+BO54</f>
        <v>5283004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>
        <f>BO93</f>
        <v>1281165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>
        <f t="shared" ref="BO115" si="5">SUM(BO112:BO114)</f>
        <v>6564169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>
        <f t="shared" ref="BO116" si="6">BO115+BO111</f>
        <v>6564169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18</v>
      </c>
      <c r="AV119" s="280">
        <f>AU119</f>
        <v>18</v>
      </c>
      <c r="AW119" s="280">
        <f>AV119</f>
        <v>18</v>
      </c>
      <c r="AX119" s="280">
        <f t="shared" ref="AX119:AZ119" si="7">AW119</f>
        <v>18</v>
      </c>
      <c r="AY119" s="280">
        <f t="shared" si="7"/>
        <v>18</v>
      </c>
      <c r="AZ119" s="280">
        <f t="shared" si="7"/>
        <v>18</v>
      </c>
      <c r="BA119" s="259"/>
      <c r="BB119" s="280">
        <v>18</v>
      </c>
      <c r="BC119" s="280">
        <v>18</v>
      </c>
      <c r="BD119" s="280">
        <v>18</v>
      </c>
      <c r="BE119" s="280">
        <v>18</v>
      </c>
      <c r="BF119" s="280">
        <f t="shared" ref="BF119:BM119" si="8">BE119</f>
        <v>18</v>
      </c>
      <c r="BG119" s="280">
        <f t="shared" si="8"/>
        <v>18</v>
      </c>
      <c r="BH119" s="280">
        <f t="shared" si="8"/>
        <v>18</v>
      </c>
      <c r="BI119" s="280">
        <f t="shared" si="8"/>
        <v>18</v>
      </c>
      <c r="BJ119" s="280">
        <f t="shared" si="8"/>
        <v>18</v>
      </c>
      <c r="BK119" s="280">
        <f t="shared" si="8"/>
        <v>18</v>
      </c>
      <c r="BL119" s="280">
        <f t="shared" si="8"/>
        <v>18</v>
      </c>
      <c r="BM119" s="280">
        <f t="shared" si="8"/>
        <v>18</v>
      </c>
      <c r="BN119" s="259"/>
      <c r="BO119" s="343">
        <f>BM119</f>
        <v>18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0</v>
      </c>
      <c r="AU120" s="107">
        <f>ROUND(AV108/30*AU119,0)</f>
        <v>0</v>
      </c>
      <c r="AV120" s="39">
        <f>ROUND(AW108/30*AV119,0)</f>
        <v>0</v>
      </c>
      <c r="AW120" s="39">
        <f>ROUND(AX108/30*AW119,0)</f>
        <v>0</v>
      </c>
      <c r="AX120" s="39">
        <f>ROUND(AY108/30*AX119,0)</f>
        <v>0</v>
      </c>
      <c r="AY120" s="39">
        <f>ROUND(AZ108/30*AY119,0)</f>
        <v>0</v>
      </c>
      <c r="AZ120" s="39">
        <f>ROUND(BB108/30*AZ119,0)</f>
        <v>0</v>
      </c>
      <c r="BA120" s="215"/>
      <c r="BB120" s="57">
        <v>0</v>
      </c>
      <c r="BC120" s="57">
        <v>0</v>
      </c>
      <c r="BD120" s="57">
        <v>0</v>
      </c>
      <c r="BE120" s="57">
        <v>0</v>
      </c>
      <c r="BF120" s="57">
        <f t="shared" ref="BF120:BL120" si="9">BG108/30*BF119</f>
        <v>0</v>
      </c>
      <c r="BG120" s="57">
        <f t="shared" si="9"/>
        <v>0</v>
      </c>
      <c r="BH120" s="57">
        <f t="shared" si="9"/>
        <v>0</v>
      </c>
      <c r="BI120" s="57">
        <f t="shared" si="9"/>
        <v>0</v>
      </c>
      <c r="BJ120" s="57">
        <f t="shared" si="9"/>
        <v>0</v>
      </c>
      <c r="BK120" s="57">
        <f t="shared" si="9"/>
        <v>0</v>
      </c>
      <c r="BL120" s="57">
        <f t="shared" si="9"/>
        <v>0</v>
      </c>
      <c r="BM120" s="57">
        <f>ROUND(BO108*0.11/30*BM119,0)</f>
        <v>0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10">ROUND(BG110/30*BF119,0)</f>
        <v>0</v>
      </c>
      <c r="BG121" s="57">
        <f t="shared" si="10"/>
        <v>0</v>
      </c>
      <c r="BH121" s="57">
        <f t="shared" si="10"/>
        <v>0</v>
      </c>
      <c r="BI121" s="57">
        <f t="shared" si="10"/>
        <v>0</v>
      </c>
      <c r="BJ121" s="57">
        <f t="shared" si="10"/>
        <v>0</v>
      </c>
      <c r="BK121" s="57">
        <f t="shared" si="10"/>
        <v>0</v>
      </c>
      <c r="BL121" s="57">
        <f t="shared" si="10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>
        <v>0</v>
      </c>
      <c r="AU122" s="57">
        <f>-AT120</f>
        <v>0</v>
      </c>
      <c r="AV122" s="57">
        <f t="shared" ref="AV122:AZ123" si="11">-AU120</f>
        <v>0</v>
      </c>
      <c r="AW122" s="57">
        <f t="shared" si="11"/>
        <v>0</v>
      </c>
      <c r="AX122" s="57">
        <f t="shared" si="11"/>
        <v>0</v>
      </c>
      <c r="AY122" s="57">
        <f t="shared" si="11"/>
        <v>0</v>
      </c>
      <c r="AZ122" s="57">
        <f t="shared" si="11"/>
        <v>0</v>
      </c>
      <c r="BA122" s="215"/>
      <c r="BB122" s="57">
        <v>0</v>
      </c>
      <c r="BC122" s="57">
        <v>0</v>
      </c>
      <c r="BD122" s="57">
        <v>0</v>
      </c>
      <c r="BE122" s="57">
        <v>0</v>
      </c>
      <c r="BF122" s="57">
        <f t="shared" ref="BF122:BM123" si="12">-BE120</f>
        <v>0</v>
      </c>
      <c r="BG122" s="57">
        <f t="shared" si="12"/>
        <v>0</v>
      </c>
      <c r="BH122" s="57">
        <f t="shared" si="12"/>
        <v>0</v>
      </c>
      <c r="BI122" s="57">
        <f t="shared" si="12"/>
        <v>0</v>
      </c>
      <c r="BJ122" s="57">
        <f t="shared" si="12"/>
        <v>0</v>
      </c>
      <c r="BK122" s="57">
        <f t="shared" si="12"/>
        <v>0</v>
      </c>
      <c r="BL122" s="57">
        <f t="shared" si="12"/>
        <v>0</v>
      </c>
      <c r="BM122" s="57">
        <f t="shared" si="12"/>
        <v>0</v>
      </c>
      <c r="BN122" s="215"/>
      <c r="BO122" s="141">
        <f>-BM120</f>
        <v>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11"/>
        <v>0</v>
      </c>
      <c r="AW123" s="57">
        <f t="shared" si="11"/>
        <v>0</v>
      </c>
      <c r="AX123" s="57">
        <f t="shared" si="11"/>
        <v>0</v>
      </c>
      <c r="AY123" s="57">
        <f t="shared" si="11"/>
        <v>0</v>
      </c>
      <c r="AZ123" s="57">
        <f t="shared" si="11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12"/>
        <v>0</v>
      </c>
      <c r="BG123" s="57">
        <f t="shared" si="12"/>
        <v>0</v>
      </c>
      <c r="BH123" s="57">
        <f t="shared" si="12"/>
        <v>0</v>
      </c>
      <c r="BI123" s="57">
        <f t="shared" si="12"/>
        <v>0</v>
      </c>
      <c r="BJ123" s="57">
        <f t="shared" si="12"/>
        <v>0</v>
      </c>
      <c r="BK123" s="57">
        <f t="shared" si="12"/>
        <v>0</v>
      </c>
      <c r="BL123" s="57">
        <f t="shared" si="12"/>
        <v>0</v>
      </c>
      <c r="BM123" s="57">
        <f t="shared" si="12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0</v>
      </c>
      <c r="AV124" s="344">
        <f t="shared" ref="AV124:AZ124" si="13">SUM(AV120:AV123)</f>
        <v>0</v>
      </c>
      <c r="AW124" s="344">
        <f t="shared" si="13"/>
        <v>0</v>
      </c>
      <c r="AX124" s="344">
        <f t="shared" si="13"/>
        <v>0</v>
      </c>
      <c r="AY124" s="344">
        <f t="shared" si="13"/>
        <v>0</v>
      </c>
      <c r="AZ124" s="344">
        <f t="shared" si="13"/>
        <v>0</v>
      </c>
      <c r="BA124" s="345"/>
      <c r="BB124" s="344">
        <v>0</v>
      </c>
      <c r="BC124" s="344">
        <v>0</v>
      </c>
      <c r="BD124" s="344">
        <v>0</v>
      </c>
      <c r="BE124" s="344">
        <v>0</v>
      </c>
      <c r="BF124" s="344">
        <f t="shared" ref="BF124:BO124" si="14">SUM(BF120:BF123)</f>
        <v>0</v>
      </c>
      <c r="BG124" s="344">
        <f t="shared" si="14"/>
        <v>0</v>
      </c>
      <c r="BH124" s="344">
        <f t="shared" si="14"/>
        <v>0</v>
      </c>
      <c r="BI124" s="344">
        <f t="shared" si="14"/>
        <v>0</v>
      </c>
      <c r="BJ124" s="344">
        <f t="shared" si="14"/>
        <v>0</v>
      </c>
      <c r="BK124" s="344">
        <f t="shared" si="14"/>
        <v>0</v>
      </c>
      <c r="BL124" s="344">
        <f t="shared" si="14"/>
        <v>0</v>
      </c>
      <c r="BM124" s="344">
        <f t="shared" si="14"/>
        <v>0</v>
      </c>
      <c r="BN124" s="345"/>
      <c r="BO124" s="272">
        <f t="shared" si="14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18</v>
      </c>
      <c r="AV125" s="344">
        <f>AU125</f>
        <v>18</v>
      </c>
      <c r="AW125" s="344">
        <f>AV125</f>
        <v>18</v>
      </c>
      <c r="AX125" s="344">
        <f t="shared" ref="AX125:AZ125" si="15">AW125</f>
        <v>18</v>
      </c>
      <c r="AY125" s="344">
        <f t="shared" si="15"/>
        <v>18</v>
      </c>
      <c r="AZ125" s="344">
        <f t="shared" si="15"/>
        <v>18</v>
      </c>
      <c r="BA125" s="345"/>
      <c r="BB125" s="344">
        <v>18</v>
      </c>
      <c r="BC125" s="344">
        <v>18</v>
      </c>
      <c r="BD125" s="344">
        <v>18</v>
      </c>
      <c r="BE125" s="344">
        <v>18</v>
      </c>
      <c r="BF125" s="344">
        <f t="shared" ref="BF125:BM125" si="16">BE125</f>
        <v>18</v>
      </c>
      <c r="BG125" s="344">
        <f t="shared" si="16"/>
        <v>18</v>
      </c>
      <c r="BH125" s="344">
        <f t="shared" si="16"/>
        <v>18</v>
      </c>
      <c r="BI125" s="344">
        <f t="shared" si="16"/>
        <v>18</v>
      </c>
      <c r="BJ125" s="344">
        <f t="shared" si="16"/>
        <v>18</v>
      </c>
      <c r="BK125" s="344">
        <f t="shared" si="16"/>
        <v>18</v>
      </c>
      <c r="BL125" s="344">
        <f t="shared" si="16"/>
        <v>18</v>
      </c>
      <c r="BM125" s="344">
        <f t="shared" si="16"/>
        <v>18</v>
      </c>
      <c r="BN125" s="345"/>
      <c r="BO125" s="272">
        <f>BM125</f>
        <v>18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7">ROUND(AV112/30*AU125,0)</f>
        <v>0</v>
      </c>
      <c r="AV126" s="57">
        <f t="shared" si="17"/>
        <v>0</v>
      </c>
      <c r="AW126" s="57">
        <f t="shared" si="17"/>
        <v>0</v>
      </c>
      <c r="AX126" s="57">
        <f t="shared" si="17"/>
        <v>0</v>
      </c>
      <c r="AY126" s="57">
        <f t="shared" si="17"/>
        <v>0</v>
      </c>
      <c r="AZ126" s="57">
        <f t="shared" si="17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18">BG112/30*BF125</f>
        <v>0</v>
      </c>
      <c r="BG126" s="57">
        <f t="shared" si="18"/>
        <v>0</v>
      </c>
      <c r="BH126" s="57">
        <f t="shared" si="18"/>
        <v>0</v>
      </c>
      <c r="BI126" s="57">
        <f t="shared" si="18"/>
        <v>0</v>
      </c>
      <c r="BJ126" s="57">
        <f t="shared" si="18"/>
        <v>0</v>
      </c>
      <c r="BK126" s="57">
        <f t="shared" si="18"/>
        <v>0</v>
      </c>
      <c r="BL126" s="57">
        <f t="shared" si="18"/>
        <v>0</v>
      </c>
      <c r="BM126" s="57">
        <v>0</v>
      </c>
      <c r="BN126" s="215"/>
      <c r="BO126" s="141">
        <v>351545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9">ROUND(AV114/30*AU125,0)</f>
        <v>0</v>
      </c>
      <c r="AV127" s="57">
        <f t="shared" si="19"/>
        <v>0</v>
      </c>
      <c r="AW127" s="57">
        <f t="shared" si="19"/>
        <v>0</v>
      </c>
      <c r="AX127" s="57">
        <f t="shared" si="19"/>
        <v>0</v>
      </c>
      <c r="AY127" s="57">
        <f t="shared" si="19"/>
        <v>0</v>
      </c>
      <c r="AZ127" s="57">
        <f t="shared" si="19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20">ROUND(BG114/30*BF125,0)</f>
        <v>0</v>
      </c>
      <c r="BG127" s="57">
        <f t="shared" si="20"/>
        <v>0</v>
      </c>
      <c r="BH127" s="57">
        <f t="shared" si="20"/>
        <v>0</v>
      </c>
      <c r="BI127" s="57">
        <f t="shared" si="20"/>
        <v>0</v>
      </c>
      <c r="BJ127" s="57">
        <f t="shared" si="20"/>
        <v>0</v>
      </c>
      <c r="BK127" s="57">
        <f t="shared" si="20"/>
        <v>0</v>
      </c>
      <c r="BL127" s="57">
        <f t="shared" si="20"/>
        <v>0</v>
      </c>
      <c r="BM127" s="57">
        <v>0</v>
      </c>
      <c r="BN127" s="215"/>
      <c r="BO127" s="141">
        <v>85291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21">-AU126</f>
        <v>0</v>
      </c>
      <c r="AW128" s="57">
        <f t="shared" si="21"/>
        <v>0</v>
      </c>
      <c r="AX128" s="57">
        <f t="shared" si="21"/>
        <v>0</v>
      </c>
      <c r="AY128" s="57">
        <f t="shared" si="21"/>
        <v>0</v>
      </c>
      <c r="AZ128" s="57">
        <f t="shared" si="21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22">-BE126</f>
        <v>0</v>
      </c>
      <c r="BG128" s="57">
        <f t="shared" si="22"/>
        <v>0</v>
      </c>
      <c r="BH128" s="57">
        <f t="shared" si="22"/>
        <v>0</v>
      </c>
      <c r="BI128" s="57">
        <f t="shared" si="22"/>
        <v>0</v>
      </c>
      <c r="BJ128" s="57">
        <f t="shared" si="22"/>
        <v>0</v>
      </c>
      <c r="BK128" s="57">
        <f t="shared" si="22"/>
        <v>0</v>
      </c>
      <c r="BL128" s="57">
        <f t="shared" si="22"/>
        <v>0</v>
      </c>
      <c r="BM128" s="57">
        <f t="shared" si="22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21"/>
        <v>0</v>
      </c>
      <c r="AW129" s="57">
        <f t="shared" si="21"/>
        <v>0</v>
      </c>
      <c r="AX129" s="57">
        <f t="shared" si="21"/>
        <v>0</v>
      </c>
      <c r="AY129" s="57">
        <f t="shared" si="21"/>
        <v>0</v>
      </c>
      <c r="AZ129" s="57">
        <f t="shared" si="21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22"/>
        <v>0</v>
      </c>
      <c r="BG129" s="57">
        <f t="shared" si="22"/>
        <v>0</v>
      </c>
      <c r="BH129" s="57">
        <f t="shared" si="22"/>
        <v>0</v>
      </c>
      <c r="BI129" s="57">
        <f t="shared" si="22"/>
        <v>0</v>
      </c>
      <c r="BJ129" s="57">
        <f t="shared" si="22"/>
        <v>0</v>
      </c>
      <c r="BK129" s="57">
        <f t="shared" si="22"/>
        <v>0</v>
      </c>
      <c r="BL129" s="57">
        <f t="shared" si="22"/>
        <v>0</v>
      </c>
      <c r="BM129" s="57">
        <f t="shared" si="22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23">SUM(AV126:AV129)</f>
        <v>0</v>
      </c>
      <c r="AW130" s="344">
        <f t="shared" si="23"/>
        <v>0</v>
      </c>
      <c r="AX130" s="344">
        <f t="shared" si="23"/>
        <v>0</v>
      </c>
      <c r="AY130" s="344">
        <f t="shared" si="23"/>
        <v>0</v>
      </c>
      <c r="AZ130" s="344">
        <f t="shared" si="23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24">SUM(BF126:BF129)</f>
        <v>0</v>
      </c>
      <c r="BG130" s="344">
        <f t="shared" si="24"/>
        <v>0</v>
      </c>
      <c r="BH130" s="344">
        <f t="shared" si="24"/>
        <v>0</v>
      </c>
      <c r="BI130" s="344">
        <f t="shared" si="24"/>
        <v>0</v>
      </c>
      <c r="BJ130" s="344">
        <f t="shared" si="24"/>
        <v>0</v>
      </c>
      <c r="BK130" s="344">
        <f t="shared" si="24"/>
        <v>0</v>
      </c>
      <c r="BL130" s="344">
        <f t="shared" si="24"/>
        <v>0</v>
      </c>
      <c r="BM130" s="344">
        <f t="shared" si="24"/>
        <v>0</v>
      </c>
      <c r="BN130" s="345"/>
      <c r="BO130" s="272">
        <f t="shared" ref="BO130" si="25">SUM(BO126:BO129)</f>
        <v>436836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26">AU111+AU124</f>
        <v>0</v>
      </c>
      <c r="AV132" s="66">
        <f t="shared" si="26"/>
        <v>0</v>
      </c>
      <c r="AW132" s="66">
        <f t="shared" si="26"/>
        <v>0</v>
      </c>
      <c r="AX132" s="66">
        <f t="shared" si="26"/>
        <v>0</v>
      </c>
      <c r="AY132" s="66">
        <f t="shared" si="26"/>
        <v>0</v>
      </c>
      <c r="AZ132" s="66">
        <f t="shared" si="26"/>
        <v>0</v>
      </c>
      <c r="BA132" s="216">
        <f>SUM(AT132:AZ132)</f>
        <v>0</v>
      </c>
      <c r="BB132" s="66">
        <v>0</v>
      </c>
      <c r="BC132" s="66">
        <v>0</v>
      </c>
      <c r="BD132" s="66">
        <v>0</v>
      </c>
      <c r="BE132" s="66">
        <v>0</v>
      </c>
      <c r="BF132" s="66">
        <f t="shared" ref="BF132:BO132" si="27">BF111+BF124</f>
        <v>0</v>
      </c>
      <c r="BG132" s="66">
        <f t="shared" si="27"/>
        <v>0</v>
      </c>
      <c r="BH132" s="66">
        <f t="shared" si="27"/>
        <v>0</v>
      </c>
      <c r="BI132" s="66">
        <f t="shared" si="27"/>
        <v>0</v>
      </c>
      <c r="BJ132" s="66">
        <f t="shared" si="27"/>
        <v>0</v>
      </c>
      <c r="BK132" s="66">
        <f t="shared" si="27"/>
        <v>0</v>
      </c>
      <c r="BL132" s="66">
        <f t="shared" si="27"/>
        <v>0</v>
      </c>
      <c r="BM132" s="66">
        <f t="shared" si="27"/>
        <v>0</v>
      </c>
      <c r="BN132" s="216">
        <f t="shared" si="27"/>
        <v>0</v>
      </c>
      <c r="BO132" s="185">
        <f t="shared" si="27"/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6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O133"/>
  <sheetViews>
    <sheetView zoomScale="80" zoomScaleNormal="80" workbookViewId="0">
      <selection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7" width="13.5703125" hidden="1" customWidth="1" outlineLevel="1"/>
    <col min="8" max="8" width="13.140625" hidden="1" customWidth="1" outlineLevel="1"/>
    <col min="9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1" width="34.85546875" hidden="1" customWidth="1" outlineLevel="1"/>
    <col min="42" max="42" width="10.5703125" hidden="1" customWidth="1" outlineLevel="1"/>
    <col min="43" max="43" width="8.7109375" hidden="1" customWidth="1" outlineLevel="1"/>
    <col min="44" max="44" width="6.7109375" hidden="1" customWidth="1" outlineLevel="1"/>
    <col min="45" max="46" width="6.5703125" hidden="1" customWidth="1" outlineLevel="1"/>
    <col min="47" max="47" width="7.42578125" hidden="1" customWidth="1" outlineLevel="1"/>
    <col min="48" max="48" width="8.7109375" hidden="1" customWidth="1" outlineLevel="1"/>
    <col min="49" max="49" width="12.28515625" hidden="1" customWidth="1" outlineLevel="1"/>
    <col min="50" max="50" width="9.5703125" hidden="1" customWidth="1" outlineLevel="1"/>
    <col min="51" max="51" width="12" hidden="1" customWidth="1" outlineLevel="1"/>
    <col min="52" max="52" width="11.7109375" hidden="1" customWidth="1" outlineLevel="1"/>
    <col min="53" max="53" width="19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9.7109375" style="3" bestFit="1" customWidth="1" collapsed="1"/>
    <col min="67" max="67" width="16.5703125" customWidth="1"/>
    <col min="69" max="69" width="11.140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245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18" t="s">
        <v>36</v>
      </c>
      <c r="AP5" s="519" t="s">
        <v>37</v>
      </c>
      <c r="AQ5" s="519" t="s">
        <v>38</v>
      </c>
      <c r="AR5" s="519" t="s">
        <v>39</v>
      </c>
      <c r="AS5" s="519" t="s">
        <v>40</v>
      </c>
      <c r="AT5" s="519" t="s">
        <v>41</v>
      </c>
      <c r="AU5" s="519" t="s">
        <v>42</v>
      </c>
      <c r="AV5" s="519" t="s">
        <v>43</v>
      </c>
      <c r="AW5" s="519" t="s">
        <v>44</v>
      </c>
      <c r="AX5" s="519" t="s">
        <v>45</v>
      </c>
      <c r="AY5" s="519" t="s">
        <v>46</v>
      </c>
      <c r="AZ5" s="519" t="s">
        <v>47</v>
      </c>
      <c r="BA5" s="531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00"/>
      <c r="AP7" s="87"/>
      <c r="AQ7" s="87"/>
      <c r="AR7" s="87"/>
      <c r="AS7" s="87"/>
      <c r="AT7" s="39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>
        <f>IF('kWh_Streetlight Data'!C194=0,"",'kWh_Streetlight Data'!C194)</f>
        <v>1947.5344827586207</v>
      </c>
      <c r="C12" s="108">
        <f>IF('kWh_Streetlight Data'!D194=0,"",'kWh_Streetlight Data'!D194)</f>
        <v>1892.0086206896551</v>
      </c>
      <c r="D12" s="108">
        <f>IF('kWh_Streetlight Data'!E194=0,"",'kWh_Streetlight Data'!E194)</f>
        <v>1563.4117647058824</v>
      </c>
      <c r="E12" s="108">
        <f>IF('kWh_Streetlight Data'!F194=0,"",'kWh_Streetlight Data'!F194)</f>
        <v>1743.9557522123894</v>
      </c>
      <c r="F12" s="108">
        <f>IF('kWh_Streetlight Data'!G194=0,"",'kWh_Streetlight Data'!G194)</f>
        <v>1539.2105263157894</v>
      </c>
      <c r="G12" s="108">
        <f>IF('kWh_Streetlight Data'!H194=0,"",'kWh_Streetlight Data'!H194)</f>
        <v>934.95614035087715</v>
      </c>
      <c r="H12" s="108">
        <f>IF('kWh_Streetlight Data'!I194=0,"",'kWh_Streetlight Data'!I194)</f>
        <v>966.6194690265487</v>
      </c>
      <c r="I12" s="108">
        <f>IF('kWh_Streetlight Data'!J194=0,"",'kWh_Streetlight Data'!J194)</f>
        <v>957.86725663716811</v>
      </c>
      <c r="J12" s="108">
        <f>IF('kWh_Streetlight Data'!K194=0,"",'kWh_Streetlight Data'!K194)</f>
        <v>847.38260869565215</v>
      </c>
      <c r="K12" s="108">
        <f>IF('kWh_Streetlight Data'!L194=0,"",'kWh_Streetlight Data'!L194)</f>
        <v>1299.655172413793</v>
      </c>
      <c r="L12" s="108">
        <f>IF('kWh_Streetlight Data'!M194=0,"",'kWh_Streetlight Data'!M194)</f>
        <v>1107.4655172413793</v>
      </c>
      <c r="M12" s="108">
        <f>IF('kWh_Streetlight Data'!N194=0,"",'kWh_Streetlight Data'!N194)</f>
        <v>1599.7672413793102</v>
      </c>
      <c r="N12" s="424">
        <f>IF('kWh_Streetlight Data'!O194=0,"",'kWh_Streetlight Data'!O194)</f>
        <v>1368.7690079652425</v>
      </c>
      <c r="O12" s="84">
        <f>IF('kWh_Streetlight Data'!P194=0,"",'kWh_Streetlight Data'!P194)</f>
        <v>2050.8706896551726</v>
      </c>
      <c r="P12" s="108">
        <f>IF('kWh_Streetlight Data'!Q194=0,"",'kWh_Streetlight Data'!Q194)</f>
        <v>1896.9756097560976</v>
      </c>
      <c r="Q12" s="108">
        <f>IF('kWh_Streetlight Data'!R194=0,"",'kWh_Streetlight Data'!R194)</f>
        <v>1891.8559322033898</v>
      </c>
      <c r="R12" s="108">
        <f>IF('kWh_Streetlight Data'!S194=0,"",'kWh_Streetlight Data'!S194)</f>
        <v>1571.6147540983607</v>
      </c>
      <c r="S12" s="108">
        <f>IF('kWh_Streetlight Data'!T194=0,"",'kWh_Streetlight Data'!T194)</f>
        <v>1521.8376068376069</v>
      </c>
      <c r="T12" s="108">
        <f>IF('kWh_Streetlight Data'!U194=0,"",'kWh_Streetlight Data'!U194)</f>
        <v>1190.542372881356</v>
      </c>
      <c r="U12" s="108">
        <f>IF('kWh_Streetlight Data'!V194=0,"",'kWh_Streetlight Data'!V194)</f>
        <v>739.89655172413791</v>
      </c>
      <c r="V12" s="108">
        <f>IF('kWh_Streetlight Data'!W194=0,"",'kWh_Streetlight Data'!W194)</f>
        <v>813.65</v>
      </c>
      <c r="W12" s="108">
        <f>IF('kWh_Streetlight Data'!X194=0,"",'kWh_Streetlight Data'!X194)</f>
        <v>761.41880341880346</v>
      </c>
      <c r="X12" s="108">
        <f>IF('kWh_Streetlight Data'!Y194=0,"",'kWh_Streetlight Data'!Y194)</f>
        <v>981.18965517241384</v>
      </c>
      <c r="Y12" s="108">
        <f>IF('kWh_Streetlight Data'!Z194=0,"",'kWh_Streetlight Data'!Z194)</f>
        <v>1304.7166666666667</v>
      </c>
      <c r="Z12" s="108">
        <f>IF('kWh_Streetlight Data'!AA194=0,"",'kWh_Streetlight Data'!AA194)</f>
        <v>1646.175</v>
      </c>
      <c r="AA12" s="424">
        <f>IF('kWh_Streetlight Data'!AB194=0,"",'kWh_Streetlight Data'!AB194)</f>
        <v>1366.9859451862262</v>
      </c>
      <c r="AB12" s="129">
        <f>IF('kWh_Streetlight Data'!AC194=0,"",'kWh_Streetlight Data'!AC194)</f>
        <v>2352.6</v>
      </c>
      <c r="AC12" s="130">
        <f>IF('kWh_Streetlight Data'!AD194=0,"",'kWh_Streetlight Data'!AD194)</f>
        <v>1798.388429752066</v>
      </c>
      <c r="AD12" s="130">
        <f>IF('kWh_Streetlight Data'!AE194=0,"",'kWh_Streetlight Data'!AE194)</f>
        <v>2229.0487804878048</v>
      </c>
      <c r="AE12" s="130">
        <f>IF('kWh_Streetlight Data'!AF194=0,"",'kWh_Streetlight Data'!AF194)</f>
        <v>1759.7983193277312</v>
      </c>
      <c r="AF12" s="130">
        <f>IF('kWh_Streetlight Data'!AG194=0,"",'kWh_Streetlight Data'!AG194)</f>
        <v>1627.90756302521</v>
      </c>
      <c r="AG12" s="130">
        <f>IF('kWh_Streetlight Data'!AH194=0,"",'kWh_Streetlight Data'!AH194)</f>
        <v>1115.9083333333333</v>
      </c>
      <c r="AH12" s="130">
        <f>IF('kWh_Streetlight Data'!AI194=0,"",'kWh_Streetlight Data'!AI194)</f>
        <v>1046.6610169491526</v>
      </c>
      <c r="AI12" s="130">
        <f>IF('kWh_Streetlight Data'!AJ194=0,"",'kWh_Streetlight Data'!AJ194)</f>
        <v>1144.0588235294117</v>
      </c>
      <c r="AJ12" s="130">
        <f>IF('kWh_Streetlight Data'!AK194=0,"",'kWh_Streetlight Data'!AK194)</f>
        <v>542.2066115702479</v>
      </c>
      <c r="AK12" s="130">
        <f>IF('kWh_Streetlight Data'!AL194=0,"",'kWh_Streetlight Data'!AL194)</f>
        <v>1179.6942148760331</v>
      </c>
      <c r="AL12" s="130">
        <f>IF('kWh_Streetlight Data'!AM194=0,"",'kWh_Streetlight Data'!AM194)</f>
        <v>1443.1166666666666</v>
      </c>
      <c r="AM12" s="130">
        <f>IF('kWh_Streetlight Data'!AN194=0,"",'kWh_Streetlight Data'!AN194)</f>
        <v>1593.9166666666667</v>
      </c>
      <c r="AN12" s="426">
        <f>IF('kWh_Streetlight Data'!AO194=0,"",'kWh_Streetlight Data'!AO194)</f>
        <v>1487.5634975711312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00"/>
      <c r="AP15" s="87"/>
      <c r="AQ15" s="87"/>
      <c r="AR15" s="87"/>
      <c r="AS15" s="87"/>
      <c r="AT15" s="39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9"/>
      <c r="BJ16" s="39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9"/>
      <c r="BJ17" s="39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9"/>
      <c r="BJ18" s="39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Data'!C195=0,"",'kWh_Streetlight Data'!C195)</f>
        <v/>
      </c>
      <c r="C27" s="108" t="str">
        <f>IF('kWh_Streetlight Data'!D195=0,"",'kWh_Streetlight Data'!D195)</f>
        <v/>
      </c>
      <c r="D27" s="108" t="str">
        <f>IF('kWh_Streetlight Data'!E195=0,"",'kWh_Streetlight Data'!E195)</f>
        <v/>
      </c>
      <c r="E27" s="108" t="str">
        <f>IF('kWh_Streetlight Data'!F195=0,"",'kWh_Streetlight Data'!F195)</f>
        <v/>
      </c>
      <c r="F27" s="108" t="str">
        <f>IF('kWh_Streetlight Data'!G195=0,"",'kWh_Streetlight Data'!G195)</f>
        <v/>
      </c>
      <c r="G27" s="108" t="str">
        <f>IF('kWh_Streetlight Data'!H195=0,"",'kWh_Streetlight Data'!H195)</f>
        <v/>
      </c>
      <c r="H27" s="108" t="str">
        <f>IF('kWh_Streetlight Data'!I195=0,"",'kWh_Streetlight Data'!I195)</f>
        <v/>
      </c>
      <c r="I27" s="108" t="str">
        <f>IF('kWh_Streetlight Data'!J195=0,"",'kWh_Streetlight Data'!J195)</f>
        <v/>
      </c>
      <c r="J27" s="108" t="str">
        <f>IF('kWh_Streetlight Data'!K195=0,"",'kWh_Streetlight Data'!K195)</f>
        <v/>
      </c>
      <c r="K27" s="108" t="str">
        <f>IF('kWh_Streetlight Data'!L195=0,"",'kWh_Streetlight Data'!L195)</f>
        <v/>
      </c>
      <c r="L27" s="108" t="str">
        <f>IF('kWh_Streetlight Data'!M195=0,"",'kWh_Streetlight Data'!M195)</f>
        <v/>
      </c>
      <c r="M27" s="108" t="str">
        <f>IF('kWh_Streetlight Data'!N195=0,"",'kWh_Streetlight Data'!N195)</f>
        <v/>
      </c>
      <c r="N27" s="424" t="str">
        <f>IF('kWh_Streetlight Data'!O195=0,"",'kWh_Streetlight Data'!O195)</f>
        <v/>
      </c>
      <c r="O27" s="84" t="str">
        <f>IF('kWh_Streetlight Data'!P195=0,"",'kWh_Streetlight Data'!P195)</f>
        <v/>
      </c>
      <c r="P27" s="108" t="str">
        <f>IF('kWh_Streetlight Data'!Q195=0,"",'kWh_Streetlight Data'!Q195)</f>
        <v/>
      </c>
      <c r="Q27" s="108" t="str">
        <f>IF('kWh_Streetlight Data'!R195=0,"",'kWh_Streetlight Data'!R195)</f>
        <v/>
      </c>
      <c r="R27" s="108" t="str">
        <f>IF('kWh_Streetlight Data'!S195=0,"",'kWh_Streetlight Data'!S195)</f>
        <v/>
      </c>
      <c r="S27" s="108" t="str">
        <f>IF('kWh_Streetlight Data'!T195=0,"",'kWh_Streetlight Data'!T195)</f>
        <v/>
      </c>
      <c r="T27" s="108" t="str">
        <f>IF('kWh_Streetlight Data'!U195=0,"",'kWh_Streetlight Data'!U195)</f>
        <v/>
      </c>
      <c r="U27" s="108" t="str">
        <f>IF('kWh_Streetlight Data'!V195=0,"",'kWh_Streetlight Data'!V195)</f>
        <v/>
      </c>
      <c r="V27" s="108" t="str">
        <f>IF('kWh_Streetlight Data'!W195=0,"",'kWh_Streetlight Data'!W195)</f>
        <v/>
      </c>
      <c r="W27" s="108" t="str">
        <f>IF('kWh_Streetlight Data'!X195=0,"",'kWh_Streetlight Data'!X195)</f>
        <v/>
      </c>
      <c r="X27" s="108" t="str">
        <f>IF('kWh_Streetlight Data'!Y195=0,"",'kWh_Streetlight Data'!Y195)</f>
        <v/>
      </c>
      <c r="Y27" s="108" t="str">
        <f>IF('kWh_Streetlight Data'!Z195=0,"",'kWh_Streetlight Data'!Z195)</f>
        <v/>
      </c>
      <c r="Z27" s="108" t="str">
        <f>IF('kWh_Streetlight Data'!AA195=0,"",'kWh_Streetlight Data'!AA195)</f>
        <v/>
      </c>
      <c r="AA27" s="424" t="str">
        <f>IF('kWh_Streetlight Data'!AB195=0,"",'kWh_Streetlight Data'!AB195)</f>
        <v/>
      </c>
      <c r="AB27" s="129" t="str">
        <f>IF('kWh_Streetlight Data'!AC195=0,"",'kWh_Streetlight Data'!AC195)</f>
        <v/>
      </c>
      <c r="AC27" s="130" t="str">
        <f>IF('kWh_Streetlight Data'!AD195=0,"",'kWh_Streetlight Data'!AD195)</f>
        <v/>
      </c>
      <c r="AD27" s="130" t="str">
        <f>IF('kWh_Streetlight Data'!AE195=0,"",'kWh_Streetlight Data'!AE195)</f>
        <v/>
      </c>
      <c r="AE27" s="130" t="str">
        <f>IF('kWh_Streetlight Data'!AF195=0,"",'kWh_Streetlight Data'!AF195)</f>
        <v/>
      </c>
      <c r="AF27" s="130" t="str">
        <f>IF('kWh_Streetlight Data'!AG195=0,"",'kWh_Streetlight Data'!AG195)</f>
        <v/>
      </c>
      <c r="AG27" s="130" t="str">
        <f>IF('kWh_Streetlight Data'!AH195=0,"",'kWh_Streetlight Data'!AH195)</f>
        <v/>
      </c>
      <c r="AH27" s="108" t="str">
        <f>IF('kWh_Streetlight Data'!AI195=0,"",'kWh_Streetlight Data'!AI195)</f>
        <v/>
      </c>
      <c r="AI27" s="108" t="str">
        <f>IF('kWh_Streetlight Data'!AJ195=0,"",'kWh_Streetlight Data'!AJ195)</f>
        <v/>
      </c>
      <c r="AJ27" s="108" t="str">
        <f>IF('kWh_Streetlight Data'!AK195=0,"",'kWh_Streetlight Data'!AK195)</f>
        <v/>
      </c>
      <c r="AK27" s="108" t="str">
        <f>IF('kWh_Streetlight Data'!AL195=0,"",'kWh_Streetlight Data'!AL195)</f>
        <v/>
      </c>
      <c r="AL27" s="108" t="str">
        <f>IF('kWh_Streetlight Data'!AM195=0,"",'kWh_Streetlight Data'!AM195)</f>
        <v/>
      </c>
      <c r="AM27" s="108" t="str">
        <f>IF('kWh_Streetlight Data'!AN195=0,"",'kWh_Streetlight Data'!AN195)</f>
        <v/>
      </c>
      <c r="AN27" s="426" t="str">
        <f>IF('kWh_Streetlight Data'!AO195=0,"",'kWh_Streetlight Data'!AO195)</f>
        <v/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>
        <f>IF('kWh_Streetlight Data'!C196=0,"",'kWh_Streetlight Data'!C196)</f>
        <v>2265.5</v>
      </c>
      <c r="C34" s="108">
        <f>IF('kWh_Streetlight Data'!D196=0,"",'kWh_Streetlight Data'!D196)</f>
        <v>2308</v>
      </c>
      <c r="D34" s="108">
        <f>IF('kWh_Streetlight Data'!E196=0,"",'kWh_Streetlight Data'!E196)</f>
        <v>2159.5</v>
      </c>
      <c r="E34" s="108">
        <f>IF('kWh_Streetlight Data'!F196=0,"",'kWh_Streetlight Data'!F196)</f>
        <v>1884.125</v>
      </c>
      <c r="F34" s="108">
        <f>IF('kWh_Streetlight Data'!G196=0,"",'kWh_Streetlight Data'!G196)</f>
        <v>1625.25</v>
      </c>
      <c r="G34" s="108">
        <f>IF('kWh_Streetlight Data'!H196=0,"",'kWh_Streetlight Data'!H196)</f>
        <v>672.125</v>
      </c>
      <c r="H34" s="108">
        <f>IF('kWh_Streetlight Data'!I196=0,"",'kWh_Streetlight Data'!I196)</f>
        <v>938.875</v>
      </c>
      <c r="I34" s="108">
        <f>IF('kWh_Streetlight Data'!J196=0,"",'kWh_Streetlight Data'!J196)</f>
        <v>1126.875</v>
      </c>
      <c r="J34" s="108">
        <f>IF('kWh_Streetlight Data'!K196=0,"",'kWh_Streetlight Data'!K196)</f>
        <v>732.11111111111109</v>
      </c>
      <c r="K34" s="108">
        <f>IF('kWh_Streetlight Data'!L196=0,"",'kWh_Streetlight Data'!L196)</f>
        <v>823.11111111111109</v>
      </c>
      <c r="L34" s="108">
        <f>IF('kWh_Streetlight Data'!M196=0,"",'kWh_Streetlight Data'!M196)</f>
        <v>787.5</v>
      </c>
      <c r="M34" s="108">
        <f>IF('kWh_Streetlight Data'!N196=0,"",'kWh_Streetlight Data'!N196)</f>
        <v>1161.7777777777778</v>
      </c>
      <c r="N34" s="424">
        <f>IF('kWh_Streetlight Data'!O196=0,"",'kWh_Streetlight Data'!O196)</f>
        <v>1359.5454545454545</v>
      </c>
      <c r="O34" s="84">
        <f>IF('kWh_Streetlight Data'!P196=0,"",'kWh_Streetlight Data'!P196)</f>
        <v>1807</v>
      </c>
      <c r="P34" s="108">
        <f>IF('kWh_Streetlight Data'!Q196=0,"",'kWh_Streetlight Data'!Q196)</f>
        <v>1549.8</v>
      </c>
      <c r="Q34" s="108">
        <f>IF('kWh_Streetlight Data'!R196=0,"",'kWh_Streetlight Data'!R196)</f>
        <v>1755</v>
      </c>
      <c r="R34" s="108">
        <f>IF('kWh_Streetlight Data'!S196=0,"",'kWh_Streetlight Data'!S196)</f>
        <v>1179.3333333333333</v>
      </c>
      <c r="S34" s="108">
        <f>IF('kWh_Streetlight Data'!T196=0,"",'kWh_Streetlight Data'!T196)</f>
        <v>1192.5</v>
      </c>
      <c r="T34" s="108">
        <f>IF('kWh_Streetlight Data'!U196=0,"",'kWh_Streetlight Data'!U196)</f>
        <v>693.22222222222217</v>
      </c>
      <c r="U34" s="108">
        <f>IF('kWh_Streetlight Data'!V196=0,"",'kWh_Streetlight Data'!V196)</f>
        <v>566.66666666666663</v>
      </c>
      <c r="V34" s="108">
        <f>IF('kWh_Streetlight Data'!W196=0,"",'kWh_Streetlight Data'!W196)</f>
        <v>851.3</v>
      </c>
      <c r="W34" s="108">
        <f>IF('kWh_Streetlight Data'!X196=0,"",'kWh_Streetlight Data'!X196)</f>
        <v>544</v>
      </c>
      <c r="X34" s="108">
        <f>IF('kWh_Streetlight Data'!Y196=0,"",'kWh_Streetlight Data'!Y196)</f>
        <v>701.9</v>
      </c>
      <c r="Y34" s="108">
        <f>IF('kWh_Streetlight Data'!Z196=0,"",'kWh_Streetlight Data'!Z196)</f>
        <v>1334.3</v>
      </c>
      <c r="Z34" s="108">
        <f>IF('kWh_Streetlight Data'!AA196=0,"",'kWh_Streetlight Data'!AA196)</f>
        <v>1480.8</v>
      </c>
      <c r="AA34" s="424">
        <f>IF('kWh_Streetlight Data'!AB196=0,"",'kWh_Streetlight Data'!AB196)</f>
        <v>1140.1666666666667</v>
      </c>
      <c r="AB34" s="129">
        <f>IF('kWh_Streetlight Data'!AC196=0,"",'kWh_Streetlight Data'!AC196)</f>
        <v>2216.1</v>
      </c>
      <c r="AC34" s="130">
        <f>IF('kWh_Streetlight Data'!AD196=0,"",'kWh_Streetlight Data'!AD196)</f>
        <v>1593.2</v>
      </c>
      <c r="AD34" s="130">
        <f>IF('kWh_Streetlight Data'!AE196=0,"",'kWh_Streetlight Data'!AE196)</f>
        <v>2196.1999999999998</v>
      </c>
      <c r="AE34" s="130">
        <f>IF('kWh_Streetlight Data'!AF196=0,"",'kWh_Streetlight Data'!AF196)</f>
        <v>1789</v>
      </c>
      <c r="AF34" s="130">
        <f>IF('kWh_Streetlight Data'!AG196=0,"",'kWh_Streetlight Data'!AG196)</f>
        <v>3252.8888888888887</v>
      </c>
      <c r="AG34" s="130">
        <f>IF('kWh_Streetlight Data'!AH196=0,"",'kWh_Streetlight Data'!AH196)</f>
        <v>2210.4</v>
      </c>
      <c r="AH34" s="130">
        <f>IF('kWh_Streetlight Data'!AI196=0,"",'kWh_Streetlight Data'!AI196)</f>
        <v>8903.6</v>
      </c>
      <c r="AI34" s="130">
        <f>IF('kWh_Streetlight Data'!AJ196=0,"",'kWh_Streetlight Data'!AJ196)</f>
        <v>1177.3</v>
      </c>
      <c r="AJ34" s="130">
        <f>IF('kWh_Streetlight Data'!AK196=0,"",'kWh_Streetlight Data'!AK196)</f>
        <v>653.20000000000005</v>
      </c>
      <c r="AK34" s="130">
        <f>IF('kWh_Streetlight Data'!AL196=0,"",'kWh_Streetlight Data'!AL196)</f>
        <v>1062.2</v>
      </c>
      <c r="AL34" s="130">
        <f>IF('kWh_Streetlight Data'!AM196=0,"",'kWh_Streetlight Data'!AM196)</f>
        <v>1314.8</v>
      </c>
      <c r="AM34" s="130">
        <f>IF('kWh_Streetlight Data'!AN196=0,"",'kWh_Streetlight Data'!AN196)</f>
        <v>1489.7</v>
      </c>
      <c r="AN34" s="426">
        <f>IF('kWh_Streetlight Data'!AO196=0,"",'kWh_Streetlight Data'!AO196)</f>
        <v>2313.7226890756301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00"/>
      <c r="AP36" s="87"/>
      <c r="AQ36" s="87"/>
      <c r="AR36" s="87"/>
      <c r="AS36" s="87"/>
      <c r="AT36" s="39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9"/>
      <c r="BJ37" s="39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9"/>
      <c r="BJ38" s="39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9"/>
      <c r="BJ39" s="39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243"/>
      <c r="AD44" s="243"/>
      <c r="AE44" s="243"/>
      <c r="AF44" s="243"/>
      <c r="AG44" s="243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>
        <f>IF('kWh_Streetlight Data'!C197=0,"",'kWh_Streetlight Data'!C197)</f>
        <v>11000</v>
      </c>
      <c r="C48" s="130">
        <f>IF('kWh_Streetlight Data'!D197=0,"",'kWh_Streetlight Data'!D197)</f>
        <v>11800</v>
      </c>
      <c r="D48" s="130">
        <f>IF('kWh_Streetlight Data'!E197=0,"",'kWh_Streetlight Data'!E197)</f>
        <v>12120</v>
      </c>
      <c r="E48" s="130">
        <f>IF('kWh_Streetlight Data'!F197=0,"",'kWh_Streetlight Data'!F197)</f>
        <v>9200</v>
      </c>
      <c r="F48" s="130">
        <f>IF('kWh_Streetlight Data'!G197=0,"",'kWh_Streetlight Data'!G197)</f>
        <v>9080</v>
      </c>
      <c r="G48" s="130">
        <f>IF('kWh_Streetlight Data'!H197=0,"",'kWh_Streetlight Data'!H197)</f>
        <v>6840</v>
      </c>
      <c r="H48" s="130">
        <f>IF('kWh_Streetlight Data'!I197=0,"",'kWh_Streetlight Data'!I197)</f>
        <v>9360</v>
      </c>
      <c r="I48" s="130">
        <f>IF('kWh_Streetlight Data'!J197=0,"",'kWh_Streetlight Data'!J197)</f>
        <v>9040</v>
      </c>
      <c r="J48" s="130">
        <f>IF('kWh_Streetlight Data'!K197=0,"",'kWh_Streetlight Data'!K197)</f>
        <v>7840</v>
      </c>
      <c r="K48" s="130">
        <f>IF('kWh_Streetlight Data'!L197=0,"",'kWh_Streetlight Data'!L197)</f>
        <v>9200</v>
      </c>
      <c r="L48" s="130">
        <f>IF('kWh_Streetlight Data'!M197=0,"",'kWh_Streetlight Data'!M197)</f>
        <v>7200</v>
      </c>
      <c r="M48" s="130">
        <f>IF('kWh_Streetlight Data'!N197=0,"",'kWh_Streetlight Data'!N197)</f>
        <v>8640</v>
      </c>
      <c r="N48" s="424">
        <f>IF('kWh_Streetlight Data'!O197=0,"",'kWh_Streetlight Data'!O197)</f>
        <v>9276.6666666666661</v>
      </c>
      <c r="O48" s="129">
        <f>IF('kWh_Streetlight Data'!P197=0,"",'kWh_Streetlight Data'!P197)</f>
        <v>10640</v>
      </c>
      <c r="P48" s="130">
        <f>IF('kWh_Streetlight Data'!Q197=0,"",'kWh_Streetlight Data'!Q197)</f>
        <v>13600</v>
      </c>
      <c r="Q48" s="130">
        <f>IF('kWh_Streetlight Data'!R197=0,"",'kWh_Streetlight Data'!R197)</f>
        <v>10680</v>
      </c>
      <c r="R48" s="130">
        <f>IF('kWh_Streetlight Data'!S197=0,"",'kWh_Streetlight Data'!S197)</f>
        <v>8880</v>
      </c>
      <c r="S48" s="130">
        <f>IF('kWh_Streetlight Data'!T197=0,"",'kWh_Streetlight Data'!T197)</f>
        <v>9600</v>
      </c>
      <c r="T48" s="130">
        <f>IF('kWh_Streetlight Data'!U197=0,"",'kWh_Streetlight Data'!U197)</f>
        <v>9400</v>
      </c>
      <c r="U48" s="130">
        <f>IF('kWh_Streetlight Data'!V197=0,"",'kWh_Streetlight Data'!V197)</f>
        <v>7200</v>
      </c>
      <c r="V48" s="130">
        <f>IF('kWh_Streetlight Data'!W197=0,"",'kWh_Streetlight Data'!W197)</f>
        <v>8160</v>
      </c>
      <c r="W48" s="130">
        <f>IF('kWh_Streetlight Data'!X197=0,"",'kWh_Streetlight Data'!X197)</f>
        <v>6600</v>
      </c>
      <c r="X48" s="130">
        <f>IF('kWh_Streetlight Data'!Y197=0,"",'kWh_Streetlight Data'!Y197)</f>
        <v>7160</v>
      </c>
      <c r="Y48" s="130">
        <f>IF('kWh_Streetlight Data'!Z197=0,"",'kWh_Streetlight Data'!Z197)</f>
        <v>7880</v>
      </c>
      <c r="Z48" s="130">
        <f>IF('kWh_Streetlight Data'!AA197=0,"",'kWh_Streetlight Data'!AA197)</f>
        <v>6880</v>
      </c>
      <c r="AA48" s="424">
        <f>IF('kWh_Streetlight Data'!AB197=0,"",'kWh_Streetlight Data'!AB197)</f>
        <v>8890</v>
      </c>
      <c r="AB48" s="129">
        <f>IF('kWh_Streetlight Data'!AC197=0,"",'kWh_Streetlight Data'!AC197)</f>
        <v>10160</v>
      </c>
      <c r="AC48" s="130">
        <f>IF('kWh_Streetlight Data'!AD197=0,"",'kWh_Streetlight Data'!AD197)</f>
        <v>9840</v>
      </c>
      <c r="AD48" s="130">
        <f>IF('kWh_Streetlight Data'!AE197=0,"",'kWh_Streetlight Data'!AE197)</f>
        <v>9800</v>
      </c>
      <c r="AE48" s="130">
        <f>IF('kWh_Streetlight Data'!AF197=0,"",'kWh_Streetlight Data'!AF197)</f>
        <v>5960</v>
      </c>
      <c r="AF48" s="130">
        <f>IF('kWh_Streetlight Data'!AG197=0,"",'kWh_Streetlight Data'!AG197)</f>
        <v>9200</v>
      </c>
      <c r="AG48" s="130">
        <f>IF('kWh_Streetlight Data'!AH197=0,"",'kWh_Streetlight Data'!AH197)</f>
        <v>6160</v>
      </c>
      <c r="AH48" s="130">
        <f>IF('kWh_Streetlight Data'!AI197=0,"",'kWh_Streetlight Data'!AI197)</f>
        <v>6800</v>
      </c>
      <c r="AI48" s="130">
        <f>IF('kWh_Streetlight Data'!AJ197=0,"",'kWh_Streetlight Data'!AJ197)</f>
        <v>8280</v>
      </c>
      <c r="AJ48" s="130">
        <f>IF('kWh_Streetlight Data'!AK197=0,"",'kWh_Streetlight Data'!AK197)</f>
        <v>4040</v>
      </c>
      <c r="AK48" s="130">
        <f>IF('kWh_Streetlight Data'!AL197=0,"",'kWh_Streetlight Data'!AL197)</f>
        <v>6240</v>
      </c>
      <c r="AL48" s="130">
        <f>IF('kWh_Streetlight Data'!AM197=0,"",'kWh_Streetlight Data'!AM197)</f>
        <v>5800</v>
      </c>
      <c r="AM48" s="130">
        <f>IF('kWh_Streetlight Data'!AN197=0,"",'kWh_Streetlight Data'!AN197)</f>
        <v>3280</v>
      </c>
      <c r="AN48" s="426">
        <f>IF('kWh_Streetlight Data'!AO197=0,"",'kWh_Streetlight Data'!AO197)</f>
        <v>7130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00"/>
      <c r="AP50" s="87"/>
      <c r="AQ50" s="87"/>
      <c r="AR50" s="87"/>
      <c r="AS50" s="87"/>
      <c r="AT50" s="39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210"/>
      <c r="BO50" s="125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113" t="str">
        <f>IF('kWh_Streetlight Data'!C247=0,"",'kWh_Streetlight Data'!C247)</f>
        <v/>
      </c>
      <c r="C58" s="114" t="str">
        <f>IF('kWh_Streetlight Data'!D247=0,"",'kWh_Streetlight Data'!D247)</f>
        <v/>
      </c>
      <c r="D58" s="114" t="str">
        <f>IF('kWh_Streetlight Data'!E247=0,"",'kWh_Streetlight Data'!E247)</f>
        <v/>
      </c>
      <c r="E58" s="114" t="str">
        <f>IF('kWh_Streetlight Data'!F247=0,"",'kWh_Streetlight Data'!F247)</f>
        <v/>
      </c>
      <c r="F58" s="114" t="str">
        <f>IF('kWh_Streetlight Data'!G247=0,"",'kWh_Streetlight Data'!G247)</f>
        <v/>
      </c>
      <c r="G58" s="114" t="str">
        <f>IF('kWh_Streetlight Data'!H247=0,"",'kWh_Streetlight Data'!H247)</f>
        <v/>
      </c>
      <c r="H58" s="114" t="str">
        <f>IF('kWh_Streetlight Data'!I247=0,"",'kWh_Streetlight Data'!I247)</f>
        <v/>
      </c>
      <c r="I58" s="114" t="str">
        <f>IF('kWh_Streetlight Data'!J247=0,"",'kWh_Streetlight Data'!J247)</f>
        <v/>
      </c>
      <c r="J58" s="114" t="str">
        <f>IF('kWh_Streetlight Data'!K247=0,"",'kWh_Streetlight Data'!K247)</f>
        <v/>
      </c>
      <c r="K58" s="114" t="str">
        <f>IF('kWh_Streetlight Data'!L247=0,"",'kWh_Streetlight Data'!L247)</f>
        <v/>
      </c>
      <c r="L58" s="114" t="str">
        <f>IF('kWh_Streetlight Data'!M247=0,"",'kWh_Streetlight Data'!M247)</f>
        <v/>
      </c>
      <c r="M58" s="114" t="str">
        <f>IF('kWh_Streetlight Data'!N247=0,"",'kWh_Streetlight Data'!N247)</f>
        <v/>
      </c>
      <c r="N58" s="459" t="str">
        <f>IF('kWh_Streetlight Data'!O247=0,"",'kWh_Streetlight Data'!O247)</f>
        <v/>
      </c>
      <c r="O58" s="113" t="str">
        <f>IF('kWh_Streetlight Data'!P247=0,"",'kWh_Streetlight Data'!P247)</f>
        <v/>
      </c>
      <c r="P58" s="114" t="str">
        <f>IF('kWh_Streetlight Data'!Q247=0,"",'kWh_Streetlight Data'!Q247)</f>
        <v/>
      </c>
      <c r="Q58" s="114" t="str">
        <f>IF('kWh_Streetlight Data'!R247=0,"",'kWh_Streetlight Data'!R247)</f>
        <v/>
      </c>
      <c r="R58" s="114" t="str">
        <f>IF('kWh_Streetlight Data'!S247=0,"",'kWh_Streetlight Data'!S247)</f>
        <v/>
      </c>
      <c r="S58" s="114" t="str">
        <f>IF('kWh_Streetlight Data'!T247=0,"",'kWh_Streetlight Data'!T247)</f>
        <v/>
      </c>
      <c r="T58" s="114" t="str">
        <f>IF('kWh_Streetlight Data'!U247=0,"",'kWh_Streetlight Data'!U247)</f>
        <v/>
      </c>
      <c r="U58" s="114" t="str">
        <f>IF('kWh_Streetlight Data'!V247=0,"",'kWh_Streetlight Data'!V247)</f>
        <v/>
      </c>
      <c r="V58" s="114" t="str">
        <f>IF('kWh_Streetlight Data'!W247=0,"",'kWh_Streetlight Data'!W247)</f>
        <v/>
      </c>
      <c r="W58" s="114" t="str">
        <f>IF('kWh_Streetlight Data'!X247=0,"",'kWh_Streetlight Data'!X247)</f>
        <v/>
      </c>
      <c r="X58" s="114" t="str">
        <f>IF('kWh_Streetlight Data'!Y247=0,"",'kWh_Streetlight Data'!Y247)</f>
        <v/>
      </c>
      <c r="Y58" s="114" t="str">
        <f>IF('kWh_Streetlight Data'!Z247=0,"",'kWh_Streetlight Data'!Z247)</f>
        <v/>
      </c>
      <c r="Z58" s="114" t="str">
        <f>IF('kWh_Streetlight Data'!AA247=0,"",'kWh_Streetlight Data'!AA247)</f>
        <v/>
      </c>
      <c r="AA58" s="459" t="str">
        <f>IF('kWh_Streetlight Data'!AB247=0,"",'kWh_Streetlight Data'!AB247)</f>
        <v/>
      </c>
      <c r="AB58" s="240" t="str">
        <f>IF('kWh_Streetlight Data'!AC247=0,"",'kWh_Streetlight Data'!AC247)</f>
        <v/>
      </c>
      <c r="AC58" s="117" t="str">
        <f>IF('kWh_Streetlight Data'!AD247=0,"",'kWh_Streetlight Data'!AD247)</f>
        <v/>
      </c>
      <c r="AD58" s="117" t="str">
        <f>IF('kWh_Streetlight Data'!AE247=0,"",'kWh_Streetlight Data'!AE247)</f>
        <v/>
      </c>
      <c r="AE58" s="117" t="str">
        <f>IF('kWh_Streetlight Data'!AF247=0,"",'kWh_Streetlight Data'!AF247)</f>
        <v/>
      </c>
      <c r="AF58" s="117" t="str">
        <f>IF('kWh_Streetlight Data'!AG247=0,"",'kWh_Streetlight Data'!AG247)</f>
        <v/>
      </c>
      <c r="AG58" s="117" t="str">
        <f>IF('kWh_Streetlight Data'!AH247=0,"",'kWh_Streetlight Data'!AH247)</f>
        <v/>
      </c>
      <c r="AH58" s="117" t="str">
        <f>IF('kWh_Streetlight Data'!AI247=0,"",'kWh_Streetlight Data'!AI247)</f>
        <v/>
      </c>
      <c r="AI58" s="117" t="str">
        <f>IF('kWh_Streetlight Data'!AJ247=0,"",'kWh_Streetlight Data'!AJ247)</f>
        <v/>
      </c>
      <c r="AJ58" s="117" t="str">
        <f>IF('kWh_Streetlight Data'!AK247=0,"",'kWh_Streetlight Data'!AK247)</f>
        <v/>
      </c>
      <c r="AK58" s="117" t="str">
        <f>IF('kWh_Streetlight Data'!AL247=0,"",'kWh_Streetlight Data'!AL247)</f>
        <v/>
      </c>
      <c r="AL58" s="117" t="str">
        <f>IF('kWh_Streetlight Data'!AM247=0,"",'kWh_Streetlight Data'!AM247)</f>
        <v/>
      </c>
      <c r="AM58" s="117" t="str">
        <f>IF('kWh_Streetlight Data'!AN247=0,"",'kWh_Streetlight Data'!AN247)</f>
        <v/>
      </c>
      <c r="AN58" s="464" t="str">
        <f>IF('kWh_Streetlight Data'!AO247=0,"",'kWh_Streetlight Data'!AO247)</f>
        <v/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129" t="str">
        <f>IF('kWh_Streetlight Data'!C198=0,"",'kWh_Streetlight Data'!C198)</f>
        <v/>
      </c>
      <c r="C69" s="130" t="str">
        <f>IF('kWh_Streetlight Data'!D198=0,"",'kWh_Streetlight Data'!D198)</f>
        <v/>
      </c>
      <c r="D69" s="130" t="str">
        <f>IF('kWh_Streetlight Data'!E198=0,"",'kWh_Streetlight Data'!E198)</f>
        <v/>
      </c>
      <c r="E69" s="130" t="str">
        <f>IF('kWh_Streetlight Data'!F198=0,"",'kWh_Streetlight Data'!F198)</f>
        <v/>
      </c>
      <c r="F69" s="130" t="str">
        <f>IF('kWh_Streetlight Data'!G198=0,"",'kWh_Streetlight Data'!G198)</f>
        <v/>
      </c>
      <c r="G69" s="130" t="str">
        <f>IF('kWh_Streetlight Data'!H198=0,"",'kWh_Streetlight Data'!H198)</f>
        <v/>
      </c>
      <c r="H69" s="130" t="str">
        <f>IF('kWh_Streetlight Data'!I198=0,"",'kWh_Streetlight Data'!I198)</f>
        <v/>
      </c>
      <c r="I69" s="130" t="str">
        <f>IF('kWh_Streetlight Data'!J198=0,"",'kWh_Streetlight Data'!J198)</f>
        <v/>
      </c>
      <c r="J69" s="130" t="str">
        <f>IF('kWh_Streetlight Data'!K198=0,"",'kWh_Streetlight Data'!K198)</f>
        <v/>
      </c>
      <c r="K69" s="130" t="str">
        <f>IF('kWh_Streetlight Data'!L198=0,"",'kWh_Streetlight Data'!L198)</f>
        <v/>
      </c>
      <c r="L69" s="130" t="str">
        <f>IF('kWh_Streetlight Data'!M198=0,"",'kWh_Streetlight Data'!M198)</f>
        <v/>
      </c>
      <c r="M69" s="130" t="str">
        <f>IF('kWh_Streetlight Data'!N198=0,"",'kWh_Streetlight Data'!N198)</f>
        <v/>
      </c>
      <c r="N69" s="424" t="str">
        <f>IF('kWh_Streetlight Data'!O198=0,"",'kWh_Streetlight Data'!O198)</f>
        <v/>
      </c>
      <c r="O69" s="84" t="str">
        <f>IF('kWh_Streetlight Data'!P198=0,"",'kWh_Streetlight Data'!P198)</f>
        <v/>
      </c>
      <c r="P69" s="108" t="str">
        <f>IF('kWh_Streetlight Data'!Q198=0,"",'kWh_Streetlight Data'!Q198)</f>
        <v/>
      </c>
      <c r="Q69" s="108" t="str">
        <f>IF('kWh_Streetlight Data'!R198=0,"",'kWh_Streetlight Data'!R198)</f>
        <v/>
      </c>
      <c r="R69" s="108" t="str">
        <f>IF('kWh_Streetlight Data'!S198=0,"",'kWh_Streetlight Data'!S198)</f>
        <v/>
      </c>
      <c r="S69" s="108" t="str">
        <f>IF('kWh_Streetlight Data'!T198=0,"",'kWh_Streetlight Data'!T198)</f>
        <v/>
      </c>
      <c r="T69" s="108" t="str">
        <f>IF('kWh_Streetlight Data'!U198=0,"",'kWh_Streetlight Data'!U198)</f>
        <v/>
      </c>
      <c r="U69" s="108" t="str">
        <f>IF('kWh_Streetlight Data'!V198=0,"",'kWh_Streetlight Data'!V198)</f>
        <v/>
      </c>
      <c r="V69" s="108" t="str">
        <f>IF('kWh_Streetlight Data'!W198=0,"",'kWh_Streetlight Data'!W198)</f>
        <v/>
      </c>
      <c r="W69" s="108" t="str">
        <f>IF('kWh_Streetlight Data'!X198=0,"",'kWh_Streetlight Data'!X198)</f>
        <v/>
      </c>
      <c r="X69" s="108" t="str">
        <f>IF('kWh_Streetlight Data'!Y198=0,"",'kWh_Streetlight Data'!Y198)</f>
        <v/>
      </c>
      <c r="Y69" s="108" t="str">
        <f>IF('kWh_Streetlight Data'!Z198=0,"",'kWh_Streetlight Data'!Z198)</f>
        <v/>
      </c>
      <c r="Z69" s="108" t="str">
        <f>IF('kWh_Streetlight Data'!AA198=0,"",'kWh_Streetlight Data'!AA198)</f>
        <v/>
      </c>
      <c r="AA69" s="424" t="str">
        <f>IF('kWh_Streetlight Data'!AB198=0,"",'kWh_Streetlight Data'!AB198)</f>
        <v/>
      </c>
      <c r="AB69" s="84" t="str">
        <f>IF('kWh_Streetlight Data'!AC198=0,"",'kWh_Streetlight Data'!AC198)</f>
        <v/>
      </c>
      <c r="AC69" s="108" t="str">
        <f>IF('kWh_Streetlight Data'!AD198=0,"",'kWh_Streetlight Data'!AD198)</f>
        <v/>
      </c>
      <c r="AD69" s="108" t="str">
        <f>IF('kWh_Streetlight Data'!AE198=0,"",'kWh_Streetlight Data'!AE198)</f>
        <v/>
      </c>
      <c r="AE69" s="108" t="str">
        <f>IF('kWh_Streetlight Data'!AF198=0,"",'kWh_Streetlight Data'!AF198)</f>
        <v/>
      </c>
      <c r="AF69" s="108" t="str">
        <f>IF('kWh_Streetlight Data'!AG198=0,"",'kWh_Streetlight Data'!AG198)</f>
        <v/>
      </c>
      <c r="AG69" s="108" t="str">
        <f>IF('kWh_Streetlight Data'!AH198=0,"",'kWh_Streetlight Data'!AH198)</f>
        <v/>
      </c>
      <c r="AH69" s="130" t="str">
        <f>IF('kWh_Streetlight Data'!AI198=0,"",'kWh_Streetlight Data'!AI198)</f>
        <v/>
      </c>
      <c r="AI69" s="130" t="str">
        <f>IF('kWh_Streetlight Data'!AJ198=0,"",'kWh_Streetlight Data'!AJ198)</f>
        <v/>
      </c>
      <c r="AJ69" s="130" t="str">
        <f>IF('kWh_Streetlight Data'!AK198=0,"",'kWh_Streetlight Data'!AK198)</f>
        <v/>
      </c>
      <c r="AK69" s="130" t="str">
        <f>IF('kWh_Streetlight Data'!AL198=0,"",'kWh_Streetlight Data'!AL198)</f>
        <v/>
      </c>
      <c r="AL69" s="130" t="str">
        <f>IF('kWh_Streetlight Data'!AM198=0,"",'kWh_Streetlight Data'!AM198)</f>
        <v/>
      </c>
      <c r="AM69" s="130" t="str">
        <f>IF('kWh_Streetlight Data'!AN198=0,"",'kWh_Streetlight Data'!AN198)</f>
        <v/>
      </c>
      <c r="AN69" s="424" t="str">
        <f>IF('kWh_Streetlight Data'!AO198=0,"",'kWh_Streetlight Data'!AO198)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84">
        <f>IF('kWh_Streetlight Data'!C199=0,"",'kWh_Streetlight Data'!C199)</f>
        <v>611.20000000000005</v>
      </c>
      <c r="C79" s="108">
        <f>IF('kWh_Streetlight Data'!D199=0,"",'kWh_Streetlight Data'!D199)</f>
        <v>587</v>
      </c>
      <c r="D79" s="108">
        <f>IF('kWh_Streetlight Data'!E199=0,"",'kWh_Streetlight Data'!E199)</f>
        <v>614.75</v>
      </c>
      <c r="E79" s="108">
        <f>IF('kWh_Streetlight Data'!F199=0,"",'kWh_Streetlight Data'!F199)</f>
        <v>580</v>
      </c>
      <c r="F79" s="108">
        <f>IF('kWh_Streetlight Data'!G199=0,"",'kWh_Streetlight Data'!G199)</f>
        <v>659.75</v>
      </c>
      <c r="G79" s="108">
        <f>IF('kWh_Streetlight Data'!H199=0,"",'kWh_Streetlight Data'!H199)</f>
        <v>417.75</v>
      </c>
      <c r="H79" s="108">
        <f>IF('kWh_Streetlight Data'!I199=0,"",'kWh_Streetlight Data'!I199)</f>
        <v>651.20000000000005</v>
      </c>
      <c r="I79" s="108">
        <f>IF('kWh_Streetlight Data'!J199=0,"",'kWh_Streetlight Data'!J199)</f>
        <v>461</v>
      </c>
      <c r="J79" s="108">
        <f>IF('kWh_Streetlight Data'!K199=0,"",'kWh_Streetlight Data'!K199)</f>
        <v>365.2</v>
      </c>
      <c r="K79" s="108">
        <f>IF('kWh_Streetlight Data'!L199=0,"",'kWh_Streetlight Data'!L199)</f>
        <v>512</v>
      </c>
      <c r="L79" s="108">
        <f>IF('kWh_Streetlight Data'!M199=0,"",'kWh_Streetlight Data'!M199)</f>
        <v>404.6</v>
      </c>
      <c r="M79" s="108">
        <f>IF('kWh_Streetlight Data'!N199=0,"",'kWh_Streetlight Data'!N199)</f>
        <v>436.4</v>
      </c>
      <c r="N79" s="424">
        <f>IF('kWh_Streetlight Data'!O199=0,"",'kWh_Streetlight Data'!O199)</f>
        <v>522</v>
      </c>
      <c r="O79" s="84">
        <f>IF('kWh_Streetlight Data'!P199=0,"",'kWh_Streetlight Data'!P199)</f>
        <v>459</v>
      </c>
      <c r="P79" s="108">
        <f>IF('kWh_Streetlight Data'!Q199=0,"",'kWh_Streetlight Data'!Q199)</f>
        <v>427.2</v>
      </c>
      <c r="Q79" s="108">
        <f>IF('kWh_Streetlight Data'!R199=0,"",'kWh_Streetlight Data'!R199)</f>
        <v>389.2</v>
      </c>
      <c r="R79" s="108">
        <f>IF('kWh_Streetlight Data'!S199=0,"",'kWh_Streetlight Data'!S199)</f>
        <v>408.6</v>
      </c>
      <c r="S79" s="108">
        <f>IF('kWh_Streetlight Data'!T199=0,"",'kWh_Streetlight Data'!T199)</f>
        <v>471.2</v>
      </c>
      <c r="T79" s="108">
        <f>IF('kWh_Streetlight Data'!U199=0,"",'kWh_Streetlight Data'!U199)</f>
        <v>368.4</v>
      </c>
      <c r="U79" s="108">
        <f>IF('kWh_Streetlight Data'!V199=0,"",'kWh_Streetlight Data'!V199)</f>
        <v>236</v>
      </c>
      <c r="V79" s="108">
        <f>IF('kWh_Streetlight Data'!W199=0,"",'kWh_Streetlight Data'!W199)</f>
        <v>356.6</v>
      </c>
      <c r="W79" s="108">
        <f>IF('kWh_Streetlight Data'!X199=0,"",'kWh_Streetlight Data'!X199)</f>
        <v>313</v>
      </c>
      <c r="X79" s="108">
        <f>IF('kWh_Streetlight Data'!Y199=0,"",'kWh_Streetlight Data'!Y199)</f>
        <v>341.8</v>
      </c>
      <c r="Y79" s="108">
        <f>IF('kWh_Streetlight Data'!Z199=0,"",'kWh_Streetlight Data'!Z199)</f>
        <v>446.2</v>
      </c>
      <c r="Z79" s="108">
        <f>IF('kWh_Streetlight Data'!AA199=0,"",'kWh_Streetlight Data'!AA199)</f>
        <v>456.6</v>
      </c>
      <c r="AA79" s="424">
        <f>IF('kWh_Streetlight Data'!AB199=0,"",'kWh_Streetlight Data'!AB199)</f>
        <v>389.48333333333335</v>
      </c>
      <c r="AB79" s="129">
        <f>IF('kWh_Streetlight Data'!AC199=0,"",'kWh_Streetlight Data'!AC199)</f>
        <v>483.8</v>
      </c>
      <c r="AC79" s="130">
        <f>IF('kWh_Streetlight Data'!AD199=0,"",'kWh_Streetlight Data'!AD199)</f>
        <v>481.2</v>
      </c>
      <c r="AD79" s="130">
        <f>IF('kWh_Streetlight Data'!AE199=0,"",'kWh_Streetlight Data'!AE199)</f>
        <v>956.6</v>
      </c>
      <c r="AE79" s="130">
        <f>IF('kWh_Streetlight Data'!AF199=0,"",'kWh_Streetlight Data'!AF199)</f>
        <v>866</v>
      </c>
      <c r="AF79" s="130">
        <f>IF('kWh_Streetlight Data'!AG199=0,"",'kWh_Streetlight Data'!AG199)</f>
        <v>686.6</v>
      </c>
      <c r="AG79" s="130">
        <f>IF('kWh_Streetlight Data'!AH199=0,"",'kWh_Streetlight Data'!AH199)</f>
        <v>339.2</v>
      </c>
      <c r="AH79" s="130">
        <f>IF('kWh_Streetlight Data'!AI199=0,"",'kWh_Streetlight Data'!AI199)</f>
        <v>454</v>
      </c>
      <c r="AI79" s="130">
        <f>IF('kWh_Streetlight Data'!AJ199=0,"",'kWh_Streetlight Data'!AJ199)</f>
        <v>667.4</v>
      </c>
      <c r="AJ79" s="130">
        <f>IF('kWh_Streetlight Data'!AK199=0,"",'kWh_Streetlight Data'!AK199)</f>
        <v>362</v>
      </c>
      <c r="AK79" s="130">
        <f>IF('kWh_Streetlight Data'!AL199=0,"",'kWh_Streetlight Data'!AL199)</f>
        <v>639.6</v>
      </c>
      <c r="AL79" s="130">
        <f>IF('kWh_Streetlight Data'!AM199=0,"",'kWh_Streetlight Data'!AM199)</f>
        <v>601.79999999999995</v>
      </c>
      <c r="AM79" s="130">
        <f>IF('kWh_Streetlight Data'!AN199=0,"",'kWh_Streetlight Data'!AN199)</f>
        <v>679.4</v>
      </c>
      <c r="AN79" s="424">
        <f>IF('kWh_Streetlight Data'!AO199=0,"",'kWh_Streetlight Data'!AO199)</f>
        <v>601.4666666666667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Data'!C200=0,"",'kWh_Streetlight Data'!C200)</f>
        <v/>
      </c>
      <c r="C83" s="108" t="str">
        <f>IF('kWh_Streetlight Data'!D200=0,"",'kWh_Streetlight Data'!D200)</f>
        <v/>
      </c>
      <c r="D83" s="108" t="str">
        <f>IF('kWh_Streetlight Data'!E200=0,"",'kWh_Streetlight Data'!E200)</f>
        <v/>
      </c>
      <c r="E83" s="108" t="str">
        <f>IF('kWh_Streetlight Data'!F200=0,"",'kWh_Streetlight Data'!F200)</f>
        <v/>
      </c>
      <c r="F83" s="108" t="str">
        <f>IF('kWh_Streetlight Data'!G200=0,"",'kWh_Streetlight Data'!G200)</f>
        <v/>
      </c>
      <c r="G83" s="108" t="str">
        <f>IF('kWh_Streetlight Data'!H200=0,"",'kWh_Streetlight Data'!H200)</f>
        <v/>
      </c>
      <c r="H83" s="108" t="str">
        <f>IF('kWh_Streetlight Data'!I200=0,"",'kWh_Streetlight Data'!I200)</f>
        <v/>
      </c>
      <c r="I83" s="108" t="str">
        <f>IF('kWh_Streetlight Data'!J200=0,"",'kWh_Streetlight Data'!J200)</f>
        <v/>
      </c>
      <c r="J83" s="108" t="str">
        <f>IF('kWh_Streetlight Data'!K200=0,"",'kWh_Streetlight Data'!K200)</f>
        <v/>
      </c>
      <c r="K83" s="108" t="str">
        <f>IF('kWh_Streetlight Data'!L200=0,"",'kWh_Streetlight Data'!L200)</f>
        <v/>
      </c>
      <c r="L83" s="108" t="str">
        <f>IF('kWh_Streetlight Data'!M200=0,"",'kWh_Streetlight Data'!M200)</f>
        <v/>
      </c>
      <c r="M83" s="108" t="str">
        <f>IF('kWh_Streetlight Data'!N200=0,"",'kWh_Streetlight Data'!N200)</f>
        <v/>
      </c>
      <c r="N83" s="424" t="str">
        <f>IF('kWh_Streetlight Data'!O200=0,"",'kWh_Streetlight Data'!O200)</f>
        <v/>
      </c>
      <c r="O83" s="84" t="str">
        <f>IF('kWh_Streetlight Data'!P200=0,"",'kWh_Streetlight Data'!P200)</f>
        <v/>
      </c>
      <c r="P83" s="108" t="str">
        <f>IF('kWh_Streetlight Data'!Q200=0,"",'kWh_Streetlight Data'!Q200)</f>
        <v/>
      </c>
      <c r="Q83" s="108" t="str">
        <f>IF('kWh_Streetlight Data'!R200=0,"",'kWh_Streetlight Data'!R200)</f>
        <v/>
      </c>
      <c r="R83" s="108" t="str">
        <f>IF('kWh_Streetlight Data'!S200=0,"",'kWh_Streetlight Data'!S200)</f>
        <v/>
      </c>
      <c r="S83" s="108" t="str">
        <f>IF('kWh_Streetlight Data'!T200=0,"",'kWh_Streetlight Data'!T200)</f>
        <v/>
      </c>
      <c r="T83" s="108" t="str">
        <f>IF('kWh_Streetlight Data'!U200=0,"",'kWh_Streetlight Data'!U200)</f>
        <v/>
      </c>
      <c r="U83" s="108" t="str">
        <f>IF('kWh_Streetlight Data'!V200=0,"",'kWh_Streetlight Data'!V200)</f>
        <v/>
      </c>
      <c r="V83" s="108" t="str">
        <f>IF('kWh_Streetlight Data'!W200=0,"",'kWh_Streetlight Data'!W200)</f>
        <v/>
      </c>
      <c r="W83" s="108" t="str">
        <f>IF('kWh_Streetlight Data'!X200=0,"",'kWh_Streetlight Data'!X200)</f>
        <v/>
      </c>
      <c r="X83" s="108" t="str">
        <f>IF('kWh_Streetlight Data'!Y200=0,"",'kWh_Streetlight Data'!Y200)</f>
        <v/>
      </c>
      <c r="Y83" s="108" t="str">
        <f>IF('kWh_Streetlight Data'!Z200=0,"",'kWh_Streetlight Data'!Z200)</f>
        <v/>
      </c>
      <c r="Z83" s="108" t="str">
        <f>IF('kWh_Streetlight Data'!AA200=0,"",'kWh_Streetlight Data'!AA200)</f>
        <v/>
      </c>
      <c r="AA83" s="424" t="str">
        <f>IF('kWh_Streetlight Data'!AB200=0,"",'kWh_Streetlight Data'!AB200)</f>
        <v/>
      </c>
      <c r="AB83" s="442" t="str">
        <f>IF('kWh_Streetlight Data'!AC200=0,"",'kWh_Streetlight Data'!AC200)</f>
        <v/>
      </c>
      <c r="AC83" s="443" t="str">
        <f>IF('kWh_Streetlight Data'!AD200=0,"",'kWh_Streetlight Data'!AD200)</f>
        <v/>
      </c>
      <c r="AD83" s="443" t="str">
        <f>IF('kWh_Streetlight Data'!AE200=0,"",'kWh_Streetlight Data'!AE200)</f>
        <v/>
      </c>
      <c r="AE83" s="443" t="str">
        <f>IF('kWh_Streetlight Data'!AF200=0,"",'kWh_Streetlight Data'!AF200)</f>
        <v/>
      </c>
      <c r="AF83" s="443" t="str">
        <f>IF('kWh_Streetlight Data'!AG200=0,"",'kWh_Streetlight Data'!AG200)</f>
        <v/>
      </c>
      <c r="AG83" s="443" t="str">
        <f>IF('kWh_Streetlight Data'!AH200=0,"",'kWh_Streetlight Data'!AH200)</f>
        <v/>
      </c>
      <c r="AH83" s="108" t="str">
        <f>IF('kWh_Streetlight Data'!AI200=0,"",'kWh_Streetlight Data'!AI200)</f>
        <v/>
      </c>
      <c r="AI83" s="108" t="str">
        <f>IF('kWh_Streetlight Data'!AJ200=0,"",'kWh_Streetlight Data'!AJ200)</f>
        <v/>
      </c>
      <c r="AJ83" s="108" t="str">
        <f>IF('kWh_Streetlight Data'!AK200=0,"",'kWh_Streetlight Data'!AK200)</f>
        <v/>
      </c>
      <c r="AK83" s="108" t="str">
        <f>IF('kWh_Streetlight Data'!AL200=0,"",'kWh_Streetlight Data'!AL200)</f>
        <v/>
      </c>
      <c r="AL83" s="108" t="str">
        <f>IF('kWh_Streetlight Data'!AM200=0,"",'kWh_Streetlight Data'!AM200)</f>
        <v/>
      </c>
      <c r="AM83" s="108" t="str">
        <f>IF('kWh_Streetlight Data'!AN200=0,"",'kWh_Streetlight Data'!AN200)</f>
        <v/>
      </c>
      <c r="AN83" s="424" t="str">
        <f>IF('kWh_Streetlight Data'!AO200=0,"",'kWh_Streetlight Data'!AO200)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Data'!C201=0,"",'kWh_Streetlight Data'!C201)</f>
        <v>5429.833333333333</v>
      </c>
      <c r="C88" s="108">
        <f>IF('kWh_Streetlight Data'!D201=0,"",'kWh_Streetlight Data'!D201)</f>
        <v>4710</v>
      </c>
      <c r="D88" s="108">
        <f>IF('kWh_Streetlight Data'!E201=0,"",'kWh_Streetlight Data'!E201)</f>
        <v>4357.6153846153848</v>
      </c>
      <c r="E88" s="108">
        <f>IF('kWh_Streetlight Data'!F201=0,"",'kWh_Streetlight Data'!F201)</f>
        <v>4023.9166666666665</v>
      </c>
      <c r="F88" s="108">
        <f>IF('kWh_Streetlight Data'!G201=0,"",'kWh_Streetlight Data'!G201)</f>
        <v>4708.416666666667</v>
      </c>
      <c r="G88" s="108">
        <f>IF('kWh_Streetlight Data'!H201=0,"",'kWh_Streetlight Data'!H201)</f>
        <v>2088.3333333333335</v>
      </c>
      <c r="H88" s="108">
        <f>IF('kWh_Streetlight Data'!I201=0,"",'kWh_Streetlight Data'!I201)</f>
        <v>2116.6666666666665</v>
      </c>
      <c r="I88" s="108">
        <f>IF('kWh_Streetlight Data'!J201=0,"",'kWh_Streetlight Data'!J201)</f>
        <v>1395.4615384615386</v>
      </c>
      <c r="J88" s="108" t="str">
        <f>IF('kWh_Streetlight Data'!K201=0,"",'kWh_Streetlight Data'!K201)</f>
        <v/>
      </c>
      <c r="K88" s="108">
        <f>IF('kWh_Streetlight Data'!L201=0,"",'kWh_Streetlight Data'!L201)</f>
        <v>2531.2777777777778</v>
      </c>
      <c r="L88" s="108">
        <f>IF('kWh_Streetlight Data'!M201=0,"",'kWh_Streetlight Data'!M201)</f>
        <v>2316.8461538461538</v>
      </c>
      <c r="M88" s="108">
        <f>IF('kWh_Streetlight Data'!N201=0,"",'kWh_Streetlight Data'!N201)</f>
        <v>3312.3846153846152</v>
      </c>
      <c r="N88" s="424">
        <f>IF('kWh_Streetlight Data'!O201=0,"",'kWh_Streetlight Data'!O201)</f>
        <v>2670.6835443037976</v>
      </c>
      <c r="O88" s="84">
        <f>IF('kWh_Streetlight Data'!P201=0,"",'kWh_Streetlight Data'!P201)</f>
        <v>4396.5384615384619</v>
      </c>
      <c r="P88" s="108">
        <f>IF('kWh_Streetlight Data'!Q201=0,"",'kWh_Streetlight Data'!Q201)</f>
        <v>4396.9230769230771</v>
      </c>
      <c r="Q88" s="108">
        <f>IF('kWh_Streetlight Data'!R201=0,"",'kWh_Streetlight Data'!R201)</f>
        <v>3948.2307692307691</v>
      </c>
      <c r="R88" s="108">
        <f>IF('kWh_Streetlight Data'!S201=0,"",'kWh_Streetlight Data'!S201)</f>
        <v>3761</v>
      </c>
      <c r="S88" s="108">
        <f>IF('kWh_Streetlight Data'!T201=0,"",'kWh_Streetlight Data'!T201)</f>
        <v>3477.2142857142858</v>
      </c>
      <c r="T88" s="108">
        <f>IF('kWh_Streetlight Data'!U201=0,"",'kWh_Streetlight Data'!U201)</f>
        <v>2160.7692307692309</v>
      </c>
      <c r="U88" s="108">
        <f>IF('kWh_Streetlight Data'!V201=0,"",'kWh_Streetlight Data'!V201)</f>
        <v>1371.9230769230769</v>
      </c>
      <c r="V88" s="108">
        <f>IF('kWh_Streetlight Data'!W201=0,"",'kWh_Streetlight Data'!W201)</f>
        <v>1732.3333333333333</v>
      </c>
      <c r="W88" s="108">
        <f>IF('kWh_Streetlight Data'!X201=0,"",'kWh_Streetlight Data'!X201)</f>
        <v>1438</v>
      </c>
      <c r="X88" s="108">
        <f>IF('kWh_Streetlight Data'!Y201=0,"",'kWh_Streetlight Data'!Y201)</f>
        <v>2028.0833333333333</v>
      </c>
      <c r="Y88" s="108">
        <f>IF('kWh_Streetlight Data'!Z201=0,"",'kWh_Streetlight Data'!Z201)</f>
        <v>2476.9230769230771</v>
      </c>
      <c r="Z88" s="108">
        <f>IF('kWh_Streetlight Data'!AA201=0,"",'kWh_Streetlight Data'!AA201)</f>
        <v>2825</v>
      </c>
      <c r="AA88" s="426">
        <f>IF('kWh_Streetlight Data'!AB201=0,"",'kWh_Streetlight Data'!AB201)</f>
        <v>2856.503184713376</v>
      </c>
      <c r="AB88" s="442">
        <f>IF('kWh_Streetlight Data'!AC201=0,"",'kWh_Streetlight Data'!AC201)</f>
        <v>4079.2307692307691</v>
      </c>
      <c r="AC88" s="443">
        <f>IF('kWh_Streetlight Data'!AD201=0,"",'kWh_Streetlight Data'!AD201)</f>
        <v>2945</v>
      </c>
      <c r="AD88" s="443">
        <f>IF('kWh_Streetlight Data'!AE201=0,"",'kWh_Streetlight Data'!AE201)</f>
        <v>3775.6153846153848</v>
      </c>
      <c r="AE88" s="443">
        <f>IF('kWh_Streetlight Data'!AF201=0,"",'kWh_Streetlight Data'!AF201)</f>
        <v>3100.0769230769229</v>
      </c>
      <c r="AF88" s="443">
        <f>IF('kWh_Streetlight Data'!AG201=0,"",'kWh_Streetlight Data'!AG201)</f>
        <v>2931.6153846153848</v>
      </c>
      <c r="AG88" s="443">
        <f>IF('kWh_Streetlight Data'!AH201=0,"",'kWh_Streetlight Data'!AH201)</f>
        <v>2093.3333333333335</v>
      </c>
      <c r="AH88" s="443">
        <f>IF('kWh_Streetlight Data'!AI201=0,"",'kWh_Streetlight Data'!AI201)</f>
        <v>1747.3333333333333</v>
      </c>
      <c r="AI88" s="443">
        <f>IF('kWh_Streetlight Data'!AJ201=0,"",'kWh_Streetlight Data'!AJ201)</f>
        <v>2095.5</v>
      </c>
      <c r="AJ88" s="443">
        <f>IF('kWh_Streetlight Data'!AK201=0,"",'kWh_Streetlight Data'!AK201)</f>
        <v>2032</v>
      </c>
      <c r="AK88" s="443">
        <f>IF('kWh_Streetlight Data'!AL201=0,"",'kWh_Streetlight Data'!AL201)</f>
        <v>2236.6666666666665</v>
      </c>
      <c r="AL88" s="443">
        <f>IF('kWh_Streetlight Data'!AM201=0,"",'kWh_Streetlight Data'!AM201)</f>
        <v>1826.0588235294117</v>
      </c>
      <c r="AM88" s="443">
        <f>IF('kWh_Streetlight Data'!AN201=0,"",'kWh_Streetlight Data'!AN201)</f>
        <v>3269.625</v>
      </c>
      <c r="AN88" s="424">
        <f>IF('kWh_Streetlight Data'!AO201=0,"",'kWh_Streetlight Data'!AO201)</f>
        <v>2671.679012345679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210"/>
      <c r="BO92" s="13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64"/>
      <c r="BJ93" s="64"/>
      <c r="BK93" s="160"/>
      <c r="BL93" s="160"/>
      <c r="BM93" s="160"/>
      <c r="BN93" s="196">
        <f>SUM(BB93:BM93)</f>
        <v>0</v>
      </c>
      <c r="BO93" s="147"/>
    </row>
    <row r="94" spans="1:67" ht="15.75" customHeight="1" thickTop="1">
      <c r="A94" s="374" t="s">
        <v>54</v>
      </c>
      <c r="B94" s="84" t="str">
        <f>IF('kWh_Streetlight Data'!C202=0,"",'kWh_Streetlight Data'!C202)</f>
        <v/>
      </c>
      <c r="C94" s="108" t="str">
        <f>IF('kWh_Streetlight Data'!D202=0,"",'kWh_Streetlight Data'!D202)</f>
        <v/>
      </c>
      <c r="D94" s="108" t="str">
        <f>IF('kWh_Streetlight Data'!E202=0,"",'kWh_Streetlight Data'!E202)</f>
        <v/>
      </c>
      <c r="E94" s="108" t="str">
        <f>IF('kWh_Streetlight Data'!F202=0,"",'kWh_Streetlight Data'!F202)</f>
        <v/>
      </c>
      <c r="F94" s="108" t="str">
        <f>IF('kWh_Streetlight Data'!G202=0,"",'kWh_Streetlight Data'!G202)</f>
        <v/>
      </c>
      <c r="G94" s="108" t="str">
        <f>IF('kWh_Streetlight Data'!H202=0,"",'kWh_Streetlight Data'!H202)</f>
        <v/>
      </c>
      <c r="H94" s="108" t="str">
        <f>IF('kWh_Streetlight Data'!I202=0,"",'kWh_Streetlight Data'!I202)</f>
        <v/>
      </c>
      <c r="I94" s="108" t="str">
        <f>IF('kWh_Streetlight Data'!J202=0,"",'kWh_Streetlight Data'!J202)</f>
        <v/>
      </c>
      <c r="J94" s="108" t="str">
        <f>IF('kWh_Streetlight Data'!K202=0,"",'kWh_Streetlight Data'!K202)</f>
        <v/>
      </c>
      <c r="K94" s="108" t="str">
        <f>IF('kWh_Streetlight Data'!L202=0,"",'kWh_Streetlight Data'!L202)</f>
        <v/>
      </c>
      <c r="L94" s="130" t="str">
        <f>IF('kWh_Streetlight Data'!M202=0,"",'kWh_Streetlight Data'!M202)</f>
        <v/>
      </c>
      <c r="M94" s="130" t="str">
        <f>IF('kWh_Streetlight Data'!N202=0,"",'kWh_Streetlight Data'!N202)</f>
        <v/>
      </c>
      <c r="N94" s="425" t="str">
        <f>IF('kWh_Streetlight Data'!O202=0,"",'kWh_Streetlight Data'!O202)</f>
        <v/>
      </c>
      <c r="O94" s="84" t="str">
        <f>IF('kWh_Streetlight Data'!P202=0,"",'kWh_Streetlight Data'!P202)</f>
        <v/>
      </c>
      <c r="P94" s="108" t="str">
        <f>IF('kWh_Streetlight Data'!Q202=0,"",'kWh_Streetlight Data'!Q202)</f>
        <v/>
      </c>
      <c r="Q94" s="108" t="str">
        <f>IF('kWh_Streetlight Data'!R202=0,"",'kWh_Streetlight Data'!R202)</f>
        <v/>
      </c>
      <c r="R94" s="108" t="str">
        <f>IF('kWh_Streetlight Data'!S202=0,"",'kWh_Streetlight Data'!S202)</f>
        <v/>
      </c>
      <c r="S94" s="108" t="str">
        <f>IF('kWh_Streetlight Data'!T202=0,"",'kWh_Streetlight Data'!T202)</f>
        <v/>
      </c>
      <c r="T94" s="108" t="str">
        <f>IF('kWh_Streetlight Data'!U202=0,"",'kWh_Streetlight Data'!U202)</f>
        <v/>
      </c>
      <c r="U94" s="108" t="str">
        <f>IF('kWh_Streetlight Data'!V202=0,"",'kWh_Streetlight Data'!V202)</f>
        <v/>
      </c>
      <c r="V94" s="108" t="str">
        <f>IF('kWh_Streetlight Data'!W202=0,"",'kWh_Streetlight Data'!W202)</f>
        <v/>
      </c>
      <c r="W94" s="108" t="str">
        <f>IF('kWh_Streetlight Data'!X202=0,"",'kWh_Streetlight Data'!X202)</f>
        <v/>
      </c>
      <c r="X94" s="108" t="str">
        <f>IF('kWh_Streetlight Data'!Y202=0,"",'kWh_Streetlight Data'!Y202)</f>
        <v/>
      </c>
      <c r="Y94" s="108" t="str">
        <f>IF('kWh_Streetlight Data'!Z202=0,"",'kWh_Streetlight Data'!Z202)</f>
        <v/>
      </c>
      <c r="Z94" s="108" t="str">
        <f>IF('kWh_Streetlight Data'!AA202=0,"",'kWh_Streetlight Data'!AA202)</f>
        <v/>
      </c>
      <c r="AA94" s="426" t="str">
        <f>IF('kWh_Streetlight Data'!AB202=0,"",'kWh_Streetlight Data'!AB202)</f>
        <v/>
      </c>
      <c r="AB94" s="84" t="str">
        <f>IF('kWh_Streetlight Data'!AC202=0,"",'kWh_Streetlight Data'!AC202)</f>
        <v/>
      </c>
      <c r="AC94" s="108" t="str">
        <f>IF('kWh_Streetlight Data'!AD202=0,"",'kWh_Streetlight Data'!AD202)</f>
        <v/>
      </c>
      <c r="AD94" s="108" t="str">
        <f>IF('kWh_Streetlight Data'!AE202=0,"",'kWh_Streetlight Data'!AE202)</f>
        <v/>
      </c>
      <c r="AE94" s="108" t="str">
        <f>IF('kWh_Streetlight Data'!AF202=0,"",'kWh_Streetlight Data'!AF202)</f>
        <v/>
      </c>
      <c r="AF94" s="108" t="str">
        <f>IF('kWh_Streetlight Data'!AG202=0,"",'kWh_Streetlight Data'!AG202)</f>
        <v/>
      </c>
      <c r="AG94" s="108" t="str">
        <f>IF('kWh_Streetlight Data'!AH202=0,"",'kWh_Streetlight Data'!AH202)</f>
        <v/>
      </c>
      <c r="AH94" s="108" t="str">
        <f>IF('kWh_Streetlight Data'!AI202=0,"",'kWh_Streetlight Data'!AI202)</f>
        <v/>
      </c>
      <c r="AI94" s="108" t="str">
        <f>IF('kWh_Streetlight Data'!AJ202=0,"",'kWh_Streetlight Data'!AJ202)</f>
        <v/>
      </c>
      <c r="AJ94" s="108" t="str">
        <f>IF('kWh_Streetlight Data'!AK202=0,"",'kWh_Streetlight Data'!AK202)</f>
        <v/>
      </c>
      <c r="AK94" s="108" t="str">
        <f>IF('kWh_Streetlight Data'!AL202=0,"",'kWh_Streetlight Data'!AL202)</f>
        <v/>
      </c>
      <c r="AL94" s="108" t="str">
        <f>IF('kWh_Streetlight Data'!AM202=0,"",'kWh_Streetlight Data'!AM202)</f>
        <v/>
      </c>
      <c r="AM94" s="108" t="str">
        <f>IF('kWh_Streetlight Data'!AN202=0,"",'kWh_Streetlight Data'!AN202)</f>
        <v/>
      </c>
      <c r="AN94" s="424" t="str">
        <f>IF('kWh_Streetlight Data'!AO202=0,"",'kWh_Streetlight Data'!AO202)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211"/>
      <c r="BO94" s="11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/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/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/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/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/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/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/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/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/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/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/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/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/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/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/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/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/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23</v>
      </c>
      <c r="AV119" s="280">
        <f>AU119</f>
        <v>23</v>
      </c>
      <c r="AW119" s="280">
        <f>AV119</f>
        <v>23</v>
      </c>
      <c r="AX119" s="280">
        <f t="shared" ref="AX119:AZ119" si="0">AW119</f>
        <v>23</v>
      </c>
      <c r="AY119" s="280">
        <f t="shared" si="0"/>
        <v>23</v>
      </c>
      <c r="AZ119" s="280">
        <f t="shared" si="0"/>
        <v>23</v>
      </c>
      <c r="BA119" s="259"/>
      <c r="BB119" s="280">
        <v>23</v>
      </c>
      <c r="BC119" s="280">
        <v>23</v>
      </c>
      <c r="BD119" s="280">
        <v>23</v>
      </c>
      <c r="BE119" s="280">
        <v>23</v>
      </c>
      <c r="BF119" s="280">
        <f t="shared" ref="BF119:BM119" si="1">BE119</f>
        <v>23</v>
      </c>
      <c r="BG119" s="280">
        <f t="shared" si="1"/>
        <v>23</v>
      </c>
      <c r="BH119" s="280">
        <f t="shared" si="1"/>
        <v>23</v>
      </c>
      <c r="BI119" s="280">
        <f t="shared" si="1"/>
        <v>23</v>
      </c>
      <c r="BJ119" s="280">
        <f t="shared" si="1"/>
        <v>23</v>
      </c>
      <c r="BK119" s="280">
        <f t="shared" si="1"/>
        <v>23</v>
      </c>
      <c r="BL119" s="280">
        <f t="shared" si="1"/>
        <v>23</v>
      </c>
      <c r="BM119" s="280">
        <f t="shared" si="1"/>
        <v>23</v>
      </c>
      <c r="BN119" s="259"/>
      <c r="BO119" s="343">
        <f>BM119</f>
        <v>23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0</v>
      </c>
      <c r="AU120" s="107">
        <f>ROUND(AV108/30*AU119,0)</f>
        <v>0</v>
      </c>
      <c r="AV120" s="39">
        <f>ROUND(AW108/30*AV119,0)</f>
        <v>0</v>
      </c>
      <c r="AW120" s="39">
        <f>ROUND(AX108/30*AW119,0)</f>
        <v>0</v>
      </c>
      <c r="AX120" s="39">
        <f>ROUND(AY108/30*AX119,0)</f>
        <v>0</v>
      </c>
      <c r="AY120" s="39">
        <f>ROUND(AZ108/30*AY119,0)</f>
        <v>0</v>
      </c>
      <c r="AZ120" s="39">
        <f>ROUND(BB108/30*AZ119,0)</f>
        <v>0</v>
      </c>
      <c r="BA120" s="215"/>
      <c r="BB120" s="57">
        <v>0</v>
      </c>
      <c r="BC120" s="57">
        <v>0</v>
      </c>
      <c r="BD120" s="57">
        <v>0</v>
      </c>
      <c r="BE120" s="57">
        <v>0</v>
      </c>
      <c r="BF120" s="57">
        <f t="shared" ref="BF120:BL120" si="2">BG108/30*BF119</f>
        <v>0</v>
      </c>
      <c r="BG120" s="57">
        <f t="shared" si="2"/>
        <v>0</v>
      </c>
      <c r="BH120" s="57">
        <f t="shared" si="2"/>
        <v>0</v>
      </c>
      <c r="BI120" s="57">
        <f t="shared" si="2"/>
        <v>0</v>
      </c>
      <c r="BJ120" s="57">
        <f t="shared" si="2"/>
        <v>0</v>
      </c>
      <c r="BK120" s="57">
        <f t="shared" si="2"/>
        <v>0</v>
      </c>
      <c r="BL120" s="57">
        <f t="shared" si="2"/>
        <v>0</v>
      </c>
      <c r="BM120" s="57">
        <f>ROUND(BO108*0.11/30*BM119,0)</f>
        <v>0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3">ROUND(BG110/30*BF119,0)</f>
        <v>0</v>
      </c>
      <c r="BG121" s="57">
        <f t="shared" si="3"/>
        <v>0</v>
      </c>
      <c r="BH121" s="57">
        <f t="shared" si="3"/>
        <v>0</v>
      </c>
      <c r="BI121" s="57">
        <f t="shared" si="3"/>
        <v>0</v>
      </c>
      <c r="BJ121" s="57">
        <f t="shared" si="3"/>
        <v>0</v>
      </c>
      <c r="BK121" s="57">
        <f t="shared" si="3"/>
        <v>0</v>
      </c>
      <c r="BL121" s="57">
        <f t="shared" si="3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0</v>
      </c>
      <c r="AV122" s="57">
        <f t="shared" ref="AV122:AZ123" si="4">-AU120</f>
        <v>0</v>
      </c>
      <c r="AW122" s="57">
        <f t="shared" si="4"/>
        <v>0</v>
      </c>
      <c r="AX122" s="57">
        <f t="shared" si="4"/>
        <v>0</v>
      </c>
      <c r="AY122" s="57">
        <f t="shared" si="4"/>
        <v>0</v>
      </c>
      <c r="AZ122" s="57">
        <f t="shared" si="4"/>
        <v>0</v>
      </c>
      <c r="BA122" s="215"/>
      <c r="BB122" s="57">
        <v>0</v>
      </c>
      <c r="BC122" s="57">
        <v>0</v>
      </c>
      <c r="BD122" s="57">
        <v>0</v>
      </c>
      <c r="BE122" s="57">
        <v>0</v>
      </c>
      <c r="BF122" s="57">
        <f t="shared" ref="BF122:BM123" si="5">-BE120</f>
        <v>0</v>
      </c>
      <c r="BG122" s="57">
        <f t="shared" si="5"/>
        <v>0</v>
      </c>
      <c r="BH122" s="57">
        <f t="shared" si="5"/>
        <v>0</v>
      </c>
      <c r="BI122" s="57">
        <f t="shared" si="5"/>
        <v>0</v>
      </c>
      <c r="BJ122" s="57">
        <f t="shared" si="5"/>
        <v>0</v>
      </c>
      <c r="BK122" s="57">
        <f t="shared" si="5"/>
        <v>0</v>
      </c>
      <c r="BL122" s="57">
        <f t="shared" si="5"/>
        <v>0</v>
      </c>
      <c r="BM122" s="57">
        <f t="shared" si="5"/>
        <v>0</v>
      </c>
      <c r="BN122" s="215"/>
      <c r="BO122" s="141">
        <f>-BM120</f>
        <v>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4"/>
        <v>0</v>
      </c>
      <c r="AW123" s="57">
        <f t="shared" si="4"/>
        <v>0</v>
      </c>
      <c r="AX123" s="57">
        <f t="shared" si="4"/>
        <v>0</v>
      </c>
      <c r="AY123" s="57">
        <f t="shared" si="4"/>
        <v>0</v>
      </c>
      <c r="AZ123" s="57">
        <f t="shared" si="4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5"/>
        <v>0</v>
      </c>
      <c r="BG123" s="57">
        <f t="shared" si="5"/>
        <v>0</v>
      </c>
      <c r="BH123" s="57">
        <f t="shared" si="5"/>
        <v>0</v>
      </c>
      <c r="BI123" s="57">
        <f t="shared" si="5"/>
        <v>0</v>
      </c>
      <c r="BJ123" s="57">
        <f t="shared" si="5"/>
        <v>0</v>
      </c>
      <c r="BK123" s="57">
        <f t="shared" si="5"/>
        <v>0</v>
      </c>
      <c r="BL123" s="57">
        <f t="shared" si="5"/>
        <v>0</v>
      </c>
      <c r="BM123" s="57">
        <f t="shared" si="5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0</v>
      </c>
      <c r="AV124" s="344">
        <f t="shared" ref="AV124:AZ124" si="6">SUM(AV120:AV123)</f>
        <v>0</v>
      </c>
      <c r="AW124" s="344">
        <f t="shared" si="6"/>
        <v>0</v>
      </c>
      <c r="AX124" s="344">
        <f t="shared" si="6"/>
        <v>0</v>
      </c>
      <c r="AY124" s="344">
        <f t="shared" si="6"/>
        <v>0</v>
      </c>
      <c r="AZ124" s="344">
        <f t="shared" si="6"/>
        <v>0</v>
      </c>
      <c r="BA124" s="345"/>
      <c r="BB124" s="344">
        <v>0</v>
      </c>
      <c r="BC124" s="344">
        <v>0</v>
      </c>
      <c r="BD124" s="344">
        <v>0</v>
      </c>
      <c r="BE124" s="344">
        <v>0</v>
      </c>
      <c r="BF124" s="344">
        <f t="shared" ref="BF124:BO124" si="7">SUM(BF120:BF123)</f>
        <v>0</v>
      </c>
      <c r="BG124" s="344">
        <f t="shared" si="7"/>
        <v>0</v>
      </c>
      <c r="BH124" s="344">
        <f t="shared" si="7"/>
        <v>0</v>
      </c>
      <c r="BI124" s="344">
        <f t="shared" si="7"/>
        <v>0</v>
      </c>
      <c r="BJ124" s="344">
        <f t="shared" si="7"/>
        <v>0</v>
      </c>
      <c r="BK124" s="344">
        <f t="shared" si="7"/>
        <v>0</v>
      </c>
      <c r="BL124" s="344">
        <f t="shared" si="7"/>
        <v>0</v>
      </c>
      <c r="BM124" s="344">
        <f t="shared" si="7"/>
        <v>0</v>
      </c>
      <c r="BN124" s="345"/>
      <c r="BO124" s="272">
        <f t="shared" si="7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23</v>
      </c>
      <c r="AV125" s="344">
        <f>AU125</f>
        <v>23</v>
      </c>
      <c r="AW125" s="344">
        <f>AV125</f>
        <v>23</v>
      </c>
      <c r="AX125" s="344">
        <f t="shared" ref="AX125:AZ125" si="8">AW125</f>
        <v>23</v>
      </c>
      <c r="AY125" s="344">
        <f t="shared" si="8"/>
        <v>23</v>
      </c>
      <c r="AZ125" s="344">
        <f t="shared" si="8"/>
        <v>23</v>
      </c>
      <c r="BA125" s="345"/>
      <c r="BB125" s="344">
        <v>23</v>
      </c>
      <c r="BC125" s="344">
        <v>23</v>
      </c>
      <c r="BD125" s="344">
        <v>23</v>
      </c>
      <c r="BE125" s="344">
        <v>23</v>
      </c>
      <c r="BF125" s="344">
        <f t="shared" ref="BF125:BM125" si="9">BE125</f>
        <v>23</v>
      </c>
      <c r="BG125" s="344">
        <f t="shared" si="9"/>
        <v>23</v>
      </c>
      <c r="BH125" s="344">
        <f t="shared" si="9"/>
        <v>23</v>
      </c>
      <c r="BI125" s="344">
        <f t="shared" si="9"/>
        <v>23</v>
      </c>
      <c r="BJ125" s="344">
        <f t="shared" si="9"/>
        <v>23</v>
      </c>
      <c r="BK125" s="344">
        <f t="shared" si="9"/>
        <v>23</v>
      </c>
      <c r="BL125" s="344">
        <f t="shared" si="9"/>
        <v>23</v>
      </c>
      <c r="BM125" s="344">
        <f t="shared" si="9"/>
        <v>23</v>
      </c>
      <c r="BN125" s="345"/>
      <c r="BO125" s="272">
        <f>BM125</f>
        <v>23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0">ROUND(AV112/30*AU125,0)</f>
        <v>0</v>
      </c>
      <c r="AV126" s="57">
        <f t="shared" si="10"/>
        <v>0</v>
      </c>
      <c r="AW126" s="57">
        <f t="shared" si="10"/>
        <v>0</v>
      </c>
      <c r="AX126" s="57">
        <f t="shared" si="10"/>
        <v>0</v>
      </c>
      <c r="AY126" s="57">
        <f t="shared" si="10"/>
        <v>0</v>
      </c>
      <c r="AZ126" s="57">
        <f t="shared" si="10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11">BG112/30*BF125</f>
        <v>0</v>
      </c>
      <c r="BG126" s="57">
        <f t="shared" si="11"/>
        <v>0</v>
      </c>
      <c r="BH126" s="57">
        <f t="shared" si="11"/>
        <v>0</v>
      </c>
      <c r="BI126" s="57">
        <f t="shared" si="11"/>
        <v>0</v>
      </c>
      <c r="BJ126" s="57">
        <f t="shared" si="11"/>
        <v>0</v>
      </c>
      <c r="BK126" s="57">
        <f t="shared" si="11"/>
        <v>0</v>
      </c>
      <c r="BL126" s="57">
        <f t="shared" si="11"/>
        <v>0</v>
      </c>
      <c r="BM126" s="57">
        <v>0</v>
      </c>
      <c r="BN126" s="215"/>
      <c r="BO126" s="141">
        <v>124853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2">ROUND(AV114/30*AU125,0)</f>
        <v>0</v>
      </c>
      <c r="AV127" s="57">
        <f t="shared" si="12"/>
        <v>0</v>
      </c>
      <c r="AW127" s="57">
        <f t="shared" si="12"/>
        <v>0</v>
      </c>
      <c r="AX127" s="57">
        <f t="shared" si="12"/>
        <v>0</v>
      </c>
      <c r="AY127" s="57">
        <f t="shared" si="12"/>
        <v>0</v>
      </c>
      <c r="AZ127" s="57">
        <f t="shared" si="12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13">ROUND(BG114/30*BF125,0)</f>
        <v>0</v>
      </c>
      <c r="BG127" s="57">
        <f t="shared" si="13"/>
        <v>0</v>
      </c>
      <c r="BH127" s="57">
        <f t="shared" si="13"/>
        <v>0</v>
      </c>
      <c r="BI127" s="57">
        <f t="shared" si="13"/>
        <v>0</v>
      </c>
      <c r="BJ127" s="57">
        <f t="shared" si="13"/>
        <v>0</v>
      </c>
      <c r="BK127" s="57">
        <f t="shared" si="13"/>
        <v>0</v>
      </c>
      <c r="BL127" s="57">
        <f t="shared" si="13"/>
        <v>0</v>
      </c>
      <c r="BM127" s="57">
        <v>0</v>
      </c>
      <c r="BN127" s="215"/>
      <c r="BO127" s="141">
        <v>44205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14">-AU126</f>
        <v>0</v>
      </c>
      <c r="AW128" s="57">
        <f t="shared" si="14"/>
        <v>0</v>
      </c>
      <c r="AX128" s="57">
        <f t="shared" si="14"/>
        <v>0</v>
      </c>
      <c r="AY128" s="57">
        <f t="shared" si="14"/>
        <v>0</v>
      </c>
      <c r="AZ128" s="57">
        <f t="shared" si="14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15">-BE126</f>
        <v>0</v>
      </c>
      <c r="BG128" s="57">
        <f t="shared" si="15"/>
        <v>0</v>
      </c>
      <c r="BH128" s="57">
        <f t="shared" si="15"/>
        <v>0</v>
      </c>
      <c r="BI128" s="57">
        <f t="shared" si="15"/>
        <v>0</v>
      </c>
      <c r="BJ128" s="57">
        <f t="shared" si="15"/>
        <v>0</v>
      </c>
      <c r="BK128" s="57">
        <f t="shared" si="15"/>
        <v>0</v>
      </c>
      <c r="BL128" s="57">
        <f t="shared" si="15"/>
        <v>0</v>
      </c>
      <c r="BM128" s="57">
        <f t="shared" si="15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14"/>
        <v>0</v>
      </c>
      <c r="AW129" s="57">
        <f t="shared" si="14"/>
        <v>0</v>
      </c>
      <c r="AX129" s="57">
        <f t="shared" si="14"/>
        <v>0</v>
      </c>
      <c r="AY129" s="57">
        <f t="shared" si="14"/>
        <v>0</v>
      </c>
      <c r="AZ129" s="57">
        <f t="shared" si="14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15"/>
        <v>0</v>
      </c>
      <c r="BG129" s="57">
        <f t="shared" si="15"/>
        <v>0</v>
      </c>
      <c r="BH129" s="57">
        <f t="shared" si="15"/>
        <v>0</v>
      </c>
      <c r="BI129" s="57">
        <f t="shared" si="15"/>
        <v>0</v>
      </c>
      <c r="BJ129" s="57">
        <f t="shared" si="15"/>
        <v>0</v>
      </c>
      <c r="BK129" s="57">
        <f t="shared" si="15"/>
        <v>0</v>
      </c>
      <c r="BL129" s="57">
        <f t="shared" si="15"/>
        <v>0</v>
      </c>
      <c r="BM129" s="57">
        <f t="shared" si="15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16">SUM(AV126:AV129)</f>
        <v>0</v>
      </c>
      <c r="AW130" s="344">
        <f t="shared" si="16"/>
        <v>0</v>
      </c>
      <c r="AX130" s="344">
        <f t="shared" si="16"/>
        <v>0</v>
      </c>
      <c r="AY130" s="344">
        <f t="shared" si="16"/>
        <v>0</v>
      </c>
      <c r="AZ130" s="344">
        <f t="shared" si="16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17">SUM(BF126:BF129)</f>
        <v>0</v>
      </c>
      <c r="BG130" s="344">
        <f t="shared" si="17"/>
        <v>0</v>
      </c>
      <c r="BH130" s="344">
        <f t="shared" si="17"/>
        <v>0</v>
      </c>
      <c r="BI130" s="344">
        <f t="shared" si="17"/>
        <v>0</v>
      </c>
      <c r="BJ130" s="344">
        <f t="shared" si="17"/>
        <v>0</v>
      </c>
      <c r="BK130" s="344">
        <f t="shared" si="17"/>
        <v>0</v>
      </c>
      <c r="BL130" s="344">
        <f t="shared" si="17"/>
        <v>0</v>
      </c>
      <c r="BM130" s="344">
        <f t="shared" si="17"/>
        <v>0</v>
      </c>
      <c r="BN130" s="345"/>
      <c r="BO130" s="272">
        <f t="shared" ref="BO130" si="18">SUM(BO126:BO129)</f>
        <v>169058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9">AU111+AU124</f>
        <v>0</v>
      </c>
      <c r="AV132" s="66">
        <f t="shared" si="19"/>
        <v>0</v>
      </c>
      <c r="AW132" s="66">
        <f t="shared" si="19"/>
        <v>0</v>
      </c>
      <c r="AX132" s="66">
        <f t="shared" si="19"/>
        <v>0</v>
      </c>
      <c r="AY132" s="66">
        <f t="shared" si="19"/>
        <v>0</v>
      </c>
      <c r="AZ132" s="66">
        <f t="shared" si="19"/>
        <v>0</v>
      </c>
      <c r="BA132" s="216">
        <f>SUM(AT132:AZ132)</f>
        <v>0</v>
      </c>
      <c r="BB132" s="66">
        <v>0</v>
      </c>
      <c r="BC132" s="66">
        <v>0</v>
      </c>
      <c r="BD132" s="66">
        <v>0</v>
      </c>
      <c r="BE132" s="66">
        <v>0</v>
      </c>
      <c r="BF132" s="66">
        <f t="shared" ref="BF132:BO132" si="20">BF111+BF124</f>
        <v>0</v>
      </c>
      <c r="BG132" s="66">
        <f t="shared" si="20"/>
        <v>0</v>
      </c>
      <c r="BH132" s="66">
        <f t="shared" si="20"/>
        <v>0</v>
      </c>
      <c r="BI132" s="66">
        <f t="shared" si="20"/>
        <v>0</v>
      </c>
      <c r="BJ132" s="66">
        <f t="shared" si="20"/>
        <v>0</v>
      </c>
      <c r="BK132" s="66">
        <f t="shared" si="20"/>
        <v>0</v>
      </c>
      <c r="BL132" s="66">
        <f t="shared" si="20"/>
        <v>0</v>
      </c>
      <c r="BM132" s="66">
        <f t="shared" si="20"/>
        <v>0</v>
      </c>
      <c r="BN132" s="216">
        <f t="shared" si="20"/>
        <v>0</v>
      </c>
      <c r="BO132" s="185">
        <f t="shared" si="20"/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8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P284"/>
  <sheetViews>
    <sheetView topLeftCell="R29" zoomScale="80" zoomScaleNormal="80" workbookViewId="0">
      <selection activeCell="R30" sqref="R30"/>
    </sheetView>
  </sheetViews>
  <sheetFormatPr defaultColWidth="8.7109375" defaultRowHeight="14.45"/>
  <cols>
    <col min="2" max="2" width="30.28515625" bestFit="1" customWidth="1"/>
    <col min="3" max="3" width="10.5703125" customWidth="1"/>
    <col min="4" max="6" width="9.85546875" customWidth="1"/>
    <col min="7" max="7" width="10.85546875" bestFit="1" customWidth="1"/>
    <col min="8" max="8" width="10.140625" bestFit="1" customWidth="1"/>
    <col min="9" max="9" width="10.5703125" bestFit="1" customWidth="1"/>
    <col min="10" max="10" width="10.28515625" bestFit="1" customWidth="1"/>
    <col min="11" max="12" width="10.140625" bestFit="1" customWidth="1"/>
    <col min="13" max="13" width="12" customWidth="1"/>
    <col min="14" max="14" width="13.140625" customWidth="1"/>
    <col min="15" max="15" width="12.28515625" bestFit="1" customWidth="1"/>
  </cols>
  <sheetData>
    <row r="1" spans="2:12">
      <c r="B1" s="198" t="s">
        <v>0</v>
      </c>
    </row>
    <row r="2" spans="2:12">
      <c r="B2" s="3" t="s">
        <v>97</v>
      </c>
    </row>
    <row r="4" spans="2:12">
      <c r="B4" s="306"/>
      <c r="C4" s="540">
        <v>2021</v>
      </c>
      <c r="D4" s="540"/>
      <c r="E4" s="540"/>
      <c r="F4" s="540"/>
      <c r="G4" s="540"/>
      <c r="H4" s="540"/>
      <c r="I4" s="540"/>
      <c r="J4" s="540"/>
      <c r="K4" s="307">
        <v>2022</v>
      </c>
      <c r="L4" s="307">
        <v>2023</v>
      </c>
    </row>
    <row r="5" spans="2:12">
      <c r="B5" s="308" t="s">
        <v>2</v>
      </c>
      <c r="C5" s="135" t="s">
        <v>98</v>
      </c>
      <c r="D5" s="135" t="s">
        <v>41</v>
      </c>
      <c r="E5" s="135" t="s">
        <v>42</v>
      </c>
      <c r="F5" s="135" t="s">
        <v>43</v>
      </c>
      <c r="G5" s="135" t="s">
        <v>44</v>
      </c>
      <c r="H5" s="135" t="s">
        <v>45</v>
      </c>
      <c r="I5" s="135" t="s">
        <v>46</v>
      </c>
      <c r="J5" s="135" t="s">
        <v>47</v>
      </c>
      <c r="K5" s="309" t="s">
        <v>2</v>
      </c>
      <c r="L5" s="309"/>
    </row>
    <row r="6" spans="2:12">
      <c r="B6" s="310" t="s">
        <v>99</v>
      </c>
      <c r="C6" s="311"/>
      <c r="D6" s="311"/>
      <c r="E6" s="311"/>
      <c r="F6" s="311"/>
      <c r="G6" s="311"/>
      <c r="H6" s="311"/>
      <c r="I6" s="311"/>
      <c r="J6" s="311"/>
      <c r="K6" s="311"/>
      <c r="L6" s="311"/>
    </row>
    <row r="7" spans="2:12">
      <c r="B7" s="102" t="s">
        <v>100</v>
      </c>
      <c r="C7" s="367">
        <v>248</v>
      </c>
      <c r="D7" s="367">
        <v>247</v>
      </c>
      <c r="E7" s="367">
        <v>247</v>
      </c>
      <c r="F7" s="367">
        <v>247</v>
      </c>
      <c r="G7" s="367">
        <v>247</v>
      </c>
      <c r="H7" s="367">
        <v>247</v>
      </c>
      <c r="I7" s="367">
        <v>247</v>
      </c>
      <c r="J7" s="367">
        <v>247</v>
      </c>
      <c r="K7" s="367">
        <v>247</v>
      </c>
      <c r="L7" s="367">
        <v>247</v>
      </c>
    </row>
    <row r="8" spans="2:12">
      <c r="B8" s="102" t="s">
        <v>101</v>
      </c>
      <c r="C8" s="367">
        <v>40</v>
      </c>
      <c r="D8" s="367">
        <v>40</v>
      </c>
      <c r="E8" s="367">
        <v>40</v>
      </c>
      <c r="F8" s="367">
        <v>40</v>
      </c>
      <c r="G8" s="367">
        <v>40</v>
      </c>
      <c r="H8" s="367">
        <v>40</v>
      </c>
      <c r="I8" s="367">
        <v>40</v>
      </c>
      <c r="J8" s="367">
        <v>40</v>
      </c>
      <c r="K8" s="367">
        <v>40</v>
      </c>
      <c r="L8" s="367">
        <v>40</v>
      </c>
    </row>
    <row r="9" spans="2:12">
      <c r="B9" s="102" t="s">
        <v>102</v>
      </c>
      <c r="C9" s="367">
        <v>55</v>
      </c>
      <c r="D9" s="367">
        <v>55</v>
      </c>
      <c r="E9" s="367">
        <v>55</v>
      </c>
      <c r="F9" s="367">
        <v>55</v>
      </c>
      <c r="G9" s="367">
        <v>55</v>
      </c>
      <c r="H9" s="367">
        <v>55</v>
      </c>
      <c r="I9" s="367">
        <v>55</v>
      </c>
      <c r="J9" s="367">
        <v>55</v>
      </c>
      <c r="K9" s="367">
        <v>55</v>
      </c>
      <c r="L9" s="367">
        <v>55</v>
      </c>
    </row>
    <row r="10" spans="2:12">
      <c r="B10" s="102" t="s">
        <v>103</v>
      </c>
      <c r="C10" s="367">
        <v>8</v>
      </c>
      <c r="D10" s="367">
        <v>8</v>
      </c>
      <c r="E10" s="367">
        <v>8</v>
      </c>
      <c r="F10" s="367">
        <v>8</v>
      </c>
      <c r="G10" s="367">
        <v>8</v>
      </c>
      <c r="H10" s="367">
        <v>8</v>
      </c>
      <c r="I10" s="367">
        <v>8</v>
      </c>
      <c r="J10" s="367">
        <v>8</v>
      </c>
      <c r="K10" s="367">
        <v>8</v>
      </c>
      <c r="L10" s="367">
        <v>8</v>
      </c>
    </row>
    <row r="11" spans="2:12">
      <c r="B11" s="102" t="s">
        <v>75</v>
      </c>
      <c r="C11" s="367">
        <v>2</v>
      </c>
      <c r="D11" s="367">
        <v>2</v>
      </c>
      <c r="E11" s="367">
        <v>2</v>
      </c>
      <c r="F11" s="367">
        <v>2</v>
      </c>
      <c r="G11" s="367">
        <v>2</v>
      </c>
      <c r="H11" s="367">
        <v>2</v>
      </c>
      <c r="I11" s="367">
        <v>2</v>
      </c>
      <c r="J11" s="367">
        <v>2</v>
      </c>
      <c r="K11" s="367">
        <v>2</v>
      </c>
      <c r="L11" s="367">
        <v>2</v>
      </c>
    </row>
    <row r="12" spans="2:12">
      <c r="B12" s="102" t="s">
        <v>104</v>
      </c>
      <c r="C12" s="367">
        <v>0</v>
      </c>
      <c r="D12" s="367"/>
      <c r="E12" s="367"/>
      <c r="F12" s="367"/>
      <c r="G12" s="367"/>
      <c r="H12" s="367"/>
      <c r="I12" s="367"/>
      <c r="J12" s="367"/>
      <c r="K12" s="367"/>
      <c r="L12" s="367"/>
    </row>
    <row r="13" spans="2:12">
      <c r="B13" s="103" t="s">
        <v>105</v>
      </c>
      <c r="C13" s="367">
        <v>13</v>
      </c>
      <c r="D13" s="367">
        <v>13</v>
      </c>
      <c r="E13" s="367">
        <v>13</v>
      </c>
      <c r="F13" s="367">
        <v>13</v>
      </c>
      <c r="G13" s="367">
        <v>13</v>
      </c>
      <c r="H13" s="367">
        <v>13</v>
      </c>
      <c r="I13" s="367">
        <v>13</v>
      </c>
      <c r="J13" s="367">
        <v>13</v>
      </c>
      <c r="K13" s="367">
        <v>13</v>
      </c>
      <c r="L13" s="367">
        <v>13</v>
      </c>
    </row>
    <row r="14" spans="2:12">
      <c r="B14" s="102" t="s">
        <v>106</v>
      </c>
      <c r="C14" s="367">
        <v>0</v>
      </c>
      <c r="D14" s="367"/>
      <c r="E14" s="367"/>
      <c r="F14" s="367"/>
      <c r="G14" s="367"/>
      <c r="H14" s="367"/>
      <c r="I14" s="367"/>
      <c r="J14" s="367"/>
      <c r="K14" s="367"/>
      <c r="L14" s="367"/>
    </row>
    <row r="15" spans="2:12">
      <c r="B15" s="103" t="s">
        <v>107</v>
      </c>
      <c r="C15" s="367">
        <v>0</v>
      </c>
      <c r="D15" s="367"/>
      <c r="E15" s="367"/>
      <c r="F15" s="367"/>
      <c r="G15" s="367"/>
      <c r="H15" s="367"/>
      <c r="I15" s="367"/>
      <c r="J15" s="367"/>
      <c r="K15" s="367"/>
      <c r="L15" s="367"/>
    </row>
    <row r="16" spans="2:12">
      <c r="B16" s="312" t="s">
        <v>17</v>
      </c>
      <c r="C16" s="368">
        <f>SUM(C7:C15)</f>
        <v>366</v>
      </c>
      <c r="D16" s="368">
        <f t="shared" ref="D16:L16" si="0">SUM(D7:D15)</f>
        <v>365</v>
      </c>
      <c r="E16" s="368">
        <f t="shared" si="0"/>
        <v>365</v>
      </c>
      <c r="F16" s="368">
        <f t="shared" si="0"/>
        <v>365</v>
      </c>
      <c r="G16" s="368">
        <f t="shared" si="0"/>
        <v>365</v>
      </c>
      <c r="H16" s="368">
        <f t="shared" si="0"/>
        <v>365</v>
      </c>
      <c r="I16" s="368">
        <f t="shared" si="0"/>
        <v>365</v>
      </c>
      <c r="J16" s="368">
        <f t="shared" si="0"/>
        <v>365</v>
      </c>
      <c r="K16" s="368">
        <f t="shared" si="0"/>
        <v>365</v>
      </c>
      <c r="L16" s="368">
        <f t="shared" si="0"/>
        <v>365</v>
      </c>
    </row>
    <row r="17" spans="2:13">
      <c r="B17" s="310" t="s">
        <v>108</v>
      </c>
      <c r="C17" s="369">
        <v>0</v>
      </c>
      <c r="D17" s="369"/>
      <c r="E17" s="369"/>
      <c r="F17" s="369"/>
      <c r="G17" s="369"/>
      <c r="H17" s="369"/>
      <c r="I17" s="369"/>
      <c r="J17" s="369"/>
      <c r="K17" s="369"/>
      <c r="L17" s="369"/>
    </row>
    <row r="18" spans="2:13">
      <c r="B18" s="102" t="s">
        <v>100</v>
      </c>
      <c r="C18" s="367">
        <v>28</v>
      </c>
      <c r="D18" s="367">
        <v>28</v>
      </c>
      <c r="E18" s="367">
        <v>28</v>
      </c>
      <c r="F18" s="367">
        <v>28</v>
      </c>
      <c r="G18" s="367">
        <v>28</v>
      </c>
      <c r="H18" s="367">
        <v>28</v>
      </c>
      <c r="I18" s="367">
        <v>28</v>
      </c>
      <c r="J18" s="367">
        <v>28</v>
      </c>
      <c r="K18" s="367">
        <v>28</v>
      </c>
      <c r="L18" s="367">
        <v>28</v>
      </c>
    </row>
    <row r="19" spans="2:13">
      <c r="B19" s="102" t="s">
        <v>101</v>
      </c>
      <c r="C19" s="367">
        <v>56</v>
      </c>
      <c r="D19" s="367">
        <v>56</v>
      </c>
      <c r="E19" s="367">
        <v>56</v>
      </c>
      <c r="F19" s="367">
        <v>56</v>
      </c>
      <c r="G19" s="367">
        <v>56</v>
      </c>
      <c r="H19" s="367">
        <v>56</v>
      </c>
      <c r="I19" s="367">
        <v>56</v>
      </c>
      <c r="J19" s="367">
        <v>56</v>
      </c>
      <c r="K19" s="367">
        <v>56</v>
      </c>
      <c r="L19" s="367">
        <v>56</v>
      </c>
    </row>
    <row r="20" spans="2:13">
      <c r="B20" s="102" t="s">
        <v>102</v>
      </c>
      <c r="C20" s="367">
        <v>7</v>
      </c>
      <c r="D20" s="367">
        <v>7</v>
      </c>
      <c r="E20" s="367">
        <v>7</v>
      </c>
      <c r="F20" s="367">
        <v>7</v>
      </c>
      <c r="G20" s="367">
        <v>7</v>
      </c>
      <c r="H20" s="367">
        <v>7</v>
      </c>
      <c r="I20" s="367">
        <v>7</v>
      </c>
      <c r="J20" s="367">
        <v>7</v>
      </c>
      <c r="K20" s="367">
        <v>7</v>
      </c>
      <c r="L20" s="367">
        <v>7</v>
      </c>
    </row>
    <row r="21" spans="2:13">
      <c r="B21" s="102" t="s">
        <v>103</v>
      </c>
      <c r="C21" s="367">
        <v>0</v>
      </c>
      <c r="D21" s="367"/>
      <c r="E21" s="367"/>
      <c r="F21" s="367"/>
      <c r="G21" s="367"/>
      <c r="H21" s="367"/>
      <c r="I21" s="367"/>
      <c r="J21" s="367"/>
      <c r="K21" s="367"/>
      <c r="L21" s="367"/>
    </row>
    <row r="22" spans="2:13">
      <c r="B22" s="102" t="s">
        <v>75</v>
      </c>
      <c r="C22" s="367">
        <v>0</v>
      </c>
      <c r="D22" s="367"/>
      <c r="E22" s="367"/>
      <c r="F22" s="367"/>
      <c r="G22" s="367"/>
      <c r="H22" s="367"/>
      <c r="I22" s="367"/>
      <c r="J22" s="367"/>
      <c r="K22" s="367"/>
      <c r="L22" s="367"/>
    </row>
    <row r="23" spans="2:13">
      <c r="B23" s="102" t="s">
        <v>104</v>
      </c>
      <c r="C23" s="367">
        <v>0</v>
      </c>
      <c r="D23" s="367"/>
      <c r="E23" s="367"/>
      <c r="F23" s="367"/>
      <c r="G23" s="367"/>
      <c r="H23" s="367"/>
      <c r="I23" s="367"/>
      <c r="J23" s="367"/>
      <c r="K23" s="367"/>
      <c r="L23" s="367"/>
    </row>
    <row r="24" spans="2:13">
      <c r="B24" s="103" t="s">
        <v>105</v>
      </c>
      <c r="C24" s="367">
        <v>0</v>
      </c>
      <c r="D24" s="367"/>
      <c r="E24" s="367"/>
      <c r="F24" s="367"/>
      <c r="G24" s="367"/>
      <c r="H24" s="367"/>
      <c r="I24" s="367"/>
      <c r="J24" s="367"/>
      <c r="K24" s="367"/>
      <c r="L24" s="367"/>
    </row>
    <row r="25" spans="2:13">
      <c r="B25" s="102" t="s">
        <v>106</v>
      </c>
      <c r="C25" s="367">
        <v>0</v>
      </c>
      <c r="D25" s="367"/>
      <c r="E25" s="367"/>
      <c r="F25" s="367"/>
      <c r="G25" s="367"/>
      <c r="H25" s="367"/>
      <c r="I25" s="367"/>
      <c r="J25" s="367"/>
      <c r="K25" s="367"/>
      <c r="L25" s="367"/>
    </row>
    <row r="26" spans="2:13">
      <c r="B26" s="103" t="s">
        <v>107</v>
      </c>
      <c r="C26" s="367">
        <v>0</v>
      </c>
      <c r="D26" s="367"/>
      <c r="E26" s="367"/>
      <c r="F26" s="367"/>
      <c r="G26" s="367"/>
      <c r="H26" s="367"/>
      <c r="I26" s="367"/>
      <c r="J26" s="367"/>
      <c r="K26" s="367"/>
      <c r="L26" s="367"/>
    </row>
    <row r="27" spans="2:13">
      <c r="B27" s="312" t="s">
        <v>17</v>
      </c>
      <c r="C27" s="368">
        <v>91</v>
      </c>
      <c r="D27" s="368">
        <v>91</v>
      </c>
      <c r="E27" s="368">
        <v>91</v>
      </c>
      <c r="F27" s="368">
        <v>91</v>
      </c>
      <c r="G27" s="368">
        <v>91</v>
      </c>
      <c r="H27" s="368">
        <v>91</v>
      </c>
      <c r="I27" s="368">
        <v>91</v>
      </c>
      <c r="J27" s="368">
        <v>91</v>
      </c>
      <c r="K27" s="368">
        <v>91</v>
      </c>
      <c r="L27" s="368">
        <v>91</v>
      </c>
    </row>
    <row r="28" spans="2:13">
      <c r="B28" s="310" t="s">
        <v>109</v>
      </c>
      <c r="C28" s="317" t="s">
        <v>2</v>
      </c>
      <c r="D28" s="317"/>
      <c r="E28" s="317"/>
      <c r="F28" s="317"/>
      <c r="G28" s="317"/>
      <c r="H28" s="317"/>
      <c r="I28" s="317"/>
      <c r="J28" s="317"/>
      <c r="K28" s="317"/>
      <c r="L28" s="317"/>
    </row>
    <row r="29" spans="2:13">
      <c r="B29" s="102" t="s">
        <v>100</v>
      </c>
      <c r="C29" s="367">
        <v>91</v>
      </c>
      <c r="D29" s="367">
        <v>91</v>
      </c>
      <c r="E29" s="367">
        <v>91</v>
      </c>
      <c r="F29" s="367">
        <v>91</v>
      </c>
      <c r="G29" s="367">
        <v>91</v>
      </c>
      <c r="H29" s="370">
        <v>101</v>
      </c>
      <c r="I29" s="367">
        <v>101</v>
      </c>
      <c r="J29" s="367">
        <v>101</v>
      </c>
      <c r="K29" s="367">
        <v>101</v>
      </c>
      <c r="L29" s="367">
        <v>101</v>
      </c>
      <c r="M29" t="s">
        <v>110</v>
      </c>
    </row>
    <row r="30" spans="2:13">
      <c r="B30" s="102" t="s">
        <v>101</v>
      </c>
      <c r="C30" s="367">
        <v>0</v>
      </c>
      <c r="D30" s="367"/>
      <c r="E30" s="367"/>
      <c r="F30" s="367"/>
      <c r="G30" s="367"/>
      <c r="H30" s="316"/>
      <c r="I30" s="367"/>
      <c r="J30" s="367"/>
      <c r="K30" s="367"/>
      <c r="L30" s="367"/>
    </row>
    <row r="31" spans="2:13">
      <c r="B31" s="102" t="s">
        <v>102</v>
      </c>
      <c r="C31" s="367">
        <v>10</v>
      </c>
      <c r="D31" s="367">
        <v>10</v>
      </c>
      <c r="E31" s="367">
        <v>10</v>
      </c>
      <c r="F31" s="367">
        <v>10</v>
      </c>
      <c r="G31" s="367">
        <v>10</v>
      </c>
      <c r="H31" s="367">
        <v>10</v>
      </c>
      <c r="I31" s="367">
        <v>10</v>
      </c>
      <c r="J31" s="367">
        <v>10</v>
      </c>
      <c r="K31" s="367">
        <v>10</v>
      </c>
      <c r="L31" s="367">
        <v>10</v>
      </c>
    </row>
    <row r="32" spans="2:13">
      <c r="B32" s="102" t="s">
        <v>103</v>
      </c>
      <c r="C32" s="367">
        <v>1</v>
      </c>
      <c r="D32" s="367">
        <v>1</v>
      </c>
      <c r="E32" s="367">
        <v>1</v>
      </c>
      <c r="F32" s="367">
        <v>1</v>
      </c>
      <c r="G32" s="367">
        <v>1</v>
      </c>
      <c r="H32" s="367">
        <v>1</v>
      </c>
      <c r="I32" s="367">
        <v>1</v>
      </c>
      <c r="J32" s="367">
        <v>1</v>
      </c>
      <c r="K32" s="367">
        <v>1</v>
      </c>
      <c r="L32" s="367">
        <v>1</v>
      </c>
    </row>
    <row r="33" spans="2:12">
      <c r="B33" s="102" t="s">
        <v>75</v>
      </c>
      <c r="C33" s="367">
        <v>0</v>
      </c>
      <c r="D33" s="367"/>
      <c r="E33" s="367"/>
      <c r="F33" s="367"/>
      <c r="G33" s="367"/>
      <c r="H33" s="367"/>
      <c r="I33" s="367"/>
      <c r="J33" s="367"/>
      <c r="K33" s="367"/>
      <c r="L33" s="367"/>
    </row>
    <row r="34" spans="2:12">
      <c r="B34" s="102" t="s">
        <v>104</v>
      </c>
      <c r="C34" s="367">
        <v>4</v>
      </c>
      <c r="D34" s="367">
        <v>4</v>
      </c>
      <c r="E34" s="367">
        <v>4</v>
      </c>
      <c r="F34" s="367">
        <v>4</v>
      </c>
      <c r="G34" s="367">
        <v>4</v>
      </c>
      <c r="H34" s="367">
        <v>4</v>
      </c>
      <c r="I34" s="367">
        <v>4</v>
      </c>
      <c r="J34" s="367">
        <v>4</v>
      </c>
      <c r="K34" s="367">
        <v>4</v>
      </c>
      <c r="L34" s="367">
        <v>4</v>
      </c>
    </row>
    <row r="35" spans="2:12">
      <c r="B35" s="103" t="s">
        <v>105</v>
      </c>
      <c r="C35" s="367">
        <v>7</v>
      </c>
      <c r="D35" s="367">
        <v>7</v>
      </c>
      <c r="E35" s="367">
        <v>7</v>
      </c>
      <c r="F35" s="367">
        <v>7</v>
      </c>
      <c r="G35" s="367">
        <v>7</v>
      </c>
      <c r="H35" s="367">
        <v>7</v>
      </c>
      <c r="I35" s="367">
        <v>7</v>
      </c>
      <c r="J35" s="367">
        <v>7</v>
      </c>
      <c r="K35" s="367">
        <v>7</v>
      </c>
      <c r="L35" s="367">
        <v>7</v>
      </c>
    </row>
    <row r="36" spans="2:12">
      <c r="B36" s="102" t="s">
        <v>106</v>
      </c>
      <c r="C36" s="367">
        <v>0</v>
      </c>
      <c r="D36" s="367"/>
      <c r="E36" s="367"/>
      <c r="F36" s="367"/>
      <c r="G36" s="367"/>
      <c r="H36" s="367"/>
      <c r="I36" s="367"/>
      <c r="J36" s="367"/>
      <c r="K36" s="367"/>
      <c r="L36" s="367"/>
    </row>
    <row r="37" spans="2:12">
      <c r="B37" s="103" t="s">
        <v>107</v>
      </c>
      <c r="C37" s="367">
        <v>0</v>
      </c>
      <c r="D37" s="367"/>
      <c r="E37" s="367"/>
      <c r="F37" s="367"/>
      <c r="G37" s="367"/>
      <c r="H37" s="367"/>
      <c r="I37" s="367"/>
      <c r="J37" s="367"/>
      <c r="K37" s="367"/>
      <c r="L37" s="367"/>
    </row>
    <row r="38" spans="2:12">
      <c r="B38" s="312" t="s">
        <v>17</v>
      </c>
      <c r="C38" s="368">
        <v>113</v>
      </c>
      <c r="D38" s="368">
        <v>113</v>
      </c>
      <c r="E38" s="368">
        <v>113</v>
      </c>
      <c r="F38" s="368">
        <v>113</v>
      </c>
      <c r="G38" s="368">
        <v>113</v>
      </c>
      <c r="H38" s="368">
        <v>123</v>
      </c>
      <c r="I38" s="368">
        <v>123</v>
      </c>
      <c r="J38" s="368">
        <v>123</v>
      </c>
      <c r="K38" s="368">
        <v>123</v>
      </c>
      <c r="L38" s="368">
        <v>123</v>
      </c>
    </row>
    <row r="39" spans="2:12">
      <c r="B39" s="310" t="s">
        <v>111</v>
      </c>
      <c r="C39" s="317" t="s">
        <v>2</v>
      </c>
      <c r="D39" s="317"/>
      <c r="E39" s="317"/>
      <c r="F39" s="317"/>
      <c r="G39" s="317"/>
      <c r="H39" s="369"/>
      <c r="I39" s="369"/>
      <c r="J39" s="369"/>
      <c r="K39" s="369"/>
      <c r="L39" s="369"/>
    </row>
    <row r="40" spans="2:12">
      <c r="B40" s="102" t="s">
        <v>100</v>
      </c>
      <c r="C40" s="367">
        <v>14</v>
      </c>
      <c r="D40" s="367">
        <v>14</v>
      </c>
      <c r="E40" s="367">
        <v>14</v>
      </c>
      <c r="F40" s="367">
        <v>14</v>
      </c>
      <c r="G40" s="367">
        <v>14</v>
      </c>
      <c r="H40" s="367">
        <v>14</v>
      </c>
      <c r="I40" s="367">
        <v>14</v>
      </c>
      <c r="J40" s="367">
        <v>14</v>
      </c>
      <c r="K40" s="367">
        <v>14</v>
      </c>
      <c r="L40" s="367">
        <v>14</v>
      </c>
    </row>
    <row r="41" spans="2:12">
      <c r="B41" s="102" t="s">
        <v>101</v>
      </c>
      <c r="C41" s="367">
        <v>10</v>
      </c>
      <c r="D41" s="367">
        <v>10</v>
      </c>
      <c r="E41" s="367">
        <v>10</v>
      </c>
      <c r="F41" s="367">
        <v>10</v>
      </c>
      <c r="G41" s="367">
        <v>10</v>
      </c>
      <c r="H41" s="367">
        <v>10</v>
      </c>
      <c r="I41" s="367">
        <v>10</v>
      </c>
      <c r="J41" s="367">
        <v>10</v>
      </c>
      <c r="K41" s="367">
        <v>10</v>
      </c>
      <c r="L41" s="367">
        <v>10</v>
      </c>
    </row>
    <row r="42" spans="2:12">
      <c r="B42" s="102" t="s">
        <v>102</v>
      </c>
      <c r="C42" s="367">
        <v>11</v>
      </c>
      <c r="D42" s="367">
        <v>11</v>
      </c>
      <c r="E42" s="367">
        <v>11</v>
      </c>
      <c r="F42" s="367">
        <v>11</v>
      </c>
      <c r="G42" s="367">
        <v>11</v>
      </c>
      <c r="H42" s="367">
        <v>11</v>
      </c>
      <c r="I42" s="367">
        <v>11</v>
      </c>
      <c r="J42" s="367">
        <v>11</v>
      </c>
      <c r="K42" s="367">
        <v>11</v>
      </c>
      <c r="L42" s="367">
        <v>11</v>
      </c>
    </row>
    <row r="43" spans="2:12">
      <c r="B43" s="102" t="s">
        <v>103</v>
      </c>
      <c r="C43" s="367">
        <v>0</v>
      </c>
      <c r="D43" s="367"/>
      <c r="E43" s="367"/>
      <c r="F43" s="367"/>
      <c r="G43" s="367"/>
      <c r="H43" s="367"/>
      <c r="I43" s="367"/>
      <c r="J43" s="367"/>
      <c r="K43" s="367"/>
      <c r="L43" s="367"/>
    </row>
    <row r="44" spans="2:12">
      <c r="B44" s="102" t="s">
        <v>75</v>
      </c>
      <c r="C44" s="367">
        <v>0</v>
      </c>
      <c r="D44" s="367"/>
      <c r="E44" s="367"/>
      <c r="F44" s="367"/>
      <c r="G44" s="367"/>
      <c r="H44" s="367"/>
      <c r="I44" s="367"/>
      <c r="J44" s="367"/>
      <c r="K44" s="367"/>
      <c r="L44" s="367"/>
    </row>
    <row r="45" spans="2:12">
      <c r="B45" s="102" t="s">
        <v>104</v>
      </c>
      <c r="C45" s="367">
        <v>0</v>
      </c>
      <c r="D45" s="367"/>
      <c r="E45" s="367"/>
      <c r="F45" s="367"/>
      <c r="G45" s="367"/>
      <c r="H45" s="367"/>
      <c r="I45" s="367"/>
      <c r="J45" s="367"/>
      <c r="K45" s="367"/>
      <c r="L45" s="367"/>
    </row>
    <row r="46" spans="2:12">
      <c r="B46" s="103" t="s">
        <v>105</v>
      </c>
      <c r="C46" s="367">
        <v>0</v>
      </c>
      <c r="D46" s="367"/>
      <c r="E46" s="367"/>
      <c r="F46" s="367"/>
      <c r="G46" s="367"/>
      <c r="H46" s="367"/>
      <c r="I46" s="367"/>
      <c r="J46" s="367"/>
      <c r="K46" s="367"/>
      <c r="L46" s="367"/>
    </row>
    <row r="47" spans="2:12">
      <c r="B47" s="102" t="s">
        <v>106</v>
      </c>
      <c r="C47" s="367">
        <v>0</v>
      </c>
      <c r="D47" s="367"/>
      <c r="E47" s="367"/>
      <c r="F47" s="367"/>
      <c r="G47" s="367"/>
      <c r="H47" s="367"/>
      <c r="I47" s="367"/>
      <c r="J47" s="367"/>
      <c r="K47" s="367"/>
      <c r="L47" s="367"/>
    </row>
    <row r="48" spans="2:12">
      <c r="B48" s="103" t="s">
        <v>107</v>
      </c>
      <c r="C48" s="367">
        <v>0</v>
      </c>
      <c r="D48" s="367"/>
      <c r="E48" s="367"/>
      <c r="F48" s="367"/>
      <c r="G48" s="367"/>
      <c r="H48" s="367"/>
      <c r="I48" s="367"/>
      <c r="J48" s="367"/>
      <c r="K48" s="367"/>
      <c r="L48" s="367"/>
    </row>
    <row r="49" spans="2:12">
      <c r="B49" s="312" t="s">
        <v>17</v>
      </c>
      <c r="C49" s="368">
        <v>35</v>
      </c>
      <c r="D49" s="368">
        <v>35</v>
      </c>
      <c r="E49" s="368">
        <v>35</v>
      </c>
      <c r="F49" s="368">
        <v>35</v>
      </c>
      <c r="G49" s="368">
        <v>35</v>
      </c>
      <c r="H49" s="368">
        <v>35</v>
      </c>
      <c r="I49" s="368">
        <v>35</v>
      </c>
      <c r="J49" s="368">
        <v>35</v>
      </c>
      <c r="K49" s="368">
        <v>35</v>
      </c>
      <c r="L49" s="368">
        <v>35</v>
      </c>
    </row>
    <row r="50" spans="2:12">
      <c r="B50" s="310" t="s">
        <v>112</v>
      </c>
      <c r="C50" s="369" t="s">
        <v>2</v>
      </c>
      <c r="D50" s="369"/>
      <c r="E50" s="369"/>
      <c r="F50" s="369"/>
      <c r="G50" s="369"/>
      <c r="H50" s="369"/>
      <c r="I50" s="369"/>
      <c r="J50" s="369"/>
      <c r="K50" s="369"/>
      <c r="L50" s="369"/>
    </row>
    <row r="51" spans="2:12">
      <c r="B51" s="102" t="s">
        <v>100</v>
      </c>
      <c r="C51" s="367">
        <v>6</v>
      </c>
      <c r="D51" s="367">
        <v>6</v>
      </c>
      <c r="E51" s="367">
        <v>6</v>
      </c>
      <c r="F51" s="367">
        <v>6</v>
      </c>
      <c r="G51" s="367">
        <v>6</v>
      </c>
      <c r="H51" s="367">
        <v>6</v>
      </c>
      <c r="I51" s="367">
        <v>6</v>
      </c>
      <c r="J51" s="367">
        <v>6</v>
      </c>
      <c r="K51" s="367">
        <v>6</v>
      </c>
      <c r="L51" s="367">
        <v>6</v>
      </c>
    </row>
    <row r="52" spans="2:12">
      <c r="B52" s="102" t="s">
        <v>101</v>
      </c>
      <c r="C52" s="367">
        <v>18</v>
      </c>
      <c r="D52" s="367">
        <v>18</v>
      </c>
      <c r="E52" s="367">
        <v>18</v>
      </c>
      <c r="F52" s="367">
        <v>18</v>
      </c>
      <c r="G52" s="367">
        <v>18</v>
      </c>
      <c r="H52" s="367">
        <v>18</v>
      </c>
      <c r="I52" s="367">
        <v>18</v>
      </c>
      <c r="J52" s="367">
        <v>18</v>
      </c>
      <c r="K52" s="367">
        <v>18</v>
      </c>
      <c r="L52" s="367">
        <v>18</v>
      </c>
    </row>
    <row r="53" spans="2:12">
      <c r="B53" s="102" t="s">
        <v>102</v>
      </c>
      <c r="C53" s="367">
        <v>5</v>
      </c>
      <c r="D53" s="367">
        <v>5</v>
      </c>
      <c r="E53" s="367">
        <v>5</v>
      </c>
      <c r="F53" s="367">
        <v>5</v>
      </c>
      <c r="G53" s="367">
        <v>5</v>
      </c>
      <c r="H53" s="367">
        <v>5</v>
      </c>
      <c r="I53" s="367">
        <v>5</v>
      </c>
      <c r="J53" s="367">
        <v>5</v>
      </c>
      <c r="K53" s="367">
        <v>5</v>
      </c>
      <c r="L53" s="367">
        <v>5</v>
      </c>
    </row>
    <row r="54" spans="2:12">
      <c r="B54" s="102" t="s">
        <v>103</v>
      </c>
      <c r="C54" s="367">
        <v>0</v>
      </c>
      <c r="D54" s="367"/>
      <c r="E54" s="367"/>
      <c r="F54" s="367"/>
      <c r="G54" s="367"/>
      <c r="H54" s="367"/>
      <c r="I54" s="367"/>
      <c r="J54" s="367"/>
      <c r="K54" s="367"/>
      <c r="L54" s="367"/>
    </row>
    <row r="55" spans="2:12">
      <c r="B55" s="102" t="s">
        <v>75</v>
      </c>
      <c r="C55" s="367">
        <v>0</v>
      </c>
      <c r="D55" s="367"/>
      <c r="E55" s="367"/>
      <c r="F55" s="367"/>
      <c r="G55" s="367"/>
      <c r="H55" s="367"/>
      <c r="I55" s="367"/>
      <c r="J55" s="367"/>
      <c r="K55" s="367"/>
      <c r="L55" s="367"/>
    </row>
    <row r="56" spans="2:12">
      <c r="B56" s="102" t="s">
        <v>104</v>
      </c>
      <c r="C56" s="367">
        <v>0</v>
      </c>
      <c r="D56" s="367"/>
      <c r="E56" s="367"/>
      <c r="F56" s="367"/>
      <c r="G56" s="367"/>
      <c r="H56" s="367"/>
      <c r="I56" s="367"/>
      <c r="J56" s="367"/>
      <c r="K56" s="367"/>
      <c r="L56" s="367"/>
    </row>
    <row r="57" spans="2:12">
      <c r="B57" s="103" t="s">
        <v>105</v>
      </c>
      <c r="C57" s="367">
        <v>0</v>
      </c>
      <c r="D57" s="367"/>
      <c r="E57" s="367"/>
      <c r="F57" s="367"/>
      <c r="G57" s="367"/>
      <c r="H57" s="367"/>
      <c r="I57" s="367"/>
      <c r="J57" s="367"/>
      <c r="K57" s="367"/>
      <c r="L57" s="367"/>
    </row>
    <row r="58" spans="2:12">
      <c r="B58" s="102" t="s">
        <v>106</v>
      </c>
      <c r="C58" s="367">
        <v>0</v>
      </c>
      <c r="D58" s="367"/>
      <c r="E58" s="367"/>
      <c r="F58" s="367"/>
      <c r="G58" s="367"/>
      <c r="H58" s="367"/>
      <c r="I58" s="367"/>
      <c r="J58" s="367"/>
      <c r="K58" s="367"/>
      <c r="L58" s="367"/>
    </row>
    <row r="59" spans="2:12">
      <c r="B59" s="103" t="s">
        <v>107</v>
      </c>
      <c r="C59" s="367">
        <v>0</v>
      </c>
      <c r="D59" s="367"/>
      <c r="E59" s="367"/>
      <c r="F59" s="367"/>
      <c r="G59" s="367"/>
      <c r="H59" s="367"/>
      <c r="I59" s="367"/>
      <c r="J59" s="367"/>
      <c r="K59" s="367"/>
      <c r="L59" s="367"/>
    </row>
    <row r="60" spans="2:12">
      <c r="B60" s="312" t="s">
        <v>17</v>
      </c>
      <c r="C60" s="368">
        <v>29</v>
      </c>
      <c r="D60" s="368">
        <v>29</v>
      </c>
      <c r="E60" s="368">
        <v>29</v>
      </c>
      <c r="F60" s="368">
        <v>29</v>
      </c>
      <c r="G60" s="368">
        <v>29</v>
      </c>
      <c r="H60" s="368">
        <v>29</v>
      </c>
      <c r="I60" s="368">
        <v>29</v>
      </c>
      <c r="J60" s="368">
        <v>29</v>
      </c>
      <c r="K60" s="368">
        <v>29</v>
      </c>
      <c r="L60" s="368">
        <v>29</v>
      </c>
    </row>
    <row r="61" spans="2:12">
      <c r="B61" s="310" t="s">
        <v>113</v>
      </c>
      <c r="C61" s="369">
        <v>0</v>
      </c>
      <c r="D61" s="369"/>
      <c r="E61" s="369"/>
      <c r="F61" s="369"/>
      <c r="G61" s="369"/>
      <c r="H61" s="369"/>
      <c r="I61" s="369"/>
      <c r="J61" s="369"/>
      <c r="K61" s="369"/>
      <c r="L61" s="369"/>
    </row>
    <row r="62" spans="2:12">
      <c r="B62" s="102" t="s">
        <v>100</v>
      </c>
      <c r="C62" s="367">
        <v>38</v>
      </c>
      <c r="D62" s="367">
        <v>38</v>
      </c>
      <c r="E62" s="367">
        <v>38</v>
      </c>
      <c r="F62" s="367">
        <v>38</v>
      </c>
      <c r="G62" s="367">
        <v>38</v>
      </c>
      <c r="H62" s="367">
        <v>38</v>
      </c>
      <c r="I62" s="367">
        <v>38</v>
      </c>
      <c r="J62" s="367">
        <v>38</v>
      </c>
      <c r="K62" s="367">
        <v>38</v>
      </c>
      <c r="L62" s="367">
        <v>38</v>
      </c>
    </row>
    <row r="63" spans="2:12">
      <c r="B63" s="102" t="s">
        <v>101</v>
      </c>
      <c r="C63" s="367">
        <v>18</v>
      </c>
      <c r="D63" s="367">
        <v>18</v>
      </c>
      <c r="E63" s="367">
        <v>18</v>
      </c>
      <c r="F63" s="367">
        <v>18</v>
      </c>
      <c r="G63" s="367">
        <v>18</v>
      </c>
      <c r="H63" s="367">
        <v>18</v>
      </c>
      <c r="I63" s="367">
        <v>18</v>
      </c>
      <c r="J63" s="367">
        <v>18</v>
      </c>
      <c r="K63" s="367">
        <v>18</v>
      </c>
      <c r="L63" s="367">
        <v>18</v>
      </c>
    </row>
    <row r="64" spans="2:12">
      <c r="B64" s="102" t="s">
        <v>102</v>
      </c>
      <c r="C64" s="367">
        <v>9</v>
      </c>
      <c r="D64" s="367">
        <v>9</v>
      </c>
      <c r="E64" s="367">
        <v>9</v>
      </c>
      <c r="F64" s="367">
        <v>9</v>
      </c>
      <c r="G64" s="367">
        <v>9</v>
      </c>
      <c r="H64" s="367">
        <v>9</v>
      </c>
      <c r="I64" s="367">
        <v>9</v>
      </c>
      <c r="J64" s="367">
        <v>9</v>
      </c>
      <c r="K64" s="367">
        <v>9</v>
      </c>
      <c r="L64" s="367">
        <v>9</v>
      </c>
    </row>
    <row r="65" spans="2:12">
      <c r="B65" s="102" t="s">
        <v>103</v>
      </c>
      <c r="C65" s="367">
        <v>0</v>
      </c>
      <c r="D65" s="367"/>
      <c r="E65" s="367"/>
      <c r="F65" s="367"/>
      <c r="G65" s="367"/>
      <c r="H65" s="367"/>
      <c r="I65" s="367"/>
      <c r="J65" s="367"/>
      <c r="K65" s="367"/>
      <c r="L65" s="367"/>
    </row>
    <row r="66" spans="2:12">
      <c r="B66" s="102" t="s">
        <v>75</v>
      </c>
      <c r="C66" s="367">
        <v>0</v>
      </c>
      <c r="D66" s="367"/>
      <c r="E66" s="367"/>
      <c r="F66" s="367"/>
      <c r="G66" s="367"/>
      <c r="H66" s="367"/>
      <c r="I66" s="367"/>
      <c r="J66" s="367"/>
      <c r="K66" s="367"/>
      <c r="L66" s="367"/>
    </row>
    <row r="67" spans="2:12">
      <c r="B67" s="102" t="s">
        <v>104</v>
      </c>
      <c r="C67" s="367">
        <v>0</v>
      </c>
      <c r="D67" s="367"/>
      <c r="E67" s="367"/>
      <c r="F67" s="367"/>
      <c r="G67" s="367"/>
      <c r="H67" s="367"/>
      <c r="I67" s="367"/>
      <c r="J67" s="367"/>
      <c r="K67" s="367"/>
      <c r="L67" s="367"/>
    </row>
    <row r="68" spans="2:12">
      <c r="B68" s="103" t="s">
        <v>105</v>
      </c>
      <c r="C68" s="367">
        <v>0</v>
      </c>
      <c r="D68" s="367"/>
      <c r="E68" s="367"/>
      <c r="F68" s="367"/>
      <c r="G68" s="367"/>
      <c r="H68" s="367"/>
      <c r="I68" s="367"/>
      <c r="J68" s="367"/>
      <c r="K68" s="367"/>
      <c r="L68" s="367"/>
    </row>
    <row r="69" spans="2:12">
      <c r="B69" s="102" t="s">
        <v>106</v>
      </c>
      <c r="C69" s="367">
        <v>0</v>
      </c>
      <c r="D69" s="367"/>
      <c r="E69" s="367"/>
      <c r="F69" s="367"/>
      <c r="G69" s="367"/>
      <c r="H69" s="367"/>
      <c r="I69" s="367"/>
      <c r="J69" s="367"/>
      <c r="K69" s="367"/>
      <c r="L69" s="367"/>
    </row>
    <row r="70" spans="2:12">
      <c r="B70" s="103" t="s">
        <v>107</v>
      </c>
      <c r="C70" s="367">
        <v>0</v>
      </c>
      <c r="D70" s="367"/>
      <c r="E70" s="367"/>
      <c r="F70" s="367"/>
      <c r="G70" s="367"/>
      <c r="H70" s="367"/>
      <c r="I70" s="367"/>
      <c r="J70" s="367"/>
      <c r="K70" s="367"/>
      <c r="L70" s="367"/>
    </row>
    <row r="71" spans="2:12">
      <c r="B71" s="312" t="s">
        <v>17</v>
      </c>
      <c r="C71" s="368">
        <v>65</v>
      </c>
      <c r="D71" s="368">
        <v>65</v>
      </c>
      <c r="E71" s="368">
        <v>65</v>
      </c>
      <c r="F71" s="368">
        <v>65</v>
      </c>
      <c r="G71" s="368">
        <v>65</v>
      </c>
      <c r="H71" s="368">
        <v>65</v>
      </c>
      <c r="I71" s="368">
        <v>65</v>
      </c>
      <c r="J71" s="368">
        <v>65</v>
      </c>
      <c r="K71" s="368">
        <v>65</v>
      </c>
      <c r="L71" s="368">
        <v>65</v>
      </c>
    </row>
    <row r="72" spans="2:12">
      <c r="B72" s="310" t="s">
        <v>114</v>
      </c>
      <c r="C72" s="369">
        <v>0</v>
      </c>
      <c r="D72" s="369"/>
      <c r="E72" s="369"/>
      <c r="F72" s="369"/>
      <c r="G72" s="369"/>
      <c r="H72" s="369"/>
      <c r="I72" s="369"/>
      <c r="J72" s="369"/>
      <c r="K72" s="369"/>
      <c r="L72" s="369"/>
    </row>
    <row r="73" spans="2:12">
      <c r="B73" s="102" t="s">
        <v>100</v>
      </c>
      <c r="C73" s="367">
        <v>123</v>
      </c>
      <c r="D73" s="367">
        <v>123</v>
      </c>
      <c r="E73" s="367">
        <v>123</v>
      </c>
      <c r="F73" s="367">
        <v>123</v>
      </c>
      <c r="G73" s="367">
        <v>123</v>
      </c>
      <c r="H73" s="367">
        <v>123</v>
      </c>
      <c r="I73" s="367">
        <v>123</v>
      </c>
      <c r="J73" s="367">
        <v>123</v>
      </c>
      <c r="K73" s="367">
        <v>123</v>
      </c>
      <c r="L73" s="367">
        <v>123</v>
      </c>
    </row>
    <row r="74" spans="2:12">
      <c r="B74" s="102" t="s">
        <v>101</v>
      </c>
      <c r="C74" s="367">
        <v>0</v>
      </c>
      <c r="D74" s="367"/>
      <c r="E74" s="367"/>
      <c r="F74" s="367"/>
      <c r="G74" s="367"/>
      <c r="H74" s="367"/>
      <c r="I74" s="367"/>
      <c r="J74" s="367"/>
      <c r="K74" s="367"/>
      <c r="L74" s="367"/>
    </row>
    <row r="75" spans="2:12">
      <c r="B75" s="102" t="s">
        <v>102</v>
      </c>
      <c r="C75" s="367">
        <v>11</v>
      </c>
      <c r="D75" s="367">
        <v>11</v>
      </c>
      <c r="E75" s="367">
        <v>11</v>
      </c>
      <c r="F75" s="367">
        <v>11</v>
      </c>
      <c r="G75" s="367">
        <v>11</v>
      </c>
      <c r="H75" s="367">
        <v>11</v>
      </c>
      <c r="I75" s="367">
        <v>11</v>
      </c>
      <c r="J75" s="367">
        <v>11</v>
      </c>
      <c r="K75" s="367">
        <v>11</v>
      </c>
      <c r="L75" s="367">
        <v>11</v>
      </c>
    </row>
    <row r="76" spans="2:12">
      <c r="B76" s="102" t="s">
        <v>103</v>
      </c>
      <c r="C76" s="367">
        <v>8</v>
      </c>
      <c r="D76" s="367">
        <v>8</v>
      </c>
      <c r="E76" s="367">
        <v>8</v>
      </c>
      <c r="F76" s="367">
        <v>8</v>
      </c>
      <c r="G76" s="367">
        <v>8</v>
      </c>
      <c r="H76" s="367">
        <v>8</v>
      </c>
      <c r="I76" s="367">
        <v>8</v>
      </c>
      <c r="J76" s="367">
        <v>8</v>
      </c>
      <c r="K76" s="367">
        <v>8</v>
      </c>
      <c r="L76" s="367">
        <v>8</v>
      </c>
    </row>
    <row r="77" spans="2:12">
      <c r="B77" s="102" t="s">
        <v>75</v>
      </c>
      <c r="C77" s="367">
        <v>0</v>
      </c>
      <c r="D77" s="367"/>
      <c r="E77" s="367"/>
      <c r="F77" s="367"/>
      <c r="G77" s="367"/>
      <c r="H77" s="367"/>
      <c r="I77" s="367"/>
      <c r="J77" s="367"/>
      <c r="K77" s="367"/>
      <c r="L77" s="367"/>
    </row>
    <row r="78" spans="2:12">
      <c r="B78" s="102" t="s">
        <v>104</v>
      </c>
      <c r="C78" s="367">
        <v>0</v>
      </c>
      <c r="D78" s="367"/>
      <c r="E78" s="367"/>
      <c r="F78" s="367"/>
      <c r="G78" s="367"/>
      <c r="H78" s="367"/>
      <c r="I78" s="367"/>
      <c r="J78" s="367"/>
      <c r="K78" s="367"/>
      <c r="L78" s="367"/>
    </row>
    <row r="79" spans="2:12">
      <c r="B79" s="103" t="s">
        <v>105</v>
      </c>
      <c r="C79" s="367">
        <v>0</v>
      </c>
      <c r="D79" s="367"/>
      <c r="E79" s="367"/>
      <c r="F79" s="367"/>
      <c r="G79" s="367"/>
      <c r="H79" s="367"/>
      <c r="I79" s="367"/>
      <c r="J79" s="367"/>
      <c r="K79" s="367"/>
      <c r="L79" s="367"/>
    </row>
    <row r="80" spans="2:12">
      <c r="B80" s="102" t="s">
        <v>106</v>
      </c>
      <c r="C80" s="367">
        <v>8</v>
      </c>
      <c r="D80" s="367">
        <v>8</v>
      </c>
      <c r="E80" s="367">
        <v>8</v>
      </c>
      <c r="F80" s="367">
        <v>8</v>
      </c>
      <c r="G80" s="367">
        <v>8</v>
      </c>
      <c r="H80" s="367">
        <v>8</v>
      </c>
      <c r="I80" s="367">
        <v>8</v>
      </c>
      <c r="J80" s="367">
        <v>8</v>
      </c>
      <c r="K80" s="367">
        <v>8</v>
      </c>
      <c r="L80" s="367">
        <v>8</v>
      </c>
    </row>
    <row r="81" spans="2:16">
      <c r="B81" s="103" t="s">
        <v>107</v>
      </c>
      <c r="C81" s="367">
        <v>15</v>
      </c>
      <c r="D81" s="367">
        <v>15</v>
      </c>
      <c r="E81" s="367">
        <v>15</v>
      </c>
      <c r="F81" s="367">
        <v>15</v>
      </c>
      <c r="G81" s="367">
        <v>15</v>
      </c>
      <c r="H81" s="367">
        <v>15</v>
      </c>
      <c r="I81" s="367">
        <v>15</v>
      </c>
      <c r="J81" s="367">
        <v>15</v>
      </c>
      <c r="K81" s="367">
        <v>15</v>
      </c>
      <c r="L81" s="367">
        <v>15</v>
      </c>
    </row>
    <row r="82" spans="2:16">
      <c r="B82" s="103" t="s">
        <v>107</v>
      </c>
      <c r="C82" s="370">
        <v>10</v>
      </c>
      <c r="D82" s="370">
        <v>10</v>
      </c>
      <c r="E82" s="370">
        <v>10</v>
      </c>
      <c r="F82" s="370">
        <v>10</v>
      </c>
      <c r="G82" s="370">
        <v>10</v>
      </c>
      <c r="H82" s="370">
        <v>10</v>
      </c>
      <c r="I82" s="370">
        <v>10</v>
      </c>
      <c r="J82" s="370">
        <v>10</v>
      </c>
      <c r="K82" s="370">
        <v>10</v>
      </c>
      <c r="L82" s="370">
        <v>10</v>
      </c>
    </row>
    <row r="83" spans="2:16">
      <c r="B83" s="312" t="s">
        <v>17</v>
      </c>
      <c r="C83" s="368">
        <v>175</v>
      </c>
      <c r="D83" s="368">
        <v>175</v>
      </c>
      <c r="E83" s="368">
        <v>175</v>
      </c>
      <c r="F83" s="368">
        <v>175</v>
      </c>
      <c r="G83" s="368">
        <v>175</v>
      </c>
      <c r="H83" s="368">
        <v>175</v>
      </c>
      <c r="I83" s="368">
        <v>175</v>
      </c>
      <c r="J83" s="368">
        <v>175</v>
      </c>
      <c r="K83" s="368">
        <v>175</v>
      </c>
      <c r="L83" s="368">
        <v>175</v>
      </c>
    </row>
    <row r="84" spans="2:16">
      <c r="B84" s="310" t="s">
        <v>115</v>
      </c>
      <c r="C84" s="317" t="s">
        <v>2</v>
      </c>
      <c r="D84" s="317"/>
      <c r="E84" s="317"/>
      <c r="F84" s="317"/>
      <c r="G84" s="317"/>
      <c r="H84" s="317"/>
      <c r="I84" s="369"/>
      <c r="J84" s="369"/>
      <c r="K84" s="369"/>
      <c r="L84" s="369"/>
    </row>
    <row r="85" spans="2:16">
      <c r="B85" s="102" t="s">
        <v>100</v>
      </c>
      <c r="C85" s="367">
        <v>310</v>
      </c>
      <c r="D85" s="367">
        <v>310</v>
      </c>
      <c r="E85" s="367">
        <v>310</v>
      </c>
      <c r="F85" s="367">
        <v>310</v>
      </c>
      <c r="G85" s="370">
        <v>312</v>
      </c>
      <c r="H85" s="367">
        <v>312</v>
      </c>
      <c r="I85" s="367">
        <v>312</v>
      </c>
      <c r="J85" s="367">
        <v>312</v>
      </c>
      <c r="K85" s="367">
        <v>317</v>
      </c>
      <c r="L85" s="367">
        <v>322</v>
      </c>
      <c r="M85" t="s">
        <v>2</v>
      </c>
    </row>
    <row r="86" spans="2:16">
      <c r="B86" s="102" t="s">
        <v>101</v>
      </c>
      <c r="C86" s="367">
        <v>0</v>
      </c>
      <c r="D86" s="367"/>
      <c r="E86" s="367"/>
      <c r="F86" s="367"/>
      <c r="G86" s="367"/>
      <c r="H86" s="367"/>
      <c r="I86" s="367"/>
      <c r="J86" s="367"/>
      <c r="K86" s="367"/>
      <c r="L86" s="367"/>
    </row>
    <row r="87" spans="2:16">
      <c r="B87" s="102" t="s">
        <v>102</v>
      </c>
      <c r="C87" s="367">
        <v>30</v>
      </c>
      <c r="D87" s="367">
        <v>30</v>
      </c>
      <c r="E87" s="367">
        <v>30</v>
      </c>
      <c r="F87" s="367">
        <v>30</v>
      </c>
      <c r="G87" s="367">
        <v>30</v>
      </c>
      <c r="H87" s="367">
        <v>30</v>
      </c>
      <c r="I87" s="367">
        <v>30</v>
      </c>
      <c r="J87" s="367">
        <v>30</v>
      </c>
      <c r="K87" s="367">
        <v>30</v>
      </c>
      <c r="L87" s="367">
        <v>30</v>
      </c>
    </row>
    <row r="88" spans="2:16">
      <c r="B88" s="102" t="s">
        <v>103</v>
      </c>
      <c r="C88" s="367">
        <v>6</v>
      </c>
      <c r="D88" s="367">
        <v>6</v>
      </c>
      <c r="E88" s="367">
        <v>6</v>
      </c>
      <c r="F88" s="367">
        <v>6</v>
      </c>
      <c r="G88" s="367">
        <v>6</v>
      </c>
      <c r="H88" s="367">
        <v>6</v>
      </c>
      <c r="I88" s="367">
        <v>6</v>
      </c>
      <c r="J88" s="367">
        <v>6</v>
      </c>
      <c r="K88" s="367">
        <v>6</v>
      </c>
      <c r="L88" s="367">
        <v>6</v>
      </c>
    </row>
    <row r="89" spans="2:16">
      <c r="B89" s="102" t="s">
        <v>75</v>
      </c>
      <c r="C89" s="367">
        <v>0</v>
      </c>
      <c r="D89" s="367"/>
      <c r="E89" s="367"/>
      <c r="F89" s="367"/>
      <c r="G89" s="367"/>
      <c r="H89" s="367"/>
      <c r="I89" s="367"/>
      <c r="J89" s="367"/>
      <c r="K89" s="367"/>
      <c r="L89" s="367"/>
    </row>
    <row r="90" spans="2:16">
      <c r="B90" s="102" t="s">
        <v>104</v>
      </c>
      <c r="C90" s="367">
        <v>0</v>
      </c>
      <c r="D90" s="367"/>
      <c r="E90" s="367"/>
      <c r="F90" s="367"/>
      <c r="G90" s="367"/>
      <c r="H90" s="367"/>
      <c r="I90" s="367"/>
      <c r="J90" s="367"/>
      <c r="K90" s="367"/>
      <c r="L90" s="367"/>
    </row>
    <row r="91" spans="2:16">
      <c r="B91" s="103" t="s">
        <v>105</v>
      </c>
      <c r="C91" s="367">
        <v>0</v>
      </c>
      <c r="D91" s="367"/>
      <c r="E91" s="367"/>
      <c r="F91" s="367"/>
      <c r="G91" s="367"/>
      <c r="H91" s="367"/>
      <c r="I91" s="367"/>
      <c r="J91" s="367"/>
      <c r="K91" s="367"/>
      <c r="L91" s="367"/>
    </row>
    <row r="92" spans="2:16">
      <c r="B92" s="102" t="s">
        <v>106</v>
      </c>
      <c r="C92" s="370">
        <v>14</v>
      </c>
      <c r="D92" s="370">
        <v>14</v>
      </c>
      <c r="E92" s="370">
        <v>14</v>
      </c>
      <c r="F92" s="370">
        <v>14</v>
      </c>
      <c r="G92" s="370">
        <v>14</v>
      </c>
      <c r="H92" s="370">
        <v>14</v>
      </c>
      <c r="I92" s="370">
        <v>14</v>
      </c>
      <c r="J92" s="370">
        <v>14</v>
      </c>
      <c r="K92" s="370">
        <v>18</v>
      </c>
      <c r="L92" s="370">
        <v>18</v>
      </c>
      <c r="M92" t="s">
        <v>116</v>
      </c>
    </row>
    <row r="93" spans="2:16">
      <c r="B93" s="103" t="s">
        <v>107</v>
      </c>
      <c r="C93" s="370">
        <v>30</v>
      </c>
      <c r="D93" s="370">
        <v>30</v>
      </c>
      <c r="E93" s="370">
        <v>30</v>
      </c>
      <c r="F93" s="370">
        <v>30</v>
      </c>
      <c r="G93" s="370">
        <v>30</v>
      </c>
      <c r="H93" s="370">
        <v>30</v>
      </c>
      <c r="I93" s="370">
        <v>30</v>
      </c>
      <c r="J93" s="370">
        <v>30</v>
      </c>
      <c r="K93" s="370">
        <v>31</v>
      </c>
      <c r="L93" s="370">
        <v>31</v>
      </c>
      <c r="M93" t="s">
        <v>117</v>
      </c>
      <c r="N93" s="69">
        <f>ROUND(252801/12,0)</f>
        <v>21067</v>
      </c>
      <c r="O93" s="288">
        <v>252801</v>
      </c>
      <c r="P93" t="s">
        <v>118</v>
      </c>
    </row>
    <row r="94" spans="2:16">
      <c r="B94" s="103" t="s">
        <v>107</v>
      </c>
      <c r="C94" s="370">
        <v>19</v>
      </c>
      <c r="D94" s="370">
        <v>19</v>
      </c>
      <c r="E94" s="370">
        <v>19</v>
      </c>
      <c r="F94" s="370">
        <v>19</v>
      </c>
      <c r="G94" s="370">
        <v>19</v>
      </c>
      <c r="H94" s="370">
        <v>19</v>
      </c>
      <c r="I94" s="370">
        <v>19</v>
      </c>
      <c r="J94" s="370">
        <v>19</v>
      </c>
      <c r="K94" s="370">
        <v>19</v>
      </c>
      <c r="L94" s="370">
        <v>19</v>
      </c>
    </row>
    <row r="95" spans="2:16">
      <c r="B95" s="312" t="s">
        <v>17</v>
      </c>
      <c r="C95" s="368">
        <v>409</v>
      </c>
      <c r="D95" s="368">
        <v>409</v>
      </c>
      <c r="E95" s="368">
        <v>409</v>
      </c>
      <c r="F95" s="368">
        <v>409</v>
      </c>
      <c r="G95" s="368">
        <v>411</v>
      </c>
      <c r="H95" s="368">
        <v>411</v>
      </c>
      <c r="I95" s="368">
        <v>411</v>
      </c>
      <c r="J95" s="368">
        <v>411</v>
      </c>
      <c r="K95" s="368">
        <v>421</v>
      </c>
      <c r="L95" s="368">
        <v>426</v>
      </c>
    </row>
    <row r="96" spans="2:16">
      <c r="B96" s="310" t="s">
        <v>119</v>
      </c>
      <c r="C96" s="317" t="s">
        <v>2</v>
      </c>
      <c r="D96" s="317"/>
      <c r="E96" s="317"/>
      <c r="F96" s="317"/>
      <c r="G96" s="317"/>
      <c r="H96" s="317"/>
      <c r="I96" s="317"/>
      <c r="J96" s="317"/>
      <c r="K96" s="369"/>
      <c r="L96" s="369"/>
    </row>
    <row r="97" spans="2:13">
      <c r="B97" s="102" t="s">
        <v>100</v>
      </c>
      <c r="C97" s="367">
        <v>184</v>
      </c>
      <c r="D97" s="367">
        <v>184</v>
      </c>
      <c r="E97" s="367">
        <v>184</v>
      </c>
      <c r="F97" s="367">
        <v>184</v>
      </c>
      <c r="G97" s="370">
        <v>185</v>
      </c>
      <c r="H97" s="370">
        <v>191</v>
      </c>
      <c r="I97" s="370">
        <v>191</v>
      </c>
      <c r="J97" s="370">
        <v>191</v>
      </c>
      <c r="K97" s="370">
        <v>199</v>
      </c>
      <c r="L97" s="370">
        <v>201</v>
      </c>
      <c r="M97" t="s">
        <v>120</v>
      </c>
    </row>
    <row r="98" spans="2:13">
      <c r="B98" s="102" t="s">
        <v>101</v>
      </c>
      <c r="C98" s="367">
        <v>0</v>
      </c>
      <c r="D98" s="367"/>
      <c r="E98" s="367"/>
      <c r="F98" s="367"/>
      <c r="G98" s="367"/>
      <c r="H98" s="367"/>
      <c r="I98" s="367"/>
      <c r="J98" s="367"/>
      <c r="K98" s="367"/>
      <c r="L98" s="367"/>
    </row>
    <row r="99" spans="2:13">
      <c r="B99" s="102" t="s">
        <v>102</v>
      </c>
      <c r="C99" s="367">
        <v>10</v>
      </c>
      <c r="D99" s="367">
        <v>10</v>
      </c>
      <c r="E99" s="367">
        <v>10</v>
      </c>
      <c r="F99" s="367">
        <v>10</v>
      </c>
      <c r="G99" s="367">
        <v>10</v>
      </c>
      <c r="H99" s="367">
        <v>10</v>
      </c>
      <c r="I99" s="367">
        <v>10</v>
      </c>
      <c r="J99" s="367">
        <v>10</v>
      </c>
      <c r="K99" s="367">
        <v>10</v>
      </c>
      <c r="L99" s="367">
        <v>10</v>
      </c>
    </row>
    <row r="100" spans="2:13">
      <c r="B100" s="102" t="s">
        <v>103</v>
      </c>
      <c r="C100" s="367">
        <v>3</v>
      </c>
      <c r="D100" s="367">
        <v>3</v>
      </c>
      <c r="E100" s="367">
        <v>3</v>
      </c>
      <c r="F100" s="367">
        <v>3</v>
      </c>
      <c r="G100" s="367">
        <v>3</v>
      </c>
      <c r="H100" s="367">
        <v>3</v>
      </c>
      <c r="I100" s="367">
        <v>3</v>
      </c>
      <c r="J100" s="367">
        <v>3</v>
      </c>
      <c r="K100" s="367">
        <v>3</v>
      </c>
      <c r="L100" s="367">
        <v>3</v>
      </c>
    </row>
    <row r="101" spans="2:13">
      <c r="B101" s="102" t="s">
        <v>75</v>
      </c>
      <c r="C101" s="367">
        <v>0</v>
      </c>
      <c r="D101" s="367"/>
      <c r="E101" s="367"/>
      <c r="F101" s="367"/>
      <c r="G101" s="367"/>
      <c r="H101" s="367"/>
      <c r="I101" s="367"/>
      <c r="J101" s="367"/>
      <c r="K101" s="367"/>
      <c r="L101" s="367"/>
    </row>
    <row r="102" spans="2:13">
      <c r="B102" s="102" t="s">
        <v>104</v>
      </c>
      <c r="C102" s="367">
        <v>0</v>
      </c>
      <c r="D102" s="367"/>
      <c r="E102" s="367"/>
      <c r="F102" s="367"/>
      <c r="G102" s="367"/>
      <c r="H102" s="367"/>
      <c r="I102" s="367"/>
      <c r="J102" s="367"/>
      <c r="K102" s="367"/>
      <c r="L102" s="367"/>
    </row>
    <row r="103" spans="2:13">
      <c r="B103" s="103" t="s">
        <v>105</v>
      </c>
      <c r="C103" s="367">
        <v>0</v>
      </c>
      <c r="D103" s="367"/>
      <c r="E103" s="367"/>
      <c r="F103" s="367"/>
      <c r="G103" s="367"/>
      <c r="H103" s="367"/>
      <c r="I103" s="367"/>
      <c r="J103" s="367"/>
      <c r="K103" s="367"/>
      <c r="L103" s="367"/>
    </row>
    <row r="104" spans="2:13">
      <c r="B104" s="102" t="s">
        <v>106</v>
      </c>
      <c r="C104" s="367">
        <v>13</v>
      </c>
      <c r="D104" s="367">
        <v>13</v>
      </c>
      <c r="E104" s="367">
        <v>13</v>
      </c>
      <c r="F104" s="367">
        <v>13</v>
      </c>
      <c r="G104" s="370">
        <v>13</v>
      </c>
      <c r="H104" s="367">
        <v>13</v>
      </c>
      <c r="I104" s="367">
        <v>13</v>
      </c>
      <c r="J104" s="367">
        <v>13</v>
      </c>
      <c r="K104" s="367">
        <v>14</v>
      </c>
      <c r="L104" s="367">
        <v>15</v>
      </c>
    </row>
    <row r="105" spans="2:13">
      <c r="B105" s="103" t="s">
        <v>107</v>
      </c>
      <c r="C105" s="367">
        <v>21</v>
      </c>
      <c r="D105" s="367">
        <v>21</v>
      </c>
      <c r="E105" s="367">
        <v>21</v>
      </c>
      <c r="F105" s="367">
        <v>21</v>
      </c>
      <c r="G105" s="367">
        <v>21</v>
      </c>
      <c r="H105" s="367">
        <v>21</v>
      </c>
      <c r="I105" s="367">
        <v>21</v>
      </c>
      <c r="J105" s="367">
        <v>21</v>
      </c>
      <c r="K105" s="367">
        <v>21</v>
      </c>
      <c r="L105" s="367">
        <v>21</v>
      </c>
    </row>
    <row r="106" spans="2:13">
      <c r="B106" s="312" t="s">
        <v>17</v>
      </c>
      <c r="C106" s="368">
        <v>231</v>
      </c>
      <c r="D106" s="368">
        <v>231</v>
      </c>
      <c r="E106" s="368">
        <v>231</v>
      </c>
      <c r="F106" s="368">
        <v>231</v>
      </c>
      <c r="G106" s="368">
        <v>232</v>
      </c>
      <c r="H106" s="368">
        <v>238</v>
      </c>
      <c r="I106" s="368">
        <v>238</v>
      </c>
      <c r="J106" s="368">
        <v>238</v>
      </c>
      <c r="K106" s="368">
        <v>247</v>
      </c>
      <c r="L106" s="368">
        <v>250</v>
      </c>
    </row>
    <row r="107" spans="2:13">
      <c r="B107" s="310" t="s">
        <v>121</v>
      </c>
      <c r="C107" s="369" t="s">
        <v>2</v>
      </c>
      <c r="D107" s="369"/>
      <c r="E107" s="369"/>
      <c r="F107" s="369"/>
      <c r="G107" s="369"/>
      <c r="H107" s="369"/>
      <c r="I107" s="369"/>
      <c r="J107" s="369"/>
      <c r="K107" s="369"/>
      <c r="L107" s="369"/>
    </row>
    <row r="108" spans="2:13">
      <c r="B108" s="102" t="s">
        <v>100</v>
      </c>
      <c r="C108" s="367">
        <v>104</v>
      </c>
      <c r="D108" s="367">
        <v>104</v>
      </c>
      <c r="E108" s="367">
        <v>104</v>
      </c>
      <c r="F108" s="367">
        <v>104</v>
      </c>
      <c r="G108" s="370">
        <v>107</v>
      </c>
      <c r="H108" s="367">
        <v>107</v>
      </c>
      <c r="I108" s="367">
        <v>107</v>
      </c>
      <c r="J108" s="367">
        <v>107</v>
      </c>
      <c r="K108" s="367">
        <v>113</v>
      </c>
      <c r="L108" s="367">
        <v>119</v>
      </c>
      <c r="M108" t="s">
        <v>2</v>
      </c>
    </row>
    <row r="109" spans="2:13">
      <c r="B109" s="102" t="s">
        <v>101</v>
      </c>
      <c r="C109" s="367">
        <v>0</v>
      </c>
      <c r="D109" s="367"/>
      <c r="E109" s="367"/>
      <c r="F109" s="367"/>
      <c r="G109" s="367"/>
      <c r="H109" s="367"/>
      <c r="I109" s="367"/>
      <c r="J109" s="367"/>
      <c r="K109" s="367"/>
      <c r="L109" s="367"/>
    </row>
    <row r="110" spans="2:13">
      <c r="B110" s="102" t="s">
        <v>102</v>
      </c>
      <c r="C110" s="367">
        <v>21</v>
      </c>
      <c r="D110" s="367">
        <v>21</v>
      </c>
      <c r="E110" s="367">
        <v>21</v>
      </c>
      <c r="F110" s="367">
        <v>21</v>
      </c>
      <c r="G110" s="367">
        <v>21</v>
      </c>
      <c r="H110" s="367">
        <v>21</v>
      </c>
      <c r="I110" s="367">
        <v>21</v>
      </c>
      <c r="J110" s="367">
        <v>21</v>
      </c>
      <c r="K110" s="367">
        <v>21</v>
      </c>
      <c r="L110" s="367">
        <v>21</v>
      </c>
    </row>
    <row r="111" spans="2:13">
      <c r="B111" s="102" t="s">
        <v>103</v>
      </c>
      <c r="C111" s="367">
        <v>0</v>
      </c>
      <c r="D111" s="367"/>
      <c r="E111" s="367"/>
      <c r="F111" s="367"/>
      <c r="G111" s="367"/>
      <c r="H111" s="367"/>
      <c r="I111" s="367"/>
      <c r="J111" s="367"/>
      <c r="K111" s="367"/>
      <c r="L111" s="367"/>
    </row>
    <row r="112" spans="2:13">
      <c r="B112" s="102" t="s">
        <v>75</v>
      </c>
      <c r="C112" s="367">
        <v>1</v>
      </c>
      <c r="D112" s="367">
        <v>1</v>
      </c>
      <c r="E112" s="367">
        <v>1</v>
      </c>
      <c r="F112" s="367">
        <v>1</v>
      </c>
      <c r="G112" s="367">
        <v>1</v>
      </c>
      <c r="H112" s="367">
        <v>1</v>
      </c>
      <c r="I112" s="367">
        <v>1</v>
      </c>
      <c r="J112" s="367">
        <v>1</v>
      </c>
      <c r="K112" s="367">
        <v>1</v>
      </c>
      <c r="L112" s="367">
        <v>1</v>
      </c>
    </row>
    <row r="113" spans="2:16">
      <c r="B113" s="102" t="s">
        <v>104</v>
      </c>
      <c r="C113" s="367">
        <v>0</v>
      </c>
      <c r="D113" s="367"/>
      <c r="E113" s="367"/>
      <c r="F113" s="367"/>
      <c r="G113" s="367"/>
      <c r="H113" s="367"/>
      <c r="I113" s="367"/>
      <c r="J113" s="367"/>
      <c r="K113" s="367"/>
      <c r="L113" s="367"/>
    </row>
    <row r="114" spans="2:16">
      <c r="B114" s="103" t="s">
        <v>105</v>
      </c>
      <c r="C114" s="367">
        <v>0</v>
      </c>
      <c r="D114" s="367"/>
      <c r="E114" s="367"/>
      <c r="F114" s="367"/>
      <c r="G114" s="367"/>
      <c r="H114" s="367"/>
      <c r="I114" s="367"/>
      <c r="J114" s="367"/>
      <c r="K114" s="367"/>
      <c r="L114" s="367"/>
    </row>
    <row r="115" spans="2:16">
      <c r="B115" s="102" t="s">
        <v>106</v>
      </c>
      <c r="C115" s="367">
        <v>11</v>
      </c>
      <c r="D115" s="367">
        <v>11</v>
      </c>
      <c r="E115" s="367">
        <v>11</v>
      </c>
      <c r="F115" s="367">
        <v>11</v>
      </c>
      <c r="G115" s="367">
        <v>11</v>
      </c>
      <c r="H115" s="367">
        <v>11</v>
      </c>
      <c r="I115" s="367">
        <v>11</v>
      </c>
      <c r="J115" s="367">
        <v>11</v>
      </c>
      <c r="K115" s="367">
        <v>11</v>
      </c>
      <c r="L115" s="367">
        <v>11</v>
      </c>
    </row>
    <row r="116" spans="2:16">
      <c r="B116" s="103" t="s">
        <v>107</v>
      </c>
      <c r="C116" s="367">
        <f>28-C117</f>
        <v>22</v>
      </c>
      <c r="D116" s="367">
        <f t="shared" ref="D116:L116" si="1">28-D117</f>
        <v>22</v>
      </c>
      <c r="E116" s="367">
        <f t="shared" si="1"/>
        <v>22</v>
      </c>
      <c r="F116" s="367">
        <f t="shared" si="1"/>
        <v>22</v>
      </c>
      <c r="G116" s="367">
        <f t="shared" si="1"/>
        <v>22</v>
      </c>
      <c r="H116" s="367">
        <f t="shared" si="1"/>
        <v>22</v>
      </c>
      <c r="I116" s="367">
        <f t="shared" si="1"/>
        <v>22</v>
      </c>
      <c r="J116" s="367">
        <f t="shared" si="1"/>
        <v>22</v>
      </c>
      <c r="K116" s="367">
        <f t="shared" si="1"/>
        <v>22</v>
      </c>
      <c r="L116" s="367">
        <f t="shared" si="1"/>
        <v>22</v>
      </c>
    </row>
    <row r="117" spans="2:16">
      <c r="B117" s="103" t="s">
        <v>107</v>
      </c>
      <c r="C117" s="370">
        <v>6</v>
      </c>
      <c r="D117" s="370">
        <v>6</v>
      </c>
      <c r="E117" s="370">
        <v>6</v>
      </c>
      <c r="F117" s="370">
        <v>6</v>
      </c>
      <c r="G117" s="370">
        <v>6</v>
      </c>
      <c r="H117" s="370">
        <v>6</v>
      </c>
      <c r="I117" s="370">
        <v>6</v>
      </c>
      <c r="J117" s="370">
        <v>6</v>
      </c>
      <c r="K117" s="370">
        <v>6</v>
      </c>
      <c r="L117" s="370">
        <v>6</v>
      </c>
    </row>
    <row r="118" spans="2:16">
      <c r="B118" s="312" t="s">
        <v>17</v>
      </c>
      <c r="C118" s="368">
        <v>165</v>
      </c>
      <c r="D118" s="368">
        <v>165</v>
      </c>
      <c r="E118" s="368">
        <v>165</v>
      </c>
      <c r="F118" s="368">
        <v>165</v>
      </c>
      <c r="G118" s="368">
        <v>168</v>
      </c>
      <c r="H118" s="368">
        <v>168</v>
      </c>
      <c r="I118" s="368">
        <v>168</v>
      </c>
      <c r="J118" s="368">
        <v>168</v>
      </c>
      <c r="K118" s="368">
        <v>174</v>
      </c>
      <c r="L118" s="368">
        <v>180</v>
      </c>
    </row>
    <row r="119" spans="2:16">
      <c r="B119" s="310" t="s">
        <v>122</v>
      </c>
      <c r="C119" s="369" t="s">
        <v>2</v>
      </c>
      <c r="D119" s="369"/>
      <c r="E119" s="369"/>
      <c r="F119" s="369"/>
      <c r="G119" s="369"/>
      <c r="H119" s="369"/>
      <c r="I119" s="369"/>
      <c r="J119" s="369"/>
      <c r="K119" s="369"/>
      <c r="L119" s="369"/>
    </row>
    <row r="120" spans="2:16">
      <c r="B120" s="102" t="s">
        <v>100</v>
      </c>
      <c r="C120" s="367">
        <v>216</v>
      </c>
      <c r="D120" s="367">
        <v>216</v>
      </c>
      <c r="E120" s="367">
        <v>216</v>
      </c>
      <c r="F120" s="367">
        <v>216</v>
      </c>
      <c r="G120" s="370">
        <v>217</v>
      </c>
      <c r="H120" s="367">
        <v>217</v>
      </c>
      <c r="I120" s="367">
        <v>217</v>
      </c>
      <c r="J120" s="367">
        <v>217</v>
      </c>
      <c r="K120" s="367">
        <v>219</v>
      </c>
      <c r="L120" s="367">
        <v>221</v>
      </c>
    </row>
    <row r="121" spans="2:16">
      <c r="B121" s="102" t="s">
        <v>101</v>
      </c>
      <c r="C121" s="367">
        <v>0</v>
      </c>
      <c r="D121" s="367"/>
      <c r="E121" s="367"/>
      <c r="F121" s="367"/>
      <c r="G121" s="367"/>
      <c r="H121" s="367"/>
      <c r="I121" s="367"/>
      <c r="J121" s="367"/>
      <c r="K121" s="367"/>
      <c r="L121" s="367"/>
    </row>
    <row r="122" spans="2:16">
      <c r="B122" s="102" t="s">
        <v>102</v>
      </c>
      <c r="C122" s="367">
        <v>16</v>
      </c>
      <c r="D122" s="367">
        <v>16</v>
      </c>
      <c r="E122" s="367">
        <v>16</v>
      </c>
      <c r="F122" s="367">
        <v>16</v>
      </c>
      <c r="G122" s="367">
        <v>16</v>
      </c>
      <c r="H122" s="367">
        <v>16</v>
      </c>
      <c r="I122" s="367">
        <v>16</v>
      </c>
      <c r="J122" s="367">
        <v>16</v>
      </c>
      <c r="K122" s="367">
        <v>16</v>
      </c>
      <c r="L122" s="367">
        <v>16</v>
      </c>
    </row>
    <row r="123" spans="2:16">
      <c r="B123" s="102" t="s">
        <v>103</v>
      </c>
      <c r="C123" s="367">
        <v>4</v>
      </c>
      <c r="D123" s="367">
        <v>4</v>
      </c>
      <c r="E123" s="367">
        <v>4</v>
      </c>
      <c r="F123" s="367">
        <v>4</v>
      </c>
      <c r="G123" s="367">
        <v>4</v>
      </c>
      <c r="H123" s="367">
        <v>4</v>
      </c>
      <c r="I123" s="367">
        <v>4</v>
      </c>
      <c r="J123" s="367">
        <v>4</v>
      </c>
      <c r="K123" s="367">
        <v>4</v>
      </c>
      <c r="L123" s="367">
        <v>4</v>
      </c>
    </row>
    <row r="124" spans="2:16">
      <c r="B124" s="102" t="s">
        <v>75</v>
      </c>
      <c r="C124" s="367">
        <v>0</v>
      </c>
      <c r="D124" s="367"/>
      <c r="E124" s="367"/>
      <c r="F124" s="367"/>
      <c r="G124" s="367"/>
      <c r="H124" s="367"/>
      <c r="I124" s="367"/>
      <c r="J124" s="367"/>
      <c r="K124" s="367"/>
      <c r="L124" s="367"/>
    </row>
    <row r="125" spans="2:16">
      <c r="B125" s="102" t="s">
        <v>104</v>
      </c>
      <c r="C125" s="367">
        <v>0</v>
      </c>
      <c r="D125" s="367"/>
      <c r="E125" s="367"/>
      <c r="F125" s="367"/>
      <c r="G125" s="367"/>
      <c r="H125" s="367"/>
      <c r="I125" s="367"/>
      <c r="J125" s="367"/>
      <c r="K125" s="367"/>
      <c r="L125" s="367"/>
    </row>
    <row r="126" spans="2:16">
      <c r="B126" s="103" t="s">
        <v>105</v>
      </c>
      <c r="C126" s="367">
        <v>0</v>
      </c>
      <c r="D126" s="367"/>
      <c r="E126" s="367"/>
      <c r="F126" s="367"/>
      <c r="G126" s="367"/>
      <c r="H126" s="367"/>
      <c r="I126" s="367"/>
      <c r="J126" s="367"/>
      <c r="K126" s="367"/>
      <c r="L126" s="367"/>
    </row>
    <row r="127" spans="2:16">
      <c r="B127" s="102" t="s">
        <v>106</v>
      </c>
      <c r="C127" s="367">
        <v>12</v>
      </c>
      <c r="D127" s="367">
        <v>12</v>
      </c>
      <c r="E127" s="367">
        <v>12</v>
      </c>
      <c r="F127" s="367">
        <v>12</v>
      </c>
      <c r="G127" s="370">
        <v>22</v>
      </c>
      <c r="H127" s="367">
        <v>22</v>
      </c>
      <c r="I127" s="367">
        <v>22</v>
      </c>
      <c r="J127" s="367">
        <v>22</v>
      </c>
      <c r="K127" s="367">
        <v>22</v>
      </c>
      <c r="L127" s="367">
        <v>22</v>
      </c>
      <c r="M127" t="s">
        <v>123</v>
      </c>
    </row>
    <row r="128" spans="2:16">
      <c r="B128" s="103" t="s">
        <v>107</v>
      </c>
      <c r="C128" s="367">
        <v>17</v>
      </c>
      <c r="D128" s="367">
        <v>17</v>
      </c>
      <c r="E128" s="367">
        <v>17</v>
      </c>
      <c r="F128" s="367">
        <v>17</v>
      </c>
      <c r="G128" s="367">
        <v>17</v>
      </c>
      <c r="H128" s="367">
        <v>17</v>
      </c>
      <c r="I128" s="367">
        <v>17</v>
      </c>
      <c r="J128" s="367">
        <v>17</v>
      </c>
      <c r="K128" s="316">
        <v>17</v>
      </c>
      <c r="L128" s="370">
        <v>18</v>
      </c>
      <c r="M128" t="s">
        <v>124</v>
      </c>
      <c r="N128">
        <f>ROUND(O128/12,0)</f>
        <v>21693</v>
      </c>
      <c r="O128" s="107">
        <v>260312</v>
      </c>
      <c r="P128" t="s">
        <v>118</v>
      </c>
    </row>
    <row r="129" spans="2:16">
      <c r="B129" s="312" t="s">
        <v>17</v>
      </c>
      <c r="C129" s="368">
        <v>265</v>
      </c>
      <c r="D129" s="368">
        <v>265</v>
      </c>
      <c r="E129" s="368">
        <v>265</v>
      </c>
      <c r="F129" s="368">
        <v>265</v>
      </c>
      <c r="G129" s="368">
        <v>276</v>
      </c>
      <c r="H129" s="368">
        <v>276</v>
      </c>
      <c r="I129" s="368">
        <v>276</v>
      </c>
      <c r="J129" s="368">
        <v>276</v>
      </c>
      <c r="K129" s="368">
        <v>278</v>
      </c>
      <c r="L129" s="368">
        <v>281</v>
      </c>
    </row>
    <row r="130" spans="2:16">
      <c r="B130" s="310" t="s">
        <v>125</v>
      </c>
      <c r="C130" s="369" t="s">
        <v>2</v>
      </c>
      <c r="D130" s="369"/>
      <c r="E130" s="369"/>
      <c r="F130" s="369"/>
      <c r="G130" s="369"/>
      <c r="H130" s="369"/>
      <c r="I130" s="369"/>
      <c r="J130" s="369"/>
      <c r="K130" s="369"/>
      <c r="L130" s="369"/>
    </row>
    <row r="131" spans="2:16">
      <c r="B131" s="102" t="s">
        <v>100</v>
      </c>
      <c r="C131" s="367">
        <v>119</v>
      </c>
      <c r="D131" s="367">
        <v>118</v>
      </c>
      <c r="E131" s="367">
        <v>118</v>
      </c>
      <c r="F131" s="367">
        <v>118</v>
      </c>
      <c r="G131" s="370">
        <v>119</v>
      </c>
      <c r="H131" s="367">
        <v>119</v>
      </c>
      <c r="I131" s="367">
        <v>119</v>
      </c>
      <c r="J131" s="367">
        <v>119</v>
      </c>
      <c r="K131" s="367">
        <v>121</v>
      </c>
      <c r="L131" s="367">
        <v>123</v>
      </c>
    </row>
    <row r="132" spans="2:16">
      <c r="B132" s="102" t="s">
        <v>101</v>
      </c>
      <c r="C132" s="367">
        <v>0</v>
      </c>
      <c r="D132" s="367"/>
      <c r="E132" s="367"/>
      <c r="F132" s="367"/>
      <c r="G132" s="367"/>
      <c r="H132" s="367"/>
      <c r="I132" s="367"/>
      <c r="J132" s="367"/>
      <c r="K132" s="367"/>
      <c r="L132" s="367"/>
    </row>
    <row r="133" spans="2:16">
      <c r="B133" s="102" t="s">
        <v>102</v>
      </c>
      <c r="C133" s="367">
        <v>10</v>
      </c>
      <c r="D133" s="367">
        <v>10</v>
      </c>
      <c r="E133" s="367">
        <v>10</v>
      </c>
      <c r="F133" s="367">
        <v>10</v>
      </c>
      <c r="G133" s="367">
        <v>10</v>
      </c>
      <c r="H133" s="367">
        <v>10</v>
      </c>
      <c r="I133" s="367">
        <v>10</v>
      </c>
      <c r="J133" s="367">
        <v>10</v>
      </c>
      <c r="K133" s="367">
        <v>10</v>
      </c>
      <c r="L133" s="367">
        <v>10</v>
      </c>
    </row>
    <row r="134" spans="2:16">
      <c r="B134" s="102" t="s">
        <v>103</v>
      </c>
      <c r="C134" s="367">
        <v>2</v>
      </c>
      <c r="D134" s="367">
        <v>2</v>
      </c>
      <c r="E134" s="367">
        <v>2</v>
      </c>
      <c r="F134" s="367">
        <v>2</v>
      </c>
      <c r="G134" s="367">
        <v>2</v>
      </c>
      <c r="H134" s="367">
        <v>2</v>
      </c>
      <c r="I134" s="367">
        <v>2</v>
      </c>
      <c r="J134" s="367">
        <v>2</v>
      </c>
      <c r="K134" s="367">
        <v>2</v>
      </c>
      <c r="L134" s="367">
        <v>2</v>
      </c>
    </row>
    <row r="135" spans="2:16">
      <c r="B135" s="102" t="s">
        <v>75</v>
      </c>
      <c r="C135" s="367">
        <v>1</v>
      </c>
      <c r="D135" s="367">
        <v>1</v>
      </c>
      <c r="E135" s="367">
        <v>1</v>
      </c>
      <c r="F135" s="367">
        <v>1</v>
      </c>
      <c r="G135" s="367">
        <v>1</v>
      </c>
      <c r="H135" s="367">
        <v>1</v>
      </c>
      <c r="I135" s="367">
        <v>1</v>
      </c>
      <c r="J135" s="367">
        <v>1</v>
      </c>
      <c r="K135" s="367">
        <v>1</v>
      </c>
      <c r="L135" s="367">
        <v>1</v>
      </c>
    </row>
    <row r="136" spans="2:16">
      <c r="B136" s="102" t="s">
        <v>104</v>
      </c>
      <c r="C136" s="367">
        <v>0</v>
      </c>
      <c r="D136" s="367"/>
      <c r="E136" s="367"/>
      <c r="F136" s="367"/>
      <c r="G136" s="367"/>
      <c r="H136" s="367"/>
      <c r="I136" s="367"/>
      <c r="J136" s="367"/>
      <c r="K136" s="367"/>
      <c r="L136" s="367"/>
    </row>
    <row r="137" spans="2:16">
      <c r="B137" s="103" t="s">
        <v>105</v>
      </c>
      <c r="C137" s="367">
        <v>0</v>
      </c>
      <c r="D137" s="367"/>
      <c r="E137" s="367"/>
      <c r="F137" s="367"/>
      <c r="G137" s="367"/>
      <c r="H137" s="367"/>
      <c r="I137" s="367"/>
      <c r="J137" s="367"/>
      <c r="K137" s="367"/>
      <c r="L137" s="367"/>
    </row>
    <row r="138" spans="2:16">
      <c r="B138" s="102" t="s">
        <v>106</v>
      </c>
      <c r="C138" s="367">
        <v>4</v>
      </c>
      <c r="D138" s="367">
        <v>4</v>
      </c>
      <c r="E138" s="367">
        <v>4</v>
      </c>
      <c r="F138" s="367">
        <v>4</v>
      </c>
      <c r="G138" s="367">
        <v>4</v>
      </c>
      <c r="H138" s="367">
        <v>4</v>
      </c>
      <c r="I138" s="367">
        <v>4</v>
      </c>
      <c r="J138" s="367">
        <v>4</v>
      </c>
      <c r="K138" s="367">
        <v>4</v>
      </c>
      <c r="L138" s="367">
        <v>14</v>
      </c>
      <c r="M138" t="s">
        <v>126</v>
      </c>
    </row>
    <row r="139" spans="2:16">
      <c r="B139" s="103" t="s">
        <v>107</v>
      </c>
      <c r="C139" s="367">
        <v>14</v>
      </c>
      <c r="D139" s="367">
        <v>14</v>
      </c>
      <c r="E139" s="367">
        <v>14</v>
      </c>
      <c r="F139" s="367">
        <v>14</v>
      </c>
      <c r="G139" s="367">
        <v>14</v>
      </c>
      <c r="H139" s="367">
        <v>14</v>
      </c>
      <c r="I139" s="367">
        <v>14</v>
      </c>
      <c r="J139" s="367">
        <v>14</v>
      </c>
      <c r="K139" s="367">
        <v>14</v>
      </c>
      <c r="L139" s="370">
        <v>15</v>
      </c>
      <c r="M139" t="s">
        <v>127</v>
      </c>
      <c r="N139">
        <f>ROUND(O139/12,0)</f>
        <v>22711</v>
      </c>
      <c r="O139" s="107">
        <v>272529</v>
      </c>
      <c r="P139" t="s">
        <v>118</v>
      </c>
    </row>
    <row r="140" spans="2:16">
      <c r="B140" s="313" t="s">
        <v>17</v>
      </c>
      <c r="C140" s="369">
        <v>150</v>
      </c>
      <c r="D140" s="369">
        <v>149</v>
      </c>
      <c r="E140" s="369">
        <v>149</v>
      </c>
      <c r="F140" s="369">
        <v>149</v>
      </c>
      <c r="G140" s="369">
        <v>150</v>
      </c>
      <c r="H140" s="369">
        <v>150</v>
      </c>
      <c r="I140" s="369">
        <v>150</v>
      </c>
      <c r="J140" s="369">
        <v>150</v>
      </c>
      <c r="K140" s="369">
        <v>152</v>
      </c>
      <c r="L140" s="369">
        <v>165</v>
      </c>
    </row>
    <row r="141" spans="2:16">
      <c r="B141" s="310" t="s">
        <v>128</v>
      </c>
      <c r="C141" s="369" t="s">
        <v>2</v>
      </c>
      <c r="D141" s="369"/>
      <c r="E141" s="369"/>
      <c r="F141" s="369"/>
      <c r="G141" s="369"/>
      <c r="H141" s="369"/>
      <c r="I141" s="369"/>
      <c r="J141" s="369"/>
      <c r="K141" s="369"/>
      <c r="L141" s="369"/>
    </row>
    <row r="142" spans="2:16">
      <c r="B142" s="102" t="s">
        <v>100</v>
      </c>
      <c r="C142" s="367">
        <v>80</v>
      </c>
      <c r="D142" s="367">
        <v>80</v>
      </c>
      <c r="E142" s="367">
        <v>80</v>
      </c>
      <c r="F142" s="367">
        <v>80</v>
      </c>
      <c r="G142" s="367">
        <v>80</v>
      </c>
      <c r="H142" s="367">
        <v>80</v>
      </c>
      <c r="I142" s="367">
        <v>80</v>
      </c>
      <c r="J142" s="367">
        <v>80</v>
      </c>
      <c r="K142" s="367">
        <v>80</v>
      </c>
      <c r="L142" s="367">
        <v>80</v>
      </c>
    </row>
    <row r="143" spans="2:16">
      <c r="B143" s="102" t="s">
        <v>101</v>
      </c>
      <c r="C143" s="367">
        <v>0</v>
      </c>
      <c r="D143" s="367"/>
      <c r="E143" s="367"/>
      <c r="F143" s="367"/>
      <c r="G143" s="367"/>
      <c r="H143" s="367"/>
      <c r="I143" s="367"/>
      <c r="J143" s="367"/>
      <c r="K143" s="367"/>
      <c r="L143" s="367"/>
    </row>
    <row r="144" spans="2:16">
      <c r="B144" s="102" t="s">
        <v>102</v>
      </c>
      <c r="C144" s="367">
        <v>9</v>
      </c>
      <c r="D144" s="367">
        <v>9</v>
      </c>
      <c r="E144" s="367">
        <v>9</v>
      </c>
      <c r="F144" s="367">
        <v>9</v>
      </c>
      <c r="G144" s="367">
        <v>9</v>
      </c>
      <c r="H144" s="367">
        <v>9</v>
      </c>
      <c r="I144" s="367">
        <v>9</v>
      </c>
      <c r="J144" s="367">
        <v>9</v>
      </c>
      <c r="K144" s="367">
        <v>9</v>
      </c>
      <c r="L144" s="367">
        <v>9</v>
      </c>
    </row>
    <row r="145" spans="2:13">
      <c r="B145" s="102" t="s">
        <v>103</v>
      </c>
      <c r="C145" s="367">
        <v>3</v>
      </c>
      <c r="D145" s="367">
        <v>3</v>
      </c>
      <c r="E145" s="367">
        <v>3</v>
      </c>
      <c r="F145" s="367">
        <v>3</v>
      </c>
      <c r="G145" s="367">
        <v>3</v>
      </c>
      <c r="H145" s="367">
        <v>3</v>
      </c>
      <c r="I145" s="367">
        <v>3</v>
      </c>
      <c r="J145" s="367">
        <v>3</v>
      </c>
      <c r="K145" s="367">
        <v>3</v>
      </c>
      <c r="L145" s="367">
        <v>3</v>
      </c>
    </row>
    <row r="146" spans="2:13">
      <c r="B146" s="102" t="s">
        <v>75</v>
      </c>
      <c r="C146" s="367">
        <v>1</v>
      </c>
      <c r="D146" s="367">
        <v>1</v>
      </c>
      <c r="E146" s="367">
        <v>1</v>
      </c>
      <c r="F146" s="367">
        <v>1</v>
      </c>
      <c r="G146" s="367">
        <v>1</v>
      </c>
      <c r="H146" s="367">
        <v>1</v>
      </c>
      <c r="I146" s="367">
        <v>1</v>
      </c>
      <c r="J146" s="367">
        <v>1</v>
      </c>
      <c r="K146" s="367">
        <v>1</v>
      </c>
      <c r="L146" s="367">
        <v>1</v>
      </c>
    </row>
    <row r="147" spans="2:13">
      <c r="B147" s="102" t="s">
        <v>104</v>
      </c>
      <c r="C147" s="367">
        <v>0</v>
      </c>
      <c r="D147" s="367"/>
      <c r="E147" s="367"/>
      <c r="F147" s="367"/>
      <c r="G147" s="367"/>
      <c r="H147" s="367"/>
      <c r="I147" s="367"/>
      <c r="J147" s="367"/>
      <c r="K147" s="367"/>
      <c r="L147" s="367"/>
    </row>
    <row r="148" spans="2:13">
      <c r="B148" s="103" t="s">
        <v>105</v>
      </c>
      <c r="C148" s="367">
        <v>0</v>
      </c>
      <c r="D148" s="367"/>
      <c r="E148" s="367"/>
      <c r="F148" s="367"/>
      <c r="G148" s="367"/>
      <c r="H148" s="367"/>
      <c r="I148" s="367"/>
      <c r="J148" s="367"/>
      <c r="K148" s="367"/>
      <c r="L148" s="367"/>
    </row>
    <row r="149" spans="2:13">
      <c r="B149" s="102" t="s">
        <v>106</v>
      </c>
      <c r="C149" s="367">
        <v>8</v>
      </c>
      <c r="D149" s="367">
        <v>8</v>
      </c>
      <c r="E149" s="367">
        <v>8</v>
      </c>
      <c r="F149" s="367">
        <v>8</v>
      </c>
      <c r="G149" s="367">
        <v>8</v>
      </c>
      <c r="H149" s="367">
        <v>8</v>
      </c>
      <c r="I149" s="367">
        <v>8</v>
      </c>
      <c r="J149" s="367">
        <v>8</v>
      </c>
      <c r="K149" s="367">
        <v>8</v>
      </c>
      <c r="L149" s="367">
        <v>8</v>
      </c>
    </row>
    <row r="150" spans="2:13">
      <c r="B150" s="103" t="s">
        <v>107</v>
      </c>
      <c r="C150" s="367">
        <v>12</v>
      </c>
      <c r="D150" s="367">
        <v>12</v>
      </c>
      <c r="E150" s="367">
        <v>12</v>
      </c>
      <c r="F150" s="367">
        <v>12</v>
      </c>
      <c r="G150" s="367">
        <v>12</v>
      </c>
      <c r="H150" s="370">
        <v>13</v>
      </c>
      <c r="I150" s="367">
        <v>13</v>
      </c>
      <c r="J150" s="367">
        <v>13</v>
      </c>
      <c r="K150" s="367">
        <v>13</v>
      </c>
      <c r="L150" s="367">
        <v>13</v>
      </c>
      <c r="M150" t="s">
        <v>129</v>
      </c>
    </row>
    <row r="151" spans="2:13">
      <c r="B151" s="313" t="s">
        <v>17</v>
      </c>
      <c r="C151" s="369">
        <v>113</v>
      </c>
      <c r="D151" s="369">
        <v>113</v>
      </c>
      <c r="E151" s="369">
        <v>113</v>
      </c>
      <c r="F151" s="369">
        <v>113</v>
      </c>
      <c r="G151" s="369">
        <v>113</v>
      </c>
      <c r="H151" s="369">
        <v>114</v>
      </c>
      <c r="I151" s="369">
        <v>114</v>
      </c>
      <c r="J151" s="369">
        <v>114</v>
      </c>
      <c r="K151" s="369">
        <v>114</v>
      </c>
      <c r="L151" s="369">
        <v>114</v>
      </c>
    </row>
    <row r="152" spans="2:13">
      <c r="B152" s="310" t="s">
        <v>130</v>
      </c>
      <c r="C152" s="369" t="s">
        <v>2</v>
      </c>
      <c r="D152" s="369"/>
      <c r="E152" s="369"/>
      <c r="F152" s="369"/>
      <c r="G152" s="369"/>
      <c r="H152" s="369"/>
      <c r="I152" s="369"/>
      <c r="J152" s="369"/>
      <c r="K152" s="369"/>
      <c r="L152" s="369"/>
    </row>
    <row r="153" spans="2:13">
      <c r="B153" s="102" t="s">
        <v>100</v>
      </c>
      <c r="C153" s="367">
        <v>78</v>
      </c>
      <c r="D153" s="367">
        <v>78</v>
      </c>
      <c r="E153" s="367">
        <v>78</v>
      </c>
      <c r="F153" s="367">
        <v>78</v>
      </c>
      <c r="G153" s="370">
        <v>78</v>
      </c>
      <c r="H153" s="367">
        <v>78</v>
      </c>
      <c r="I153" s="367">
        <v>78</v>
      </c>
      <c r="J153" s="367">
        <v>78</v>
      </c>
      <c r="K153" s="367">
        <v>78</v>
      </c>
      <c r="L153" s="367">
        <v>78</v>
      </c>
    </row>
    <row r="154" spans="2:13">
      <c r="B154" s="102" t="s">
        <v>101</v>
      </c>
      <c r="C154" s="367">
        <v>0</v>
      </c>
      <c r="D154" s="367"/>
      <c r="E154" s="367"/>
      <c r="F154" s="367"/>
      <c r="G154" s="367"/>
      <c r="H154" s="367"/>
      <c r="I154" s="367"/>
      <c r="J154" s="367"/>
      <c r="K154" s="367"/>
      <c r="L154" s="367"/>
    </row>
    <row r="155" spans="2:13">
      <c r="B155" s="102" t="s">
        <v>102</v>
      </c>
      <c r="C155" s="367">
        <v>8</v>
      </c>
      <c r="D155" s="367">
        <v>8</v>
      </c>
      <c r="E155" s="367">
        <v>8</v>
      </c>
      <c r="F155" s="367">
        <v>8</v>
      </c>
      <c r="G155" s="367">
        <v>8</v>
      </c>
      <c r="H155" s="367">
        <v>8</v>
      </c>
      <c r="I155" s="367">
        <v>8</v>
      </c>
      <c r="J155" s="367">
        <v>8</v>
      </c>
      <c r="K155" s="367">
        <v>8</v>
      </c>
      <c r="L155" s="367">
        <v>8</v>
      </c>
    </row>
    <row r="156" spans="2:13">
      <c r="B156" s="102" t="s">
        <v>103</v>
      </c>
      <c r="C156" s="367">
        <v>1</v>
      </c>
      <c r="D156" s="367">
        <v>1</v>
      </c>
      <c r="E156" s="367">
        <v>1</v>
      </c>
      <c r="F156" s="367">
        <v>1</v>
      </c>
      <c r="G156" s="367">
        <v>1</v>
      </c>
      <c r="H156" s="367">
        <v>1</v>
      </c>
      <c r="I156" s="367">
        <v>1</v>
      </c>
      <c r="J156" s="367">
        <v>1</v>
      </c>
      <c r="K156" s="367">
        <v>1</v>
      </c>
      <c r="L156" s="367">
        <v>1</v>
      </c>
    </row>
    <row r="157" spans="2:13">
      <c r="B157" s="102" t="s">
        <v>75</v>
      </c>
      <c r="C157" s="367">
        <v>0</v>
      </c>
      <c r="D157" s="367"/>
      <c r="E157" s="367"/>
      <c r="F157" s="367"/>
      <c r="G157" s="367"/>
      <c r="H157" s="367"/>
      <c r="I157" s="367"/>
      <c r="J157" s="367"/>
      <c r="K157" s="367"/>
      <c r="L157" s="367"/>
    </row>
    <row r="158" spans="2:13">
      <c r="B158" s="102" t="s">
        <v>104</v>
      </c>
      <c r="C158" s="367">
        <v>0</v>
      </c>
      <c r="D158" s="367"/>
      <c r="E158" s="367"/>
      <c r="F158" s="367"/>
      <c r="G158" s="367"/>
      <c r="H158" s="367"/>
      <c r="I158" s="367"/>
      <c r="J158" s="367"/>
      <c r="K158" s="367"/>
      <c r="L158" s="367"/>
    </row>
    <row r="159" spans="2:13">
      <c r="B159" s="103" t="s">
        <v>105</v>
      </c>
      <c r="C159" s="367">
        <v>0</v>
      </c>
      <c r="D159" s="367"/>
      <c r="E159" s="367"/>
      <c r="F159" s="367"/>
      <c r="G159" s="367"/>
      <c r="H159" s="367"/>
      <c r="I159" s="367"/>
      <c r="J159" s="367"/>
      <c r="K159" s="367"/>
      <c r="L159" s="367"/>
    </row>
    <row r="160" spans="2:13">
      <c r="B160" s="102" t="s">
        <v>106</v>
      </c>
      <c r="C160" s="367">
        <v>4</v>
      </c>
      <c r="D160" s="367">
        <v>4</v>
      </c>
      <c r="E160" s="367">
        <v>4</v>
      </c>
      <c r="F160" s="367">
        <v>4</v>
      </c>
      <c r="G160" s="367">
        <v>4</v>
      </c>
      <c r="H160" s="367">
        <v>4</v>
      </c>
      <c r="I160" s="367">
        <v>4</v>
      </c>
      <c r="J160" s="367">
        <v>4</v>
      </c>
      <c r="K160" s="367">
        <v>4</v>
      </c>
      <c r="L160" s="367">
        <v>4</v>
      </c>
    </row>
    <row r="161" spans="2:13">
      <c r="B161" s="103" t="s">
        <v>107</v>
      </c>
      <c r="C161" s="367">
        <v>14</v>
      </c>
      <c r="D161" s="367">
        <v>14</v>
      </c>
      <c r="E161" s="367">
        <v>14</v>
      </c>
      <c r="F161" s="367">
        <v>14</v>
      </c>
      <c r="G161" s="367">
        <v>14</v>
      </c>
      <c r="H161" s="367">
        <v>14</v>
      </c>
      <c r="I161" s="367">
        <v>14</v>
      </c>
      <c r="J161" s="367">
        <v>14</v>
      </c>
      <c r="K161" s="367">
        <v>14</v>
      </c>
      <c r="L161" s="367">
        <v>14</v>
      </c>
    </row>
    <row r="162" spans="2:13">
      <c r="B162" s="312" t="s">
        <v>17</v>
      </c>
      <c r="C162" s="368">
        <v>105</v>
      </c>
      <c r="D162" s="368">
        <v>105</v>
      </c>
      <c r="E162" s="368">
        <v>105</v>
      </c>
      <c r="F162" s="368">
        <v>105</v>
      </c>
      <c r="G162" s="368">
        <v>105</v>
      </c>
      <c r="H162" s="368">
        <v>105</v>
      </c>
      <c r="I162" s="368">
        <v>105</v>
      </c>
      <c r="J162" s="368">
        <v>105</v>
      </c>
      <c r="K162" s="368">
        <v>105</v>
      </c>
      <c r="L162" s="368">
        <v>105</v>
      </c>
    </row>
    <row r="163" spans="2:13">
      <c r="B163" s="310" t="s">
        <v>131</v>
      </c>
      <c r="C163" s="369" t="s">
        <v>2</v>
      </c>
      <c r="D163" s="369"/>
      <c r="E163" s="369"/>
      <c r="F163" s="369"/>
      <c r="G163" s="369"/>
      <c r="H163" s="369"/>
      <c r="I163" s="369"/>
      <c r="J163" s="369"/>
      <c r="K163" s="369"/>
      <c r="L163" s="369"/>
    </row>
    <row r="164" spans="2:13">
      <c r="B164" s="102" t="s">
        <v>100</v>
      </c>
      <c r="C164" s="367">
        <v>149</v>
      </c>
      <c r="D164" s="367">
        <v>149</v>
      </c>
      <c r="E164" s="367">
        <v>149</v>
      </c>
      <c r="F164" s="367">
        <v>149</v>
      </c>
      <c r="G164" s="370">
        <v>150</v>
      </c>
      <c r="H164" s="367">
        <v>150</v>
      </c>
      <c r="I164" s="367">
        <v>150</v>
      </c>
      <c r="J164" s="367">
        <v>150</v>
      </c>
      <c r="K164" s="367">
        <v>152</v>
      </c>
      <c r="L164" s="367">
        <v>154</v>
      </c>
    </row>
    <row r="165" spans="2:13">
      <c r="B165" s="102" t="s">
        <v>101</v>
      </c>
      <c r="C165" s="367"/>
      <c r="D165" s="367"/>
      <c r="E165" s="367"/>
      <c r="F165" s="367"/>
      <c r="G165" s="367"/>
      <c r="H165" s="367"/>
      <c r="I165" s="367"/>
      <c r="J165" s="367"/>
      <c r="K165" s="367"/>
      <c r="L165" s="367"/>
    </row>
    <row r="166" spans="2:13">
      <c r="B166" s="102" t="s">
        <v>102</v>
      </c>
      <c r="C166" s="367">
        <v>16</v>
      </c>
      <c r="D166" s="367">
        <v>16</v>
      </c>
      <c r="E166" s="367">
        <v>16</v>
      </c>
      <c r="F166" s="367">
        <v>16</v>
      </c>
      <c r="G166" s="367">
        <v>16</v>
      </c>
      <c r="H166" s="367">
        <v>16</v>
      </c>
      <c r="I166" s="367">
        <v>16</v>
      </c>
      <c r="J166" s="367">
        <v>16</v>
      </c>
      <c r="K166" s="367">
        <v>16</v>
      </c>
      <c r="L166" s="367">
        <v>16</v>
      </c>
    </row>
    <row r="167" spans="2:13">
      <c r="B167" s="102" t="s">
        <v>103</v>
      </c>
      <c r="C167" s="367">
        <v>4</v>
      </c>
      <c r="D167" s="367">
        <v>4</v>
      </c>
      <c r="E167" s="367">
        <v>4</v>
      </c>
      <c r="F167" s="367">
        <v>4</v>
      </c>
      <c r="G167" s="367">
        <v>4</v>
      </c>
      <c r="H167" s="367">
        <v>4</v>
      </c>
      <c r="I167" s="367">
        <v>4</v>
      </c>
      <c r="J167" s="367">
        <v>4</v>
      </c>
      <c r="K167" s="367">
        <v>4</v>
      </c>
      <c r="L167" s="367">
        <v>4</v>
      </c>
    </row>
    <row r="168" spans="2:13">
      <c r="B168" s="102" t="s">
        <v>75</v>
      </c>
      <c r="C168" s="367">
        <v>1</v>
      </c>
      <c r="D168" s="367">
        <v>1</v>
      </c>
      <c r="E168" s="367">
        <v>1</v>
      </c>
      <c r="F168" s="367">
        <v>1</v>
      </c>
      <c r="G168" s="367">
        <v>1</v>
      </c>
      <c r="H168" s="367">
        <v>1</v>
      </c>
      <c r="I168" s="367">
        <v>1</v>
      </c>
      <c r="J168" s="367">
        <v>1</v>
      </c>
      <c r="K168" s="367">
        <v>1</v>
      </c>
      <c r="L168" s="367">
        <v>1</v>
      </c>
    </row>
    <row r="169" spans="2:13">
      <c r="B169" s="102" t="s">
        <v>104</v>
      </c>
      <c r="C169" s="367">
        <v>0</v>
      </c>
      <c r="D169" s="367"/>
      <c r="E169" s="367"/>
      <c r="F169" s="367"/>
      <c r="G169" s="367"/>
      <c r="H169" s="367"/>
      <c r="I169" s="367"/>
      <c r="J169" s="367"/>
      <c r="K169" s="367"/>
      <c r="L169" s="367"/>
    </row>
    <row r="170" spans="2:13">
      <c r="B170" s="103" t="s">
        <v>105</v>
      </c>
      <c r="C170" s="367">
        <v>0</v>
      </c>
      <c r="D170" s="367"/>
      <c r="E170" s="367"/>
      <c r="F170" s="367"/>
      <c r="G170" s="367"/>
      <c r="H170" s="367"/>
      <c r="I170" s="367"/>
      <c r="J170" s="367"/>
      <c r="K170" s="367"/>
      <c r="L170" s="367"/>
    </row>
    <row r="171" spans="2:13">
      <c r="B171" s="102" t="s">
        <v>106</v>
      </c>
      <c r="C171" s="367">
        <v>4</v>
      </c>
      <c r="D171" s="367">
        <v>4</v>
      </c>
      <c r="E171" s="367">
        <v>4</v>
      </c>
      <c r="F171" s="367">
        <v>4</v>
      </c>
      <c r="G171" s="367">
        <v>4</v>
      </c>
      <c r="H171" s="367">
        <v>4</v>
      </c>
      <c r="I171" s="367">
        <v>4</v>
      </c>
      <c r="J171" s="367">
        <v>4</v>
      </c>
      <c r="K171" s="367">
        <v>4</v>
      </c>
      <c r="L171" s="367">
        <v>4</v>
      </c>
    </row>
    <row r="172" spans="2:13">
      <c r="B172" s="103" t="s">
        <v>107</v>
      </c>
      <c r="C172" s="367">
        <v>13</v>
      </c>
      <c r="D172" s="367">
        <v>13</v>
      </c>
      <c r="E172" s="367">
        <v>13</v>
      </c>
      <c r="F172" s="367">
        <v>13</v>
      </c>
      <c r="G172" s="367">
        <v>13</v>
      </c>
      <c r="H172" s="367">
        <v>13</v>
      </c>
      <c r="I172" s="367">
        <v>13</v>
      </c>
      <c r="J172" s="367">
        <v>13</v>
      </c>
      <c r="K172" s="367">
        <v>13</v>
      </c>
      <c r="L172" s="367">
        <v>13</v>
      </c>
    </row>
    <row r="173" spans="2:13">
      <c r="B173" s="313" t="s">
        <v>17</v>
      </c>
      <c r="C173" s="369">
        <v>187</v>
      </c>
      <c r="D173" s="369">
        <v>187</v>
      </c>
      <c r="E173" s="369">
        <v>187</v>
      </c>
      <c r="F173" s="369">
        <v>187</v>
      </c>
      <c r="G173" s="369">
        <v>188</v>
      </c>
      <c r="H173" s="369">
        <v>188</v>
      </c>
      <c r="I173" s="369">
        <v>188</v>
      </c>
      <c r="J173" s="369">
        <v>188</v>
      </c>
      <c r="K173" s="369">
        <v>190</v>
      </c>
      <c r="L173" s="369">
        <v>192</v>
      </c>
    </row>
    <row r="174" spans="2:13">
      <c r="B174" s="310" t="s">
        <v>132</v>
      </c>
      <c r="C174" s="369" t="s">
        <v>2</v>
      </c>
      <c r="D174" s="369"/>
      <c r="E174" s="369"/>
      <c r="F174" s="369"/>
      <c r="G174" s="369"/>
      <c r="H174" s="369"/>
      <c r="I174" s="369"/>
      <c r="J174" s="369"/>
      <c r="K174" s="369"/>
      <c r="L174" s="369"/>
    </row>
    <row r="175" spans="2:13">
      <c r="B175" s="102" t="s">
        <v>100</v>
      </c>
      <c r="C175" s="367">
        <v>485</v>
      </c>
      <c r="D175" s="367">
        <v>485</v>
      </c>
      <c r="E175" s="367">
        <v>485</v>
      </c>
      <c r="F175" s="367">
        <v>485</v>
      </c>
      <c r="G175" s="370">
        <v>489</v>
      </c>
      <c r="H175" s="367">
        <v>489</v>
      </c>
      <c r="I175" s="367">
        <v>489</v>
      </c>
      <c r="J175" s="367">
        <v>489</v>
      </c>
      <c r="K175" s="367">
        <v>497</v>
      </c>
      <c r="L175" s="367">
        <v>505</v>
      </c>
      <c r="M175" t="s">
        <v>2</v>
      </c>
    </row>
    <row r="176" spans="2:13">
      <c r="B176" s="102" t="s">
        <v>101</v>
      </c>
      <c r="C176" s="367">
        <v>0</v>
      </c>
      <c r="D176" s="367"/>
      <c r="E176" s="367"/>
      <c r="F176" s="367"/>
      <c r="G176" s="370"/>
      <c r="H176" s="367"/>
      <c r="I176" s="367"/>
      <c r="J176" s="367"/>
      <c r="K176" s="367"/>
      <c r="L176" s="367"/>
    </row>
    <row r="177" spans="2:13">
      <c r="B177" s="102" t="s">
        <v>102</v>
      </c>
      <c r="C177" s="367">
        <v>33</v>
      </c>
      <c r="D177" s="367">
        <v>33</v>
      </c>
      <c r="E177" s="367">
        <v>33</v>
      </c>
      <c r="F177" s="367">
        <v>33</v>
      </c>
      <c r="G177" s="370">
        <v>33</v>
      </c>
      <c r="H177" s="367">
        <v>33</v>
      </c>
      <c r="I177" s="367">
        <v>33</v>
      </c>
      <c r="J177" s="367">
        <v>33</v>
      </c>
      <c r="K177" s="367">
        <v>33</v>
      </c>
      <c r="L177" s="367">
        <v>33</v>
      </c>
    </row>
    <row r="178" spans="2:13">
      <c r="B178" s="102" t="s">
        <v>103</v>
      </c>
      <c r="C178" s="367">
        <v>4</v>
      </c>
      <c r="D178" s="367">
        <v>4</v>
      </c>
      <c r="E178" s="367">
        <v>4</v>
      </c>
      <c r="F178" s="367">
        <v>4</v>
      </c>
      <c r="G178" s="370">
        <v>4</v>
      </c>
      <c r="H178" s="367">
        <v>4</v>
      </c>
      <c r="I178" s="367">
        <v>4</v>
      </c>
      <c r="J178" s="367">
        <v>4</v>
      </c>
      <c r="K178" s="367">
        <v>4</v>
      </c>
      <c r="L178" s="367">
        <v>4</v>
      </c>
    </row>
    <row r="179" spans="2:13">
      <c r="B179" s="102" t="s">
        <v>75</v>
      </c>
      <c r="C179" s="367">
        <v>1</v>
      </c>
      <c r="D179" s="367">
        <v>1</v>
      </c>
      <c r="E179" s="367">
        <v>1</v>
      </c>
      <c r="F179" s="367">
        <v>1</v>
      </c>
      <c r="G179" s="370">
        <v>1</v>
      </c>
      <c r="H179" s="367">
        <v>1</v>
      </c>
      <c r="I179" s="367">
        <v>1</v>
      </c>
      <c r="J179" s="367">
        <v>1</v>
      </c>
      <c r="K179" s="367">
        <v>1</v>
      </c>
      <c r="L179" s="367">
        <v>1</v>
      </c>
    </row>
    <row r="180" spans="2:13">
      <c r="B180" s="102" t="s">
        <v>104</v>
      </c>
      <c r="C180" s="367">
        <v>0</v>
      </c>
      <c r="D180" s="367"/>
      <c r="E180" s="367"/>
      <c r="F180" s="367"/>
      <c r="G180" s="370"/>
      <c r="H180" s="367"/>
      <c r="I180" s="367"/>
      <c r="J180" s="367"/>
      <c r="K180" s="367"/>
      <c r="L180" s="367"/>
    </row>
    <row r="181" spans="2:13">
      <c r="B181" s="103" t="s">
        <v>105</v>
      </c>
      <c r="C181" s="367">
        <v>0</v>
      </c>
      <c r="D181" s="367"/>
      <c r="E181" s="367"/>
      <c r="F181" s="367"/>
      <c r="G181" s="370"/>
      <c r="H181" s="367"/>
      <c r="I181" s="367"/>
      <c r="J181" s="367"/>
      <c r="K181" s="367"/>
      <c r="L181" s="367"/>
    </row>
    <row r="182" spans="2:13">
      <c r="B182" s="102" t="s">
        <v>106</v>
      </c>
      <c r="C182" s="367">
        <v>19</v>
      </c>
      <c r="D182" s="367">
        <v>19</v>
      </c>
      <c r="E182" s="367">
        <v>19</v>
      </c>
      <c r="F182" s="367">
        <v>19</v>
      </c>
      <c r="G182" s="370">
        <v>20</v>
      </c>
      <c r="H182" s="367">
        <v>20</v>
      </c>
      <c r="I182" s="367">
        <v>20</v>
      </c>
      <c r="J182" s="367">
        <v>20</v>
      </c>
      <c r="K182" s="367">
        <v>21</v>
      </c>
      <c r="L182" s="367">
        <v>22</v>
      </c>
    </row>
    <row r="183" spans="2:13">
      <c r="B183" s="103" t="s">
        <v>107</v>
      </c>
      <c r="C183" s="367">
        <v>23</v>
      </c>
      <c r="D183" s="367">
        <v>23</v>
      </c>
      <c r="E183" s="370">
        <v>24</v>
      </c>
      <c r="F183" s="367">
        <v>24</v>
      </c>
      <c r="G183" s="367">
        <v>24</v>
      </c>
      <c r="H183" s="367">
        <v>24</v>
      </c>
      <c r="I183" s="367">
        <v>24</v>
      </c>
      <c r="J183" s="367">
        <v>24</v>
      </c>
      <c r="K183" s="367">
        <v>24</v>
      </c>
      <c r="L183" s="367">
        <v>24</v>
      </c>
      <c r="M183" t="s">
        <v>133</v>
      </c>
    </row>
    <row r="184" spans="2:13">
      <c r="B184" s="313" t="s">
        <v>17</v>
      </c>
      <c r="C184" s="369">
        <v>565</v>
      </c>
      <c r="D184" s="369">
        <v>565</v>
      </c>
      <c r="E184" s="369">
        <v>566</v>
      </c>
      <c r="F184" s="369">
        <v>566</v>
      </c>
      <c r="G184" s="369">
        <v>571</v>
      </c>
      <c r="H184" s="369">
        <v>571</v>
      </c>
      <c r="I184" s="369">
        <v>571</v>
      </c>
      <c r="J184" s="369">
        <v>571</v>
      </c>
      <c r="K184" s="369">
        <v>580</v>
      </c>
      <c r="L184" s="369">
        <v>589</v>
      </c>
    </row>
    <row r="185" spans="2:13">
      <c r="B185" s="310" t="s">
        <v>134</v>
      </c>
      <c r="C185" s="369" t="s">
        <v>2</v>
      </c>
      <c r="D185" s="369"/>
      <c r="E185" s="369"/>
      <c r="F185" s="369"/>
      <c r="G185" s="369"/>
      <c r="H185" s="369"/>
      <c r="I185" s="369"/>
      <c r="J185" s="369"/>
      <c r="K185" s="369"/>
      <c r="L185" s="369"/>
    </row>
    <row r="186" spans="2:13">
      <c r="B186" s="102" t="s">
        <v>100</v>
      </c>
      <c r="C186" s="367">
        <v>120</v>
      </c>
      <c r="D186" s="367">
        <v>120</v>
      </c>
      <c r="E186" s="367">
        <v>120</v>
      </c>
      <c r="F186" s="367">
        <v>120</v>
      </c>
      <c r="G186" s="370">
        <v>121</v>
      </c>
      <c r="H186" s="370">
        <v>121</v>
      </c>
      <c r="I186" s="370">
        <v>121</v>
      </c>
      <c r="J186" s="370">
        <v>121</v>
      </c>
      <c r="K186" s="370">
        <v>123</v>
      </c>
      <c r="L186" s="367">
        <v>125</v>
      </c>
    </row>
    <row r="187" spans="2:13">
      <c r="B187" s="102" t="s">
        <v>101</v>
      </c>
      <c r="C187" s="367">
        <v>0</v>
      </c>
      <c r="D187" s="367"/>
      <c r="E187" s="367"/>
      <c r="F187" s="367"/>
      <c r="G187" s="370"/>
      <c r="H187" s="370"/>
      <c r="I187" s="370"/>
      <c r="J187" s="370"/>
      <c r="K187" s="370"/>
      <c r="L187" s="367"/>
    </row>
    <row r="188" spans="2:13">
      <c r="B188" s="102" t="s">
        <v>102</v>
      </c>
      <c r="C188" s="367">
        <v>10</v>
      </c>
      <c r="D188" s="367">
        <v>10</v>
      </c>
      <c r="E188" s="367">
        <v>10</v>
      </c>
      <c r="F188" s="367">
        <v>10</v>
      </c>
      <c r="G188" s="370">
        <v>10</v>
      </c>
      <c r="H188" s="370">
        <v>10</v>
      </c>
      <c r="I188" s="370">
        <v>10</v>
      </c>
      <c r="J188" s="370">
        <v>10</v>
      </c>
      <c r="K188" s="370">
        <v>10</v>
      </c>
      <c r="L188" s="367">
        <v>10</v>
      </c>
    </row>
    <row r="189" spans="2:13">
      <c r="B189" s="102" t="s">
        <v>103</v>
      </c>
      <c r="C189" s="367">
        <v>1</v>
      </c>
      <c r="D189" s="367">
        <v>1</v>
      </c>
      <c r="E189" s="367">
        <v>1</v>
      </c>
      <c r="F189" s="367">
        <v>1</v>
      </c>
      <c r="G189" s="370">
        <v>1</v>
      </c>
      <c r="H189" s="370">
        <v>1</v>
      </c>
      <c r="I189" s="370">
        <v>1</v>
      </c>
      <c r="J189" s="370">
        <v>1</v>
      </c>
      <c r="K189" s="370">
        <v>1</v>
      </c>
      <c r="L189" s="367">
        <v>1</v>
      </c>
    </row>
    <row r="190" spans="2:13">
      <c r="B190" s="102" t="s">
        <v>75</v>
      </c>
      <c r="C190" s="367"/>
      <c r="D190" s="367"/>
      <c r="E190" s="367"/>
      <c r="F190" s="367"/>
      <c r="G190" s="370"/>
      <c r="H190" s="370"/>
      <c r="I190" s="370"/>
      <c r="J190" s="370"/>
      <c r="K190" s="370"/>
      <c r="L190" s="367"/>
    </row>
    <row r="191" spans="2:13">
      <c r="B191" s="102" t="s">
        <v>104</v>
      </c>
      <c r="C191" s="367">
        <v>0</v>
      </c>
      <c r="D191" s="367"/>
      <c r="E191" s="367"/>
      <c r="F191" s="367"/>
      <c r="G191" s="370"/>
      <c r="H191" s="370"/>
      <c r="I191" s="370"/>
      <c r="J191" s="370"/>
      <c r="K191" s="370"/>
      <c r="L191" s="367"/>
    </row>
    <row r="192" spans="2:13">
      <c r="B192" s="103" t="s">
        <v>105</v>
      </c>
      <c r="C192" s="367">
        <v>0</v>
      </c>
      <c r="D192" s="367"/>
      <c r="E192" s="367"/>
      <c r="F192" s="367"/>
      <c r="G192" s="370"/>
      <c r="H192" s="370"/>
      <c r="I192" s="370"/>
      <c r="J192" s="370"/>
      <c r="K192" s="370"/>
      <c r="L192" s="367"/>
    </row>
    <row r="193" spans="2:16">
      <c r="B193" s="102" t="s">
        <v>106</v>
      </c>
      <c r="C193" s="367">
        <v>5</v>
      </c>
      <c r="D193" s="367">
        <v>5</v>
      </c>
      <c r="E193" s="367">
        <v>5</v>
      </c>
      <c r="F193" s="367">
        <v>5</v>
      </c>
      <c r="G193" s="370">
        <v>5</v>
      </c>
      <c r="H193" s="370">
        <v>5</v>
      </c>
      <c r="I193" s="370">
        <v>5</v>
      </c>
      <c r="J193" s="370">
        <v>5</v>
      </c>
      <c r="K193" s="370">
        <v>13</v>
      </c>
      <c r="L193" s="367">
        <v>13</v>
      </c>
      <c r="M193" t="s">
        <v>135</v>
      </c>
    </row>
    <row r="194" spans="2:16">
      <c r="B194" s="103" t="s">
        <v>107</v>
      </c>
      <c r="C194" s="367">
        <f>26-C195</f>
        <v>14</v>
      </c>
      <c r="D194" s="367">
        <f t="shared" ref="D194:J194" si="2">26-D195</f>
        <v>14</v>
      </c>
      <c r="E194" s="367">
        <f t="shared" si="2"/>
        <v>14</v>
      </c>
      <c r="F194" s="367">
        <f t="shared" si="2"/>
        <v>14</v>
      </c>
      <c r="G194" s="370">
        <f t="shared" si="2"/>
        <v>14</v>
      </c>
      <c r="H194" s="370">
        <f t="shared" si="2"/>
        <v>14</v>
      </c>
      <c r="I194" s="370">
        <f t="shared" si="2"/>
        <v>14</v>
      </c>
      <c r="J194" s="370">
        <f t="shared" si="2"/>
        <v>14</v>
      </c>
      <c r="K194" s="370">
        <f>27-K195</f>
        <v>15</v>
      </c>
      <c r="L194" s="367">
        <f>27-L195</f>
        <v>15</v>
      </c>
      <c r="M194" t="s">
        <v>136</v>
      </c>
      <c r="N194">
        <f>ROUND(O194/12,0)</f>
        <v>6688</v>
      </c>
      <c r="O194" s="107">
        <v>80255</v>
      </c>
      <c r="P194" t="s">
        <v>118</v>
      </c>
    </row>
    <row r="195" spans="2:16">
      <c r="B195" s="103" t="s">
        <v>107</v>
      </c>
      <c r="C195" s="370">
        <v>12</v>
      </c>
      <c r="D195" s="370">
        <v>12</v>
      </c>
      <c r="E195" s="370">
        <v>12</v>
      </c>
      <c r="F195" s="370">
        <v>12</v>
      </c>
      <c r="G195" s="370">
        <v>12</v>
      </c>
      <c r="H195" s="370">
        <v>12</v>
      </c>
      <c r="I195" s="370">
        <v>12</v>
      </c>
      <c r="J195" s="370">
        <v>12</v>
      </c>
      <c r="K195" s="370">
        <v>12</v>
      </c>
      <c r="L195" s="370">
        <v>12</v>
      </c>
      <c r="O195" s="107"/>
    </row>
    <row r="196" spans="2:16">
      <c r="B196" s="312" t="s">
        <v>17</v>
      </c>
      <c r="C196" s="368">
        <v>162</v>
      </c>
      <c r="D196" s="368">
        <v>162</v>
      </c>
      <c r="E196" s="368">
        <v>162</v>
      </c>
      <c r="F196" s="368">
        <v>162</v>
      </c>
      <c r="G196" s="368">
        <v>163</v>
      </c>
      <c r="H196" s="368">
        <v>163</v>
      </c>
      <c r="I196" s="368">
        <v>163</v>
      </c>
      <c r="J196" s="368">
        <v>163</v>
      </c>
      <c r="K196" s="318">
        <v>174</v>
      </c>
      <c r="L196" s="368">
        <v>176</v>
      </c>
    </row>
    <row r="197" spans="2:16">
      <c r="B197" s="101" t="s">
        <v>137</v>
      </c>
      <c r="C197" s="367" t="s">
        <v>2</v>
      </c>
      <c r="D197" s="367"/>
      <c r="E197" s="367"/>
      <c r="F197" s="367"/>
      <c r="G197" s="367"/>
      <c r="H197" s="367"/>
      <c r="I197" s="367"/>
      <c r="J197" s="367"/>
      <c r="K197" s="367"/>
      <c r="L197" s="367"/>
    </row>
    <row r="198" spans="2:16">
      <c r="B198" s="102" t="s">
        <v>100</v>
      </c>
      <c r="C198" s="367">
        <v>260</v>
      </c>
      <c r="D198" s="367">
        <v>260</v>
      </c>
      <c r="E198" s="367">
        <v>260</v>
      </c>
      <c r="F198" s="367">
        <v>260</v>
      </c>
      <c r="G198" s="370">
        <v>260</v>
      </c>
      <c r="H198" s="370">
        <v>260</v>
      </c>
      <c r="I198" s="370">
        <v>260</v>
      </c>
      <c r="J198" s="370">
        <v>260</v>
      </c>
      <c r="K198" s="370">
        <v>261</v>
      </c>
      <c r="L198" s="367">
        <v>262</v>
      </c>
    </row>
    <row r="199" spans="2:16">
      <c r="B199" s="102" t="s">
        <v>101</v>
      </c>
      <c r="C199" s="367"/>
      <c r="D199" s="367"/>
      <c r="E199" s="367"/>
      <c r="F199" s="367"/>
      <c r="G199" s="370"/>
      <c r="H199" s="370"/>
      <c r="I199" s="370"/>
      <c r="J199" s="370"/>
      <c r="K199" s="370"/>
      <c r="L199" s="367"/>
    </row>
    <row r="200" spans="2:16">
      <c r="B200" s="102" t="s">
        <v>102</v>
      </c>
      <c r="C200" s="367">
        <v>25</v>
      </c>
      <c r="D200" s="367">
        <v>25</v>
      </c>
      <c r="E200" s="367">
        <v>25</v>
      </c>
      <c r="F200" s="367">
        <v>25</v>
      </c>
      <c r="G200" s="370">
        <v>25</v>
      </c>
      <c r="H200" s="370">
        <v>25</v>
      </c>
      <c r="I200" s="370">
        <v>25</v>
      </c>
      <c r="J200" s="370">
        <v>25</v>
      </c>
      <c r="K200" s="370">
        <v>25</v>
      </c>
      <c r="L200" s="367">
        <v>25</v>
      </c>
    </row>
    <row r="201" spans="2:16">
      <c r="B201" s="102" t="s">
        <v>103</v>
      </c>
      <c r="C201" s="367">
        <v>4</v>
      </c>
      <c r="D201" s="367">
        <v>4</v>
      </c>
      <c r="E201" s="367">
        <v>4</v>
      </c>
      <c r="F201" s="367">
        <v>4</v>
      </c>
      <c r="G201" s="370">
        <v>4</v>
      </c>
      <c r="H201" s="370">
        <v>4</v>
      </c>
      <c r="I201" s="370">
        <v>4</v>
      </c>
      <c r="J201" s="370">
        <v>4</v>
      </c>
      <c r="K201" s="370">
        <v>4</v>
      </c>
      <c r="L201" s="367">
        <v>4</v>
      </c>
    </row>
    <row r="202" spans="2:16">
      <c r="B202" s="102" t="s">
        <v>75</v>
      </c>
      <c r="C202" s="367">
        <v>1</v>
      </c>
      <c r="D202" s="367">
        <v>1</v>
      </c>
      <c r="E202" s="367">
        <v>1</v>
      </c>
      <c r="F202" s="367">
        <v>1</v>
      </c>
      <c r="G202" s="370">
        <v>1</v>
      </c>
      <c r="H202" s="370">
        <v>1</v>
      </c>
      <c r="I202" s="370">
        <v>1</v>
      </c>
      <c r="J202" s="370">
        <v>1</v>
      </c>
      <c r="K202" s="370">
        <v>1</v>
      </c>
      <c r="L202" s="367">
        <v>1</v>
      </c>
    </row>
    <row r="203" spans="2:16">
      <c r="B203" s="102" t="s">
        <v>104</v>
      </c>
      <c r="C203" s="367">
        <v>0</v>
      </c>
      <c r="D203" s="367"/>
      <c r="E203" s="367"/>
      <c r="F203" s="367"/>
      <c r="G203" s="370"/>
      <c r="H203" s="370"/>
      <c r="I203" s="370"/>
      <c r="J203" s="370"/>
      <c r="K203" s="370"/>
      <c r="L203" s="367"/>
    </row>
    <row r="204" spans="2:16">
      <c r="B204" s="103" t="s">
        <v>105</v>
      </c>
      <c r="C204" s="367">
        <v>0</v>
      </c>
      <c r="D204" s="367"/>
      <c r="E204" s="367"/>
      <c r="F204" s="367"/>
      <c r="G204" s="370"/>
      <c r="H204" s="370"/>
      <c r="I204" s="370"/>
      <c r="J204" s="370"/>
      <c r="K204" s="370"/>
      <c r="L204" s="367"/>
    </row>
    <row r="205" spans="2:16">
      <c r="B205" s="102" t="s">
        <v>106</v>
      </c>
      <c r="C205" s="367">
        <v>12</v>
      </c>
      <c r="D205" s="367">
        <v>12</v>
      </c>
      <c r="E205" s="367">
        <v>12</v>
      </c>
      <c r="F205" s="367">
        <v>12</v>
      </c>
      <c r="G205" s="370">
        <v>13</v>
      </c>
      <c r="H205" s="370">
        <v>13</v>
      </c>
      <c r="I205" s="370">
        <v>13</v>
      </c>
      <c r="J205" s="370">
        <v>13</v>
      </c>
      <c r="K205" s="370">
        <v>23</v>
      </c>
      <c r="L205" s="367">
        <v>28</v>
      </c>
      <c r="M205" t="s">
        <v>138</v>
      </c>
      <c r="N205" s="314"/>
    </row>
    <row r="206" spans="2:16">
      <c r="B206" s="103" t="s">
        <v>107</v>
      </c>
      <c r="C206" s="367">
        <f>30-C207</f>
        <v>22</v>
      </c>
      <c r="D206" s="367">
        <f t="shared" ref="D206:J206" si="3">30-D207</f>
        <v>22</v>
      </c>
      <c r="E206" s="367">
        <f t="shared" si="3"/>
        <v>22</v>
      </c>
      <c r="F206" s="367">
        <f t="shared" si="3"/>
        <v>22</v>
      </c>
      <c r="G206" s="370">
        <f t="shared" si="3"/>
        <v>22</v>
      </c>
      <c r="H206" s="370">
        <f t="shared" si="3"/>
        <v>22</v>
      </c>
      <c r="I206" s="370">
        <f t="shared" si="3"/>
        <v>22</v>
      </c>
      <c r="J206" s="370">
        <f t="shared" si="3"/>
        <v>22</v>
      </c>
      <c r="K206" s="370">
        <f>31-K207</f>
        <v>23</v>
      </c>
      <c r="L206" s="367">
        <f>31-L207</f>
        <v>23</v>
      </c>
      <c r="M206" t="s">
        <v>139</v>
      </c>
      <c r="N206">
        <f>ROUND(O206/12,0)</f>
        <v>22711</v>
      </c>
      <c r="O206" s="107">
        <v>272529</v>
      </c>
      <c r="P206" t="s">
        <v>118</v>
      </c>
    </row>
    <row r="207" spans="2:16">
      <c r="B207" s="103" t="s">
        <v>107</v>
      </c>
      <c r="C207" s="370">
        <v>8</v>
      </c>
      <c r="D207" s="370">
        <v>8</v>
      </c>
      <c r="E207" s="370">
        <v>8</v>
      </c>
      <c r="F207" s="370">
        <v>8</v>
      </c>
      <c r="G207" s="370">
        <v>8</v>
      </c>
      <c r="H207" s="370">
        <v>8</v>
      </c>
      <c r="I207" s="370">
        <v>8</v>
      </c>
      <c r="J207" s="370">
        <v>8</v>
      </c>
      <c r="K207" s="370">
        <v>8</v>
      </c>
      <c r="L207" s="370">
        <v>8</v>
      </c>
      <c r="O207" s="107"/>
    </row>
    <row r="208" spans="2:16">
      <c r="B208" s="312" t="s">
        <v>17</v>
      </c>
      <c r="C208" s="368">
        <v>332</v>
      </c>
      <c r="D208" s="368">
        <v>332</v>
      </c>
      <c r="E208" s="368">
        <v>332</v>
      </c>
      <c r="F208" s="368">
        <v>332</v>
      </c>
      <c r="G208" s="368">
        <v>333</v>
      </c>
      <c r="H208" s="368">
        <v>333</v>
      </c>
      <c r="I208" s="368">
        <v>333</v>
      </c>
      <c r="J208" s="368">
        <v>333</v>
      </c>
      <c r="K208" s="368">
        <v>345</v>
      </c>
      <c r="L208" s="368">
        <v>351</v>
      </c>
    </row>
    <row r="209" spans="2:13">
      <c r="B209" s="310" t="s">
        <v>140</v>
      </c>
      <c r="C209" s="369"/>
      <c r="D209" s="369"/>
      <c r="E209" s="369"/>
      <c r="F209" s="369"/>
      <c r="G209" s="369"/>
      <c r="H209" s="369"/>
      <c r="I209" s="369"/>
      <c r="J209" s="369"/>
      <c r="K209" s="369"/>
      <c r="L209" s="369"/>
    </row>
    <row r="210" spans="2:13">
      <c r="B210" s="102" t="s">
        <v>100</v>
      </c>
      <c r="C210" s="367">
        <v>177</v>
      </c>
      <c r="D210" s="367">
        <v>173</v>
      </c>
      <c r="E210" s="367">
        <v>173</v>
      </c>
      <c r="F210" s="367">
        <v>173</v>
      </c>
      <c r="G210" s="370">
        <v>173</v>
      </c>
      <c r="H210" s="367">
        <v>173</v>
      </c>
      <c r="I210" s="367">
        <v>173</v>
      </c>
      <c r="J210" s="367">
        <v>173</v>
      </c>
      <c r="K210" s="367">
        <v>174</v>
      </c>
      <c r="L210" s="367">
        <v>175</v>
      </c>
    </row>
    <row r="211" spans="2:13">
      <c r="B211" s="102" t="s">
        <v>101</v>
      </c>
      <c r="C211" s="367">
        <v>0</v>
      </c>
      <c r="D211" s="367"/>
      <c r="E211" s="367"/>
      <c r="F211" s="367"/>
      <c r="G211" s="367"/>
      <c r="H211" s="367"/>
      <c r="I211" s="367"/>
      <c r="J211" s="367"/>
      <c r="K211" s="367"/>
      <c r="L211" s="367"/>
    </row>
    <row r="212" spans="2:13">
      <c r="B212" s="102" t="s">
        <v>102</v>
      </c>
      <c r="C212" s="367">
        <v>10</v>
      </c>
      <c r="D212" s="367">
        <v>10</v>
      </c>
      <c r="E212" s="367">
        <v>10</v>
      </c>
      <c r="F212" s="367">
        <v>10</v>
      </c>
      <c r="G212" s="367">
        <v>10</v>
      </c>
      <c r="H212" s="367">
        <v>10</v>
      </c>
      <c r="I212" s="367">
        <v>10</v>
      </c>
      <c r="J212" s="367">
        <v>10</v>
      </c>
      <c r="K212" s="367">
        <v>10</v>
      </c>
      <c r="L212" s="367">
        <v>10</v>
      </c>
    </row>
    <row r="213" spans="2:13">
      <c r="B213" s="102" t="s">
        <v>103</v>
      </c>
      <c r="C213" s="367">
        <v>7</v>
      </c>
      <c r="D213" s="367">
        <v>7</v>
      </c>
      <c r="E213" s="367">
        <v>7</v>
      </c>
      <c r="F213" s="367">
        <v>7</v>
      </c>
      <c r="G213" s="367">
        <v>7</v>
      </c>
      <c r="H213" s="367">
        <v>7</v>
      </c>
      <c r="I213" s="367">
        <v>7</v>
      </c>
      <c r="J213" s="367">
        <v>7</v>
      </c>
      <c r="K213" s="367">
        <v>7</v>
      </c>
      <c r="L213" s="367">
        <v>7</v>
      </c>
      <c r="M213" t="s">
        <v>2</v>
      </c>
    </row>
    <row r="214" spans="2:13">
      <c r="B214" s="102" t="s">
        <v>75</v>
      </c>
      <c r="C214" s="367">
        <v>0</v>
      </c>
      <c r="D214" s="367"/>
      <c r="E214" s="367"/>
      <c r="F214" s="367"/>
      <c r="G214" s="367"/>
      <c r="H214" s="367"/>
      <c r="I214" s="367"/>
      <c r="J214" s="367"/>
      <c r="K214" s="367"/>
      <c r="L214" s="367"/>
    </row>
    <row r="215" spans="2:13">
      <c r="B215" s="102" t="s">
        <v>104</v>
      </c>
      <c r="C215" s="367">
        <v>0</v>
      </c>
      <c r="D215" s="367"/>
      <c r="E215" s="367"/>
      <c r="F215" s="367"/>
      <c r="G215" s="367"/>
      <c r="H215" s="367"/>
      <c r="I215" s="367"/>
      <c r="J215" s="367"/>
      <c r="K215" s="367"/>
      <c r="L215" s="367"/>
    </row>
    <row r="216" spans="2:13">
      <c r="B216" s="103" t="s">
        <v>105</v>
      </c>
      <c r="C216" s="367">
        <v>0</v>
      </c>
      <c r="D216" s="367"/>
      <c r="E216" s="367"/>
      <c r="F216" s="367"/>
      <c r="G216" s="367"/>
      <c r="H216" s="367"/>
      <c r="I216" s="367"/>
      <c r="J216" s="367"/>
      <c r="K216" s="367"/>
      <c r="L216" s="367"/>
    </row>
    <row r="217" spans="2:13">
      <c r="B217" s="102" t="s">
        <v>106</v>
      </c>
      <c r="C217" s="367">
        <v>10</v>
      </c>
      <c r="D217" s="367">
        <v>10</v>
      </c>
      <c r="E217" s="367">
        <v>10</v>
      </c>
      <c r="F217" s="367">
        <v>10</v>
      </c>
      <c r="G217" s="367">
        <v>10</v>
      </c>
      <c r="H217" s="367">
        <v>10</v>
      </c>
      <c r="I217" s="367">
        <v>10</v>
      </c>
      <c r="J217" s="367">
        <v>10</v>
      </c>
      <c r="K217" s="367">
        <v>10</v>
      </c>
      <c r="L217" s="367">
        <v>10</v>
      </c>
    </row>
    <row r="218" spans="2:13">
      <c r="B218" s="103" t="s">
        <v>107</v>
      </c>
      <c r="C218" s="367">
        <v>12</v>
      </c>
      <c r="D218" s="367">
        <v>12</v>
      </c>
      <c r="E218" s="367">
        <v>12</v>
      </c>
      <c r="F218" s="367">
        <v>12</v>
      </c>
      <c r="G218" s="367">
        <v>12</v>
      </c>
      <c r="H218" s="367">
        <v>12</v>
      </c>
      <c r="I218" s="367">
        <v>12</v>
      </c>
      <c r="J218" s="367">
        <v>12</v>
      </c>
      <c r="K218" s="367">
        <v>12</v>
      </c>
      <c r="L218" s="367">
        <v>12</v>
      </c>
    </row>
    <row r="219" spans="2:13">
      <c r="B219" s="312" t="s">
        <v>17</v>
      </c>
      <c r="C219" s="368">
        <v>216</v>
      </c>
      <c r="D219" s="368">
        <v>212</v>
      </c>
      <c r="E219" s="368">
        <v>212</v>
      </c>
      <c r="F219" s="368">
        <v>212</v>
      </c>
      <c r="G219" s="368">
        <v>212</v>
      </c>
      <c r="H219" s="368">
        <v>212</v>
      </c>
      <c r="I219" s="368">
        <v>212</v>
      </c>
      <c r="J219" s="368">
        <v>212</v>
      </c>
      <c r="K219" s="368">
        <v>213</v>
      </c>
      <c r="L219" s="368">
        <v>214</v>
      </c>
    </row>
    <row r="220" spans="2:13">
      <c r="B220" s="312" t="s">
        <v>82</v>
      </c>
      <c r="C220" s="368">
        <f>SUM(C219,C208,C196,C184,C173,C162,C151,C140,C129,C118,C106,C95,C83,C71,C60,C49,C38,C27,C16,)</f>
        <v>3774</v>
      </c>
      <c r="D220" s="368">
        <f t="shared" ref="D220:L220" si="4">SUM(D219,D208,D196,D184,D173,D162,D151,D140,D129,D118,D106,D95,D83,D71,D60,D49,D38,D27,D16,)</f>
        <v>3768</v>
      </c>
      <c r="E220" s="368">
        <f t="shared" si="4"/>
        <v>3769</v>
      </c>
      <c r="F220" s="368">
        <f t="shared" si="4"/>
        <v>3769</v>
      </c>
      <c r="G220" s="368">
        <f t="shared" si="4"/>
        <v>3795</v>
      </c>
      <c r="H220" s="368">
        <f t="shared" si="4"/>
        <v>3812</v>
      </c>
      <c r="I220" s="368">
        <f t="shared" si="4"/>
        <v>3812</v>
      </c>
      <c r="J220" s="368">
        <f t="shared" si="4"/>
        <v>3812</v>
      </c>
      <c r="K220" s="368">
        <f t="shared" si="4"/>
        <v>3876</v>
      </c>
      <c r="L220" s="368">
        <f t="shared" si="4"/>
        <v>3926</v>
      </c>
    </row>
    <row r="221" spans="2:13">
      <c r="C221" s="176"/>
      <c r="D221" s="176"/>
      <c r="E221" s="1"/>
      <c r="F221" s="176"/>
      <c r="G221" s="176"/>
      <c r="H221" s="176"/>
      <c r="I221" s="176"/>
      <c r="J221" s="176"/>
      <c r="K221" s="176"/>
      <c r="L221" s="176"/>
    </row>
    <row r="222" spans="2:13"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3">
      <c r="C223" s="541">
        <v>2021</v>
      </c>
      <c r="D223" s="542"/>
      <c r="E223" s="542"/>
      <c r="F223" s="542"/>
      <c r="G223" s="542"/>
      <c r="H223" s="542"/>
      <c r="I223" s="542"/>
      <c r="J223" s="543"/>
      <c r="K223" s="371">
        <v>2022</v>
      </c>
      <c r="L223" s="371">
        <v>2023</v>
      </c>
    </row>
    <row r="224" spans="2:13">
      <c r="B224" s="112"/>
      <c r="C224" s="319" t="s">
        <v>98</v>
      </c>
      <c r="D224" s="319" t="s">
        <v>41</v>
      </c>
      <c r="E224" s="319" t="s">
        <v>42</v>
      </c>
      <c r="F224" s="319" t="s">
        <v>43</v>
      </c>
      <c r="G224" s="319" t="s">
        <v>44</v>
      </c>
      <c r="H224" s="319" t="s">
        <v>45</v>
      </c>
      <c r="I224" s="319" t="s">
        <v>46</v>
      </c>
      <c r="J224" s="319" t="s">
        <v>47</v>
      </c>
      <c r="K224" s="320" t="s">
        <v>2</v>
      </c>
      <c r="L224" s="320"/>
    </row>
    <row r="225" spans="2:14">
      <c r="B225" s="310" t="s">
        <v>141</v>
      </c>
      <c r="C225" s="317"/>
      <c r="D225" s="317"/>
      <c r="E225" s="317"/>
      <c r="F225" s="317"/>
      <c r="G225" s="317"/>
      <c r="H225" s="317"/>
      <c r="I225" s="317"/>
      <c r="J225" s="317"/>
      <c r="K225" s="317"/>
      <c r="L225" s="317"/>
    </row>
    <row r="226" spans="2:14">
      <c r="B226" s="102" t="s">
        <v>100</v>
      </c>
      <c r="C226" s="367">
        <v>445</v>
      </c>
      <c r="D226" s="367">
        <v>445</v>
      </c>
      <c r="E226" s="367">
        <v>445</v>
      </c>
      <c r="F226" s="370">
        <v>454</v>
      </c>
      <c r="G226" s="370">
        <v>463</v>
      </c>
      <c r="H226" s="367">
        <v>463</v>
      </c>
      <c r="I226" s="367">
        <v>463</v>
      </c>
      <c r="J226" s="367">
        <v>463</v>
      </c>
      <c r="K226" s="367">
        <v>481</v>
      </c>
      <c r="L226" s="367">
        <v>499</v>
      </c>
      <c r="M226" t="s">
        <v>142</v>
      </c>
    </row>
    <row r="227" spans="2:14">
      <c r="B227" s="102" t="s">
        <v>102</v>
      </c>
      <c r="C227" s="367">
        <v>11</v>
      </c>
      <c r="D227" s="367">
        <v>11</v>
      </c>
      <c r="E227" s="367">
        <v>11</v>
      </c>
      <c r="F227" s="370">
        <v>11</v>
      </c>
      <c r="G227" s="370">
        <v>11</v>
      </c>
      <c r="H227" s="367">
        <v>11</v>
      </c>
      <c r="I227" s="367">
        <v>11</v>
      </c>
      <c r="J227" s="367">
        <v>11</v>
      </c>
      <c r="K227" s="367">
        <v>11</v>
      </c>
      <c r="L227" s="367">
        <v>11</v>
      </c>
    </row>
    <row r="228" spans="2:14">
      <c r="B228" s="102" t="s">
        <v>103</v>
      </c>
      <c r="C228" s="367">
        <v>4</v>
      </c>
      <c r="D228" s="367">
        <v>4</v>
      </c>
      <c r="E228" s="367">
        <v>4</v>
      </c>
      <c r="F228" s="367">
        <v>4</v>
      </c>
      <c r="G228" s="367">
        <v>4</v>
      </c>
      <c r="H228" s="367">
        <v>4</v>
      </c>
      <c r="I228" s="367">
        <v>4</v>
      </c>
      <c r="J228" s="367">
        <v>4</v>
      </c>
      <c r="K228" s="367">
        <v>4</v>
      </c>
      <c r="L228" s="367">
        <v>4</v>
      </c>
    </row>
    <row r="229" spans="2:14">
      <c r="B229" s="102" t="s">
        <v>143</v>
      </c>
      <c r="C229" s="367">
        <v>77</v>
      </c>
      <c r="D229" s="367">
        <v>79</v>
      </c>
      <c r="E229" s="367">
        <v>79</v>
      </c>
      <c r="F229" s="367">
        <v>79</v>
      </c>
      <c r="G229" s="367">
        <v>79</v>
      </c>
      <c r="H229" s="367">
        <v>79</v>
      </c>
      <c r="I229" s="367">
        <v>79</v>
      </c>
      <c r="J229" s="367">
        <v>79</v>
      </c>
      <c r="K229" s="367">
        <v>79</v>
      </c>
      <c r="L229" s="367">
        <v>79</v>
      </c>
    </row>
    <row r="230" spans="2:14">
      <c r="B230" s="312" t="s">
        <v>17</v>
      </c>
      <c r="C230" s="368">
        <v>537</v>
      </c>
      <c r="D230" s="368">
        <v>539</v>
      </c>
      <c r="E230" s="368">
        <v>539</v>
      </c>
      <c r="F230" s="368">
        <v>548</v>
      </c>
      <c r="G230" s="368">
        <v>557</v>
      </c>
      <c r="H230" s="368">
        <v>557</v>
      </c>
      <c r="I230" s="368">
        <v>557</v>
      </c>
      <c r="J230" s="368">
        <v>557</v>
      </c>
      <c r="K230" s="368">
        <v>575</v>
      </c>
      <c r="L230" s="368">
        <v>593</v>
      </c>
    </row>
    <row r="231" spans="2:14">
      <c r="B231" s="101" t="s">
        <v>144</v>
      </c>
      <c r="C231" s="370"/>
      <c r="D231" s="370"/>
      <c r="E231" s="370"/>
      <c r="F231" s="370"/>
      <c r="G231" s="370"/>
      <c r="H231" s="370"/>
      <c r="I231" s="370"/>
      <c r="J231" s="370"/>
      <c r="K231" s="370"/>
      <c r="L231" s="367" t="s">
        <v>2</v>
      </c>
    </row>
    <row r="232" spans="2:14">
      <c r="B232" s="102" t="s">
        <v>100</v>
      </c>
      <c r="C232" s="370"/>
      <c r="D232" s="370"/>
      <c r="E232" s="370"/>
      <c r="F232" s="370"/>
      <c r="G232" s="370"/>
      <c r="H232" s="370"/>
      <c r="I232" s="370"/>
      <c r="J232" s="370"/>
      <c r="K232" s="370"/>
      <c r="L232" s="367">
        <v>211</v>
      </c>
      <c r="M232" t="s">
        <v>145</v>
      </c>
      <c r="N232" s="315"/>
    </row>
    <row r="233" spans="2:14">
      <c r="B233" s="102" t="s">
        <v>102</v>
      </c>
      <c r="C233" s="370"/>
      <c r="D233" s="370"/>
      <c r="E233" s="370"/>
      <c r="F233" s="370"/>
      <c r="G233" s="370"/>
      <c r="H233" s="370"/>
      <c r="I233" s="370"/>
      <c r="J233" s="370"/>
      <c r="K233" s="370"/>
      <c r="L233" s="367">
        <v>10</v>
      </c>
    </row>
    <row r="234" spans="2:14">
      <c r="B234" s="102" t="s">
        <v>103</v>
      </c>
      <c r="C234" s="370"/>
      <c r="D234" s="370"/>
      <c r="E234" s="370"/>
      <c r="F234" s="370"/>
      <c r="G234" s="370"/>
      <c r="H234" s="370"/>
      <c r="I234" s="370"/>
      <c r="J234" s="370"/>
      <c r="K234" s="370"/>
      <c r="L234" s="367">
        <v>3</v>
      </c>
    </row>
    <row r="235" spans="2:14">
      <c r="B235" s="102" t="s">
        <v>143</v>
      </c>
      <c r="C235" s="370"/>
      <c r="D235" s="370"/>
      <c r="E235" s="370"/>
      <c r="F235" s="370"/>
      <c r="G235" s="370"/>
      <c r="H235" s="370"/>
      <c r="I235" s="370"/>
      <c r="J235" s="370"/>
      <c r="K235" s="370"/>
      <c r="L235" s="367">
        <v>36</v>
      </c>
    </row>
    <row r="236" spans="2:14">
      <c r="B236" s="312" t="s">
        <v>17</v>
      </c>
      <c r="C236" s="368">
        <v>0</v>
      </c>
      <c r="D236" s="368">
        <v>0</v>
      </c>
      <c r="E236" s="368">
        <v>0</v>
      </c>
      <c r="F236" s="368">
        <v>0</v>
      </c>
      <c r="G236" s="368">
        <v>0</v>
      </c>
      <c r="H236" s="368">
        <v>0</v>
      </c>
      <c r="I236" s="368">
        <v>0</v>
      </c>
      <c r="J236" s="368">
        <v>0</v>
      </c>
      <c r="K236" s="368">
        <v>0</v>
      </c>
      <c r="L236" s="368">
        <v>260</v>
      </c>
    </row>
    <row r="237" spans="2:14">
      <c r="B237" s="101" t="s">
        <v>146</v>
      </c>
      <c r="C237" s="367"/>
      <c r="D237" s="367"/>
      <c r="E237" s="367"/>
      <c r="F237" s="367"/>
      <c r="G237" s="367"/>
      <c r="H237" s="367"/>
      <c r="I237" s="367"/>
      <c r="J237" s="367"/>
      <c r="K237" s="367"/>
      <c r="L237" s="367"/>
    </row>
    <row r="238" spans="2:14">
      <c r="B238" s="102" t="s">
        <v>100</v>
      </c>
      <c r="C238" s="370"/>
      <c r="D238" s="370"/>
      <c r="E238" s="370"/>
      <c r="F238" s="370"/>
      <c r="G238" s="370"/>
      <c r="H238" s="370"/>
      <c r="I238" s="370"/>
      <c r="J238" s="370"/>
      <c r="K238" s="367"/>
      <c r="L238" s="367"/>
      <c r="N238" s="315"/>
    </row>
    <row r="239" spans="2:14">
      <c r="B239" s="102" t="s">
        <v>102</v>
      </c>
      <c r="C239" s="370"/>
      <c r="D239" s="370"/>
      <c r="E239" s="370"/>
      <c r="F239" s="370"/>
      <c r="G239" s="370"/>
      <c r="H239" s="370"/>
      <c r="I239" s="370"/>
      <c r="J239" s="370"/>
      <c r="K239" s="367"/>
      <c r="L239" s="367"/>
      <c r="M239" t="s">
        <v>2</v>
      </c>
    </row>
    <row r="240" spans="2:14">
      <c r="B240" s="102" t="s">
        <v>103</v>
      </c>
      <c r="C240" s="370"/>
      <c r="D240" s="370"/>
      <c r="E240" s="370"/>
      <c r="F240" s="370"/>
      <c r="G240" s="370"/>
      <c r="H240" s="370"/>
      <c r="I240" s="370"/>
      <c r="J240" s="370"/>
      <c r="K240" s="367"/>
      <c r="L240" s="367"/>
    </row>
    <row r="241" spans="2:14">
      <c r="B241" s="102" t="s">
        <v>143</v>
      </c>
      <c r="C241" s="370"/>
      <c r="D241" s="370"/>
      <c r="E241" s="370"/>
      <c r="F241" s="370"/>
      <c r="G241" s="370"/>
      <c r="H241" s="370"/>
      <c r="I241" s="370"/>
      <c r="J241" s="370"/>
      <c r="K241" s="367"/>
      <c r="L241" s="367"/>
    </row>
    <row r="242" spans="2:14">
      <c r="B242" s="312" t="s">
        <v>17</v>
      </c>
      <c r="C242" s="368">
        <v>0</v>
      </c>
      <c r="D242" s="368">
        <v>0</v>
      </c>
      <c r="E242" s="368">
        <v>0</v>
      </c>
      <c r="F242" s="368">
        <v>0</v>
      </c>
      <c r="G242" s="368">
        <v>0</v>
      </c>
      <c r="H242" s="368">
        <v>0</v>
      </c>
      <c r="I242" s="368">
        <v>0</v>
      </c>
      <c r="J242" s="368">
        <v>0</v>
      </c>
      <c r="K242" s="368"/>
      <c r="L242" s="368"/>
    </row>
    <row r="243" spans="2:14">
      <c r="B243" s="101" t="s">
        <v>147</v>
      </c>
      <c r="C243" s="367"/>
      <c r="D243" s="367"/>
      <c r="E243" s="367"/>
      <c r="F243" s="367"/>
      <c r="G243" s="367"/>
      <c r="H243" s="367"/>
      <c r="I243" s="367"/>
      <c r="J243" s="367"/>
      <c r="K243" s="367"/>
      <c r="L243" s="367"/>
    </row>
    <row r="244" spans="2:14">
      <c r="B244" s="102" t="s">
        <v>100</v>
      </c>
      <c r="C244" s="370"/>
      <c r="D244" s="370"/>
      <c r="E244" s="370"/>
      <c r="F244" s="370"/>
      <c r="G244" s="370"/>
      <c r="H244" s="370"/>
      <c r="I244" s="370"/>
      <c r="J244" s="370"/>
      <c r="K244" s="367"/>
      <c r="L244" s="367">
        <v>131</v>
      </c>
      <c r="M244" t="s">
        <v>145</v>
      </c>
      <c r="N244" s="315"/>
    </row>
    <row r="245" spans="2:14">
      <c r="B245" s="102" t="s">
        <v>102</v>
      </c>
      <c r="C245" s="370"/>
      <c r="D245" s="370"/>
      <c r="E245" s="370"/>
      <c r="F245" s="370"/>
      <c r="G245" s="370"/>
      <c r="H245" s="370"/>
      <c r="I245" s="370"/>
      <c r="J245" s="370"/>
      <c r="K245" s="367"/>
      <c r="L245" s="367">
        <v>10</v>
      </c>
    </row>
    <row r="246" spans="2:14">
      <c r="B246" s="102" t="s">
        <v>103</v>
      </c>
      <c r="C246" s="370"/>
      <c r="D246" s="370"/>
      <c r="E246" s="370"/>
      <c r="F246" s="370"/>
      <c r="G246" s="370"/>
      <c r="H246" s="370"/>
      <c r="I246" s="370"/>
      <c r="J246" s="370"/>
      <c r="K246" s="367"/>
      <c r="L246" s="367">
        <v>1</v>
      </c>
    </row>
    <row r="247" spans="2:14">
      <c r="B247" s="102" t="s">
        <v>143</v>
      </c>
      <c r="C247" s="370"/>
      <c r="D247" s="370"/>
      <c r="E247" s="370"/>
      <c r="F247" s="370"/>
      <c r="G247" s="370"/>
      <c r="H247" s="370"/>
      <c r="I247" s="370"/>
      <c r="J247" s="370"/>
      <c r="K247" s="367"/>
      <c r="L247" s="367">
        <v>40</v>
      </c>
    </row>
    <row r="248" spans="2:14">
      <c r="B248" s="312" t="s">
        <v>17</v>
      </c>
      <c r="C248" s="368">
        <v>0</v>
      </c>
      <c r="D248" s="368">
        <v>0</v>
      </c>
      <c r="E248" s="368">
        <v>0</v>
      </c>
      <c r="F248" s="368">
        <v>0</v>
      </c>
      <c r="G248" s="368">
        <v>0</v>
      </c>
      <c r="H248" s="368">
        <v>0</v>
      </c>
      <c r="I248" s="368">
        <v>0</v>
      </c>
      <c r="J248" s="368">
        <v>0</v>
      </c>
      <c r="K248" s="368"/>
      <c r="L248" s="368">
        <v>182</v>
      </c>
    </row>
    <row r="249" spans="2:14">
      <c r="B249" s="310" t="s">
        <v>148</v>
      </c>
      <c r="C249" s="368"/>
      <c r="D249" s="368"/>
      <c r="E249" s="368"/>
      <c r="F249" s="368"/>
      <c r="G249" s="368"/>
      <c r="H249" s="368"/>
      <c r="I249" s="368"/>
      <c r="J249" s="368"/>
      <c r="K249" s="368"/>
      <c r="L249" s="368"/>
    </row>
    <row r="250" spans="2:14">
      <c r="B250" s="102" t="s">
        <v>100</v>
      </c>
      <c r="C250" s="367"/>
      <c r="D250" s="367"/>
      <c r="E250" s="367"/>
      <c r="F250" s="367"/>
      <c r="G250" s="367"/>
      <c r="H250" s="367"/>
      <c r="I250" s="367"/>
      <c r="J250" s="367"/>
      <c r="K250" s="367"/>
      <c r="L250" s="367">
        <v>13</v>
      </c>
    </row>
    <row r="251" spans="2:14">
      <c r="B251" s="102" t="s">
        <v>102</v>
      </c>
      <c r="C251" s="367"/>
      <c r="D251" s="367"/>
      <c r="E251" s="367"/>
      <c r="F251" s="367"/>
      <c r="G251" s="367"/>
      <c r="H251" s="367"/>
      <c r="I251" s="367"/>
      <c r="J251" s="367"/>
      <c r="K251" s="367"/>
      <c r="L251" s="367">
        <v>6</v>
      </c>
    </row>
    <row r="252" spans="2:14">
      <c r="B252" s="102" t="s">
        <v>103</v>
      </c>
      <c r="C252" s="367"/>
      <c r="D252" s="367"/>
      <c r="E252" s="367"/>
      <c r="F252" s="367"/>
      <c r="G252" s="367"/>
      <c r="H252" s="367"/>
      <c r="I252" s="367"/>
      <c r="J252" s="367"/>
      <c r="K252" s="367"/>
      <c r="L252" s="367"/>
    </row>
    <row r="253" spans="2:14">
      <c r="B253" s="102" t="s">
        <v>149</v>
      </c>
      <c r="C253" s="367"/>
      <c r="D253" s="367"/>
      <c r="E253" s="367"/>
      <c r="F253" s="367"/>
      <c r="G253" s="367"/>
      <c r="H253" s="367"/>
      <c r="I253" s="367"/>
      <c r="J253" s="367"/>
      <c r="K253" s="367"/>
      <c r="L253" s="367">
        <v>12</v>
      </c>
      <c r="M253" t="s">
        <v>150</v>
      </c>
    </row>
    <row r="254" spans="2:14">
      <c r="B254" s="312" t="s">
        <v>17</v>
      </c>
      <c r="C254" s="368">
        <v>0</v>
      </c>
      <c r="D254" s="368">
        <v>0</v>
      </c>
      <c r="E254" s="368">
        <v>0</v>
      </c>
      <c r="F254" s="368">
        <v>0</v>
      </c>
      <c r="G254" s="368">
        <v>0</v>
      </c>
      <c r="H254" s="368">
        <v>0</v>
      </c>
      <c r="I254" s="368">
        <v>0</v>
      </c>
      <c r="J254" s="368">
        <v>0</v>
      </c>
      <c r="K254" s="368"/>
      <c r="L254" s="368">
        <v>31</v>
      </c>
    </row>
    <row r="255" spans="2:14">
      <c r="B255" s="312"/>
      <c r="C255" s="368"/>
      <c r="D255" s="368"/>
      <c r="E255" s="368"/>
      <c r="F255" s="368"/>
      <c r="G255" s="368"/>
      <c r="H255" s="368"/>
      <c r="I255" s="368"/>
      <c r="J255" s="368"/>
      <c r="K255" s="368"/>
      <c r="L255" s="368">
        <f>Wawakepewin!BO106-L254</f>
        <v>0</v>
      </c>
    </row>
    <row r="256" spans="2:14">
      <c r="B256" s="310" t="s">
        <v>151</v>
      </c>
      <c r="C256" s="368"/>
      <c r="D256" s="368"/>
      <c r="E256" s="368"/>
      <c r="F256" s="368"/>
      <c r="G256" s="368"/>
      <c r="H256" s="368"/>
      <c r="I256" s="368"/>
      <c r="J256" s="368"/>
      <c r="K256" s="368"/>
      <c r="L256" s="368"/>
    </row>
    <row r="257" spans="2:14">
      <c r="B257" s="102" t="s">
        <v>100</v>
      </c>
      <c r="C257" s="367"/>
      <c r="D257" s="367"/>
      <c r="E257" s="367"/>
      <c r="F257" s="367"/>
      <c r="G257" s="367"/>
      <c r="H257" s="367"/>
      <c r="I257" s="367"/>
      <c r="J257" s="367"/>
      <c r="K257" s="367"/>
      <c r="L257" s="367"/>
      <c r="N257" s="315"/>
    </row>
    <row r="258" spans="2:14">
      <c r="B258" s="102" t="s">
        <v>102</v>
      </c>
      <c r="C258" s="367"/>
      <c r="D258" s="367"/>
      <c r="E258" s="367"/>
      <c r="F258" s="367"/>
      <c r="G258" s="367"/>
      <c r="H258" s="367"/>
      <c r="I258" s="367"/>
      <c r="J258" s="367"/>
      <c r="K258" s="367"/>
      <c r="L258" s="367"/>
    </row>
    <row r="259" spans="2:14">
      <c r="B259" s="102" t="s">
        <v>103</v>
      </c>
      <c r="C259" s="367"/>
      <c r="D259" s="367"/>
      <c r="E259" s="367"/>
      <c r="F259" s="367"/>
      <c r="G259" s="367"/>
      <c r="H259" s="367"/>
      <c r="I259" s="367"/>
      <c r="J259" s="367"/>
      <c r="K259" s="367"/>
      <c r="L259" s="367"/>
    </row>
    <row r="260" spans="2:14">
      <c r="B260" s="102" t="s">
        <v>143</v>
      </c>
      <c r="C260" s="367"/>
      <c r="D260" s="367"/>
      <c r="E260" s="367"/>
      <c r="F260" s="367"/>
      <c r="G260" s="367"/>
      <c r="H260" s="367"/>
      <c r="I260" s="367"/>
      <c r="J260" s="367"/>
      <c r="K260" s="367"/>
      <c r="L260" s="367"/>
    </row>
    <row r="261" spans="2:14">
      <c r="B261" s="312" t="s">
        <v>17</v>
      </c>
      <c r="C261" s="368">
        <v>0</v>
      </c>
      <c r="D261" s="368">
        <v>0</v>
      </c>
      <c r="E261" s="368">
        <v>0</v>
      </c>
      <c r="F261" s="368">
        <v>0</v>
      </c>
      <c r="G261" s="368">
        <v>0</v>
      </c>
      <c r="H261" s="368">
        <v>0</v>
      </c>
      <c r="I261" s="368">
        <v>0</v>
      </c>
      <c r="J261" s="368">
        <v>0</v>
      </c>
      <c r="K261" s="368"/>
      <c r="L261" s="368"/>
    </row>
    <row r="262" spans="2:14">
      <c r="B262" s="310" t="s">
        <v>152</v>
      </c>
      <c r="C262" s="368"/>
      <c r="D262" s="368"/>
      <c r="E262" s="368"/>
      <c r="F262" s="368"/>
      <c r="G262" s="368"/>
      <c r="H262" s="368"/>
      <c r="I262" s="368"/>
      <c r="J262" s="368"/>
      <c r="K262" s="368" t="s">
        <v>2</v>
      </c>
      <c r="L262" s="368"/>
    </row>
    <row r="263" spans="2:14">
      <c r="B263" s="102" t="s">
        <v>100</v>
      </c>
      <c r="C263" s="367"/>
      <c r="D263" s="367"/>
      <c r="E263" s="367"/>
      <c r="F263" s="367"/>
      <c r="G263" s="367"/>
      <c r="H263" s="367"/>
      <c r="I263" s="367"/>
      <c r="J263" s="367"/>
      <c r="K263" s="367"/>
      <c r="L263" s="367"/>
    </row>
    <row r="264" spans="2:14">
      <c r="B264" s="102" t="s">
        <v>102</v>
      </c>
      <c r="C264" s="367"/>
      <c r="D264" s="367"/>
      <c r="E264" s="367"/>
      <c r="F264" s="367"/>
      <c r="G264" s="367"/>
      <c r="H264" s="367"/>
      <c r="I264" s="367"/>
      <c r="J264" s="367"/>
      <c r="K264" s="367"/>
      <c r="L264" s="367"/>
      <c r="N264" s="314"/>
    </row>
    <row r="265" spans="2:14">
      <c r="B265" s="102" t="s">
        <v>103</v>
      </c>
      <c r="C265" s="367"/>
      <c r="D265" s="367"/>
      <c r="E265" s="367"/>
      <c r="F265" s="367"/>
      <c r="G265" s="367"/>
      <c r="H265" s="367"/>
      <c r="I265" s="367"/>
      <c r="J265" s="367"/>
      <c r="K265" s="367"/>
      <c r="L265" s="367"/>
    </row>
    <row r="266" spans="2:14">
      <c r="B266" s="103" t="s">
        <v>143</v>
      </c>
      <c r="C266" s="370"/>
      <c r="D266" s="370"/>
      <c r="E266" s="370"/>
      <c r="F266" s="370"/>
      <c r="G266" s="370"/>
      <c r="H266" s="370"/>
      <c r="I266" s="370"/>
      <c r="J266" s="370"/>
      <c r="K266" s="370"/>
      <c r="L266" s="370"/>
    </row>
    <row r="267" spans="2:14">
      <c r="B267" s="313" t="s">
        <v>17</v>
      </c>
      <c r="C267" s="369">
        <v>0</v>
      </c>
      <c r="D267" s="369">
        <v>0</v>
      </c>
      <c r="E267" s="369">
        <v>0</v>
      </c>
      <c r="F267" s="369">
        <v>0</v>
      </c>
      <c r="G267" s="369">
        <v>0</v>
      </c>
      <c r="H267" s="369">
        <v>0</v>
      </c>
      <c r="I267" s="369">
        <v>0</v>
      </c>
      <c r="J267" s="369">
        <v>0</v>
      </c>
      <c r="K267" s="369">
        <v>0</v>
      </c>
      <c r="L267" s="369"/>
    </row>
    <row r="268" spans="2:14">
      <c r="B268" s="310" t="s">
        <v>153</v>
      </c>
      <c r="C268" s="369"/>
      <c r="D268" s="369"/>
      <c r="E268" s="369"/>
      <c r="F268" s="369"/>
      <c r="G268" s="369"/>
      <c r="H268" s="369"/>
      <c r="I268" s="369"/>
      <c r="J268" s="369"/>
      <c r="K268" s="369"/>
      <c r="L268" s="369" t="s">
        <v>2</v>
      </c>
    </row>
    <row r="269" spans="2:14">
      <c r="B269" s="102" t="s">
        <v>100</v>
      </c>
      <c r="C269" s="367"/>
      <c r="D269" s="367"/>
      <c r="E269" s="367"/>
      <c r="F269" s="367"/>
      <c r="G269" s="367"/>
      <c r="H269" s="367"/>
      <c r="I269" s="367"/>
      <c r="J269" s="367"/>
      <c r="K269" s="367"/>
      <c r="L269" s="367">
        <v>162</v>
      </c>
      <c r="N269" s="315"/>
    </row>
    <row r="270" spans="2:14">
      <c r="B270" s="102" t="s">
        <v>102</v>
      </c>
      <c r="C270" s="367"/>
      <c r="D270" s="367"/>
      <c r="E270" s="367"/>
      <c r="F270" s="367"/>
      <c r="G270" s="367"/>
      <c r="H270" s="367"/>
      <c r="I270" s="367"/>
      <c r="J270" s="367"/>
      <c r="K270" s="367"/>
      <c r="L270" s="367">
        <v>16</v>
      </c>
    </row>
    <row r="271" spans="2:14">
      <c r="B271" s="102" t="s">
        <v>103</v>
      </c>
      <c r="C271" s="367"/>
      <c r="D271" s="367"/>
      <c r="E271" s="367"/>
      <c r="F271" s="367"/>
      <c r="G271" s="367"/>
      <c r="H271" s="367"/>
      <c r="I271" s="367"/>
      <c r="J271" s="367"/>
      <c r="K271" s="367"/>
      <c r="L271" s="367">
        <v>4</v>
      </c>
    </row>
    <row r="272" spans="2:14">
      <c r="B272" s="102" t="s">
        <v>143</v>
      </c>
      <c r="C272" s="367"/>
      <c r="D272" s="367"/>
      <c r="E272" s="367"/>
      <c r="F272" s="367"/>
      <c r="G272" s="367"/>
      <c r="H272" s="367"/>
      <c r="I272" s="367"/>
      <c r="J272" s="367"/>
      <c r="K272" s="367"/>
      <c r="L272" s="367">
        <v>17</v>
      </c>
    </row>
    <row r="273" spans="2:12">
      <c r="B273" s="312" t="s">
        <v>17</v>
      </c>
      <c r="C273" s="368">
        <v>0</v>
      </c>
      <c r="D273" s="368">
        <v>0</v>
      </c>
      <c r="E273" s="368">
        <v>0</v>
      </c>
      <c r="F273" s="368">
        <v>0</v>
      </c>
      <c r="G273" s="368">
        <v>0</v>
      </c>
      <c r="H273" s="368">
        <v>0</v>
      </c>
      <c r="I273" s="368">
        <v>0</v>
      </c>
      <c r="J273" s="368">
        <v>0</v>
      </c>
      <c r="K273" s="368"/>
      <c r="L273" s="368">
        <v>199</v>
      </c>
    </row>
    <row r="274" spans="2:12">
      <c r="B274" s="312" t="s">
        <v>17</v>
      </c>
      <c r="C274" s="368">
        <f>SUM(C230,C236,C242,C248,C254,C261,C267,C273)</f>
        <v>537</v>
      </c>
      <c r="D274" s="368">
        <f t="shared" ref="D274:K274" si="5">SUM(D230,D236,D242,D248,D254,D261,D267,D273)</f>
        <v>539</v>
      </c>
      <c r="E274" s="368">
        <f t="shared" si="5"/>
        <v>539</v>
      </c>
      <c r="F274" s="368">
        <f t="shared" si="5"/>
        <v>548</v>
      </c>
      <c r="G274" s="368">
        <f t="shared" si="5"/>
        <v>557</v>
      </c>
      <c r="H274" s="368">
        <f t="shared" si="5"/>
        <v>557</v>
      </c>
      <c r="I274" s="368">
        <f t="shared" si="5"/>
        <v>557</v>
      </c>
      <c r="J274" s="368">
        <f t="shared" si="5"/>
        <v>557</v>
      </c>
      <c r="K274" s="368">
        <f t="shared" si="5"/>
        <v>575</v>
      </c>
      <c r="L274" s="368">
        <f>SUM(L230,L236,L242,L248,L254,L261,L267,L273)</f>
        <v>1265</v>
      </c>
    </row>
    <row r="275" spans="2:12">
      <c r="D275" s="315"/>
      <c r="E275" s="315"/>
      <c r="F275" s="315"/>
      <c r="G275" s="315"/>
      <c r="H275" s="315"/>
      <c r="I275" s="315"/>
      <c r="J275" s="315"/>
      <c r="K275" s="315"/>
      <c r="L275" s="315"/>
    </row>
    <row r="276" spans="2:12">
      <c r="B276" s="3" t="s">
        <v>82</v>
      </c>
      <c r="C276" s="294">
        <f>C274+C220-C94</f>
        <v>4292</v>
      </c>
      <c r="D276" s="294">
        <f>D274+D220-D94</f>
        <v>4288</v>
      </c>
      <c r="E276" s="294">
        <f>E274+E220-E207-E195-E94-E82-E117</f>
        <v>4253</v>
      </c>
      <c r="F276" s="294">
        <f t="shared" ref="F276:L276" si="6">F274+F220-F207-F195-F94-F82-F117</f>
        <v>4262</v>
      </c>
      <c r="G276" s="294">
        <f t="shared" si="6"/>
        <v>4297</v>
      </c>
      <c r="H276" s="294">
        <f t="shared" si="6"/>
        <v>4314</v>
      </c>
      <c r="I276" s="294">
        <f t="shared" si="6"/>
        <v>4314</v>
      </c>
      <c r="J276" s="294">
        <f t="shared" si="6"/>
        <v>4314</v>
      </c>
      <c r="K276" s="294">
        <f t="shared" si="6"/>
        <v>4396</v>
      </c>
      <c r="L276" s="294">
        <f t="shared" si="6"/>
        <v>5136</v>
      </c>
    </row>
    <row r="277" spans="2:12">
      <c r="E277" s="202"/>
    </row>
    <row r="279" spans="2:12">
      <c r="E279" s="202"/>
    </row>
    <row r="283" spans="2:12">
      <c r="E283" s="202"/>
    </row>
    <row r="284" spans="2:12">
      <c r="E284" s="202"/>
    </row>
  </sheetData>
  <mergeCells count="2">
    <mergeCell ref="C4:J4"/>
    <mergeCell ref="C223:J223"/>
  </mergeCells>
  <pageMargins left="0.7" right="0.7" top="0.75" bottom="0.75" header="0.3" footer="0.3"/>
  <pageSetup scale="7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X133"/>
  <sheetViews>
    <sheetView zoomScale="80" zoomScaleNormal="80" workbookViewId="0">
      <pane xSplit="1" ySplit="5" topLeftCell="N78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2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9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2"/>
    <col min="47" max="47" width="15.5703125" hidden="1" customWidth="1" outlineLevel="2"/>
    <col min="48" max="48" width="15.42578125" hidden="1" customWidth="1" outlineLevel="2"/>
    <col min="49" max="49" width="15.85546875" hidden="1" customWidth="1" outlineLevel="2"/>
    <col min="50" max="52" width="15.42578125" hidden="1" customWidth="1" outlineLevel="2"/>
    <col min="53" max="53" width="20.1406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20" style="3" bestFit="1" customWidth="1" collapsed="1"/>
    <col min="67" max="67" width="15.140625" bestFit="1" customWidth="1"/>
    <col min="69" max="69" width="13.85546875" bestFit="1" customWidth="1"/>
    <col min="70" max="70" width="15.5703125" bestFit="1" customWidth="1"/>
    <col min="71" max="71" width="15" customWidth="1"/>
    <col min="72" max="72" width="21.85546875" customWidth="1"/>
    <col min="73" max="73" width="12.28515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122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Customers!E120</f>
        <v>216</v>
      </c>
      <c r="AV7" s="124">
        <f>Customers!F120</f>
        <v>216</v>
      </c>
      <c r="AW7" s="124">
        <f>Customers!G120</f>
        <v>217</v>
      </c>
      <c r="AX7" s="124">
        <f>Customers!H120</f>
        <v>217</v>
      </c>
      <c r="AY7" s="124">
        <f>Customers!I120</f>
        <v>217</v>
      </c>
      <c r="AZ7" s="124">
        <f>Customers!J120</f>
        <v>217</v>
      </c>
      <c r="BA7" s="210">
        <f>AZ7</f>
        <v>217</v>
      </c>
      <c r="BB7" s="124">
        <v>219</v>
      </c>
      <c r="BC7" s="38">
        <v>219</v>
      </c>
      <c r="BD7" s="38">
        <v>219</v>
      </c>
      <c r="BE7" s="38">
        <v>219</v>
      </c>
      <c r="BF7" s="38">
        <f t="shared" ref="BF7:BM7" si="0">BE7</f>
        <v>219</v>
      </c>
      <c r="BG7" s="38">
        <f t="shared" si="0"/>
        <v>219</v>
      </c>
      <c r="BH7" s="38">
        <f t="shared" si="0"/>
        <v>219</v>
      </c>
      <c r="BI7" s="38">
        <f t="shared" si="0"/>
        <v>219</v>
      </c>
      <c r="BJ7" s="38">
        <f t="shared" si="0"/>
        <v>219</v>
      </c>
      <c r="BK7" s="38">
        <f t="shared" si="0"/>
        <v>219</v>
      </c>
      <c r="BL7" s="38">
        <f t="shared" si="0"/>
        <v>219</v>
      </c>
      <c r="BM7" s="38">
        <f t="shared" si="0"/>
        <v>219</v>
      </c>
      <c r="BN7" s="210">
        <f>IFERROR(ROUND(AVERAGE(BB7:BM7),0),0)</f>
        <v>219</v>
      </c>
      <c r="BO7" s="55">
        <v>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134130</v>
      </c>
      <c r="AV8" s="38">
        <f>ROUND(AV$11*'kWh Blocks by Rate Category'!D8,0)</f>
        <v>133705</v>
      </c>
      <c r="AW8" s="38">
        <f>ROUND(AW$11*'kWh Blocks by Rate Category'!E8,0)</f>
        <v>152980</v>
      </c>
      <c r="AX8" s="38">
        <f>ROUND(AX$11*'kWh Blocks by Rate Category'!F8,0)</f>
        <v>174305</v>
      </c>
      <c r="AY8" s="38">
        <f>ROUND(AY$11*'kWh Blocks by Rate Category'!G8,0)</f>
        <v>183540</v>
      </c>
      <c r="AZ8" s="38">
        <f>ROUND(AZ$11*'kWh Blocks by Rate Category'!H8,0)</f>
        <v>200446</v>
      </c>
      <c r="BA8" s="210">
        <f>SUM(AO8:AZ8)</f>
        <v>979106</v>
      </c>
      <c r="BB8" s="38">
        <v>252567</v>
      </c>
      <c r="BC8" s="38">
        <v>228040</v>
      </c>
      <c r="BD8" s="38">
        <v>221272</v>
      </c>
      <c r="BE8" s="38">
        <v>195707</v>
      </c>
      <c r="BF8" s="38">
        <f>ROUND(BF$11*'kWh Blocks by Rate Category'!N8,0)</f>
        <v>177866</v>
      </c>
      <c r="BG8" s="38">
        <f>ROUND(BG$11*'kWh Blocks by Rate Category'!O8,0)</f>
        <v>163794</v>
      </c>
      <c r="BH8" s="38">
        <f>ROUND(BH$11*'kWh Blocks by Rate Category'!P8,0)</f>
        <v>135993</v>
      </c>
      <c r="BI8" s="38">
        <f>ROUND(BI$11*'kWh Blocks by Rate Category'!Q8,0)</f>
        <v>135562</v>
      </c>
      <c r="BJ8" s="38">
        <f>ROUND(BJ$11*'kWh Blocks by Rate Category'!R8,0)</f>
        <v>154391</v>
      </c>
      <c r="BK8" s="38">
        <f>ROUND(BK$11*'kWh Blocks by Rate Category'!S8,0)</f>
        <v>175912</v>
      </c>
      <c r="BL8" s="38">
        <f>ROUND(BL$11*'kWh Blocks by Rate Category'!T8,0)</f>
        <v>185232</v>
      </c>
      <c r="BM8" s="38">
        <f>ROUND(BM$11*'kWh Blocks by Rate Category'!U8,0)</f>
        <v>202294</v>
      </c>
      <c r="BN8" s="210">
        <f>SUM(BB8:BM8)</f>
        <v>2228630</v>
      </c>
      <c r="BO8" s="38">
        <f>ROUND(BO$11*'kWh Blocks by Rate Category'!W8,0)</f>
        <v>1124491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71471</v>
      </c>
      <c r="AV9" s="38">
        <f>ROUND(AV$11*'kWh Blocks by Rate Category'!D9,0)</f>
        <v>71245</v>
      </c>
      <c r="AW9" s="38">
        <f>ROUND(AW$11*'kWh Blocks by Rate Category'!E9,0)</f>
        <v>81515</v>
      </c>
      <c r="AX9" s="38">
        <f>ROUND(AX$11*'kWh Blocks by Rate Category'!F9,0)</f>
        <v>92878</v>
      </c>
      <c r="AY9" s="38">
        <f>ROUND(AY$11*'kWh Blocks by Rate Category'!G9,0)</f>
        <v>97799</v>
      </c>
      <c r="AZ9" s="38">
        <f>ROUND(AZ$11*'kWh Blocks by Rate Category'!H9,0)</f>
        <v>106808</v>
      </c>
      <c r="BA9" s="210">
        <f>SUM(AO9:AZ9)</f>
        <v>521716</v>
      </c>
      <c r="BB9" s="38">
        <v>134580</v>
      </c>
      <c r="BC9" s="38">
        <v>121511</v>
      </c>
      <c r="BD9" s="38">
        <v>117905</v>
      </c>
      <c r="BE9" s="38">
        <v>104282</v>
      </c>
      <c r="BF9" s="38">
        <f>ROUND(BF$11*'kWh Blocks by Rate Category'!N9,0)</f>
        <v>94776</v>
      </c>
      <c r="BG9" s="38">
        <f>ROUND(BG$11*'kWh Blocks by Rate Category'!O9,0)</f>
        <v>87277</v>
      </c>
      <c r="BH9" s="38">
        <f>ROUND(BH$11*'kWh Blocks by Rate Category'!P9,0)</f>
        <v>72464</v>
      </c>
      <c r="BI9" s="38">
        <f>ROUND(BI$11*'kWh Blocks by Rate Category'!Q9,0)</f>
        <v>72234</v>
      </c>
      <c r="BJ9" s="38">
        <f>ROUND(BJ$11*'kWh Blocks by Rate Category'!R9,0)</f>
        <v>82267</v>
      </c>
      <c r="BK9" s="38">
        <f>ROUND(BK$11*'kWh Blocks by Rate Category'!S9,0)</f>
        <v>93734</v>
      </c>
      <c r="BL9" s="38">
        <f>ROUND(BL$11*'kWh Blocks by Rate Category'!T9,0)</f>
        <v>98701</v>
      </c>
      <c r="BM9" s="38">
        <f>ROUND(BM$11*'kWh Blocks by Rate Category'!U9,0)</f>
        <v>107792</v>
      </c>
      <c r="BN9" s="210">
        <f>SUM(BB9:BM9)</f>
        <v>1187523</v>
      </c>
      <c r="BO9" s="38">
        <f>ROUND(BO$11*'kWh Blocks by Rate Category'!W9,0)</f>
        <v>599184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13628</v>
      </c>
      <c r="AV10" s="38">
        <f>ROUND(AV$11*'kWh Blocks by Rate Category'!D10,0)</f>
        <v>13585</v>
      </c>
      <c r="AW10" s="38">
        <f>ROUND(AW$11*'kWh Blocks by Rate Category'!E10,0)</f>
        <v>15543</v>
      </c>
      <c r="AX10" s="38">
        <f>ROUND(AX$11*'kWh Blocks by Rate Category'!F10,0)</f>
        <v>17710</v>
      </c>
      <c r="AY10" s="38">
        <f>ROUND(AY$11*'kWh Blocks by Rate Category'!G10,0)</f>
        <v>18648</v>
      </c>
      <c r="AZ10" s="38">
        <f>ROUND(AZ$11*'kWh Blocks by Rate Category'!H10,0)</f>
        <v>20366</v>
      </c>
      <c r="BA10" s="210">
        <f>SUM(AO10:AZ10)</f>
        <v>99480</v>
      </c>
      <c r="BB10" s="38">
        <v>25661</v>
      </c>
      <c r="BC10" s="38">
        <v>23169</v>
      </c>
      <c r="BD10" s="38">
        <v>22482</v>
      </c>
      <c r="BE10" s="38">
        <v>19884</v>
      </c>
      <c r="BF10" s="38">
        <f>ROUND(BF$11*'kWh Blocks by Rate Category'!N10,0)</f>
        <v>18072</v>
      </c>
      <c r="BG10" s="38">
        <f>ROUND(BG$11*'kWh Blocks by Rate Category'!O10,0)</f>
        <v>16642</v>
      </c>
      <c r="BH10" s="38">
        <f>ROUND(BH$11*'kWh Blocks by Rate Category'!P10,0)</f>
        <v>13817</v>
      </c>
      <c r="BI10" s="38">
        <f>ROUND(BI$11*'kWh Blocks by Rate Category'!Q10,0)</f>
        <v>13773</v>
      </c>
      <c r="BJ10" s="38">
        <f>ROUND(BJ$11*'kWh Blocks by Rate Category'!R10,0)</f>
        <v>15686</v>
      </c>
      <c r="BK10" s="38">
        <f>ROUND(BK$11*'kWh Blocks by Rate Category'!S10,0)</f>
        <v>17873</v>
      </c>
      <c r="BL10" s="38">
        <f>ROUND(BL$11*'kWh Blocks by Rate Category'!T10,0)</f>
        <v>18820</v>
      </c>
      <c r="BM10" s="38">
        <f>ROUND(BM$11*'kWh Blocks by Rate Category'!U10,0)</f>
        <v>20554</v>
      </c>
      <c r="BN10" s="210">
        <f>SUM(BB10:BM10)</f>
        <v>226433</v>
      </c>
      <c r="BO10" s="38">
        <f>ROUND(BO$11*'kWh Blocks by Rate Category'!W10,0)-1</f>
        <v>114250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219229</v>
      </c>
      <c r="AV11" s="64">
        <f t="shared" si="1"/>
        <v>218535</v>
      </c>
      <c r="AW11" s="64">
        <f t="shared" si="1"/>
        <v>250039</v>
      </c>
      <c r="AX11" s="64">
        <f t="shared" si="1"/>
        <v>284893</v>
      </c>
      <c r="AY11" s="64">
        <f t="shared" si="1"/>
        <v>299988</v>
      </c>
      <c r="AZ11" s="64">
        <f t="shared" si="1"/>
        <v>327620</v>
      </c>
      <c r="BA11" s="196">
        <f>SUM(AO11:AZ11)</f>
        <v>1600304</v>
      </c>
      <c r="BB11" s="64">
        <v>412809</v>
      </c>
      <c r="BC11" s="64">
        <v>372720</v>
      </c>
      <c r="BD11" s="64">
        <v>361658</v>
      </c>
      <c r="BE11" s="64">
        <v>319874</v>
      </c>
      <c r="BF11" s="64">
        <f t="shared" ref="BF11:BM11" si="2">IFERROR(ROUND(BF12*BF7,0),0)</f>
        <v>290713</v>
      </c>
      <c r="BG11" s="64">
        <f t="shared" si="2"/>
        <v>267713</v>
      </c>
      <c r="BH11" s="64">
        <f t="shared" si="2"/>
        <v>222274</v>
      </c>
      <c r="BI11" s="64">
        <f t="shared" si="2"/>
        <v>221570</v>
      </c>
      <c r="BJ11" s="64">
        <f t="shared" si="2"/>
        <v>252344</v>
      </c>
      <c r="BK11" s="64">
        <f t="shared" si="2"/>
        <v>287519</v>
      </c>
      <c r="BL11" s="64">
        <f t="shared" si="2"/>
        <v>302753</v>
      </c>
      <c r="BM11" s="64">
        <f t="shared" si="2"/>
        <v>330640</v>
      </c>
      <c r="BN11" s="196">
        <f>SUM(BB11:BM11)</f>
        <v>3642587</v>
      </c>
      <c r="BO11" s="147">
        <f>BQ19-BO19</f>
        <v>1837926</v>
      </c>
    </row>
    <row r="12" spans="1:67" ht="15" thickTop="1">
      <c r="A12" s="374" t="s">
        <v>54</v>
      </c>
      <c r="B12" s="84">
        <f>IF('kWh_Streetlight Data'!C95=0,"",'kWh_Streetlight Data'!C95)</f>
        <v>1771.6009615384614</v>
      </c>
      <c r="C12" s="108">
        <f>IF('kWh_Streetlight Data'!D95=0,"",'kWh_Streetlight Data'!D95)</f>
        <v>1665.8136363636363</v>
      </c>
      <c r="D12" s="108">
        <f>IF('kWh_Streetlight Data'!E95=0,"",'kWh_Streetlight Data'!E95)</f>
        <v>1591.5934579439252</v>
      </c>
      <c r="E12" s="108">
        <f>IF('kWh_Streetlight Data'!F95=0,"",'kWh_Streetlight Data'!F95)</f>
        <v>1418.1898148148148</v>
      </c>
      <c r="F12" s="108">
        <f>IF('kWh_Streetlight Data'!G95=0,"",'kWh_Streetlight Data'!G95)</f>
        <v>1201.4730290456432</v>
      </c>
      <c r="G12" s="108">
        <f>IF('kWh_Streetlight Data'!H95=0,"",'kWh_Streetlight Data'!H95)</f>
        <v>1168.3139013452915</v>
      </c>
      <c r="H12" s="108">
        <f>IF('kWh_Streetlight Data'!I95=0,"",'kWh_Streetlight Data'!I95)</f>
        <v>924.77522935779814</v>
      </c>
      <c r="I12" s="108">
        <f>IF('kWh_Streetlight Data'!J95=0,"",'kWh_Streetlight Data'!J95)</f>
        <v>963.42723004694835</v>
      </c>
      <c r="J12" s="108">
        <f>IF('kWh_Streetlight Data'!K95=0,"",'kWh_Streetlight Data'!K95)</f>
        <v>1174.6232558139534</v>
      </c>
      <c r="K12" s="108">
        <f>IF('kWh_Streetlight Data'!L95=0,"",'kWh_Streetlight Data'!L95)</f>
        <v>1193.0226244343892</v>
      </c>
      <c r="L12" s="108">
        <f>IF('kWh_Streetlight Data'!M95=0,"",'kWh_Streetlight Data'!M95)</f>
        <v>1254.5213270142181</v>
      </c>
      <c r="M12" s="108">
        <f>IF('kWh_Streetlight Data'!N95=0,"",'kWh_Streetlight Data'!N95)</f>
        <v>1571.9666666666667</v>
      </c>
      <c r="N12" s="424">
        <f>IF('kWh_Streetlight Data'!O95=0,"",'kWh_Streetlight Data'!O95)</f>
        <v>1321.7704980842911</v>
      </c>
      <c r="O12" s="84">
        <f>IF('kWh_Streetlight Data'!P95=0,"",'kWh_Streetlight Data'!P95)</f>
        <v>1805.7014218009479</v>
      </c>
      <c r="P12" s="108">
        <f>IF('kWh_Streetlight Data'!Q95=0,"",'kWh_Streetlight Data'!Q95)</f>
        <v>1817.7018348623853</v>
      </c>
      <c r="Q12" s="108">
        <f>IF('kWh_Streetlight Data'!R95=0,"",'kWh_Streetlight Data'!R95)</f>
        <v>1517.568720379147</v>
      </c>
      <c r="R12" s="108">
        <f>IF('kWh_Streetlight Data'!S95=0,"",'kWh_Streetlight Data'!S95)</f>
        <v>1369.1382488479262</v>
      </c>
      <c r="S12" s="108">
        <f>IF('kWh_Streetlight Data'!T95=0,"",'kWh_Streetlight Data'!T95)</f>
        <v>1341.3838862559242</v>
      </c>
      <c r="T12" s="108">
        <f>IF('kWh_Streetlight Data'!U95=0,"",'kWh_Streetlight Data'!U95)</f>
        <v>1177.875</v>
      </c>
      <c r="U12" s="108">
        <f>IF('kWh_Streetlight Data'!V95=0,"",'kWh_Streetlight Data'!V95)</f>
        <v>998.80184331797238</v>
      </c>
      <c r="V12" s="108">
        <f>IF('kWh_Streetlight Data'!W95=0,"",'kWh_Streetlight Data'!W95)</f>
        <v>1028.9571428571428</v>
      </c>
      <c r="W12" s="108">
        <f>IF('kWh_Streetlight Data'!X95=0,"",'kWh_Streetlight Data'!X95)</f>
        <v>1085.1238095238095</v>
      </c>
      <c r="X12" s="108">
        <f>IF('kWh_Streetlight Data'!Y95=0,"",'kWh_Streetlight Data'!Y95)</f>
        <v>1263.0225225225224</v>
      </c>
      <c r="Y12" s="108">
        <f>IF('kWh_Streetlight Data'!Z95=0,"",'kWh_Streetlight Data'!Z95)</f>
        <v>1393.246511627907</v>
      </c>
      <c r="Z12" s="108">
        <f>IF('kWh_Streetlight Data'!AA95=0,"",'kWh_Streetlight Data'!AA95)</f>
        <v>1412.1745283018868</v>
      </c>
      <c r="AA12" s="424">
        <f>IF('kWh_Streetlight Data'!AB95=0,"",'kWh_Streetlight Data'!AB95)</f>
        <v>1349.387432536623</v>
      </c>
      <c r="AB12" s="129">
        <f>IF('kWh_Streetlight Data'!AC95=0,"",'kWh_Streetlight Data'!AC95)</f>
        <v>2077.6132075471696</v>
      </c>
      <c r="AC12" s="130">
        <f>IF('kWh_Streetlight Data'!AD95=0,"",'kWh_Streetlight Data'!AD95)</f>
        <v>1622.2441314553992</v>
      </c>
      <c r="AD12" s="130">
        <f>IF('kWh_Streetlight Data'!AE95=0,"",'kWh_Streetlight Data'!AE95)</f>
        <v>1845.0610328638497</v>
      </c>
      <c r="AE12" s="130">
        <f>IF('kWh_Streetlight Data'!AF95=0,"",'kWh_Streetlight Data'!AF95)</f>
        <v>1594.5023041474653</v>
      </c>
      <c r="AF12" s="130">
        <f>IF('kWh_Streetlight Data'!AG95=0,"",'kWh_Streetlight Data'!AG95)</f>
        <v>1439.5140186915887</v>
      </c>
      <c r="AG12" s="130">
        <f>IF('kWh_Streetlight Data'!AH95=0,"",'kWh_Streetlight Data'!AH95)</f>
        <v>1321.1187214611873</v>
      </c>
      <c r="AH12" s="130">
        <f>IF('kWh_Streetlight Data'!AI95=0,"",'kWh_Streetlight Data'!AI95)</f>
        <v>1121.2723214285713</v>
      </c>
      <c r="AI12" s="130">
        <f>IF('kWh_Streetlight Data'!AJ95=0,"",'kWh_Streetlight Data'!AJ95)</f>
        <v>1042.8240740740741</v>
      </c>
      <c r="AJ12" s="130">
        <f>IF('kWh_Streetlight Data'!AK95=0,"",'kWh_Streetlight Data'!AK95)</f>
        <v>1197.0140845070423</v>
      </c>
      <c r="AK12" s="130">
        <f>IF('kWh_Streetlight Data'!AL95=0,"",'kWh_Streetlight Data'!AL95)</f>
        <v>1482.5654205607477</v>
      </c>
      <c r="AL12" s="130">
        <f>IF('kWh_Streetlight Data'!AM95=0,"",'kWh_Streetlight Data'!AM95)</f>
        <v>1499.5280373831777</v>
      </c>
      <c r="AM12" s="130">
        <f>IF('kWh_Streetlight Data'!AN95=0,"",'kWh_Streetlight Data'!AN95)</f>
        <v>1545.1689497716895</v>
      </c>
      <c r="AN12" s="426">
        <f>IF('kWh_Streetlight Data'!AO95=0,"",'kWh_Streetlight Data'!AO95)</f>
        <v>1480.0297527047912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1014.9497980347807</v>
      </c>
      <c r="AV12" s="9">
        <f t="shared" si="3"/>
        <v>1011.7361489927217</v>
      </c>
      <c r="AW12" s="9">
        <f t="shared" si="3"/>
        <v>1152.253716614935</v>
      </c>
      <c r="AX12" s="9">
        <f t="shared" si="3"/>
        <v>1312.8701891725532</v>
      </c>
      <c r="AY12" s="9">
        <f t="shared" si="3"/>
        <v>1382.4319586751008</v>
      </c>
      <c r="AZ12" s="9">
        <f t="shared" si="3"/>
        <v>1509.7700482467474</v>
      </c>
      <c r="BA12" s="211"/>
      <c r="BB12" s="17">
        <v>1884.9718636288596</v>
      </c>
      <c r="BC12" s="17">
        <v>1701.9198675604737</v>
      </c>
      <c r="BD12" s="17">
        <v>1651.4077370623072</v>
      </c>
      <c r="BE12" s="17">
        <v>1460.6101226034023</v>
      </c>
      <c r="BF12" s="17">
        <f t="shared" ref="BF12:BM12" si="4">IFERROR(AVERAGE(F12,S12,AF12),0)</f>
        <v>1327.4569779977187</v>
      </c>
      <c r="BG12" s="17">
        <f t="shared" si="4"/>
        <v>1222.4358742688262</v>
      </c>
      <c r="BH12" s="17">
        <f t="shared" si="4"/>
        <v>1014.9497980347805</v>
      </c>
      <c r="BI12" s="17">
        <f t="shared" si="4"/>
        <v>1011.7361489927217</v>
      </c>
      <c r="BJ12" s="17">
        <f t="shared" si="4"/>
        <v>1152.2537166149352</v>
      </c>
      <c r="BK12" s="17">
        <f t="shared" si="4"/>
        <v>1312.8701891725532</v>
      </c>
      <c r="BL12" s="17">
        <f t="shared" si="4"/>
        <v>1382.4319586751008</v>
      </c>
      <c r="BM12" s="17">
        <f t="shared" si="4"/>
        <v>1509.7700482467478</v>
      </c>
      <c r="BN12" s="211">
        <f>IFERROR(BN11/SUM(BB7:BM7)*12,0)</f>
        <v>16632.817351598173</v>
      </c>
      <c r="BO12" s="20">
        <v>0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/>
      <c r="BI15" s="124"/>
      <c r="BJ15" s="124"/>
      <c r="BK15" s="124"/>
      <c r="BL15" s="124"/>
      <c r="BM15" s="124"/>
      <c r="BN15" s="210"/>
      <c r="BO15" s="125">
        <f>Customers!L120</f>
        <v>221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38">
        <f>ROUND(BO$19*'kWh Blocks by Rate Category'!W15,0)</f>
        <v>1124491</v>
      </c>
    </row>
    <row r="17" spans="1:70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38">
        <f>ROUND(BO$19*'kWh Blocks by Rate Category'!W16,0)</f>
        <v>599185</v>
      </c>
      <c r="BR17" s="229" t="s">
        <v>221</v>
      </c>
    </row>
    <row r="18" spans="1:70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38">
        <f>ROUND(BO$19*'kWh Blocks by Rate Category'!W17,0)</f>
        <v>114251</v>
      </c>
      <c r="BQ18" s="229" t="s">
        <v>222</v>
      </c>
      <c r="BR18" s="229" t="s">
        <v>223</v>
      </c>
    </row>
    <row r="19" spans="1:70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ROUND(BQ19/12*BR19,0)</f>
        <v>1837927</v>
      </c>
      <c r="BQ19" s="39">
        <f>ROUND(BO20*BO15,0)</f>
        <v>3675853</v>
      </c>
      <c r="BR19" s="296">
        <v>6</v>
      </c>
    </row>
    <row r="20" spans="1:70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BN12</f>
        <v>16632.817351598173</v>
      </c>
      <c r="BR20" s="229" t="s">
        <v>224</v>
      </c>
    </row>
    <row r="21" spans="1:70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0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0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0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0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0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0" ht="15" thickTop="1">
      <c r="A27" s="374" t="s">
        <v>54</v>
      </c>
      <c r="B27" s="84" t="str">
        <f>IF('kWh_Streetlight Data'!C96=0,"",'kWh_Streetlight Data'!C96)</f>
        <v/>
      </c>
      <c r="C27" s="108" t="str">
        <f>IF('kWh_Streetlight Data'!D96=0,"",'kWh_Streetlight Data'!D96)</f>
        <v/>
      </c>
      <c r="D27" s="108" t="str">
        <f>IF('kWh_Streetlight Data'!E96=0,"",'kWh_Streetlight Data'!E96)</f>
        <v/>
      </c>
      <c r="E27" s="108" t="str">
        <f>IF('kWh_Streetlight Data'!F96=0,"",'kWh_Streetlight Data'!F96)</f>
        <v/>
      </c>
      <c r="F27" s="108" t="str">
        <f>IF('kWh_Streetlight Data'!G96=0,"",'kWh_Streetlight Data'!G96)</f>
        <v/>
      </c>
      <c r="G27" s="108" t="str">
        <f>IF('kWh_Streetlight Data'!H96=0,"",'kWh_Streetlight Data'!H96)</f>
        <v/>
      </c>
      <c r="H27" s="108" t="str">
        <f>IF('kWh_Streetlight Data'!I96=0,"",'kWh_Streetlight Data'!I96)</f>
        <v/>
      </c>
      <c r="I27" s="108" t="str">
        <f>IF('kWh_Streetlight Data'!J96=0,"",'kWh_Streetlight Data'!J96)</f>
        <v/>
      </c>
      <c r="J27" s="108" t="str">
        <f>IF('kWh_Streetlight Data'!K96=0,"",'kWh_Streetlight Data'!K96)</f>
        <v/>
      </c>
      <c r="K27" s="108" t="str">
        <f>IF('kWh_Streetlight Data'!L96=0,"",'kWh_Streetlight Data'!L96)</f>
        <v/>
      </c>
      <c r="L27" s="108" t="str">
        <f>IF('kWh_Streetlight Data'!M96=0,"",'kWh_Streetlight Data'!M96)</f>
        <v/>
      </c>
      <c r="M27" s="108" t="str">
        <f>IF('kWh_Streetlight Data'!N96=0,"",'kWh_Streetlight Data'!N96)</f>
        <v/>
      </c>
      <c r="N27" s="424" t="str">
        <f>IF('kWh_Streetlight Data'!O96=0,"",'kWh_Streetlight Data'!O96)</f>
        <v/>
      </c>
      <c r="O27" s="84" t="str">
        <f>IF('kWh_Streetlight Data'!P96=0,"",'kWh_Streetlight Data'!P96)</f>
        <v/>
      </c>
      <c r="P27" s="108" t="str">
        <f>IF('kWh_Streetlight Data'!Q96=0,"",'kWh_Streetlight Data'!Q96)</f>
        <v/>
      </c>
      <c r="Q27" s="108" t="str">
        <f>IF('kWh_Streetlight Data'!R96=0,"",'kWh_Streetlight Data'!R96)</f>
        <v/>
      </c>
      <c r="R27" s="108" t="str">
        <f>IF('kWh_Streetlight Data'!S96=0,"",'kWh_Streetlight Data'!S96)</f>
        <v/>
      </c>
      <c r="S27" s="108" t="str">
        <f>IF('kWh_Streetlight Data'!T96=0,"",'kWh_Streetlight Data'!T96)</f>
        <v/>
      </c>
      <c r="T27" s="108" t="str">
        <f>IF('kWh_Streetlight Data'!U96=0,"",'kWh_Streetlight Data'!U96)</f>
        <v/>
      </c>
      <c r="U27" s="108" t="str">
        <f>IF('kWh_Streetlight Data'!V96=0,"",'kWh_Streetlight Data'!V96)</f>
        <v/>
      </c>
      <c r="V27" s="108" t="str">
        <f>IF('kWh_Streetlight Data'!W96=0,"",'kWh_Streetlight Data'!W96)</f>
        <v/>
      </c>
      <c r="W27" s="108" t="str">
        <f>IF('kWh_Streetlight Data'!X96=0,"",'kWh_Streetlight Data'!X96)</f>
        <v/>
      </c>
      <c r="X27" s="108" t="str">
        <f>IF('kWh_Streetlight Data'!Y96=0,"",'kWh_Streetlight Data'!Y96)</f>
        <v/>
      </c>
      <c r="Y27" s="108" t="str">
        <f>IF('kWh_Streetlight Data'!Z96=0,"",'kWh_Streetlight Data'!Z96)</f>
        <v/>
      </c>
      <c r="Z27" s="108" t="str">
        <f>IF('kWh_Streetlight Data'!AA96=0,"",'kWh_Streetlight Data'!AA96)</f>
        <v/>
      </c>
      <c r="AA27" s="424" t="str">
        <f>IF('kWh_Streetlight Data'!AB96=0,"",'kWh_Streetlight Data'!AB96)</f>
        <v/>
      </c>
      <c r="AB27" s="129" t="str">
        <f>IF('kWh_Streetlight Data'!AC96=0,"",'kWh_Streetlight Data'!AC96)</f>
        <v/>
      </c>
      <c r="AC27" s="130" t="str">
        <f>IF('kWh_Streetlight Data'!AD96=0,"",'kWh_Streetlight Data'!AD96)</f>
        <v/>
      </c>
      <c r="AD27" s="130" t="str">
        <f>IF('kWh_Streetlight Data'!AE96=0,"",'kWh_Streetlight Data'!AE96)</f>
        <v/>
      </c>
      <c r="AE27" s="130" t="str">
        <f>IF('kWh_Streetlight Data'!AF96=0,"",'kWh_Streetlight Data'!AF96)</f>
        <v/>
      </c>
      <c r="AF27" s="130" t="str">
        <f>IF('kWh_Streetlight Data'!AG96=0,"",'kWh_Streetlight Data'!AG96)</f>
        <v/>
      </c>
      <c r="AG27" s="130" t="str">
        <f>IF('kWh_Streetlight Data'!AH96=0,"",'kWh_Streetlight Data'!AH96)</f>
        <v/>
      </c>
      <c r="AH27" s="108" t="str">
        <f>IF('kWh_Streetlight Data'!AI96=0,"",'kWh_Streetlight Data'!AI96)</f>
        <v/>
      </c>
      <c r="AI27" s="108" t="str">
        <f>IF('kWh_Streetlight Data'!AJ96=0,"",'kWh_Streetlight Data'!AJ96)</f>
        <v/>
      </c>
      <c r="AJ27" s="108" t="str">
        <f>IF('kWh_Streetlight Data'!AK96=0,"",'kWh_Streetlight Data'!AK96)</f>
        <v/>
      </c>
      <c r="AK27" s="108" t="str">
        <f>IF('kWh_Streetlight Data'!AL96=0,"",'kWh_Streetlight Data'!AL96)</f>
        <v/>
      </c>
      <c r="AL27" s="108" t="str">
        <f>IF('kWh_Streetlight Data'!AM96=0,"",'kWh_Streetlight Data'!AM96)</f>
        <v/>
      </c>
      <c r="AM27" s="108" t="str">
        <f>IF('kWh_Streetlight Data'!AN96=0,"",'kWh_Streetlight Data'!AN96)</f>
        <v/>
      </c>
      <c r="AN27" s="426" t="str">
        <f>IF('kWh_Streetlight Data'!AO96=0,"",'kWh_Streetlight Data'!AO96)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0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0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Customers!E122</f>
        <v>16</v>
      </c>
      <c r="AV29" s="124">
        <f>Customers!F122</f>
        <v>16</v>
      </c>
      <c r="AW29" s="124">
        <f>Customers!G122</f>
        <v>16</v>
      </c>
      <c r="AX29" s="124">
        <f>Customers!H122</f>
        <v>16</v>
      </c>
      <c r="AY29" s="124">
        <f>Customers!I122</f>
        <v>16</v>
      </c>
      <c r="AZ29" s="124">
        <f>Customers!J122</f>
        <v>16</v>
      </c>
      <c r="BA29" s="210">
        <f>AZ29</f>
        <v>16</v>
      </c>
      <c r="BB29" s="124">
        <v>16</v>
      </c>
      <c r="BC29" s="38">
        <v>16</v>
      </c>
      <c r="BD29" s="38">
        <v>16</v>
      </c>
      <c r="BE29" s="38">
        <v>16</v>
      </c>
      <c r="BF29" s="38">
        <f t="shared" ref="BF29:BM29" si="5">BE29</f>
        <v>16</v>
      </c>
      <c r="BG29" s="38">
        <f t="shared" si="5"/>
        <v>16</v>
      </c>
      <c r="BH29" s="38">
        <f t="shared" si="5"/>
        <v>16</v>
      </c>
      <c r="BI29" s="38">
        <f t="shared" si="5"/>
        <v>16</v>
      </c>
      <c r="BJ29" s="38">
        <f t="shared" si="5"/>
        <v>16</v>
      </c>
      <c r="BK29" s="38">
        <f t="shared" si="5"/>
        <v>16</v>
      </c>
      <c r="BL29" s="38">
        <f t="shared" si="5"/>
        <v>16</v>
      </c>
      <c r="BM29" s="38">
        <f t="shared" si="5"/>
        <v>16</v>
      </c>
      <c r="BN29" s="210">
        <f>IFERROR(ROUND(AVERAGE(BB29:BM29),0),0)</f>
        <v>16</v>
      </c>
      <c r="BO29" s="90">
        <v>0</v>
      </c>
    </row>
    <row r="30" spans="1:70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14060</v>
      </c>
      <c r="AV30" s="38">
        <f>ROUND(AV$33*'kWh Blocks by Rate Category'!D29,0)</f>
        <v>14120</v>
      </c>
      <c r="AW30" s="38">
        <f>ROUND(AW$33*'kWh Blocks by Rate Category'!E29,0)</f>
        <v>15151</v>
      </c>
      <c r="AX30" s="38">
        <f>ROUND(AX$33*'kWh Blocks by Rate Category'!F29,0)</f>
        <v>17995</v>
      </c>
      <c r="AY30" s="38">
        <f>ROUND(AY$33*'kWh Blocks by Rate Category'!G29,0)</f>
        <v>22816</v>
      </c>
      <c r="AZ30" s="38">
        <f>ROUND(AZ$33*'kWh Blocks by Rate Category'!H29,0)</f>
        <v>25531</v>
      </c>
      <c r="BA30" s="210">
        <f>SUM(AO30:AZ30)</f>
        <v>109673</v>
      </c>
      <c r="BB30" s="38">
        <v>41686</v>
      </c>
      <c r="BC30" s="38">
        <v>40307</v>
      </c>
      <c r="BD30" s="38">
        <v>41543</v>
      </c>
      <c r="BE30" s="38">
        <v>30147</v>
      </c>
      <c r="BF30" s="38">
        <f>ROUND(BF$33*'kWh Blocks by Rate Category'!N29,0)</f>
        <v>26408</v>
      </c>
      <c r="BG30" s="38">
        <f>ROUND(BG$33*'kWh Blocks by Rate Category'!O29,0)</f>
        <v>20364</v>
      </c>
      <c r="BH30" s="38">
        <f>ROUND(BH$33*'kWh Blocks by Rate Category'!P29,0)</f>
        <v>14060</v>
      </c>
      <c r="BI30" s="38">
        <f>ROUND(BI$33*'kWh Blocks by Rate Category'!Q29,0)</f>
        <v>14120</v>
      </c>
      <c r="BJ30" s="38">
        <f>ROUND(BJ$33*'kWh Blocks by Rate Category'!R29,0)</f>
        <v>15151</v>
      </c>
      <c r="BK30" s="38">
        <f>ROUND(BK$33*'kWh Blocks by Rate Category'!S29,0)</f>
        <v>17995</v>
      </c>
      <c r="BL30" s="38">
        <f>ROUND(BL$33*'kWh Blocks by Rate Category'!T29,0)</f>
        <v>22816</v>
      </c>
      <c r="BM30" s="38">
        <f>ROUND(BM$33*'kWh Blocks by Rate Category'!U29,0)</f>
        <v>25531</v>
      </c>
      <c r="BN30" s="210">
        <f>SUM(BB30:BM30)</f>
        <v>310128</v>
      </c>
      <c r="BO30" s="38">
        <f>ROUND(BO$33*'kWh Blocks by Rate Category'!W29,0)</f>
        <v>155064</v>
      </c>
    </row>
    <row r="31" spans="1:70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1339</v>
      </c>
      <c r="AV31" s="38">
        <f>ROUND(AV$33*'kWh Blocks by Rate Category'!D30,0)</f>
        <v>1345</v>
      </c>
      <c r="AW31" s="38">
        <f>ROUND(AW$33*'kWh Blocks by Rate Category'!E30,0)</f>
        <v>1443</v>
      </c>
      <c r="AX31" s="38">
        <f>ROUND(AX$33*'kWh Blocks by Rate Category'!F30,0)</f>
        <v>1714</v>
      </c>
      <c r="AY31" s="38">
        <f>ROUND(AY$33*'kWh Blocks by Rate Category'!G30,0)</f>
        <v>2172</v>
      </c>
      <c r="AZ31" s="38">
        <f>ROUND(AZ$33*'kWh Blocks by Rate Category'!H30,0)</f>
        <v>2431</v>
      </c>
      <c r="BA31" s="210">
        <f>SUM(AO31:AZ31)</f>
        <v>10444</v>
      </c>
      <c r="BB31" s="38">
        <v>3969</v>
      </c>
      <c r="BC31" s="38">
        <v>3838</v>
      </c>
      <c r="BD31" s="38">
        <v>3956</v>
      </c>
      <c r="BE31" s="38">
        <v>2871</v>
      </c>
      <c r="BF31" s="38">
        <f>ROUND(BF$33*'kWh Blocks by Rate Category'!N30,0)</f>
        <v>2514</v>
      </c>
      <c r="BG31" s="38">
        <f>ROUND(BG$33*'kWh Blocks by Rate Category'!O30,0)</f>
        <v>1939</v>
      </c>
      <c r="BH31" s="38">
        <f>ROUND(BH$33*'kWh Blocks by Rate Category'!P30,0)</f>
        <v>1339</v>
      </c>
      <c r="BI31" s="38">
        <f>ROUND(BI$33*'kWh Blocks by Rate Category'!Q30,0)</f>
        <v>1345</v>
      </c>
      <c r="BJ31" s="38">
        <f>ROUND(BJ$33*'kWh Blocks by Rate Category'!R30,0)</f>
        <v>1443</v>
      </c>
      <c r="BK31" s="38">
        <f>ROUND(BK$33*'kWh Blocks by Rate Category'!S30,0)</f>
        <v>1714</v>
      </c>
      <c r="BL31" s="38">
        <f>ROUND(BL$33*'kWh Blocks by Rate Category'!T30,0)</f>
        <v>2172</v>
      </c>
      <c r="BM31" s="38">
        <f>ROUND(BM$33*'kWh Blocks by Rate Category'!U30,0)</f>
        <v>2431</v>
      </c>
      <c r="BN31" s="210">
        <f>SUM(BB31:BM31)</f>
        <v>29531</v>
      </c>
      <c r="BO31" s="38">
        <f>ROUND(BO$33*'kWh Blocks by Rate Category'!W30,0)</f>
        <v>14765</v>
      </c>
    </row>
    <row r="32" spans="1:70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7"/>
      <c r="AC32" s="178"/>
      <c r="AD32" s="178"/>
      <c r="AE32" s="178"/>
      <c r="AF32" s="178"/>
      <c r="AG32" s="178"/>
      <c r="AH32" s="63"/>
      <c r="AI32" s="63"/>
      <c r="AJ32" s="63"/>
      <c r="AK32" s="63"/>
      <c r="AL32" s="63"/>
      <c r="AM32" s="63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6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15399</v>
      </c>
      <c r="AV33" s="64">
        <f t="shared" si="6"/>
        <v>15465</v>
      </c>
      <c r="AW33" s="64">
        <f t="shared" si="6"/>
        <v>16594</v>
      </c>
      <c r="AX33" s="64">
        <f t="shared" si="6"/>
        <v>19709</v>
      </c>
      <c r="AY33" s="64">
        <f t="shared" si="6"/>
        <v>24988</v>
      </c>
      <c r="AZ33" s="64">
        <f t="shared" si="6"/>
        <v>27962</v>
      </c>
      <c r="BA33" s="196">
        <f>SUM(AO33:AZ33)</f>
        <v>120117</v>
      </c>
      <c r="BB33" s="64">
        <v>45655</v>
      </c>
      <c r="BC33" s="64">
        <v>44145</v>
      </c>
      <c r="BD33" s="64">
        <v>45499</v>
      </c>
      <c r="BE33" s="64">
        <v>33018</v>
      </c>
      <c r="BF33" s="64">
        <f t="shared" ref="BF33:BM33" si="7">IFERROR(ROUND(BF34*BF29,0),0)</f>
        <v>28922</v>
      </c>
      <c r="BG33" s="64">
        <f t="shared" si="7"/>
        <v>22303</v>
      </c>
      <c r="BH33" s="64">
        <f t="shared" si="7"/>
        <v>15399</v>
      </c>
      <c r="BI33" s="64">
        <f t="shared" si="7"/>
        <v>15465</v>
      </c>
      <c r="BJ33" s="64">
        <f t="shared" si="7"/>
        <v>16594</v>
      </c>
      <c r="BK33" s="64">
        <f t="shared" si="7"/>
        <v>19709</v>
      </c>
      <c r="BL33" s="64">
        <f t="shared" si="7"/>
        <v>24988</v>
      </c>
      <c r="BM33" s="64">
        <f t="shared" si="7"/>
        <v>27962</v>
      </c>
      <c r="BN33" s="196">
        <f>SUM(BB33:BM33)</f>
        <v>339659</v>
      </c>
      <c r="BO33" s="147">
        <f>BQ40-BO40</f>
        <v>169829</v>
      </c>
      <c r="BP33" s="31"/>
      <c r="BQ33" s="31"/>
      <c r="BR33" s="31"/>
      <c r="BS33" s="31"/>
      <c r="BT33" s="31"/>
      <c r="BU33" s="31"/>
      <c r="BV33" s="31"/>
      <c r="BW33" s="31"/>
      <c r="BX33" s="31"/>
    </row>
    <row r="34" spans="1:76" ht="15.75" customHeight="1" thickTop="1">
      <c r="A34" s="374" t="s">
        <v>54</v>
      </c>
      <c r="B34" s="84">
        <f>IF('kWh_Streetlight Data'!C97=0,"",'kWh_Streetlight Data'!C97)</f>
        <v>3656</v>
      </c>
      <c r="C34" s="108">
        <f>IF('kWh_Streetlight Data'!D97=0,"",'kWh_Streetlight Data'!D97)</f>
        <v>3587.125</v>
      </c>
      <c r="D34" s="108">
        <f>IF('kWh_Streetlight Data'!E97=0,"",'kWh_Streetlight Data'!E97)</f>
        <v>3744.6</v>
      </c>
      <c r="E34" s="108">
        <f>IF('kWh_Streetlight Data'!F97=0,"",'kWh_Streetlight Data'!F97)</f>
        <v>2057.8636363636365</v>
      </c>
      <c r="F34" s="108">
        <f>IF('kWh_Streetlight Data'!G97=0,"",'kWh_Streetlight Data'!G97)</f>
        <v>2334.6666666666665</v>
      </c>
      <c r="G34" s="108">
        <f>IF('kWh_Streetlight Data'!H97=0,"",'kWh_Streetlight Data'!H97)</f>
        <v>1718</v>
      </c>
      <c r="H34" s="108">
        <f>IF('kWh_Streetlight Data'!I97=0,"",'kWh_Streetlight Data'!I97)</f>
        <v>1018.4</v>
      </c>
      <c r="I34" s="108">
        <f>IF('kWh_Streetlight Data'!J97=0,"",'kWh_Streetlight Data'!J97)</f>
        <v>1076.3125</v>
      </c>
      <c r="J34" s="108">
        <f>IF('kWh_Streetlight Data'!K97=0,"",'kWh_Streetlight Data'!K97)</f>
        <v>1102.5714285714287</v>
      </c>
      <c r="K34" s="108">
        <f>IF('kWh_Streetlight Data'!L97=0,"",'kWh_Streetlight Data'!L97)</f>
        <v>1214.8571428571429</v>
      </c>
      <c r="L34" s="108">
        <f>IF('kWh_Streetlight Data'!M97=0,"",'kWh_Streetlight Data'!M97)</f>
        <v>1350.0714285714287</v>
      </c>
      <c r="M34" s="108">
        <f>IF('kWh_Streetlight Data'!N97=0,"",'kWh_Streetlight Data'!N97)</f>
        <v>1870.2</v>
      </c>
      <c r="N34" s="424">
        <f>IF('kWh_Streetlight Data'!O97=0,"",'kWh_Streetlight Data'!O97)</f>
        <v>2085.6524064171122</v>
      </c>
      <c r="O34" s="84">
        <f>IF('kWh_Streetlight Data'!P97=0,"",'kWh_Streetlight Data'!P97)</f>
        <v>2259.7857142857142</v>
      </c>
      <c r="P34" s="108">
        <f>IF('kWh_Streetlight Data'!Q97=0,"",'kWh_Streetlight Data'!Q97)</f>
        <v>2528.6666666666665</v>
      </c>
      <c r="Q34" s="108">
        <f>IF('kWh_Streetlight Data'!R97=0,"",'kWh_Streetlight Data'!R97)</f>
        <v>2070.8000000000002</v>
      </c>
      <c r="R34" s="108">
        <f>IF('kWh_Streetlight Data'!S97=0,"",'kWh_Streetlight Data'!S97)</f>
        <v>1782.4666666666667</v>
      </c>
      <c r="S34" s="108">
        <f>IF('kWh_Streetlight Data'!T97=0,"",'kWh_Streetlight Data'!T97)</f>
        <v>1325</v>
      </c>
      <c r="T34" s="108">
        <f>IF('kWh_Streetlight Data'!U97=0,"",'kWh_Streetlight Data'!U97)</f>
        <v>1189</v>
      </c>
      <c r="U34" s="108">
        <f>IF('kWh_Streetlight Data'!V97=0,"",'kWh_Streetlight Data'!V97)</f>
        <v>781.93333333333328</v>
      </c>
      <c r="V34" s="108">
        <f>IF('kWh_Streetlight Data'!W97=0,"",'kWh_Streetlight Data'!W97)</f>
        <v>841.92857142857144</v>
      </c>
      <c r="W34" s="108">
        <f>IF('kWh_Streetlight Data'!X97=0,"",'kWh_Streetlight Data'!X97)</f>
        <v>921.8</v>
      </c>
      <c r="X34" s="108">
        <f>IF('kWh_Streetlight Data'!Y97=0,"",'kWh_Streetlight Data'!Y97)</f>
        <v>1210.9333333333334</v>
      </c>
      <c r="Y34" s="108">
        <f>IF('kWh_Streetlight Data'!Z97=0,"",'kWh_Streetlight Data'!Z97)</f>
        <v>1575.9333333333334</v>
      </c>
      <c r="Z34" s="108">
        <f>IF('kWh_Streetlight Data'!AA97=0,"",'kWh_Streetlight Data'!AA97)</f>
        <v>1698.5</v>
      </c>
      <c r="AA34" s="424">
        <f>IF('kWh_Streetlight Data'!AB97=0,"",'kWh_Streetlight Data'!AB97)</f>
        <v>1516.1899441340781</v>
      </c>
      <c r="AB34" s="129">
        <f>IF('kWh_Streetlight Data'!AC97=0,"",'kWh_Streetlight Data'!AC97)</f>
        <v>2644.5</v>
      </c>
      <c r="AC34" s="130">
        <f>IF('kWh_Streetlight Data'!AD97=0,"",'kWh_Streetlight Data'!AD97)</f>
        <v>2161.4666666666667</v>
      </c>
      <c r="AD34" s="130">
        <f>IF('kWh_Streetlight Data'!AE97=0,"",'kWh_Streetlight Data'!AE97)</f>
        <v>2715.7333333333331</v>
      </c>
      <c r="AE34" s="130">
        <f>IF('kWh_Streetlight Data'!AF97=0,"",'kWh_Streetlight Data'!AF97)</f>
        <v>2350.4666666666667</v>
      </c>
      <c r="AF34" s="130">
        <f>IF('kWh_Streetlight Data'!AG97=0,"",'kWh_Streetlight Data'!AG97)</f>
        <v>1763.1333333333334</v>
      </c>
      <c r="AG34" s="130">
        <f>IF('kWh_Streetlight Data'!AH97=0,"",'kWh_Streetlight Data'!AH97)</f>
        <v>1274.75</v>
      </c>
      <c r="AH34" s="130">
        <f>IF('kWh_Streetlight Data'!AI97=0,"",'kWh_Streetlight Data'!AI97)</f>
        <v>1087.0625</v>
      </c>
      <c r="AI34" s="130">
        <f>IF('kWh_Streetlight Data'!AJ97=0,"",'kWh_Streetlight Data'!AJ97)</f>
        <v>981.375</v>
      </c>
      <c r="AJ34" s="130">
        <f>IF('kWh_Streetlight Data'!AK97=0,"",'kWh_Streetlight Data'!AK97)</f>
        <v>1086.9333333333334</v>
      </c>
      <c r="AK34" s="130">
        <f>IF('kWh_Streetlight Data'!AL97=0,"",'kWh_Streetlight Data'!AL97)</f>
        <v>1269.6666666666667</v>
      </c>
      <c r="AL34" s="130">
        <f>IF('kWh_Streetlight Data'!AM97=0,"",'kWh_Streetlight Data'!AM97)</f>
        <v>1759.3333333333333</v>
      </c>
      <c r="AM34" s="441">
        <f>IF('kWh_Streetlight Data'!AN97=0,"",'kWh_Streetlight Data'!AN97)</f>
        <v>1674.1875</v>
      </c>
      <c r="AN34" s="426">
        <f>IF('kWh_Streetlight Data'!AO97=0,"",'kWh_Streetlight Data'!AO97)</f>
        <v>1725.3567567567568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962.46527777777783</v>
      </c>
      <c r="AV34" s="9">
        <f t="shared" si="8"/>
        <v>966.53869047619048</v>
      </c>
      <c r="AW34" s="9">
        <f t="shared" si="8"/>
        <v>1037.1015873015874</v>
      </c>
      <c r="AX34" s="9">
        <f t="shared" si="8"/>
        <v>1231.8190476190478</v>
      </c>
      <c r="AY34" s="9">
        <f t="shared" si="8"/>
        <v>1561.7793650793649</v>
      </c>
      <c r="AZ34" s="9">
        <f t="shared" si="8"/>
        <v>1747.6291666666666</v>
      </c>
      <c r="BA34" s="211"/>
      <c r="BB34" s="9">
        <v>2853.4285714285711</v>
      </c>
      <c r="BC34" s="17">
        <v>2759.0861111111112</v>
      </c>
      <c r="BD34" s="17">
        <v>2843.7111111111112</v>
      </c>
      <c r="BE34" s="17">
        <v>2063.5989898989901</v>
      </c>
      <c r="BF34" s="17">
        <f t="shared" ref="BF34:BM34" si="9">IFERROR(AVERAGE(F34,S34,AF34),0)</f>
        <v>1807.6000000000001</v>
      </c>
      <c r="BG34" s="17">
        <f t="shared" si="9"/>
        <v>1393.9166666666667</v>
      </c>
      <c r="BH34" s="17">
        <f t="shared" si="9"/>
        <v>962.46527777777771</v>
      </c>
      <c r="BI34" s="17">
        <f t="shared" si="9"/>
        <v>966.53869047619048</v>
      </c>
      <c r="BJ34" s="17">
        <f t="shared" si="9"/>
        <v>1037.1015873015874</v>
      </c>
      <c r="BK34" s="17">
        <f t="shared" si="9"/>
        <v>1231.8190476190478</v>
      </c>
      <c r="BL34" s="17">
        <f t="shared" si="9"/>
        <v>1561.7793650793649</v>
      </c>
      <c r="BM34" s="9">
        <f t="shared" si="9"/>
        <v>1747.6291666666666</v>
      </c>
      <c r="BN34" s="211">
        <f>IFERROR(BN33/SUM(BB29:BM29)*12,0)</f>
        <v>21228.6875</v>
      </c>
      <c r="BO34" s="20"/>
    </row>
    <row r="35" spans="1:76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76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210"/>
      <c r="BO36" s="125">
        <f>Customers!L122</f>
        <v>16</v>
      </c>
    </row>
    <row r="37" spans="1:76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>
        <f>ROUND(BO$40*'kWh Blocks by Rate Category'!W36,0)</f>
        <v>155065</v>
      </c>
    </row>
    <row r="38" spans="1:76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>
        <f>ROUND(BO$40*'kWh Blocks by Rate Category'!W37,0)</f>
        <v>14765</v>
      </c>
      <c r="BR38" s="229" t="s">
        <v>221</v>
      </c>
    </row>
    <row r="39" spans="1:76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56">
        <f>ROUND(BO$40*'kWh Blocks by Rate Category'!W38,0)</f>
        <v>0</v>
      </c>
      <c r="BQ39" s="229" t="s">
        <v>222</v>
      </c>
      <c r="BR39" s="229" t="s">
        <v>223</v>
      </c>
    </row>
    <row r="40" spans="1:76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ROUND(BQ40/12*BR40,0)</f>
        <v>169830</v>
      </c>
      <c r="BQ40" s="39">
        <f>ROUND(BO41*BO36,0)</f>
        <v>339659</v>
      </c>
      <c r="BR40" s="296">
        <v>6</v>
      </c>
    </row>
    <row r="41" spans="1:76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BN34</f>
        <v>21228.6875</v>
      </c>
      <c r="BR41" s="229" t="s">
        <v>224</v>
      </c>
    </row>
    <row r="42" spans="1:76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6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Customers!E123</f>
        <v>4</v>
      </c>
      <c r="AV43" s="124">
        <f>Customers!F123</f>
        <v>4</v>
      </c>
      <c r="AW43" s="124">
        <f>Customers!G123</f>
        <v>4</v>
      </c>
      <c r="AX43" s="124">
        <f>Customers!H123</f>
        <v>4</v>
      </c>
      <c r="AY43" s="124">
        <f>Customers!I123</f>
        <v>4</v>
      </c>
      <c r="AZ43" s="124">
        <f>Customers!J123</f>
        <v>4</v>
      </c>
      <c r="BA43" s="210">
        <f>AZ43</f>
        <v>4</v>
      </c>
      <c r="BB43" s="124">
        <v>4</v>
      </c>
      <c r="BC43" s="38">
        <v>4</v>
      </c>
      <c r="BD43" s="38">
        <v>4</v>
      </c>
      <c r="BE43" s="38">
        <v>4</v>
      </c>
      <c r="BF43" s="38">
        <f t="shared" ref="BF43:BM43" si="10">BE43</f>
        <v>4</v>
      </c>
      <c r="BG43" s="38">
        <f t="shared" si="10"/>
        <v>4</v>
      </c>
      <c r="BH43" s="38">
        <f t="shared" si="10"/>
        <v>4</v>
      </c>
      <c r="BI43" s="38">
        <f t="shared" si="10"/>
        <v>4</v>
      </c>
      <c r="BJ43" s="38">
        <f t="shared" si="10"/>
        <v>4</v>
      </c>
      <c r="BK43" s="38">
        <f t="shared" si="10"/>
        <v>4</v>
      </c>
      <c r="BL43" s="38">
        <f t="shared" si="10"/>
        <v>4</v>
      </c>
      <c r="BM43" s="38">
        <f t="shared" si="10"/>
        <v>4</v>
      </c>
      <c r="BN43" s="210">
        <f>IFERROR(ROUND(AVERAGE(BB43:BM43),0),0)</f>
        <v>4</v>
      </c>
      <c r="BO43" s="90"/>
    </row>
    <row r="44" spans="1:76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ROUND(AU$47*'kWh Blocks by Rate Category'!C43,0)</f>
        <v>35071</v>
      </c>
      <c r="AV44" s="38">
        <f>ROUND(AV$47*'kWh Blocks by Rate Category'!D43,0)</f>
        <v>35092</v>
      </c>
      <c r="AW44" s="38">
        <f>ROUND(AW$47*'kWh Blocks by Rate Category'!E43,0)</f>
        <v>34222</v>
      </c>
      <c r="AX44" s="38">
        <f>ROUND(AX$47*'kWh Blocks by Rate Category'!F43,0)</f>
        <v>34937</v>
      </c>
      <c r="AY44" s="38">
        <f>ROUND(AY$47*'kWh Blocks by Rate Category'!G43,0)</f>
        <v>37952</v>
      </c>
      <c r="AZ44" s="38">
        <f>ROUND(AZ$47*'kWh Blocks by Rate Category'!H43,0)</f>
        <v>39318</v>
      </c>
      <c r="BA44" s="210">
        <f>SUM(AO44:AZ44)</f>
        <v>216592</v>
      </c>
      <c r="BB44" s="38">
        <v>45728</v>
      </c>
      <c r="BC44" s="38">
        <v>42852</v>
      </c>
      <c r="BD44" s="38">
        <v>41730</v>
      </c>
      <c r="BE44" s="38">
        <v>29122</v>
      </c>
      <c r="BF44" s="38">
        <f>ROUND(BF$47*'kWh Blocks by Rate Category'!N43,0)</f>
        <v>34380</v>
      </c>
      <c r="BG44" s="38">
        <f>ROUND(BG$47*'kWh Blocks by Rate Category'!O43,0)</f>
        <v>37476</v>
      </c>
      <c r="BH44" s="38">
        <f>ROUND(BH$47*'kWh Blocks by Rate Category'!P43,0)</f>
        <v>35071</v>
      </c>
      <c r="BI44" s="38">
        <f>ROUND(BI$47*'kWh Blocks by Rate Category'!Q43,0)</f>
        <v>35092</v>
      </c>
      <c r="BJ44" s="38">
        <f>ROUND(BJ$47*'kWh Blocks by Rate Category'!R43,0)</f>
        <v>34222</v>
      </c>
      <c r="BK44" s="38">
        <f>ROUND(BK$47*'kWh Blocks by Rate Category'!S43,0)</f>
        <v>34937</v>
      </c>
      <c r="BL44" s="38">
        <f>ROUND(BL$47*'kWh Blocks by Rate Category'!T43,0)</f>
        <v>37952</v>
      </c>
      <c r="BM44" s="38">
        <f>ROUND(BM$47*'kWh Blocks by Rate Category'!U43,0)</f>
        <v>39318</v>
      </c>
      <c r="BN44" s="210">
        <f>SUM(BB44:BM44)</f>
        <v>447880</v>
      </c>
      <c r="BO44" s="38">
        <f>ROUND(BO$47*'kWh Blocks by Rate Category'!W43,0)</f>
        <v>223940</v>
      </c>
    </row>
    <row r="45" spans="1:76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>
        <f>ROUND(AU$47*'kWh Blocks by Rate Category'!C44,0)</f>
        <v>2984</v>
      </c>
      <c r="AV45" s="38">
        <f>ROUND(AV$47*'kWh Blocks by Rate Category'!D44,0)</f>
        <v>2986</v>
      </c>
      <c r="AW45" s="38">
        <f>ROUND(AW$47*'kWh Blocks by Rate Category'!E44,0)</f>
        <v>2912</v>
      </c>
      <c r="AX45" s="38">
        <f>ROUND(AX$47*'kWh Blocks by Rate Category'!F44,0)</f>
        <v>2973</v>
      </c>
      <c r="AY45" s="38">
        <f>ROUND(AY$47*'kWh Blocks by Rate Category'!G44,0)</f>
        <v>3229</v>
      </c>
      <c r="AZ45" s="38">
        <f>ROUND(AZ$47*'kWh Blocks by Rate Category'!H44,0)</f>
        <v>3345</v>
      </c>
      <c r="BA45" s="210">
        <f>SUM(AO45:AZ45)</f>
        <v>18429</v>
      </c>
      <c r="BB45" s="38">
        <v>3891</v>
      </c>
      <c r="BC45" s="38">
        <v>3646</v>
      </c>
      <c r="BD45" s="38">
        <v>3551</v>
      </c>
      <c r="BE45" s="38">
        <v>2478</v>
      </c>
      <c r="BF45" s="38">
        <f>ROUND(BF$47*'kWh Blocks by Rate Category'!N44,0)</f>
        <v>2925</v>
      </c>
      <c r="BG45" s="38">
        <f>ROUND(BG$47*'kWh Blocks by Rate Category'!O44,0)</f>
        <v>3189</v>
      </c>
      <c r="BH45" s="38">
        <f>ROUND(BH$47*'kWh Blocks by Rate Category'!P44,0)</f>
        <v>2984</v>
      </c>
      <c r="BI45" s="38">
        <f>ROUND(BI$47*'kWh Blocks by Rate Category'!Q44,0)</f>
        <v>2986</v>
      </c>
      <c r="BJ45" s="38">
        <f>ROUND(BJ$47*'kWh Blocks by Rate Category'!R44,0)</f>
        <v>2912</v>
      </c>
      <c r="BK45" s="38">
        <f>ROUND(BK$47*'kWh Blocks by Rate Category'!S44,0)</f>
        <v>2973</v>
      </c>
      <c r="BL45" s="38">
        <f>ROUND(BL$47*'kWh Blocks by Rate Category'!T44,0)</f>
        <v>3229</v>
      </c>
      <c r="BM45" s="38">
        <f>ROUND(BM$47*'kWh Blocks by Rate Category'!U44,0)</f>
        <v>3345</v>
      </c>
      <c r="BN45" s="210">
        <f>SUM(BB45:BM45)</f>
        <v>38109</v>
      </c>
      <c r="BO45" s="38">
        <f>ROUND(BO$47*'kWh Blocks by Rate Category'!W44,0)</f>
        <v>19054</v>
      </c>
    </row>
    <row r="46" spans="1:76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>
        <f>ROUND(AU$47*'kWh Blocks by Rate Category'!C45,0)</f>
        <v>1218</v>
      </c>
      <c r="AV46" s="38">
        <f>ROUND(AV$47*'kWh Blocks by Rate Category'!D45,0)</f>
        <v>1219</v>
      </c>
      <c r="AW46" s="38">
        <f>ROUND(AW$47*'kWh Blocks by Rate Category'!E45,0)</f>
        <v>1189</v>
      </c>
      <c r="AX46" s="38">
        <f>ROUND(AX$47*'kWh Blocks by Rate Category'!F45,0)</f>
        <v>1214</v>
      </c>
      <c r="AY46" s="38">
        <f>ROUND(AY$47*'kWh Blocks by Rate Category'!G45,0)</f>
        <v>1319</v>
      </c>
      <c r="AZ46" s="38">
        <f>ROUND(AZ$47*'kWh Blocks by Rate Category'!H45,0)</f>
        <v>1366</v>
      </c>
      <c r="BA46" s="210">
        <f>SUM(AO46:AZ46)</f>
        <v>7525</v>
      </c>
      <c r="BB46" s="38">
        <v>1589</v>
      </c>
      <c r="BC46" s="38">
        <v>1489</v>
      </c>
      <c r="BD46" s="38">
        <v>1450</v>
      </c>
      <c r="BE46" s="38">
        <v>1012</v>
      </c>
      <c r="BF46" s="38">
        <f>ROUND(BF$47*'kWh Blocks by Rate Category'!N45,0)</f>
        <v>1194</v>
      </c>
      <c r="BG46" s="38">
        <f>ROUND(BG$47*'kWh Blocks by Rate Category'!O45,0)</f>
        <v>1302</v>
      </c>
      <c r="BH46" s="38">
        <f>ROUND(BH$47*'kWh Blocks by Rate Category'!P45,0)</f>
        <v>1218</v>
      </c>
      <c r="BI46" s="38">
        <f>ROUND(BI$47*'kWh Blocks by Rate Category'!Q45,0)</f>
        <v>1219</v>
      </c>
      <c r="BJ46" s="38">
        <f>ROUND(BJ$47*'kWh Blocks by Rate Category'!R45,0)</f>
        <v>1189</v>
      </c>
      <c r="BK46" s="38">
        <f>ROUND(BK$47*'kWh Blocks by Rate Category'!S45,0)</f>
        <v>1214</v>
      </c>
      <c r="BL46" s="38">
        <f>ROUND(BL$47*'kWh Blocks by Rate Category'!T45,0)</f>
        <v>1319</v>
      </c>
      <c r="BM46" s="38">
        <f>ROUND(BM$47*'kWh Blocks by Rate Category'!U45,0)</f>
        <v>1366</v>
      </c>
      <c r="BN46" s="210">
        <f>SUM(BB46:BM46)</f>
        <v>15561</v>
      </c>
      <c r="BO46" s="38">
        <f>ROUND(BO$47*'kWh Blocks by Rate Category'!W45,0)</f>
        <v>7780</v>
      </c>
    </row>
    <row r="47" spans="1:76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1">IFERROR(ROUND(AU48*AU43,0),0)</f>
        <v>39273</v>
      </c>
      <c r="AV47" s="64">
        <f t="shared" si="11"/>
        <v>39297</v>
      </c>
      <c r="AW47" s="64">
        <f t="shared" si="11"/>
        <v>38323</v>
      </c>
      <c r="AX47" s="64">
        <f t="shared" si="11"/>
        <v>39123</v>
      </c>
      <c r="AY47" s="64">
        <f t="shared" si="11"/>
        <v>42500</v>
      </c>
      <c r="AZ47" s="64">
        <f t="shared" si="11"/>
        <v>44030</v>
      </c>
      <c r="BA47" s="196">
        <f>SUM(AO47:AZ47)</f>
        <v>242546</v>
      </c>
      <c r="BB47" s="64">
        <v>51207</v>
      </c>
      <c r="BC47" s="64">
        <v>47987</v>
      </c>
      <c r="BD47" s="64">
        <v>46730</v>
      </c>
      <c r="BE47" s="64">
        <v>32612</v>
      </c>
      <c r="BF47" s="64">
        <f t="shared" ref="BF47:BM47" si="12">IFERROR(ROUND(BF48*BF43,0),0)</f>
        <v>38500</v>
      </c>
      <c r="BG47" s="64">
        <f t="shared" si="12"/>
        <v>41967</v>
      </c>
      <c r="BH47" s="64">
        <f t="shared" si="12"/>
        <v>39273</v>
      </c>
      <c r="BI47" s="64">
        <f t="shared" si="12"/>
        <v>39297</v>
      </c>
      <c r="BJ47" s="64">
        <f t="shared" si="12"/>
        <v>38323</v>
      </c>
      <c r="BK47" s="64">
        <f t="shared" si="12"/>
        <v>39123</v>
      </c>
      <c r="BL47" s="64">
        <f t="shared" si="12"/>
        <v>42500</v>
      </c>
      <c r="BM47" s="64">
        <f t="shared" si="12"/>
        <v>44030</v>
      </c>
      <c r="BN47" s="196">
        <f>SUM(BB47:BM47)</f>
        <v>501549</v>
      </c>
      <c r="BO47" s="147">
        <f>BQ54-BO54</f>
        <v>250774</v>
      </c>
    </row>
    <row r="48" spans="1:76" ht="15.75" customHeight="1" thickTop="1">
      <c r="A48" s="374" t="s">
        <v>54</v>
      </c>
      <c r="B48" s="129">
        <f>IF('kWh_Streetlight Data'!C98=0,"",'kWh_Streetlight Data'!C98)</f>
        <v>11262.5</v>
      </c>
      <c r="C48" s="130">
        <f>IF('kWh_Streetlight Data'!D98=0,"",'kWh_Streetlight Data'!D98)</f>
        <v>10797.5</v>
      </c>
      <c r="D48" s="130">
        <f>IF('kWh_Streetlight Data'!E98=0,"",'kWh_Streetlight Data'!E98)</f>
        <v>11257.5</v>
      </c>
      <c r="E48" s="130">
        <f>IF('kWh_Streetlight Data'!F98=0,"",'kWh_Streetlight Data'!F98)</f>
        <v>3441.818181818182</v>
      </c>
      <c r="F48" s="130">
        <f>IF('kWh_Streetlight Data'!G98=0,"",'kWh_Streetlight Data'!G98)</f>
        <v>9970</v>
      </c>
      <c r="G48" s="130">
        <f>IF('kWh_Streetlight Data'!H98=0,"",'kWh_Streetlight Data'!H98)</f>
        <v>9942.5</v>
      </c>
      <c r="H48" s="130">
        <f>IF('kWh_Streetlight Data'!I98=0,"",'kWh_Streetlight Data'!I98)</f>
        <v>9947.5</v>
      </c>
      <c r="I48" s="130">
        <f>IF('kWh_Streetlight Data'!J98=0,"",'kWh_Streetlight Data'!J98)</f>
        <v>9632.5</v>
      </c>
      <c r="J48" s="130">
        <f>IF('kWh_Streetlight Data'!K98=0,"",'kWh_Streetlight Data'!K98)</f>
        <v>9795</v>
      </c>
      <c r="K48" s="130">
        <f>IF('kWh_Streetlight Data'!L98=0,"",'kWh_Streetlight Data'!L98)</f>
        <v>8835</v>
      </c>
      <c r="L48" s="130">
        <f>IF('kWh_Streetlight Data'!M98=0,"",'kWh_Streetlight Data'!M98)</f>
        <v>10115</v>
      </c>
      <c r="M48" s="130">
        <f>IF('kWh_Streetlight Data'!N98=0,"",'kWh_Streetlight Data'!N98)</f>
        <v>12062.5</v>
      </c>
      <c r="N48" s="424">
        <f>IF('kWh_Streetlight Data'!O98=0,"",'kWh_Streetlight Data'!O98)</f>
        <v>8951.454545454546</v>
      </c>
      <c r="O48" s="129">
        <f>IF('kWh_Streetlight Data'!P98=0,"",'kWh_Streetlight Data'!P98)</f>
        <v>12487.5</v>
      </c>
      <c r="P48" s="130">
        <f>IF('kWh_Streetlight Data'!Q98=0,"",'kWh_Streetlight Data'!Q98)</f>
        <v>12802.5</v>
      </c>
      <c r="Q48" s="130">
        <f>IF('kWh_Streetlight Data'!R98=0,"",'kWh_Streetlight Data'!R98)</f>
        <v>10092.5</v>
      </c>
      <c r="R48" s="130">
        <f>IF('kWh_Streetlight Data'!S98=0,"",'kWh_Streetlight Data'!S98)</f>
        <v>9632.5</v>
      </c>
      <c r="S48" s="130">
        <f>IF('kWh_Streetlight Data'!T98=0,"",'kWh_Streetlight Data'!T98)</f>
        <v>9232.5</v>
      </c>
      <c r="T48" s="130">
        <f>IF('kWh_Streetlight Data'!U98=0,"",'kWh_Streetlight Data'!U98)</f>
        <v>10867.5</v>
      </c>
      <c r="U48" s="130">
        <f>IF('kWh_Streetlight Data'!V98=0,"",'kWh_Streetlight Data'!V98)</f>
        <v>9120</v>
      </c>
      <c r="V48" s="130">
        <f>IF('kWh_Streetlight Data'!W98=0,"",'kWh_Streetlight Data'!W98)</f>
        <v>10005</v>
      </c>
      <c r="W48" s="130">
        <f>IF('kWh_Streetlight Data'!X98=0,"",'kWh_Streetlight Data'!X98)</f>
        <v>9275</v>
      </c>
      <c r="X48" s="130">
        <f>IF('kWh_Streetlight Data'!Y98=0,"",'kWh_Streetlight Data'!Y98)</f>
        <v>10667.5</v>
      </c>
      <c r="Y48" s="130">
        <f>IF('kWh_Streetlight Data'!Z98=0,"",'kWh_Streetlight Data'!Z98)</f>
        <v>11047.5</v>
      </c>
      <c r="Z48" s="130">
        <f>IF('kWh_Streetlight Data'!AA98=0,"",'kWh_Streetlight Data'!AA98)</f>
        <v>10660</v>
      </c>
      <c r="AA48" s="424">
        <f>IF('kWh_Streetlight Data'!AB98=0,"",'kWh_Streetlight Data'!AB98)</f>
        <v>10490.833333333334</v>
      </c>
      <c r="AB48" s="129">
        <f>IF('kWh_Streetlight Data'!AC98=0,"",'kWh_Streetlight Data'!AC98)</f>
        <v>14655</v>
      </c>
      <c r="AC48" s="130">
        <f>IF('kWh_Streetlight Data'!AD98=0,"",'kWh_Streetlight Data'!AD98)</f>
        <v>12390</v>
      </c>
      <c r="AD48" s="130">
        <f>IF('kWh_Streetlight Data'!AE98=0,"",'kWh_Streetlight Data'!AE98)</f>
        <v>13697.5</v>
      </c>
      <c r="AE48" s="130">
        <f>IF('kWh_Streetlight Data'!AF98=0,"",'kWh_Streetlight Data'!AF98)</f>
        <v>11385</v>
      </c>
      <c r="AF48" s="130">
        <f>IF('kWh_Streetlight Data'!AG98=0,"",'kWh_Streetlight Data'!AG98)</f>
        <v>9672.5</v>
      </c>
      <c r="AG48" s="130">
        <f>IF('kWh_Streetlight Data'!AH98=0,"",'kWh_Streetlight Data'!AH98)</f>
        <v>10665</v>
      </c>
      <c r="AH48" s="130">
        <f>IF('kWh_Streetlight Data'!AI98=0,"",'kWh_Streetlight Data'!AI98)</f>
        <v>10387.5</v>
      </c>
      <c r="AI48" s="130">
        <f>IF('kWh_Streetlight Data'!AJ98=0,"",'kWh_Streetlight Data'!AJ98)</f>
        <v>9835</v>
      </c>
      <c r="AJ48" s="130">
        <f>IF('kWh_Streetlight Data'!AK98=0,"",'kWh_Streetlight Data'!AK98)</f>
        <v>9672.5</v>
      </c>
      <c r="AK48" s="130">
        <f>IF('kWh_Streetlight Data'!AL98=0,"",'kWh_Streetlight Data'!AL98)</f>
        <v>9840</v>
      </c>
      <c r="AL48" s="130">
        <f>IF('kWh_Streetlight Data'!AM98=0,"",'kWh_Streetlight Data'!AM98)</f>
        <v>10712.5</v>
      </c>
      <c r="AM48" s="130">
        <f>IF('kWh_Streetlight Data'!AN98=0,"",'kWh_Streetlight Data'!AN98)</f>
        <v>10300</v>
      </c>
      <c r="AN48" s="426">
        <f>IF('kWh_Streetlight Data'!AO98=0,"",'kWh_Streetlight Data'!AO98)</f>
        <v>11101.041666666666</v>
      </c>
      <c r="AO48" s="43"/>
      <c r="AP48" s="40"/>
      <c r="AQ48" s="40"/>
      <c r="AR48" s="40"/>
      <c r="AS48" s="40"/>
      <c r="AT48" s="17"/>
      <c r="AU48" s="9">
        <f t="shared" ref="AU48:AZ48" si="13">IFERROR(AVERAGE(AH48,U48,H48),0)</f>
        <v>9818.3333333333339</v>
      </c>
      <c r="AV48" s="9">
        <f t="shared" si="13"/>
        <v>9824.1666666666661</v>
      </c>
      <c r="AW48" s="9">
        <f t="shared" si="13"/>
        <v>9580.8333333333339</v>
      </c>
      <c r="AX48" s="9">
        <f t="shared" si="13"/>
        <v>9780.8333333333339</v>
      </c>
      <c r="AY48" s="9">
        <f t="shared" si="13"/>
        <v>10625</v>
      </c>
      <c r="AZ48" s="9">
        <f t="shared" si="13"/>
        <v>11007.5</v>
      </c>
      <c r="BA48" s="211"/>
      <c r="BB48" s="9">
        <v>12801.666666666666</v>
      </c>
      <c r="BC48" s="17">
        <v>11996.666666666666</v>
      </c>
      <c r="BD48" s="17">
        <v>11682.5</v>
      </c>
      <c r="BE48" s="17">
        <v>8153.106060606061</v>
      </c>
      <c r="BF48" s="17">
        <f t="shared" ref="BF48:BM48" si="14">IFERROR(AVERAGE(F48,S48,AF48),0)</f>
        <v>9625</v>
      </c>
      <c r="BG48" s="17">
        <f t="shared" si="14"/>
        <v>10491.666666666666</v>
      </c>
      <c r="BH48" s="17">
        <f t="shared" si="14"/>
        <v>9818.3333333333339</v>
      </c>
      <c r="BI48" s="17">
        <f t="shared" si="14"/>
        <v>9824.1666666666661</v>
      </c>
      <c r="BJ48" s="17">
        <f t="shared" si="14"/>
        <v>9580.8333333333339</v>
      </c>
      <c r="BK48" s="17">
        <f t="shared" si="14"/>
        <v>9780.8333333333339</v>
      </c>
      <c r="BL48" s="17">
        <f t="shared" si="14"/>
        <v>10625</v>
      </c>
      <c r="BM48" s="9">
        <f t="shared" si="14"/>
        <v>11007.5</v>
      </c>
      <c r="BN48" s="211">
        <f>IFERROR(BN47/SUM(BB43:BM43)*12,0)</f>
        <v>125387.25</v>
      </c>
      <c r="BO48" s="20"/>
    </row>
    <row r="49" spans="1:7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7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>
        <f>Customers!L123</f>
        <v>4</v>
      </c>
    </row>
    <row r="51" spans="1:7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>
        <f>ROUND(BO$54*'kWh Blocks by Rate Category'!W50,0)</f>
        <v>223940</v>
      </c>
    </row>
    <row r="52" spans="1:7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>
        <f>ROUND(BO$54*'kWh Blocks by Rate Category'!W51,0)</f>
        <v>19054</v>
      </c>
      <c r="BR52" s="229" t="s">
        <v>221</v>
      </c>
    </row>
    <row r="53" spans="1:7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>
        <f>ROUND(BO$54*'kWh Blocks by Rate Category'!W52,0)</f>
        <v>7780</v>
      </c>
      <c r="BQ53" s="229" t="s">
        <v>222</v>
      </c>
      <c r="BR53" s="229" t="s">
        <v>223</v>
      </c>
    </row>
    <row r="54" spans="1:7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ROUND(BQ54/12*BR54,0)</f>
        <v>250775</v>
      </c>
      <c r="BQ54" s="39">
        <f>ROUND(BO55*BO50,0)</f>
        <v>501549</v>
      </c>
      <c r="BR54" s="296">
        <v>6</v>
      </c>
    </row>
    <row r="55" spans="1:7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>
        <f>BN48</f>
        <v>125387.25</v>
      </c>
      <c r="BR55" s="229" t="s">
        <v>224</v>
      </c>
    </row>
    <row r="56" spans="1:7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7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8" si="15">BE57</f>
        <v>0</v>
      </c>
      <c r="BG57" s="38">
        <f t="shared" si="15"/>
        <v>0</v>
      </c>
      <c r="BH57" s="38">
        <f t="shared" si="15"/>
        <v>0</v>
      </c>
      <c r="BI57" s="38">
        <f t="shared" si="15"/>
        <v>0</v>
      </c>
      <c r="BJ57" s="38">
        <f t="shared" si="15"/>
        <v>0</v>
      </c>
      <c r="BK57" s="38">
        <f t="shared" si="15"/>
        <v>0</v>
      </c>
      <c r="BL57" s="38">
        <f t="shared" si="15"/>
        <v>0</v>
      </c>
      <c r="BM57" s="38">
        <f t="shared" si="15"/>
        <v>0</v>
      </c>
      <c r="BN57" s="210">
        <f>IFERROR(ROUND(AVERAGE(BB57:BM57),0),0)</f>
        <v>0</v>
      </c>
      <c r="BO57" s="156"/>
    </row>
    <row r="58" spans="1:70" ht="15.75" customHeight="1" thickBot="1">
      <c r="A58" s="201" t="s">
        <v>30</v>
      </c>
      <c r="B58" s="113" t="str">
        <f>IF('kWh_Streetlight Data'!C238=0,"",'kWh_Streetlight Data'!C238)</f>
        <v/>
      </c>
      <c r="C58" s="114" t="str">
        <f>IF('kWh_Streetlight Data'!D238=0,"",'kWh_Streetlight Data'!D238)</f>
        <v/>
      </c>
      <c r="D58" s="114" t="str">
        <f>IF('kWh_Streetlight Data'!E238=0,"",'kWh_Streetlight Data'!E238)</f>
        <v/>
      </c>
      <c r="E58" s="114" t="str">
        <f>IF('kWh_Streetlight Data'!F238=0,"",'kWh_Streetlight Data'!F238)</f>
        <v/>
      </c>
      <c r="F58" s="114" t="str">
        <f>IF('kWh_Streetlight Data'!G238=0,"",'kWh_Streetlight Data'!G238)</f>
        <v/>
      </c>
      <c r="G58" s="114" t="str">
        <f>IF('kWh_Streetlight Data'!H238=0,"",'kWh_Streetlight Data'!H238)</f>
        <v/>
      </c>
      <c r="H58" s="114" t="str">
        <f>IF('kWh_Streetlight Data'!I238=0,"",'kWh_Streetlight Data'!I238)</f>
        <v/>
      </c>
      <c r="I58" s="114" t="str">
        <f>IF('kWh_Streetlight Data'!J238=0,"",'kWh_Streetlight Data'!J238)</f>
        <v/>
      </c>
      <c r="J58" s="114" t="str">
        <f>IF('kWh_Streetlight Data'!K238=0,"",'kWh_Streetlight Data'!K238)</f>
        <v/>
      </c>
      <c r="K58" s="114" t="str">
        <f>IF('kWh_Streetlight Data'!L238=0,"",'kWh_Streetlight Data'!L238)</f>
        <v/>
      </c>
      <c r="L58" s="114" t="str">
        <f>IF('kWh_Streetlight Data'!M238=0,"",'kWh_Streetlight Data'!M238)</f>
        <v/>
      </c>
      <c r="M58" s="114" t="str">
        <f>IF('kWh_Streetlight Data'!N238=0,"",'kWh_Streetlight Data'!N238)</f>
        <v/>
      </c>
      <c r="N58" s="459" t="str">
        <f>IF('kWh_Streetlight Data'!O238=0,"",'kWh_Streetlight Data'!O238)</f>
        <v/>
      </c>
      <c r="O58" s="113" t="str">
        <f>IF('kWh_Streetlight Data'!P238=0,"",'kWh_Streetlight Data'!P238)</f>
        <v/>
      </c>
      <c r="P58" s="114" t="str">
        <f>IF('kWh_Streetlight Data'!Q238=0,"",'kWh_Streetlight Data'!Q238)</f>
        <v/>
      </c>
      <c r="Q58" s="114" t="str">
        <f>IF('kWh_Streetlight Data'!R238=0,"",'kWh_Streetlight Data'!R238)</f>
        <v/>
      </c>
      <c r="R58" s="114" t="str">
        <f>IF('kWh_Streetlight Data'!S238=0,"",'kWh_Streetlight Data'!S238)</f>
        <v/>
      </c>
      <c r="S58" s="114" t="str">
        <f>IF('kWh_Streetlight Data'!T238=0,"",'kWh_Streetlight Data'!T238)</f>
        <v/>
      </c>
      <c r="T58" s="114" t="str">
        <f>IF('kWh_Streetlight Data'!U238=0,"",'kWh_Streetlight Data'!U238)</f>
        <v/>
      </c>
      <c r="U58" s="114" t="str">
        <f>IF('kWh_Streetlight Data'!V238=0,"",'kWh_Streetlight Data'!V238)</f>
        <v/>
      </c>
      <c r="V58" s="114" t="str">
        <f>IF('kWh_Streetlight Data'!W238=0,"",'kWh_Streetlight Data'!W238)</f>
        <v/>
      </c>
      <c r="W58" s="114" t="str">
        <f>IF('kWh_Streetlight Data'!X238=0,"",'kWh_Streetlight Data'!X238)</f>
        <v/>
      </c>
      <c r="X58" s="114" t="str">
        <f>IF('kWh_Streetlight Data'!Y238=0,"",'kWh_Streetlight Data'!Y238)</f>
        <v/>
      </c>
      <c r="Y58" s="114" t="str">
        <f>IF('kWh_Streetlight Data'!Z238=0,"",'kWh_Streetlight Data'!Z238)</f>
        <v/>
      </c>
      <c r="Z58" s="114" t="str">
        <f>IF('kWh_Streetlight Data'!AA238=0,"",'kWh_Streetlight Data'!AA238)</f>
        <v/>
      </c>
      <c r="AA58" s="459" t="str">
        <f>IF('kWh_Streetlight Data'!AB238=0,"",'kWh_Streetlight Data'!AB238)</f>
        <v/>
      </c>
      <c r="AB58" s="240" t="str">
        <f>IF('kWh_Streetlight Data'!AC238=0,"",'kWh_Streetlight Data'!AC238)</f>
        <v/>
      </c>
      <c r="AC58" s="117" t="str">
        <f>IF('kWh_Streetlight Data'!AD238=0,"",'kWh_Streetlight Data'!AD238)</f>
        <v/>
      </c>
      <c r="AD58" s="117" t="str">
        <f>IF('kWh_Streetlight Data'!AE238=0,"",'kWh_Streetlight Data'!AE238)</f>
        <v/>
      </c>
      <c r="AE58" s="117" t="str">
        <f>IF('kWh_Streetlight Data'!AF238=0,"",'kWh_Streetlight Data'!AF238)</f>
        <v/>
      </c>
      <c r="AF58" s="117" t="str">
        <f>IF('kWh_Streetlight Data'!AG238=0,"",'kWh_Streetlight Data'!AG238)</f>
        <v/>
      </c>
      <c r="AG58" s="117" t="str">
        <f>IF('kWh_Streetlight Data'!AH238=0,"",'kWh_Streetlight Data'!AH238)</f>
        <v/>
      </c>
      <c r="AH58" s="117" t="str">
        <f>IF('kWh_Streetlight Data'!AI238=0,"",'kWh_Streetlight Data'!AI238)</f>
        <v/>
      </c>
      <c r="AI58" s="117" t="str">
        <f>IF('kWh_Streetlight Data'!AJ238=0,"",'kWh_Streetlight Data'!AJ238)</f>
        <v/>
      </c>
      <c r="AJ58" s="117" t="str">
        <f>IF('kWh_Streetlight Data'!AK238=0,"",'kWh_Streetlight Data'!AK238)</f>
        <v/>
      </c>
      <c r="AK58" s="117" t="str">
        <f>IF('kWh_Streetlight Data'!AL238=0,"",'kWh_Streetlight Data'!AL238)</f>
        <v/>
      </c>
      <c r="AL58" s="117" t="str">
        <f>IF('kWh_Streetlight Data'!AM238=0,"",'kWh_Streetlight Data'!AM238)</f>
        <v/>
      </c>
      <c r="AM58" s="117" t="str">
        <f>IF('kWh_Streetlight Data'!AN238=0,"",'kWh_Streetlight Data'!AN238)</f>
        <v/>
      </c>
      <c r="AN58" s="464" t="str">
        <f>IF('kWh_Streetlight Data'!AO238=0,"",'kWh_Streetlight Data'!AO238)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si="15"/>
        <v>0</v>
      </c>
      <c r="BG58" s="160">
        <f t="shared" si="15"/>
        <v>0</v>
      </c>
      <c r="BH58" s="160">
        <f t="shared" si="15"/>
        <v>0</v>
      </c>
      <c r="BI58" s="160">
        <f t="shared" si="15"/>
        <v>0</v>
      </c>
      <c r="BJ58" s="160">
        <f t="shared" si="15"/>
        <v>0</v>
      </c>
      <c r="BK58" s="160">
        <f t="shared" si="15"/>
        <v>0</v>
      </c>
      <c r="BL58" s="160">
        <f t="shared" si="15"/>
        <v>0</v>
      </c>
      <c r="BM58" s="160">
        <f t="shared" si="15"/>
        <v>0</v>
      </c>
      <c r="BN58" s="213">
        <f>SUM(BB58:BM58)</f>
        <v>0</v>
      </c>
      <c r="BO58" s="175"/>
    </row>
    <row r="59" spans="1:7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7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7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7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7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7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Data'!C99=0,"",'kWh_Streetlight Data'!C99)</f>
        <v/>
      </c>
      <c r="C69" s="130" t="str">
        <f>IF('kWh_Streetlight Data'!D99=0,"",'kWh_Streetlight Data'!D99)</f>
        <v/>
      </c>
      <c r="D69" s="130" t="str">
        <f>IF('kWh_Streetlight Data'!E99=0,"",'kWh_Streetlight Data'!E99)</f>
        <v/>
      </c>
      <c r="E69" s="130" t="str">
        <f>IF('kWh_Streetlight Data'!F99=0,"",'kWh_Streetlight Data'!F99)</f>
        <v/>
      </c>
      <c r="F69" s="130" t="str">
        <f>IF('kWh_Streetlight Data'!G99=0,"",'kWh_Streetlight Data'!G99)</f>
        <v/>
      </c>
      <c r="G69" s="130" t="str">
        <f>IF('kWh_Streetlight Data'!H99=0,"",'kWh_Streetlight Data'!H99)</f>
        <v/>
      </c>
      <c r="H69" s="130" t="str">
        <f>IF('kWh_Streetlight Data'!I99=0,"",'kWh_Streetlight Data'!I99)</f>
        <v/>
      </c>
      <c r="I69" s="130" t="str">
        <f>IF('kWh_Streetlight Data'!J99=0,"",'kWh_Streetlight Data'!J99)</f>
        <v/>
      </c>
      <c r="J69" s="130" t="str">
        <f>IF('kWh_Streetlight Data'!K99=0,"",'kWh_Streetlight Data'!K99)</f>
        <v/>
      </c>
      <c r="K69" s="130" t="str">
        <f>IF('kWh_Streetlight Data'!L99=0,"",'kWh_Streetlight Data'!L99)</f>
        <v/>
      </c>
      <c r="L69" s="130" t="str">
        <f>IF('kWh_Streetlight Data'!M99=0,"",'kWh_Streetlight Data'!M99)</f>
        <v/>
      </c>
      <c r="M69" s="130" t="str">
        <f>IF('kWh_Streetlight Data'!N99=0,"",'kWh_Streetlight Data'!N99)</f>
        <v/>
      </c>
      <c r="N69" s="424" t="str">
        <f>IF('kWh_Streetlight Data'!O99=0,"",'kWh_Streetlight Data'!O99)</f>
        <v/>
      </c>
      <c r="O69" s="84" t="str">
        <f>IF('kWh_Streetlight Data'!P99=0,"",'kWh_Streetlight Data'!P99)</f>
        <v/>
      </c>
      <c r="P69" s="108" t="str">
        <f>IF('kWh_Streetlight Data'!Q99=0,"",'kWh_Streetlight Data'!Q99)</f>
        <v/>
      </c>
      <c r="Q69" s="108" t="str">
        <f>IF('kWh_Streetlight Data'!R99=0,"",'kWh_Streetlight Data'!R99)</f>
        <v/>
      </c>
      <c r="R69" s="108" t="str">
        <f>IF('kWh_Streetlight Data'!S99=0,"",'kWh_Streetlight Data'!S99)</f>
        <v/>
      </c>
      <c r="S69" s="108" t="str">
        <f>IF('kWh_Streetlight Data'!T99=0,"",'kWh_Streetlight Data'!T99)</f>
        <v/>
      </c>
      <c r="T69" s="108" t="str">
        <f>IF('kWh_Streetlight Data'!U99=0,"",'kWh_Streetlight Data'!U99)</f>
        <v/>
      </c>
      <c r="U69" s="108" t="str">
        <f>IF('kWh_Streetlight Data'!V99=0,"",'kWh_Streetlight Data'!V99)</f>
        <v/>
      </c>
      <c r="V69" s="108" t="str">
        <f>IF('kWh_Streetlight Data'!W99=0,"",'kWh_Streetlight Data'!W99)</f>
        <v/>
      </c>
      <c r="W69" s="108" t="str">
        <f>IF('kWh_Streetlight Data'!X99=0,"",'kWh_Streetlight Data'!X99)</f>
        <v/>
      </c>
      <c r="X69" s="108" t="str">
        <f>IF('kWh_Streetlight Data'!Y99=0,"",'kWh_Streetlight Data'!Y99)</f>
        <v/>
      </c>
      <c r="Y69" s="108" t="str">
        <f>IF('kWh_Streetlight Data'!Z99=0,"",'kWh_Streetlight Data'!Z99)</f>
        <v/>
      </c>
      <c r="Z69" s="108" t="str">
        <f>IF('kWh_Streetlight Data'!AA99=0,"",'kWh_Streetlight Data'!AA99)</f>
        <v/>
      </c>
      <c r="AA69" s="424" t="str">
        <f>IF('kWh_Streetlight Data'!AB99=0,"",'kWh_Streetlight Data'!AB99)</f>
        <v/>
      </c>
      <c r="AB69" s="84" t="str">
        <f>IF('kWh_Streetlight Data'!AC99=0,"",'kWh_Streetlight Data'!AC99)</f>
        <v/>
      </c>
      <c r="AC69" s="108" t="str">
        <f>IF('kWh_Streetlight Data'!AD99=0,"",'kWh_Streetlight Data'!AD99)</f>
        <v/>
      </c>
      <c r="AD69" s="108" t="str">
        <f>IF('kWh_Streetlight Data'!AE99=0,"",'kWh_Streetlight Data'!AE99)</f>
        <v/>
      </c>
      <c r="AE69" s="108" t="str">
        <f>IF('kWh_Streetlight Data'!AF99=0,"",'kWh_Streetlight Data'!AF99)</f>
        <v/>
      </c>
      <c r="AF69" s="108" t="str">
        <f>IF('kWh_Streetlight Data'!AG99=0,"",'kWh_Streetlight Data'!AG99)</f>
        <v/>
      </c>
      <c r="AG69" s="108" t="str">
        <f>IF('kWh_Streetlight Data'!AH99=0,"",'kWh_Streetlight Data'!AH99)</f>
        <v/>
      </c>
      <c r="AH69" s="130" t="str">
        <f>IF('kWh_Streetlight Data'!AI99=0,"",'kWh_Streetlight Data'!AI99)</f>
        <v/>
      </c>
      <c r="AI69" s="130" t="str">
        <f>IF('kWh_Streetlight Data'!AJ99=0,"",'kWh_Streetlight Data'!AJ99)</f>
        <v/>
      </c>
      <c r="AJ69" s="130" t="str">
        <f>IF('kWh_Streetlight Data'!AK99=0,"",'kWh_Streetlight Data'!AK99)</f>
        <v/>
      </c>
      <c r="AK69" s="130" t="str">
        <f>IF('kWh_Streetlight Data'!AL99=0,"",'kWh_Streetlight Data'!AL99)</f>
        <v/>
      </c>
      <c r="AL69" s="130" t="str">
        <f>IF('kWh_Streetlight Data'!AM99=0,"",'kWh_Streetlight Data'!AM99)</f>
        <v/>
      </c>
      <c r="AM69" s="130" t="str">
        <f>IF('kWh_Streetlight Data'!AN99=0,"",'kWh_Streetlight Data'!AN99)</f>
        <v/>
      </c>
      <c r="AN69" s="424" t="str">
        <f>IF('kWh_Streetlight Data'!AO99=0,"",'kWh_Streetlight Data'!AO99)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124">
        <f>Customers!E127</f>
        <v>12</v>
      </c>
      <c r="AV75" s="124">
        <f>Customers!F127</f>
        <v>12</v>
      </c>
      <c r="AW75" s="124">
        <f>Customers!G127</f>
        <v>22</v>
      </c>
      <c r="AX75" s="124">
        <f>Customers!H127</f>
        <v>22</v>
      </c>
      <c r="AY75" s="124">
        <f>Customers!I127</f>
        <v>22</v>
      </c>
      <c r="AZ75" s="124">
        <f>Customers!J127</f>
        <v>22</v>
      </c>
      <c r="BA75" s="210">
        <f>AZ75</f>
        <v>22</v>
      </c>
      <c r="BB75" s="124">
        <v>22</v>
      </c>
      <c r="BC75" s="38">
        <v>22</v>
      </c>
      <c r="BD75" s="38">
        <v>22</v>
      </c>
      <c r="BE75" s="38">
        <v>22</v>
      </c>
      <c r="BF75" s="38">
        <f t="shared" ref="BF75:BM75" si="16">BE75</f>
        <v>22</v>
      </c>
      <c r="BG75" s="38">
        <f t="shared" si="16"/>
        <v>22</v>
      </c>
      <c r="BH75" s="38">
        <f t="shared" si="16"/>
        <v>22</v>
      </c>
      <c r="BI75" s="38">
        <f t="shared" si="16"/>
        <v>22</v>
      </c>
      <c r="BJ75" s="38">
        <f t="shared" si="16"/>
        <v>22</v>
      </c>
      <c r="BK75" s="38">
        <f t="shared" si="16"/>
        <v>22</v>
      </c>
      <c r="BL75" s="38">
        <f t="shared" si="16"/>
        <v>22</v>
      </c>
      <c r="BM75" s="38">
        <f t="shared" si="16"/>
        <v>22</v>
      </c>
      <c r="BN75" s="210">
        <f>IFERROR(ROUND(AVERAGE(BB75:BM75),0),0)</f>
        <v>22</v>
      </c>
      <c r="BO75" s="143">
        <v>0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17">IF(AU78&gt;(AU75*250),AU75*250,AU78)</f>
        <v>3000</v>
      </c>
      <c r="AV76" s="38">
        <f t="shared" si="17"/>
        <v>3000</v>
      </c>
      <c r="AW76" s="38">
        <f t="shared" si="17"/>
        <v>5500</v>
      </c>
      <c r="AX76" s="38">
        <f t="shared" si="17"/>
        <v>5500</v>
      </c>
      <c r="AY76" s="38">
        <f t="shared" si="17"/>
        <v>5500</v>
      </c>
      <c r="AZ76" s="38">
        <f t="shared" si="17"/>
        <v>5500</v>
      </c>
      <c r="BA76" s="210">
        <f>SUM(AO76:AZ76)</f>
        <v>28000</v>
      </c>
      <c r="BB76" s="38">
        <v>5500</v>
      </c>
      <c r="BC76" s="38">
        <v>5500</v>
      </c>
      <c r="BD76" s="38">
        <v>5500</v>
      </c>
      <c r="BE76" s="38">
        <v>5500</v>
      </c>
      <c r="BF76" s="38">
        <f t="shared" ref="BF76:BM76" si="18">IF(BF78&gt;(BF75*250),BF75*250,BF78)</f>
        <v>5500</v>
      </c>
      <c r="BG76" s="38">
        <f t="shared" si="18"/>
        <v>5500</v>
      </c>
      <c r="BH76" s="38">
        <f t="shared" si="18"/>
        <v>5500</v>
      </c>
      <c r="BI76" s="38">
        <f t="shared" si="18"/>
        <v>5500</v>
      </c>
      <c r="BJ76" s="38">
        <f t="shared" si="18"/>
        <v>5500</v>
      </c>
      <c r="BK76" s="38">
        <f t="shared" si="18"/>
        <v>5500</v>
      </c>
      <c r="BL76" s="38">
        <f t="shared" si="18"/>
        <v>5500</v>
      </c>
      <c r="BM76" s="38">
        <f t="shared" si="18"/>
        <v>5500</v>
      </c>
      <c r="BN76" s="210">
        <f>SUM(BB76:BM76)</f>
        <v>66000</v>
      </c>
      <c r="BO76" s="143">
        <f>IF(BO78&gt;(BM75*250),BM75*250,BO78)</f>
        <v>5500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19">ROUND(AU78-AU76,0)</f>
        <v>7102</v>
      </c>
      <c r="AV77" s="38">
        <f t="shared" si="19"/>
        <v>5746</v>
      </c>
      <c r="AW77" s="38">
        <f t="shared" si="19"/>
        <v>14816</v>
      </c>
      <c r="AX77" s="38">
        <f t="shared" si="19"/>
        <v>23278</v>
      </c>
      <c r="AY77" s="38">
        <f t="shared" si="19"/>
        <v>31705</v>
      </c>
      <c r="AZ77" s="38">
        <f t="shared" si="19"/>
        <v>39266</v>
      </c>
      <c r="BA77" s="210">
        <f>SUM(AO77:AZ77)</f>
        <v>121913</v>
      </c>
      <c r="BB77" s="38">
        <v>50581</v>
      </c>
      <c r="BC77" s="38">
        <v>47163</v>
      </c>
      <c r="BD77" s="38">
        <v>41073</v>
      </c>
      <c r="BE77" s="38">
        <v>33564</v>
      </c>
      <c r="BF77" s="38">
        <f t="shared" ref="BF77:BM77" si="20">ROUND(BF78-BF76,0)</f>
        <v>27124</v>
      </c>
      <c r="BG77" s="38">
        <f t="shared" si="20"/>
        <v>22320</v>
      </c>
      <c r="BH77" s="38">
        <f t="shared" si="20"/>
        <v>13021</v>
      </c>
      <c r="BI77" s="38">
        <f t="shared" si="20"/>
        <v>10534</v>
      </c>
      <c r="BJ77" s="38">
        <f t="shared" si="20"/>
        <v>14816</v>
      </c>
      <c r="BK77" s="38">
        <f t="shared" si="20"/>
        <v>23278</v>
      </c>
      <c r="BL77" s="38">
        <f t="shared" si="20"/>
        <v>31705</v>
      </c>
      <c r="BM77" s="38">
        <f t="shared" si="20"/>
        <v>39266</v>
      </c>
      <c r="BN77" s="210">
        <f>SUM(BB77:BM77)</f>
        <v>354445</v>
      </c>
      <c r="BO77" s="156">
        <f t="shared" ref="BO77" si="21">ROUND(BO78-BO76,0)</f>
        <v>204722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22">IFERROR(ROUND(AU79*AU75,0),0)</f>
        <v>10102</v>
      </c>
      <c r="AV78" s="64">
        <f t="shared" si="22"/>
        <v>8746</v>
      </c>
      <c r="AW78" s="64">
        <f t="shared" si="22"/>
        <v>20316</v>
      </c>
      <c r="AX78" s="64">
        <f t="shared" si="22"/>
        <v>28778</v>
      </c>
      <c r="AY78" s="64">
        <f t="shared" si="22"/>
        <v>37205</v>
      </c>
      <c r="AZ78" s="64">
        <f t="shared" si="22"/>
        <v>44766</v>
      </c>
      <c r="BA78" s="196">
        <f>SUM(AO78:AZ78)</f>
        <v>149913</v>
      </c>
      <c r="BB78" s="64">
        <v>56081</v>
      </c>
      <c r="BC78" s="64">
        <v>52663</v>
      </c>
      <c r="BD78" s="64">
        <v>46573</v>
      </c>
      <c r="BE78" s="64">
        <v>39064</v>
      </c>
      <c r="BF78" s="64">
        <f t="shared" ref="BF78:BM78" si="23">IFERROR(ROUND(BF79*BF75,0),0)</f>
        <v>32624</v>
      </c>
      <c r="BG78" s="64">
        <f t="shared" si="23"/>
        <v>27820</v>
      </c>
      <c r="BH78" s="64">
        <f t="shared" si="23"/>
        <v>18521</v>
      </c>
      <c r="BI78" s="64">
        <f t="shared" si="23"/>
        <v>16034</v>
      </c>
      <c r="BJ78" s="64">
        <f t="shared" si="23"/>
        <v>20316</v>
      </c>
      <c r="BK78" s="64">
        <f t="shared" si="23"/>
        <v>28778</v>
      </c>
      <c r="BL78" s="64">
        <f t="shared" si="23"/>
        <v>37205</v>
      </c>
      <c r="BM78" s="64">
        <f t="shared" si="23"/>
        <v>44766</v>
      </c>
      <c r="BN78" s="196">
        <f>SUM(BB78:BM78)</f>
        <v>420445</v>
      </c>
      <c r="BO78" s="144">
        <f>BU91</f>
        <v>210222</v>
      </c>
    </row>
    <row r="79" spans="1:67" ht="15.75" customHeight="1" thickTop="1">
      <c r="A79" s="374" t="s">
        <v>54</v>
      </c>
      <c r="B79" s="84">
        <f>IF('kWh_Streetlight Data'!C100=0,"",'kWh_Streetlight Data'!C100)</f>
        <v>2507.4166666666665</v>
      </c>
      <c r="C79" s="108">
        <f>IF('kWh_Streetlight Data'!D100=0,"",'kWh_Streetlight Data'!D100)</f>
        <v>2369</v>
      </c>
      <c r="D79" s="108">
        <f>IF('kWh_Streetlight Data'!E100=0,"",'kWh_Streetlight Data'!E100)</f>
        <v>2101.4166666666665</v>
      </c>
      <c r="E79" s="108">
        <f>IF('kWh_Streetlight Data'!F100=0,"",'kWh_Streetlight Data'!F100)</f>
        <v>1870.4166666666667</v>
      </c>
      <c r="F79" s="108">
        <f>IF('kWh_Streetlight Data'!G100=0,"",'kWh_Streetlight Data'!G100)</f>
        <v>1502.0833333333333</v>
      </c>
      <c r="G79" s="108">
        <f>IF('kWh_Streetlight Data'!H100=0,"",'kWh_Streetlight Data'!H100)</f>
        <v>1098.9166666666667</v>
      </c>
      <c r="H79" s="108">
        <f>IF('kWh_Streetlight Data'!I100=0,"",'kWh_Streetlight Data'!I100)</f>
        <v>715.41666666666663</v>
      </c>
      <c r="I79" s="108">
        <f>IF('kWh_Streetlight Data'!J100=0,"",'kWh_Streetlight Data'!J100)</f>
        <v>573.16666666666663</v>
      </c>
      <c r="J79" s="108">
        <f>IF('kWh_Streetlight Data'!K100=0,"",'kWh_Streetlight Data'!K100)</f>
        <v>883.91666666666663</v>
      </c>
      <c r="K79" s="108">
        <f>IF('kWh_Streetlight Data'!L100=0,"",'kWh_Streetlight Data'!L100)</f>
        <v>1303.5833333333333</v>
      </c>
      <c r="L79" s="108">
        <f>IF('kWh_Streetlight Data'!M100=0,"",'kWh_Streetlight Data'!M100)</f>
        <v>1484.9166666666667</v>
      </c>
      <c r="M79" s="108">
        <f>IF('kWh_Streetlight Data'!N100=0,"",'kWh_Streetlight Data'!N100)</f>
        <v>2332.0833333333335</v>
      </c>
      <c r="N79" s="424">
        <f>IF('kWh_Streetlight Data'!O100=0,"",'kWh_Streetlight Data'!O100)</f>
        <v>1561.8611111111111</v>
      </c>
      <c r="O79" s="84">
        <f>IF('kWh_Streetlight Data'!P100=0,"",'kWh_Streetlight Data'!P100)</f>
        <v>2478.0833333333335</v>
      </c>
      <c r="P79" s="108">
        <f>IF('kWh_Streetlight Data'!Q100=0,"",'kWh_Streetlight Data'!Q100)</f>
        <v>2677.4166666666665</v>
      </c>
      <c r="Q79" s="108">
        <f>IF('kWh_Streetlight Data'!R100=0,"",'kWh_Streetlight Data'!R100)</f>
        <v>1920.75</v>
      </c>
      <c r="R79" s="108">
        <f>IF('kWh_Streetlight Data'!S100=0,"",'kWh_Streetlight Data'!S100)</f>
        <v>1692.1666666666667</v>
      </c>
      <c r="S79" s="108">
        <f>IF('kWh_Streetlight Data'!T100=0,"",'kWh_Streetlight Data'!T100)</f>
        <v>1382.9166666666667</v>
      </c>
      <c r="T79" s="108">
        <f>IF('kWh_Streetlight Data'!U100=0,"",'kWh_Streetlight Data'!U100)</f>
        <v>1345.8333333333333</v>
      </c>
      <c r="U79" s="108">
        <f>IF('kWh_Streetlight Data'!V100=0,"",'kWh_Streetlight Data'!V100)</f>
        <v>710.83333333333337</v>
      </c>
      <c r="V79" s="108">
        <f>IF('kWh_Streetlight Data'!W100=0,"",'kWh_Streetlight Data'!W100)</f>
        <v>624.5</v>
      </c>
      <c r="W79" s="108">
        <f>IF('kWh_Streetlight Data'!X100=0,"",'kWh_Streetlight Data'!X100)</f>
        <v>839</v>
      </c>
      <c r="X79" s="108">
        <f>IF('kWh_Streetlight Data'!Y100=0,"",'kWh_Streetlight Data'!Y100)</f>
        <v>1350.090909090909</v>
      </c>
      <c r="Y79" s="108">
        <f>IF('kWh_Streetlight Data'!Z100=0,"",'kWh_Streetlight Data'!Z100)</f>
        <v>1796.5454545454545</v>
      </c>
      <c r="Z79" s="108">
        <f>IF('kWh_Streetlight Data'!AA100=0,"",'kWh_Streetlight Data'!AA100)</f>
        <v>1845.1818181818182</v>
      </c>
      <c r="AA79" s="424">
        <f>IF('kWh_Streetlight Data'!AB100=0,"",'kWh_Streetlight Data'!AB100)</f>
        <v>1558.0642857142857</v>
      </c>
      <c r="AB79" s="129">
        <f>IF('kWh_Streetlight Data'!AC100=0,"",'kWh_Streetlight Data'!AC100)</f>
        <v>2661.9166666666665</v>
      </c>
      <c r="AC79" s="130">
        <f>IF('kWh_Streetlight Data'!AD100=0,"",'kWh_Streetlight Data'!AD100)</f>
        <v>2134.8333333333335</v>
      </c>
      <c r="AD79" s="130">
        <f>IF('kWh_Streetlight Data'!AE100=0,"",'kWh_Streetlight Data'!AE100)</f>
        <v>2328.6666666666665</v>
      </c>
      <c r="AE79" s="130">
        <f>IF('kWh_Streetlight Data'!AF100=0,"",'kWh_Streetlight Data'!AF100)</f>
        <v>1764.3333333333333</v>
      </c>
      <c r="AF79" s="130">
        <f>IF('kWh_Streetlight Data'!AG100=0,"",'kWh_Streetlight Data'!AG100)</f>
        <v>1563.75</v>
      </c>
      <c r="AG79" s="130">
        <f>IF('kWh_Streetlight Data'!AH100=0,"",'kWh_Streetlight Data'!AH100)</f>
        <v>1348.9166666666667</v>
      </c>
      <c r="AH79" s="130">
        <f>IF('kWh_Streetlight Data'!AI100=0,"",'kWh_Streetlight Data'!AI100)</f>
        <v>1099.3333333333333</v>
      </c>
      <c r="AI79" s="130">
        <f>IF('kWh_Streetlight Data'!AJ100=0,"",'kWh_Streetlight Data'!AJ100)</f>
        <v>988.75</v>
      </c>
      <c r="AJ79" s="130">
        <f>IF('kWh_Streetlight Data'!AK100=0,"",'kWh_Streetlight Data'!AK100)</f>
        <v>1047.4166666666667</v>
      </c>
      <c r="AK79" s="130">
        <f>IF('kWh_Streetlight Data'!AL100=0,"",'kWh_Streetlight Data'!AL100)</f>
        <v>1270.5833333333333</v>
      </c>
      <c r="AL79" s="130">
        <f>IF('kWh_Streetlight Data'!AM100=0,"",'kWh_Streetlight Data'!AM100)</f>
        <v>1791.9166666666667</v>
      </c>
      <c r="AM79" s="130">
        <f>IF('kWh_Streetlight Data'!AN100=0,"",'kWh_Streetlight Data'!AN100)</f>
        <v>1927.1666666666667</v>
      </c>
      <c r="AN79" s="424">
        <f>IF('kWh_Streetlight Data'!AO100=0,"",'kWh_Streetlight Data'!AO100)</f>
        <v>1660.6319444444443</v>
      </c>
      <c r="AO79" s="34"/>
      <c r="AP79" s="35"/>
      <c r="AQ79" s="35"/>
      <c r="AR79" s="35"/>
      <c r="AS79" s="35"/>
      <c r="AT79" s="9"/>
      <c r="AU79" s="9">
        <f t="shared" ref="AU79:AZ79" si="24">IFERROR(AVERAGE(AH79,U79,H79),0)</f>
        <v>841.86111111111097</v>
      </c>
      <c r="AV79" s="9">
        <f t="shared" si="24"/>
        <v>728.80555555555554</v>
      </c>
      <c r="AW79" s="9">
        <f t="shared" si="24"/>
        <v>923.44444444444446</v>
      </c>
      <c r="AX79" s="9">
        <f t="shared" si="24"/>
        <v>1308.0858585858584</v>
      </c>
      <c r="AY79" s="9">
        <f t="shared" si="24"/>
        <v>1691.1262626262626</v>
      </c>
      <c r="AZ79" s="9">
        <f t="shared" si="24"/>
        <v>2034.810606060606</v>
      </c>
      <c r="BA79" s="211"/>
      <c r="BB79" s="9">
        <v>2549.1388888888887</v>
      </c>
      <c r="BC79" s="17">
        <v>2393.75</v>
      </c>
      <c r="BD79" s="17">
        <v>2116.9444444444443</v>
      </c>
      <c r="BE79" s="17">
        <v>1775.6388888888889</v>
      </c>
      <c r="BF79" s="17">
        <f t="shared" ref="BF79:BM79" si="25">IFERROR(AVERAGE(F79,S79,AF79),0)</f>
        <v>1482.9166666666667</v>
      </c>
      <c r="BG79" s="17">
        <f t="shared" si="25"/>
        <v>1264.5555555555557</v>
      </c>
      <c r="BH79" s="17">
        <f t="shared" si="25"/>
        <v>841.86111111111097</v>
      </c>
      <c r="BI79" s="17">
        <f t="shared" si="25"/>
        <v>728.80555555555554</v>
      </c>
      <c r="BJ79" s="17">
        <f t="shared" si="25"/>
        <v>923.44444444444434</v>
      </c>
      <c r="BK79" s="17">
        <f t="shared" si="25"/>
        <v>1308.0858585858584</v>
      </c>
      <c r="BL79" s="17">
        <f t="shared" si="25"/>
        <v>1691.1262626262626</v>
      </c>
      <c r="BM79" s="9">
        <f t="shared" si="25"/>
        <v>2034.8106060606062</v>
      </c>
      <c r="BN79" s="211">
        <f>IFERROR(BN78/SUM(BB75:BM75)*12,0)</f>
        <v>19111.136363636364</v>
      </c>
      <c r="BO79" s="20">
        <v>0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Data'!C101=0,"",'kWh_Streetlight Data'!C101)</f>
        <v/>
      </c>
      <c r="C83" s="108" t="str">
        <f>IF('kWh_Streetlight Data'!D101=0,"",'kWh_Streetlight Data'!D101)</f>
        <v/>
      </c>
      <c r="D83" s="108" t="str">
        <f>IF('kWh_Streetlight Data'!E101=0,"",'kWh_Streetlight Data'!E101)</f>
        <v/>
      </c>
      <c r="E83" s="108" t="str">
        <f>IF('kWh_Streetlight Data'!F101=0,"",'kWh_Streetlight Data'!F101)</f>
        <v/>
      </c>
      <c r="F83" s="108" t="str">
        <f>IF('kWh_Streetlight Data'!G101=0,"",'kWh_Streetlight Data'!G101)</f>
        <v/>
      </c>
      <c r="G83" s="108" t="str">
        <f>IF('kWh_Streetlight Data'!H101=0,"",'kWh_Streetlight Data'!H101)</f>
        <v/>
      </c>
      <c r="H83" s="108" t="str">
        <f>IF('kWh_Streetlight Data'!I101=0,"",'kWh_Streetlight Data'!I101)</f>
        <v/>
      </c>
      <c r="I83" s="108" t="str">
        <f>IF('kWh_Streetlight Data'!J101=0,"",'kWh_Streetlight Data'!J101)</f>
        <v/>
      </c>
      <c r="J83" s="108" t="str">
        <f>IF('kWh_Streetlight Data'!K101=0,"",'kWh_Streetlight Data'!K101)</f>
        <v/>
      </c>
      <c r="K83" s="108" t="str">
        <f>IF('kWh_Streetlight Data'!L101=0,"",'kWh_Streetlight Data'!L101)</f>
        <v/>
      </c>
      <c r="L83" s="108" t="str">
        <f>IF('kWh_Streetlight Data'!M101=0,"",'kWh_Streetlight Data'!M101)</f>
        <v/>
      </c>
      <c r="M83" s="108" t="str">
        <f>IF('kWh_Streetlight Data'!N101=0,"",'kWh_Streetlight Data'!N101)</f>
        <v/>
      </c>
      <c r="N83" s="424" t="str">
        <f>IF('kWh_Streetlight Data'!O101=0,"",'kWh_Streetlight Data'!O101)</f>
        <v/>
      </c>
      <c r="O83" s="84" t="str">
        <f>IF('kWh_Streetlight Data'!P101=0,"",'kWh_Streetlight Data'!P101)</f>
        <v/>
      </c>
      <c r="P83" s="108" t="str">
        <f>IF('kWh_Streetlight Data'!Q101=0,"",'kWh_Streetlight Data'!Q101)</f>
        <v/>
      </c>
      <c r="Q83" s="108" t="str">
        <f>IF('kWh_Streetlight Data'!R101=0,"",'kWh_Streetlight Data'!R101)</f>
        <v/>
      </c>
      <c r="R83" s="108" t="str">
        <f>IF('kWh_Streetlight Data'!S101=0,"",'kWh_Streetlight Data'!S101)</f>
        <v/>
      </c>
      <c r="S83" s="108" t="str">
        <f>IF('kWh_Streetlight Data'!T101=0,"",'kWh_Streetlight Data'!T101)</f>
        <v/>
      </c>
      <c r="T83" s="108" t="str">
        <f>IF('kWh_Streetlight Data'!U101=0,"",'kWh_Streetlight Data'!U101)</f>
        <v/>
      </c>
      <c r="U83" s="108" t="str">
        <f>IF('kWh_Streetlight Data'!V101=0,"",'kWh_Streetlight Data'!V101)</f>
        <v/>
      </c>
      <c r="V83" s="108" t="str">
        <f>IF('kWh_Streetlight Data'!W101=0,"",'kWh_Streetlight Data'!W101)</f>
        <v/>
      </c>
      <c r="W83" s="108" t="str">
        <f>IF('kWh_Streetlight Data'!X101=0,"",'kWh_Streetlight Data'!X101)</f>
        <v/>
      </c>
      <c r="X83" s="108" t="str">
        <f>IF('kWh_Streetlight Data'!Y101=0,"",'kWh_Streetlight Data'!Y101)</f>
        <v/>
      </c>
      <c r="Y83" s="108" t="str">
        <f>IF('kWh_Streetlight Data'!Z101=0,"",'kWh_Streetlight Data'!Z101)</f>
        <v/>
      </c>
      <c r="Z83" s="108" t="str">
        <f>IF('kWh_Streetlight Data'!AA101=0,"",'kWh_Streetlight Data'!AA101)</f>
        <v/>
      </c>
      <c r="AA83" s="424" t="str">
        <f>IF('kWh_Streetlight Data'!AB101=0,"",'kWh_Streetlight Data'!AB101)</f>
        <v/>
      </c>
      <c r="AB83" s="442" t="str">
        <f>IF('kWh_Streetlight Data'!AC101=0,"",'kWh_Streetlight Data'!AC101)</f>
        <v/>
      </c>
      <c r="AC83" s="443" t="str">
        <f>IF('kWh_Streetlight Data'!AD101=0,"",'kWh_Streetlight Data'!AD101)</f>
        <v/>
      </c>
      <c r="AD83" s="443" t="str">
        <f>IF('kWh_Streetlight Data'!AE101=0,"",'kWh_Streetlight Data'!AE101)</f>
        <v/>
      </c>
      <c r="AE83" s="443" t="str">
        <f>IF('kWh_Streetlight Data'!AF101=0,"",'kWh_Streetlight Data'!AF101)</f>
        <v/>
      </c>
      <c r="AF83" s="443" t="str">
        <f>IF('kWh_Streetlight Data'!AG101=0,"",'kWh_Streetlight Data'!AG101)</f>
        <v/>
      </c>
      <c r="AG83" s="443" t="str">
        <f>IF('kWh_Streetlight Data'!AH101=0,"",'kWh_Streetlight Data'!AH101)</f>
        <v/>
      </c>
      <c r="AH83" s="108" t="str">
        <f>IF('kWh_Streetlight Data'!AI101=0,"",'kWh_Streetlight Data'!AI101)</f>
        <v/>
      </c>
      <c r="AI83" s="108" t="str">
        <f>IF('kWh_Streetlight Data'!AJ101=0,"",'kWh_Streetlight Data'!AJ101)</f>
        <v/>
      </c>
      <c r="AJ83" s="108" t="str">
        <f>IF('kWh_Streetlight Data'!AK101=0,"",'kWh_Streetlight Data'!AK101)</f>
        <v/>
      </c>
      <c r="AK83" s="108" t="str">
        <f>IF('kWh_Streetlight Data'!AL101=0,"",'kWh_Streetlight Data'!AL101)</f>
        <v/>
      </c>
      <c r="AL83" s="108" t="str">
        <f>IF('kWh_Streetlight Data'!AM101=0,"",'kWh_Streetlight Data'!AM101)</f>
        <v/>
      </c>
      <c r="AM83" s="108" t="str">
        <f>IF('kWh_Streetlight Data'!AN101=0,"",'kWh_Streetlight Data'!AN101)</f>
        <v/>
      </c>
      <c r="AN83" s="424" t="str">
        <f>IF('kWh_Streetlight Data'!AO101=0,"",'kWh_Streetlight Data'!AO101)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124">
        <f>Customers!E128</f>
        <v>17</v>
      </c>
      <c r="AV86" s="124">
        <f>Customers!F128</f>
        <v>17</v>
      </c>
      <c r="AW86" s="124">
        <f>Customers!G128</f>
        <v>17</v>
      </c>
      <c r="AX86" s="124">
        <f>Customers!H128</f>
        <v>17</v>
      </c>
      <c r="AY86" s="124">
        <f>Customers!I128</f>
        <v>17</v>
      </c>
      <c r="AZ86" s="124">
        <f>Customers!J128</f>
        <v>17</v>
      </c>
      <c r="BA86" s="210">
        <f>AZ86</f>
        <v>17</v>
      </c>
      <c r="BB86" s="124">
        <v>17</v>
      </c>
      <c r="BC86" s="38">
        <v>17</v>
      </c>
      <c r="BD86" s="38">
        <v>17</v>
      </c>
      <c r="BE86" s="38">
        <v>17</v>
      </c>
      <c r="BF86" s="38">
        <f t="shared" ref="BF86:BM86" si="26">BE86</f>
        <v>17</v>
      </c>
      <c r="BG86" s="38">
        <f t="shared" si="26"/>
        <v>17</v>
      </c>
      <c r="BH86" s="38">
        <f t="shared" si="26"/>
        <v>17</v>
      </c>
      <c r="BI86" s="38">
        <f t="shared" si="26"/>
        <v>17</v>
      </c>
      <c r="BJ86" s="38">
        <f t="shared" si="26"/>
        <v>17</v>
      </c>
      <c r="BK86" s="38">
        <f t="shared" si="26"/>
        <v>17</v>
      </c>
      <c r="BL86" s="38">
        <f t="shared" si="26"/>
        <v>17</v>
      </c>
      <c r="BM86" s="38">
        <f t="shared" si="26"/>
        <v>17</v>
      </c>
      <c r="BN86" s="210">
        <f>IFERROR(ROUND(AVERAGE(BB86:BM86),0),0)</f>
        <v>17</v>
      </c>
      <c r="BO86" s="143">
        <v>0</v>
      </c>
      <c r="BT86" s="229" t="s">
        <v>225</v>
      </c>
      <c r="BU86" s="229" t="s">
        <v>226</v>
      </c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96"/>
      <c r="AO87" s="151"/>
      <c r="AP87" s="152"/>
      <c r="AQ87" s="152"/>
      <c r="AR87" s="152"/>
      <c r="AS87" s="152"/>
      <c r="AT87" s="160"/>
      <c r="AU87" s="160">
        <f t="shared" ref="AU87:AZ87" si="27">IFERROR(ROUND(AU88*AU86,0),0)</f>
        <v>54398</v>
      </c>
      <c r="AV87" s="160">
        <f t="shared" si="27"/>
        <v>49165</v>
      </c>
      <c r="AW87" s="160">
        <f t="shared" si="27"/>
        <v>53850</v>
      </c>
      <c r="AX87" s="160">
        <f t="shared" si="27"/>
        <v>55005</v>
      </c>
      <c r="AY87" s="160">
        <f t="shared" si="27"/>
        <v>62417</v>
      </c>
      <c r="AZ87" s="160">
        <f t="shared" si="27"/>
        <v>74149</v>
      </c>
      <c r="BA87" s="196">
        <f>SUM(AO87:AZ87)</f>
        <v>348984</v>
      </c>
      <c r="BB87" s="160">
        <v>78680</v>
      </c>
      <c r="BC87" s="160">
        <v>75020</v>
      </c>
      <c r="BD87" s="160">
        <v>70088</v>
      </c>
      <c r="BE87" s="160">
        <v>60989</v>
      </c>
      <c r="BF87" s="160">
        <f t="shared" ref="BF87:BM87" si="28">IFERROR(ROUND(BF88*BF86,0),0)</f>
        <v>58511</v>
      </c>
      <c r="BG87" s="160">
        <f t="shared" si="28"/>
        <v>62308</v>
      </c>
      <c r="BH87" s="160">
        <f t="shared" si="28"/>
        <v>54398</v>
      </c>
      <c r="BI87" s="160">
        <f t="shared" si="28"/>
        <v>49165</v>
      </c>
      <c r="BJ87" s="160">
        <f t="shared" si="28"/>
        <v>53850</v>
      </c>
      <c r="BK87" s="160">
        <f t="shared" si="28"/>
        <v>55005</v>
      </c>
      <c r="BL87" s="160">
        <f t="shared" si="28"/>
        <v>62417</v>
      </c>
      <c r="BM87" s="160">
        <f t="shared" si="28"/>
        <v>74149</v>
      </c>
      <c r="BN87" s="196">
        <f>SUM(BB87:BM87)</f>
        <v>754580</v>
      </c>
      <c r="BO87" s="144">
        <f>BT91</f>
        <v>507446</v>
      </c>
      <c r="BS87" t="s">
        <v>230</v>
      </c>
      <c r="BT87" s="231">
        <f>BN87</f>
        <v>754580</v>
      </c>
      <c r="BU87" s="231">
        <f>BN78</f>
        <v>420445</v>
      </c>
    </row>
    <row r="88" spans="1:73" ht="15.75" customHeight="1" thickTop="1">
      <c r="A88" s="374" t="s">
        <v>54</v>
      </c>
      <c r="B88" s="84">
        <f>IF('kWh_Streetlight Data'!C102=0,"",'kWh_Streetlight Data'!C102)</f>
        <v>3420</v>
      </c>
      <c r="C88" s="108">
        <f>IF('kWh_Streetlight Data'!D102=0,"",'kWh_Streetlight Data'!D102)</f>
        <v>3373.2352941176468</v>
      </c>
      <c r="D88" s="108">
        <f>IF('kWh_Streetlight Data'!E102=0,"",'kWh_Streetlight Data'!E102)</f>
        <v>3460.4117647058824</v>
      </c>
      <c r="E88" s="108">
        <f>IF('kWh_Streetlight Data'!F102=0,"",'kWh_Streetlight Data'!F102)</f>
        <v>3225.705882352941</v>
      </c>
      <c r="F88" s="108">
        <f>IF('kWh_Streetlight Data'!G102=0,"",'kWh_Streetlight Data'!G102)</f>
        <v>3066.5882352941176</v>
      </c>
      <c r="G88" s="108">
        <f>IF('kWh_Streetlight Data'!H102=0,"",'kWh_Streetlight Data'!H102)</f>
        <v>2955</v>
      </c>
      <c r="H88" s="108">
        <f>IF('kWh_Streetlight Data'!I102=0,"",'kWh_Streetlight Data'!I102)</f>
        <v>2525</v>
      </c>
      <c r="I88" s="108">
        <f>IF('kWh_Streetlight Data'!J102=0,"",'kWh_Streetlight Data'!J102)</f>
        <v>1327.6818181818182</v>
      </c>
      <c r="J88" s="108">
        <f>IF('kWh_Streetlight Data'!K102=0,"",'kWh_Streetlight Data'!K102)</f>
        <v>3354.0588235294117</v>
      </c>
      <c r="K88" s="108">
        <f>IF('kWh_Streetlight Data'!L102=0,"",'kWh_Streetlight Data'!L102)</f>
        <v>710.41176470588232</v>
      </c>
      <c r="L88" s="108">
        <f>IF('kWh_Streetlight Data'!M102=0,"",'kWh_Streetlight Data'!M102)</f>
        <v>2459.625</v>
      </c>
      <c r="M88" s="108">
        <f>IF('kWh_Streetlight Data'!N102=0,"",'kWh_Streetlight Data'!N102)</f>
        <v>4957.3500000000004</v>
      </c>
      <c r="N88" s="424">
        <f>IF('kWh_Streetlight Data'!O102=0,"",'kWh_Streetlight Data'!O102)</f>
        <v>2896.9052132701422</v>
      </c>
      <c r="O88" s="84">
        <f>IF('kWh_Streetlight Data'!P102=0,"",'kWh_Streetlight Data'!P102)</f>
        <v>4797.8888888888887</v>
      </c>
      <c r="P88" s="108">
        <f>IF('kWh_Streetlight Data'!Q102=0,"",'kWh_Streetlight Data'!Q102)</f>
        <v>5306.8888888888887</v>
      </c>
      <c r="Q88" s="108">
        <f>IF('kWh_Streetlight Data'!R102=0,"",'kWh_Streetlight Data'!R102)</f>
        <v>4053.4444444444443</v>
      </c>
      <c r="R88" s="108">
        <f>IF('kWh_Streetlight Data'!S102=0,"",'kWh_Streetlight Data'!S102)</f>
        <v>3819.4705882352941</v>
      </c>
      <c r="S88" s="108">
        <f>IF('kWh_Streetlight Data'!T102=0,"",'kWh_Streetlight Data'!T102)</f>
        <v>3890.1176470588234</v>
      </c>
      <c r="T88" s="108">
        <f>IF('kWh_Streetlight Data'!U102=0,"",'kWh_Streetlight Data'!U102)</f>
        <v>4141.8823529411766</v>
      </c>
      <c r="U88" s="108">
        <f>IF('kWh_Streetlight Data'!V102=0,"",'kWh_Streetlight Data'!V102)</f>
        <v>3102.0588235294117</v>
      </c>
      <c r="V88" s="108">
        <f>IF('kWh_Streetlight Data'!W102=0,"",'kWh_Streetlight Data'!W102)</f>
        <v>3494.5882352941176</v>
      </c>
      <c r="W88" s="108">
        <f>IF('kWh_Streetlight Data'!X102=0,"",'kWh_Streetlight Data'!X102)</f>
        <v>2526.5</v>
      </c>
      <c r="X88" s="108">
        <f>IF('kWh_Streetlight Data'!Y102=0,"",'kWh_Streetlight Data'!Y102)</f>
        <v>5148</v>
      </c>
      <c r="Y88" s="108">
        <f>IF('kWh_Streetlight Data'!Z102=0,"",'kWh_Streetlight Data'!Z102)</f>
        <v>4238</v>
      </c>
      <c r="Z88" s="108">
        <f>IF('kWh_Streetlight Data'!AA102=0,"",'kWh_Streetlight Data'!AA102)</f>
        <v>4164.8235294117649</v>
      </c>
      <c r="AA88" s="426">
        <f>IF('kWh_Streetlight Data'!AB102=0,"",'kWh_Streetlight Data'!AB102)</f>
        <v>4079.2367149758452</v>
      </c>
      <c r="AB88" s="442">
        <f>IF('kWh_Streetlight Data'!AC102=0,"",'kWh_Streetlight Data'!AC102)</f>
        <v>5666.8235294117649</v>
      </c>
      <c r="AC88" s="443">
        <f>IF('kWh_Streetlight Data'!AD102=0,"",'kWh_Streetlight Data'!AD102)</f>
        <v>4558.7647058823532</v>
      </c>
      <c r="AD88" s="443">
        <f>IF('kWh_Streetlight Data'!AE102=0,"",'kWh_Streetlight Data'!AE102)</f>
        <v>4854.588235294118</v>
      </c>
      <c r="AE88" s="443">
        <f>IF('kWh_Streetlight Data'!AF102=0,"",'kWh_Streetlight Data'!AF102)</f>
        <v>3717.5294117647059</v>
      </c>
      <c r="AF88" s="443">
        <f>IF('kWh_Streetlight Data'!AG102=0,"",'kWh_Streetlight Data'!AG102)</f>
        <v>3368.7647058823532</v>
      </c>
      <c r="AG88" s="443">
        <f>IF('kWh_Streetlight Data'!AH102=0,"",'kWh_Streetlight Data'!AH102)</f>
        <v>3898.5882352941176</v>
      </c>
      <c r="AH88" s="443">
        <f>IF('kWh_Streetlight Data'!AI102=0,"",'kWh_Streetlight Data'!AI102)</f>
        <v>3972.5294117647059</v>
      </c>
      <c r="AI88" s="443">
        <f>IF('kWh_Streetlight Data'!AJ102=0,"",'kWh_Streetlight Data'!AJ102)</f>
        <v>3853.8823529411766</v>
      </c>
      <c r="AJ88" s="443">
        <f>IF('kWh_Streetlight Data'!AK102=0,"",'kWh_Streetlight Data'!AK102)</f>
        <v>3622.3529411764707</v>
      </c>
      <c r="AK88" s="443">
        <f>IF('kWh_Streetlight Data'!AL102=0,"",'kWh_Streetlight Data'!AL102)</f>
        <v>3848.3529411764707</v>
      </c>
      <c r="AL88" s="443">
        <f>IF('kWh_Streetlight Data'!AM102=0,"",'kWh_Streetlight Data'!AM102)</f>
        <v>4317.1764705882351</v>
      </c>
      <c r="AM88" s="443">
        <f>IF('kWh_Streetlight Data'!AN102=0,"",'kWh_Streetlight Data'!AN102)</f>
        <v>3962.8823529411766</v>
      </c>
      <c r="AN88" s="424">
        <f>IF('kWh_Streetlight Data'!AO102=0,"",'kWh_Streetlight Data'!AO102)</f>
        <v>4136.8529411764703</v>
      </c>
      <c r="AO88" s="34"/>
      <c r="AP88" s="35"/>
      <c r="AQ88" s="35"/>
      <c r="AR88" s="35"/>
      <c r="AS88" s="35"/>
      <c r="AT88" s="9"/>
      <c r="AU88" s="9">
        <f t="shared" ref="AU88:AZ88" si="29">IFERROR(AVERAGE(AH88,U88,H88),0)</f>
        <v>3199.8627450980389</v>
      </c>
      <c r="AV88" s="9">
        <f t="shared" si="29"/>
        <v>2892.0508021390374</v>
      </c>
      <c r="AW88" s="9">
        <f t="shared" si="29"/>
        <v>3167.6372549019602</v>
      </c>
      <c r="AX88" s="9">
        <f t="shared" si="29"/>
        <v>3235.5882352941176</v>
      </c>
      <c r="AY88" s="9">
        <f t="shared" si="29"/>
        <v>3671.6004901960782</v>
      </c>
      <c r="AZ88" s="9">
        <f t="shared" si="29"/>
        <v>4361.6852941176476</v>
      </c>
      <c r="BA88" s="211"/>
      <c r="BB88" s="9">
        <v>4628.2374727668839</v>
      </c>
      <c r="BC88" s="41">
        <v>4412.9629629629626</v>
      </c>
      <c r="BD88" s="41">
        <v>4122.8148148148148</v>
      </c>
      <c r="BE88" s="41">
        <v>3587.5686274509803</v>
      </c>
      <c r="BF88" s="41">
        <f t="shared" ref="BF88:BM88" si="30">IFERROR(AVERAGE(F88,S88,AF88),0)</f>
        <v>3441.8235294117644</v>
      </c>
      <c r="BG88" s="41">
        <f t="shared" si="30"/>
        <v>3665.1568627450979</v>
      </c>
      <c r="BH88" s="41">
        <f t="shared" si="30"/>
        <v>3199.8627450980389</v>
      </c>
      <c r="BI88" s="41">
        <f t="shared" si="30"/>
        <v>2892.0508021390378</v>
      </c>
      <c r="BJ88" s="41">
        <f t="shared" si="30"/>
        <v>3167.6372549019611</v>
      </c>
      <c r="BK88" s="41">
        <f t="shared" si="30"/>
        <v>3235.5882352941176</v>
      </c>
      <c r="BL88" s="41">
        <f t="shared" si="30"/>
        <v>3671.6004901960782</v>
      </c>
      <c r="BM88" s="9">
        <f t="shared" si="30"/>
        <v>4361.6852941176467</v>
      </c>
      <c r="BN88" s="211">
        <f>IFERROR(BN87/SUM(BB86:BM86)*12,0)</f>
        <v>44387.058823529413</v>
      </c>
      <c r="BO88" s="20"/>
      <c r="BQ88" s="2"/>
      <c r="BR88" s="2"/>
      <c r="BS88" t="s">
        <v>246</v>
      </c>
      <c r="BT88" s="231">
        <f>Customers!O128</f>
        <v>260312</v>
      </c>
      <c r="BU88" s="231"/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Q89"/>
      <c r="BR89"/>
      <c r="BT89" s="38">
        <f>SUM(BT87:BT88)</f>
        <v>1014892</v>
      </c>
      <c r="BU89" s="38">
        <f>SUM(BU87:BU88)</f>
        <v>420445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T90" s="231">
        <f>ROUND(BT89/12*BR92,0)</f>
        <v>507446</v>
      </c>
      <c r="BU90" s="231">
        <f>ROUND(BU89/12*BR92,0)</f>
        <v>210223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Q91" s="229" t="s">
        <v>222</v>
      </c>
      <c r="BR91" s="3" t="s">
        <v>227</v>
      </c>
      <c r="BT91" s="202">
        <f>BT89-BT90</f>
        <v>507446</v>
      </c>
      <c r="BU91" s="202">
        <f>BU89-BU90</f>
        <v>210222</v>
      </c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>
        <f>Customers!L127+Customers!L128</f>
        <v>40</v>
      </c>
      <c r="BQ92" s="39"/>
      <c r="BR92" s="296">
        <v>6</v>
      </c>
      <c r="BT92" s="202" t="s">
        <v>2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>
        <f>SUM(BB93:BM93)</f>
        <v>0</v>
      </c>
      <c r="BO93" s="147">
        <f>BT90+BU90</f>
        <v>717669</v>
      </c>
    </row>
    <row r="94" spans="1:73" ht="15.75" customHeight="1" thickTop="1">
      <c r="A94" s="374" t="s">
        <v>54</v>
      </c>
      <c r="B94" s="84" t="str">
        <f>IF('kWh_Streetlight Data'!C103=0,"",'kWh_Streetlight Data'!C103)</f>
        <v/>
      </c>
      <c r="C94" s="108" t="str">
        <f>IF('kWh_Streetlight Data'!D103=0,"",'kWh_Streetlight Data'!D103)</f>
        <v/>
      </c>
      <c r="D94" s="108" t="str">
        <f>IF('kWh_Streetlight Data'!E103=0,"",'kWh_Streetlight Data'!E103)</f>
        <v/>
      </c>
      <c r="E94" s="108" t="str">
        <f>IF('kWh_Streetlight Data'!F103=0,"",'kWh_Streetlight Data'!F103)</f>
        <v/>
      </c>
      <c r="F94" s="108" t="str">
        <f>IF('kWh_Streetlight Data'!G103=0,"",'kWh_Streetlight Data'!G103)</f>
        <v/>
      </c>
      <c r="G94" s="108" t="str">
        <f>IF('kWh_Streetlight Data'!H103=0,"",'kWh_Streetlight Data'!H103)</f>
        <v/>
      </c>
      <c r="H94" s="108" t="str">
        <f>IF('kWh_Streetlight Data'!I103=0,"",'kWh_Streetlight Data'!I103)</f>
        <v/>
      </c>
      <c r="I94" s="108" t="str">
        <f>IF('kWh_Streetlight Data'!J103=0,"",'kWh_Streetlight Data'!J103)</f>
        <v/>
      </c>
      <c r="J94" s="108" t="str">
        <f>IF('kWh_Streetlight Data'!K103=0,"",'kWh_Streetlight Data'!K103)</f>
        <v/>
      </c>
      <c r="K94" s="108" t="str">
        <f>IF('kWh_Streetlight Data'!L103=0,"",'kWh_Streetlight Data'!L103)</f>
        <v/>
      </c>
      <c r="L94" s="130" t="str">
        <f>IF('kWh_Streetlight Data'!M103=0,"",'kWh_Streetlight Data'!M103)</f>
        <v/>
      </c>
      <c r="M94" s="130" t="str">
        <f>IF('kWh_Streetlight Data'!N103=0,"",'kWh_Streetlight Data'!N103)</f>
        <v/>
      </c>
      <c r="N94" s="425" t="str">
        <f>IF('kWh_Streetlight Data'!O103=0,"",'kWh_Streetlight Data'!O103)</f>
        <v/>
      </c>
      <c r="O94" s="84" t="str">
        <f>IF('kWh_Streetlight Data'!P103=0,"",'kWh_Streetlight Data'!P103)</f>
        <v/>
      </c>
      <c r="P94" s="108" t="str">
        <f>IF('kWh_Streetlight Data'!Q103=0,"",'kWh_Streetlight Data'!Q103)</f>
        <v/>
      </c>
      <c r="Q94" s="108" t="str">
        <f>IF('kWh_Streetlight Data'!R103=0,"",'kWh_Streetlight Data'!R103)</f>
        <v/>
      </c>
      <c r="R94" s="108" t="str">
        <f>IF('kWh_Streetlight Data'!S103=0,"",'kWh_Streetlight Data'!S103)</f>
        <v/>
      </c>
      <c r="S94" s="108" t="str">
        <f>IF('kWh_Streetlight Data'!T103=0,"",'kWh_Streetlight Data'!T103)</f>
        <v/>
      </c>
      <c r="T94" s="108" t="str">
        <f>IF('kWh_Streetlight Data'!U103=0,"",'kWh_Streetlight Data'!U103)</f>
        <v/>
      </c>
      <c r="U94" s="108" t="str">
        <f>IF('kWh_Streetlight Data'!V103=0,"",'kWh_Streetlight Data'!V103)</f>
        <v/>
      </c>
      <c r="V94" s="108" t="str">
        <f>IF('kWh_Streetlight Data'!W103=0,"",'kWh_Streetlight Data'!W103)</f>
        <v/>
      </c>
      <c r="W94" s="108" t="str">
        <f>IF('kWh_Streetlight Data'!X103=0,"",'kWh_Streetlight Data'!X103)</f>
        <v/>
      </c>
      <c r="X94" s="108" t="str">
        <f>IF('kWh_Streetlight Data'!Y103=0,"",'kWh_Streetlight Data'!Y103)</f>
        <v/>
      </c>
      <c r="Y94" s="108" t="str">
        <f>IF('kWh_Streetlight Data'!Z103=0,"",'kWh_Streetlight Data'!Z103)</f>
        <v/>
      </c>
      <c r="Z94" s="108" t="str">
        <f>IF('kWh_Streetlight Data'!AA103=0,"",'kWh_Streetlight Data'!AA103)</f>
        <v/>
      </c>
      <c r="AA94" s="426" t="str">
        <f>IF('kWh_Streetlight Data'!AB103=0,"",'kWh_Streetlight Data'!AB103)</f>
        <v/>
      </c>
      <c r="AB94" s="84" t="str">
        <f>IF('kWh_Streetlight Data'!AC103=0,"",'kWh_Streetlight Data'!AC103)</f>
        <v/>
      </c>
      <c r="AC94" s="108" t="str">
        <f>IF('kWh_Streetlight Data'!AD103=0,"",'kWh_Streetlight Data'!AD103)</f>
        <v/>
      </c>
      <c r="AD94" s="108" t="str">
        <f>IF('kWh_Streetlight Data'!AE103=0,"",'kWh_Streetlight Data'!AE103)</f>
        <v/>
      </c>
      <c r="AE94" s="108" t="str">
        <f>IF('kWh_Streetlight Data'!AF103=0,"",'kWh_Streetlight Data'!AF103)</f>
        <v/>
      </c>
      <c r="AF94" s="108" t="str">
        <f>IF('kWh_Streetlight Data'!AG103=0,"",'kWh_Streetlight Data'!AG103)</f>
        <v/>
      </c>
      <c r="AG94" s="108" t="str">
        <f>IF('kWh_Streetlight Data'!AH103=0,"",'kWh_Streetlight Data'!AH103)</f>
        <v/>
      </c>
      <c r="AH94" s="108" t="str">
        <f>IF('kWh_Streetlight Data'!AI103=0,"",'kWh_Streetlight Data'!AI103)</f>
        <v/>
      </c>
      <c r="AI94" s="108" t="str">
        <f>IF('kWh_Streetlight Data'!AJ103=0,"",'kWh_Streetlight Data'!AJ103)</f>
        <v/>
      </c>
      <c r="AJ94" s="108" t="str">
        <f>IF('kWh_Streetlight Data'!AK103=0,"",'kWh_Streetlight Data'!AK103)</f>
        <v/>
      </c>
      <c r="AK94" s="108" t="str">
        <f>IF('kWh_Streetlight Data'!AL103=0,"",'kWh_Streetlight Data'!AL103)</f>
        <v/>
      </c>
      <c r="AL94" s="108" t="str">
        <f>IF('kWh_Streetlight Data'!AM103=0,"",'kWh_Streetlight Data'!AM103)</f>
        <v/>
      </c>
      <c r="AM94" s="108" t="str">
        <f>IF('kWh_Streetlight Data'!AN103=0,"",'kWh_Streetlight Data'!AN103)</f>
        <v/>
      </c>
      <c r="AN94" s="424" t="str">
        <f>IF('kWh_Streetlight Data'!AO103=0,"",'kWh_Streetlight Data'!AO103)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>
        <f>((BO93+BO87+BO78)/BO92)</f>
        <v>35883.425000000003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3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73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73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31">AU7+AU22+AU29+AU43</f>
        <v>236</v>
      </c>
      <c r="AV98" s="9">
        <f t="shared" si="31"/>
        <v>236</v>
      </c>
      <c r="AW98" s="9">
        <f t="shared" si="31"/>
        <v>237</v>
      </c>
      <c r="AX98" s="9">
        <f t="shared" si="31"/>
        <v>237</v>
      </c>
      <c r="AY98" s="9">
        <f t="shared" si="31"/>
        <v>237</v>
      </c>
      <c r="AZ98" s="9">
        <f t="shared" si="31"/>
        <v>237</v>
      </c>
      <c r="BA98" s="138">
        <f t="shared" si="31"/>
        <v>237</v>
      </c>
      <c r="BB98" s="9">
        <v>239</v>
      </c>
      <c r="BC98" s="9">
        <v>239</v>
      </c>
      <c r="BD98" s="9">
        <v>239</v>
      </c>
      <c r="BE98" s="9">
        <v>239</v>
      </c>
      <c r="BF98" s="9">
        <f t="shared" ref="BF98:BO98" si="32">BF7+BF22+BF29+BF43</f>
        <v>239</v>
      </c>
      <c r="BG98" s="9">
        <f t="shared" si="32"/>
        <v>239</v>
      </c>
      <c r="BH98" s="9">
        <f t="shared" si="32"/>
        <v>239</v>
      </c>
      <c r="BI98" s="9">
        <f t="shared" si="32"/>
        <v>239</v>
      </c>
      <c r="BJ98" s="9">
        <f t="shared" si="32"/>
        <v>239</v>
      </c>
      <c r="BK98" s="9">
        <f t="shared" si="32"/>
        <v>239</v>
      </c>
      <c r="BL98" s="9">
        <f t="shared" si="32"/>
        <v>239</v>
      </c>
      <c r="BM98" s="9">
        <f t="shared" si="32"/>
        <v>239</v>
      </c>
      <c r="BN98" s="138">
        <f t="shared" si="32"/>
        <v>239</v>
      </c>
      <c r="BO98" s="58">
        <f t="shared" si="32"/>
        <v>0</v>
      </c>
    </row>
    <row r="99" spans="1:73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33">AU57</f>
        <v>0</v>
      </c>
      <c r="AV99" s="9">
        <f t="shared" si="33"/>
        <v>0</v>
      </c>
      <c r="AW99" s="9">
        <f t="shared" si="33"/>
        <v>0</v>
      </c>
      <c r="AX99" s="9">
        <f t="shared" si="33"/>
        <v>0</v>
      </c>
      <c r="AY99" s="9">
        <f t="shared" si="33"/>
        <v>0</v>
      </c>
      <c r="AZ99" s="9">
        <f t="shared" si="33"/>
        <v>0</v>
      </c>
      <c r="BA99" s="138">
        <f t="shared" si="33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34">BF57</f>
        <v>0</v>
      </c>
      <c r="BG99" s="9">
        <f t="shared" si="34"/>
        <v>0</v>
      </c>
      <c r="BH99" s="9">
        <f t="shared" si="34"/>
        <v>0</v>
      </c>
      <c r="BI99" s="9">
        <f t="shared" si="34"/>
        <v>0</v>
      </c>
      <c r="BJ99" s="9">
        <f t="shared" si="34"/>
        <v>0</v>
      </c>
      <c r="BK99" s="9">
        <f t="shared" si="34"/>
        <v>0</v>
      </c>
      <c r="BL99" s="9">
        <f t="shared" si="34"/>
        <v>0</v>
      </c>
      <c r="BM99" s="9">
        <f t="shared" si="34"/>
        <v>0</v>
      </c>
      <c r="BN99" s="138">
        <f t="shared" si="34"/>
        <v>0</v>
      </c>
      <c r="BO99" s="58">
        <f t="shared" si="34"/>
        <v>0</v>
      </c>
    </row>
    <row r="100" spans="1:73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35">AU65+AU75+AU81+AU86</f>
        <v>29</v>
      </c>
      <c r="AV100" s="9">
        <f t="shared" si="35"/>
        <v>29</v>
      </c>
      <c r="AW100" s="9">
        <f t="shared" si="35"/>
        <v>39</v>
      </c>
      <c r="AX100" s="9">
        <f t="shared" si="35"/>
        <v>39</v>
      </c>
      <c r="AY100" s="9">
        <f t="shared" si="35"/>
        <v>39</v>
      </c>
      <c r="AZ100" s="9">
        <f t="shared" si="35"/>
        <v>39</v>
      </c>
      <c r="BA100" s="138">
        <f t="shared" si="35"/>
        <v>39</v>
      </c>
      <c r="BB100" s="9">
        <v>39</v>
      </c>
      <c r="BC100" s="9">
        <v>39</v>
      </c>
      <c r="BD100" s="9">
        <v>39</v>
      </c>
      <c r="BE100" s="9">
        <v>39</v>
      </c>
      <c r="BF100" s="9">
        <f t="shared" ref="BF100:BO100" si="36">BF65+BF75+BF81+BF86</f>
        <v>39</v>
      </c>
      <c r="BG100" s="9">
        <f t="shared" si="36"/>
        <v>39</v>
      </c>
      <c r="BH100" s="9">
        <f t="shared" si="36"/>
        <v>39</v>
      </c>
      <c r="BI100" s="9">
        <f t="shared" si="36"/>
        <v>39</v>
      </c>
      <c r="BJ100" s="9">
        <f t="shared" si="36"/>
        <v>39</v>
      </c>
      <c r="BK100" s="9">
        <f t="shared" si="36"/>
        <v>39</v>
      </c>
      <c r="BL100" s="9">
        <f t="shared" si="36"/>
        <v>39</v>
      </c>
      <c r="BM100" s="9">
        <f t="shared" si="36"/>
        <v>39</v>
      </c>
      <c r="BN100" s="138">
        <f t="shared" si="36"/>
        <v>39</v>
      </c>
      <c r="BO100" s="58">
        <f t="shared" si="36"/>
        <v>0</v>
      </c>
    </row>
    <row r="101" spans="1:73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37">SUM(AU98:AU100)</f>
        <v>265</v>
      </c>
      <c r="AV101" s="73">
        <f t="shared" si="37"/>
        <v>265</v>
      </c>
      <c r="AW101" s="73">
        <f t="shared" si="37"/>
        <v>276</v>
      </c>
      <c r="AX101" s="73">
        <f t="shared" si="37"/>
        <v>276</v>
      </c>
      <c r="AY101" s="73">
        <f t="shared" si="37"/>
        <v>276</v>
      </c>
      <c r="AZ101" s="73">
        <f t="shared" si="37"/>
        <v>276</v>
      </c>
      <c r="BA101" s="249">
        <f t="shared" si="37"/>
        <v>276</v>
      </c>
      <c r="BB101" s="73">
        <v>278</v>
      </c>
      <c r="BC101" s="73">
        <v>278</v>
      </c>
      <c r="BD101" s="73">
        <v>278</v>
      </c>
      <c r="BE101" s="73">
        <v>278</v>
      </c>
      <c r="BF101" s="73">
        <f t="shared" ref="BF101:BO101" si="38">SUM(BF98:BF100)</f>
        <v>278</v>
      </c>
      <c r="BG101" s="73">
        <f t="shared" si="38"/>
        <v>278</v>
      </c>
      <c r="BH101" s="73">
        <f t="shared" si="38"/>
        <v>278</v>
      </c>
      <c r="BI101" s="73">
        <f t="shared" si="38"/>
        <v>278</v>
      </c>
      <c r="BJ101" s="73">
        <f t="shared" si="38"/>
        <v>278</v>
      </c>
      <c r="BK101" s="73">
        <f t="shared" si="38"/>
        <v>278</v>
      </c>
      <c r="BL101" s="73">
        <f t="shared" si="38"/>
        <v>278</v>
      </c>
      <c r="BM101" s="73">
        <f t="shared" si="38"/>
        <v>278</v>
      </c>
      <c r="BN101" s="249">
        <f t="shared" si="38"/>
        <v>278</v>
      </c>
      <c r="BO101" s="268">
        <f t="shared" si="38"/>
        <v>0</v>
      </c>
      <c r="BS101" s="2"/>
      <c r="BT101" s="2"/>
      <c r="BU101" s="2"/>
    </row>
    <row r="102" spans="1:73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39">AU15+AU36+AU50</f>
        <v>0</v>
      </c>
      <c r="AV102" s="9">
        <f t="shared" si="39"/>
        <v>0</v>
      </c>
      <c r="AW102" s="9">
        <f t="shared" si="39"/>
        <v>0</v>
      </c>
      <c r="AX102" s="9">
        <f t="shared" si="39"/>
        <v>0</v>
      </c>
      <c r="AY102" s="9">
        <f t="shared" si="39"/>
        <v>0</v>
      </c>
      <c r="AZ102" s="9">
        <f t="shared" si="39"/>
        <v>0</v>
      </c>
      <c r="BA102" s="138">
        <f t="shared" si="39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40">BF15+BF36+BF50</f>
        <v>0</v>
      </c>
      <c r="BG102" s="9">
        <f t="shared" si="40"/>
        <v>0</v>
      </c>
      <c r="BH102" s="9">
        <f t="shared" si="40"/>
        <v>0</v>
      </c>
      <c r="BI102" s="9">
        <f t="shared" si="40"/>
        <v>0</v>
      </c>
      <c r="BJ102" s="9">
        <f t="shared" si="40"/>
        <v>0</v>
      </c>
      <c r="BK102" s="9">
        <f t="shared" si="40"/>
        <v>0</v>
      </c>
      <c r="BL102" s="9">
        <f t="shared" si="40"/>
        <v>0</v>
      </c>
      <c r="BM102" s="9">
        <f t="shared" si="40"/>
        <v>0</v>
      </c>
      <c r="BN102" s="138">
        <f t="shared" si="40"/>
        <v>0</v>
      </c>
      <c r="BO102" s="266">
        <f t="shared" si="40"/>
        <v>241</v>
      </c>
      <c r="BS102" s="198"/>
      <c r="BT102" s="198"/>
      <c r="BU102" s="198"/>
    </row>
    <row r="103" spans="1:73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73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41">AU92</f>
        <v>0</v>
      </c>
      <c r="AV104" s="9">
        <f t="shared" si="41"/>
        <v>0</v>
      </c>
      <c r="AW104" s="9">
        <f t="shared" si="41"/>
        <v>0</v>
      </c>
      <c r="AX104" s="9">
        <f t="shared" si="41"/>
        <v>0</v>
      </c>
      <c r="AY104" s="9">
        <f t="shared" si="41"/>
        <v>0</v>
      </c>
      <c r="AZ104" s="9">
        <f t="shared" si="41"/>
        <v>0</v>
      </c>
      <c r="BA104" s="138">
        <f t="shared" si="41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42">BF92</f>
        <v>0</v>
      </c>
      <c r="BG104" s="9">
        <f t="shared" si="42"/>
        <v>0</v>
      </c>
      <c r="BH104" s="9">
        <f t="shared" si="42"/>
        <v>0</v>
      </c>
      <c r="BI104" s="9">
        <f t="shared" si="42"/>
        <v>0</v>
      </c>
      <c r="BJ104" s="9">
        <f t="shared" si="42"/>
        <v>0</v>
      </c>
      <c r="BK104" s="9">
        <f t="shared" si="42"/>
        <v>0</v>
      </c>
      <c r="BL104" s="9">
        <f t="shared" si="42"/>
        <v>0</v>
      </c>
      <c r="BM104" s="9">
        <f t="shared" si="42"/>
        <v>0</v>
      </c>
      <c r="BN104" s="138">
        <f t="shared" si="42"/>
        <v>0</v>
      </c>
      <c r="BO104" s="58">
        <f t="shared" si="42"/>
        <v>40</v>
      </c>
    </row>
    <row r="105" spans="1:73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43">SUM(AU102:AU104)</f>
        <v>0</v>
      </c>
      <c r="AV105" s="73">
        <f t="shared" si="43"/>
        <v>0</v>
      </c>
      <c r="AW105" s="73">
        <f t="shared" si="43"/>
        <v>0</v>
      </c>
      <c r="AX105" s="73">
        <f t="shared" si="43"/>
        <v>0</v>
      </c>
      <c r="AY105" s="73">
        <f t="shared" si="43"/>
        <v>0</v>
      </c>
      <c r="AZ105" s="73">
        <f t="shared" si="43"/>
        <v>0</v>
      </c>
      <c r="BA105" s="249">
        <f t="shared" si="43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44">SUM(BF102:BF104)</f>
        <v>0</v>
      </c>
      <c r="BG105" s="73">
        <f t="shared" si="44"/>
        <v>0</v>
      </c>
      <c r="BH105" s="73">
        <f t="shared" si="44"/>
        <v>0</v>
      </c>
      <c r="BI105" s="73">
        <f t="shared" si="44"/>
        <v>0</v>
      </c>
      <c r="BJ105" s="73">
        <f t="shared" si="44"/>
        <v>0</v>
      </c>
      <c r="BK105" s="73">
        <f t="shared" si="44"/>
        <v>0</v>
      </c>
      <c r="BL105" s="73">
        <f t="shared" si="44"/>
        <v>0</v>
      </c>
      <c r="BM105" s="73">
        <f t="shared" si="44"/>
        <v>0</v>
      </c>
      <c r="BN105" s="249">
        <f t="shared" si="44"/>
        <v>0</v>
      </c>
      <c r="BO105" s="268">
        <f t="shared" si="44"/>
        <v>281</v>
      </c>
      <c r="BS105"/>
      <c r="BT105"/>
      <c r="BU105"/>
    </row>
    <row r="106" spans="1:73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45">AU105+AU101</f>
        <v>265</v>
      </c>
      <c r="AV106" s="251">
        <f t="shared" si="45"/>
        <v>265</v>
      </c>
      <c r="AW106" s="251">
        <f t="shared" si="45"/>
        <v>276</v>
      </c>
      <c r="AX106" s="251">
        <f t="shared" si="45"/>
        <v>276</v>
      </c>
      <c r="AY106" s="251">
        <f t="shared" si="45"/>
        <v>276</v>
      </c>
      <c r="AZ106" s="251">
        <f t="shared" si="45"/>
        <v>276</v>
      </c>
      <c r="BA106" s="255">
        <f t="shared" si="45"/>
        <v>276</v>
      </c>
      <c r="BB106" s="251">
        <v>278</v>
      </c>
      <c r="BC106" s="251">
        <v>278</v>
      </c>
      <c r="BD106" s="251">
        <v>278</v>
      </c>
      <c r="BE106" s="251">
        <v>278</v>
      </c>
      <c r="BF106" s="251">
        <f t="shared" si="45"/>
        <v>278</v>
      </c>
      <c r="BG106" s="251">
        <f t="shared" si="45"/>
        <v>278</v>
      </c>
      <c r="BH106" s="251">
        <f t="shared" si="45"/>
        <v>278</v>
      </c>
      <c r="BI106" s="251">
        <f t="shared" si="45"/>
        <v>278</v>
      </c>
      <c r="BJ106" s="251">
        <f t="shared" si="45"/>
        <v>278</v>
      </c>
      <c r="BK106" s="251">
        <f t="shared" si="45"/>
        <v>278</v>
      </c>
      <c r="BL106" s="251">
        <f t="shared" si="45"/>
        <v>278</v>
      </c>
      <c r="BM106" s="251">
        <f t="shared" si="45"/>
        <v>278</v>
      </c>
      <c r="BN106" s="255">
        <f t="shared" si="45"/>
        <v>278</v>
      </c>
      <c r="BO106" s="269">
        <f t="shared" si="45"/>
        <v>281</v>
      </c>
    </row>
    <row r="107" spans="1:73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S107" s="3"/>
      <c r="BT107" s="3"/>
      <c r="BU107" s="3"/>
    </row>
    <row r="108" spans="1:73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6">AU11+AU26+AU33+AU47</f>
        <v>273901</v>
      </c>
      <c r="AV108" s="9">
        <f t="shared" si="46"/>
        <v>273297</v>
      </c>
      <c r="AW108" s="9">
        <f t="shared" si="46"/>
        <v>304956</v>
      </c>
      <c r="AX108" s="9">
        <f t="shared" si="46"/>
        <v>343725</v>
      </c>
      <c r="AY108" s="9">
        <f t="shared" si="46"/>
        <v>367476</v>
      </c>
      <c r="AZ108" s="9">
        <f t="shared" si="46"/>
        <v>399612</v>
      </c>
      <c r="BA108" s="138">
        <f t="shared" si="46"/>
        <v>1962967</v>
      </c>
      <c r="BB108" s="9">
        <v>509671</v>
      </c>
      <c r="BC108" s="9">
        <v>464852</v>
      </c>
      <c r="BD108" s="9">
        <v>453887</v>
      </c>
      <c r="BE108" s="9">
        <v>385504</v>
      </c>
      <c r="BF108" s="9">
        <f t="shared" ref="BF108:BO108" si="47">BF11+BF26+BF33+BF47</f>
        <v>358135</v>
      </c>
      <c r="BG108" s="9">
        <f t="shared" si="47"/>
        <v>331983</v>
      </c>
      <c r="BH108" s="9">
        <f t="shared" si="47"/>
        <v>276946</v>
      </c>
      <c r="BI108" s="9">
        <f t="shared" si="47"/>
        <v>276332</v>
      </c>
      <c r="BJ108" s="9">
        <f t="shared" si="47"/>
        <v>307261</v>
      </c>
      <c r="BK108" s="9">
        <f t="shared" si="47"/>
        <v>346351</v>
      </c>
      <c r="BL108" s="9">
        <f t="shared" si="47"/>
        <v>370241</v>
      </c>
      <c r="BM108" s="9">
        <f t="shared" si="47"/>
        <v>402632</v>
      </c>
      <c r="BN108" s="138">
        <f t="shared" si="47"/>
        <v>4483795</v>
      </c>
      <c r="BO108" s="58">
        <f t="shared" si="47"/>
        <v>2258529</v>
      </c>
    </row>
    <row r="109" spans="1:73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48">AU58</f>
        <v>0</v>
      </c>
      <c r="AV109" s="9">
        <f t="shared" si="48"/>
        <v>0</v>
      </c>
      <c r="AW109" s="9">
        <f t="shared" si="48"/>
        <v>0</v>
      </c>
      <c r="AX109" s="9">
        <f t="shared" si="48"/>
        <v>0</v>
      </c>
      <c r="AY109" s="9">
        <f t="shared" si="48"/>
        <v>0</v>
      </c>
      <c r="AZ109" s="9">
        <f t="shared" si="48"/>
        <v>0</v>
      </c>
      <c r="BA109" s="138">
        <f t="shared" si="48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49">BF58</f>
        <v>0</v>
      </c>
      <c r="BG109" s="9">
        <f t="shared" si="49"/>
        <v>0</v>
      </c>
      <c r="BH109" s="9">
        <f t="shared" si="49"/>
        <v>0</v>
      </c>
      <c r="BI109" s="9">
        <f t="shared" si="49"/>
        <v>0</v>
      </c>
      <c r="BJ109" s="9">
        <f t="shared" si="49"/>
        <v>0</v>
      </c>
      <c r="BK109" s="9">
        <f t="shared" si="49"/>
        <v>0</v>
      </c>
      <c r="BL109" s="9">
        <f t="shared" si="49"/>
        <v>0</v>
      </c>
      <c r="BM109" s="9">
        <f t="shared" si="49"/>
        <v>0</v>
      </c>
      <c r="BN109" s="138">
        <f t="shared" si="49"/>
        <v>0</v>
      </c>
      <c r="BO109" s="58">
        <f t="shared" si="49"/>
        <v>0</v>
      </c>
    </row>
    <row r="110" spans="1:73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50">AU68+AU78+AU82+AU87</f>
        <v>64500</v>
      </c>
      <c r="AV110" s="9">
        <f t="shared" si="50"/>
        <v>57911</v>
      </c>
      <c r="AW110" s="9">
        <f t="shared" si="50"/>
        <v>74166</v>
      </c>
      <c r="AX110" s="9">
        <f t="shared" si="50"/>
        <v>83783</v>
      </c>
      <c r="AY110" s="9">
        <f t="shared" si="50"/>
        <v>99622</v>
      </c>
      <c r="AZ110" s="9">
        <f t="shared" si="50"/>
        <v>118915</v>
      </c>
      <c r="BA110" s="138">
        <f t="shared" si="50"/>
        <v>498897</v>
      </c>
      <c r="BB110" s="9">
        <v>134761</v>
      </c>
      <c r="BC110" s="9">
        <v>127683</v>
      </c>
      <c r="BD110" s="9">
        <v>116661</v>
      </c>
      <c r="BE110" s="9">
        <v>100053</v>
      </c>
      <c r="BF110" s="9">
        <f t="shared" ref="BF110:BO110" si="51">BF68+BF78+BF82+BF87</f>
        <v>91135</v>
      </c>
      <c r="BG110" s="9">
        <f t="shared" si="51"/>
        <v>90128</v>
      </c>
      <c r="BH110" s="9">
        <f t="shared" si="51"/>
        <v>72919</v>
      </c>
      <c r="BI110" s="9">
        <f t="shared" si="51"/>
        <v>65199</v>
      </c>
      <c r="BJ110" s="9">
        <f t="shared" si="51"/>
        <v>74166</v>
      </c>
      <c r="BK110" s="9">
        <f t="shared" si="51"/>
        <v>83783</v>
      </c>
      <c r="BL110" s="9">
        <f t="shared" si="51"/>
        <v>99622</v>
      </c>
      <c r="BM110" s="9">
        <f t="shared" si="51"/>
        <v>118915</v>
      </c>
      <c r="BN110" s="138">
        <f t="shared" si="51"/>
        <v>1175025</v>
      </c>
      <c r="BO110" s="58">
        <f t="shared" si="51"/>
        <v>717668</v>
      </c>
    </row>
    <row r="111" spans="1:73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2">SUM(AU108:AU110)</f>
        <v>338401</v>
      </c>
      <c r="AV111" s="73">
        <f t="shared" si="52"/>
        <v>331208</v>
      </c>
      <c r="AW111" s="73">
        <f t="shared" si="52"/>
        <v>379122</v>
      </c>
      <c r="AX111" s="73">
        <f t="shared" si="52"/>
        <v>427508</v>
      </c>
      <c r="AY111" s="73">
        <f t="shared" si="52"/>
        <v>467098</v>
      </c>
      <c r="AZ111" s="73">
        <f t="shared" si="52"/>
        <v>518527</v>
      </c>
      <c r="BA111" s="249">
        <f t="shared" si="52"/>
        <v>2461864</v>
      </c>
      <c r="BB111" s="73">
        <v>644432</v>
      </c>
      <c r="BC111" s="73">
        <v>592535</v>
      </c>
      <c r="BD111" s="73">
        <v>570548</v>
      </c>
      <c r="BE111" s="73">
        <v>485557</v>
      </c>
      <c r="BF111" s="73">
        <f t="shared" ref="BF111:BO111" si="53">SUM(BF108:BF110)</f>
        <v>449270</v>
      </c>
      <c r="BG111" s="73">
        <f t="shared" si="53"/>
        <v>422111</v>
      </c>
      <c r="BH111" s="73">
        <f t="shared" si="53"/>
        <v>349865</v>
      </c>
      <c r="BI111" s="73">
        <f t="shared" si="53"/>
        <v>341531</v>
      </c>
      <c r="BJ111" s="73">
        <f t="shared" si="53"/>
        <v>381427</v>
      </c>
      <c r="BK111" s="73">
        <f t="shared" si="53"/>
        <v>430134</v>
      </c>
      <c r="BL111" s="73">
        <f t="shared" si="53"/>
        <v>469863</v>
      </c>
      <c r="BM111" s="73">
        <f t="shared" si="53"/>
        <v>521547</v>
      </c>
      <c r="BN111" s="249">
        <f t="shared" si="53"/>
        <v>5658820</v>
      </c>
      <c r="BO111" s="268">
        <f t="shared" si="53"/>
        <v>2976197</v>
      </c>
      <c r="BS111"/>
      <c r="BT111"/>
      <c r="BU111"/>
    </row>
    <row r="112" spans="1:73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54">AU19+AU40+AU54</f>
        <v>0</v>
      </c>
      <c r="AV112" s="9">
        <f t="shared" si="54"/>
        <v>0</v>
      </c>
      <c r="AW112" s="9">
        <f t="shared" si="54"/>
        <v>0</v>
      </c>
      <c r="AX112" s="9">
        <f t="shared" si="54"/>
        <v>0</v>
      </c>
      <c r="AY112" s="9">
        <f t="shared" si="54"/>
        <v>0</v>
      </c>
      <c r="AZ112" s="9">
        <f t="shared" si="54"/>
        <v>0</v>
      </c>
      <c r="BA112" s="138">
        <f t="shared" si="54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55">BF19+BF40+BF54</f>
        <v>0</v>
      </c>
      <c r="BG112" s="9">
        <f t="shared" si="55"/>
        <v>0</v>
      </c>
      <c r="BH112" s="9">
        <f t="shared" si="55"/>
        <v>0</v>
      </c>
      <c r="BI112" s="9">
        <f t="shared" si="55"/>
        <v>0</v>
      </c>
      <c r="BJ112" s="9">
        <f t="shared" si="55"/>
        <v>0</v>
      </c>
      <c r="BK112" s="9">
        <f t="shared" si="55"/>
        <v>0</v>
      </c>
      <c r="BL112" s="9">
        <f t="shared" si="55"/>
        <v>0</v>
      </c>
      <c r="BM112" s="9">
        <f t="shared" si="55"/>
        <v>0</v>
      </c>
      <c r="BN112" s="138">
        <f t="shared" si="55"/>
        <v>0</v>
      </c>
      <c r="BO112" s="58">
        <f t="shared" si="55"/>
        <v>2258532</v>
      </c>
      <c r="BS112" s="3"/>
      <c r="BT112" s="3"/>
      <c r="BU112" s="3"/>
    </row>
    <row r="113" spans="1:73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73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56">AU93</f>
        <v>0</v>
      </c>
      <c r="AV114" s="9">
        <f t="shared" si="56"/>
        <v>0</v>
      </c>
      <c r="AW114" s="9">
        <f t="shared" si="56"/>
        <v>0</v>
      </c>
      <c r="AX114" s="9">
        <f t="shared" si="56"/>
        <v>0</v>
      </c>
      <c r="AY114" s="9">
        <f t="shared" si="56"/>
        <v>0</v>
      </c>
      <c r="AZ114" s="9">
        <f t="shared" si="56"/>
        <v>0</v>
      </c>
      <c r="BA114" s="138">
        <f t="shared" si="56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57">BF93</f>
        <v>0</v>
      </c>
      <c r="BG114" s="9">
        <f t="shared" si="57"/>
        <v>0</v>
      </c>
      <c r="BH114" s="9">
        <f t="shared" si="57"/>
        <v>0</v>
      </c>
      <c r="BI114" s="9">
        <f t="shared" si="57"/>
        <v>0</v>
      </c>
      <c r="BJ114" s="9">
        <f t="shared" si="57"/>
        <v>0</v>
      </c>
      <c r="BK114" s="9">
        <f t="shared" si="57"/>
        <v>0</v>
      </c>
      <c r="BL114" s="9">
        <f t="shared" si="57"/>
        <v>0</v>
      </c>
      <c r="BM114" s="9">
        <f t="shared" si="57"/>
        <v>0</v>
      </c>
      <c r="BN114" s="138">
        <f t="shared" si="57"/>
        <v>0</v>
      </c>
      <c r="BO114" s="58">
        <f t="shared" si="57"/>
        <v>717669</v>
      </c>
    </row>
    <row r="115" spans="1:73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58">SUM(AU112:AU114)</f>
        <v>0</v>
      </c>
      <c r="AV115" s="73">
        <f t="shared" si="58"/>
        <v>0</v>
      </c>
      <c r="AW115" s="73">
        <f t="shared" si="58"/>
        <v>0</v>
      </c>
      <c r="AX115" s="73">
        <f t="shared" si="58"/>
        <v>0</v>
      </c>
      <c r="AY115" s="73">
        <f t="shared" si="58"/>
        <v>0</v>
      </c>
      <c r="AZ115" s="73">
        <f t="shared" si="58"/>
        <v>0</v>
      </c>
      <c r="BA115" s="249">
        <f t="shared" si="58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59">SUM(BF112:BF114)</f>
        <v>0</v>
      </c>
      <c r="BG115" s="73">
        <f t="shared" si="59"/>
        <v>0</v>
      </c>
      <c r="BH115" s="73">
        <f t="shared" si="59"/>
        <v>0</v>
      </c>
      <c r="BI115" s="73">
        <f t="shared" si="59"/>
        <v>0</v>
      </c>
      <c r="BJ115" s="73">
        <f t="shared" si="59"/>
        <v>0</v>
      </c>
      <c r="BK115" s="73">
        <f t="shared" si="59"/>
        <v>0</v>
      </c>
      <c r="BL115" s="73">
        <f t="shared" si="59"/>
        <v>0</v>
      </c>
      <c r="BM115" s="73">
        <f t="shared" si="59"/>
        <v>0</v>
      </c>
      <c r="BN115" s="249">
        <f t="shared" si="59"/>
        <v>0</v>
      </c>
      <c r="BO115" s="268">
        <f t="shared" si="59"/>
        <v>2976201</v>
      </c>
      <c r="BS115"/>
      <c r="BT115"/>
      <c r="BU115"/>
    </row>
    <row r="116" spans="1:73" s="3" customFormat="1" ht="15.75" customHeight="1" thickBot="1">
      <c r="A116" s="201" t="s">
        <v>212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60">AU115+AU111</f>
        <v>338401</v>
      </c>
      <c r="AV116" s="251">
        <f t="shared" si="60"/>
        <v>331208</v>
      </c>
      <c r="AW116" s="251">
        <f t="shared" si="60"/>
        <v>379122</v>
      </c>
      <c r="AX116" s="251">
        <f t="shared" si="60"/>
        <v>427508</v>
      </c>
      <c r="AY116" s="251">
        <f t="shared" si="60"/>
        <v>467098</v>
      </c>
      <c r="AZ116" s="251">
        <f t="shared" si="60"/>
        <v>518527</v>
      </c>
      <c r="BA116" s="255">
        <f t="shared" si="60"/>
        <v>2461864</v>
      </c>
      <c r="BB116" s="251">
        <v>644432</v>
      </c>
      <c r="BC116" s="251">
        <v>592535</v>
      </c>
      <c r="BD116" s="251">
        <v>570548</v>
      </c>
      <c r="BE116" s="251">
        <v>485557</v>
      </c>
      <c r="BF116" s="251">
        <f t="shared" si="60"/>
        <v>449270</v>
      </c>
      <c r="BG116" s="251">
        <f t="shared" si="60"/>
        <v>422111</v>
      </c>
      <c r="BH116" s="251">
        <f t="shared" si="60"/>
        <v>349865</v>
      </c>
      <c r="BI116" s="251">
        <f t="shared" si="60"/>
        <v>341531</v>
      </c>
      <c r="BJ116" s="251">
        <f t="shared" si="60"/>
        <v>381427</v>
      </c>
      <c r="BK116" s="251">
        <f t="shared" si="60"/>
        <v>430134</v>
      </c>
      <c r="BL116" s="251">
        <f t="shared" si="60"/>
        <v>469863</v>
      </c>
      <c r="BM116" s="251">
        <f t="shared" si="60"/>
        <v>521547</v>
      </c>
      <c r="BN116" s="255">
        <f t="shared" si="60"/>
        <v>5658820</v>
      </c>
      <c r="BO116" s="269">
        <f t="shared" si="60"/>
        <v>5952398</v>
      </c>
    </row>
    <row r="117" spans="1:73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S117" s="3"/>
      <c r="BT117" s="3"/>
      <c r="BU117" s="3"/>
    </row>
    <row r="118" spans="1:73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S118" s="3"/>
      <c r="BT118" s="3"/>
      <c r="BU118" s="3"/>
    </row>
    <row r="119" spans="1:73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14</v>
      </c>
      <c r="AV119" s="280">
        <f>AU119</f>
        <v>14</v>
      </c>
      <c r="AW119" s="280">
        <f>AV119</f>
        <v>14</v>
      </c>
      <c r="AX119" s="280">
        <f t="shared" ref="AX119:AZ119" si="61">AW119</f>
        <v>14</v>
      </c>
      <c r="AY119" s="280">
        <f t="shared" si="61"/>
        <v>14</v>
      </c>
      <c r="AZ119" s="280">
        <f t="shared" si="61"/>
        <v>14</v>
      </c>
      <c r="BA119" s="259"/>
      <c r="BB119" s="280">
        <v>14</v>
      </c>
      <c r="BC119" s="280">
        <v>14</v>
      </c>
      <c r="BD119" s="280">
        <v>14</v>
      </c>
      <c r="BE119" s="280">
        <v>14</v>
      </c>
      <c r="BF119" s="280">
        <f t="shared" ref="BF119:BM119" si="62">BE119</f>
        <v>14</v>
      </c>
      <c r="BG119" s="280">
        <f t="shared" si="62"/>
        <v>14</v>
      </c>
      <c r="BH119" s="280">
        <f t="shared" si="62"/>
        <v>14</v>
      </c>
      <c r="BI119" s="280">
        <f t="shared" si="62"/>
        <v>14</v>
      </c>
      <c r="BJ119" s="280">
        <f t="shared" si="62"/>
        <v>14</v>
      </c>
      <c r="BK119" s="280">
        <f t="shared" si="62"/>
        <v>14</v>
      </c>
      <c r="BL119" s="280">
        <f t="shared" si="62"/>
        <v>14</v>
      </c>
      <c r="BM119" s="280">
        <f t="shared" si="62"/>
        <v>14</v>
      </c>
      <c r="BN119" s="259"/>
      <c r="BO119" s="343">
        <f>BM119</f>
        <v>14</v>
      </c>
    </row>
    <row r="120" spans="1:73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157728</v>
      </c>
      <c r="AU120" s="107">
        <v>150657.35999999999</v>
      </c>
      <c r="AV120" s="39">
        <f>ROUND(AW108/30*AV119,0)</f>
        <v>142313</v>
      </c>
      <c r="AW120" s="39">
        <f>ROUND(AX108/30*AW119,0)</f>
        <v>160405</v>
      </c>
      <c r="AX120" s="39">
        <f>ROUND(AY108/30*AX119,0)</f>
        <v>171489</v>
      </c>
      <c r="AY120" s="39">
        <f>ROUND(AZ108/30*AY119,0)</f>
        <v>186486</v>
      </c>
      <c r="AZ120" s="39">
        <f>ROUND(BB108/30*AZ119,0)</f>
        <v>237846</v>
      </c>
      <c r="BA120" s="215"/>
      <c r="BB120" s="346">
        <v>216931</v>
      </c>
      <c r="BC120" s="346">
        <v>211814</v>
      </c>
      <c r="BD120" s="346">
        <v>179902</v>
      </c>
      <c r="BE120" s="346">
        <v>167130</v>
      </c>
      <c r="BF120" s="346">
        <f t="shared" ref="BF120:BL120" si="63">ROUND(BG108/30*BF119,0)</f>
        <v>154925</v>
      </c>
      <c r="BG120" s="346">
        <f t="shared" si="63"/>
        <v>129241</v>
      </c>
      <c r="BH120" s="346">
        <f t="shared" si="63"/>
        <v>128955</v>
      </c>
      <c r="BI120" s="346">
        <f t="shared" si="63"/>
        <v>143388</v>
      </c>
      <c r="BJ120" s="346">
        <f t="shared" si="63"/>
        <v>161630</v>
      </c>
      <c r="BK120" s="346">
        <f t="shared" si="63"/>
        <v>172779</v>
      </c>
      <c r="BL120" s="346">
        <f t="shared" si="63"/>
        <v>187895</v>
      </c>
      <c r="BM120" s="57">
        <f>ROUND((BO108+BO112)*0.11/30*BM119,0)</f>
        <v>231876</v>
      </c>
      <c r="BN120" s="215"/>
      <c r="BO120" s="141">
        <v>0</v>
      </c>
    </row>
    <row r="121" spans="1:73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32780</v>
      </c>
      <c r="AU121" s="107">
        <v>36380.847999999998</v>
      </c>
      <c r="AV121" s="39">
        <f>ROUND(AW110/30*AV119,0)</f>
        <v>34611</v>
      </c>
      <c r="AW121" s="39">
        <f>ROUND(AX110/30*AW119,0)</f>
        <v>39099</v>
      </c>
      <c r="AX121" s="39">
        <f>ROUND(AY110/30*AX119,0)</f>
        <v>46490</v>
      </c>
      <c r="AY121" s="39">
        <f>ROUND(AZ110/30*AY119,0)</f>
        <v>55494</v>
      </c>
      <c r="AZ121" s="39">
        <f>ROUND(BB110/30*AZ119,0)</f>
        <v>62888</v>
      </c>
      <c r="BA121" s="215"/>
      <c r="BB121" s="57">
        <v>59585</v>
      </c>
      <c r="BC121" s="57">
        <v>54442</v>
      </c>
      <c r="BD121" s="57">
        <v>46691</v>
      </c>
      <c r="BE121" s="57">
        <v>42530</v>
      </c>
      <c r="BF121" s="57">
        <f t="shared" ref="BF121:BL121" si="64">ROUND(BG110/30*BF119,0)</f>
        <v>42060</v>
      </c>
      <c r="BG121" s="57">
        <f t="shared" si="64"/>
        <v>34029</v>
      </c>
      <c r="BH121" s="57">
        <f t="shared" si="64"/>
        <v>30426</v>
      </c>
      <c r="BI121" s="57">
        <f t="shared" si="64"/>
        <v>34611</v>
      </c>
      <c r="BJ121" s="57">
        <f t="shared" si="64"/>
        <v>39099</v>
      </c>
      <c r="BK121" s="57">
        <f t="shared" si="64"/>
        <v>46490</v>
      </c>
      <c r="BL121" s="57">
        <f t="shared" si="64"/>
        <v>55494</v>
      </c>
      <c r="BM121" s="57">
        <f>ROUND((BO110+BO114)*0.11/30*BM119,0)</f>
        <v>73681</v>
      </c>
      <c r="BN121" s="215"/>
      <c r="BO121" s="141">
        <v>0</v>
      </c>
    </row>
    <row r="122" spans="1:73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-157728</v>
      </c>
      <c r="AV122" s="57">
        <f t="shared" ref="AV122:AZ123" si="65">-AU120</f>
        <v>-150657.35999999999</v>
      </c>
      <c r="AW122" s="57">
        <f t="shared" si="65"/>
        <v>-142313</v>
      </c>
      <c r="AX122" s="57">
        <f t="shared" si="65"/>
        <v>-160405</v>
      </c>
      <c r="AY122" s="57">
        <f t="shared" si="65"/>
        <v>-171489</v>
      </c>
      <c r="AZ122" s="57">
        <f t="shared" si="65"/>
        <v>-186486</v>
      </c>
      <c r="BA122" s="215"/>
      <c r="BB122" s="57">
        <v>-237846</v>
      </c>
      <c r="BC122" s="57">
        <v>-216931</v>
      </c>
      <c r="BD122" s="57">
        <v>-211814</v>
      </c>
      <c r="BE122" s="57">
        <v>-179902</v>
      </c>
      <c r="BF122" s="57">
        <f t="shared" ref="BF122:BM123" si="66">-BE120</f>
        <v>-167130</v>
      </c>
      <c r="BG122" s="57">
        <f t="shared" si="66"/>
        <v>-154925</v>
      </c>
      <c r="BH122" s="57">
        <f t="shared" si="66"/>
        <v>-129241</v>
      </c>
      <c r="BI122" s="57">
        <f t="shared" si="66"/>
        <v>-128955</v>
      </c>
      <c r="BJ122" s="57">
        <f t="shared" si="66"/>
        <v>-143388</v>
      </c>
      <c r="BK122" s="57">
        <f t="shared" si="66"/>
        <v>-161630</v>
      </c>
      <c r="BL122" s="57">
        <f t="shared" si="66"/>
        <v>-172779</v>
      </c>
      <c r="BM122" s="57">
        <f t="shared" si="66"/>
        <v>-187895</v>
      </c>
      <c r="BN122" s="215"/>
      <c r="BO122" s="141">
        <f>-BM120</f>
        <v>-231876</v>
      </c>
    </row>
    <row r="123" spans="1:73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-32780</v>
      </c>
      <c r="AV123" s="57">
        <f t="shared" si="65"/>
        <v>-36380.847999999998</v>
      </c>
      <c r="AW123" s="57">
        <f t="shared" si="65"/>
        <v>-34611</v>
      </c>
      <c r="AX123" s="57">
        <f t="shared" si="65"/>
        <v>-39099</v>
      </c>
      <c r="AY123" s="57">
        <f t="shared" si="65"/>
        <v>-46490</v>
      </c>
      <c r="AZ123" s="57">
        <f t="shared" si="65"/>
        <v>-55494</v>
      </c>
      <c r="BA123" s="215"/>
      <c r="BB123" s="57">
        <v>-62888</v>
      </c>
      <c r="BC123" s="57">
        <v>-59585</v>
      </c>
      <c r="BD123" s="57">
        <v>-54442</v>
      </c>
      <c r="BE123" s="57">
        <v>-46691</v>
      </c>
      <c r="BF123" s="57">
        <f t="shared" si="66"/>
        <v>-42530</v>
      </c>
      <c r="BG123" s="57">
        <f t="shared" si="66"/>
        <v>-42060</v>
      </c>
      <c r="BH123" s="57">
        <f t="shared" si="66"/>
        <v>-34029</v>
      </c>
      <c r="BI123" s="57">
        <f t="shared" si="66"/>
        <v>-30426</v>
      </c>
      <c r="BJ123" s="57">
        <f t="shared" si="66"/>
        <v>-34611</v>
      </c>
      <c r="BK123" s="57">
        <f t="shared" si="66"/>
        <v>-39099</v>
      </c>
      <c r="BL123" s="57">
        <f t="shared" si="66"/>
        <v>-46490</v>
      </c>
      <c r="BM123" s="57">
        <f t="shared" si="66"/>
        <v>-55494</v>
      </c>
      <c r="BN123" s="215"/>
      <c r="BO123" s="141">
        <f>-BM121</f>
        <v>-73681</v>
      </c>
    </row>
    <row r="124" spans="1:73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-3469.7920000000158</v>
      </c>
      <c r="AV124" s="344">
        <f t="shared" ref="AV124:AZ124" si="67">SUM(AV120:AV123)</f>
        <v>-10114.207999999984</v>
      </c>
      <c r="AW124" s="344">
        <f t="shared" si="67"/>
        <v>22580</v>
      </c>
      <c r="AX124" s="344">
        <f t="shared" si="67"/>
        <v>18475</v>
      </c>
      <c r="AY124" s="344">
        <f t="shared" si="67"/>
        <v>24001</v>
      </c>
      <c r="AZ124" s="344">
        <f t="shared" si="67"/>
        <v>58754</v>
      </c>
      <c r="BA124" s="345"/>
      <c r="BB124" s="344">
        <v>-24218</v>
      </c>
      <c r="BC124" s="344">
        <v>-10260</v>
      </c>
      <c r="BD124" s="344">
        <v>-39663</v>
      </c>
      <c r="BE124" s="344">
        <v>-16933</v>
      </c>
      <c r="BF124" s="344">
        <f t="shared" ref="BF124:BO124" si="68">SUM(BF120:BF123)</f>
        <v>-12675</v>
      </c>
      <c r="BG124" s="344">
        <f t="shared" si="68"/>
        <v>-33715</v>
      </c>
      <c r="BH124" s="344">
        <f t="shared" si="68"/>
        <v>-3889</v>
      </c>
      <c r="BI124" s="344">
        <f t="shared" si="68"/>
        <v>18618</v>
      </c>
      <c r="BJ124" s="344">
        <f t="shared" si="68"/>
        <v>22730</v>
      </c>
      <c r="BK124" s="344">
        <f t="shared" si="68"/>
        <v>18540</v>
      </c>
      <c r="BL124" s="344">
        <f t="shared" si="68"/>
        <v>24120</v>
      </c>
      <c r="BM124" s="344">
        <f t="shared" si="68"/>
        <v>62168</v>
      </c>
      <c r="BN124" s="345"/>
      <c r="BO124" s="272">
        <f t="shared" si="68"/>
        <v>-305557</v>
      </c>
    </row>
    <row r="125" spans="1:73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14</v>
      </c>
      <c r="AV125" s="344">
        <f>AU125</f>
        <v>14</v>
      </c>
      <c r="AW125" s="344">
        <f>AV125</f>
        <v>14</v>
      </c>
      <c r="AX125" s="344">
        <f t="shared" ref="AX125:AZ125" si="69">AW125</f>
        <v>14</v>
      </c>
      <c r="AY125" s="344">
        <f t="shared" si="69"/>
        <v>14</v>
      </c>
      <c r="AZ125" s="344">
        <f t="shared" si="69"/>
        <v>14</v>
      </c>
      <c r="BA125" s="345"/>
      <c r="BB125" s="344">
        <v>14</v>
      </c>
      <c r="BC125" s="344">
        <v>14</v>
      </c>
      <c r="BD125" s="344">
        <v>14</v>
      </c>
      <c r="BE125" s="344">
        <v>14</v>
      </c>
      <c r="BF125" s="344">
        <f t="shared" ref="BF125:BM125" si="70">BE125</f>
        <v>14</v>
      </c>
      <c r="BG125" s="344">
        <f t="shared" si="70"/>
        <v>14</v>
      </c>
      <c r="BH125" s="344">
        <f t="shared" si="70"/>
        <v>14</v>
      </c>
      <c r="BI125" s="344">
        <f t="shared" si="70"/>
        <v>14</v>
      </c>
      <c r="BJ125" s="344">
        <f t="shared" si="70"/>
        <v>14</v>
      </c>
      <c r="BK125" s="344">
        <f t="shared" si="70"/>
        <v>14</v>
      </c>
      <c r="BL125" s="344">
        <f t="shared" si="70"/>
        <v>14</v>
      </c>
      <c r="BM125" s="344">
        <f t="shared" si="70"/>
        <v>14</v>
      </c>
      <c r="BN125" s="345"/>
      <c r="BO125" s="272">
        <f>BM125</f>
        <v>14</v>
      </c>
    </row>
    <row r="126" spans="1:73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71">ROUND(AV112/30*AU125,0)</f>
        <v>0</v>
      </c>
      <c r="AV126" s="57">
        <f t="shared" si="71"/>
        <v>0</v>
      </c>
      <c r="AW126" s="57">
        <f t="shared" si="71"/>
        <v>0</v>
      </c>
      <c r="AX126" s="57">
        <f t="shared" si="71"/>
        <v>0</v>
      </c>
      <c r="AY126" s="57">
        <f t="shared" si="71"/>
        <v>0</v>
      </c>
      <c r="AZ126" s="57">
        <f t="shared" si="71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72">BG112/30*BF125</f>
        <v>0</v>
      </c>
      <c r="BG126" s="57">
        <f t="shared" si="72"/>
        <v>0</v>
      </c>
      <c r="BH126" s="57">
        <f t="shared" si="72"/>
        <v>0</v>
      </c>
      <c r="BI126" s="57">
        <f t="shared" si="72"/>
        <v>0</v>
      </c>
      <c r="BJ126" s="57">
        <f t="shared" si="72"/>
        <v>0</v>
      </c>
      <c r="BK126" s="57">
        <f t="shared" si="72"/>
        <v>0</v>
      </c>
      <c r="BL126" s="57">
        <f t="shared" si="72"/>
        <v>0</v>
      </c>
      <c r="BM126" s="57">
        <v>0</v>
      </c>
      <c r="BN126" s="215"/>
      <c r="BO126" s="141">
        <v>233583</v>
      </c>
    </row>
    <row r="127" spans="1:73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73">ROUND(AV114/30*AU125,0)</f>
        <v>0</v>
      </c>
      <c r="AV127" s="57">
        <f t="shared" si="73"/>
        <v>0</v>
      </c>
      <c r="AW127" s="57">
        <f t="shared" si="73"/>
        <v>0</v>
      </c>
      <c r="AX127" s="57">
        <f t="shared" si="73"/>
        <v>0</v>
      </c>
      <c r="AY127" s="57">
        <f t="shared" si="73"/>
        <v>0</v>
      </c>
      <c r="AZ127" s="57">
        <f t="shared" si="73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74">ROUND(BG114/30*BF125,0)</f>
        <v>0</v>
      </c>
      <c r="BG127" s="57">
        <f t="shared" si="74"/>
        <v>0</v>
      </c>
      <c r="BH127" s="57">
        <f t="shared" si="74"/>
        <v>0</v>
      </c>
      <c r="BI127" s="57">
        <f t="shared" si="74"/>
        <v>0</v>
      </c>
      <c r="BJ127" s="57">
        <f t="shared" si="74"/>
        <v>0</v>
      </c>
      <c r="BK127" s="57">
        <f t="shared" si="74"/>
        <v>0</v>
      </c>
      <c r="BL127" s="57">
        <f t="shared" si="74"/>
        <v>0</v>
      </c>
      <c r="BM127" s="57">
        <v>0</v>
      </c>
      <c r="BN127" s="215"/>
      <c r="BO127" s="141">
        <v>73681</v>
      </c>
    </row>
    <row r="128" spans="1:73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75">-AU126</f>
        <v>0</v>
      </c>
      <c r="AW128" s="57">
        <f t="shared" si="75"/>
        <v>0</v>
      </c>
      <c r="AX128" s="57">
        <f t="shared" si="75"/>
        <v>0</v>
      </c>
      <c r="AY128" s="57">
        <f t="shared" si="75"/>
        <v>0</v>
      </c>
      <c r="AZ128" s="57">
        <f t="shared" si="75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76">-BE126</f>
        <v>0</v>
      </c>
      <c r="BG128" s="57">
        <f t="shared" si="76"/>
        <v>0</v>
      </c>
      <c r="BH128" s="57">
        <f t="shared" si="76"/>
        <v>0</v>
      </c>
      <c r="BI128" s="57">
        <f t="shared" si="76"/>
        <v>0</v>
      </c>
      <c r="BJ128" s="57">
        <f t="shared" si="76"/>
        <v>0</v>
      </c>
      <c r="BK128" s="57">
        <f t="shared" si="76"/>
        <v>0</v>
      </c>
      <c r="BL128" s="57">
        <f t="shared" si="76"/>
        <v>0</v>
      </c>
      <c r="BM128" s="57">
        <f t="shared" si="76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75"/>
        <v>0</v>
      </c>
      <c r="AW129" s="57">
        <f t="shared" si="75"/>
        <v>0</v>
      </c>
      <c r="AX129" s="57">
        <f t="shared" si="75"/>
        <v>0</v>
      </c>
      <c r="AY129" s="57">
        <f t="shared" si="75"/>
        <v>0</v>
      </c>
      <c r="AZ129" s="57">
        <f t="shared" si="75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76"/>
        <v>0</v>
      </c>
      <c r="BG129" s="57">
        <f t="shared" si="76"/>
        <v>0</v>
      </c>
      <c r="BH129" s="57">
        <f t="shared" si="76"/>
        <v>0</v>
      </c>
      <c r="BI129" s="57">
        <f t="shared" si="76"/>
        <v>0</v>
      </c>
      <c r="BJ129" s="57">
        <f t="shared" si="76"/>
        <v>0</v>
      </c>
      <c r="BK129" s="57">
        <f t="shared" si="76"/>
        <v>0</v>
      </c>
      <c r="BL129" s="57">
        <f t="shared" si="76"/>
        <v>0</v>
      </c>
      <c r="BM129" s="57">
        <f t="shared" si="76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77">SUM(AV126:AV129)</f>
        <v>0</v>
      </c>
      <c r="AW130" s="344">
        <f t="shared" si="77"/>
        <v>0</v>
      </c>
      <c r="AX130" s="344">
        <f t="shared" si="77"/>
        <v>0</v>
      </c>
      <c r="AY130" s="344">
        <f t="shared" si="77"/>
        <v>0</v>
      </c>
      <c r="AZ130" s="344">
        <f t="shared" si="77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78">SUM(BF126:BF129)</f>
        <v>0</v>
      </c>
      <c r="BG130" s="344">
        <f t="shared" si="78"/>
        <v>0</v>
      </c>
      <c r="BH130" s="344">
        <f t="shared" si="78"/>
        <v>0</v>
      </c>
      <c r="BI130" s="344">
        <f t="shared" si="78"/>
        <v>0</v>
      </c>
      <c r="BJ130" s="344">
        <f t="shared" si="78"/>
        <v>0</v>
      </c>
      <c r="BK130" s="344">
        <f t="shared" si="78"/>
        <v>0</v>
      </c>
      <c r="BL130" s="344">
        <f t="shared" si="78"/>
        <v>0</v>
      </c>
      <c r="BM130" s="344">
        <f t="shared" si="78"/>
        <v>0</v>
      </c>
      <c r="BN130" s="345"/>
      <c r="BO130" s="272">
        <f t="shared" ref="BO130" si="79">SUM(BO126:BO129)</f>
        <v>307264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80">AU111+AU124</f>
        <v>334931.20799999998</v>
      </c>
      <c r="AV132" s="66">
        <f t="shared" si="80"/>
        <v>321093.79200000002</v>
      </c>
      <c r="AW132" s="66">
        <f t="shared" si="80"/>
        <v>401702</v>
      </c>
      <c r="AX132" s="66">
        <f t="shared" si="80"/>
        <v>445983</v>
      </c>
      <c r="AY132" s="66">
        <f t="shared" si="80"/>
        <v>491099</v>
      </c>
      <c r="AZ132" s="66">
        <f t="shared" si="80"/>
        <v>577281</v>
      </c>
      <c r="BA132" s="216">
        <f>SUM(AT132:AZ132)</f>
        <v>2572090</v>
      </c>
      <c r="BB132" s="66">
        <v>620214</v>
      </c>
      <c r="BC132" s="66">
        <v>582275</v>
      </c>
      <c r="BD132" s="66">
        <v>530885</v>
      </c>
      <c r="BE132" s="66">
        <v>468624</v>
      </c>
      <c r="BF132" s="66">
        <f t="shared" ref="BF132:BO132" si="81">BF111+BF124</f>
        <v>436595</v>
      </c>
      <c r="BG132" s="66">
        <f t="shared" si="81"/>
        <v>388396</v>
      </c>
      <c r="BH132" s="66">
        <f t="shared" si="81"/>
        <v>345976</v>
      </c>
      <c r="BI132" s="66">
        <f t="shared" si="81"/>
        <v>360149</v>
      </c>
      <c r="BJ132" s="66">
        <f t="shared" si="81"/>
        <v>404157</v>
      </c>
      <c r="BK132" s="66">
        <f t="shared" si="81"/>
        <v>448674</v>
      </c>
      <c r="BL132" s="66">
        <f t="shared" si="81"/>
        <v>493983</v>
      </c>
      <c r="BM132" s="66">
        <f t="shared" si="81"/>
        <v>583715</v>
      </c>
      <c r="BN132" s="216">
        <f t="shared" si="81"/>
        <v>5658820</v>
      </c>
      <c r="BO132" s="185">
        <f t="shared" si="81"/>
        <v>2670640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54">
    <cfRule type="cellIs" dxfId="21" priority="2" operator="lessThan">
      <formula>0</formula>
    </cfRule>
  </conditionalFormatting>
  <conditionalFormatting sqref="BA33">
    <cfRule type="cellIs" dxfId="20" priority="8" operator="lessThan">
      <formula>0</formula>
    </cfRule>
  </conditionalFormatting>
  <conditionalFormatting sqref="BN11">
    <cfRule type="cellIs" dxfId="19" priority="7" operator="lessThan">
      <formula>0</formula>
    </cfRule>
  </conditionalFormatting>
  <conditionalFormatting sqref="BN58">
    <cfRule type="cellIs" dxfId="18" priority="6" operator="lessThan">
      <formula>0</formula>
    </cfRule>
  </conditionalFormatting>
  <conditionalFormatting sqref="BN78">
    <cfRule type="cellIs" dxfId="17" priority="5" operator="lessThan">
      <formula>0</formula>
    </cfRule>
  </conditionalFormatting>
  <conditionalFormatting sqref="BN19">
    <cfRule type="cellIs" dxfId="16" priority="4" operator="lessThan">
      <formula>0</formula>
    </cfRule>
  </conditionalFormatting>
  <conditionalFormatting sqref="BN40">
    <cfRule type="cellIs" dxfId="15" priority="3" operator="lessThan">
      <formula>0</formula>
    </cfRule>
  </conditionalFormatting>
  <conditionalFormatting sqref="BN62">
    <cfRule type="cellIs" dxfId="14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BU133"/>
  <sheetViews>
    <sheetView zoomScale="80" zoomScaleNormal="80" workbookViewId="0">
      <pane xSplit="1" ySplit="6" topLeftCell="N59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1" width="12.42578125" hidden="1" customWidth="1" outlineLevel="1"/>
    <col min="22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11.140625" hidden="1" customWidth="1" outlineLevel="1"/>
    <col min="35" max="35" width="14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20.1406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9.5703125" style="3" bestFit="1" customWidth="1" collapsed="1"/>
    <col min="67" max="67" width="15.140625" bestFit="1" customWidth="1"/>
    <col min="69" max="69" width="13.85546875" bestFit="1" customWidth="1"/>
    <col min="72" max="72" width="12.28515625" bestFit="1" customWidth="1"/>
    <col min="73" max="73" width="11.28515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131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Customers!E164</f>
        <v>149</v>
      </c>
      <c r="AV7" s="124">
        <f>Customers!F164</f>
        <v>149</v>
      </c>
      <c r="AW7" s="124">
        <f>Customers!G164</f>
        <v>150</v>
      </c>
      <c r="AX7" s="124">
        <f>Customers!H164</f>
        <v>150</v>
      </c>
      <c r="AY7" s="124">
        <f>Customers!I164</f>
        <v>150</v>
      </c>
      <c r="AZ7" s="124">
        <f>Customers!J164</f>
        <v>150</v>
      </c>
      <c r="BA7" s="210">
        <f>AZ7</f>
        <v>150</v>
      </c>
      <c r="BB7" s="124">
        <v>152</v>
      </c>
      <c r="BC7" s="38">
        <v>152</v>
      </c>
      <c r="BD7" s="38">
        <v>152</v>
      </c>
      <c r="BE7" s="38">
        <v>152</v>
      </c>
      <c r="BF7" s="38">
        <f t="shared" ref="BF7:BM7" si="0">BE7</f>
        <v>152</v>
      </c>
      <c r="BG7" s="38">
        <f t="shared" si="0"/>
        <v>152</v>
      </c>
      <c r="BH7" s="38">
        <f t="shared" si="0"/>
        <v>152</v>
      </c>
      <c r="BI7" s="38">
        <f t="shared" si="0"/>
        <v>152</v>
      </c>
      <c r="BJ7" s="38">
        <f t="shared" si="0"/>
        <v>152</v>
      </c>
      <c r="BK7" s="38">
        <f t="shared" si="0"/>
        <v>152</v>
      </c>
      <c r="BL7" s="38">
        <f t="shared" si="0"/>
        <v>152</v>
      </c>
      <c r="BM7" s="38">
        <f t="shared" si="0"/>
        <v>152</v>
      </c>
      <c r="BN7" s="210">
        <f>IFERROR(ROUND(AVERAGE(BB7:BM7),0),0)</f>
        <v>152</v>
      </c>
      <c r="BO7" s="55">
        <v>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48"/>
      <c r="AP8" s="149"/>
      <c r="AQ8" s="149"/>
      <c r="AR8" s="149"/>
      <c r="AS8" s="149"/>
      <c r="AT8" s="145"/>
      <c r="AU8" s="145">
        <f>ROUND(AU$11*'kWh Blocks by Rate Category'!C8,0)</f>
        <v>95513</v>
      </c>
      <c r="AV8" s="145">
        <f>ROUND(AV$11*'kWh Blocks by Rate Category'!D8,0)</f>
        <v>93926</v>
      </c>
      <c r="AW8" s="145">
        <f>ROUND(AW$11*'kWh Blocks by Rate Category'!E8,0)</f>
        <v>62945</v>
      </c>
      <c r="AX8" s="145">
        <f>ROUND(AX$11*'kWh Blocks by Rate Category'!F8,0)</f>
        <v>101278</v>
      </c>
      <c r="AY8" s="145">
        <f>ROUND(AY$11*'kWh Blocks by Rate Category'!G8,0)</f>
        <v>138304</v>
      </c>
      <c r="AZ8" s="145">
        <f>ROUND(AZ$11*'kWh Blocks by Rate Category'!H8,0)</f>
        <v>120038</v>
      </c>
      <c r="BA8" s="210">
        <f>SUM(AO8:AZ8)</f>
        <v>612004</v>
      </c>
      <c r="BB8" s="38">
        <v>170550</v>
      </c>
      <c r="BC8" s="38">
        <v>169771</v>
      </c>
      <c r="BD8" s="38">
        <v>167833</v>
      </c>
      <c r="BE8" s="38">
        <v>142089</v>
      </c>
      <c r="BF8" s="38">
        <f>ROUND(BF$11*'kWh Blocks by Rate Category'!N8,0)</f>
        <v>142610</v>
      </c>
      <c r="BG8" s="38">
        <f>ROUND(BG$11*'kWh Blocks by Rate Category'!O8,0)</f>
        <v>130978</v>
      </c>
      <c r="BH8" s="38">
        <f>ROUND(BH$11*'kWh Blocks by Rate Category'!P8,0)</f>
        <v>97436</v>
      </c>
      <c r="BI8" s="38">
        <f>ROUND(BI$11*'kWh Blocks by Rate Category'!Q8,0)</f>
        <v>95817</v>
      </c>
      <c r="BJ8" s="38">
        <f>ROUND(BJ$11*'kWh Blocks by Rate Category'!R8,0)</f>
        <v>63783</v>
      </c>
      <c r="BK8" s="38">
        <f>ROUND(BK$11*'kWh Blocks by Rate Category'!S8,0)</f>
        <v>102629</v>
      </c>
      <c r="BL8" s="38">
        <f>ROUND(BL$11*'kWh Blocks by Rate Category'!T8,0)</f>
        <v>140148</v>
      </c>
      <c r="BM8" s="38">
        <f>ROUND(BM$11*'kWh Blocks by Rate Category'!U8,0)</f>
        <v>121639</v>
      </c>
      <c r="BN8" s="210">
        <f>SUM(BB8:BM8)</f>
        <v>1545283</v>
      </c>
      <c r="BO8" s="38">
        <f>ROUND(BO$11*'kWh Blocks by Rate Category'!W8,0)</f>
        <v>782809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48"/>
      <c r="AP9" s="149"/>
      <c r="AQ9" s="149"/>
      <c r="AR9" s="149"/>
      <c r="AS9" s="149"/>
      <c r="AT9" s="145"/>
      <c r="AU9" s="145">
        <f>ROUND(AU$11*'kWh Blocks by Rate Category'!C9,0)</f>
        <v>50894</v>
      </c>
      <c r="AV9" s="145">
        <f>ROUND(AV$11*'kWh Blocks by Rate Category'!D9,0)</f>
        <v>50049</v>
      </c>
      <c r="AW9" s="145">
        <f>ROUND(AW$11*'kWh Blocks by Rate Category'!E9,0)</f>
        <v>33540</v>
      </c>
      <c r="AX9" s="145">
        <f>ROUND(AX$11*'kWh Blocks by Rate Category'!F9,0)</f>
        <v>53966</v>
      </c>
      <c r="AY9" s="145">
        <f>ROUND(AY$11*'kWh Blocks by Rate Category'!G9,0)</f>
        <v>73695</v>
      </c>
      <c r="AZ9" s="145">
        <f>ROUND(AZ$11*'kWh Blocks by Rate Category'!H9,0)</f>
        <v>63962</v>
      </c>
      <c r="BA9" s="210">
        <f>SUM(AO9:AZ9)</f>
        <v>326106</v>
      </c>
      <c r="BB9" s="38">
        <v>90878</v>
      </c>
      <c r="BC9" s="38">
        <v>90463</v>
      </c>
      <c r="BD9" s="38">
        <v>89430</v>
      </c>
      <c r="BE9" s="38">
        <v>75712</v>
      </c>
      <c r="BF9" s="38">
        <f>ROUND(BF$11*'kWh Blocks by Rate Category'!N9,0)</f>
        <v>75990</v>
      </c>
      <c r="BG9" s="38">
        <f>ROUND(BG$11*'kWh Blocks by Rate Category'!O9,0)</f>
        <v>69791</v>
      </c>
      <c r="BH9" s="38">
        <f>ROUND(BH$11*'kWh Blocks by Rate Category'!P9,0)</f>
        <v>51919</v>
      </c>
      <c r="BI9" s="38">
        <f>ROUND(BI$11*'kWh Blocks by Rate Category'!Q9,0)</f>
        <v>51056</v>
      </c>
      <c r="BJ9" s="38">
        <f>ROUND(BJ$11*'kWh Blocks by Rate Category'!R9,0)</f>
        <v>33987</v>
      </c>
      <c r="BK9" s="38">
        <f>ROUND(BK$11*'kWh Blocks by Rate Category'!S9,0)</f>
        <v>54686</v>
      </c>
      <c r="BL9" s="38">
        <f>ROUND(BL$11*'kWh Blocks by Rate Category'!T9,0)</f>
        <v>74678</v>
      </c>
      <c r="BM9" s="38">
        <f>ROUND(BM$11*'kWh Blocks by Rate Category'!U9,0)</f>
        <v>64815</v>
      </c>
      <c r="BN9" s="210">
        <f>SUM(BB9:BM9)</f>
        <v>823405</v>
      </c>
      <c r="BO9" s="38">
        <f>ROUND(BO$11*'kWh Blocks by Rate Category'!W9,0)</f>
        <v>417119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48"/>
      <c r="AP10" s="149"/>
      <c r="AQ10" s="149"/>
      <c r="AR10" s="149"/>
      <c r="AS10" s="149"/>
      <c r="AT10" s="145"/>
      <c r="AU10" s="145">
        <f>ROUND(AU$11*'kWh Blocks by Rate Category'!C10,0)</f>
        <v>9704</v>
      </c>
      <c r="AV10" s="145">
        <f>ROUND(AV$11*'kWh Blocks by Rate Category'!D10,0)</f>
        <v>9543</v>
      </c>
      <c r="AW10" s="145">
        <f>ROUND(AW$11*'kWh Blocks by Rate Category'!E10,0)</f>
        <v>6395</v>
      </c>
      <c r="AX10" s="145">
        <f>ROUND(AX$11*'kWh Blocks by Rate Category'!F10,0)</f>
        <v>10290</v>
      </c>
      <c r="AY10" s="145">
        <f>ROUND(AY$11*'kWh Blocks by Rate Category'!G10,0)</f>
        <v>14052</v>
      </c>
      <c r="AZ10" s="145">
        <f>ROUND(AZ$11*'kWh Blocks by Rate Category'!H10,0)</f>
        <v>12196</v>
      </c>
      <c r="BA10" s="210">
        <f>SUM(AO10:AZ10)</f>
        <v>62180</v>
      </c>
      <c r="BB10" s="38">
        <v>17328</v>
      </c>
      <c r="BC10" s="38">
        <v>17249</v>
      </c>
      <c r="BD10" s="38">
        <v>17052</v>
      </c>
      <c r="BE10" s="38">
        <v>14437</v>
      </c>
      <c r="BF10" s="38">
        <f>ROUND(BF$11*'kWh Blocks by Rate Category'!N10,0)</f>
        <v>14490</v>
      </c>
      <c r="BG10" s="38">
        <f>ROUND(BG$11*'kWh Blocks by Rate Category'!O10,0)</f>
        <v>13308</v>
      </c>
      <c r="BH10" s="38">
        <f>ROUND(BH$11*'kWh Blocks by Rate Category'!P10,0)</f>
        <v>9900</v>
      </c>
      <c r="BI10" s="38">
        <f>ROUND(BI$11*'kWh Blocks by Rate Category'!Q10,0)</f>
        <v>9735</v>
      </c>
      <c r="BJ10" s="38">
        <f>ROUND(BJ$11*'kWh Blocks by Rate Category'!R10,0)</f>
        <v>6481</v>
      </c>
      <c r="BK10" s="38">
        <f>ROUND(BK$11*'kWh Blocks by Rate Category'!S10,0)</f>
        <v>10427</v>
      </c>
      <c r="BL10" s="38">
        <f>ROUND(BL$11*'kWh Blocks by Rate Category'!T10,0)</f>
        <v>14239</v>
      </c>
      <c r="BM10" s="38">
        <f>ROUND(BM$11*'kWh Blocks by Rate Category'!U10,0)</f>
        <v>12359</v>
      </c>
      <c r="BN10" s="210">
        <f>SUM(BB10:BM10)</f>
        <v>157005</v>
      </c>
      <c r="BO10" s="38">
        <f>ROUND(BO$11*'kWh Blocks by Rate Category'!W10,0)</f>
        <v>79535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156111</v>
      </c>
      <c r="AV11" s="64">
        <f t="shared" si="1"/>
        <v>153518</v>
      </c>
      <c r="AW11" s="64">
        <f t="shared" si="1"/>
        <v>102880</v>
      </c>
      <c r="AX11" s="64">
        <f t="shared" si="1"/>
        <v>165534</v>
      </c>
      <c r="AY11" s="64">
        <f t="shared" si="1"/>
        <v>226051</v>
      </c>
      <c r="AZ11" s="11">
        <f t="shared" si="1"/>
        <v>196197</v>
      </c>
      <c r="BA11" s="196">
        <f>SUM(AO11:AZ11)</f>
        <v>1000291</v>
      </c>
      <c r="BB11" s="64">
        <v>278756</v>
      </c>
      <c r="BC11" s="64">
        <v>277483</v>
      </c>
      <c r="BD11" s="64">
        <v>274315</v>
      </c>
      <c r="BE11" s="64">
        <v>232238</v>
      </c>
      <c r="BF11" s="64">
        <f t="shared" ref="BF11:BM11" si="2">IFERROR(ROUND(BF12*BF7,0),0)</f>
        <v>233089</v>
      </c>
      <c r="BG11" s="64">
        <f t="shared" si="2"/>
        <v>214077</v>
      </c>
      <c r="BH11" s="64">
        <f t="shared" si="2"/>
        <v>159255</v>
      </c>
      <c r="BI11" s="64">
        <f t="shared" si="2"/>
        <v>156609</v>
      </c>
      <c r="BJ11" s="64">
        <f t="shared" si="2"/>
        <v>104251</v>
      </c>
      <c r="BK11" s="64">
        <f t="shared" si="2"/>
        <v>167742</v>
      </c>
      <c r="BL11" s="64">
        <f t="shared" si="2"/>
        <v>229065</v>
      </c>
      <c r="BM11" s="64">
        <f t="shared" si="2"/>
        <v>198813</v>
      </c>
      <c r="BN11" s="196">
        <f>SUM(BB11:BM11)</f>
        <v>2525693</v>
      </c>
      <c r="BO11" s="147">
        <f>BQ19-BO19</f>
        <v>1279463</v>
      </c>
    </row>
    <row r="12" spans="1:67" ht="15" thickTop="1">
      <c r="A12" s="374" t="s">
        <v>54</v>
      </c>
      <c r="B12" s="84">
        <f>IF('kWh_Streetlight Data'!C161=0,"",'kWh_Streetlight Data'!C161)</f>
        <v>1681.4565217391305</v>
      </c>
      <c r="C12" s="108">
        <f>IF('kWh_Streetlight Data'!D161=0,"",'kWh_Streetlight Data'!D161)</f>
        <v>1699.0139860139859</v>
      </c>
      <c r="D12" s="108">
        <f>IF('kWh_Streetlight Data'!E161=0,"",'kWh_Streetlight Data'!E161)</f>
        <v>1719.4861111111111</v>
      </c>
      <c r="E12" s="108">
        <f>IF('kWh_Streetlight Data'!F161=0,"",'kWh_Streetlight Data'!F161)</f>
        <v>1128.0734463276835</v>
      </c>
      <c r="F12" s="108">
        <f>IF('kWh_Streetlight Data'!G161=0,"",'kWh_Streetlight Data'!G161)</f>
        <v>1383.9662162162163</v>
      </c>
      <c r="G12" s="108">
        <f>IF('kWh_Streetlight Data'!H161=0,"",'kWh_Streetlight Data'!H161)</f>
        <v>1374.7083333333333</v>
      </c>
      <c r="H12" s="108">
        <f>IF('kWh_Streetlight Data'!I161=0,"",'kWh_Streetlight Data'!I161)</f>
        <v>932.51428571428573</v>
      </c>
      <c r="I12" s="108">
        <f>IF('kWh_Streetlight Data'!J161=0,"",'kWh_Streetlight Data'!J161)</f>
        <v>966.30597014925377</v>
      </c>
      <c r="J12" s="108">
        <f>IF('kWh_Streetlight Data'!K161=0,"",'kWh_Streetlight Data'!K161)</f>
        <v>318.77777777777777</v>
      </c>
      <c r="K12" s="108">
        <f>IF('kWh_Streetlight Data'!L161=0,"",'kWh_Streetlight Data'!L161)</f>
        <v>1095.0567375886526</v>
      </c>
      <c r="L12" s="108">
        <f>IF('kWh_Streetlight Data'!M161=0,"",'kWh_Streetlight Data'!M161)</f>
        <v>1462.4166666666667</v>
      </c>
      <c r="M12" s="108">
        <f>IF('kWh_Streetlight Data'!N161=0,"",'kWh_Streetlight Data'!N161)</f>
        <v>695.66666666666663</v>
      </c>
      <c r="N12" s="424">
        <f>IF('kWh_Streetlight Data'!O161=0,"",'kWh_Streetlight Data'!O161)</f>
        <v>1315.7527440785673</v>
      </c>
      <c r="O12" s="84">
        <f>IF('kWh_Streetlight Data'!P161=0,"",'kWh_Streetlight Data'!P161)</f>
        <v>1644.5357142857142</v>
      </c>
      <c r="P12" s="108">
        <f>IF('kWh_Streetlight Data'!Q161=0,"",'kWh_Streetlight Data'!Q161)</f>
        <v>1976.8</v>
      </c>
      <c r="Q12" s="108">
        <f>IF('kWh_Streetlight Data'!R161=0,"",'kWh_Streetlight Data'!R161)</f>
        <v>1738.4429530201342</v>
      </c>
      <c r="R12" s="108">
        <f>IF('kWh_Streetlight Data'!S161=0,"",'kWh_Streetlight Data'!S161)</f>
        <v>1471.3092105263158</v>
      </c>
      <c r="S12" s="108">
        <f>IF('kWh_Streetlight Data'!T161=0,"",'kWh_Streetlight Data'!T161)</f>
        <v>1552.1517241379311</v>
      </c>
      <c r="T12" s="108">
        <f>IF('kWh_Streetlight Data'!U161=0,"",'kWh_Streetlight Data'!U161)</f>
        <v>1275.952380952381</v>
      </c>
      <c r="U12" s="108">
        <f>IF('kWh_Streetlight Data'!V161=0,"",'kWh_Streetlight Data'!V161)</f>
        <v>1028.0999999999999</v>
      </c>
      <c r="V12" s="108">
        <f>IF('kWh_Streetlight Data'!W161=0,"",'kWh_Streetlight Data'!W161)</f>
        <v>1051.0555555555557</v>
      </c>
      <c r="W12" s="108">
        <f>IF('kWh_Streetlight Data'!X161=0,"",'kWh_Streetlight Data'!X161)</f>
        <v>881</v>
      </c>
      <c r="X12" s="108">
        <f>IF('kWh_Streetlight Data'!Y161=0,"",'kWh_Streetlight Data'!Y161)</f>
        <v>983.67346938775506</v>
      </c>
      <c r="Y12" s="108">
        <f>IF('kWh_Streetlight Data'!Z161=0,"",'kWh_Streetlight Data'!Z161)</f>
        <v>1534.2397260273972</v>
      </c>
      <c r="Z12" s="108">
        <f>IF('kWh_Streetlight Data'!AA161=0,"",'kWh_Streetlight Data'!AA161)</f>
        <v>1503.8571428571429</v>
      </c>
      <c r="AA12" s="424">
        <f>IF('kWh_Streetlight Data'!AB161=0,"",'kWh_Streetlight Data'!AB161)</f>
        <v>1385.679180887372</v>
      </c>
      <c r="AB12" s="129">
        <f>IF('kWh_Streetlight Data'!AC161=0,"",'kWh_Streetlight Data'!AC161)</f>
        <v>2175.7702702702704</v>
      </c>
      <c r="AC12" s="130">
        <f>IF('kWh_Streetlight Data'!AD161=0,"",'kWh_Streetlight Data'!AD161)</f>
        <v>1800.8243243243244</v>
      </c>
      <c r="AD12" s="130">
        <f>IF('kWh_Streetlight Data'!AE161=0,"",'kWh_Streetlight Data'!AE161)</f>
        <v>1956.1879194630872</v>
      </c>
      <c r="AE12" s="130">
        <f>IF('kWh_Streetlight Data'!AF161=0,"",'kWh_Streetlight Data'!AF161)</f>
        <v>1984.2617449664428</v>
      </c>
      <c r="AF12" s="130">
        <f>IF('kWh_Streetlight Data'!AG161=0,"",'kWh_Streetlight Data'!AG161)</f>
        <v>1664.3133333333333</v>
      </c>
      <c r="AG12" s="130">
        <f>IF('kWh_Streetlight Data'!AH161=0,"",'kWh_Streetlight Data'!AH161)</f>
        <v>1574.5394736842106</v>
      </c>
      <c r="AH12" s="130">
        <f>IF('kWh_Streetlight Data'!AI161=0,"",'kWh_Streetlight Data'!AI161)</f>
        <v>1182.5677419354838</v>
      </c>
      <c r="AI12" s="130">
        <f>IF('kWh_Streetlight Data'!AJ161=0,"",'kWh_Streetlight Data'!AJ161)</f>
        <v>1073.6081081081081</v>
      </c>
      <c r="AJ12" s="130">
        <f>IF('kWh_Streetlight Data'!AK161=0,"",'kWh_Streetlight Data'!AK161)</f>
        <v>857.81366459627327</v>
      </c>
      <c r="AK12" s="130">
        <f>IF('kWh_Streetlight Data'!AL161=0,"",'kWh_Streetlight Data'!AL161)</f>
        <v>1231.9597315436242</v>
      </c>
      <c r="AL12" s="130">
        <f>IF('kWh_Streetlight Data'!AM161=0,"",'kWh_Streetlight Data'!AM161)</f>
        <v>1524.36</v>
      </c>
      <c r="AM12" s="130">
        <f>IF('kWh_Streetlight Data'!AN161=0,"",'kWh_Streetlight Data'!AN161)</f>
        <v>1724.418918918919</v>
      </c>
      <c r="AN12" s="426">
        <f>IF('kWh_Streetlight Data'!AO161=0,"",'kWh_Streetlight Data'!AO161)</f>
        <v>1556.3752075262867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1047.7273425499232</v>
      </c>
      <c r="AV12" s="9">
        <f t="shared" si="3"/>
        <v>1030.3232112709727</v>
      </c>
      <c r="AW12" s="9">
        <f t="shared" si="3"/>
        <v>685.8638141246837</v>
      </c>
      <c r="AX12" s="9">
        <f t="shared" si="3"/>
        <v>1103.5633128400107</v>
      </c>
      <c r="AY12" s="9">
        <f t="shared" si="3"/>
        <v>1507.0054642313546</v>
      </c>
      <c r="AZ12" s="9">
        <f t="shared" si="3"/>
        <v>1307.9809094809095</v>
      </c>
      <c r="BA12" s="211"/>
      <c r="BB12" s="17">
        <v>1833.9208354317052</v>
      </c>
      <c r="BC12" s="17">
        <v>1825.5461034461034</v>
      </c>
      <c r="BD12" s="17">
        <v>1804.7056611981109</v>
      </c>
      <c r="BE12" s="17">
        <v>1527.8814672734807</v>
      </c>
      <c r="BF12" s="17">
        <f t="shared" ref="BF12:BM12" si="4">IFERROR(AVERAGE(F12,S12,AF12),0)</f>
        <v>1533.4770912291604</v>
      </c>
      <c r="BG12" s="17">
        <f t="shared" si="4"/>
        <v>1408.4000626566415</v>
      </c>
      <c r="BH12" s="17">
        <f t="shared" si="4"/>
        <v>1047.7273425499232</v>
      </c>
      <c r="BI12" s="17">
        <f t="shared" si="4"/>
        <v>1030.3232112709727</v>
      </c>
      <c r="BJ12" s="17">
        <f t="shared" si="4"/>
        <v>685.8638141246837</v>
      </c>
      <c r="BK12" s="17">
        <f t="shared" si="4"/>
        <v>1103.5633128400107</v>
      </c>
      <c r="BL12" s="17">
        <f t="shared" si="4"/>
        <v>1507.0054642313546</v>
      </c>
      <c r="BM12" s="17">
        <f t="shared" si="4"/>
        <v>1307.9809094809095</v>
      </c>
      <c r="BN12" s="211">
        <f>IFERROR(BN11/SUM(BB7:BM7)*12,0)</f>
        <v>16616.401315789473</v>
      </c>
      <c r="BO12" s="20">
        <v>0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/>
      <c r="BI15" s="124"/>
      <c r="BJ15" s="124"/>
      <c r="BK15" s="124"/>
      <c r="BL15" s="124"/>
      <c r="BM15" s="124"/>
      <c r="BN15" s="210"/>
      <c r="BO15" s="125">
        <f>Customers!L164</f>
        <v>154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9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38">
        <f>ROUND(BO$19*'kWh Blocks by Rate Category'!W15,0)</f>
        <v>782809</v>
      </c>
    </row>
    <row r="17" spans="1:70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9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38">
        <f>ROUND(BO$19*'kWh Blocks by Rate Category'!W16,0)</f>
        <v>417119</v>
      </c>
      <c r="BR17" s="229" t="s">
        <v>221</v>
      </c>
    </row>
    <row r="18" spans="1:70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9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38">
        <f>ROUND(BO$19*'kWh Blocks by Rate Category'!W17,0)</f>
        <v>79535</v>
      </c>
      <c r="BQ18" s="229" t="s">
        <v>222</v>
      </c>
      <c r="BR18" s="229" t="s">
        <v>223</v>
      </c>
    </row>
    <row r="19" spans="1:70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11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ROUND(BQ19/12*BR19,0)</f>
        <v>1279463</v>
      </c>
      <c r="BQ19" s="39">
        <f>ROUND(BO20*BO15,0)</f>
        <v>2558926</v>
      </c>
      <c r="BR19" s="296">
        <v>6</v>
      </c>
    </row>
    <row r="20" spans="1:70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BN12</f>
        <v>16616.401315789473</v>
      </c>
      <c r="BR20" s="229" t="s">
        <v>224</v>
      </c>
    </row>
    <row r="21" spans="1:70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0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0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0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0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0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0" ht="15" thickTop="1">
      <c r="A27" s="374" t="s">
        <v>54</v>
      </c>
      <c r="B27" s="84" t="str">
        <f>IF('kWh_Streetlight Data'!C162=0,"",'kWh_Streetlight Data'!C162)</f>
        <v/>
      </c>
      <c r="C27" s="108" t="str">
        <f>IF('kWh_Streetlight Data'!D162=0,"",'kWh_Streetlight Data'!D162)</f>
        <v/>
      </c>
      <c r="D27" s="108" t="str">
        <f>IF('kWh_Streetlight Data'!E162=0,"",'kWh_Streetlight Data'!E162)</f>
        <v/>
      </c>
      <c r="E27" s="108" t="str">
        <f>IF('kWh_Streetlight Data'!F162=0,"",'kWh_Streetlight Data'!F162)</f>
        <v/>
      </c>
      <c r="F27" s="108" t="str">
        <f>IF('kWh_Streetlight Data'!G162=0,"",'kWh_Streetlight Data'!G162)</f>
        <v/>
      </c>
      <c r="G27" s="108" t="str">
        <f>IF('kWh_Streetlight Data'!H162=0,"",'kWh_Streetlight Data'!H162)</f>
        <v/>
      </c>
      <c r="H27" s="108" t="str">
        <f>IF('kWh_Streetlight Data'!I162=0,"",'kWh_Streetlight Data'!I162)</f>
        <v/>
      </c>
      <c r="I27" s="108" t="str">
        <f>IF('kWh_Streetlight Data'!J162=0,"",'kWh_Streetlight Data'!J162)</f>
        <v/>
      </c>
      <c r="J27" s="108" t="str">
        <f>IF('kWh_Streetlight Data'!K162=0,"",'kWh_Streetlight Data'!K162)</f>
        <v/>
      </c>
      <c r="K27" s="108" t="str">
        <f>IF('kWh_Streetlight Data'!L162=0,"",'kWh_Streetlight Data'!L162)</f>
        <v/>
      </c>
      <c r="L27" s="108" t="str">
        <f>IF('kWh_Streetlight Data'!M162=0,"",'kWh_Streetlight Data'!M162)</f>
        <v/>
      </c>
      <c r="M27" s="108" t="str">
        <f>IF('kWh_Streetlight Data'!N162=0,"",'kWh_Streetlight Data'!N162)</f>
        <v/>
      </c>
      <c r="N27" s="424" t="str">
        <f>IF('kWh_Streetlight Data'!O162=0,"",'kWh_Streetlight Data'!O162)</f>
        <v/>
      </c>
      <c r="O27" s="84" t="str">
        <f>IF('kWh_Streetlight Data'!P162=0,"",'kWh_Streetlight Data'!P162)</f>
        <v/>
      </c>
      <c r="P27" s="108" t="str">
        <f>IF('kWh_Streetlight Data'!Q162=0,"",'kWh_Streetlight Data'!Q162)</f>
        <v/>
      </c>
      <c r="Q27" s="108" t="str">
        <f>IF('kWh_Streetlight Data'!R162=0,"",'kWh_Streetlight Data'!R162)</f>
        <v/>
      </c>
      <c r="R27" s="108" t="str">
        <f>IF('kWh_Streetlight Data'!S162=0,"",'kWh_Streetlight Data'!S162)</f>
        <v/>
      </c>
      <c r="S27" s="108" t="str">
        <f>IF('kWh_Streetlight Data'!T162=0,"",'kWh_Streetlight Data'!T162)</f>
        <v/>
      </c>
      <c r="T27" s="108" t="str">
        <f>IF('kWh_Streetlight Data'!U162=0,"",'kWh_Streetlight Data'!U162)</f>
        <v/>
      </c>
      <c r="U27" s="108" t="str">
        <f>IF('kWh_Streetlight Data'!V162=0,"",'kWh_Streetlight Data'!V162)</f>
        <v/>
      </c>
      <c r="V27" s="108" t="str">
        <f>IF('kWh_Streetlight Data'!W162=0,"",'kWh_Streetlight Data'!W162)</f>
        <v/>
      </c>
      <c r="W27" s="108" t="str">
        <f>IF('kWh_Streetlight Data'!X162=0,"",'kWh_Streetlight Data'!X162)</f>
        <v/>
      </c>
      <c r="X27" s="108" t="str">
        <f>IF('kWh_Streetlight Data'!Y162=0,"",'kWh_Streetlight Data'!Y162)</f>
        <v/>
      </c>
      <c r="Y27" s="108" t="str">
        <f>IF('kWh_Streetlight Data'!Z162=0,"",'kWh_Streetlight Data'!Z162)</f>
        <v/>
      </c>
      <c r="Z27" s="108" t="str">
        <f>IF('kWh_Streetlight Data'!AA162=0,"",'kWh_Streetlight Data'!AA162)</f>
        <v/>
      </c>
      <c r="AA27" s="424" t="str">
        <f>IF('kWh_Streetlight Data'!AB162=0,"",'kWh_Streetlight Data'!AB162)</f>
        <v/>
      </c>
      <c r="AB27" s="129" t="str">
        <f>IF('kWh_Streetlight Data'!AC162=0,"",'kWh_Streetlight Data'!AC162)</f>
        <v/>
      </c>
      <c r="AC27" s="130" t="str">
        <f>IF('kWh_Streetlight Data'!AD162=0,"",'kWh_Streetlight Data'!AD162)</f>
        <v/>
      </c>
      <c r="AD27" s="130" t="str">
        <f>IF('kWh_Streetlight Data'!AE162=0,"",'kWh_Streetlight Data'!AE162)</f>
        <v/>
      </c>
      <c r="AE27" s="130" t="str">
        <f>IF('kWh_Streetlight Data'!AF162=0,"",'kWh_Streetlight Data'!AF162)</f>
        <v/>
      </c>
      <c r="AF27" s="130" t="str">
        <f>IF('kWh_Streetlight Data'!AG162=0,"",'kWh_Streetlight Data'!AG162)</f>
        <v/>
      </c>
      <c r="AG27" s="130" t="str">
        <f>IF('kWh_Streetlight Data'!AH162=0,"",'kWh_Streetlight Data'!AH162)</f>
        <v/>
      </c>
      <c r="AH27" s="108" t="str">
        <f>IF('kWh_Streetlight Data'!AI162=0,"",'kWh_Streetlight Data'!AI162)</f>
        <v/>
      </c>
      <c r="AI27" s="108" t="str">
        <f>IF('kWh_Streetlight Data'!AJ162=0,"",'kWh_Streetlight Data'!AJ162)</f>
        <v/>
      </c>
      <c r="AJ27" s="108" t="str">
        <f>IF('kWh_Streetlight Data'!AK162=0,"",'kWh_Streetlight Data'!AK162)</f>
        <v/>
      </c>
      <c r="AK27" s="108" t="str">
        <f>IF('kWh_Streetlight Data'!AL162=0,"",'kWh_Streetlight Data'!AL162)</f>
        <v/>
      </c>
      <c r="AL27" s="108" t="str">
        <f>IF('kWh_Streetlight Data'!AM162=0,"",'kWh_Streetlight Data'!AM162)</f>
        <v/>
      </c>
      <c r="AM27" s="108" t="str">
        <f>IF('kWh_Streetlight Data'!AN162=0,"",'kWh_Streetlight Data'!AN162)</f>
        <v/>
      </c>
      <c r="AN27" s="426" t="str">
        <f>IF('kWh_Streetlight Data'!AO162=0,"",'kWh_Streetlight Data'!AO162)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0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0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Customers!E166</f>
        <v>16</v>
      </c>
      <c r="AV29" s="124">
        <f>Customers!F166</f>
        <v>16</v>
      </c>
      <c r="AW29" s="124">
        <f>Customers!G166</f>
        <v>16</v>
      </c>
      <c r="AX29" s="124">
        <f>Customers!H166</f>
        <v>16</v>
      </c>
      <c r="AY29" s="124">
        <f>Customers!I166</f>
        <v>16</v>
      </c>
      <c r="AZ29" s="124">
        <f>Customers!J166</f>
        <v>16</v>
      </c>
      <c r="BA29" s="210">
        <f>AZ29</f>
        <v>16</v>
      </c>
      <c r="BB29" s="124">
        <v>16</v>
      </c>
      <c r="BC29" s="38">
        <v>16</v>
      </c>
      <c r="BD29" s="38">
        <v>16</v>
      </c>
      <c r="BE29" s="38">
        <v>16</v>
      </c>
      <c r="BF29" s="38">
        <f t="shared" ref="BF29:BM29" si="5">BE29</f>
        <v>16</v>
      </c>
      <c r="BG29" s="38">
        <f t="shared" si="5"/>
        <v>16</v>
      </c>
      <c r="BH29" s="38">
        <f t="shared" si="5"/>
        <v>16</v>
      </c>
      <c r="BI29" s="38">
        <f t="shared" si="5"/>
        <v>16</v>
      </c>
      <c r="BJ29" s="38">
        <f t="shared" si="5"/>
        <v>16</v>
      </c>
      <c r="BK29" s="38">
        <f t="shared" si="5"/>
        <v>16</v>
      </c>
      <c r="BL29" s="38">
        <f t="shared" si="5"/>
        <v>16</v>
      </c>
      <c r="BM29" s="38">
        <f t="shared" si="5"/>
        <v>16</v>
      </c>
      <c r="BN29" s="210">
        <f>IFERROR(ROUND(AVERAGE(BB29:BM29),0),0)</f>
        <v>16</v>
      </c>
      <c r="BO29" s="90">
        <v>0</v>
      </c>
    </row>
    <row r="30" spans="1:70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10756</v>
      </c>
      <c r="AV30" s="38">
        <f>ROUND(AV$33*'kWh Blocks by Rate Category'!D29,0)</f>
        <v>12098</v>
      </c>
      <c r="AW30" s="38">
        <f>ROUND(AW$33*'kWh Blocks by Rate Category'!E29,0)</f>
        <v>14155</v>
      </c>
      <c r="AX30" s="38">
        <f>ROUND(AX$33*'kWh Blocks by Rate Category'!F29,0)</f>
        <v>12970</v>
      </c>
      <c r="AY30" s="38">
        <f>ROUND(AY$33*'kWh Blocks by Rate Category'!G29,0)</f>
        <v>19117</v>
      </c>
      <c r="AZ30" s="38">
        <f>ROUND(AZ$33*'kWh Blocks by Rate Category'!H29,0)</f>
        <v>24402</v>
      </c>
      <c r="BA30" s="210">
        <f>SUM(AO30:AZ30)</f>
        <v>93498</v>
      </c>
      <c r="BB30" s="38">
        <v>26457</v>
      </c>
      <c r="BC30" s="38">
        <v>28399</v>
      </c>
      <c r="BD30" s="38">
        <v>30436</v>
      </c>
      <c r="BE30" s="38">
        <v>24178</v>
      </c>
      <c r="BF30" s="38">
        <f>ROUND(BF$33*'kWh Blocks by Rate Category'!N29,0)</f>
        <v>16992</v>
      </c>
      <c r="BG30" s="38">
        <f>ROUND(BG$33*'kWh Blocks by Rate Category'!O29,0)</f>
        <v>13995</v>
      </c>
      <c r="BH30" s="38">
        <f>ROUND(BH$33*'kWh Blocks by Rate Category'!P29,0)</f>
        <v>10756</v>
      </c>
      <c r="BI30" s="38">
        <f>ROUND(BI$33*'kWh Blocks by Rate Category'!Q29,0)</f>
        <v>12098</v>
      </c>
      <c r="BJ30" s="38">
        <f>ROUND(BJ$33*'kWh Blocks by Rate Category'!R29,0)</f>
        <v>14155</v>
      </c>
      <c r="BK30" s="38">
        <f>ROUND(BK$33*'kWh Blocks by Rate Category'!S29,0)</f>
        <v>12970</v>
      </c>
      <c r="BL30" s="38">
        <f>ROUND(BL$33*'kWh Blocks by Rate Category'!T29,0)</f>
        <v>19117</v>
      </c>
      <c r="BM30" s="38">
        <f>ROUND(BM$33*'kWh Blocks by Rate Category'!U29,0)</f>
        <v>24402</v>
      </c>
      <c r="BN30" s="210">
        <f>SUM(BB30:BM30)</f>
        <v>233955</v>
      </c>
      <c r="BO30" s="38">
        <f>ROUND(BO$33*'kWh Blocks by Rate Category'!W29,0)</f>
        <v>116977</v>
      </c>
    </row>
    <row r="31" spans="1:70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1024</v>
      </c>
      <c r="AV31" s="38">
        <f>ROUND(AV$33*'kWh Blocks by Rate Category'!D30,0)</f>
        <v>1152</v>
      </c>
      <c r="AW31" s="38">
        <f>ROUND(AW$33*'kWh Blocks by Rate Category'!E30,0)</f>
        <v>1348</v>
      </c>
      <c r="AX31" s="38">
        <f>ROUND(AX$33*'kWh Blocks by Rate Category'!F30,0)</f>
        <v>1235</v>
      </c>
      <c r="AY31" s="38">
        <f>ROUND(AY$33*'kWh Blocks by Rate Category'!G30,0)</f>
        <v>1820</v>
      </c>
      <c r="AZ31" s="38">
        <f>ROUND(AZ$33*'kWh Blocks by Rate Category'!H30,0)</f>
        <v>2323</v>
      </c>
      <c r="BA31" s="210">
        <f>SUM(AO31:AZ31)</f>
        <v>8902</v>
      </c>
      <c r="BB31" s="38">
        <v>2519</v>
      </c>
      <c r="BC31" s="38">
        <v>2704</v>
      </c>
      <c r="BD31" s="38">
        <v>2898</v>
      </c>
      <c r="BE31" s="38">
        <v>2302</v>
      </c>
      <c r="BF31" s="38">
        <f>ROUND(BF$33*'kWh Blocks by Rate Category'!N30,0)</f>
        <v>1618</v>
      </c>
      <c r="BG31" s="38">
        <f>ROUND(BG$33*'kWh Blocks by Rate Category'!O30,0)</f>
        <v>1333</v>
      </c>
      <c r="BH31" s="38">
        <f>ROUND(BH$33*'kWh Blocks by Rate Category'!P30,0)</f>
        <v>1024</v>
      </c>
      <c r="BI31" s="38">
        <f>ROUND(BI$33*'kWh Blocks by Rate Category'!Q30,0)</f>
        <v>1152</v>
      </c>
      <c r="BJ31" s="38">
        <f>ROUND(BJ$33*'kWh Blocks by Rate Category'!R30,0)</f>
        <v>1348</v>
      </c>
      <c r="BK31" s="38">
        <f>ROUND(BK$33*'kWh Blocks by Rate Category'!S30,0)</f>
        <v>1235</v>
      </c>
      <c r="BL31" s="38">
        <f>ROUND(BL$33*'kWh Blocks by Rate Category'!T30,0)</f>
        <v>1820</v>
      </c>
      <c r="BM31" s="38">
        <f>ROUND(BM$33*'kWh Blocks by Rate Category'!U30,0)</f>
        <v>2323</v>
      </c>
      <c r="BN31" s="210">
        <f>SUM(BB31:BM31)</f>
        <v>22276</v>
      </c>
      <c r="BO31" s="38">
        <f>ROUND(BO$33*'kWh Blocks by Rate Category'!W30,0)</f>
        <v>11138</v>
      </c>
    </row>
    <row r="32" spans="1:70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70"/>
      <c r="AP32" s="171"/>
      <c r="AQ32" s="171"/>
      <c r="AR32" s="171"/>
      <c r="AS32" s="171"/>
      <c r="AT32" s="56"/>
      <c r="AU32" s="56">
        <f>ROUND(AU$33*'kWh Blocks by Rate Category'!C31,0)</f>
        <v>0</v>
      </c>
      <c r="AV32" s="56">
        <f>ROUND(AV$33*'kWh Blocks by Rate Category'!D31,0)</f>
        <v>0</v>
      </c>
      <c r="AW32" s="56">
        <f>ROUND(AW$33*'kWh Blocks by Rate Category'!E31,0)</f>
        <v>0</v>
      </c>
      <c r="AX32" s="56">
        <f>ROUND(AX$33*'kWh Blocks by Rate Category'!F31,0)</f>
        <v>0</v>
      </c>
      <c r="AY32" s="56">
        <f>ROUND(AY$33*'kWh Blocks by Rate Category'!G31,0)</f>
        <v>0</v>
      </c>
      <c r="AZ32" s="56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0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11780</v>
      </c>
      <c r="AV33" s="64">
        <f t="shared" si="6"/>
        <v>13250</v>
      </c>
      <c r="AW33" s="64">
        <f t="shared" si="6"/>
        <v>15503</v>
      </c>
      <c r="AX33" s="64">
        <f t="shared" si="6"/>
        <v>14205</v>
      </c>
      <c r="AY33" s="64">
        <f t="shared" si="6"/>
        <v>20937</v>
      </c>
      <c r="AZ33" s="64">
        <f t="shared" si="6"/>
        <v>26725</v>
      </c>
      <c r="BA33" s="196">
        <f>SUM(AO33:AZ33)</f>
        <v>102400</v>
      </c>
      <c r="BB33" s="64">
        <v>28976</v>
      </c>
      <c r="BC33" s="64">
        <v>31103</v>
      </c>
      <c r="BD33" s="64">
        <v>33334</v>
      </c>
      <c r="BE33" s="64">
        <v>26480</v>
      </c>
      <c r="BF33" s="64">
        <f t="shared" ref="BF33:BM33" si="7">IFERROR(ROUND(BF34*BF29,0),0)</f>
        <v>18610</v>
      </c>
      <c r="BG33" s="64">
        <f t="shared" si="7"/>
        <v>15328</v>
      </c>
      <c r="BH33" s="64">
        <f t="shared" si="7"/>
        <v>11780</v>
      </c>
      <c r="BI33" s="64">
        <f t="shared" si="7"/>
        <v>13250</v>
      </c>
      <c r="BJ33" s="64">
        <f t="shared" si="7"/>
        <v>15503</v>
      </c>
      <c r="BK33" s="64">
        <f t="shared" si="7"/>
        <v>14205</v>
      </c>
      <c r="BL33" s="64">
        <f t="shared" si="7"/>
        <v>20937</v>
      </c>
      <c r="BM33" s="64">
        <f t="shared" si="7"/>
        <v>26725</v>
      </c>
      <c r="BN33" s="196">
        <f>SUM(BB33:BM33)</f>
        <v>256231</v>
      </c>
      <c r="BO33" s="147">
        <f>BQ40-BO40</f>
        <v>128115</v>
      </c>
    </row>
    <row r="34" spans="1:70" ht="15.75" customHeight="1" thickTop="1">
      <c r="A34" s="374" t="s">
        <v>54</v>
      </c>
      <c r="B34" s="84">
        <f>IF('kWh_Streetlight Data'!C163=0,"",'kWh_Streetlight Data'!C163)</f>
        <v>1483.6</v>
      </c>
      <c r="C34" s="108">
        <f>IF('kWh_Streetlight Data'!D163=0,"",'kWh_Streetlight Data'!D163)</f>
        <v>1958.5333333333333</v>
      </c>
      <c r="D34" s="108">
        <f>IF('kWh_Streetlight Data'!E163=0,"",'kWh_Streetlight Data'!E163)</f>
        <v>2162.8000000000002</v>
      </c>
      <c r="E34" s="108">
        <f>IF('kWh_Streetlight Data'!F163=0,"",'kWh_Streetlight Data'!F163)</f>
        <v>1610.3333333333333</v>
      </c>
      <c r="F34" s="108">
        <f>IF('kWh_Streetlight Data'!G163=0,"",'kWh_Streetlight Data'!G163)</f>
        <v>1334.4</v>
      </c>
      <c r="G34" s="108">
        <f>IF('kWh_Streetlight Data'!H163=0,"",'kWh_Streetlight Data'!H163)</f>
        <v>831.8</v>
      </c>
      <c r="H34" s="108">
        <f>IF('kWh_Streetlight Data'!I163=0,"",'kWh_Streetlight Data'!I163)</f>
        <v>559.20000000000005</v>
      </c>
      <c r="I34" s="108">
        <f>IF('kWh_Streetlight Data'!J163=0,"",'kWh_Streetlight Data'!J163)</f>
        <v>602.4666666666667</v>
      </c>
      <c r="J34" s="108" t="str">
        <f>IF('kWh_Streetlight Data'!K163=0,"",'kWh_Streetlight Data'!K163)</f>
        <v/>
      </c>
      <c r="K34" s="108">
        <f>IF('kWh_Streetlight Data'!L163=0,"",'kWh_Streetlight Data'!L163)</f>
        <v>757.93333333333328</v>
      </c>
      <c r="L34" s="108">
        <f>IF('kWh_Streetlight Data'!M163=0,"",'kWh_Streetlight Data'!M163)</f>
        <v>1029.2</v>
      </c>
      <c r="M34" s="108" t="str">
        <f>IF('kWh_Streetlight Data'!N163=0,"",'kWh_Streetlight Data'!N163)</f>
        <v/>
      </c>
      <c r="N34" s="424">
        <f>IF('kWh_Streetlight Data'!O163=0,"",'kWh_Streetlight Data'!O163)</f>
        <v>1163.4944444444445</v>
      </c>
      <c r="O34" s="84">
        <f>IF('kWh_Streetlight Data'!P163=0,"",'kWh_Streetlight Data'!P163)</f>
        <v>1535.2857142857142</v>
      </c>
      <c r="P34" s="108">
        <f>IF('kWh_Streetlight Data'!Q163=0,"",'kWh_Streetlight Data'!Q163)</f>
        <v>1874.4375</v>
      </c>
      <c r="Q34" s="108">
        <f>IF('kWh_Streetlight Data'!R163=0,"",'kWh_Streetlight Data'!R163)</f>
        <v>2016.5</v>
      </c>
      <c r="R34" s="108">
        <f>IF('kWh_Streetlight Data'!S163=0,"",'kWh_Streetlight Data'!S163)</f>
        <v>1616.6875</v>
      </c>
      <c r="S34" s="108">
        <f>IF('kWh_Streetlight Data'!T163=0,"",'kWh_Streetlight Data'!T163)</f>
        <v>1197.375</v>
      </c>
      <c r="T34" s="108">
        <f>IF('kWh_Streetlight Data'!U163=0,"",'kWh_Streetlight Data'!U163)</f>
        <v>992.5</v>
      </c>
      <c r="U34" s="108">
        <f>IF('kWh_Streetlight Data'!V163=0,"",'kWh_Streetlight Data'!V163)</f>
        <v>718.94117647058829</v>
      </c>
      <c r="V34" s="108">
        <f>IF('kWh_Streetlight Data'!W163=0,"",'kWh_Streetlight Data'!W163)</f>
        <v>978.75</v>
      </c>
      <c r="W34" s="108">
        <f>IF('kWh_Streetlight Data'!X163=0,"",'kWh_Streetlight Data'!X163)</f>
        <v>932.5625</v>
      </c>
      <c r="X34" s="108">
        <f>IF('kWh_Streetlight Data'!Y163=0,"",'kWh_Streetlight Data'!Y163)</f>
        <v>879.88235294117646</v>
      </c>
      <c r="Y34" s="108">
        <f>IF('kWh_Streetlight Data'!Z163=0,"",'kWh_Streetlight Data'!Z163)</f>
        <v>1389.6875</v>
      </c>
      <c r="Z34" s="108">
        <f>IF('kWh_Streetlight Data'!AA163=0,"",'kWh_Streetlight Data'!AA163)</f>
        <v>2045.4375</v>
      </c>
      <c r="AA34" s="424">
        <f>IF('kWh_Streetlight Data'!AB163=0,"",'kWh_Streetlight Data'!AB163)</f>
        <v>1340.5052083333333</v>
      </c>
      <c r="AB34" s="129">
        <f>IF('kWh_Streetlight Data'!AC163=0,"",'kWh_Streetlight Data'!AC163)</f>
        <v>2414.125</v>
      </c>
      <c r="AC34" s="130">
        <f>IF('kWh_Streetlight Data'!AD163=0,"",'kWh_Streetlight Data'!AD163)</f>
        <v>1998.7647058823529</v>
      </c>
      <c r="AD34" s="130">
        <f>IF('kWh_Streetlight Data'!AE163=0,"",'kWh_Streetlight Data'!AE163)</f>
        <v>2070.8666666666668</v>
      </c>
      <c r="AE34" s="130">
        <f>IF('kWh_Streetlight Data'!AF163=0,"",'kWh_Streetlight Data'!AF163)</f>
        <v>1737.9375</v>
      </c>
      <c r="AF34" s="130">
        <f>IF('kWh_Streetlight Data'!AG163=0,"",'kWh_Streetlight Data'!AG163)</f>
        <v>957.6875</v>
      </c>
      <c r="AG34" s="130">
        <f>IF('kWh_Streetlight Data'!AH163=0,"",'kWh_Streetlight Data'!AH163)</f>
        <v>1049.75</v>
      </c>
      <c r="AH34" s="130">
        <f>IF('kWh_Streetlight Data'!AI163=0,"",'kWh_Streetlight Data'!AI163)</f>
        <v>930.6</v>
      </c>
      <c r="AI34" s="130">
        <f>IF('kWh_Streetlight Data'!AJ163=0,"",'kWh_Streetlight Data'!AJ163)</f>
        <v>903.2</v>
      </c>
      <c r="AJ34" s="130">
        <f>IF('kWh_Streetlight Data'!AK163=0,"",'kWh_Streetlight Data'!AK163)</f>
        <v>1005.3333333333334</v>
      </c>
      <c r="AK34" s="130">
        <f>IF('kWh_Streetlight Data'!AL163=0,"",'kWh_Streetlight Data'!AL163)</f>
        <v>1025.625</v>
      </c>
      <c r="AL34" s="130">
        <f>IF('kWh_Streetlight Data'!AM163=0,"",'kWh_Streetlight Data'!AM163)</f>
        <v>1506.75</v>
      </c>
      <c r="AM34" s="130">
        <f>IF('kWh_Streetlight Data'!AN163=0,"",'kWh_Streetlight Data'!AN163)</f>
        <v>1295.1333333333334</v>
      </c>
      <c r="AN34" s="426">
        <f>IF('kWh_Streetlight Data'!AO163=0,"",'kWh_Streetlight Data'!AO163)</f>
        <v>1415.563829787234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736.24705882352953</v>
      </c>
      <c r="AV34" s="9">
        <f t="shared" si="8"/>
        <v>828.13888888888903</v>
      </c>
      <c r="AW34" s="9">
        <f t="shared" si="8"/>
        <v>968.94791666666674</v>
      </c>
      <c r="AX34" s="9">
        <f t="shared" si="8"/>
        <v>887.81356209150329</v>
      </c>
      <c r="AY34" s="9">
        <f t="shared" si="8"/>
        <v>1308.5458333333333</v>
      </c>
      <c r="AZ34" s="9">
        <f t="shared" si="8"/>
        <v>1670.2854166666666</v>
      </c>
      <c r="BA34" s="211"/>
      <c r="BB34" s="9">
        <v>1811.0035714285714</v>
      </c>
      <c r="BC34" s="17">
        <v>1943.9118464052287</v>
      </c>
      <c r="BD34" s="17">
        <v>2083.3888888888891</v>
      </c>
      <c r="BE34" s="17">
        <v>1654.9861111111111</v>
      </c>
      <c r="BF34" s="17">
        <f t="shared" ref="BF34:BM34" si="9">IFERROR(AVERAGE(F34,S34,AF34),0)</f>
        <v>1163.1541666666667</v>
      </c>
      <c r="BG34" s="17">
        <f t="shared" si="9"/>
        <v>958.01666666666677</v>
      </c>
      <c r="BH34" s="17">
        <f t="shared" si="9"/>
        <v>736.24705882352953</v>
      </c>
      <c r="BI34" s="17">
        <f t="shared" si="9"/>
        <v>828.13888888888903</v>
      </c>
      <c r="BJ34" s="17">
        <f t="shared" si="9"/>
        <v>968.94791666666674</v>
      </c>
      <c r="BK34" s="17">
        <f t="shared" si="9"/>
        <v>887.81356209150329</v>
      </c>
      <c r="BL34" s="17">
        <f t="shared" si="9"/>
        <v>1308.5458333333333</v>
      </c>
      <c r="BM34" s="9">
        <f t="shared" si="9"/>
        <v>1670.2854166666666</v>
      </c>
      <c r="BN34" s="211">
        <f>IFERROR(BN33/SUM(BB29:BM29)*12,0)</f>
        <v>16014.4375</v>
      </c>
      <c r="BO34" s="20"/>
    </row>
    <row r="35" spans="1:70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70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210"/>
      <c r="BO36" s="125">
        <f>Customers!L166</f>
        <v>16</v>
      </c>
    </row>
    <row r="37" spans="1:70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9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>
        <f>ROUND(BO$40*'kWh Blocks by Rate Category'!W36,0)</f>
        <v>116978</v>
      </c>
    </row>
    <row r="38" spans="1:70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9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>
        <f>ROUND(BO$40*'kWh Blocks by Rate Category'!W37,0)</f>
        <v>11138</v>
      </c>
      <c r="BR38" s="229" t="s">
        <v>221</v>
      </c>
    </row>
    <row r="39" spans="1:70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9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56">
        <f>ROUND(BO$40*'kWh Blocks by Rate Category'!W38,0)</f>
        <v>0</v>
      </c>
      <c r="BQ39" s="229" t="s">
        <v>222</v>
      </c>
      <c r="BR39" s="229" t="s">
        <v>223</v>
      </c>
    </row>
    <row r="40" spans="1:70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11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ROUND(BQ40/12*BR40,0)</f>
        <v>128116</v>
      </c>
      <c r="BQ40" s="39">
        <f>ROUND(BO41*BO36,0)</f>
        <v>256231</v>
      </c>
      <c r="BR40" s="296">
        <v>6</v>
      </c>
    </row>
    <row r="41" spans="1:70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BN34</f>
        <v>16014.4375</v>
      </c>
      <c r="BR41" s="229" t="s">
        <v>224</v>
      </c>
    </row>
    <row r="42" spans="1:70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0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Customers!E167</f>
        <v>4</v>
      </c>
      <c r="AV43" s="124">
        <f>Customers!F167</f>
        <v>4</v>
      </c>
      <c r="AW43" s="124">
        <f>Customers!G167</f>
        <v>4</v>
      </c>
      <c r="AX43" s="124">
        <f>Customers!H167</f>
        <v>4</v>
      </c>
      <c r="AY43" s="124">
        <f>Customers!I167</f>
        <v>4</v>
      </c>
      <c r="AZ43" s="124">
        <f>Customers!J167</f>
        <v>4</v>
      </c>
      <c r="BA43" s="210">
        <f>AZ43</f>
        <v>4</v>
      </c>
      <c r="BB43" s="124">
        <v>4</v>
      </c>
      <c r="BC43" s="38">
        <v>4</v>
      </c>
      <c r="BD43" s="38">
        <v>4</v>
      </c>
      <c r="BE43" s="38">
        <v>4</v>
      </c>
      <c r="BF43" s="38">
        <f t="shared" ref="BF43:BM43" si="10">BE43</f>
        <v>4</v>
      </c>
      <c r="BG43" s="38">
        <f t="shared" si="10"/>
        <v>4</v>
      </c>
      <c r="BH43" s="38">
        <f t="shared" si="10"/>
        <v>4</v>
      </c>
      <c r="BI43" s="38">
        <f t="shared" si="10"/>
        <v>4</v>
      </c>
      <c r="BJ43" s="38">
        <f t="shared" si="10"/>
        <v>4</v>
      </c>
      <c r="BK43" s="38">
        <f t="shared" si="10"/>
        <v>4</v>
      </c>
      <c r="BL43" s="38">
        <f t="shared" si="10"/>
        <v>4</v>
      </c>
      <c r="BM43" s="38">
        <f t="shared" si="10"/>
        <v>4</v>
      </c>
      <c r="BN43" s="210">
        <f>IFERROR(ROUND(AVERAGE(BB43:BM43),0),0)</f>
        <v>4</v>
      </c>
      <c r="BO43" s="90"/>
    </row>
    <row r="44" spans="1:70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37886</v>
      </c>
      <c r="AV44" s="38">
        <f t="shared" ref="AV44:AZ44" si="11">AV47</f>
        <v>41307</v>
      </c>
      <c r="AW44" s="38">
        <f t="shared" si="11"/>
        <v>40668</v>
      </c>
      <c r="AX44" s="38">
        <f t="shared" si="11"/>
        <v>41849</v>
      </c>
      <c r="AY44" s="38">
        <f t="shared" si="11"/>
        <v>53953</v>
      </c>
      <c r="AZ44" s="38">
        <f t="shared" si="11"/>
        <v>70300</v>
      </c>
      <c r="BA44" s="210">
        <f>SUM(AO44:AZ44)</f>
        <v>285963</v>
      </c>
      <c r="BB44" s="38">
        <v>54431</v>
      </c>
      <c r="BC44" s="38">
        <v>45515</v>
      </c>
      <c r="BD44" s="38">
        <v>52708</v>
      </c>
      <c r="BE44" s="38">
        <v>46775</v>
      </c>
      <c r="BF44" s="38">
        <f>ROUND(BF$47*'kWh Blocks by Rate Category'!N43,0)</f>
        <v>40935</v>
      </c>
      <c r="BG44" s="38">
        <f>ROUND(BG$47*'kWh Blocks by Rate Category'!O43,0)</f>
        <v>41607</v>
      </c>
      <c r="BH44" s="38">
        <f>ROUND(BH$47*'kWh Blocks by Rate Category'!P43,0)</f>
        <v>33832</v>
      </c>
      <c r="BI44" s="38">
        <f>ROUND(BI$47*'kWh Blocks by Rate Category'!Q43,0)</f>
        <v>36887</v>
      </c>
      <c r="BJ44" s="38">
        <f>ROUND(BJ$47*'kWh Blocks by Rate Category'!R43,0)</f>
        <v>36316</v>
      </c>
      <c r="BK44" s="38">
        <f>ROUND(BK$47*'kWh Blocks by Rate Category'!S43,0)</f>
        <v>37371</v>
      </c>
      <c r="BL44" s="38">
        <f>ROUND(BL$47*'kWh Blocks by Rate Category'!T43,0)</f>
        <v>48180</v>
      </c>
      <c r="BM44" s="38">
        <f>ROUND(BM$47*'kWh Blocks by Rate Category'!U43,0)</f>
        <v>62777</v>
      </c>
      <c r="BN44" s="210">
        <f>SUM(BB44:BM44)</f>
        <v>537334</v>
      </c>
      <c r="BO44" s="38">
        <f>ROUND(BO$47*'kWh Blocks by Rate Category'!W43,0)</f>
        <v>268667</v>
      </c>
    </row>
    <row r="45" spans="1:70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4631</v>
      </c>
      <c r="BC45" s="38">
        <v>3873</v>
      </c>
      <c r="BD45" s="38">
        <v>4485</v>
      </c>
      <c r="BE45" s="38">
        <v>3980</v>
      </c>
      <c r="BF45" s="38">
        <f>ROUND(BF$47*'kWh Blocks by Rate Category'!N44,0)</f>
        <v>3483</v>
      </c>
      <c r="BG45" s="38">
        <f>ROUND(BG$47*'kWh Blocks by Rate Category'!O44,0)</f>
        <v>3540</v>
      </c>
      <c r="BH45" s="38">
        <f>ROUND(BH$47*'kWh Blocks by Rate Category'!P44,0)</f>
        <v>2879</v>
      </c>
      <c r="BI45" s="38">
        <f>ROUND(BI$47*'kWh Blocks by Rate Category'!Q44,0)</f>
        <v>3139</v>
      </c>
      <c r="BJ45" s="38">
        <f>ROUND(BJ$47*'kWh Blocks by Rate Category'!R44,0)</f>
        <v>3090</v>
      </c>
      <c r="BK45" s="38">
        <f>ROUND(BK$47*'kWh Blocks by Rate Category'!S44,0)</f>
        <v>3180</v>
      </c>
      <c r="BL45" s="38">
        <f>ROUND(BL$47*'kWh Blocks by Rate Category'!T44,0)</f>
        <v>4099</v>
      </c>
      <c r="BM45" s="38">
        <f>ROUND(BM$47*'kWh Blocks by Rate Category'!U44,0)</f>
        <v>5342</v>
      </c>
      <c r="BN45" s="210">
        <f>SUM(BB45:BM45)</f>
        <v>45721</v>
      </c>
      <c r="BO45" s="38">
        <f>ROUND(BO$47*'kWh Blocks by Rate Category'!W44,0)</f>
        <v>22860</v>
      </c>
    </row>
    <row r="46" spans="1:70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70"/>
      <c r="AP46" s="171"/>
      <c r="AQ46" s="171"/>
      <c r="AR46" s="171"/>
      <c r="AS46" s="171"/>
      <c r="AT46" s="56"/>
      <c r="AU46" s="56"/>
      <c r="AV46" s="56"/>
      <c r="AW46" s="56"/>
      <c r="AX46" s="56"/>
      <c r="AY46" s="56"/>
      <c r="AZ46" s="56"/>
      <c r="BA46" s="210">
        <f>SUM(AO46:AZ46)</f>
        <v>0</v>
      </c>
      <c r="BB46" s="38">
        <v>1891</v>
      </c>
      <c r="BC46" s="38">
        <v>1581</v>
      </c>
      <c r="BD46" s="38">
        <v>1831</v>
      </c>
      <c r="BE46" s="38">
        <v>1625</v>
      </c>
      <c r="BF46" s="38">
        <f>ROUND(BF$47*'kWh Blocks by Rate Category'!N45,0)</f>
        <v>1422</v>
      </c>
      <c r="BG46" s="38">
        <f>ROUND(BG$47*'kWh Blocks by Rate Category'!O45,0)</f>
        <v>1446</v>
      </c>
      <c r="BH46" s="38">
        <f>ROUND(BH$47*'kWh Blocks by Rate Category'!P45,0)</f>
        <v>1175</v>
      </c>
      <c r="BI46" s="38">
        <f>ROUND(BI$47*'kWh Blocks by Rate Category'!Q45,0)</f>
        <v>1282</v>
      </c>
      <c r="BJ46" s="38">
        <f>ROUND(BJ$47*'kWh Blocks by Rate Category'!R45,0)</f>
        <v>1262</v>
      </c>
      <c r="BK46" s="38">
        <f>ROUND(BK$47*'kWh Blocks by Rate Category'!S45,0)</f>
        <v>1298</v>
      </c>
      <c r="BL46" s="38">
        <f>ROUND(BL$47*'kWh Blocks by Rate Category'!T45,0)</f>
        <v>1674</v>
      </c>
      <c r="BM46" s="38">
        <f>ROUND(BM$47*'kWh Blocks by Rate Category'!U45,0)</f>
        <v>2181</v>
      </c>
      <c r="BN46" s="210">
        <f>SUM(BB46:BM46)</f>
        <v>18668</v>
      </c>
      <c r="BO46" s="38">
        <f>ROUND(BO$47*'kWh Blocks by Rate Category'!W45,0)</f>
        <v>9334</v>
      </c>
    </row>
    <row r="47" spans="1:70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2">IFERROR(ROUND(AU48*AU43,0),0)</f>
        <v>37886</v>
      </c>
      <c r="AV47" s="64">
        <f t="shared" si="12"/>
        <v>41307</v>
      </c>
      <c r="AW47" s="64">
        <f t="shared" si="12"/>
        <v>40668</v>
      </c>
      <c r="AX47" s="64">
        <f t="shared" si="12"/>
        <v>41849</v>
      </c>
      <c r="AY47" s="64">
        <f t="shared" si="12"/>
        <v>53953</v>
      </c>
      <c r="AZ47" s="64">
        <f t="shared" si="12"/>
        <v>70300</v>
      </c>
      <c r="BA47" s="196">
        <f>SUM(AO47:AZ47)</f>
        <v>285963</v>
      </c>
      <c r="BB47" s="64">
        <v>60953</v>
      </c>
      <c r="BC47" s="64">
        <v>50969</v>
      </c>
      <c r="BD47" s="64">
        <v>59024</v>
      </c>
      <c r="BE47" s="64">
        <v>52380</v>
      </c>
      <c r="BF47" s="64">
        <f t="shared" ref="BF47:BM47" si="13">IFERROR(ROUND(BF48*BF43,0),0)</f>
        <v>45840</v>
      </c>
      <c r="BG47" s="64">
        <f t="shared" si="13"/>
        <v>46593</v>
      </c>
      <c r="BH47" s="64">
        <f t="shared" si="13"/>
        <v>37886</v>
      </c>
      <c r="BI47" s="64">
        <f t="shared" si="13"/>
        <v>41307</v>
      </c>
      <c r="BJ47" s="64">
        <f t="shared" si="13"/>
        <v>40668</v>
      </c>
      <c r="BK47" s="64">
        <f t="shared" si="13"/>
        <v>41849</v>
      </c>
      <c r="BL47" s="64">
        <f t="shared" si="13"/>
        <v>53953</v>
      </c>
      <c r="BM47" s="64">
        <f t="shared" si="13"/>
        <v>70300</v>
      </c>
      <c r="BN47" s="196">
        <f>SUM(BB47:BM47)</f>
        <v>601722</v>
      </c>
      <c r="BO47" s="147">
        <f>BQ54-BO54</f>
        <v>300861</v>
      </c>
    </row>
    <row r="48" spans="1:70" ht="15.75" customHeight="1" thickTop="1">
      <c r="A48" s="374" t="s">
        <v>54</v>
      </c>
      <c r="B48" s="84">
        <f>IF('kWh_Streetlight Data'!C164=0,"",'kWh_Streetlight Data'!C164)</f>
        <v>11595</v>
      </c>
      <c r="C48" s="130">
        <f>IF('kWh_Streetlight Data'!D164=0,"",'kWh_Streetlight Data'!D164)</f>
        <v>11455</v>
      </c>
      <c r="D48" s="130">
        <f>IF('kWh_Streetlight Data'!E164=0,"",'kWh_Streetlight Data'!E164)</f>
        <v>12545</v>
      </c>
      <c r="E48" s="130">
        <f>IF('kWh_Streetlight Data'!F164=0,"",'kWh_Streetlight Data'!F164)</f>
        <v>10990</v>
      </c>
      <c r="F48" s="130">
        <f>IF('kWh_Streetlight Data'!G164=0,"",'kWh_Streetlight Data'!G164)</f>
        <v>11540</v>
      </c>
      <c r="G48" s="130">
        <f>IF('kWh_Streetlight Data'!H164=0,"",'kWh_Streetlight Data'!H164)</f>
        <v>13645</v>
      </c>
      <c r="H48" s="130">
        <f>IF('kWh_Streetlight Data'!I164=0,"",'kWh_Streetlight Data'!I164)</f>
        <v>10825</v>
      </c>
      <c r="I48" s="130">
        <f>IF('kWh_Streetlight Data'!J164=0,"",'kWh_Streetlight Data'!J164)</f>
        <v>11910</v>
      </c>
      <c r="J48" s="130" t="str">
        <f>IF('kWh_Streetlight Data'!K164=0,"",'kWh_Streetlight Data'!K164)</f>
        <v/>
      </c>
      <c r="K48" s="130">
        <f>IF('kWh_Streetlight Data'!L164=0,"",'kWh_Streetlight Data'!L164)</f>
        <v>10610</v>
      </c>
      <c r="L48" s="130">
        <f>IF('kWh_Streetlight Data'!M164=0,"",'kWh_Streetlight Data'!M164)</f>
        <v>11077.5</v>
      </c>
      <c r="M48" s="130" t="str">
        <f>IF('kWh_Streetlight Data'!N164=0,"",'kWh_Streetlight Data'!N164)</f>
        <v/>
      </c>
      <c r="N48" s="424">
        <f>IF('kWh_Streetlight Data'!O164=0,"",'kWh_Streetlight Data'!O164)</f>
        <v>11598.333333333334</v>
      </c>
      <c r="O48" s="129">
        <f>IF('kWh_Streetlight Data'!P164=0,"",'kWh_Streetlight Data'!P164)</f>
        <v>11310</v>
      </c>
      <c r="P48" s="130">
        <f>IF('kWh_Streetlight Data'!Q164=0,"",'kWh_Streetlight Data'!Q164)</f>
        <v>11770</v>
      </c>
      <c r="Q48" s="130">
        <f>IF('kWh_Streetlight Data'!R164=0,"",'kWh_Streetlight Data'!R164)</f>
        <v>10850</v>
      </c>
      <c r="R48" s="130">
        <f>IF('kWh_Streetlight Data'!S164=0,"",'kWh_Streetlight Data'!S164)</f>
        <v>10590</v>
      </c>
      <c r="S48" s="130">
        <f>IF('kWh_Streetlight Data'!T164=0,"",'kWh_Streetlight Data'!T164)</f>
        <v>11140</v>
      </c>
      <c r="T48" s="130">
        <f>IF('kWh_Streetlight Data'!U164=0,"",'kWh_Streetlight Data'!U164)</f>
        <v>10270</v>
      </c>
      <c r="U48" s="130">
        <f>IF('kWh_Streetlight Data'!V164=0,"",'kWh_Streetlight Data'!V164)</f>
        <v>7842</v>
      </c>
      <c r="V48" s="130">
        <f>IF('kWh_Streetlight Data'!W164=0,"",'kWh_Streetlight Data'!W164)</f>
        <v>10890</v>
      </c>
      <c r="W48" s="130">
        <f>IF('kWh_Streetlight Data'!X164=0,"",'kWh_Streetlight Data'!X164)</f>
        <v>11786.666666666666</v>
      </c>
      <c r="X48" s="130">
        <f>IF('kWh_Streetlight Data'!Y164=0,"",'kWh_Streetlight Data'!Y164)</f>
        <v>11556.666666666666</v>
      </c>
      <c r="Y48" s="130">
        <f>IF('kWh_Streetlight Data'!Z164=0,"",'kWh_Streetlight Data'!Z164)</f>
        <v>16420</v>
      </c>
      <c r="Z48" s="130">
        <f>IF('kWh_Streetlight Data'!AA164=0,"",'kWh_Streetlight Data'!AA164)</f>
        <v>19590</v>
      </c>
      <c r="AA48" s="424">
        <f>IF('kWh_Streetlight Data'!AB164=0,"",'kWh_Streetlight Data'!AB164)</f>
        <v>11931.25</v>
      </c>
      <c r="AB48" s="129">
        <f>IF('kWh_Streetlight Data'!AC164=0,"",'kWh_Streetlight Data'!AC164)</f>
        <v>22810</v>
      </c>
      <c r="AC48" s="130">
        <f>IF('kWh_Streetlight Data'!AD164=0,"",'kWh_Streetlight Data'!AD164)</f>
        <v>15002</v>
      </c>
      <c r="AD48" s="130">
        <f>IF('kWh_Streetlight Data'!AE164=0,"",'kWh_Streetlight Data'!AE164)</f>
        <v>20873.333333333332</v>
      </c>
      <c r="AE48" s="130">
        <f>IF('kWh_Streetlight Data'!AF164=0,"",'kWh_Streetlight Data'!AF164)</f>
        <v>17705</v>
      </c>
      <c r="AF48" s="130">
        <f>IF('kWh_Streetlight Data'!AG164=0,"",'kWh_Streetlight Data'!AG164)</f>
        <v>11700</v>
      </c>
      <c r="AG48" s="130">
        <f>IF('kWh_Streetlight Data'!AH164=0,"",'kWh_Streetlight Data'!AH164)</f>
        <v>11030</v>
      </c>
      <c r="AH48" s="130">
        <f>IF('kWh_Streetlight Data'!AI164=0,"",'kWh_Streetlight Data'!AI164)</f>
        <v>9747.5</v>
      </c>
      <c r="AI48" s="130">
        <f>IF('kWh_Streetlight Data'!AJ164=0,"",'kWh_Streetlight Data'!AJ164)</f>
        <v>8180</v>
      </c>
      <c r="AJ48" s="130">
        <f>IF('kWh_Streetlight Data'!AK164=0,"",'kWh_Streetlight Data'!AK164)</f>
        <v>8547.5</v>
      </c>
      <c r="AK48" s="130">
        <f>IF('kWh_Streetlight Data'!AL164=0,"",'kWh_Streetlight Data'!AL164)</f>
        <v>9220</v>
      </c>
      <c r="AL48" s="130">
        <f>IF('kWh_Streetlight Data'!AM164=0,"",'kWh_Streetlight Data'!AM164)</f>
        <v>12967.5</v>
      </c>
      <c r="AM48" s="130">
        <f>IF('kWh_Streetlight Data'!AN164=0,"",'kWh_Streetlight Data'!AN164)</f>
        <v>15560</v>
      </c>
      <c r="AN48" s="426">
        <f>IF('kWh_Streetlight Data'!AO164=0,"",'kWh_Streetlight Data'!AO164)</f>
        <v>13291.276595744681</v>
      </c>
      <c r="AO48" s="43"/>
      <c r="AP48" s="40"/>
      <c r="AQ48" s="40"/>
      <c r="AR48" s="40"/>
      <c r="AS48" s="40"/>
      <c r="AT48" s="17"/>
      <c r="AU48" s="9">
        <f t="shared" ref="AU48:AZ48" si="14">IFERROR(AVERAGE(AH48,U48,H48),0)</f>
        <v>9471.5</v>
      </c>
      <c r="AV48" s="9">
        <f t="shared" si="14"/>
        <v>10326.666666666666</v>
      </c>
      <c r="AW48" s="9">
        <f t="shared" si="14"/>
        <v>10167.083333333332</v>
      </c>
      <c r="AX48" s="9">
        <f t="shared" si="14"/>
        <v>10462.222222222221</v>
      </c>
      <c r="AY48" s="9">
        <f t="shared" si="14"/>
        <v>13488.333333333334</v>
      </c>
      <c r="AZ48" s="9">
        <f t="shared" si="14"/>
        <v>17575</v>
      </c>
      <c r="BA48" s="211"/>
      <c r="BB48" s="9">
        <v>15238.333333333334</v>
      </c>
      <c r="BC48" s="17">
        <v>12742.333333333334</v>
      </c>
      <c r="BD48" s="17">
        <v>14756.111111111109</v>
      </c>
      <c r="BE48" s="17">
        <v>13095</v>
      </c>
      <c r="BF48" s="17">
        <f t="shared" ref="BF48:BM48" si="15">IFERROR(AVERAGE(F48,S48,AF48),0)</f>
        <v>11460</v>
      </c>
      <c r="BG48" s="17">
        <f t="shared" si="15"/>
        <v>11648.333333333334</v>
      </c>
      <c r="BH48" s="17">
        <f t="shared" si="15"/>
        <v>9471.5</v>
      </c>
      <c r="BI48" s="17">
        <f t="shared" si="15"/>
        <v>10326.666666666666</v>
      </c>
      <c r="BJ48" s="17">
        <f t="shared" si="15"/>
        <v>10167.083333333332</v>
      </c>
      <c r="BK48" s="17">
        <f t="shared" si="15"/>
        <v>10462.222222222221</v>
      </c>
      <c r="BL48" s="17">
        <f t="shared" si="15"/>
        <v>13488.333333333334</v>
      </c>
      <c r="BM48" s="9">
        <f t="shared" si="15"/>
        <v>17575</v>
      </c>
      <c r="BN48" s="211">
        <f>IFERROR(BN47/SUM(BB43:BM43)*12,0)</f>
        <v>150430.5</v>
      </c>
      <c r="BO48" s="20"/>
    </row>
    <row r="49" spans="1:7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7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>
        <f>Customers!L171</f>
        <v>4</v>
      </c>
    </row>
    <row r="51" spans="1:7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9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>
        <f>ROUND(BO$54*'kWh Blocks by Rate Category'!W50,0)</f>
        <v>268667</v>
      </c>
    </row>
    <row r="52" spans="1:7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9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>
        <f>ROUND(BO$54*'kWh Blocks by Rate Category'!W51,0)</f>
        <v>22860</v>
      </c>
      <c r="BR52" s="229" t="s">
        <v>221</v>
      </c>
    </row>
    <row r="53" spans="1:7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9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>
        <f>ROUND(BO$54*'kWh Blocks by Rate Category'!W52,0)</f>
        <v>9334</v>
      </c>
      <c r="BQ53" s="229" t="s">
        <v>222</v>
      </c>
      <c r="BR53" s="229" t="s">
        <v>223</v>
      </c>
    </row>
    <row r="54" spans="1:7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11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ROUND(BQ54/12*BR54,0)</f>
        <v>300861</v>
      </c>
      <c r="BQ54" s="39">
        <f>ROUND(BO55*BO50,0)</f>
        <v>601722</v>
      </c>
      <c r="BR54" s="296">
        <v>6</v>
      </c>
    </row>
    <row r="55" spans="1:7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>
        <f>BN48</f>
        <v>150430.5</v>
      </c>
      <c r="BR55" s="229" t="s">
        <v>224</v>
      </c>
    </row>
    <row r="56" spans="1:7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7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70"/>
      <c r="AP57" s="171"/>
      <c r="AQ57" s="171"/>
      <c r="AR57" s="171"/>
      <c r="AS57" s="171"/>
      <c r="AT57" s="56"/>
      <c r="AU57" s="128">
        <f>Customers!E146</f>
        <v>1</v>
      </c>
      <c r="AV57" s="128">
        <f>Customers!F146</f>
        <v>1</v>
      </c>
      <c r="AW57" s="128">
        <f>Customers!G146</f>
        <v>1</v>
      </c>
      <c r="AX57" s="128">
        <f>Customers!H146</f>
        <v>1</v>
      </c>
      <c r="AY57" s="128">
        <f>Customers!I146</f>
        <v>1</v>
      </c>
      <c r="AZ57" s="128">
        <f>Customers!J146</f>
        <v>1</v>
      </c>
      <c r="BA57" s="204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M58" si="16">BE57</f>
        <v>1</v>
      </c>
      <c r="BG57" s="38">
        <f t="shared" si="16"/>
        <v>1</v>
      </c>
      <c r="BH57" s="38">
        <f t="shared" si="16"/>
        <v>1</v>
      </c>
      <c r="BI57" s="38">
        <f t="shared" si="16"/>
        <v>1</v>
      </c>
      <c r="BJ57" s="38">
        <f t="shared" si="16"/>
        <v>1</v>
      </c>
      <c r="BK57" s="38">
        <f t="shared" si="16"/>
        <v>1</v>
      </c>
      <c r="BL57" s="38">
        <f t="shared" si="16"/>
        <v>1</v>
      </c>
      <c r="BM57" s="38">
        <f t="shared" si="16"/>
        <v>1</v>
      </c>
      <c r="BN57" s="210">
        <f>IFERROR(ROUND(AVERAGE(BB57:BM57),0),0)</f>
        <v>1</v>
      </c>
      <c r="BO57" s="156"/>
    </row>
    <row r="58" spans="1:70" ht="15.75" customHeight="1" thickBot="1">
      <c r="A58" s="201" t="s">
        <v>30</v>
      </c>
      <c r="B58" s="113" t="str">
        <f>IF('kWh_Streetlight Data'!C244=0,"",'kWh_Streetlight Data'!C244)</f>
        <v/>
      </c>
      <c r="C58" s="114" t="str">
        <f>IF('kWh_Streetlight Data'!D244=0,"",'kWh_Streetlight Data'!D244)</f>
        <v/>
      </c>
      <c r="D58" s="114" t="str">
        <f>IF('kWh_Streetlight Data'!E244=0,"",'kWh_Streetlight Data'!E244)</f>
        <v/>
      </c>
      <c r="E58" s="114" t="str">
        <f>IF('kWh_Streetlight Data'!F244=0,"",'kWh_Streetlight Data'!F244)</f>
        <v/>
      </c>
      <c r="F58" s="114" t="str">
        <f>IF('kWh_Streetlight Data'!G244=0,"",'kWh_Streetlight Data'!G244)</f>
        <v/>
      </c>
      <c r="G58" s="114" t="str">
        <f>IF('kWh_Streetlight Data'!H244=0,"",'kWh_Streetlight Data'!H244)</f>
        <v/>
      </c>
      <c r="H58" s="114" t="str">
        <f>IF('kWh_Streetlight Data'!I244=0,"",'kWh_Streetlight Data'!I244)</f>
        <v/>
      </c>
      <c r="I58" s="114" t="str">
        <f>IF('kWh_Streetlight Data'!J244=0,"",'kWh_Streetlight Data'!J244)</f>
        <v/>
      </c>
      <c r="J58" s="114" t="str">
        <f>IF('kWh_Streetlight Data'!K244=0,"",'kWh_Streetlight Data'!K244)</f>
        <v/>
      </c>
      <c r="K58" s="114" t="str">
        <f>IF('kWh_Streetlight Data'!L244=0,"",'kWh_Streetlight Data'!L244)</f>
        <v/>
      </c>
      <c r="L58" s="114" t="str">
        <f>IF('kWh_Streetlight Data'!M244=0,"",'kWh_Streetlight Data'!M244)</f>
        <v/>
      </c>
      <c r="M58" s="114" t="str">
        <f>IF('kWh_Streetlight Data'!N244=0,"",'kWh_Streetlight Data'!N244)</f>
        <v/>
      </c>
      <c r="N58" s="459" t="str">
        <f>IF('kWh_Streetlight Data'!O244=0,"",'kWh_Streetlight Data'!O244)</f>
        <v/>
      </c>
      <c r="O58" s="113" t="str">
        <f>IF('kWh_Streetlight Data'!P244=0,"",'kWh_Streetlight Data'!P244)</f>
        <v/>
      </c>
      <c r="P58" s="114" t="str">
        <f>IF('kWh_Streetlight Data'!Q244=0,"",'kWh_Streetlight Data'!Q244)</f>
        <v/>
      </c>
      <c r="Q58" s="114" t="str">
        <f>IF('kWh_Streetlight Data'!R244=0,"",'kWh_Streetlight Data'!R244)</f>
        <v/>
      </c>
      <c r="R58" s="114" t="str">
        <f>IF('kWh_Streetlight Data'!S244=0,"",'kWh_Streetlight Data'!S244)</f>
        <v/>
      </c>
      <c r="S58" s="114" t="str">
        <f>IF('kWh_Streetlight Data'!T244=0,"",'kWh_Streetlight Data'!T244)</f>
        <v/>
      </c>
      <c r="T58" s="114" t="str">
        <f>IF('kWh_Streetlight Data'!U244=0,"",'kWh_Streetlight Data'!U244)</f>
        <v/>
      </c>
      <c r="U58" s="114" t="str">
        <f>IF('kWh_Streetlight Data'!V244=0,"",'kWh_Streetlight Data'!V244)</f>
        <v/>
      </c>
      <c r="V58" s="114" t="str">
        <f>IF('kWh_Streetlight Data'!W244=0,"",'kWh_Streetlight Data'!W244)</f>
        <v/>
      </c>
      <c r="W58" s="114" t="str">
        <f>IF('kWh_Streetlight Data'!X244=0,"",'kWh_Streetlight Data'!X244)</f>
        <v/>
      </c>
      <c r="X58" s="114" t="str">
        <f>IF('kWh_Streetlight Data'!Y244=0,"",'kWh_Streetlight Data'!Y244)</f>
        <v/>
      </c>
      <c r="Y58" s="114" t="str">
        <f>IF('kWh_Streetlight Data'!Z244=0,"",'kWh_Streetlight Data'!Z244)</f>
        <v/>
      </c>
      <c r="Z58" s="114" t="str">
        <f>IF('kWh_Streetlight Data'!AA244=0,"",'kWh_Streetlight Data'!AA244)</f>
        <v/>
      </c>
      <c r="AA58" s="459" t="str">
        <f>IF('kWh_Streetlight Data'!AB244=0,"",'kWh_Streetlight Data'!AB244)</f>
        <v/>
      </c>
      <c r="AB58" s="115">
        <f>IF('kWh_Streetlight Data'!AC244=0,"",'kWh_Streetlight Data'!AC244)</f>
        <v>3400</v>
      </c>
      <c r="AC58" s="116">
        <f>IF('kWh_Streetlight Data'!AD244=0,"",'kWh_Streetlight Data'!AD244)</f>
        <v>3400</v>
      </c>
      <c r="AD58" s="116">
        <f>IF('kWh_Streetlight Data'!AE244=0,"",'kWh_Streetlight Data'!AE244)</f>
        <v>3400</v>
      </c>
      <c r="AE58" s="116">
        <f>IF('kWh_Streetlight Data'!AF244=0,"",'kWh_Streetlight Data'!AF244)</f>
        <v>3400</v>
      </c>
      <c r="AF58" s="116">
        <f>IF('kWh_Streetlight Data'!AG244=0,"",'kWh_Streetlight Data'!AG244)</f>
        <v>3400</v>
      </c>
      <c r="AG58" s="116">
        <f>IF('kWh_Streetlight Data'!AH244=0,"",'kWh_Streetlight Data'!AH244)</f>
        <v>3400</v>
      </c>
      <c r="AH58" s="116">
        <f>IF('kWh_Streetlight Data'!AI244=0,"",'kWh_Streetlight Data'!AI244)</f>
        <v>3400</v>
      </c>
      <c r="AI58" s="116">
        <f>IF('kWh_Streetlight Data'!AJ244=0,"",'kWh_Streetlight Data'!AJ244)</f>
        <v>3400</v>
      </c>
      <c r="AJ58" s="116">
        <f>IF('kWh_Streetlight Data'!AK244=0,"",'kWh_Streetlight Data'!AK244)</f>
        <v>3400</v>
      </c>
      <c r="AK58" s="116">
        <f>IF('kWh_Streetlight Data'!AL244=0,"",'kWh_Streetlight Data'!AL244)</f>
        <v>3400</v>
      </c>
      <c r="AL58" s="116">
        <f>IF('kWh_Streetlight Data'!AM244=0,"",'kWh_Streetlight Data'!AM244)</f>
        <v>3400</v>
      </c>
      <c r="AM58" s="475">
        <f>IF('kWh_Streetlight Data'!AN244=0,"",'kWh_Streetlight Data'!AN244)</f>
        <v>3400</v>
      </c>
      <c r="AN58" s="458">
        <f>IF('kWh_Streetlight Data'!AO244=0,"",'kWh_Streetlight Data'!AO244)</f>
        <v>3400</v>
      </c>
      <c r="AO58" s="151"/>
      <c r="AP58" s="152"/>
      <c r="AQ58" s="152"/>
      <c r="AR58" s="152"/>
      <c r="AS58" s="152"/>
      <c r="AT58" s="160"/>
      <c r="AU58" s="160">
        <f t="shared" ref="AU58:AZ58" si="17">ROUND(AH58,0)</f>
        <v>3400</v>
      </c>
      <c r="AV58" s="160">
        <f t="shared" si="17"/>
        <v>3400</v>
      </c>
      <c r="AW58" s="160">
        <f t="shared" si="17"/>
        <v>3400</v>
      </c>
      <c r="AX58" s="160">
        <f t="shared" si="17"/>
        <v>3400</v>
      </c>
      <c r="AY58" s="160">
        <f t="shared" si="17"/>
        <v>3400</v>
      </c>
      <c r="AZ58" s="160">
        <f t="shared" si="17"/>
        <v>3400</v>
      </c>
      <c r="BA58" s="213">
        <f>SUM(AT58:AZ58)</f>
        <v>20400</v>
      </c>
      <c r="BB58" s="160">
        <v>3400</v>
      </c>
      <c r="BC58" s="160">
        <v>3400</v>
      </c>
      <c r="BD58" s="160">
        <v>3400</v>
      </c>
      <c r="BE58" s="160">
        <v>3400</v>
      </c>
      <c r="BF58" s="160">
        <f t="shared" si="16"/>
        <v>3400</v>
      </c>
      <c r="BG58" s="160">
        <f t="shared" si="16"/>
        <v>3400</v>
      </c>
      <c r="BH58" s="160">
        <f t="shared" si="16"/>
        <v>3400</v>
      </c>
      <c r="BI58" s="160">
        <f t="shared" si="16"/>
        <v>3400</v>
      </c>
      <c r="BJ58" s="160">
        <f t="shared" si="16"/>
        <v>3400</v>
      </c>
      <c r="BK58" s="160">
        <f t="shared" si="16"/>
        <v>3400</v>
      </c>
      <c r="BL58" s="160">
        <f t="shared" si="16"/>
        <v>3400</v>
      </c>
      <c r="BM58" s="160">
        <f t="shared" si="16"/>
        <v>3400</v>
      </c>
      <c r="BN58" s="213">
        <f>SUM(BB58:BM58)</f>
        <v>40800</v>
      </c>
      <c r="BO58" s="175">
        <f>BO62</f>
        <v>20400</v>
      </c>
    </row>
    <row r="59" spans="1:7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7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7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70"/>
      <c r="AP61" s="171"/>
      <c r="AQ61" s="171"/>
      <c r="AR61" s="171"/>
      <c r="AS61" s="171"/>
      <c r="AT61" s="56"/>
      <c r="AU61" s="56"/>
      <c r="AV61" s="56"/>
      <c r="AW61" s="56"/>
      <c r="AX61" s="56"/>
      <c r="AY61" s="56"/>
      <c r="AZ61" s="56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>
        <f>Customers!L168</f>
        <v>1</v>
      </c>
    </row>
    <row r="62" spans="1:7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>
        <f>BN58*0.5</f>
        <v>20400</v>
      </c>
    </row>
    <row r="63" spans="1:7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7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84" t="str">
        <f>IF('kWh_Streetlight Data'!C165=0,"",'kWh_Streetlight Data'!C165)</f>
        <v/>
      </c>
      <c r="C69" s="130" t="str">
        <f>IF('kWh_Streetlight Data'!D165=0,"",'kWh_Streetlight Data'!D165)</f>
        <v/>
      </c>
      <c r="D69" s="130" t="str">
        <f>IF('kWh_Streetlight Data'!E165=0,"",'kWh_Streetlight Data'!E165)</f>
        <v/>
      </c>
      <c r="E69" s="130" t="str">
        <f>IF('kWh_Streetlight Data'!F165=0,"",'kWh_Streetlight Data'!F165)</f>
        <v/>
      </c>
      <c r="F69" s="130" t="str">
        <f>IF('kWh_Streetlight Data'!G165=0,"",'kWh_Streetlight Data'!G165)</f>
        <v/>
      </c>
      <c r="G69" s="130" t="str">
        <f>IF('kWh_Streetlight Data'!H165=0,"",'kWh_Streetlight Data'!H165)</f>
        <v/>
      </c>
      <c r="H69" s="130" t="str">
        <f>IF('kWh_Streetlight Data'!I165=0,"",'kWh_Streetlight Data'!I165)</f>
        <v/>
      </c>
      <c r="I69" s="130" t="str">
        <f>IF('kWh_Streetlight Data'!J165=0,"",'kWh_Streetlight Data'!J165)</f>
        <v/>
      </c>
      <c r="J69" s="130" t="str">
        <f>IF('kWh_Streetlight Data'!K165=0,"",'kWh_Streetlight Data'!K165)</f>
        <v/>
      </c>
      <c r="K69" s="130" t="str">
        <f>IF('kWh_Streetlight Data'!L165=0,"",'kWh_Streetlight Data'!L165)</f>
        <v/>
      </c>
      <c r="L69" s="130" t="str">
        <f>IF('kWh_Streetlight Data'!M165=0,"",'kWh_Streetlight Data'!M165)</f>
        <v/>
      </c>
      <c r="M69" s="130" t="str">
        <f>IF('kWh_Streetlight Data'!N165=0,"",'kWh_Streetlight Data'!N165)</f>
        <v/>
      </c>
      <c r="N69" s="424" t="str">
        <f>IF('kWh_Streetlight Data'!O165=0,"",'kWh_Streetlight Data'!O165)</f>
        <v/>
      </c>
      <c r="O69" s="84" t="str">
        <f>IF('kWh_Streetlight Data'!P165=0,"",'kWh_Streetlight Data'!P165)</f>
        <v/>
      </c>
      <c r="P69" s="108" t="str">
        <f>IF('kWh_Streetlight Data'!Q165=0,"",'kWh_Streetlight Data'!Q165)</f>
        <v/>
      </c>
      <c r="Q69" s="108" t="str">
        <f>IF('kWh_Streetlight Data'!R165=0,"",'kWh_Streetlight Data'!R165)</f>
        <v/>
      </c>
      <c r="R69" s="108" t="str">
        <f>IF('kWh_Streetlight Data'!S165=0,"",'kWh_Streetlight Data'!S165)</f>
        <v/>
      </c>
      <c r="S69" s="108" t="str">
        <f>IF('kWh_Streetlight Data'!T165=0,"",'kWh_Streetlight Data'!T165)</f>
        <v/>
      </c>
      <c r="T69" s="108" t="str">
        <f>IF('kWh_Streetlight Data'!U165=0,"",'kWh_Streetlight Data'!U165)</f>
        <v/>
      </c>
      <c r="U69" s="108" t="str">
        <f>IF('kWh_Streetlight Data'!V165=0,"",'kWh_Streetlight Data'!V165)</f>
        <v/>
      </c>
      <c r="V69" s="108" t="str">
        <f>IF('kWh_Streetlight Data'!W165=0,"",'kWh_Streetlight Data'!W165)</f>
        <v/>
      </c>
      <c r="W69" s="108" t="str">
        <f>IF('kWh_Streetlight Data'!X165=0,"",'kWh_Streetlight Data'!X165)</f>
        <v/>
      </c>
      <c r="X69" s="108" t="str">
        <f>IF('kWh_Streetlight Data'!Y165=0,"",'kWh_Streetlight Data'!Y165)</f>
        <v/>
      </c>
      <c r="Y69" s="108" t="str">
        <f>IF('kWh_Streetlight Data'!Z165=0,"",'kWh_Streetlight Data'!Z165)</f>
        <v/>
      </c>
      <c r="Z69" s="108" t="str">
        <f>IF('kWh_Streetlight Data'!AA165=0,"",'kWh_Streetlight Data'!AA165)</f>
        <v/>
      </c>
      <c r="AA69" s="424" t="str">
        <f>IF('kWh_Streetlight Data'!AB165=0,"",'kWh_Streetlight Data'!AB165)</f>
        <v/>
      </c>
      <c r="AB69" s="84" t="str">
        <f>IF('kWh_Streetlight Data'!AC165=0,"",'kWh_Streetlight Data'!AC165)</f>
        <v/>
      </c>
      <c r="AC69" s="108" t="str">
        <f>IF('kWh_Streetlight Data'!AD165=0,"",'kWh_Streetlight Data'!AD165)</f>
        <v/>
      </c>
      <c r="AD69" s="108" t="str">
        <f>IF('kWh_Streetlight Data'!AE165=0,"",'kWh_Streetlight Data'!AE165)</f>
        <v/>
      </c>
      <c r="AE69" s="108" t="str">
        <f>IF('kWh_Streetlight Data'!AF165=0,"",'kWh_Streetlight Data'!AF165)</f>
        <v/>
      </c>
      <c r="AF69" s="108" t="str">
        <f>IF('kWh_Streetlight Data'!AG165=0,"",'kWh_Streetlight Data'!AG165)</f>
        <v/>
      </c>
      <c r="AG69" s="108" t="str">
        <f>IF('kWh_Streetlight Data'!AH165=0,"",'kWh_Streetlight Data'!AH165)</f>
        <v/>
      </c>
      <c r="AH69" s="130" t="str">
        <f>IF('kWh_Streetlight Data'!AI165=0,"",'kWh_Streetlight Data'!AI165)</f>
        <v/>
      </c>
      <c r="AI69" s="130" t="str">
        <f>IF('kWh_Streetlight Data'!AJ165=0,"",'kWh_Streetlight Data'!AJ165)</f>
        <v/>
      </c>
      <c r="AJ69" s="130" t="str">
        <f>IF('kWh_Streetlight Data'!AK165=0,"",'kWh_Streetlight Data'!AK165)</f>
        <v/>
      </c>
      <c r="AK69" s="130" t="str">
        <f>IF('kWh_Streetlight Data'!AL165=0,"",'kWh_Streetlight Data'!AL165)</f>
        <v/>
      </c>
      <c r="AL69" s="130" t="str">
        <f>IF('kWh_Streetlight Data'!AM165=0,"",'kWh_Streetlight Data'!AM165)</f>
        <v/>
      </c>
      <c r="AM69" s="130" t="str">
        <f>IF('kWh_Streetlight Data'!AN165=0,"",'kWh_Streetlight Data'!AN165)</f>
        <v/>
      </c>
      <c r="AN69" s="424" t="str">
        <f>IF('kWh_Streetlight Data'!AO165=0,"",'kWh_Streetlight Data'!AO165)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124">
        <f>Customers!E171</f>
        <v>4</v>
      </c>
      <c r="AV75" s="124">
        <f>Customers!F171</f>
        <v>4</v>
      </c>
      <c r="AW75" s="124">
        <f>Customers!G171</f>
        <v>4</v>
      </c>
      <c r="AX75" s="124">
        <f>Customers!H171</f>
        <v>4</v>
      </c>
      <c r="AY75" s="124">
        <f>Customers!I171</f>
        <v>4</v>
      </c>
      <c r="AZ75" s="124">
        <f>Customers!J171</f>
        <v>4</v>
      </c>
      <c r="BA75" s="210">
        <f>AZ75</f>
        <v>4</v>
      </c>
      <c r="BB75" s="124">
        <v>4</v>
      </c>
      <c r="BC75" s="38">
        <v>4</v>
      </c>
      <c r="BD75" s="38">
        <v>4</v>
      </c>
      <c r="BE75" s="38">
        <v>4</v>
      </c>
      <c r="BF75" s="38">
        <f t="shared" ref="BF75:BM75" si="18">BE75</f>
        <v>4</v>
      </c>
      <c r="BG75" s="38">
        <f t="shared" si="18"/>
        <v>4</v>
      </c>
      <c r="BH75" s="38">
        <f t="shared" si="18"/>
        <v>4</v>
      </c>
      <c r="BI75" s="38">
        <f t="shared" si="18"/>
        <v>4</v>
      </c>
      <c r="BJ75" s="38">
        <f t="shared" si="18"/>
        <v>4</v>
      </c>
      <c r="BK75" s="38">
        <f t="shared" si="18"/>
        <v>4</v>
      </c>
      <c r="BL75" s="38">
        <f t="shared" si="18"/>
        <v>4</v>
      </c>
      <c r="BM75" s="38">
        <f t="shared" si="18"/>
        <v>4</v>
      </c>
      <c r="BN75" s="210">
        <f>IFERROR(ROUND(AVERAGE(BB75:BM75),0),0)</f>
        <v>4</v>
      </c>
      <c r="BO75" s="143">
        <v>0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19">IF(AU78&gt;(AU75*250),AU75*250,AU78)</f>
        <v>1000</v>
      </c>
      <c r="AV76" s="38">
        <f t="shared" si="19"/>
        <v>1000</v>
      </c>
      <c r="AW76" s="38">
        <f t="shared" si="19"/>
        <v>1000</v>
      </c>
      <c r="AX76" s="38">
        <f t="shared" si="19"/>
        <v>1000</v>
      </c>
      <c r="AY76" s="38">
        <f t="shared" si="19"/>
        <v>1000</v>
      </c>
      <c r="AZ76" s="38">
        <f t="shared" si="19"/>
        <v>1000</v>
      </c>
      <c r="BA76" s="210">
        <f>SUM(AO76:AZ76)</f>
        <v>6000</v>
      </c>
      <c r="BB76" s="38">
        <v>1000</v>
      </c>
      <c r="BC76" s="38">
        <v>1000</v>
      </c>
      <c r="BD76" s="38">
        <v>1000</v>
      </c>
      <c r="BE76" s="38">
        <v>1000</v>
      </c>
      <c r="BF76" s="38">
        <f t="shared" ref="BF76:BM76" si="20">IF(BF78&gt;(BF75*250),BF75*250,BF78)</f>
        <v>1000</v>
      </c>
      <c r="BG76" s="38">
        <f t="shared" si="20"/>
        <v>1000</v>
      </c>
      <c r="BH76" s="38">
        <f t="shared" si="20"/>
        <v>1000</v>
      </c>
      <c r="BI76" s="38">
        <f t="shared" si="20"/>
        <v>1000</v>
      </c>
      <c r="BJ76" s="38">
        <f t="shared" si="20"/>
        <v>1000</v>
      </c>
      <c r="BK76" s="38">
        <f t="shared" si="20"/>
        <v>1000</v>
      </c>
      <c r="BL76" s="38">
        <f t="shared" si="20"/>
        <v>1000</v>
      </c>
      <c r="BM76" s="38">
        <f t="shared" si="20"/>
        <v>1000</v>
      </c>
      <c r="BN76" s="210">
        <f>SUM(BB76:BM76)</f>
        <v>12000</v>
      </c>
      <c r="BO76" s="143">
        <f>IF(BO78&gt;(BM75*250),BM75*250,BO78)</f>
        <v>1000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21">ROUND(AU78-AU76,0)</f>
        <v>3173</v>
      </c>
      <c r="AV77" s="38">
        <f t="shared" si="21"/>
        <v>2506</v>
      </c>
      <c r="AW77" s="38">
        <f t="shared" si="21"/>
        <v>2589</v>
      </c>
      <c r="AX77" s="38">
        <f t="shared" si="21"/>
        <v>4672</v>
      </c>
      <c r="AY77" s="38">
        <f t="shared" si="21"/>
        <v>7382</v>
      </c>
      <c r="AZ77" s="38">
        <f t="shared" si="21"/>
        <v>11640</v>
      </c>
      <c r="BA77" s="210">
        <f>SUM(AO77:AZ77)</f>
        <v>31962</v>
      </c>
      <c r="BB77" s="38">
        <v>10011</v>
      </c>
      <c r="BC77" s="38">
        <v>9667</v>
      </c>
      <c r="BD77" s="38">
        <v>9919</v>
      </c>
      <c r="BE77" s="38">
        <v>8692</v>
      </c>
      <c r="BF77" s="38">
        <f t="shared" ref="BF77:BM77" si="22">ROUND(BF78-BF76,0)</f>
        <v>7491</v>
      </c>
      <c r="BG77" s="38">
        <f t="shared" si="22"/>
        <v>4943</v>
      </c>
      <c r="BH77" s="38">
        <f t="shared" si="22"/>
        <v>3173</v>
      </c>
      <c r="BI77" s="38">
        <f t="shared" si="22"/>
        <v>2506</v>
      </c>
      <c r="BJ77" s="38">
        <f t="shared" si="22"/>
        <v>2589</v>
      </c>
      <c r="BK77" s="38">
        <f t="shared" si="22"/>
        <v>4672</v>
      </c>
      <c r="BL77" s="38">
        <f t="shared" si="22"/>
        <v>7382</v>
      </c>
      <c r="BM77" s="38">
        <f t="shared" si="22"/>
        <v>11640</v>
      </c>
      <c r="BN77" s="210">
        <f>SUM(BB77:BM77)</f>
        <v>82685</v>
      </c>
      <c r="BO77" s="156">
        <f t="shared" ref="BO77" si="23">ROUND(BO78-BO76,0)</f>
        <v>46342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24">IFERROR(ROUND(AU79*AU75,0),0)</f>
        <v>4173</v>
      </c>
      <c r="AV78" s="64">
        <f t="shared" si="24"/>
        <v>3506</v>
      </c>
      <c r="AW78" s="64">
        <f t="shared" si="24"/>
        <v>3589</v>
      </c>
      <c r="AX78" s="64">
        <f t="shared" si="24"/>
        <v>5672</v>
      </c>
      <c r="AY78" s="64">
        <f t="shared" si="24"/>
        <v>8382</v>
      </c>
      <c r="AZ78" s="64">
        <f t="shared" si="24"/>
        <v>12640</v>
      </c>
      <c r="BA78" s="196">
        <f>SUM(AO78:AZ78)</f>
        <v>37962</v>
      </c>
      <c r="BB78" s="64">
        <v>11011</v>
      </c>
      <c r="BC78" s="64">
        <v>10667</v>
      </c>
      <c r="BD78" s="64">
        <v>10919</v>
      </c>
      <c r="BE78" s="64">
        <v>9692</v>
      </c>
      <c r="BF78" s="64">
        <f t="shared" ref="BF78:BM78" si="25">IFERROR(ROUND(BF79*BF75,0),0)</f>
        <v>8491</v>
      </c>
      <c r="BG78" s="64">
        <f t="shared" si="25"/>
        <v>5943</v>
      </c>
      <c r="BH78" s="64">
        <f t="shared" si="25"/>
        <v>4173</v>
      </c>
      <c r="BI78" s="64">
        <f t="shared" si="25"/>
        <v>3506</v>
      </c>
      <c r="BJ78" s="64">
        <f t="shared" si="25"/>
        <v>3589</v>
      </c>
      <c r="BK78" s="64">
        <f t="shared" si="25"/>
        <v>5672</v>
      </c>
      <c r="BL78" s="64">
        <f t="shared" si="25"/>
        <v>8382</v>
      </c>
      <c r="BM78" s="64">
        <f t="shared" si="25"/>
        <v>12640</v>
      </c>
      <c r="BN78" s="196">
        <f>SUM(BB78:BM78)</f>
        <v>94685</v>
      </c>
      <c r="BO78" s="144">
        <f>BU91</f>
        <v>47342</v>
      </c>
    </row>
    <row r="79" spans="1:67" ht="15.75" customHeight="1" thickTop="1">
      <c r="A79" s="374" t="s">
        <v>54</v>
      </c>
      <c r="B79" s="84">
        <f>IF('kWh_Streetlight Data'!C166=0,"",'kWh_Streetlight Data'!C166)</f>
        <v>2679.2</v>
      </c>
      <c r="C79" s="108">
        <f>IF('kWh_Streetlight Data'!D166=0,"",'kWh_Streetlight Data'!D166)</f>
        <v>2861.4</v>
      </c>
      <c r="D79" s="108">
        <f>IF('kWh_Streetlight Data'!E166=0,"",'kWh_Streetlight Data'!E166)</f>
        <v>2954.2</v>
      </c>
      <c r="E79" s="108">
        <f>IF('kWh_Streetlight Data'!F166=0,"",'kWh_Streetlight Data'!F166)</f>
        <v>2313.1999999999998</v>
      </c>
      <c r="F79" s="108">
        <f>IF('kWh_Streetlight Data'!G166=0,"",'kWh_Streetlight Data'!G166)</f>
        <v>2312</v>
      </c>
      <c r="G79" s="108">
        <f>IF('kWh_Streetlight Data'!H166=0,"",'kWh_Streetlight Data'!H166)</f>
        <v>2199.4</v>
      </c>
      <c r="H79" s="108">
        <f>IF('kWh_Streetlight Data'!I166=0,"",'kWh_Streetlight Data'!I166)</f>
        <v>1104.8</v>
      </c>
      <c r="I79" s="108">
        <f>IF('kWh_Streetlight Data'!J166=0,"",'kWh_Streetlight Data'!J166)</f>
        <v>1002.4</v>
      </c>
      <c r="J79" s="108" t="str">
        <f>IF('kWh_Streetlight Data'!K166=0,"",'kWh_Streetlight Data'!K166)</f>
        <v/>
      </c>
      <c r="K79" s="108">
        <f>IF('kWh_Streetlight Data'!L166=0,"",'kWh_Streetlight Data'!L166)</f>
        <v>1423.6</v>
      </c>
      <c r="L79" s="108">
        <f>IF('kWh_Streetlight Data'!M166=0,"",'kWh_Streetlight Data'!M166)</f>
        <v>1984.7777777777778</v>
      </c>
      <c r="M79" s="108">
        <f>IF('kWh_Streetlight Data'!N166=0,"",'kWh_Streetlight Data'!N166)</f>
        <v>4441</v>
      </c>
      <c r="N79" s="111">
        <f>IF('kWh_Streetlight Data'!O166=0,"",'kWh_Streetlight Data'!O166)</f>
        <v>2026.1166666666666</v>
      </c>
      <c r="O79" s="84">
        <f>IF('kWh_Streetlight Data'!P166=0,"",'kWh_Streetlight Data'!P166)</f>
        <v>2184</v>
      </c>
      <c r="P79" s="108">
        <f>IF('kWh_Streetlight Data'!Q166=0,"",'kWh_Streetlight Data'!Q166)</f>
        <v>2485.4</v>
      </c>
      <c r="Q79" s="108">
        <f>IF('kWh_Streetlight Data'!R166=0,"",'kWh_Streetlight Data'!R166)</f>
        <v>2288.6</v>
      </c>
      <c r="R79" s="108">
        <f>IF('kWh_Streetlight Data'!S166=0,"",'kWh_Streetlight Data'!S166)</f>
        <v>2122.6</v>
      </c>
      <c r="S79" s="108">
        <f>IF('kWh_Streetlight Data'!T166=0,"",'kWh_Streetlight Data'!T166)</f>
        <v>1946.2</v>
      </c>
      <c r="T79" s="108">
        <f>IF('kWh_Streetlight Data'!U166=0,"",'kWh_Streetlight Data'!U166)</f>
        <v>425.375</v>
      </c>
      <c r="U79" s="108">
        <f>IF('kWh_Streetlight Data'!V166=0,"",'kWh_Streetlight Data'!V166)</f>
        <v>823.16666666666663</v>
      </c>
      <c r="V79" s="108">
        <f>IF('kWh_Streetlight Data'!W166=0,"",'kWh_Streetlight Data'!W166)</f>
        <v>833.25</v>
      </c>
      <c r="W79" s="108">
        <f>IF('kWh_Streetlight Data'!X166=0,"",'kWh_Streetlight Data'!X166)</f>
        <v>917.25</v>
      </c>
      <c r="X79" s="108">
        <f>IF('kWh_Streetlight Data'!Y166=0,"",'kWh_Streetlight Data'!Y166)</f>
        <v>1327.5</v>
      </c>
      <c r="Y79" s="108">
        <f>IF('kWh_Streetlight Data'!Z166=0,"",'kWh_Streetlight Data'!Z166)</f>
        <v>2177</v>
      </c>
      <c r="Z79" s="108">
        <f>IF('kWh_Streetlight Data'!AA166=0,"",'kWh_Streetlight Data'!AA166)</f>
        <v>2636</v>
      </c>
      <c r="AA79" s="424">
        <f>IF('kWh_Streetlight Data'!AB166=0,"",'kWh_Streetlight Data'!AB166)</f>
        <v>1610.8474576271187</v>
      </c>
      <c r="AB79" s="129">
        <f>IF('kWh_Streetlight Data'!AC166=0,"",'kWh_Streetlight Data'!AC166)</f>
        <v>3394.75</v>
      </c>
      <c r="AC79" s="130">
        <f>IF('kWh_Streetlight Data'!AD166=0,"",'kWh_Streetlight Data'!AD166)</f>
        <v>2653.75</v>
      </c>
      <c r="AD79" s="130">
        <f>IF('kWh_Streetlight Data'!AE166=0,"",'kWh_Streetlight Data'!AE166)</f>
        <v>2946.5</v>
      </c>
      <c r="AE79" s="130">
        <f>IF('kWh_Streetlight Data'!AF166=0,"",'kWh_Streetlight Data'!AF166)</f>
        <v>2833</v>
      </c>
      <c r="AF79" s="130">
        <f>IF('kWh_Streetlight Data'!AG166=0,"",'kWh_Streetlight Data'!AG166)</f>
        <v>2109.75</v>
      </c>
      <c r="AG79" s="130">
        <f>IF('kWh_Streetlight Data'!AH166=0,"",'kWh_Streetlight Data'!AH166)</f>
        <v>1832.5</v>
      </c>
      <c r="AH79" s="130">
        <f>IF('kWh_Streetlight Data'!AI166=0,"",'kWh_Streetlight Data'!AI166)</f>
        <v>1202</v>
      </c>
      <c r="AI79" s="130">
        <f>IF('kWh_Streetlight Data'!AJ166=0,"",'kWh_Streetlight Data'!AJ166)</f>
        <v>793.75</v>
      </c>
      <c r="AJ79" s="130">
        <f>IF('kWh_Streetlight Data'!AK166=0,"",'kWh_Streetlight Data'!AK166)</f>
        <v>877.25</v>
      </c>
      <c r="AK79" s="130">
        <f>IF('kWh_Streetlight Data'!AL166=0,"",'kWh_Streetlight Data'!AL166)</f>
        <v>1503.25</v>
      </c>
      <c r="AL79" s="130">
        <f>IF('kWh_Streetlight Data'!AM166=0,"",'kWh_Streetlight Data'!AM166)</f>
        <v>2124.75</v>
      </c>
      <c r="AM79" s="130">
        <f>IF('kWh_Streetlight Data'!AN166=0,"",'kWh_Streetlight Data'!AN166)</f>
        <v>2402.75</v>
      </c>
      <c r="AN79" s="424">
        <f>IF('kWh_Streetlight Data'!AO166=0,"",'kWh_Streetlight Data'!AO166)</f>
        <v>2056.1666666666665</v>
      </c>
      <c r="AO79" s="34"/>
      <c r="AP79" s="35"/>
      <c r="AQ79" s="35"/>
      <c r="AR79" s="35"/>
      <c r="AS79" s="35"/>
      <c r="AT79" s="9"/>
      <c r="AU79" s="9">
        <f t="shared" ref="AU79:AZ79" si="26">IFERROR(AVERAGE(AH79,U79,H79),0)</f>
        <v>1043.3222222222221</v>
      </c>
      <c r="AV79" s="9">
        <f t="shared" si="26"/>
        <v>876.4666666666667</v>
      </c>
      <c r="AW79" s="9">
        <f t="shared" si="26"/>
        <v>897.25</v>
      </c>
      <c r="AX79" s="9">
        <f t="shared" si="26"/>
        <v>1418.1166666666668</v>
      </c>
      <c r="AY79" s="9">
        <f t="shared" si="26"/>
        <v>2095.5092592592591</v>
      </c>
      <c r="AZ79" s="9">
        <f t="shared" si="26"/>
        <v>3159.9166666666665</v>
      </c>
      <c r="BA79" s="211"/>
      <c r="BB79" s="9">
        <v>2752.65</v>
      </c>
      <c r="BC79" s="17">
        <v>2666.85</v>
      </c>
      <c r="BD79" s="17">
        <v>2729.7666666666664</v>
      </c>
      <c r="BE79" s="17">
        <v>2422.9333333333329</v>
      </c>
      <c r="BF79" s="17">
        <f t="shared" ref="BF79:BM79" si="27">IFERROR(AVERAGE(F79,S79,AF79),0)</f>
        <v>2122.65</v>
      </c>
      <c r="BG79" s="17">
        <f t="shared" si="27"/>
        <v>1485.7583333333332</v>
      </c>
      <c r="BH79" s="17">
        <f t="shared" si="27"/>
        <v>1043.3222222222223</v>
      </c>
      <c r="BI79" s="17">
        <f t="shared" si="27"/>
        <v>876.4666666666667</v>
      </c>
      <c r="BJ79" s="17">
        <f t="shared" si="27"/>
        <v>897.25</v>
      </c>
      <c r="BK79" s="17">
        <f t="shared" si="27"/>
        <v>1418.1166666666668</v>
      </c>
      <c r="BL79" s="17">
        <f t="shared" si="27"/>
        <v>2095.5092592592591</v>
      </c>
      <c r="BM79" s="9">
        <f t="shared" si="27"/>
        <v>3159.9166666666665</v>
      </c>
      <c r="BN79" s="211">
        <f>IFERROR(BN78/SUM(BB75:BM75)*12,0)</f>
        <v>23671.25</v>
      </c>
      <c r="BO79" s="20">
        <v>0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Data'!C167=0,"",'kWh_Streetlight Data'!C167)</f>
        <v/>
      </c>
      <c r="C83" s="108" t="str">
        <f>IF('kWh_Streetlight Data'!D167=0,"",'kWh_Streetlight Data'!D167)</f>
        <v/>
      </c>
      <c r="D83" s="108" t="str">
        <f>IF('kWh_Streetlight Data'!E167=0,"",'kWh_Streetlight Data'!E167)</f>
        <v/>
      </c>
      <c r="E83" s="108" t="str">
        <f>IF('kWh_Streetlight Data'!F167=0,"",'kWh_Streetlight Data'!F167)</f>
        <v/>
      </c>
      <c r="F83" s="108" t="str">
        <f>IF('kWh_Streetlight Data'!G167=0,"",'kWh_Streetlight Data'!G167)</f>
        <v/>
      </c>
      <c r="G83" s="108" t="str">
        <f>IF('kWh_Streetlight Data'!H167=0,"",'kWh_Streetlight Data'!H167)</f>
        <v/>
      </c>
      <c r="H83" s="108" t="str">
        <f>IF('kWh_Streetlight Data'!I167=0,"",'kWh_Streetlight Data'!I167)</f>
        <v/>
      </c>
      <c r="I83" s="108" t="str">
        <f>IF('kWh_Streetlight Data'!J167=0,"",'kWh_Streetlight Data'!J167)</f>
        <v/>
      </c>
      <c r="J83" s="108" t="str">
        <f>IF('kWh_Streetlight Data'!K167=0,"",'kWh_Streetlight Data'!K167)</f>
        <v/>
      </c>
      <c r="K83" s="108" t="str">
        <f>IF('kWh_Streetlight Data'!L167=0,"",'kWh_Streetlight Data'!L167)</f>
        <v/>
      </c>
      <c r="L83" s="108" t="str">
        <f>IF('kWh_Streetlight Data'!M167=0,"",'kWh_Streetlight Data'!M167)</f>
        <v/>
      </c>
      <c r="M83" s="108" t="str">
        <f>IF('kWh_Streetlight Data'!N167=0,"",'kWh_Streetlight Data'!N167)</f>
        <v/>
      </c>
      <c r="N83" s="424" t="str">
        <f>IF('kWh_Streetlight Data'!O167=0,"",'kWh_Streetlight Data'!O167)</f>
        <v/>
      </c>
      <c r="O83" s="84" t="str">
        <f>IF('kWh_Streetlight Data'!P167=0,"",'kWh_Streetlight Data'!P167)</f>
        <v/>
      </c>
      <c r="P83" s="108" t="str">
        <f>IF('kWh_Streetlight Data'!Q167=0,"",'kWh_Streetlight Data'!Q167)</f>
        <v/>
      </c>
      <c r="Q83" s="108" t="str">
        <f>IF('kWh_Streetlight Data'!R167=0,"",'kWh_Streetlight Data'!R167)</f>
        <v/>
      </c>
      <c r="R83" s="108" t="str">
        <f>IF('kWh_Streetlight Data'!S167=0,"",'kWh_Streetlight Data'!S167)</f>
        <v/>
      </c>
      <c r="S83" s="108" t="str">
        <f>IF('kWh_Streetlight Data'!T167=0,"",'kWh_Streetlight Data'!T167)</f>
        <v/>
      </c>
      <c r="T83" s="108" t="str">
        <f>IF('kWh_Streetlight Data'!U167=0,"",'kWh_Streetlight Data'!U167)</f>
        <v/>
      </c>
      <c r="U83" s="108" t="str">
        <f>IF('kWh_Streetlight Data'!V167=0,"",'kWh_Streetlight Data'!V167)</f>
        <v/>
      </c>
      <c r="V83" s="108" t="str">
        <f>IF('kWh_Streetlight Data'!W167=0,"",'kWh_Streetlight Data'!W167)</f>
        <v/>
      </c>
      <c r="W83" s="108" t="str">
        <f>IF('kWh_Streetlight Data'!X167=0,"",'kWh_Streetlight Data'!X167)</f>
        <v/>
      </c>
      <c r="X83" s="108" t="str">
        <f>IF('kWh_Streetlight Data'!Y167=0,"",'kWh_Streetlight Data'!Y167)</f>
        <v/>
      </c>
      <c r="Y83" s="108" t="str">
        <f>IF('kWh_Streetlight Data'!Z167=0,"",'kWh_Streetlight Data'!Z167)</f>
        <v/>
      </c>
      <c r="Z83" s="108" t="str">
        <f>IF('kWh_Streetlight Data'!AA167=0,"",'kWh_Streetlight Data'!AA167)</f>
        <v/>
      </c>
      <c r="AA83" s="424" t="str">
        <f>IF('kWh_Streetlight Data'!AB167=0,"",'kWh_Streetlight Data'!AB167)</f>
        <v/>
      </c>
      <c r="AB83" s="442" t="str">
        <f>IF('kWh_Streetlight Data'!AC167=0,"",'kWh_Streetlight Data'!AC167)</f>
        <v/>
      </c>
      <c r="AC83" s="443" t="str">
        <f>IF('kWh_Streetlight Data'!AD167=0,"",'kWh_Streetlight Data'!AD167)</f>
        <v/>
      </c>
      <c r="AD83" s="443" t="str">
        <f>IF('kWh_Streetlight Data'!AE167=0,"",'kWh_Streetlight Data'!AE167)</f>
        <v/>
      </c>
      <c r="AE83" s="443" t="str">
        <f>IF('kWh_Streetlight Data'!AF167=0,"",'kWh_Streetlight Data'!AF167)</f>
        <v/>
      </c>
      <c r="AF83" s="443" t="str">
        <f>IF('kWh_Streetlight Data'!AG167=0,"",'kWh_Streetlight Data'!AG167)</f>
        <v/>
      </c>
      <c r="AG83" s="443" t="str">
        <f>IF('kWh_Streetlight Data'!AH167=0,"",'kWh_Streetlight Data'!AH167)</f>
        <v/>
      </c>
      <c r="AH83" s="108" t="str">
        <f>IF('kWh_Streetlight Data'!AI167=0,"",'kWh_Streetlight Data'!AI167)</f>
        <v/>
      </c>
      <c r="AI83" s="108" t="str">
        <f>IF('kWh_Streetlight Data'!AJ167=0,"",'kWh_Streetlight Data'!AJ167)</f>
        <v/>
      </c>
      <c r="AJ83" s="108" t="str">
        <f>IF('kWh_Streetlight Data'!AK167=0,"",'kWh_Streetlight Data'!AK167)</f>
        <v/>
      </c>
      <c r="AK83" s="108" t="str">
        <f>IF('kWh_Streetlight Data'!AL167=0,"",'kWh_Streetlight Data'!AL167)</f>
        <v/>
      </c>
      <c r="AL83" s="108" t="str">
        <f>IF('kWh_Streetlight Data'!AM167=0,"",'kWh_Streetlight Data'!AM167)</f>
        <v/>
      </c>
      <c r="AM83" s="108" t="str">
        <f>IF('kWh_Streetlight Data'!AN167=0,"",'kWh_Streetlight Data'!AN167)</f>
        <v/>
      </c>
      <c r="AN83" s="424" t="str">
        <f>IF('kWh_Streetlight Data'!AO167=0,"",'kWh_Streetlight Data'!AO167)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  <c r="BQ84" s="2"/>
      <c r="BR84" s="2"/>
      <c r="BS84" s="2"/>
      <c r="BT84" s="2"/>
      <c r="BU84" s="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Customers!H172</f>
        <v>13</v>
      </c>
      <c r="AV86" s="38">
        <f>Customers!I172</f>
        <v>13</v>
      </c>
      <c r="AW86" s="38">
        <f>Customers!J172</f>
        <v>13</v>
      </c>
      <c r="AX86" s="38">
        <f>Customers!K172</f>
        <v>13</v>
      </c>
      <c r="AY86" s="38">
        <f>Customers!L172</f>
        <v>13</v>
      </c>
      <c r="AZ86" s="38" t="e">
        <f>Customers!#REF!</f>
        <v>#REF!</v>
      </c>
      <c r="BA86" s="210" t="e">
        <f>AZ86</f>
        <v>#REF!</v>
      </c>
      <c r="BB86" s="124">
        <v>13</v>
      </c>
      <c r="BC86" s="38">
        <v>13</v>
      </c>
      <c r="BD86" s="38">
        <v>13</v>
      </c>
      <c r="BE86" s="38">
        <v>13</v>
      </c>
      <c r="BF86" s="38">
        <f t="shared" ref="BF86:BM86" si="28">BE86</f>
        <v>13</v>
      </c>
      <c r="BG86" s="38">
        <f t="shared" si="28"/>
        <v>13</v>
      </c>
      <c r="BH86" s="38">
        <f t="shared" si="28"/>
        <v>13</v>
      </c>
      <c r="BI86" s="38">
        <f t="shared" si="28"/>
        <v>13</v>
      </c>
      <c r="BJ86" s="38">
        <f t="shared" si="28"/>
        <v>13</v>
      </c>
      <c r="BK86" s="38">
        <f t="shared" si="28"/>
        <v>13</v>
      </c>
      <c r="BL86" s="38">
        <f t="shared" si="28"/>
        <v>13</v>
      </c>
      <c r="BM86" s="38">
        <f t="shared" si="28"/>
        <v>13</v>
      </c>
      <c r="BN86" s="210">
        <f>IFERROR(ROUND(AVERAGE(BB86:BM86),0),0)</f>
        <v>13</v>
      </c>
      <c r="BO86" s="143">
        <v>0</v>
      </c>
      <c r="BT86" s="229" t="s">
        <v>225</v>
      </c>
      <c r="BU86" s="229" t="s">
        <v>226</v>
      </c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29">IFERROR(ROUND(AU88*AU86,0),0)</f>
        <v>35032</v>
      </c>
      <c r="AV87" s="160">
        <f t="shared" si="29"/>
        <v>38624</v>
      </c>
      <c r="AW87" s="160">
        <f t="shared" si="29"/>
        <v>38256</v>
      </c>
      <c r="AX87" s="160">
        <f t="shared" si="29"/>
        <v>35598</v>
      </c>
      <c r="AY87" s="160">
        <f t="shared" si="29"/>
        <v>48136</v>
      </c>
      <c r="AZ87" s="160">
        <f t="shared" si="29"/>
        <v>0</v>
      </c>
      <c r="BA87" s="196">
        <f>SUM(AO87:AZ87)</f>
        <v>195646</v>
      </c>
      <c r="BB87" s="160">
        <v>60075</v>
      </c>
      <c r="BC87" s="160">
        <v>53637</v>
      </c>
      <c r="BD87" s="160">
        <v>56364</v>
      </c>
      <c r="BE87" s="160">
        <v>50310</v>
      </c>
      <c r="BF87" s="160">
        <f t="shared" ref="BF87:BM87" si="30">IFERROR(ROUND(BF88*BF86,0),0)</f>
        <v>44666</v>
      </c>
      <c r="BG87" s="160">
        <f t="shared" si="30"/>
        <v>42006</v>
      </c>
      <c r="BH87" s="160">
        <f t="shared" si="30"/>
        <v>35032</v>
      </c>
      <c r="BI87" s="160">
        <f t="shared" si="30"/>
        <v>38624</v>
      </c>
      <c r="BJ87" s="160">
        <f t="shared" si="30"/>
        <v>38256</v>
      </c>
      <c r="BK87" s="160">
        <f t="shared" si="30"/>
        <v>35598</v>
      </c>
      <c r="BL87" s="160">
        <f t="shared" si="30"/>
        <v>48136</v>
      </c>
      <c r="BM87" s="160">
        <f t="shared" si="30"/>
        <v>52765</v>
      </c>
      <c r="BN87" s="196">
        <f>SUM(BB87:BM87)</f>
        <v>555469</v>
      </c>
      <c r="BO87" s="144">
        <f>BT91</f>
        <v>277734</v>
      </c>
      <c r="BS87" t="s">
        <v>230</v>
      </c>
      <c r="BT87" s="231">
        <f>BN87</f>
        <v>555469</v>
      </c>
      <c r="BU87" s="231">
        <f>BN78</f>
        <v>94685</v>
      </c>
    </row>
    <row r="88" spans="1:73" ht="15.75" customHeight="1" thickTop="1">
      <c r="A88" s="374" t="s">
        <v>54</v>
      </c>
      <c r="B88" s="84">
        <f>IF('kWh_Streetlight Data'!C168=0,"",'kWh_Streetlight Data'!C168)</f>
        <v>4465.6153846153848</v>
      </c>
      <c r="C88" s="108">
        <f>IF('kWh_Streetlight Data'!D168=0,"",'kWh_Streetlight Data'!D168)</f>
        <v>4426.2307692307695</v>
      </c>
      <c r="D88" s="108">
        <f>IF('kWh_Streetlight Data'!E168=0,"",'kWh_Streetlight Data'!E168)</f>
        <v>4819.6153846153848</v>
      </c>
      <c r="E88" s="108">
        <f>IF('kWh_Streetlight Data'!F168=0,"",'kWh_Streetlight Data'!F168)</f>
        <v>3753.7692307692309</v>
      </c>
      <c r="F88" s="108">
        <f>IF('kWh_Streetlight Data'!G168=0,"",'kWh_Streetlight Data'!G168)</f>
        <v>3750.3846153846152</v>
      </c>
      <c r="G88" s="108">
        <f>IF('kWh_Streetlight Data'!H168=0,"",'kWh_Streetlight Data'!H168)</f>
        <v>3906.2307692307691</v>
      </c>
      <c r="H88" s="108">
        <f>IF('kWh_Streetlight Data'!I168=0,"",'kWh_Streetlight Data'!I168)</f>
        <v>2671.5384615384614</v>
      </c>
      <c r="I88" s="108">
        <f>IF('kWh_Streetlight Data'!J168=0,"",'kWh_Streetlight Data'!J168)</f>
        <v>2726.1538461538462</v>
      </c>
      <c r="J88" s="108" t="str">
        <f>IF('kWh_Streetlight Data'!K168=0,"",'kWh_Streetlight Data'!K168)</f>
        <v/>
      </c>
      <c r="K88" s="108">
        <f>IF('kWh_Streetlight Data'!L168=0,"",'kWh_Streetlight Data'!L168)</f>
        <v>2947.5384615384614</v>
      </c>
      <c r="L88" s="108">
        <f>IF('kWh_Streetlight Data'!M168=0,"",'kWh_Streetlight Data'!M168)</f>
        <v>3983.2692307692309</v>
      </c>
      <c r="M88" s="108" t="str">
        <f>IF('kWh_Streetlight Data'!N168=0,"",'kWh_Streetlight Data'!N168)</f>
        <v/>
      </c>
      <c r="N88" s="424">
        <f>IF('kWh_Streetlight Data'!O168=0,"",'kWh_Streetlight Data'!O168)</f>
        <v>3679.9807692307691</v>
      </c>
      <c r="O88" s="84">
        <f>IF('kWh_Streetlight Data'!P168=0,"",'kWh_Streetlight Data'!P168)</f>
        <v>4309.0769230769229</v>
      </c>
      <c r="P88" s="108">
        <f>IF('kWh_Streetlight Data'!Q168=0,"",'kWh_Streetlight Data'!Q168)</f>
        <v>4825.6153846153848</v>
      </c>
      <c r="Q88" s="108">
        <f>IF('kWh_Streetlight Data'!R168=0,"",'kWh_Streetlight Data'!R168)</f>
        <v>4390.9230769230771</v>
      </c>
      <c r="R88" s="108">
        <f>IF('kWh_Streetlight Data'!S168=0,"",'kWh_Streetlight Data'!S168)</f>
        <v>4205.6923076923076</v>
      </c>
      <c r="S88" s="108">
        <f>IF('kWh_Streetlight Data'!T168=0,"",'kWh_Streetlight Data'!T168)</f>
        <v>3875.8461538461538</v>
      </c>
      <c r="T88" s="108">
        <f>IF('kWh_Streetlight Data'!U168=0,"",'kWh_Streetlight Data'!U168)</f>
        <v>3268.7692307692309</v>
      </c>
      <c r="U88" s="108">
        <f>IF('kWh_Streetlight Data'!V168=0,"",'kWh_Streetlight Data'!V168)</f>
        <v>2895.8461538461538</v>
      </c>
      <c r="V88" s="108">
        <f>IF('kWh_Streetlight Data'!W168=0,"",'kWh_Streetlight Data'!W168)</f>
        <v>3691.4615384615386</v>
      </c>
      <c r="W88" s="108">
        <f>IF('kWh_Streetlight Data'!X168=0,"",'kWh_Streetlight Data'!X168)</f>
        <v>2922.9230769230771</v>
      </c>
      <c r="X88" s="108">
        <f>IF('kWh_Streetlight Data'!Y168=0,"",'kWh_Streetlight Data'!Y168)</f>
        <v>2321.6428571428573</v>
      </c>
      <c r="Y88" s="108">
        <f>IF('kWh_Streetlight Data'!Z168=0,"",'kWh_Streetlight Data'!Z168)</f>
        <v>3971.2307692307691</v>
      </c>
      <c r="Z88" s="108">
        <f>IF('kWh_Streetlight Data'!AA168=0,"",'kWh_Streetlight Data'!AA168)</f>
        <v>4035.7692307692309</v>
      </c>
      <c r="AA88" s="426">
        <f>IF('kWh_Streetlight Data'!AB168=0,"",'kWh_Streetlight Data'!AB168)</f>
        <v>3717.2866242038217</v>
      </c>
      <c r="AB88" s="442">
        <f>IF('kWh_Streetlight Data'!AC168=0,"",'kWh_Streetlight Data'!AC168)</f>
        <v>5088.7692307692305</v>
      </c>
      <c r="AC88" s="443">
        <f>IF('kWh_Streetlight Data'!AD168=0,"",'kWh_Streetlight Data'!AD168)</f>
        <v>3126</v>
      </c>
      <c r="AD88" s="443">
        <f>IF('kWh_Streetlight Data'!AE168=0,"",'kWh_Streetlight Data'!AE168)</f>
        <v>3796.6470588235293</v>
      </c>
      <c r="AE88" s="443">
        <f>IF('kWh_Streetlight Data'!AF168=0,"",'kWh_Streetlight Data'!AF168)</f>
        <v>3650.4705882352941</v>
      </c>
      <c r="AF88" s="443">
        <f>IF('kWh_Streetlight Data'!AG168=0,"",'kWh_Streetlight Data'!AG168)</f>
        <v>2681.3529411764707</v>
      </c>
      <c r="AG88" s="443">
        <f>IF('kWh_Streetlight Data'!AH168=0,"",'kWh_Streetlight Data'!AH168)</f>
        <v>2518.705882352941</v>
      </c>
      <c r="AH88" s="443">
        <f>IF('kWh_Streetlight Data'!AI168=0,"",'kWh_Streetlight Data'!AI168)</f>
        <v>2516.8235294117649</v>
      </c>
      <c r="AI88" s="443">
        <f>IF('kWh_Streetlight Data'!AJ168=0,"",'kWh_Streetlight Data'!AJ168)</f>
        <v>2495.6470588235293</v>
      </c>
      <c r="AJ88" s="443">
        <f>IF('kWh_Streetlight Data'!AK168=0,"",'kWh_Streetlight Data'!AK168)</f>
        <v>2962.6666666666665</v>
      </c>
      <c r="AK88" s="443">
        <f>IF('kWh_Streetlight Data'!AL168=0,"",'kWh_Streetlight Data'!AL168)</f>
        <v>2945.8</v>
      </c>
      <c r="AL88" s="443">
        <f>IF('kWh_Streetlight Data'!AM168=0,"",'kWh_Streetlight Data'!AM168)</f>
        <v>3153.8666666666668</v>
      </c>
      <c r="AM88" s="443">
        <f>IF('kWh_Streetlight Data'!AN168=0,"",'kWh_Streetlight Data'!AN168)</f>
        <v>4081.8461538461538</v>
      </c>
      <c r="AN88" s="424">
        <f>IF('kWh_Streetlight Data'!AO168=0,"",'kWh_Streetlight Data'!AO168)</f>
        <v>3202.6789473684212</v>
      </c>
      <c r="AO88" s="34"/>
      <c r="AP88" s="35"/>
      <c r="AQ88" s="35"/>
      <c r="AR88" s="35"/>
      <c r="AS88" s="35"/>
      <c r="AT88" s="9"/>
      <c r="AU88" s="9">
        <f t="shared" ref="AU88:AZ88" si="31">IFERROR(AVERAGE(AH88,U88,H88),0)</f>
        <v>2694.7360482654599</v>
      </c>
      <c r="AV88" s="9">
        <f t="shared" si="31"/>
        <v>2971.087481146305</v>
      </c>
      <c r="AW88" s="9">
        <f t="shared" si="31"/>
        <v>2942.7948717948721</v>
      </c>
      <c r="AX88" s="9">
        <f t="shared" si="31"/>
        <v>2738.3271062271065</v>
      </c>
      <c r="AY88" s="9">
        <f t="shared" si="31"/>
        <v>3702.7888888888888</v>
      </c>
      <c r="AZ88" s="9">
        <f t="shared" si="31"/>
        <v>4058.8076923076924</v>
      </c>
      <c r="BA88" s="211"/>
      <c r="BB88" s="9">
        <v>4621.1538461538466</v>
      </c>
      <c r="BC88" s="41">
        <v>4125.9487179487178</v>
      </c>
      <c r="BD88" s="41">
        <v>4335.7285067873299</v>
      </c>
      <c r="BE88" s="41">
        <v>3869.9773755656111</v>
      </c>
      <c r="BF88" s="41">
        <f t="shared" ref="BF88:BM88" si="32">IFERROR(AVERAGE(F88,S88,AF88),0)</f>
        <v>3435.8612368024133</v>
      </c>
      <c r="BG88" s="41">
        <f t="shared" si="32"/>
        <v>3231.2352941176468</v>
      </c>
      <c r="BH88" s="41">
        <f t="shared" si="32"/>
        <v>2694.7360482654599</v>
      </c>
      <c r="BI88" s="41">
        <f t="shared" si="32"/>
        <v>2971.087481146305</v>
      </c>
      <c r="BJ88" s="41">
        <f t="shared" si="32"/>
        <v>2942.7948717948721</v>
      </c>
      <c r="BK88" s="41">
        <f t="shared" si="32"/>
        <v>2738.3271062271065</v>
      </c>
      <c r="BL88" s="41">
        <f t="shared" si="32"/>
        <v>3702.7888888888888</v>
      </c>
      <c r="BM88" s="9">
        <f t="shared" si="32"/>
        <v>4058.8076923076924</v>
      </c>
      <c r="BN88" s="211">
        <f>IFERROR(BN87/SUM(BB86:BM86)*12,0)</f>
        <v>42728.38461538461</v>
      </c>
      <c r="BO88" s="20"/>
      <c r="BQ88" s="2"/>
      <c r="BR88" s="2"/>
      <c r="BT88" s="231"/>
      <c r="BU88" s="231"/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Q89"/>
      <c r="BR89"/>
      <c r="BT89" s="38">
        <f>SUM(BT87:BT88)</f>
        <v>555469</v>
      </c>
      <c r="BU89" s="38">
        <f>SUM(BU87:BU88)</f>
        <v>94685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T90" s="231">
        <f>ROUND(BT89/12*BR92,0)</f>
        <v>277735</v>
      </c>
      <c r="BU90" s="231">
        <f>ROUND(BU89/12*BR92,0)</f>
        <v>47343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Q91" s="229" t="s">
        <v>222</v>
      </c>
      <c r="BR91" s="3" t="s">
        <v>227</v>
      </c>
      <c r="BT91" s="202">
        <f>BT89-BT90</f>
        <v>277734</v>
      </c>
      <c r="BU91" s="202">
        <f>BU89-BU90</f>
        <v>47342</v>
      </c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>
        <f>Customers!L171+Customers!L172</f>
        <v>17</v>
      </c>
      <c r="BQ92" s="39"/>
      <c r="BR92" s="296">
        <v>6</v>
      </c>
      <c r="BT92" s="202" t="s">
        <v>2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>
        <f>SUM(BB93:BM93)</f>
        <v>0</v>
      </c>
      <c r="BO93" s="147">
        <f>BT90+BU90</f>
        <v>325078</v>
      </c>
    </row>
    <row r="94" spans="1:73" ht="15.75" customHeight="1" thickTop="1">
      <c r="A94" s="374" t="s">
        <v>54</v>
      </c>
      <c r="B94" s="84" t="str">
        <f>IF('kWh_Streetlight Data'!C169=0,"",'kWh_Streetlight Data'!C169)</f>
        <v/>
      </c>
      <c r="C94" s="108" t="str">
        <f>IF('kWh_Streetlight Data'!D169=0,"",'kWh_Streetlight Data'!D169)</f>
        <v/>
      </c>
      <c r="D94" s="108" t="str">
        <f>IF('kWh_Streetlight Data'!E169=0,"",'kWh_Streetlight Data'!E169)</f>
        <v/>
      </c>
      <c r="E94" s="108" t="str">
        <f>IF('kWh_Streetlight Data'!F169=0,"",'kWh_Streetlight Data'!F169)</f>
        <v/>
      </c>
      <c r="F94" s="108" t="str">
        <f>IF('kWh_Streetlight Data'!G169=0,"",'kWh_Streetlight Data'!G169)</f>
        <v/>
      </c>
      <c r="G94" s="108" t="str">
        <f>IF('kWh_Streetlight Data'!H169=0,"",'kWh_Streetlight Data'!H169)</f>
        <v/>
      </c>
      <c r="H94" s="108" t="str">
        <f>IF('kWh_Streetlight Data'!I169=0,"",'kWh_Streetlight Data'!I169)</f>
        <v/>
      </c>
      <c r="I94" s="108" t="str">
        <f>IF('kWh_Streetlight Data'!J169=0,"",'kWh_Streetlight Data'!J169)</f>
        <v/>
      </c>
      <c r="J94" s="108" t="str">
        <f>IF('kWh_Streetlight Data'!K169=0,"",'kWh_Streetlight Data'!K169)</f>
        <v/>
      </c>
      <c r="K94" s="108" t="str">
        <f>IF('kWh_Streetlight Data'!L169=0,"",'kWh_Streetlight Data'!L169)</f>
        <v/>
      </c>
      <c r="L94" s="130" t="str">
        <f>IF('kWh_Streetlight Data'!M169=0,"",'kWh_Streetlight Data'!M169)</f>
        <v/>
      </c>
      <c r="M94" s="130" t="str">
        <f>IF('kWh_Streetlight Data'!N169=0,"",'kWh_Streetlight Data'!N169)</f>
        <v/>
      </c>
      <c r="N94" s="425" t="str">
        <f>IF('kWh_Streetlight Data'!O169=0,"",'kWh_Streetlight Data'!O169)</f>
        <v/>
      </c>
      <c r="O94" s="84" t="str">
        <f>IF('kWh_Streetlight Data'!P169=0,"",'kWh_Streetlight Data'!P169)</f>
        <v/>
      </c>
      <c r="P94" s="108" t="str">
        <f>IF('kWh_Streetlight Data'!Q169=0,"",'kWh_Streetlight Data'!Q169)</f>
        <v/>
      </c>
      <c r="Q94" s="108" t="str">
        <f>IF('kWh_Streetlight Data'!R169=0,"",'kWh_Streetlight Data'!R169)</f>
        <v/>
      </c>
      <c r="R94" s="108" t="str">
        <f>IF('kWh_Streetlight Data'!S169=0,"",'kWh_Streetlight Data'!S169)</f>
        <v/>
      </c>
      <c r="S94" s="108" t="str">
        <f>IF('kWh_Streetlight Data'!T169=0,"",'kWh_Streetlight Data'!T169)</f>
        <v/>
      </c>
      <c r="T94" s="108" t="str">
        <f>IF('kWh_Streetlight Data'!U169=0,"",'kWh_Streetlight Data'!U169)</f>
        <v/>
      </c>
      <c r="U94" s="108" t="str">
        <f>IF('kWh_Streetlight Data'!V169=0,"",'kWh_Streetlight Data'!V169)</f>
        <v/>
      </c>
      <c r="V94" s="108" t="str">
        <f>IF('kWh_Streetlight Data'!W169=0,"",'kWh_Streetlight Data'!W169)</f>
        <v/>
      </c>
      <c r="W94" s="108" t="str">
        <f>IF('kWh_Streetlight Data'!X169=0,"",'kWh_Streetlight Data'!X169)</f>
        <v/>
      </c>
      <c r="X94" s="108" t="str">
        <f>IF('kWh_Streetlight Data'!Y169=0,"",'kWh_Streetlight Data'!Y169)</f>
        <v/>
      </c>
      <c r="Y94" s="108" t="str">
        <f>IF('kWh_Streetlight Data'!Z169=0,"",'kWh_Streetlight Data'!Z169)</f>
        <v/>
      </c>
      <c r="Z94" s="108" t="str">
        <f>IF('kWh_Streetlight Data'!AA169=0,"",'kWh_Streetlight Data'!AA169)</f>
        <v/>
      </c>
      <c r="AA94" s="426" t="str">
        <f>IF('kWh_Streetlight Data'!AB169=0,"",'kWh_Streetlight Data'!AB169)</f>
        <v/>
      </c>
      <c r="AB94" s="84" t="str">
        <f>IF('kWh_Streetlight Data'!AC169=0,"",'kWh_Streetlight Data'!AC169)</f>
        <v/>
      </c>
      <c r="AC94" s="108" t="str">
        <f>IF('kWh_Streetlight Data'!AD169=0,"",'kWh_Streetlight Data'!AD169)</f>
        <v/>
      </c>
      <c r="AD94" s="108" t="str">
        <f>IF('kWh_Streetlight Data'!AE169=0,"",'kWh_Streetlight Data'!AE169)</f>
        <v/>
      </c>
      <c r="AE94" s="108" t="str">
        <f>IF('kWh_Streetlight Data'!AF169=0,"",'kWh_Streetlight Data'!AF169)</f>
        <v/>
      </c>
      <c r="AF94" s="108" t="str">
        <f>IF('kWh_Streetlight Data'!AG169=0,"",'kWh_Streetlight Data'!AG169)</f>
        <v/>
      </c>
      <c r="AG94" s="108" t="str">
        <f>IF('kWh_Streetlight Data'!AH169=0,"",'kWh_Streetlight Data'!AH169)</f>
        <v/>
      </c>
      <c r="AH94" s="108" t="str">
        <f>IF('kWh_Streetlight Data'!AI169=0,"",'kWh_Streetlight Data'!AI169)</f>
        <v/>
      </c>
      <c r="AI94" s="108" t="str">
        <f>IF('kWh_Streetlight Data'!AJ169=0,"",'kWh_Streetlight Data'!AJ169)</f>
        <v/>
      </c>
      <c r="AJ94" s="108" t="str">
        <f>IF('kWh_Streetlight Data'!AK169=0,"",'kWh_Streetlight Data'!AK169)</f>
        <v/>
      </c>
      <c r="AK94" s="108" t="str">
        <f>IF('kWh_Streetlight Data'!AL169=0,"",'kWh_Streetlight Data'!AL169)</f>
        <v/>
      </c>
      <c r="AL94" s="108" t="str">
        <f>IF('kWh_Streetlight Data'!AM169=0,"",'kWh_Streetlight Data'!AM169)</f>
        <v/>
      </c>
      <c r="AM94" s="108" t="str">
        <f>IF('kWh_Streetlight Data'!AN169=0,"",'kWh_Streetlight Data'!AN169)</f>
        <v/>
      </c>
      <c r="AN94" s="424" t="str">
        <f>IF('kWh_Streetlight Data'!AO169=0,"",'kWh_Streetlight Data'!AO169)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>
        <f>((BO93+BO87+BO78)/BO92)</f>
        <v>38244.352941176468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3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73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73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33">AU7+AU22+AU29+AU43</f>
        <v>169</v>
      </c>
      <c r="AV98" s="9">
        <f t="shared" si="33"/>
        <v>169</v>
      </c>
      <c r="AW98" s="9">
        <f t="shared" si="33"/>
        <v>170</v>
      </c>
      <c r="AX98" s="9">
        <f t="shared" si="33"/>
        <v>170</v>
      </c>
      <c r="AY98" s="9">
        <f t="shared" si="33"/>
        <v>170</v>
      </c>
      <c r="AZ98" s="9">
        <f t="shared" si="33"/>
        <v>170</v>
      </c>
      <c r="BA98" s="138">
        <f t="shared" si="33"/>
        <v>170</v>
      </c>
      <c r="BB98" s="9">
        <v>172</v>
      </c>
      <c r="BC98" s="9">
        <v>172</v>
      </c>
      <c r="BD98" s="9">
        <v>172</v>
      </c>
      <c r="BE98" s="9">
        <v>172</v>
      </c>
      <c r="BF98" s="9">
        <f t="shared" ref="BF98:BO98" si="34">BF7+BF22+BF29+BF43</f>
        <v>172</v>
      </c>
      <c r="BG98" s="9">
        <f t="shared" si="34"/>
        <v>172</v>
      </c>
      <c r="BH98" s="9">
        <f t="shared" si="34"/>
        <v>172</v>
      </c>
      <c r="BI98" s="9">
        <f t="shared" si="34"/>
        <v>172</v>
      </c>
      <c r="BJ98" s="9">
        <f t="shared" si="34"/>
        <v>172</v>
      </c>
      <c r="BK98" s="9">
        <f t="shared" si="34"/>
        <v>172</v>
      </c>
      <c r="BL98" s="9">
        <f t="shared" si="34"/>
        <v>172</v>
      </c>
      <c r="BM98" s="9">
        <f t="shared" si="34"/>
        <v>172</v>
      </c>
      <c r="BN98" s="138">
        <f t="shared" si="34"/>
        <v>172</v>
      </c>
      <c r="BO98" s="58">
        <f t="shared" si="34"/>
        <v>0</v>
      </c>
    </row>
    <row r="99" spans="1:73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35">AU57</f>
        <v>1</v>
      </c>
      <c r="AV99" s="9">
        <f t="shared" si="35"/>
        <v>1</v>
      </c>
      <c r="AW99" s="9">
        <f t="shared" si="35"/>
        <v>1</v>
      </c>
      <c r="AX99" s="9">
        <f t="shared" si="35"/>
        <v>1</v>
      </c>
      <c r="AY99" s="9">
        <f t="shared" si="35"/>
        <v>1</v>
      </c>
      <c r="AZ99" s="9">
        <f t="shared" si="35"/>
        <v>1</v>
      </c>
      <c r="BA99" s="138">
        <f t="shared" si="35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36">BF57</f>
        <v>1</v>
      </c>
      <c r="BG99" s="9">
        <f t="shared" si="36"/>
        <v>1</v>
      </c>
      <c r="BH99" s="9">
        <f t="shared" si="36"/>
        <v>1</v>
      </c>
      <c r="BI99" s="9">
        <f t="shared" si="36"/>
        <v>1</v>
      </c>
      <c r="BJ99" s="9">
        <f t="shared" si="36"/>
        <v>1</v>
      </c>
      <c r="BK99" s="9">
        <f t="shared" si="36"/>
        <v>1</v>
      </c>
      <c r="BL99" s="9">
        <f t="shared" si="36"/>
        <v>1</v>
      </c>
      <c r="BM99" s="9">
        <f t="shared" si="36"/>
        <v>1</v>
      </c>
      <c r="BN99" s="138">
        <f t="shared" si="36"/>
        <v>1</v>
      </c>
      <c r="BO99" s="58">
        <f t="shared" si="36"/>
        <v>0</v>
      </c>
    </row>
    <row r="100" spans="1:73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37">AU65+AU75+AU81+AU86</f>
        <v>17</v>
      </c>
      <c r="AV100" s="9">
        <f t="shared" si="37"/>
        <v>17</v>
      </c>
      <c r="AW100" s="9">
        <f t="shared" si="37"/>
        <v>17</v>
      </c>
      <c r="AX100" s="9">
        <f t="shared" si="37"/>
        <v>17</v>
      </c>
      <c r="AY100" s="9">
        <f t="shared" si="37"/>
        <v>17</v>
      </c>
      <c r="AZ100" s="9" t="e">
        <f t="shared" si="37"/>
        <v>#REF!</v>
      </c>
      <c r="BA100" s="138" t="e">
        <f t="shared" si="37"/>
        <v>#REF!</v>
      </c>
      <c r="BB100" s="9">
        <v>17</v>
      </c>
      <c r="BC100" s="9">
        <v>17</v>
      </c>
      <c r="BD100" s="9">
        <v>17</v>
      </c>
      <c r="BE100" s="9">
        <v>17</v>
      </c>
      <c r="BF100" s="9">
        <f t="shared" ref="BF100:BO100" si="38">BF65+BF75+BF81+BF86</f>
        <v>17</v>
      </c>
      <c r="BG100" s="9">
        <f t="shared" si="38"/>
        <v>17</v>
      </c>
      <c r="BH100" s="9">
        <f t="shared" si="38"/>
        <v>17</v>
      </c>
      <c r="BI100" s="9">
        <f t="shared" si="38"/>
        <v>17</v>
      </c>
      <c r="BJ100" s="9">
        <f t="shared" si="38"/>
        <v>17</v>
      </c>
      <c r="BK100" s="9">
        <f t="shared" si="38"/>
        <v>17</v>
      </c>
      <c r="BL100" s="9">
        <f t="shared" si="38"/>
        <v>17</v>
      </c>
      <c r="BM100" s="9">
        <f t="shared" si="38"/>
        <v>17</v>
      </c>
      <c r="BN100" s="138">
        <f t="shared" si="38"/>
        <v>17</v>
      </c>
      <c r="BO100" s="58">
        <f t="shared" si="38"/>
        <v>0</v>
      </c>
    </row>
    <row r="101" spans="1:73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39">SUM(AU98:AU100)</f>
        <v>187</v>
      </c>
      <c r="AV101" s="73">
        <f t="shared" si="39"/>
        <v>187</v>
      </c>
      <c r="AW101" s="73">
        <f t="shared" si="39"/>
        <v>188</v>
      </c>
      <c r="AX101" s="73">
        <f t="shared" si="39"/>
        <v>188</v>
      </c>
      <c r="AY101" s="73">
        <f t="shared" si="39"/>
        <v>188</v>
      </c>
      <c r="AZ101" s="73" t="e">
        <f t="shared" si="39"/>
        <v>#REF!</v>
      </c>
      <c r="BA101" s="249" t="e">
        <f t="shared" si="39"/>
        <v>#REF!</v>
      </c>
      <c r="BB101" s="73">
        <v>190</v>
      </c>
      <c r="BC101" s="73">
        <v>190</v>
      </c>
      <c r="BD101" s="73">
        <v>190</v>
      </c>
      <c r="BE101" s="73">
        <v>190</v>
      </c>
      <c r="BF101" s="73">
        <f t="shared" ref="BF101:BO101" si="40">SUM(BF98:BF100)</f>
        <v>190</v>
      </c>
      <c r="BG101" s="73">
        <f t="shared" si="40"/>
        <v>190</v>
      </c>
      <c r="BH101" s="73">
        <f t="shared" si="40"/>
        <v>190</v>
      </c>
      <c r="BI101" s="73">
        <f t="shared" si="40"/>
        <v>190</v>
      </c>
      <c r="BJ101" s="73">
        <f t="shared" si="40"/>
        <v>190</v>
      </c>
      <c r="BK101" s="73">
        <f t="shared" si="40"/>
        <v>190</v>
      </c>
      <c r="BL101" s="73">
        <f t="shared" si="40"/>
        <v>190</v>
      </c>
      <c r="BM101" s="73">
        <f t="shared" si="40"/>
        <v>190</v>
      </c>
      <c r="BN101" s="249">
        <f t="shared" si="40"/>
        <v>190</v>
      </c>
      <c r="BO101" s="268">
        <f t="shared" si="40"/>
        <v>0</v>
      </c>
      <c r="BQ101" s="2"/>
      <c r="BR101" s="2"/>
      <c r="BS101" s="2"/>
      <c r="BT101" s="2"/>
      <c r="BU101" s="2"/>
    </row>
    <row r="102" spans="1:73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41">AU15+AU36+AU50</f>
        <v>0</v>
      </c>
      <c r="AV102" s="9">
        <f t="shared" si="41"/>
        <v>0</v>
      </c>
      <c r="AW102" s="9">
        <f t="shared" si="41"/>
        <v>0</v>
      </c>
      <c r="AX102" s="9">
        <f t="shared" si="41"/>
        <v>0</v>
      </c>
      <c r="AY102" s="9">
        <f t="shared" si="41"/>
        <v>0</v>
      </c>
      <c r="AZ102" s="9">
        <f t="shared" si="41"/>
        <v>0</v>
      </c>
      <c r="BA102" s="138">
        <f t="shared" si="41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42">BF15+BF36+BF50</f>
        <v>0</v>
      </c>
      <c r="BG102" s="9">
        <f t="shared" si="42"/>
        <v>0</v>
      </c>
      <c r="BH102" s="9">
        <f t="shared" si="42"/>
        <v>0</v>
      </c>
      <c r="BI102" s="9">
        <f t="shared" si="42"/>
        <v>0</v>
      </c>
      <c r="BJ102" s="9">
        <f t="shared" si="42"/>
        <v>0</v>
      </c>
      <c r="BK102" s="9">
        <f t="shared" si="42"/>
        <v>0</v>
      </c>
      <c r="BL102" s="9">
        <f t="shared" si="42"/>
        <v>0</v>
      </c>
      <c r="BM102" s="9">
        <f t="shared" si="42"/>
        <v>0</v>
      </c>
      <c r="BN102" s="138">
        <f t="shared" si="42"/>
        <v>0</v>
      </c>
      <c r="BO102" s="266">
        <f t="shared" si="42"/>
        <v>174</v>
      </c>
      <c r="BQ102" s="198"/>
      <c r="BR102" s="198"/>
      <c r="BS102" s="198"/>
      <c r="BT102" s="198"/>
      <c r="BU102" s="198"/>
    </row>
    <row r="103" spans="1:73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>
        <f>BO61</f>
        <v>1</v>
      </c>
    </row>
    <row r="104" spans="1:73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43">AU92</f>
        <v>0</v>
      </c>
      <c r="AV104" s="9">
        <f t="shared" si="43"/>
        <v>0</v>
      </c>
      <c r="AW104" s="9">
        <f t="shared" si="43"/>
        <v>0</v>
      </c>
      <c r="AX104" s="9">
        <f t="shared" si="43"/>
        <v>0</v>
      </c>
      <c r="AY104" s="9">
        <f t="shared" si="43"/>
        <v>0</v>
      </c>
      <c r="AZ104" s="9">
        <f t="shared" si="43"/>
        <v>0</v>
      </c>
      <c r="BA104" s="138">
        <f t="shared" si="43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44">BF92</f>
        <v>0</v>
      </c>
      <c r="BG104" s="9">
        <f t="shared" si="44"/>
        <v>0</v>
      </c>
      <c r="BH104" s="9">
        <f t="shared" si="44"/>
        <v>0</v>
      </c>
      <c r="BI104" s="9">
        <f t="shared" si="44"/>
        <v>0</v>
      </c>
      <c r="BJ104" s="9">
        <f t="shared" si="44"/>
        <v>0</v>
      </c>
      <c r="BK104" s="9">
        <f t="shared" si="44"/>
        <v>0</v>
      </c>
      <c r="BL104" s="9">
        <f t="shared" si="44"/>
        <v>0</v>
      </c>
      <c r="BM104" s="9">
        <f t="shared" si="44"/>
        <v>0</v>
      </c>
      <c r="BN104" s="138">
        <f t="shared" si="44"/>
        <v>0</v>
      </c>
      <c r="BO104" s="58">
        <f t="shared" si="44"/>
        <v>17</v>
      </c>
    </row>
    <row r="105" spans="1:73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45">SUM(AU102:AU104)</f>
        <v>0</v>
      </c>
      <c r="AV105" s="73">
        <f t="shared" si="45"/>
        <v>0</v>
      </c>
      <c r="AW105" s="73">
        <f t="shared" si="45"/>
        <v>0</v>
      </c>
      <c r="AX105" s="73">
        <f t="shared" si="45"/>
        <v>0</v>
      </c>
      <c r="AY105" s="73">
        <f t="shared" si="45"/>
        <v>0</v>
      </c>
      <c r="AZ105" s="73">
        <f t="shared" si="45"/>
        <v>0</v>
      </c>
      <c r="BA105" s="249">
        <f t="shared" si="4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46">SUM(BF102:BF104)</f>
        <v>0</v>
      </c>
      <c r="BG105" s="73">
        <f t="shared" si="46"/>
        <v>0</v>
      </c>
      <c r="BH105" s="73">
        <f t="shared" si="46"/>
        <v>0</v>
      </c>
      <c r="BI105" s="73">
        <f t="shared" si="46"/>
        <v>0</v>
      </c>
      <c r="BJ105" s="73">
        <f t="shared" si="46"/>
        <v>0</v>
      </c>
      <c r="BK105" s="73">
        <f t="shared" si="46"/>
        <v>0</v>
      </c>
      <c r="BL105" s="73">
        <f t="shared" si="46"/>
        <v>0</v>
      </c>
      <c r="BM105" s="73">
        <f t="shared" si="46"/>
        <v>0</v>
      </c>
      <c r="BN105" s="249">
        <f t="shared" si="46"/>
        <v>0</v>
      </c>
      <c r="BO105" s="268">
        <f t="shared" si="46"/>
        <v>192</v>
      </c>
      <c r="BQ105"/>
      <c r="BR105"/>
      <c r="BS105"/>
      <c r="BT105"/>
      <c r="BU105"/>
    </row>
    <row r="106" spans="1:73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47">AU105+AU101</f>
        <v>187</v>
      </c>
      <c r="AV106" s="251">
        <f t="shared" si="47"/>
        <v>187</v>
      </c>
      <c r="AW106" s="251">
        <f t="shared" si="47"/>
        <v>188</v>
      </c>
      <c r="AX106" s="251">
        <f t="shared" si="47"/>
        <v>188</v>
      </c>
      <c r="AY106" s="251">
        <f t="shared" si="47"/>
        <v>188</v>
      </c>
      <c r="AZ106" s="251" t="e">
        <f t="shared" si="47"/>
        <v>#REF!</v>
      </c>
      <c r="BA106" s="255" t="e">
        <f t="shared" si="47"/>
        <v>#REF!</v>
      </c>
      <c r="BB106" s="251">
        <v>190</v>
      </c>
      <c r="BC106" s="251">
        <v>190</v>
      </c>
      <c r="BD106" s="251">
        <v>190</v>
      </c>
      <c r="BE106" s="251">
        <v>190</v>
      </c>
      <c r="BF106" s="251">
        <f t="shared" si="47"/>
        <v>190</v>
      </c>
      <c r="BG106" s="251">
        <f t="shared" si="47"/>
        <v>190</v>
      </c>
      <c r="BH106" s="251">
        <f t="shared" si="47"/>
        <v>190</v>
      </c>
      <c r="BI106" s="251">
        <f t="shared" si="47"/>
        <v>190</v>
      </c>
      <c r="BJ106" s="251">
        <f t="shared" si="47"/>
        <v>190</v>
      </c>
      <c r="BK106" s="251">
        <f t="shared" si="47"/>
        <v>190</v>
      </c>
      <c r="BL106" s="251">
        <f t="shared" si="47"/>
        <v>190</v>
      </c>
      <c r="BM106" s="251">
        <f t="shared" si="47"/>
        <v>190</v>
      </c>
      <c r="BN106" s="255">
        <f t="shared" si="47"/>
        <v>190</v>
      </c>
      <c r="BO106" s="269">
        <f t="shared" si="47"/>
        <v>192</v>
      </c>
    </row>
    <row r="107" spans="1:73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Q107" s="3"/>
      <c r="BR107" s="3"/>
      <c r="BS107" s="3"/>
      <c r="BT107" s="3"/>
      <c r="BU107" s="3"/>
    </row>
    <row r="108" spans="1:73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8">AU11+AU26+AU33+AU47</f>
        <v>205777</v>
      </c>
      <c r="AV108" s="9">
        <f t="shared" si="48"/>
        <v>208075</v>
      </c>
      <c r="AW108" s="9">
        <f t="shared" si="48"/>
        <v>159051</v>
      </c>
      <c r="AX108" s="9">
        <f t="shared" si="48"/>
        <v>221588</v>
      </c>
      <c r="AY108" s="9">
        <f t="shared" si="48"/>
        <v>300941</v>
      </c>
      <c r="AZ108" s="9">
        <f t="shared" si="48"/>
        <v>293222</v>
      </c>
      <c r="BA108" s="138">
        <f t="shared" si="48"/>
        <v>1388654</v>
      </c>
      <c r="BB108" s="9">
        <v>368685</v>
      </c>
      <c r="BC108" s="9">
        <v>359555</v>
      </c>
      <c r="BD108" s="9">
        <v>366673</v>
      </c>
      <c r="BE108" s="9">
        <v>311098</v>
      </c>
      <c r="BF108" s="9">
        <f t="shared" ref="BF108:BO108" si="49">BF11+BF26+BF33+BF47</f>
        <v>297539</v>
      </c>
      <c r="BG108" s="9">
        <f t="shared" si="49"/>
        <v>275998</v>
      </c>
      <c r="BH108" s="9">
        <f t="shared" si="49"/>
        <v>208921</v>
      </c>
      <c r="BI108" s="9">
        <f t="shared" si="49"/>
        <v>211166</v>
      </c>
      <c r="BJ108" s="9">
        <f t="shared" si="49"/>
        <v>160422</v>
      </c>
      <c r="BK108" s="9">
        <f t="shared" si="49"/>
        <v>223796</v>
      </c>
      <c r="BL108" s="9">
        <f t="shared" si="49"/>
        <v>303955</v>
      </c>
      <c r="BM108" s="9">
        <f t="shared" si="49"/>
        <v>295838</v>
      </c>
      <c r="BN108" s="138">
        <f t="shared" si="49"/>
        <v>3383646</v>
      </c>
      <c r="BO108" s="58">
        <f t="shared" si="49"/>
        <v>1708439</v>
      </c>
    </row>
    <row r="109" spans="1:73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50">AU58</f>
        <v>3400</v>
      </c>
      <c r="AV109" s="9">
        <f t="shared" si="50"/>
        <v>3400</v>
      </c>
      <c r="AW109" s="9">
        <f t="shared" si="50"/>
        <v>3400</v>
      </c>
      <c r="AX109" s="9">
        <f t="shared" si="50"/>
        <v>3400</v>
      </c>
      <c r="AY109" s="9">
        <f t="shared" si="50"/>
        <v>3400</v>
      </c>
      <c r="AZ109" s="9">
        <f t="shared" si="50"/>
        <v>3400</v>
      </c>
      <c r="BA109" s="138">
        <f t="shared" si="50"/>
        <v>20400</v>
      </c>
      <c r="BB109" s="9">
        <v>3400</v>
      </c>
      <c r="BC109" s="9">
        <v>3400</v>
      </c>
      <c r="BD109" s="9">
        <v>3400</v>
      </c>
      <c r="BE109" s="9">
        <v>3400</v>
      </c>
      <c r="BF109" s="9">
        <f t="shared" ref="BF109:BO109" si="51">BF58</f>
        <v>3400</v>
      </c>
      <c r="BG109" s="9">
        <f t="shared" si="51"/>
        <v>3400</v>
      </c>
      <c r="BH109" s="9">
        <f t="shared" si="51"/>
        <v>3400</v>
      </c>
      <c r="BI109" s="9">
        <f t="shared" si="51"/>
        <v>3400</v>
      </c>
      <c r="BJ109" s="9">
        <f t="shared" si="51"/>
        <v>3400</v>
      </c>
      <c r="BK109" s="9">
        <f t="shared" si="51"/>
        <v>3400</v>
      </c>
      <c r="BL109" s="9">
        <f t="shared" si="51"/>
        <v>3400</v>
      </c>
      <c r="BM109" s="9">
        <f t="shared" si="51"/>
        <v>3400</v>
      </c>
      <c r="BN109" s="138">
        <f t="shared" si="51"/>
        <v>40800</v>
      </c>
      <c r="BO109" s="58">
        <f t="shared" si="51"/>
        <v>20400</v>
      </c>
    </row>
    <row r="110" spans="1:73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52">AU68+AU78+AU82+AU87</f>
        <v>39205</v>
      </c>
      <c r="AV110" s="9">
        <f t="shared" si="52"/>
        <v>42130</v>
      </c>
      <c r="AW110" s="9">
        <f t="shared" si="52"/>
        <v>41845</v>
      </c>
      <c r="AX110" s="9">
        <f t="shared" si="52"/>
        <v>41270</v>
      </c>
      <c r="AY110" s="9">
        <f t="shared" si="52"/>
        <v>56518</v>
      </c>
      <c r="AZ110" s="9">
        <f t="shared" si="52"/>
        <v>12640</v>
      </c>
      <c r="BA110" s="138">
        <f t="shared" si="52"/>
        <v>233608</v>
      </c>
      <c r="BB110" s="9">
        <v>71086</v>
      </c>
      <c r="BC110" s="9">
        <v>64304</v>
      </c>
      <c r="BD110" s="9">
        <v>67283</v>
      </c>
      <c r="BE110" s="9">
        <v>60002</v>
      </c>
      <c r="BF110" s="9">
        <f t="shared" ref="BF110:BO110" si="53">BF68+BF78+BF82+BF87</f>
        <v>53157</v>
      </c>
      <c r="BG110" s="9">
        <f t="shared" si="53"/>
        <v>47949</v>
      </c>
      <c r="BH110" s="9">
        <f t="shared" si="53"/>
        <v>39205</v>
      </c>
      <c r="BI110" s="9">
        <f t="shared" si="53"/>
        <v>42130</v>
      </c>
      <c r="BJ110" s="9">
        <f t="shared" si="53"/>
        <v>41845</v>
      </c>
      <c r="BK110" s="9">
        <f t="shared" si="53"/>
        <v>41270</v>
      </c>
      <c r="BL110" s="9">
        <f t="shared" si="53"/>
        <v>56518</v>
      </c>
      <c r="BM110" s="9">
        <f t="shared" si="53"/>
        <v>65405</v>
      </c>
      <c r="BN110" s="138">
        <f t="shared" si="53"/>
        <v>650154</v>
      </c>
      <c r="BO110" s="58">
        <f t="shared" si="53"/>
        <v>325076</v>
      </c>
    </row>
    <row r="111" spans="1:73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4">SUM(AU108:AU110)</f>
        <v>248382</v>
      </c>
      <c r="AV111" s="73">
        <f t="shared" si="54"/>
        <v>253605</v>
      </c>
      <c r="AW111" s="73">
        <f t="shared" si="54"/>
        <v>204296</v>
      </c>
      <c r="AX111" s="73">
        <f t="shared" si="54"/>
        <v>266258</v>
      </c>
      <c r="AY111" s="73">
        <f t="shared" si="54"/>
        <v>360859</v>
      </c>
      <c r="AZ111" s="73">
        <f t="shared" si="54"/>
        <v>309262</v>
      </c>
      <c r="BA111" s="249">
        <f t="shared" si="54"/>
        <v>1642662</v>
      </c>
      <c r="BB111" s="73">
        <v>443171</v>
      </c>
      <c r="BC111" s="73">
        <v>427259</v>
      </c>
      <c r="BD111" s="73">
        <v>437356</v>
      </c>
      <c r="BE111" s="73">
        <v>374500</v>
      </c>
      <c r="BF111" s="73">
        <f t="shared" ref="BF111:BO111" si="55">SUM(BF108:BF110)</f>
        <v>354096</v>
      </c>
      <c r="BG111" s="73">
        <f t="shared" si="55"/>
        <v>327347</v>
      </c>
      <c r="BH111" s="73">
        <f t="shared" si="55"/>
        <v>251526</v>
      </c>
      <c r="BI111" s="73">
        <f t="shared" si="55"/>
        <v>256696</v>
      </c>
      <c r="BJ111" s="73">
        <f t="shared" si="55"/>
        <v>205667</v>
      </c>
      <c r="BK111" s="73">
        <f t="shared" si="55"/>
        <v>268466</v>
      </c>
      <c r="BL111" s="73">
        <f t="shared" si="55"/>
        <v>363873</v>
      </c>
      <c r="BM111" s="73">
        <f t="shared" si="55"/>
        <v>364643</v>
      </c>
      <c r="BN111" s="249">
        <f t="shared" si="55"/>
        <v>4074600</v>
      </c>
      <c r="BO111" s="268">
        <f t="shared" si="55"/>
        <v>2053915</v>
      </c>
      <c r="BQ111"/>
      <c r="BR111"/>
      <c r="BS111"/>
      <c r="BT111"/>
      <c r="BU111"/>
    </row>
    <row r="112" spans="1:73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56">AU19+AU40+AU54</f>
        <v>0</v>
      </c>
      <c r="AV112" s="9">
        <f t="shared" si="56"/>
        <v>0</v>
      </c>
      <c r="AW112" s="9">
        <f t="shared" si="56"/>
        <v>0</v>
      </c>
      <c r="AX112" s="9">
        <f t="shared" si="56"/>
        <v>0</v>
      </c>
      <c r="AY112" s="9">
        <f t="shared" si="56"/>
        <v>0</v>
      </c>
      <c r="AZ112" s="9">
        <f t="shared" si="56"/>
        <v>0</v>
      </c>
      <c r="BA112" s="138">
        <f t="shared" si="56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57">BF19+BF40+BF54</f>
        <v>0</v>
      </c>
      <c r="BG112" s="9">
        <f t="shared" si="57"/>
        <v>0</v>
      </c>
      <c r="BH112" s="9">
        <f t="shared" si="57"/>
        <v>0</v>
      </c>
      <c r="BI112" s="9">
        <f t="shared" si="57"/>
        <v>0</v>
      </c>
      <c r="BJ112" s="9">
        <f t="shared" si="57"/>
        <v>0</v>
      </c>
      <c r="BK112" s="9">
        <f t="shared" si="57"/>
        <v>0</v>
      </c>
      <c r="BL112" s="9">
        <f t="shared" si="57"/>
        <v>0</v>
      </c>
      <c r="BM112" s="9">
        <f t="shared" si="57"/>
        <v>0</v>
      </c>
      <c r="BN112" s="138">
        <f t="shared" si="57"/>
        <v>0</v>
      </c>
      <c r="BO112" s="58">
        <f t="shared" si="57"/>
        <v>1708440</v>
      </c>
      <c r="BQ112" s="3"/>
      <c r="BR112" s="3"/>
      <c r="BS112" s="3"/>
      <c r="BT112" s="3"/>
      <c r="BU112" s="3"/>
    </row>
    <row r="113" spans="1:73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20400</v>
      </c>
    </row>
    <row r="114" spans="1:73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58">AU93</f>
        <v>0</v>
      </c>
      <c r="AV114" s="9">
        <f t="shared" si="58"/>
        <v>0</v>
      </c>
      <c r="AW114" s="9">
        <f t="shared" si="58"/>
        <v>0</v>
      </c>
      <c r="AX114" s="9">
        <f t="shared" si="58"/>
        <v>0</v>
      </c>
      <c r="AY114" s="9">
        <f t="shared" si="58"/>
        <v>0</v>
      </c>
      <c r="AZ114" s="9">
        <f t="shared" si="58"/>
        <v>0</v>
      </c>
      <c r="BA114" s="138">
        <f t="shared" si="58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59">BF93</f>
        <v>0</v>
      </c>
      <c r="BG114" s="9">
        <f t="shared" si="59"/>
        <v>0</v>
      </c>
      <c r="BH114" s="9">
        <f t="shared" si="59"/>
        <v>0</v>
      </c>
      <c r="BI114" s="9">
        <f t="shared" si="59"/>
        <v>0</v>
      </c>
      <c r="BJ114" s="9">
        <f t="shared" si="59"/>
        <v>0</v>
      </c>
      <c r="BK114" s="9">
        <f t="shared" si="59"/>
        <v>0</v>
      </c>
      <c r="BL114" s="9">
        <f t="shared" si="59"/>
        <v>0</v>
      </c>
      <c r="BM114" s="9">
        <f t="shared" si="59"/>
        <v>0</v>
      </c>
      <c r="BN114" s="138">
        <f t="shared" si="59"/>
        <v>0</v>
      </c>
      <c r="BO114" s="58">
        <f t="shared" si="59"/>
        <v>325078</v>
      </c>
    </row>
    <row r="115" spans="1:73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60">SUM(AU112:AU114)</f>
        <v>0</v>
      </c>
      <c r="AV115" s="73">
        <f t="shared" si="60"/>
        <v>0</v>
      </c>
      <c r="AW115" s="73">
        <f t="shared" si="60"/>
        <v>0</v>
      </c>
      <c r="AX115" s="73">
        <f t="shared" si="60"/>
        <v>0</v>
      </c>
      <c r="AY115" s="73">
        <f t="shared" si="60"/>
        <v>0</v>
      </c>
      <c r="AZ115" s="73">
        <f t="shared" si="60"/>
        <v>0</v>
      </c>
      <c r="BA115" s="249">
        <f t="shared" si="60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61">SUM(BF112:BF114)</f>
        <v>0</v>
      </c>
      <c r="BG115" s="73">
        <f t="shared" si="61"/>
        <v>0</v>
      </c>
      <c r="BH115" s="73">
        <f t="shared" si="61"/>
        <v>0</v>
      </c>
      <c r="BI115" s="73">
        <f t="shared" si="61"/>
        <v>0</v>
      </c>
      <c r="BJ115" s="73">
        <f t="shared" si="61"/>
        <v>0</v>
      </c>
      <c r="BK115" s="73">
        <f t="shared" si="61"/>
        <v>0</v>
      </c>
      <c r="BL115" s="73">
        <f t="shared" si="61"/>
        <v>0</v>
      </c>
      <c r="BM115" s="73">
        <f t="shared" si="61"/>
        <v>0</v>
      </c>
      <c r="BN115" s="249">
        <f t="shared" si="61"/>
        <v>0</v>
      </c>
      <c r="BO115" s="268">
        <f t="shared" si="61"/>
        <v>2053918</v>
      </c>
      <c r="BQ115"/>
      <c r="BR115"/>
      <c r="BS115"/>
      <c r="BT115"/>
      <c r="BU115"/>
    </row>
    <row r="116" spans="1:73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62">AU115+AU111</f>
        <v>248382</v>
      </c>
      <c r="AV116" s="251">
        <f t="shared" si="62"/>
        <v>253605</v>
      </c>
      <c r="AW116" s="251">
        <f t="shared" si="62"/>
        <v>204296</v>
      </c>
      <c r="AX116" s="251">
        <f t="shared" si="62"/>
        <v>266258</v>
      </c>
      <c r="AY116" s="251">
        <f t="shared" si="62"/>
        <v>360859</v>
      </c>
      <c r="AZ116" s="251">
        <f t="shared" si="62"/>
        <v>309262</v>
      </c>
      <c r="BA116" s="255">
        <f t="shared" si="62"/>
        <v>1642662</v>
      </c>
      <c r="BB116" s="251">
        <v>443171</v>
      </c>
      <c r="BC116" s="251">
        <v>427259</v>
      </c>
      <c r="BD116" s="251">
        <v>437356</v>
      </c>
      <c r="BE116" s="251">
        <v>374500</v>
      </c>
      <c r="BF116" s="251">
        <f t="shared" si="62"/>
        <v>354096</v>
      </c>
      <c r="BG116" s="251">
        <f t="shared" si="62"/>
        <v>327347</v>
      </c>
      <c r="BH116" s="251">
        <f t="shared" si="62"/>
        <v>251526</v>
      </c>
      <c r="BI116" s="251">
        <f t="shared" si="62"/>
        <v>256696</v>
      </c>
      <c r="BJ116" s="251">
        <f t="shared" si="62"/>
        <v>205667</v>
      </c>
      <c r="BK116" s="251">
        <f t="shared" si="62"/>
        <v>268466</v>
      </c>
      <c r="BL116" s="251">
        <f t="shared" si="62"/>
        <v>363873</v>
      </c>
      <c r="BM116" s="251">
        <f t="shared" si="62"/>
        <v>364643</v>
      </c>
      <c r="BN116" s="255">
        <f t="shared" si="62"/>
        <v>4074600</v>
      </c>
      <c r="BO116" s="269">
        <f t="shared" si="62"/>
        <v>4107833</v>
      </c>
    </row>
    <row r="117" spans="1:73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Q117" s="3"/>
      <c r="BR117" s="3"/>
      <c r="BS117" s="3"/>
      <c r="BT117" s="3"/>
      <c r="BU117" s="3"/>
    </row>
    <row r="118" spans="1:73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Q118" s="3"/>
      <c r="BR118" s="3"/>
      <c r="BS118" s="3"/>
      <c r="BT118" s="3"/>
      <c r="BU118" s="3"/>
    </row>
    <row r="119" spans="1:73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31</v>
      </c>
      <c r="AV119" s="280">
        <f>AU119</f>
        <v>31</v>
      </c>
      <c r="AW119" s="280">
        <f>AV119</f>
        <v>31</v>
      </c>
      <c r="AX119" s="280">
        <f t="shared" ref="AX119:AZ119" si="63">AW119</f>
        <v>31</v>
      </c>
      <c r="AY119" s="280">
        <f t="shared" si="63"/>
        <v>31</v>
      </c>
      <c r="AZ119" s="280">
        <f t="shared" si="63"/>
        <v>31</v>
      </c>
      <c r="BA119" s="259"/>
      <c r="BB119" s="280">
        <v>31</v>
      </c>
      <c r="BC119" s="280">
        <v>31</v>
      </c>
      <c r="BD119" s="280">
        <v>31</v>
      </c>
      <c r="BE119" s="280">
        <v>31</v>
      </c>
      <c r="BF119" s="280">
        <f t="shared" ref="BF119:BM119" si="64">BE119</f>
        <v>31</v>
      </c>
      <c r="BG119" s="280">
        <f t="shared" si="64"/>
        <v>31</v>
      </c>
      <c r="BH119" s="280">
        <f t="shared" si="64"/>
        <v>31</v>
      </c>
      <c r="BI119" s="280">
        <f t="shared" si="64"/>
        <v>31</v>
      </c>
      <c r="BJ119" s="280">
        <f t="shared" si="64"/>
        <v>31</v>
      </c>
      <c r="BK119" s="280">
        <f t="shared" si="64"/>
        <v>31</v>
      </c>
      <c r="BL119" s="280">
        <f t="shared" si="64"/>
        <v>31</v>
      </c>
      <c r="BM119" s="280">
        <f t="shared" si="64"/>
        <v>31</v>
      </c>
      <c r="BN119" s="259"/>
      <c r="BO119" s="343">
        <f>BM119</f>
        <v>31</v>
      </c>
    </row>
    <row r="120" spans="1:73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239153</v>
      </c>
      <c r="AU120" s="107">
        <v>229634.79944802207</v>
      </c>
      <c r="AV120" s="39">
        <f>ROUND(AW108/30*AV119,0)</f>
        <v>164353</v>
      </c>
      <c r="AW120" s="39">
        <f>ROUND(AX108/30*AW119,0)</f>
        <v>228974</v>
      </c>
      <c r="AX120" s="39">
        <f>ROUND(AY108/30*AX119,0)</f>
        <v>310972</v>
      </c>
      <c r="AY120" s="39">
        <f>ROUND(AZ108/30*AY119,0)</f>
        <v>302996</v>
      </c>
      <c r="AZ120" s="39">
        <f>ROUND(BB108/30*AZ119,0)</f>
        <v>380975</v>
      </c>
      <c r="BA120" s="215"/>
      <c r="BB120" s="346">
        <v>371540</v>
      </c>
      <c r="BC120" s="346">
        <v>378895</v>
      </c>
      <c r="BD120" s="346">
        <v>321468</v>
      </c>
      <c r="BE120" s="346">
        <v>307457</v>
      </c>
      <c r="BF120" s="346">
        <f t="shared" ref="BF120:BL120" si="65">ROUND(BG108/30*BF119,0)</f>
        <v>285198</v>
      </c>
      <c r="BG120" s="346">
        <f t="shared" si="65"/>
        <v>215885</v>
      </c>
      <c r="BH120" s="346">
        <f t="shared" si="65"/>
        <v>218205</v>
      </c>
      <c r="BI120" s="346">
        <f t="shared" si="65"/>
        <v>165769</v>
      </c>
      <c r="BJ120" s="346">
        <f t="shared" si="65"/>
        <v>231256</v>
      </c>
      <c r="BK120" s="346">
        <f t="shared" si="65"/>
        <v>314087</v>
      </c>
      <c r="BL120" s="346">
        <f t="shared" si="65"/>
        <v>305699</v>
      </c>
      <c r="BM120" s="57">
        <f>ROUND((BO108+BO112)*0.11/30*BM119,0)</f>
        <v>388385</v>
      </c>
      <c r="BN120" s="215"/>
      <c r="BO120" s="141">
        <v>0</v>
      </c>
    </row>
    <row r="121" spans="1:73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49509</v>
      </c>
      <c r="AU121" s="107">
        <v>57389</v>
      </c>
      <c r="AV121" s="39">
        <f>ROUND(AW110/30*AV119,0)</f>
        <v>43240</v>
      </c>
      <c r="AW121" s="39">
        <f>ROUND(AX110/30*AW119,0)</f>
        <v>42646</v>
      </c>
      <c r="AX121" s="39">
        <f>ROUND(AY110/30*AX119,0)</f>
        <v>58402</v>
      </c>
      <c r="AY121" s="39">
        <f>ROUND(AZ110/30*AY119,0)</f>
        <v>13061</v>
      </c>
      <c r="AZ121" s="39">
        <f>ROUND(BB110/30*AZ119,0)</f>
        <v>73456</v>
      </c>
      <c r="BA121" s="215"/>
      <c r="BB121" s="57">
        <v>66447</v>
      </c>
      <c r="BC121" s="57">
        <v>69526</v>
      </c>
      <c r="BD121" s="57">
        <v>62002</v>
      </c>
      <c r="BE121" s="57">
        <v>54929</v>
      </c>
      <c r="BF121" s="57">
        <f t="shared" ref="BF121:BL121" si="66">ROUND(BG110/30*BF119,0)</f>
        <v>49547</v>
      </c>
      <c r="BG121" s="57">
        <f t="shared" si="66"/>
        <v>40512</v>
      </c>
      <c r="BH121" s="57">
        <f t="shared" si="66"/>
        <v>43534</v>
      </c>
      <c r="BI121" s="57">
        <f t="shared" si="66"/>
        <v>43240</v>
      </c>
      <c r="BJ121" s="57">
        <f t="shared" si="66"/>
        <v>42646</v>
      </c>
      <c r="BK121" s="57">
        <f t="shared" si="66"/>
        <v>58402</v>
      </c>
      <c r="BL121" s="57">
        <f t="shared" si="66"/>
        <v>67585</v>
      </c>
      <c r="BM121" s="57">
        <f>ROUND((BO110+BO114)*0.11/30*BM119,0)</f>
        <v>73901</v>
      </c>
      <c r="BN121" s="215"/>
      <c r="BO121" s="141">
        <v>0</v>
      </c>
    </row>
    <row r="122" spans="1:73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-239153</v>
      </c>
      <c r="AV122" s="57">
        <f t="shared" ref="AV122:AZ123" si="67">-AU120</f>
        <v>-229634.79944802207</v>
      </c>
      <c r="AW122" s="57">
        <f t="shared" si="67"/>
        <v>-164353</v>
      </c>
      <c r="AX122" s="57">
        <f t="shared" si="67"/>
        <v>-228974</v>
      </c>
      <c r="AY122" s="57">
        <f t="shared" si="67"/>
        <v>-310972</v>
      </c>
      <c r="AZ122" s="57">
        <f t="shared" si="67"/>
        <v>-302996</v>
      </c>
      <c r="BA122" s="215"/>
      <c r="BB122" s="57">
        <v>-380975</v>
      </c>
      <c r="BC122" s="57">
        <v>-371540</v>
      </c>
      <c r="BD122" s="57">
        <v>-378895</v>
      </c>
      <c r="BE122" s="57">
        <v>-321468</v>
      </c>
      <c r="BF122" s="57">
        <f t="shared" ref="BF122:BM123" si="68">-BE120</f>
        <v>-307457</v>
      </c>
      <c r="BG122" s="57">
        <f t="shared" si="68"/>
        <v>-285198</v>
      </c>
      <c r="BH122" s="57">
        <f t="shared" si="68"/>
        <v>-215885</v>
      </c>
      <c r="BI122" s="57">
        <f t="shared" si="68"/>
        <v>-218205</v>
      </c>
      <c r="BJ122" s="57">
        <f t="shared" si="68"/>
        <v>-165769</v>
      </c>
      <c r="BK122" s="57">
        <f t="shared" si="68"/>
        <v>-231256</v>
      </c>
      <c r="BL122" s="57">
        <f t="shared" si="68"/>
        <v>-314087</v>
      </c>
      <c r="BM122" s="57">
        <f t="shared" si="68"/>
        <v>-305699</v>
      </c>
      <c r="BN122" s="215"/>
      <c r="BO122" s="141">
        <f>-BM120</f>
        <v>-388385</v>
      </c>
    </row>
    <row r="123" spans="1:73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-49509</v>
      </c>
      <c r="AV123" s="57">
        <f t="shared" si="67"/>
        <v>-57389</v>
      </c>
      <c r="AW123" s="57">
        <f t="shared" si="67"/>
        <v>-43240</v>
      </c>
      <c r="AX123" s="57">
        <f t="shared" si="67"/>
        <v>-42646</v>
      </c>
      <c r="AY123" s="57">
        <f t="shared" si="67"/>
        <v>-58402</v>
      </c>
      <c r="AZ123" s="57">
        <f t="shared" si="67"/>
        <v>-13061</v>
      </c>
      <c r="BA123" s="215"/>
      <c r="BB123" s="57">
        <v>-73456</v>
      </c>
      <c r="BC123" s="57">
        <v>-66447</v>
      </c>
      <c r="BD123" s="57">
        <v>-69526</v>
      </c>
      <c r="BE123" s="57">
        <v>-62002</v>
      </c>
      <c r="BF123" s="57">
        <f t="shared" si="68"/>
        <v>-54929</v>
      </c>
      <c r="BG123" s="57">
        <f t="shared" si="68"/>
        <v>-49547</v>
      </c>
      <c r="BH123" s="57">
        <f t="shared" si="68"/>
        <v>-40512</v>
      </c>
      <c r="BI123" s="57">
        <f t="shared" si="68"/>
        <v>-43534</v>
      </c>
      <c r="BJ123" s="57">
        <f t="shared" si="68"/>
        <v>-43240</v>
      </c>
      <c r="BK123" s="57">
        <f t="shared" si="68"/>
        <v>-42646</v>
      </c>
      <c r="BL123" s="57">
        <f t="shared" si="68"/>
        <v>-58402</v>
      </c>
      <c r="BM123" s="57">
        <f t="shared" si="68"/>
        <v>-67585</v>
      </c>
      <c r="BN123" s="215"/>
      <c r="BO123" s="141">
        <f>-BM121</f>
        <v>-73901</v>
      </c>
    </row>
    <row r="124" spans="1:73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-1638.2005519779632</v>
      </c>
      <c r="AV124" s="344">
        <f t="shared" ref="AV124:AZ124" si="69">SUM(AV120:AV123)</f>
        <v>-79430.799448022066</v>
      </c>
      <c r="AW124" s="344">
        <f t="shared" si="69"/>
        <v>64027</v>
      </c>
      <c r="AX124" s="344">
        <f t="shared" si="69"/>
        <v>97754</v>
      </c>
      <c r="AY124" s="344">
        <f t="shared" si="69"/>
        <v>-53317</v>
      </c>
      <c r="AZ124" s="344">
        <f t="shared" si="69"/>
        <v>138374</v>
      </c>
      <c r="BA124" s="345"/>
      <c r="BB124" s="344">
        <v>-16444</v>
      </c>
      <c r="BC124" s="344">
        <v>10434</v>
      </c>
      <c r="BD124" s="344">
        <v>-64951</v>
      </c>
      <c r="BE124" s="344">
        <v>-21084</v>
      </c>
      <c r="BF124" s="344">
        <f t="shared" ref="BF124:BO124" si="70">SUM(BF120:BF123)</f>
        <v>-27641</v>
      </c>
      <c r="BG124" s="344">
        <f t="shared" si="70"/>
        <v>-78348</v>
      </c>
      <c r="BH124" s="344">
        <f t="shared" si="70"/>
        <v>5342</v>
      </c>
      <c r="BI124" s="344">
        <f t="shared" si="70"/>
        <v>-52730</v>
      </c>
      <c r="BJ124" s="344">
        <f t="shared" si="70"/>
        <v>64893</v>
      </c>
      <c r="BK124" s="344">
        <f t="shared" si="70"/>
        <v>98587</v>
      </c>
      <c r="BL124" s="344">
        <f t="shared" si="70"/>
        <v>795</v>
      </c>
      <c r="BM124" s="344">
        <f t="shared" si="70"/>
        <v>89002</v>
      </c>
      <c r="BN124" s="345"/>
      <c r="BO124" s="272">
        <f t="shared" si="70"/>
        <v>-462286</v>
      </c>
    </row>
    <row r="125" spans="1:73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31</v>
      </c>
      <c r="AV125" s="344">
        <f>AU125</f>
        <v>31</v>
      </c>
      <c r="AW125" s="344">
        <f>AV125</f>
        <v>31</v>
      </c>
      <c r="AX125" s="344">
        <f t="shared" ref="AX125:AZ125" si="71">AW125</f>
        <v>31</v>
      </c>
      <c r="AY125" s="344">
        <f t="shared" si="71"/>
        <v>31</v>
      </c>
      <c r="AZ125" s="344">
        <f t="shared" si="71"/>
        <v>31</v>
      </c>
      <c r="BA125" s="345"/>
      <c r="BB125" s="344">
        <v>31</v>
      </c>
      <c r="BC125" s="344">
        <v>31</v>
      </c>
      <c r="BD125" s="344">
        <v>31</v>
      </c>
      <c r="BE125" s="344">
        <v>31</v>
      </c>
      <c r="BF125" s="344">
        <f t="shared" ref="BF125:BM125" si="72">BE125</f>
        <v>31</v>
      </c>
      <c r="BG125" s="344">
        <f t="shared" si="72"/>
        <v>31</v>
      </c>
      <c r="BH125" s="344">
        <f t="shared" si="72"/>
        <v>31</v>
      </c>
      <c r="BI125" s="344">
        <f t="shared" si="72"/>
        <v>31</v>
      </c>
      <c r="BJ125" s="344">
        <f t="shared" si="72"/>
        <v>31</v>
      </c>
      <c r="BK125" s="344">
        <f t="shared" si="72"/>
        <v>31</v>
      </c>
      <c r="BL125" s="344">
        <f t="shared" si="72"/>
        <v>31</v>
      </c>
      <c r="BM125" s="344">
        <f t="shared" si="72"/>
        <v>31</v>
      </c>
      <c r="BN125" s="345"/>
      <c r="BO125" s="272">
        <f>BM125</f>
        <v>31</v>
      </c>
    </row>
    <row r="126" spans="1:73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73">ROUND(AV112/30*AU125,0)</f>
        <v>0</v>
      </c>
      <c r="AV126" s="57">
        <f t="shared" si="73"/>
        <v>0</v>
      </c>
      <c r="AW126" s="57">
        <f t="shared" si="73"/>
        <v>0</v>
      </c>
      <c r="AX126" s="57">
        <f t="shared" si="73"/>
        <v>0</v>
      </c>
      <c r="AY126" s="57">
        <f t="shared" si="73"/>
        <v>0</v>
      </c>
      <c r="AZ126" s="57">
        <f t="shared" si="73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74">BG112/30*BF125</f>
        <v>0</v>
      </c>
      <c r="BG126" s="57">
        <f t="shared" si="74"/>
        <v>0</v>
      </c>
      <c r="BH126" s="57">
        <f t="shared" si="74"/>
        <v>0</v>
      </c>
      <c r="BI126" s="57">
        <f t="shared" si="74"/>
        <v>0</v>
      </c>
      <c r="BJ126" s="57">
        <f t="shared" si="74"/>
        <v>0</v>
      </c>
      <c r="BK126" s="57">
        <f t="shared" si="74"/>
        <v>0</v>
      </c>
      <c r="BL126" s="57">
        <f t="shared" si="74"/>
        <v>0</v>
      </c>
      <c r="BM126" s="57">
        <v>0</v>
      </c>
      <c r="BN126" s="215"/>
      <c r="BO126" s="141">
        <v>392163</v>
      </c>
    </row>
    <row r="127" spans="1:73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75">ROUND(AV114/30*AU125,0)</f>
        <v>0</v>
      </c>
      <c r="AV127" s="57">
        <f t="shared" si="75"/>
        <v>0</v>
      </c>
      <c r="AW127" s="57">
        <f t="shared" si="75"/>
        <v>0</v>
      </c>
      <c r="AX127" s="57">
        <f t="shared" si="75"/>
        <v>0</v>
      </c>
      <c r="AY127" s="57">
        <f t="shared" si="75"/>
        <v>0</v>
      </c>
      <c r="AZ127" s="57">
        <f t="shared" si="75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76">ROUND(BG114/30*BF125,0)</f>
        <v>0</v>
      </c>
      <c r="BG127" s="57">
        <f t="shared" si="76"/>
        <v>0</v>
      </c>
      <c r="BH127" s="57">
        <f t="shared" si="76"/>
        <v>0</v>
      </c>
      <c r="BI127" s="57">
        <f t="shared" si="76"/>
        <v>0</v>
      </c>
      <c r="BJ127" s="57">
        <f t="shared" si="76"/>
        <v>0</v>
      </c>
      <c r="BK127" s="57">
        <f t="shared" si="76"/>
        <v>0</v>
      </c>
      <c r="BL127" s="57">
        <f t="shared" si="76"/>
        <v>0</v>
      </c>
      <c r="BM127" s="57">
        <v>0</v>
      </c>
      <c r="BN127" s="215"/>
      <c r="BO127" s="141">
        <v>73901</v>
      </c>
    </row>
    <row r="128" spans="1:73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77">-AU126</f>
        <v>0</v>
      </c>
      <c r="AW128" s="57">
        <f t="shared" si="77"/>
        <v>0</v>
      </c>
      <c r="AX128" s="57">
        <f t="shared" si="77"/>
        <v>0</v>
      </c>
      <c r="AY128" s="57">
        <f t="shared" si="77"/>
        <v>0</v>
      </c>
      <c r="AZ128" s="57">
        <f t="shared" si="77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78">-BE126</f>
        <v>0</v>
      </c>
      <c r="BG128" s="57">
        <f t="shared" si="78"/>
        <v>0</v>
      </c>
      <c r="BH128" s="57">
        <f t="shared" si="78"/>
        <v>0</v>
      </c>
      <c r="BI128" s="57">
        <f t="shared" si="78"/>
        <v>0</v>
      </c>
      <c r="BJ128" s="57">
        <f t="shared" si="78"/>
        <v>0</v>
      </c>
      <c r="BK128" s="57">
        <f t="shared" si="78"/>
        <v>0</v>
      </c>
      <c r="BL128" s="57">
        <f t="shared" si="78"/>
        <v>0</v>
      </c>
      <c r="BM128" s="57">
        <f t="shared" si="78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77"/>
        <v>0</v>
      </c>
      <c r="AW129" s="57">
        <f t="shared" si="77"/>
        <v>0</v>
      </c>
      <c r="AX129" s="57">
        <f t="shared" si="77"/>
        <v>0</v>
      </c>
      <c r="AY129" s="57">
        <f t="shared" si="77"/>
        <v>0</v>
      </c>
      <c r="AZ129" s="57">
        <f t="shared" si="77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78"/>
        <v>0</v>
      </c>
      <c r="BG129" s="57">
        <f t="shared" si="78"/>
        <v>0</v>
      </c>
      <c r="BH129" s="57">
        <f t="shared" si="78"/>
        <v>0</v>
      </c>
      <c r="BI129" s="57">
        <f t="shared" si="78"/>
        <v>0</v>
      </c>
      <c r="BJ129" s="57">
        <f t="shared" si="78"/>
        <v>0</v>
      </c>
      <c r="BK129" s="57">
        <f t="shared" si="78"/>
        <v>0</v>
      </c>
      <c r="BL129" s="57">
        <f t="shared" si="78"/>
        <v>0</v>
      </c>
      <c r="BM129" s="57">
        <f t="shared" si="78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79">SUM(AV126:AV129)</f>
        <v>0</v>
      </c>
      <c r="AW130" s="344">
        <f t="shared" si="79"/>
        <v>0</v>
      </c>
      <c r="AX130" s="344">
        <f t="shared" si="79"/>
        <v>0</v>
      </c>
      <c r="AY130" s="344">
        <f t="shared" si="79"/>
        <v>0</v>
      </c>
      <c r="AZ130" s="344">
        <f t="shared" si="79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80">SUM(BF126:BF129)</f>
        <v>0</v>
      </c>
      <c r="BG130" s="344">
        <f t="shared" si="80"/>
        <v>0</v>
      </c>
      <c r="BH130" s="344">
        <f t="shared" si="80"/>
        <v>0</v>
      </c>
      <c r="BI130" s="344">
        <f t="shared" si="80"/>
        <v>0</v>
      </c>
      <c r="BJ130" s="344">
        <f t="shared" si="80"/>
        <v>0</v>
      </c>
      <c r="BK130" s="344">
        <f t="shared" si="80"/>
        <v>0</v>
      </c>
      <c r="BL130" s="344">
        <f t="shared" si="80"/>
        <v>0</v>
      </c>
      <c r="BM130" s="344">
        <f t="shared" si="80"/>
        <v>0</v>
      </c>
      <c r="BN130" s="345"/>
      <c r="BO130" s="272">
        <f t="shared" ref="BO130" si="81">SUM(BO126:BO129)</f>
        <v>466064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82">AU111+AU124</f>
        <v>246743.79944802204</v>
      </c>
      <c r="AV132" s="66">
        <f t="shared" si="82"/>
        <v>174174.20055197793</v>
      </c>
      <c r="AW132" s="66">
        <f t="shared" si="82"/>
        <v>268323</v>
      </c>
      <c r="AX132" s="66">
        <f t="shared" si="82"/>
        <v>364012</v>
      </c>
      <c r="AY132" s="66">
        <f t="shared" si="82"/>
        <v>307542</v>
      </c>
      <c r="AZ132" s="66">
        <f t="shared" si="82"/>
        <v>447636</v>
      </c>
      <c r="BA132" s="216">
        <f>SUM(AT132:AZ132)</f>
        <v>1808431</v>
      </c>
      <c r="BB132" s="66">
        <v>426727</v>
      </c>
      <c r="BC132" s="66">
        <v>437693</v>
      </c>
      <c r="BD132" s="66">
        <v>372405</v>
      </c>
      <c r="BE132" s="66">
        <v>353416</v>
      </c>
      <c r="BF132" s="66">
        <f t="shared" ref="BF132:BO132" si="83">BF111+BF124</f>
        <v>326455</v>
      </c>
      <c r="BG132" s="66">
        <f t="shared" si="83"/>
        <v>248999</v>
      </c>
      <c r="BH132" s="66">
        <f t="shared" si="83"/>
        <v>256868</v>
      </c>
      <c r="BI132" s="66">
        <f t="shared" si="83"/>
        <v>203966</v>
      </c>
      <c r="BJ132" s="66">
        <f t="shared" si="83"/>
        <v>270560</v>
      </c>
      <c r="BK132" s="66">
        <f t="shared" si="83"/>
        <v>367053</v>
      </c>
      <c r="BL132" s="66">
        <f t="shared" si="83"/>
        <v>364668</v>
      </c>
      <c r="BM132" s="66">
        <f t="shared" si="83"/>
        <v>453645</v>
      </c>
      <c r="BN132" s="216">
        <f t="shared" si="83"/>
        <v>4074600</v>
      </c>
      <c r="BO132" s="185">
        <f t="shared" si="83"/>
        <v>1591629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13" priority="7" operator="lessThan">
      <formula>0</formula>
    </cfRule>
  </conditionalFormatting>
  <conditionalFormatting sqref="BN58">
    <cfRule type="cellIs" dxfId="12" priority="6" operator="lessThan">
      <formula>0</formula>
    </cfRule>
  </conditionalFormatting>
  <conditionalFormatting sqref="BN78">
    <cfRule type="cellIs" dxfId="11" priority="5" operator="lessThan">
      <formula>0</formula>
    </cfRule>
  </conditionalFormatting>
  <conditionalFormatting sqref="BN19">
    <cfRule type="cellIs" dxfId="10" priority="4" operator="lessThan">
      <formula>0</formula>
    </cfRule>
  </conditionalFormatting>
  <conditionalFormatting sqref="BN40">
    <cfRule type="cellIs" dxfId="9" priority="3" operator="lessThan">
      <formula>0</formula>
    </cfRule>
  </conditionalFormatting>
  <conditionalFormatting sqref="BN54">
    <cfRule type="cellIs" dxfId="8" priority="2" operator="lessThan">
      <formula>0</formula>
    </cfRule>
  </conditionalFormatting>
  <conditionalFormatting sqref="BN62">
    <cfRule type="cellIs" dxfId="7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BU133"/>
  <sheetViews>
    <sheetView tabSelected="1" zoomScale="80" zoomScaleNormal="80" workbookViewId="0">
      <pane xSplit="1" ySplit="5" topLeftCell="N6" activePane="bottomRight" state="frozen"/>
      <selection pane="bottomRight" activeCell="BN79" sqref="BN79"/>
      <selection pane="bottomLeft" activeCell="BN79" sqref="BN79"/>
      <selection pane="topRight" activeCell="BN79" sqref="BN79"/>
    </sheetView>
  </sheetViews>
  <sheetFormatPr defaultColWidth="9.140625" defaultRowHeight="14.45" outlineLevelCol="2"/>
  <cols>
    <col min="1" max="1" width="65.85546875" style="2" customWidth="1"/>
    <col min="2" max="6" width="13.28515625" hidden="1" customWidth="1" outlineLevel="1"/>
    <col min="7" max="7" width="13.5703125" hidden="1" customWidth="1" outlineLevel="1"/>
    <col min="8" max="8" width="13.140625" hidden="1" customWidth="1" outlineLevel="1"/>
    <col min="9" max="9" width="13.5703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42578125" hidden="1" customWidth="1" outlineLevel="1"/>
    <col min="47" max="47" width="15.7109375" hidden="1" customWidth="1" outlineLevel="1"/>
    <col min="48" max="48" width="15.5703125" hidden="1" customWidth="1" outlineLevel="1"/>
    <col min="49" max="49" width="16" hidden="1" customWidth="1" outlineLevel="1"/>
    <col min="50" max="52" width="15.5703125" hidden="1" customWidth="1" outlineLevel="1"/>
    <col min="53" max="53" width="20.140625" style="3" bestFit="1" customWidth="1" collapsed="1"/>
    <col min="54" max="54" width="15.5703125" hidden="1" customWidth="1" outlineLevel="2"/>
    <col min="55" max="55" width="15.42578125" hidden="1" customWidth="1" outlineLevel="2"/>
    <col min="56" max="56" width="15.5703125" hidden="1" customWidth="1" outlineLevel="2"/>
    <col min="57" max="57" width="15.42578125" hidden="1" customWidth="1" outlineLevel="2"/>
    <col min="58" max="58" width="15.7109375" hidden="1" customWidth="1" outlineLevel="2"/>
    <col min="59" max="60" width="15.42578125" hidden="1" customWidth="1" outlineLevel="2"/>
    <col min="61" max="61" width="15" hidden="1" customWidth="1" outlineLevel="2"/>
    <col min="62" max="62" width="15.85546875" hidden="1" customWidth="1" outlineLevel="2"/>
    <col min="63" max="63" width="15.28515625" hidden="1" customWidth="1" outlineLevel="2"/>
    <col min="64" max="64" width="15.140625" hidden="1" customWidth="1" outlineLevel="2"/>
    <col min="65" max="65" width="15.5703125" hidden="1" customWidth="1" outlineLevel="2"/>
    <col min="66" max="66" width="20.28515625" style="3" bestFit="1" customWidth="1" collapsed="1"/>
    <col min="67" max="67" width="19" bestFit="1" customWidth="1"/>
    <col min="69" max="69" width="13.28515625" bestFit="1" customWidth="1"/>
    <col min="71" max="71" width="31.7109375" bestFit="1" customWidth="1"/>
    <col min="72" max="72" width="12.28515625" bestFit="1" customWidth="1"/>
    <col min="73" max="73" width="11.28515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247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Customers!E186</f>
        <v>120</v>
      </c>
      <c r="AV7" s="109">
        <f>Customers!F186</f>
        <v>120</v>
      </c>
      <c r="AW7" s="109">
        <f>Customers!G186</f>
        <v>121</v>
      </c>
      <c r="AX7" s="109">
        <f>Customers!H186</f>
        <v>121</v>
      </c>
      <c r="AY7" s="109">
        <f>Customers!I186</f>
        <v>121</v>
      </c>
      <c r="AZ7" s="109">
        <f>Customers!J186</f>
        <v>121</v>
      </c>
      <c r="BA7" s="210">
        <f>AZ7</f>
        <v>121</v>
      </c>
      <c r="BB7" s="124">
        <v>123</v>
      </c>
      <c r="BC7" s="38">
        <v>123</v>
      </c>
      <c r="BD7" s="38">
        <v>123</v>
      </c>
      <c r="BE7" s="38">
        <v>123</v>
      </c>
      <c r="BF7" s="38">
        <f t="shared" ref="BF7:BM7" si="0">BE7</f>
        <v>123</v>
      </c>
      <c r="BG7" s="38">
        <f t="shared" si="0"/>
        <v>123</v>
      </c>
      <c r="BH7" s="38">
        <f t="shared" si="0"/>
        <v>123</v>
      </c>
      <c r="BI7" s="38">
        <f t="shared" si="0"/>
        <v>123</v>
      </c>
      <c r="BJ7" s="38">
        <f t="shared" si="0"/>
        <v>123</v>
      </c>
      <c r="BK7" s="38">
        <f t="shared" si="0"/>
        <v>123</v>
      </c>
      <c r="BL7" s="38">
        <f t="shared" si="0"/>
        <v>123</v>
      </c>
      <c r="BM7" s="38">
        <f t="shared" si="0"/>
        <v>123</v>
      </c>
      <c r="BN7" s="210">
        <f>IFERROR(ROUND(AVERAGE(BB7:BM7),0),0)</f>
        <v>123</v>
      </c>
      <c r="BO7" s="55">
        <v>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67379</v>
      </c>
      <c r="AV8" s="38">
        <f>ROUND(AV$11*'kWh Blocks by Rate Category'!D8,0)</f>
        <v>71353</v>
      </c>
      <c r="AW8" s="38">
        <f>ROUND(AW$11*'kWh Blocks by Rate Category'!E8,0)</f>
        <v>53080</v>
      </c>
      <c r="AX8" s="38">
        <f>ROUND(AX$11*'kWh Blocks by Rate Category'!F8,0)</f>
        <v>85396</v>
      </c>
      <c r="AY8" s="38">
        <f>ROUND(AY$11*'kWh Blocks by Rate Category'!G8,0)</f>
        <v>95137</v>
      </c>
      <c r="AZ8" s="38">
        <f>ROUND(AZ$11*'kWh Blocks by Rate Category'!H8,0)</f>
        <v>119433</v>
      </c>
      <c r="BA8" s="210">
        <f>SUM(AO8:AZ8)</f>
        <v>491778</v>
      </c>
      <c r="BB8" s="38">
        <v>159314</v>
      </c>
      <c r="BC8" s="38">
        <v>140158</v>
      </c>
      <c r="BD8" s="38">
        <v>142590</v>
      </c>
      <c r="BE8" s="38">
        <v>127315</v>
      </c>
      <c r="BF8" s="38">
        <f>ROUND(BF$11*'kWh Blocks by Rate Category'!N8,0)</f>
        <v>117622</v>
      </c>
      <c r="BG8" s="38">
        <f>ROUND(BG$11*'kWh Blocks by Rate Category'!O8,0)</f>
        <v>81310</v>
      </c>
      <c r="BH8" s="38">
        <f>ROUND(BH$11*'kWh Blocks by Rate Category'!P8,0)</f>
        <v>69063</v>
      </c>
      <c r="BI8" s="38">
        <f>ROUND(BI$11*'kWh Blocks by Rate Category'!Q8,0)</f>
        <v>73137</v>
      </c>
      <c r="BJ8" s="38">
        <f>ROUND(BJ$11*'kWh Blocks by Rate Category'!R8,0)</f>
        <v>53958</v>
      </c>
      <c r="BK8" s="38">
        <f>ROUND(BK$11*'kWh Blocks by Rate Category'!S8,0)</f>
        <v>86807</v>
      </c>
      <c r="BL8" s="38">
        <f>ROUND(BL$11*'kWh Blocks by Rate Category'!T8,0)</f>
        <v>96709</v>
      </c>
      <c r="BM8" s="38">
        <f>ROUND(BM$11*'kWh Blocks by Rate Category'!U8,0)</f>
        <v>121407</v>
      </c>
      <c r="BN8" s="210">
        <f>SUM(BB8:BM8)</f>
        <v>1269390</v>
      </c>
      <c r="BO8" s="38">
        <f>ROUND(BO$11*'kWh Blocks by Rate Category'!W8,0)</f>
        <v>645016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35903</v>
      </c>
      <c r="AV9" s="38">
        <f>ROUND(AV$11*'kWh Blocks by Rate Category'!D9,0)</f>
        <v>38020</v>
      </c>
      <c r="AW9" s="38">
        <f>ROUND(AW$11*'kWh Blocks by Rate Category'!E9,0)</f>
        <v>28284</v>
      </c>
      <c r="AX9" s="38">
        <f>ROUND(AX$11*'kWh Blocks by Rate Category'!F9,0)</f>
        <v>45503</v>
      </c>
      <c r="AY9" s="38">
        <f>ROUND(AY$11*'kWh Blocks by Rate Category'!G9,0)</f>
        <v>50694</v>
      </c>
      <c r="AZ9" s="38">
        <f>ROUND(AZ$11*'kWh Blocks by Rate Category'!H9,0)</f>
        <v>63640</v>
      </c>
      <c r="BA9" s="210">
        <f>SUM(AO9:AZ9)</f>
        <v>262044</v>
      </c>
      <c r="BB9" s="38">
        <v>84890</v>
      </c>
      <c r="BC9" s="38">
        <v>74683</v>
      </c>
      <c r="BD9" s="38">
        <v>75979</v>
      </c>
      <c r="BE9" s="38">
        <v>67840</v>
      </c>
      <c r="BF9" s="38">
        <f>ROUND(BF$11*'kWh Blocks by Rate Category'!N9,0)</f>
        <v>62675</v>
      </c>
      <c r="BG9" s="38">
        <f>ROUND(BG$11*'kWh Blocks by Rate Category'!O9,0)</f>
        <v>43326</v>
      </c>
      <c r="BH9" s="38">
        <f>ROUND(BH$11*'kWh Blocks by Rate Category'!P9,0)</f>
        <v>36800</v>
      </c>
      <c r="BI9" s="38">
        <f>ROUND(BI$11*'kWh Blocks by Rate Category'!Q9,0)</f>
        <v>38971</v>
      </c>
      <c r="BJ9" s="38">
        <f>ROUND(BJ$11*'kWh Blocks by Rate Category'!R9,0)</f>
        <v>28751</v>
      </c>
      <c r="BK9" s="38">
        <f>ROUND(BK$11*'kWh Blocks by Rate Category'!S9,0)</f>
        <v>46255</v>
      </c>
      <c r="BL9" s="38">
        <f>ROUND(BL$11*'kWh Blocks by Rate Category'!T9,0)</f>
        <v>51532</v>
      </c>
      <c r="BM9" s="38">
        <f>ROUND(BM$11*'kWh Blocks by Rate Category'!U9,0)</f>
        <v>64692</v>
      </c>
      <c r="BN9" s="210">
        <f>SUM(BB9:BM9)</f>
        <v>676394</v>
      </c>
      <c r="BO9" s="38">
        <f>ROUND(BO$11*'kWh Blocks by Rate Category'!W9,0)</f>
        <v>343696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6846</v>
      </c>
      <c r="AV10" s="38">
        <f>ROUND(AV$11*'kWh Blocks by Rate Category'!D10,0)</f>
        <v>7250</v>
      </c>
      <c r="AW10" s="38">
        <f>ROUND(AW$11*'kWh Blocks by Rate Category'!E10,0)</f>
        <v>5393</v>
      </c>
      <c r="AX10" s="38">
        <f>ROUND(AX$11*'kWh Blocks by Rate Category'!F10,0)</f>
        <v>8676</v>
      </c>
      <c r="AY10" s="38">
        <f>ROUND(AY$11*'kWh Blocks by Rate Category'!G10,0)</f>
        <v>9666</v>
      </c>
      <c r="AZ10" s="38">
        <f>ROUND(AZ$11*'kWh Blocks by Rate Category'!H10,0)</f>
        <v>12135</v>
      </c>
      <c r="BA10" s="210">
        <f>SUM(AO10:AZ10)</f>
        <v>49966</v>
      </c>
      <c r="BB10" s="38">
        <v>16187</v>
      </c>
      <c r="BC10" s="38">
        <v>14240</v>
      </c>
      <c r="BD10" s="38">
        <v>14488</v>
      </c>
      <c r="BE10" s="38">
        <v>12936</v>
      </c>
      <c r="BF10" s="38">
        <f>ROUND(BF$11*'kWh Blocks by Rate Category'!N10,0)</f>
        <v>11951</v>
      </c>
      <c r="BG10" s="38">
        <f>ROUND(BG$11*'kWh Blocks by Rate Category'!O10,0)</f>
        <v>8261</v>
      </c>
      <c r="BH10" s="38">
        <f>ROUND(BH$11*'kWh Blocks by Rate Category'!P10,0)</f>
        <v>7017</v>
      </c>
      <c r="BI10" s="38">
        <f>ROUND(BI$11*'kWh Blocks by Rate Category'!Q10,0)</f>
        <v>7431</v>
      </c>
      <c r="BJ10" s="38">
        <f>ROUND(BJ$11*'kWh Blocks by Rate Category'!R10,0)</f>
        <v>5482</v>
      </c>
      <c r="BK10" s="38">
        <f>ROUND(BK$11*'kWh Blocks by Rate Category'!S10,0)</f>
        <v>8820</v>
      </c>
      <c r="BL10" s="38">
        <f>ROUND(BL$11*'kWh Blocks by Rate Category'!T10,0)</f>
        <v>9826</v>
      </c>
      <c r="BM10" s="38">
        <f>ROUND(BM$11*'kWh Blocks by Rate Category'!U10,0)</f>
        <v>12335</v>
      </c>
      <c r="BN10" s="210">
        <f>SUM(BB10:BM10)</f>
        <v>128974</v>
      </c>
      <c r="BO10" s="38">
        <f>ROUND(BO$11*'kWh Blocks by Rate Category'!W10,0)</f>
        <v>65535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110127</v>
      </c>
      <c r="AV11" s="64">
        <f t="shared" si="1"/>
        <v>116623</v>
      </c>
      <c r="AW11" s="64">
        <f t="shared" si="1"/>
        <v>86757</v>
      </c>
      <c r="AX11" s="64">
        <f t="shared" si="1"/>
        <v>139575</v>
      </c>
      <c r="AY11" s="64">
        <f t="shared" si="1"/>
        <v>155497</v>
      </c>
      <c r="AZ11" s="64">
        <f t="shared" si="1"/>
        <v>195208</v>
      </c>
      <c r="BA11" s="196">
        <f>SUM(AO11:AZ11)</f>
        <v>803787</v>
      </c>
      <c r="BB11" s="64">
        <v>260391</v>
      </c>
      <c r="BC11" s="64">
        <v>229082</v>
      </c>
      <c r="BD11" s="64">
        <v>233057</v>
      </c>
      <c r="BE11" s="64">
        <v>208090</v>
      </c>
      <c r="BF11" s="64">
        <f t="shared" ref="BF11:BM11" si="2">IFERROR(ROUND(BF12*BF7,0),0)</f>
        <v>192247</v>
      </c>
      <c r="BG11" s="64">
        <f t="shared" si="2"/>
        <v>132898</v>
      </c>
      <c r="BH11" s="64">
        <f t="shared" si="2"/>
        <v>112880</v>
      </c>
      <c r="BI11" s="64">
        <f t="shared" si="2"/>
        <v>119539</v>
      </c>
      <c r="BJ11" s="64">
        <f t="shared" si="2"/>
        <v>88191</v>
      </c>
      <c r="BK11" s="64">
        <f t="shared" si="2"/>
        <v>141882</v>
      </c>
      <c r="BL11" s="64">
        <f t="shared" si="2"/>
        <v>158067</v>
      </c>
      <c r="BM11" s="64">
        <f t="shared" si="2"/>
        <v>198434</v>
      </c>
      <c r="BN11" s="196">
        <f>SUM(BB11:BM11)</f>
        <v>2074758</v>
      </c>
      <c r="BO11" s="147">
        <f>BQ19-BO19</f>
        <v>1054247</v>
      </c>
    </row>
    <row r="12" spans="1:67" ht="15" thickTop="1">
      <c r="A12" s="374" t="s">
        <v>54</v>
      </c>
      <c r="B12" s="84">
        <f>IF('kWh_Streetlight Data'!C194=0,"",'kWh_Streetlight Data'!C194)</f>
        <v>1947.5344827586207</v>
      </c>
      <c r="C12" s="108">
        <f>IF('kWh_Streetlight Data'!D194=0,"",'kWh_Streetlight Data'!D194)</f>
        <v>1892.0086206896551</v>
      </c>
      <c r="D12" s="108">
        <f>IF('kWh_Streetlight Data'!E194=0,"",'kWh_Streetlight Data'!E194)</f>
        <v>1563.4117647058824</v>
      </c>
      <c r="E12" s="108">
        <f>IF('kWh_Streetlight Data'!F194=0,"",'kWh_Streetlight Data'!F194)</f>
        <v>1743.9557522123894</v>
      </c>
      <c r="F12" s="108">
        <f>IF('kWh_Streetlight Data'!G194=0,"",'kWh_Streetlight Data'!G194)</f>
        <v>1539.2105263157894</v>
      </c>
      <c r="G12" s="108">
        <f>IF('kWh_Streetlight Data'!H194=0,"",'kWh_Streetlight Data'!H194)</f>
        <v>934.95614035087715</v>
      </c>
      <c r="H12" s="108">
        <f>IF('kWh_Streetlight Data'!I194=0,"",'kWh_Streetlight Data'!I194)</f>
        <v>966.6194690265487</v>
      </c>
      <c r="I12" s="108">
        <f>IF('kWh_Streetlight Data'!J194=0,"",'kWh_Streetlight Data'!J194)</f>
        <v>957.86725663716811</v>
      </c>
      <c r="J12" s="108">
        <f>IF('kWh_Streetlight Data'!K194=0,"",'kWh_Streetlight Data'!K194)</f>
        <v>847.38260869565215</v>
      </c>
      <c r="K12" s="108">
        <f>IF('kWh_Streetlight Data'!L194=0,"",'kWh_Streetlight Data'!L194)</f>
        <v>1299.655172413793</v>
      </c>
      <c r="L12" s="108">
        <f>IF('kWh_Streetlight Data'!M194=0,"",'kWh_Streetlight Data'!M194)</f>
        <v>1107.4655172413793</v>
      </c>
      <c r="M12" s="108">
        <f>IF('kWh_Streetlight Data'!N194=0,"",'kWh_Streetlight Data'!N194)</f>
        <v>1599.7672413793102</v>
      </c>
      <c r="N12" s="424">
        <f>IF('kWh_Streetlight Data'!O194=0,"",'kWh_Streetlight Data'!O194)</f>
        <v>1368.7690079652425</v>
      </c>
      <c r="O12" s="84">
        <f>IF('kWh_Streetlight Data'!P194=0,"",'kWh_Streetlight Data'!P194)</f>
        <v>2050.8706896551726</v>
      </c>
      <c r="P12" s="108">
        <f>IF('kWh_Streetlight Data'!Q194=0,"",'kWh_Streetlight Data'!Q194)</f>
        <v>1896.9756097560976</v>
      </c>
      <c r="Q12" s="108">
        <f>IF('kWh_Streetlight Data'!R194=0,"",'kWh_Streetlight Data'!R194)</f>
        <v>1891.8559322033898</v>
      </c>
      <c r="R12" s="108">
        <f>IF('kWh_Streetlight Data'!S194=0,"",'kWh_Streetlight Data'!S194)</f>
        <v>1571.6147540983607</v>
      </c>
      <c r="S12" s="108">
        <f>IF('kWh_Streetlight Data'!T194=0,"",'kWh_Streetlight Data'!T194)</f>
        <v>1521.8376068376069</v>
      </c>
      <c r="T12" s="108">
        <f>IF('kWh_Streetlight Data'!U194=0,"",'kWh_Streetlight Data'!U194)</f>
        <v>1190.542372881356</v>
      </c>
      <c r="U12" s="108">
        <f>IF('kWh_Streetlight Data'!V194=0,"",'kWh_Streetlight Data'!V194)</f>
        <v>739.89655172413791</v>
      </c>
      <c r="V12" s="108">
        <f>IF('kWh_Streetlight Data'!W194=0,"",'kWh_Streetlight Data'!W194)</f>
        <v>813.65</v>
      </c>
      <c r="W12" s="108">
        <f>IF('kWh_Streetlight Data'!X194=0,"",'kWh_Streetlight Data'!X194)</f>
        <v>761.41880341880346</v>
      </c>
      <c r="X12" s="108">
        <f>IF('kWh_Streetlight Data'!Y194=0,"",'kWh_Streetlight Data'!Y194)</f>
        <v>981.18965517241384</v>
      </c>
      <c r="Y12" s="108">
        <f>IF('kWh_Streetlight Data'!Z194=0,"",'kWh_Streetlight Data'!Z194)</f>
        <v>1304.7166666666667</v>
      </c>
      <c r="Z12" s="108">
        <f>IF('kWh_Streetlight Data'!AA194=0,"",'kWh_Streetlight Data'!AA194)</f>
        <v>1646.175</v>
      </c>
      <c r="AA12" s="424">
        <f>IF('kWh_Streetlight Data'!AB194=0,"",'kWh_Streetlight Data'!AB194)</f>
        <v>1366.9859451862262</v>
      </c>
      <c r="AB12" s="129">
        <f>IF('kWh_Streetlight Data'!AC194=0,"",'kWh_Streetlight Data'!AC194)</f>
        <v>2352.6</v>
      </c>
      <c r="AC12" s="130">
        <f>IF('kWh_Streetlight Data'!AD194=0,"",'kWh_Streetlight Data'!AD194)</f>
        <v>1798.388429752066</v>
      </c>
      <c r="AD12" s="130">
        <f>IF('kWh_Streetlight Data'!AE194=0,"",'kWh_Streetlight Data'!AE194)</f>
        <v>2229.0487804878048</v>
      </c>
      <c r="AE12" s="130">
        <f>IF('kWh_Streetlight Data'!AF194=0,"",'kWh_Streetlight Data'!AF194)</f>
        <v>1759.7983193277312</v>
      </c>
      <c r="AF12" s="130">
        <f>IF('kWh_Streetlight Data'!AG194=0,"",'kWh_Streetlight Data'!AG194)</f>
        <v>1627.90756302521</v>
      </c>
      <c r="AG12" s="130">
        <f>IF('kWh_Streetlight Data'!AH194=0,"",'kWh_Streetlight Data'!AH194)</f>
        <v>1115.9083333333333</v>
      </c>
      <c r="AH12" s="130">
        <f>IF('kWh_Streetlight Data'!AI194=0,"",'kWh_Streetlight Data'!AI194)</f>
        <v>1046.6610169491526</v>
      </c>
      <c r="AI12" s="130">
        <f>IF('kWh_Streetlight Data'!AJ194=0,"",'kWh_Streetlight Data'!AJ194)</f>
        <v>1144.0588235294117</v>
      </c>
      <c r="AJ12" s="130">
        <f>IF('kWh_Streetlight Data'!AK194=0,"",'kWh_Streetlight Data'!AK194)</f>
        <v>542.2066115702479</v>
      </c>
      <c r="AK12" s="130">
        <f>IF('kWh_Streetlight Data'!AL194=0,"",'kWh_Streetlight Data'!AL194)</f>
        <v>1179.6942148760331</v>
      </c>
      <c r="AL12" s="130">
        <f>IF('kWh_Streetlight Data'!AM194=0,"",'kWh_Streetlight Data'!AM194)</f>
        <v>1443.1166666666666</v>
      </c>
      <c r="AM12" s="130">
        <f>IF('kWh_Streetlight Data'!AN194=0,"",'kWh_Streetlight Data'!AN194)</f>
        <v>1593.9166666666667</v>
      </c>
      <c r="AN12" s="426">
        <f>IF('kWh_Streetlight Data'!AO194=0,"",'kWh_Streetlight Data'!AO194)</f>
        <v>1487.5634975711312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917.72567923327972</v>
      </c>
      <c r="AV12" s="9">
        <f t="shared" si="3"/>
        <v>971.85869338886005</v>
      </c>
      <c r="AW12" s="9">
        <f t="shared" si="3"/>
        <v>717.0026745615678</v>
      </c>
      <c r="AX12" s="9">
        <f t="shared" si="3"/>
        <v>1153.5130141540801</v>
      </c>
      <c r="AY12" s="9">
        <f t="shared" si="3"/>
        <v>1285.0996168582376</v>
      </c>
      <c r="AZ12" s="9">
        <f t="shared" si="3"/>
        <v>1613.2863026819923</v>
      </c>
      <c r="BA12" s="211"/>
      <c r="BB12" s="17">
        <v>2117.0017241379314</v>
      </c>
      <c r="BC12" s="17">
        <v>1862.4575533992729</v>
      </c>
      <c r="BD12" s="17">
        <v>1894.7721591323589</v>
      </c>
      <c r="BE12" s="17">
        <v>1691.7896085461605</v>
      </c>
      <c r="BF12" s="17">
        <f t="shared" ref="BF12:BM12" si="4">IFERROR(AVERAGE(F12,S12,AF12),0)</f>
        <v>1562.9852320595355</v>
      </c>
      <c r="BG12" s="17">
        <f t="shared" si="4"/>
        <v>1080.4689488551887</v>
      </c>
      <c r="BH12" s="17">
        <f t="shared" si="4"/>
        <v>917.72567923327972</v>
      </c>
      <c r="BI12" s="17">
        <f t="shared" si="4"/>
        <v>971.85869338885993</v>
      </c>
      <c r="BJ12" s="17">
        <f t="shared" si="4"/>
        <v>717.0026745615678</v>
      </c>
      <c r="BK12" s="17">
        <f t="shared" si="4"/>
        <v>1153.5130141540801</v>
      </c>
      <c r="BL12" s="17">
        <f t="shared" si="4"/>
        <v>1285.0996168582376</v>
      </c>
      <c r="BM12" s="17">
        <f t="shared" si="4"/>
        <v>1613.2863026819923</v>
      </c>
      <c r="BN12" s="211">
        <f>IFERROR(BN11/SUM(BB7:BM7)*12,0)</f>
        <v>16867.951219512197</v>
      </c>
      <c r="BO12" s="20">
        <v>0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/>
      <c r="BI15" s="124"/>
      <c r="BJ15" s="124"/>
      <c r="BK15" s="124"/>
      <c r="BL15" s="124"/>
      <c r="BM15" s="124"/>
      <c r="BN15" s="210"/>
      <c r="BO15" s="125">
        <f>Customers!L186</f>
        <v>125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38">
        <f>ROUND(BO$19*'kWh Blocks by Rate Category'!W15,0)</f>
        <v>645016</v>
      </c>
    </row>
    <row r="17" spans="1:70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38">
        <f>ROUND(BO$19*'kWh Blocks by Rate Category'!W16,0)</f>
        <v>343696</v>
      </c>
      <c r="BR17" s="229" t="s">
        <v>221</v>
      </c>
    </row>
    <row r="18" spans="1:70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38">
        <f>ROUND(BO$19*'kWh Blocks by Rate Category'!W17,0)</f>
        <v>65535</v>
      </c>
      <c r="BQ18" s="229" t="s">
        <v>222</v>
      </c>
      <c r="BR18" s="229" t="s">
        <v>223</v>
      </c>
    </row>
    <row r="19" spans="1:70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ROUND(BQ19/12*BR19,0)</f>
        <v>1054247</v>
      </c>
      <c r="BQ19" s="39">
        <f>ROUND(BO20*BO15,0)</f>
        <v>2108494</v>
      </c>
      <c r="BR19" s="296">
        <v>6</v>
      </c>
    </row>
    <row r="20" spans="1:70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BN12</f>
        <v>16867.951219512197</v>
      </c>
      <c r="BR20" s="229" t="s">
        <v>224</v>
      </c>
    </row>
    <row r="21" spans="1:70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0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0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0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0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0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0" ht="15" thickTop="1">
      <c r="A27" s="374" t="s">
        <v>54</v>
      </c>
      <c r="B27" s="84" t="str">
        <f>IF('kWh_Streetlight Data'!C195=0,"",'kWh_Streetlight Data'!C195)</f>
        <v/>
      </c>
      <c r="C27" s="108" t="str">
        <f>IF('kWh_Streetlight Data'!D195=0,"",'kWh_Streetlight Data'!D195)</f>
        <v/>
      </c>
      <c r="D27" s="108" t="str">
        <f>IF('kWh_Streetlight Data'!E195=0,"",'kWh_Streetlight Data'!E195)</f>
        <v/>
      </c>
      <c r="E27" s="108" t="str">
        <f>IF('kWh_Streetlight Data'!F195=0,"",'kWh_Streetlight Data'!F195)</f>
        <v/>
      </c>
      <c r="F27" s="108" t="str">
        <f>IF('kWh_Streetlight Data'!G195=0,"",'kWh_Streetlight Data'!G195)</f>
        <v/>
      </c>
      <c r="G27" s="108" t="str">
        <f>IF('kWh_Streetlight Data'!H195=0,"",'kWh_Streetlight Data'!H195)</f>
        <v/>
      </c>
      <c r="H27" s="108" t="str">
        <f>IF('kWh_Streetlight Data'!I195=0,"",'kWh_Streetlight Data'!I195)</f>
        <v/>
      </c>
      <c r="I27" s="108" t="str">
        <f>IF('kWh_Streetlight Data'!J195=0,"",'kWh_Streetlight Data'!J195)</f>
        <v/>
      </c>
      <c r="J27" s="108" t="str">
        <f>IF('kWh_Streetlight Data'!K195=0,"",'kWh_Streetlight Data'!K195)</f>
        <v/>
      </c>
      <c r="K27" s="108" t="str">
        <f>IF('kWh_Streetlight Data'!L195=0,"",'kWh_Streetlight Data'!L195)</f>
        <v/>
      </c>
      <c r="L27" s="108" t="str">
        <f>IF('kWh_Streetlight Data'!M195=0,"",'kWh_Streetlight Data'!M195)</f>
        <v/>
      </c>
      <c r="M27" s="108" t="str">
        <f>IF('kWh_Streetlight Data'!N195=0,"",'kWh_Streetlight Data'!N195)</f>
        <v/>
      </c>
      <c r="N27" s="424" t="str">
        <f>IF('kWh_Streetlight Data'!O195=0,"",'kWh_Streetlight Data'!O195)</f>
        <v/>
      </c>
      <c r="O27" s="84" t="str">
        <f>IF('kWh_Streetlight Data'!P195=0,"",'kWh_Streetlight Data'!P195)</f>
        <v/>
      </c>
      <c r="P27" s="108" t="str">
        <f>IF('kWh_Streetlight Data'!Q195=0,"",'kWh_Streetlight Data'!Q195)</f>
        <v/>
      </c>
      <c r="Q27" s="108" t="str">
        <f>IF('kWh_Streetlight Data'!R195=0,"",'kWh_Streetlight Data'!R195)</f>
        <v/>
      </c>
      <c r="R27" s="108" t="str">
        <f>IF('kWh_Streetlight Data'!S195=0,"",'kWh_Streetlight Data'!S195)</f>
        <v/>
      </c>
      <c r="S27" s="108" t="str">
        <f>IF('kWh_Streetlight Data'!T195=0,"",'kWh_Streetlight Data'!T195)</f>
        <v/>
      </c>
      <c r="T27" s="108" t="str">
        <f>IF('kWh_Streetlight Data'!U195=0,"",'kWh_Streetlight Data'!U195)</f>
        <v/>
      </c>
      <c r="U27" s="108" t="str">
        <f>IF('kWh_Streetlight Data'!V195=0,"",'kWh_Streetlight Data'!V195)</f>
        <v/>
      </c>
      <c r="V27" s="108" t="str">
        <f>IF('kWh_Streetlight Data'!W195=0,"",'kWh_Streetlight Data'!W195)</f>
        <v/>
      </c>
      <c r="W27" s="108" t="str">
        <f>IF('kWh_Streetlight Data'!X195=0,"",'kWh_Streetlight Data'!X195)</f>
        <v/>
      </c>
      <c r="X27" s="108" t="str">
        <f>IF('kWh_Streetlight Data'!Y195=0,"",'kWh_Streetlight Data'!Y195)</f>
        <v/>
      </c>
      <c r="Y27" s="108" t="str">
        <f>IF('kWh_Streetlight Data'!Z195=0,"",'kWh_Streetlight Data'!Z195)</f>
        <v/>
      </c>
      <c r="Z27" s="108" t="str">
        <f>IF('kWh_Streetlight Data'!AA195=0,"",'kWh_Streetlight Data'!AA195)</f>
        <v/>
      </c>
      <c r="AA27" s="424" t="str">
        <f>IF('kWh_Streetlight Data'!AB195=0,"",'kWh_Streetlight Data'!AB195)</f>
        <v/>
      </c>
      <c r="AB27" s="129" t="str">
        <f>IF('kWh_Streetlight Data'!AC195=0,"",'kWh_Streetlight Data'!AC195)</f>
        <v/>
      </c>
      <c r="AC27" s="130" t="str">
        <f>IF('kWh_Streetlight Data'!AD195=0,"",'kWh_Streetlight Data'!AD195)</f>
        <v/>
      </c>
      <c r="AD27" s="130" t="str">
        <f>IF('kWh_Streetlight Data'!AE195=0,"",'kWh_Streetlight Data'!AE195)</f>
        <v/>
      </c>
      <c r="AE27" s="130" t="str">
        <f>IF('kWh_Streetlight Data'!AF195=0,"",'kWh_Streetlight Data'!AF195)</f>
        <v/>
      </c>
      <c r="AF27" s="130" t="str">
        <f>IF('kWh_Streetlight Data'!AG195=0,"",'kWh_Streetlight Data'!AG195)</f>
        <v/>
      </c>
      <c r="AG27" s="130" t="str">
        <f>IF('kWh_Streetlight Data'!AH195=0,"",'kWh_Streetlight Data'!AH195)</f>
        <v/>
      </c>
      <c r="AH27" s="108" t="str">
        <f>IF('kWh_Streetlight Data'!AI195=0,"",'kWh_Streetlight Data'!AI195)</f>
        <v/>
      </c>
      <c r="AI27" s="108" t="str">
        <f>IF('kWh_Streetlight Data'!AJ195=0,"",'kWh_Streetlight Data'!AJ195)</f>
        <v/>
      </c>
      <c r="AJ27" s="108" t="str">
        <f>IF('kWh_Streetlight Data'!AK195=0,"",'kWh_Streetlight Data'!AK195)</f>
        <v/>
      </c>
      <c r="AK27" s="108" t="str">
        <f>IF('kWh_Streetlight Data'!AL195=0,"",'kWh_Streetlight Data'!AL195)</f>
        <v/>
      </c>
      <c r="AL27" s="108" t="str">
        <f>IF('kWh_Streetlight Data'!AM195=0,"",'kWh_Streetlight Data'!AM195)</f>
        <v/>
      </c>
      <c r="AM27" s="108" t="str">
        <f>IF('kWh_Streetlight Data'!AN195=0,"",'kWh_Streetlight Data'!AN195)</f>
        <v/>
      </c>
      <c r="AN27" s="426" t="str">
        <f>IF('kWh_Streetlight Data'!AO195=0,"",'kWh_Streetlight Data'!AO195)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0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0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Customers!E188</f>
        <v>10</v>
      </c>
      <c r="AV29" s="109">
        <f>Customers!F188</f>
        <v>10</v>
      </c>
      <c r="AW29" s="109">
        <f>Customers!G188</f>
        <v>10</v>
      </c>
      <c r="AX29" s="109">
        <f>Customers!H188</f>
        <v>10</v>
      </c>
      <c r="AY29" s="109">
        <f>Customers!I188</f>
        <v>10</v>
      </c>
      <c r="AZ29" s="109">
        <f>Customers!J188</f>
        <v>10</v>
      </c>
      <c r="BA29" s="210">
        <f>AZ29</f>
        <v>10</v>
      </c>
      <c r="BB29" s="124">
        <v>10</v>
      </c>
      <c r="BC29" s="38">
        <v>10</v>
      </c>
      <c r="BD29" s="38">
        <v>10</v>
      </c>
      <c r="BE29" s="38">
        <v>10</v>
      </c>
      <c r="BF29" s="38">
        <f t="shared" ref="BF29:BM29" si="5">BE29</f>
        <v>10</v>
      </c>
      <c r="BG29" s="38">
        <f t="shared" si="5"/>
        <v>10</v>
      </c>
      <c r="BH29" s="38">
        <f t="shared" si="5"/>
        <v>10</v>
      </c>
      <c r="BI29" s="38">
        <f t="shared" si="5"/>
        <v>10</v>
      </c>
      <c r="BJ29" s="38">
        <f t="shared" si="5"/>
        <v>10</v>
      </c>
      <c r="BK29" s="38">
        <f t="shared" si="5"/>
        <v>10</v>
      </c>
      <c r="BL29" s="38">
        <f t="shared" si="5"/>
        <v>10</v>
      </c>
      <c r="BM29" s="38">
        <f t="shared" si="5"/>
        <v>10</v>
      </c>
      <c r="BN29" s="210">
        <f>IFERROR(ROUND(AVERAGE(BB29:BM29),0),0)</f>
        <v>10</v>
      </c>
      <c r="BO29" s="90">
        <v>0</v>
      </c>
    </row>
    <row r="30" spans="1:70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8">
        <f>ROUND(AU$33*'kWh Blocks by Rate Category'!C29,0)</f>
        <v>31680</v>
      </c>
      <c r="AV30" s="38">
        <f>ROUND(AV$33*'kWh Blocks by Rate Category'!D29,0)</f>
        <v>9604</v>
      </c>
      <c r="AW30" s="38">
        <f>ROUND(AW$33*'kWh Blocks by Rate Category'!E29,0)</f>
        <v>5872</v>
      </c>
      <c r="AX30" s="38">
        <f>ROUND(AX$33*'kWh Blocks by Rate Category'!F29,0)</f>
        <v>7874</v>
      </c>
      <c r="AY30" s="38">
        <f>ROUND(AY$33*'kWh Blocks by Rate Category'!G29,0)</f>
        <v>10459</v>
      </c>
      <c r="AZ30" s="38">
        <f>ROUND(AZ$33*'kWh Blocks by Rate Category'!H29,0)</f>
        <v>12576</v>
      </c>
      <c r="BA30" s="210">
        <f>SUM(AO30:AZ30)</f>
        <v>78065</v>
      </c>
      <c r="BB30" s="38">
        <v>19140</v>
      </c>
      <c r="BC30" s="38">
        <v>16590</v>
      </c>
      <c r="BD30" s="38">
        <v>18598</v>
      </c>
      <c r="BE30" s="38">
        <v>14769</v>
      </c>
      <c r="BF30" s="38">
        <f>ROUND(BF$33*'kWh Blocks by Rate Category'!N29,0)</f>
        <v>18476</v>
      </c>
      <c r="BG30" s="38">
        <f>ROUND(BG$33*'kWh Blocks by Rate Category'!O29,0)</f>
        <v>10883</v>
      </c>
      <c r="BH30" s="38">
        <f>ROUND(BH$33*'kWh Blocks by Rate Category'!P29,0)</f>
        <v>31680</v>
      </c>
      <c r="BI30" s="38">
        <f>ROUND(BI$33*'kWh Blocks by Rate Category'!Q29,0)</f>
        <v>9604</v>
      </c>
      <c r="BJ30" s="38">
        <f>ROUND(BJ$33*'kWh Blocks by Rate Category'!R29,0)</f>
        <v>5872</v>
      </c>
      <c r="BK30" s="38">
        <f>ROUND(BK$33*'kWh Blocks by Rate Category'!S29,0)</f>
        <v>7874</v>
      </c>
      <c r="BL30" s="38">
        <f>ROUND(BL$33*'kWh Blocks by Rate Category'!T29,0)</f>
        <v>10459</v>
      </c>
      <c r="BM30" s="38">
        <f>ROUND(BM$33*'kWh Blocks by Rate Category'!U29,0)</f>
        <v>12576</v>
      </c>
      <c r="BN30" s="210">
        <f>SUM(BB30:BM30)</f>
        <v>176521</v>
      </c>
      <c r="BO30" s="38">
        <f>ROUND(BO$33*'kWh Blocks by Rate Category'!W29,0)</f>
        <v>88260</v>
      </c>
    </row>
    <row r="31" spans="1:70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8">
        <f>ROUND(AU$33*'kWh Blocks by Rate Category'!C30,0)</f>
        <v>3017</v>
      </c>
      <c r="AV31" s="38">
        <f>ROUND(AV$33*'kWh Blocks by Rate Category'!D30,0)</f>
        <v>914</v>
      </c>
      <c r="AW31" s="38">
        <f>ROUND(AW$33*'kWh Blocks by Rate Category'!E30,0)</f>
        <v>559</v>
      </c>
      <c r="AX31" s="38">
        <f>ROUND(AX$33*'kWh Blocks by Rate Category'!F30,0)</f>
        <v>750</v>
      </c>
      <c r="AY31" s="38">
        <f>ROUND(AY$33*'kWh Blocks by Rate Category'!G30,0)</f>
        <v>996</v>
      </c>
      <c r="AZ31" s="38">
        <f>ROUND(AZ$33*'kWh Blocks by Rate Category'!H30,0)</f>
        <v>1198</v>
      </c>
      <c r="BA31" s="210">
        <f>SUM(AO31:AZ31)</f>
        <v>7434</v>
      </c>
      <c r="BB31" s="38">
        <v>1822</v>
      </c>
      <c r="BC31" s="38">
        <v>1580</v>
      </c>
      <c r="BD31" s="38">
        <v>1771</v>
      </c>
      <c r="BE31" s="38">
        <v>1406</v>
      </c>
      <c r="BF31" s="38">
        <f>ROUND(BF$33*'kWh Blocks by Rate Category'!N30,0)</f>
        <v>1759</v>
      </c>
      <c r="BG31" s="38">
        <f>ROUND(BG$33*'kWh Blocks by Rate Category'!O30,0)</f>
        <v>1036</v>
      </c>
      <c r="BH31" s="38">
        <f>ROUND(BH$33*'kWh Blocks by Rate Category'!P30,0)</f>
        <v>3017</v>
      </c>
      <c r="BI31" s="38">
        <f>ROUND(BI$33*'kWh Blocks by Rate Category'!Q30,0)</f>
        <v>914</v>
      </c>
      <c r="BJ31" s="38">
        <f>ROUND(BJ$33*'kWh Blocks by Rate Category'!R30,0)</f>
        <v>559</v>
      </c>
      <c r="BK31" s="38">
        <f>ROUND(BK$33*'kWh Blocks by Rate Category'!S30,0)</f>
        <v>750</v>
      </c>
      <c r="BL31" s="38">
        <f>ROUND(BL$33*'kWh Blocks by Rate Category'!T30,0)</f>
        <v>996</v>
      </c>
      <c r="BM31" s="38">
        <f>ROUND(BM$33*'kWh Blocks by Rate Category'!U30,0)</f>
        <v>1198</v>
      </c>
      <c r="BN31" s="210">
        <f>SUM(BB31:BM31)</f>
        <v>16808</v>
      </c>
      <c r="BO31" s="38">
        <f>ROUND(BO$33*'kWh Blocks by Rate Category'!W30,0)</f>
        <v>8404</v>
      </c>
    </row>
    <row r="32" spans="1:70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0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34697</v>
      </c>
      <c r="AV33" s="64">
        <f t="shared" si="6"/>
        <v>10518</v>
      </c>
      <c r="AW33" s="64">
        <f t="shared" si="6"/>
        <v>6431</v>
      </c>
      <c r="AX33" s="64">
        <f t="shared" si="6"/>
        <v>8624</v>
      </c>
      <c r="AY33" s="64">
        <f t="shared" si="6"/>
        <v>11455</v>
      </c>
      <c r="AZ33" s="64">
        <f t="shared" si="6"/>
        <v>13774</v>
      </c>
      <c r="BA33" s="196">
        <f>SUM(AO33:AZ33)</f>
        <v>85499</v>
      </c>
      <c r="BB33" s="64">
        <v>20962</v>
      </c>
      <c r="BC33" s="64">
        <v>18170</v>
      </c>
      <c r="BD33" s="64">
        <v>20369</v>
      </c>
      <c r="BE33" s="64">
        <v>16175</v>
      </c>
      <c r="BF33" s="64">
        <f t="shared" ref="BF33:BM33" si="7">IFERROR(ROUND(BF34*BF29,0),0)</f>
        <v>20235</v>
      </c>
      <c r="BG33" s="64">
        <f t="shared" si="7"/>
        <v>11919</v>
      </c>
      <c r="BH33" s="64">
        <f t="shared" si="7"/>
        <v>34697</v>
      </c>
      <c r="BI33" s="64">
        <f t="shared" si="7"/>
        <v>10518</v>
      </c>
      <c r="BJ33" s="64">
        <f t="shared" si="7"/>
        <v>6431</v>
      </c>
      <c r="BK33" s="64">
        <f t="shared" si="7"/>
        <v>8624</v>
      </c>
      <c r="BL33" s="64">
        <f t="shared" si="7"/>
        <v>11455</v>
      </c>
      <c r="BM33" s="64">
        <f t="shared" si="7"/>
        <v>13774</v>
      </c>
      <c r="BN33" s="196">
        <f>SUM(BB33:BM33)</f>
        <v>193329</v>
      </c>
      <c r="BO33" s="147">
        <f>BQ40-BO40</f>
        <v>96664</v>
      </c>
    </row>
    <row r="34" spans="1:70" ht="15.75" customHeight="1" thickTop="1">
      <c r="A34" s="374" t="s">
        <v>54</v>
      </c>
      <c r="B34" s="84">
        <f>IF('kWh_Streetlight Data'!C196=0,"",'kWh_Streetlight Data'!C196)</f>
        <v>2265.5</v>
      </c>
      <c r="C34" s="108">
        <f>IF('kWh_Streetlight Data'!D196=0,"",'kWh_Streetlight Data'!D196)</f>
        <v>2308</v>
      </c>
      <c r="D34" s="108">
        <f>IF('kWh_Streetlight Data'!E196=0,"",'kWh_Streetlight Data'!E196)</f>
        <v>2159.5</v>
      </c>
      <c r="E34" s="108">
        <f>IF('kWh_Streetlight Data'!F196=0,"",'kWh_Streetlight Data'!F196)</f>
        <v>1884.125</v>
      </c>
      <c r="F34" s="108">
        <f>IF('kWh_Streetlight Data'!G196=0,"",'kWh_Streetlight Data'!G196)</f>
        <v>1625.25</v>
      </c>
      <c r="G34" s="108">
        <f>IF('kWh_Streetlight Data'!H196=0,"",'kWh_Streetlight Data'!H196)</f>
        <v>672.125</v>
      </c>
      <c r="H34" s="108">
        <f>IF('kWh_Streetlight Data'!I196=0,"",'kWh_Streetlight Data'!I196)</f>
        <v>938.875</v>
      </c>
      <c r="I34" s="108">
        <f>IF('kWh_Streetlight Data'!J196=0,"",'kWh_Streetlight Data'!J196)</f>
        <v>1126.875</v>
      </c>
      <c r="J34" s="108">
        <f>IF('kWh_Streetlight Data'!K196=0,"",'kWh_Streetlight Data'!K196)</f>
        <v>732.11111111111109</v>
      </c>
      <c r="K34" s="108">
        <f>IF('kWh_Streetlight Data'!L196=0,"",'kWh_Streetlight Data'!L196)</f>
        <v>823.11111111111109</v>
      </c>
      <c r="L34" s="108">
        <f>IF('kWh_Streetlight Data'!M196=0,"",'kWh_Streetlight Data'!M196)</f>
        <v>787.5</v>
      </c>
      <c r="M34" s="108">
        <f>IF('kWh_Streetlight Data'!N196=0,"",'kWh_Streetlight Data'!N196)</f>
        <v>1161.7777777777778</v>
      </c>
      <c r="N34" s="424">
        <f>IF('kWh_Streetlight Data'!O196=0,"",'kWh_Streetlight Data'!O196)</f>
        <v>1359.5454545454545</v>
      </c>
      <c r="O34" s="84">
        <f>IF('kWh_Streetlight Data'!P196=0,"",'kWh_Streetlight Data'!P196)</f>
        <v>1807</v>
      </c>
      <c r="P34" s="108">
        <f>IF('kWh_Streetlight Data'!Q196=0,"",'kWh_Streetlight Data'!Q196)</f>
        <v>1549.8</v>
      </c>
      <c r="Q34" s="108">
        <f>IF('kWh_Streetlight Data'!R196=0,"",'kWh_Streetlight Data'!R196)</f>
        <v>1755</v>
      </c>
      <c r="R34" s="108">
        <f>IF('kWh_Streetlight Data'!S196=0,"",'kWh_Streetlight Data'!S196)</f>
        <v>1179.3333333333333</v>
      </c>
      <c r="S34" s="108">
        <f>IF('kWh_Streetlight Data'!T196=0,"",'kWh_Streetlight Data'!T196)</f>
        <v>1192.5</v>
      </c>
      <c r="T34" s="108">
        <f>IF('kWh_Streetlight Data'!U196=0,"",'kWh_Streetlight Data'!U196)</f>
        <v>693.22222222222217</v>
      </c>
      <c r="U34" s="108">
        <f>IF('kWh_Streetlight Data'!V196=0,"",'kWh_Streetlight Data'!V196)</f>
        <v>566.66666666666663</v>
      </c>
      <c r="V34" s="108">
        <f>IF('kWh_Streetlight Data'!W196=0,"",'kWh_Streetlight Data'!W196)</f>
        <v>851.3</v>
      </c>
      <c r="W34" s="108">
        <f>IF('kWh_Streetlight Data'!X196=0,"",'kWh_Streetlight Data'!X196)</f>
        <v>544</v>
      </c>
      <c r="X34" s="108">
        <f>IF('kWh_Streetlight Data'!Y196=0,"",'kWh_Streetlight Data'!Y196)</f>
        <v>701.9</v>
      </c>
      <c r="Y34" s="108">
        <f>IF('kWh_Streetlight Data'!Z196=0,"",'kWh_Streetlight Data'!Z196)</f>
        <v>1334.3</v>
      </c>
      <c r="Z34" s="108">
        <f>IF('kWh_Streetlight Data'!AA196=0,"",'kWh_Streetlight Data'!AA196)</f>
        <v>1480.8</v>
      </c>
      <c r="AA34" s="424">
        <f>IF('kWh_Streetlight Data'!AB196=0,"",'kWh_Streetlight Data'!AB196)</f>
        <v>1140.1666666666667</v>
      </c>
      <c r="AB34" s="129">
        <f>IF('kWh_Streetlight Data'!AC196=0,"",'kWh_Streetlight Data'!AC196)</f>
        <v>2216.1</v>
      </c>
      <c r="AC34" s="130">
        <f>IF('kWh_Streetlight Data'!AD196=0,"",'kWh_Streetlight Data'!AD196)</f>
        <v>1593.2</v>
      </c>
      <c r="AD34" s="130">
        <f>IF('kWh_Streetlight Data'!AE196=0,"",'kWh_Streetlight Data'!AE196)</f>
        <v>2196.1999999999998</v>
      </c>
      <c r="AE34" s="130">
        <f>IF('kWh_Streetlight Data'!AF196=0,"",'kWh_Streetlight Data'!AF196)</f>
        <v>1789</v>
      </c>
      <c r="AF34" s="130">
        <f>IF('kWh_Streetlight Data'!AG196=0,"",'kWh_Streetlight Data'!AG196)</f>
        <v>3252.8888888888887</v>
      </c>
      <c r="AG34" s="130">
        <f>IF('kWh_Streetlight Data'!AH196=0,"",'kWh_Streetlight Data'!AH196)</f>
        <v>2210.4</v>
      </c>
      <c r="AH34" s="130">
        <f>IF('kWh_Streetlight Data'!AI196=0,"",'kWh_Streetlight Data'!AI196)</f>
        <v>8903.6</v>
      </c>
      <c r="AI34" s="130">
        <f>IF('kWh_Streetlight Data'!AJ196=0,"",'kWh_Streetlight Data'!AJ196)</f>
        <v>1177.3</v>
      </c>
      <c r="AJ34" s="130">
        <f>IF('kWh_Streetlight Data'!AK196=0,"",'kWh_Streetlight Data'!AK196)</f>
        <v>653.20000000000005</v>
      </c>
      <c r="AK34" s="130">
        <f>IF('kWh_Streetlight Data'!AL196=0,"",'kWh_Streetlight Data'!AL196)</f>
        <v>1062.2</v>
      </c>
      <c r="AL34" s="130">
        <f>IF('kWh_Streetlight Data'!AM196=0,"",'kWh_Streetlight Data'!AM196)</f>
        <v>1314.8</v>
      </c>
      <c r="AM34" s="130">
        <f>IF('kWh_Streetlight Data'!AN196=0,"",'kWh_Streetlight Data'!AN196)</f>
        <v>1489.7</v>
      </c>
      <c r="AN34" s="426">
        <f>IF('kWh_Streetlight Data'!AO196=0,"",'kWh_Streetlight Data'!AO196)</f>
        <v>2313.7226890756301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3469.713888888889</v>
      </c>
      <c r="AV34" s="9">
        <f t="shared" si="8"/>
        <v>1051.825</v>
      </c>
      <c r="AW34" s="9">
        <f t="shared" si="8"/>
        <v>643.10370370370367</v>
      </c>
      <c r="AX34" s="9">
        <f t="shared" si="8"/>
        <v>862.40370370370363</v>
      </c>
      <c r="AY34" s="9">
        <f t="shared" si="8"/>
        <v>1145.5333333333333</v>
      </c>
      <c r="AZ34" s="9">
        <f t="shared" si="8"/>
        <v>1377.4259259259259</v>
      </c>
      <c r="BA34" s="211"/>
      <c r="BB34" s="9">
        <v>2096.2000000000003</v>
      </c>
      <c r="BC34" s="17">
        <v>1817</v>
      </c>
      <c r="BD34" s="17">
        <v>2036.8999999999999</v>
      </c>
      <c r="BE34" s="17">
        <v>1617.4861111111111</v>
      </c>
      <c r="BF34" s="17">
        <f t="shared" ref="BF34:BM34" si="9">IFERROR(AVERAGE(F34,S34,AF34),0)</f>
        <v>2023.5462962962963</v>
      </c>
      <c r="BG34" s="17">
        <f t="shared" si="9"/>
        <v>1191.9157407407408</v>
      </c>
      <c r="BH34" s="17">
        <f t="shared" si="9"/>
        <v>3469.713888888889</v>
      </c>
      <c r="BI34" s="17">
        <f t="shared" si="9"/>
        <v>1051.825</v>
      </c>
      <c r="BJ34" s="17">
        <f t="shared" si="9"/>
        <v>643.10370370370367</v>
      </c>
      <c r="BK34" s="17">
        <f t="shared" si="9"/>
        <v>862.40370370370363</v>
      </c>
      <c r="BL34" s="17">
        <f t="shared" si="9"/>
        <v>1145.5333333333335</v>
      </c>
      <c r="BM34" s="9">
        <f t="shared" si="9"/>
        <v>1377.4259259259259</v>
      </c>
      <c r="BN34" s="211">
        <f>IFERROR(BN33/SUM(BB29:BM29)*12,0)</f>
        <v>19332.900000000001</v>
      </c>
      <c r="BO34" s="20"/>
    </row>
    <row r="35" spans="1:70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70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210"/>
      <c r="BO36" s="125">
        <f>Customers!L188</f>
        <v>10</v>
      </c>
    </row>
    <row r="37" spans="1:70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>
        <f>ROUND(BO$40*'kWh Blocks by Rate Category'!W36,0)</f>
        <v>88261</v>
      </c>
    </row>
    <row r="38" spans="1:70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>
        <f>ROUND(BO$40*'kWh Blocks by Rate Category'!W37,0)</f>
        <v>8404</v>
      </c>
      <c r="BR38" s="229" t="s">
        <v>221</v>
      </c>
    </row>
    <row r="39" spans="1:70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56">
        <f>ROUND(BO$40*'kWh Blocks by Rate Category'!W38,0)</f>
        <v>0</v>
      </c>
      <c r="BQ39" s="229" t="s">
        <v>222</v>
      </c>
      <c r="BR39" s="229" t="s">
        <v>223</v>
      </c>
    </row>
    <row r="40" spans="1:70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ROUND(BQ40/12*BR40,0)</f>
        <v>96665</v>
      </c>
      <c r="BQ40" s="39">
        <f>ROUND(BO41*BO36,0)</f>
        <v>193329</v>
      </c>
      <c r="BR40" s="296">
        <v>6</v>
      </c>
    </row>
    <row r="41" spans="1:70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BN34</f>
        <v>19332.900000000001</v>
      </c>
      <c r="BR41" s="229" t="s">
        <v>224</v>
      </c>
    </row>
    <row r="42" spans="1:70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0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9"/>
      <c r="AU43" s="109">
        <f>Customers!E189</f>
        <v>1</v>
      </c>
      <c r="AV43" s="109">
        <f>Customers!F189</f>
        <v>1</v>
      </c>
      <c r="AW43" s="109">
        <f>Customers!G189</f>
        <v>1</v>
      </c>
      <c r="AX43" s="109">
        <f>Customers!H189</f>
        <v>1</v>
      </c>
      <c r="AY43" s="109">
        <f>Customers!I189</f>
        <v>1</v>
      </c>
      <c r="AZ43" s="109">
        <f>Customers!J189</f>
        <v>1</v>
      </c>
      <c r="BA43" s="210">
        <f>AZ43</f>
        <v>1</v>
      </c>
      <c r="BB43" s="124">
        <v>1</v>
      </c>
      <c r="BC43" s="38">
        <v>1</v>
      </c>
      <c r="BD43" s="38">
        <v>1</v>
      </c>
      <c r="BE43" s="38">
        <v>1</v>
      </c>
      <c r="BF43" s="38">
        <f t="shared" ref="BF43:BM43" si="10">BE43</f>
        <v>1</v>
      </c>
      <c r="BG43" s="38">
        <f t="shared" si="10"/>
        <v>1</v>
      </c>
      <c r="BH43" s="38">
        <f t="shared" si="10"/>
        <v>1</v>
      </c>
      <c r="BI43" s="38">
        <f t="shared" si="10"/>
        <v>1</v>
      </c>
      <c r="BJ43" s="38">
        <f t="shared" si="10"/>
        <v>1</v>
      </c>
      <c r="BK43" s="38">
        <f t="shared" si="10"/>
        <v>1</v>
      </c>
      <c r="BL43" s="38">
        <f t="shared" si="10"/>
        <v>1</v>
      </c>
      <c r="BM43" s="38">
        <f t="shared" si="10"/>
        <v>1</v>
      </c>
      <c r="BN43" s="210">
        <f>IFERROR(ROUND(AVERAGE(BB43:BM43),0),0)</f>
        <v>1</v>
      </c>
      <c r="BO43" s="90"/>
    </row>
    <row r="44" spans="1:70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243"/>
      <c r="AD44" s="243"/>
      <c r="AE44" s="243"/>
      <c r="AF44" s="243"/>
      <c r="AG44" s="243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8">
        <f>AU47</f>
        <v>7787</v>
      </c>
      <c r="AV44" s="38">
        <f t="shared" ref="AV44:AZ44" si="11">AV47</f>
        <v>8493</v>
      </c>
      <c r="AW44" s="38">
        <f t="shared" si="11"/>
        <v>6160</v>
      </c>
      <c r="AX44" s="38">
        <f t="shared" si="11"/>
        <v>7533</v>
      </c>
      <c r="AY44" s="38">
        <f t="shared" si="11"/>
        <v>6960</v>
      </c>
      <c r="AZ44" s="38">
        <f t="shared" si="11"/>
        <v>6267</v>
      </c>
      <c r="BA44" s="210">
        <f>SUM(AO44:AZ44)</f>
        <v>43200</v>
      </c>
      <c r="BB44" s="38">
        <v>9466</v>
      </c>
      <c r="BC44" s="38">
        <v>10490</v>
      </c>
      <c r="BD44" s="38">
        <v>9704</v>
      </c>
      <c r="BE44" s="38">
        <v>7156</v>
      </c>
      <c r="BF44" s="38">
        <f>ROUND(BF$47*'kWh Blocks by Rate Category'!N43,0)</f>
        <v>8299</v>
      </c>
      <c r="BG44" s="38">
        <f>ROUND(BG$47*'kWh Blocks by Rate Category'!O43,0)</f>
        <v>6668</v>
      </c>
      <c r="BH44" s="38">
        <f>ROUND(BH$47*'kWh Blocks by Rate Category'!P43,0)</f>
        <v>6954</v>
      </c>
      <c r="BI44" s="38">
        <f>ROUND(BI$47*'kWh Blocks by Rate Category'!Q43,0)</f>
        <v>7584</v>
      </c>
      <c r="BJ44" s="38">
        <f>ROUND(BJ$47*'kWh Blocks by Rate Category'!R43,0)</f>
        <v>5501</v>
      </c>
      <c r="BK44" s="38">
        <f>ROUND(BK$47*'kWh Blocks by Rate Category'!S43,0)</f>
        <v>6727</v>
      </c>
      <c r="BL44" s="38">
        <f>ROUND(BL$47*'kWh Blocks by Rate Category'!T43,0)</f>
        <v>6215</v>
      </c>
      <c r="BM44" s="38">
        <f>ROUND(BM$47*'kWh Blocks by Rate Category'!U43,0)</f>
        <v>5596</v>
      </c>
      <c r="BN44" s="210">
        <f>SUM(BB44:BM44)</f>
        <v>90360</v>
      </c>
      <c r="BO44" s="38">
        <f>ROUND(BO$47*'kWh Blocks by Rate Category'!W43,0)</f>
        <v>45179</v>
      </c>
    </row>
    <row r="45" spans="1:70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805</v>
      </c>
      <c r="BC45" s="38">
        <v>893</v>
      </c>
      <c r="BD45" s="38">
        <v>826</v>
      </c>
      <c r="BE45" s="38">
        <v>609</v>
      </c>
      <c r="BF45" s="38">
        <f>ROUND(BF$47*'kWh Blocks by Rate Category'!N44,0)</f>
        <v>706</v>
      </c>
      <c r="BG45" s="38">
        <f>ROUND(BG$47*'kWh Blocks by Rate Category'!O44,0)</f>
        <v>567</v>
      </c>
      <c r="BH45" s="38">
        <f>ROUND(BH$47*'kWh Blocks by Rate Category'!P44,0)</f>
        <v>592</v>
      </c>
      <c r="BI45" s="38">
        <f>ROUND(BI$47*'kWh Blocks by Rate Category'!Q44,0)</f>
        <v>645</v>
      </c>
      <c r="BJ45" s="38">
        <f>ROUND(BJ$47*'kWh Blocks by Rate Category'!R44,0)</f>
        <v>468</v>
      </c>
      <c r="BK45" s="38">
        <f>ROUND(BK$47*'kWh Blocks by Rate Category'!S44,0)</f>
        <v>572</v>
      </c>
      <c r="BL45" s="38">
        <f>ROUND(BL$47*'kWh Blocks by Rate Category'!T44,0)</f>
        <v>529</v>
      </c>
      <c r="BM45" s="38">
        <f>ROUND(BM$47*'kWh Blocks by Rate Category'!U44,0)</f>
        <v>476</v>
      </c>
      <c r="BN45" s="210">
        <f>SUM(BB45:BM45)</f>
        <v>7688</v>
      </c>
      <c r="BO45" s="38">
        <f>ROUND(BO$47*'kWh Blocks by Rate Category'!W44,0)</f>
        <v>3844</v>
      </c>
    </row>
    <row r="46" spans="1:70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329</v>
      </c>
      <c r="BC46" s="38">
        <v>364</v>
      </c>
      <c r="BD46" s="38">
        <v>337</v>
      </c>
      <c r="BE46" s="38">
        <v>249</v>
      </c>
      <c r="BF46" s="38">
        <f>ROUND(BF$47*'kWh Blocks by Rate Category'!N45,0)</f>
        <v>288</v>
      </c>
      <c r="BG46" s="38">
        <f>ROUND(BG$47*'kWh Blocks by Rate Category'!O45,0)</f>
        <v>232</v>
      </c>
      <c r="BH46" s="38">
        <f>ROUND(BH$47*'kWh Blocks by Rate Category'!P45,0)</f>
        <v>242</v>
      </c>
      <c r="BI46" s="38">
        <f>ROUND(BI$47*'kWh Blocks by Rate Category'!Q45,0)</f>
        <v>263</v>
      </c>
      <c r="BJ46" s="38">
        <f>ROUND(BJ$47*'kWh Blocks by Rate Category'!R45,0)</f>
        <v>191</v>
      </c>
      <c r="BK46" s="38">
        <f>ROUND(BK$47*'kWh Blocks by Rate Category'!S45,0)</f>
        <v>234</v>
      </c>
      <c r="BL46" s="38">
        <f>ROUND(BL$47*'kWh Blocks by Rate Category'!T45,0)</f>
        <v>216</v>
      </c>
      <c r="BM46" s="38">
        <f>ROUND(BM$47*'kWh Blocks by Rate Category'!U45,0)</f>
        <v>194</v>
      </c>
      <c r="BN46" s="210">
        <f>SUM(BB46:BM46)</f>
        <v>3139</v>
      </c>
      <c r="BO46" s="38">
        <f>ROUND(BO$47*'kWh Blocks by Rate Category'!W45,0)</f>
        <v>1570</v>
      </c>
    </row>
    <row r="47" spans="1:70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2">IFERROR(ROUND(AU48*AU43,0),0)</f>
        <v>7787</v>
      </c>
      <c r="AV47" s="64">
        <f t="shared" si="12"/>
        <v>8493</v>
      </c>
      <c r="AW47" s="64">
        <f t="shared" si="12"/>
        <v>6160</v>
      </c>
      <c r="AX47" s="64">
        <f t="shared" si="12"/>
        <v>7533</v>
      </c>
      <c r="AY47" s="64">
        <f t="shared" si="12"/>
        <v>6960</v>
      </c>
      <c r="AZ47" s="64">
        <f t="shared" si="12"/>
        <v>6267</v>
      </c>
      <c r="BA47" s="196">
        <f>SUM(AO47:AZ47)</f>
        <v>43200</v>
      </c>
      <c r="BB47" s="64">
        <v>10600</v>
      </c>
      <c r="BC47" s="64">
        <v>11747</v>
      </c>
      <c r="BD47" s="64">
        <v>10867</v>
      </c>
      <c r="BE47" s="64">
        <v>8013</v>
      </c>
      <c r="BF47" s="64">
        <f t="shared" ref="BF47:BM47" si="13">IFERROR(ROUND(BF48*BF43,0),0)</f>
        <v>9293</v>
      </c>
      <c r="BG47" s="64">
        <f t="shared" si="13"/>
        <v>7467</v>
      </c>
      <c r="BH47" s="64">
        <f t="shared" si="13"/>
        <v>7787</v>
      </c>
      <c r="BI47" s="64">
        <f t="shared" si="13"/>
        <v>8493</v>
      </c>
      <c r="BJ47" s="64">
        <f t="shared" si="13"/>
        <v>6160</v>
      </c>
      <c r="BK47" s="64">
        <f t="shared" si="13"/>
        <v>7533</v>
      </c>
      <c r="BL47" s="64">
        <f t="shared" si="13"/>
        <v>6960</v>
      </c>
      <c r="BM47" s="64">
        <f t="shared" si="13"/>
        <v>6267</v>
      </c>
      <c r="BN47" s="196">
        <f>SUM(BB47:BM47)</f>
        <v>101187</v>
      </c>
      <c r="BO47" s="147">
        <f>BQ54-BO54</f>
        <v>50593</v>
      </c>
    </row>
    <row r="48" spans="1:70" ht="15.75" customHeight="1" thickTop="1">
      <c r="A48" s="374" t="s">
        <v>54</v>
      </c>
      <c r="B48" s="129">
        <f>IF('kWh_Streetlight Data'!C197=0,"",'kWh_Streetlight Data'!C197)</f>
        <v>11000</v>
      </c>
      <c r="C48" s="130">
        <f>IF('kWh_Streetlight Data'!D197=0,"",'kWh_Streetlight Data'!D197)</f>
        <v>11800</v>
      </c>
      <c r="D48" s="130">
        <f>IF('kWh_Streetlight Data'!E197=0,"",'kWh_Streetlight Data'!E197)</f>
        <v>12120</v>
      </c>
      <c r="E48" s="130">
        <f>IF('kWh_Streetlight Data'!F197=0,"",'kWh_Streetlight Data'!F197)</f>
        <v>9200</v>
      </c>
      <c r="F48" s="130">
        <f>IF('kWh_Streetlight Data'!G197=0,"",'kWh_Streetlight Data'!G197)</f>
        <v>9080</v>
      </c>
      <c r="G48" s="130">
        <f>IF('kWh_Streetlight Data'!H197=0,"",'kWh_Streetlight Data'!H197)</f>
        <v>6840</v>
      </c>
      <c r="H48" s="130">
        <f>IF('kWh_Streetlight Data'!I197=0,"",'kWh_Streetlight Data'!I197)</f>
        <v>9360</v>
      </c>
      <c r="I48" s="130">
        <f>IF('kWh_Streetlight Data'!J197=0,"",'kWh_Streetlight Data'!J197)</f>
        <v>9040</v>
      </c>
      <c r="J48" s="130">
        <f>IF('kWh_Streetlight Data'!K197=0,"",'kWh_Streetlight Data'!K197)</f>
        <v>7840</v>
      </c>
      <c r="K48" s="130">
        <f>IF('kWh_Streetlight Data'!L197=0,"",'kWh_Streetlight Data'!L197)</f>
        <v>9200</v>
      </c>
      <c r="L48" s="130">
        <f>IF('kWh_Streetlight Data'!M197=0,"",'kWh_Streetlight Data'!M197)</f>
        <v>7200</v>
      </c>
      <c r="M48" s="130">
        <f>IF('kWh_Streetlight Data'!N197=0,"",'kWh_Streetlight Data'!N197)</f>
        <v>8640</v>
      </c>
      <c r="N48" s="424">
        <f>IF('kWh_Streetlight Data'!O197=0,"",'kWh_Streetlight Data'!O197)</f>
        <v>9276.6666666666661</v>
      </c>
      <c r="O48" s="129">
        <f>IF('kWh_Streetlight Data'!P197=0,"",'kWh_Streetlight Data'!P197)</f>
        <v>10640</v>
      </c>
      <c r="P48" s="130">
        <f>IF('kWh_Streetlight Data'!Q197=0,"",'kWh_Streetlight Data'!Q197)</f>
        <v>13600</v>
      </c>
      <c r="Q48" s="130">
        <f>IF('kWh_Streetlight Data'!R197=0,"",'kWh_Streetlight Data'!R197)</f>
        <v>10680</v>
      </c>
      <c r="R48" s="130">
        <f>IF('kWh_Streetlight Data'!S197=0,"",'kWh_Streetlight Data'!S197)</f>
        <v>8880</v>
      </c>
      <c r="S48" s="130">
        <f>IF('kWh_Streetlight Data'!T197=0,"",'kWh_Streetlight Data'!T197)</f>
        <v>9600</v>
      </c>
      <c r="T48" s="130">
        <f>IF('kWh_Streetlight Data'!U197=0,"",'kWh_Streetlight Data'!U197)</f>
        <v>9400</v>
      </c>
      <c r="U48" s="130">
        <f>IF('kWh_Streetlight Data'!V197=0,"",'kWh_Streetlight Data'!V197)</f>
        <v>7200</v>
      </c>
      <c r="V48" s="130">
        <f>IF('kWh_Streetlight Data'!W197=0,"",'kWh_Streetlight Data'!W197)</f>
        <v>8160</v>
      </c>
      <c r="W48" s="130">
        <f>IF('kWh_Streetlight Data'!X197=0,"",'kWh_Streetlight Data'!X197)</f>
        <v>6600</v>
      </c>
      <c r="X48" s="130">
        <f>IF('kWh_Streetlight Data'!Y197=0,"",'kWh_Streetlight Data'!Y197)</f>
        <v>7160</v>
      </c>
      <c r="Y48" s="130">
        <f>IF('kWh_Streetlight Data'!Z197=0,"",'kWh_Streetlight Data'!Z197)</f>
        <v>7880</v>
      </c>
      <c r="Z48" s="130">
        <f>IF('kWh_Streetlight Data'!AA197=0,"",'kWh_Streetlight Data'!AA197)</f>
        <v>6880</v>
      </c>
      <c r="AA48" s="424">
        <f>IF('kWh_Streetlight Data'!AB197=0,"",'kWh_Streetlight Data'!AB197)</f>
        <v>8890</v>
      </c>
      <c r="AB48" s="129">
        <f>IF('kWh_Streetlight Data'!AC197=0,"",'kWh_Streetlight Data'!AC197)</f>
        <v>10160</v>
      </c>
      <c r="AC48" s="130">
        <f>IF('kWh_Streetlight Data'!AD197=0,"",'kWh_Streetlight Data'!AD197)</f>
        <v>9840</v>
      </c>
      <c r="AD48" s="130">
        <f>IF('kWh_Streetlight Data'!AE197=0,"",'kWh_Streetlight Data'!AE197)</f>
        <v>9800</v>
      </c>
      <c r="AE48" s="130">
        <f>IF('kWh_Streetlight Data'!AF197=0,"",'kWh_Streetlight Data'!AF197)</f>
        <v>5960</v>
      </c>
      <c r="AF48" s="130">
        <f>IF('kWh_Streetlight Data'!AG197=0,"",'kWh_Streetlight Data'!AG197)</f>
        <v>9200</v>
      </c>
      <c r="AG48" s="130">
        <f>IF('kWh_Streetlight Data'!AH197=0,"",'kWh_Streetlight Data'!AH197)</f>
        <v>6160</v>
      </c>
      <c r="AH48" s="130">
        <f>IF('kWh_Streetlight Data'!AI197=0,"",'kWh_Streetlight Data'!AI197)</f>
        <v>6800</v>
      </c>
      <c r="AI48" s="130">
        <f>IF('kWh_Streetlight Data'!AJ197=0,"",'kWh_Streetlight Data'!AJ197)</f>
        <v>8280</v>
      </c>
      <c r="AJ48" s="130">
        <f>IF('kWh_Streetlight Data'!AK197=0,"",'kWh_Streetlight Data'!AK197)</f>
        <v>4040</v>
      </c>
      <c r="AK48" s="130">
        <f>IF('kWh_Streetlight Data'!AL197=0,"",'kWh_Streetlight Data'!AL197)</f>
        <v>6240</v>
      </c>
      <c r="AL48" s="130">
        <f>IF('kWh_Streetlight Data'!AM197=0,"",'kWh_Streetlight Data'!AM197)</f>
        <v>5800</v>
      </c>
      <c r="AM48" s="130">
        <f>IF('kWh_Streetlight Data'!AN197=0,"",'kWh_Streetlight Data'!AN197)</f>
        <v>3280</v>
      </c>
      <c r="AN48" s="426">
        <f>IF('kWh_Streetlight Data'!AO197=0,"",'kWh_Streetlight Data'!AO197)</f>
        <v>7130</v>
      </c>
      <c r="AO48" s="43"/>
      <c r="AP48" s="40"/>
      <c r="AQ48" s="40"/>
      <c r="AR48" s="40"/>
      <c r="AS48" s="40"/>
      <c r="AT48" s="17"/>
      <c r="AU48" s="9">
        <f t="shared" ref="AU48:AZ48" si="14">IFERROR(AVERAGE(AH48,U48,H48),0)</f>
        <v>7786.666666666667</v>
      </c>
      <c r="AV48" s="9">
        <f t="shared" si="14"/>
        <v>8493.3333333333339</v>
      </c>
      <c r="AW48" s="9">
        <f t="shared" si="14"/>
        <v>6160</v>
      </c>
      <c r="AX48" s="9">
        <f t="shared" si="14"/>
        <v>7533.333333333333</v>
      </c>
      <c r="AY48" s="9">
        <f t="shared" si="14"/>
        <v>6960</v>
      </c>
      <c r="AZ48" s="9">
        <f t="shared" si="14"/>
        <v>6266.666666666667</v>
      </c>
      <c r="BA48" s="211"/>
      <c r="BB48" s="9">
        <v>10600</v>
      </c>
      <c r="BC48" s="17">
        <v>11746.666666666666</v>
      </c>
      <c r="BD48" s="17">
        <v>10866.666666666666</v>
      </c>
      <c r="BE48" s="17">
        <v>8013.333333333333</v>
      </c>
      <c r="BF48" s="17">
        <f t="shared" ref="BF48:BM48" si="15">IFERROR(AVERAGE(F48,S48,AF48),0)</f>
        <v>9293.3333333333339</v>
      </c>
      <c r="BG48" s="17">
        <f t="shared" si="15"/>
        <v>7466.666666666667</v>
      </c>
      <c r="BH48" s="17">
        <f t="shared" si="15"/>
        <v>7786.666666666667</v>
      </c>
      <c r="BI48" s="17">
        <f t="shared" si="15"/>
        <v>8493.3333333333339</v>
      </c>
      <c r="BJ48" s="17">
        <f t="shared" si="15"/>
        <v>6160</v>
      </c>
      <c r="BK48" s="17">
        <f t="shared" si="15"/>
        <v>7533.333333333333</v>
      </c>
      <c r="BL48" s="17">
        <f t="shared" si="15"/>
        <v>6960</v>
      </c>
      <c r="BM48" s="9">
        <f t="shared" si="15"/>
        <v>6266.666666666667</v>
      </c>
      <c r="BN48" s="211">
        <f>IFERROR(BN47/SUM(BB43:BM43)*12,0)</f>
        <v>101187</v>
      </c>
      <c r="BO48" s="20"/>
    </row>
    <row r="49" spans="1:7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7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>
        <f>Customers!L189</f>
        <v>1</v>
      </c>
    </row>
    <row r="51" spans="1:7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23">
        <f>ROUND(BO$54*'kWh Blocks by Rate Category'!W50,0)</f>
        <v>45180</v>
      </c>
    </row>
    <row r="52" spans="1:7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23">
        <f>ROUND(BO$54*'kWh Blocks by Rate Category'!W51,0)</f>
        <v>3844</v>
      </c>
      <c r="BR52" s="229" t="s">
        <v>221</v>
      </c>
    </row>
    <row r="53" spans="1:7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23">
        <f>ROUND(BO$54*'kWh Blocks by Rate Category'!W52,0)</f>
        <v>1570</v>
      </c>
      <c r="BQ53" s="229" t="s">
        <v>222</v>
      </c>
      <c r="BR53" s="229" t="s">
        <v>223</v>
      </c>
    </row>
    <row r="54" spans="1:7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ROUND(BQ54/12*BR54,0)</f>
        <v>50594</v>
      </c>
      <c r="BQ54" s="39">
        <f>ROUND(BO55*BO50,0)</f>
        <v>101187</v>
      </c>
      <c r="BR54" s="296">
        <v>6</v>
      </c>
    </row>
    <row r="55" spans="1:7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>
        <f>BN48</f>
        <v>101187</v>
      </c>
      <c r="BR55" s="229" t="s">
        <v>224</v>
      </c>
    </row>
    <row r="56" spans="1:7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7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9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8" si="16">BE57</f>
        <v>0</v>
      </c>
      <c r="BG57" s="38">
        <f t="shared" si="16"/>
        <v>0</v>
      </c>
      <c r="BH57" s="38">
        <f t="shared" si="16"/>
        <v>0</v>
      </c>
      <c r="BI57" s="38">
        <f t="shared" si="16"/>
        <v>0</v>
      </c>
      <c r="BJ57" s="38">
        <f t="shared" si="16"/>
        <v>0</v>
      </c>
      <c r="BK57" s="38">
        <f t="shared" si="16"/>
        <v>0</v>
      </c>
      <c r="BL57" s="38">
        <f t="shared" si="16"/>
        <v>0</v>
      </c>
      <c r="BM57" s="38">
        <f t="shared" si="16"/>
        <v>0</v>
      </c>
      <c r="BN57" s="210">
        <f>IFERROR(ROUND(AVERAGE(BB57:BM57),0),0)</f>
        <v>0</v>
      </c>
      <c r="BO57" s="156"/>
    </row>
    <row r="58" spans="1:70" ht="15.75" customHeight="1" thickBot="1">
      <c r="A58" s="201" t="s">
        <v>30</v>
      </c>
      <c r="B58" s="113" t="str">
        <f>IF('kWh_Streetlight Data'!C247=0,"",'kWh_Streetlight Data'!C247)</f>
        <v/>
      </c>
      <c r="C58" s="114" t="str">
        <f>IF('kWh_Streetlight Data'!D247=0,"",'kWh_Streetlight Data'!D247)</f>
        <v/>
      </c>
      <c r="D58" s="114" t="str">
        <f>IF('kWh_Streetlight Data'!E247=0,"",'kWh_Streetlight Data'!E247)</f>
        <v/>
      </c>
      <c r="E58" s="114" t="str">
        <f>IF('kWh_Streetlight Data'!F247=0,"",'kWh_Streetlight Data'!F247)</f>
        <v/>
      </c>
      <c r="F58" s="114" t="str">
        <f>IF('kWh_Streetlight Data'!G247=0,"",'kWh_Streetlight Data'!G247)</f>
        <v/>
      </c>
      <c r="G58" s="114" t="str">
        <f>IF('kWh_Streetlight Data'!H247=0,"",'kWh_Streetlight Data'!H247)</f>
        <v/>
      </c>
      <c r="H58" s="114" t="str">
        <f>IF('kWh_Streetlight Data'!I247=0,"",'kWh_Streetlight Data'!I247)</f>
        <v/>
      </c>
      <c r="I58" s="114" t="str">
        <f>IF('kWh_Streetlight Data'!J247=0,"",'kWh_Streetlight Data'!J247)</f>
        <v/>
      </c>
      <c r="J58" s="114" t="str">
        <f>IF('kWh_Streetlight Data'!K247=0,"",'kWh_Streetlight Data'!K247)</f>
        <v/>
      </c>
      <c r="K58" s="114" t="str">
        <f>IF('kWh_Streetlight Data'!L247=0,"",'kWh_Streetlight Data'!L247)</f>
        <v/>
      </c>
      <c r="L58" s="114" t="str">
        <f>IF('kWh_Streetlight Data'!M247=0,"",'kWh_Streetlight Data'!M247)</f>
        <v/>
      </c>
      <c r="M58" s="114" t="str">
        <f>IF('kWh_Streetlight Data'!N247=0,"",'kWh_Streetlight Data'!N247)</f>
        <v/>
      </c>
      <c r="N58" s="459" t="str">
        <f>IF('kWh_Streetlight Data'!O247=0,"",'kWh_Streetlight Data'!O247)</f>
        <v/>
      </c>
      <c r="O58" s="113" t="str">
        <f>IF('kWh_Streetlight Data'!P247=0,"",'kWh_Streetlight Data'!P247)</f>
        <v/>
      </c>
      <c r="P58" s="114" t="str">
        <f>IF('kWh_Streetlight Data'!Q247=0,"",'kWh_Streetlight Data'!Q247)</f>
        <v/>
      </c>
      <c r="Q58" s="114" t="str">
        <f>IF('kWh_Streetlight Data'!R247=0,"",'kWh_Streetlight Data'!R247)</f>
        <v/>
      </c>
      <c r="R58" s="114" t="str">
        <f>IF('kWh_Streetlight Data'!S247=0,"",'kWh_Streetlight Data'!S247)</f>
        <v/>
      </c>
      <c r="S58" s="114" t="str">
        <f>IF('kWh_Streetlight Data'!T247=0,"",'kWh_Streetlight Data'!T247)</f>
        <v/>
      </c>
      <c r="T58" s="114" t="str">
        <f>IF('kWh_Streetlight Data'!U247=0,"",'kWh_Streetlight Data'!U247)</f>
        <v/>
      </c>
      <c r="U58" s="114" t="str">
        <f>IF('kWh_Streetlight Data'!V247=0,"",'kWh_Streetlight Data'!V247)</f>
        <v/>
      </c>
      <c r="V58" s="114" t="str">
        <f>IF('kWh_Streetlight Data'!W247=0,"",'kWh_Streetlight Data'!W247)</f>
        <v/>
      </c>
      <c r="W58" s="114" t="str">
        <f>IF('kWh_Streetlight Data'!X247=0,"",'kWh_Streetlight Data'!X247)</f>
        <v/>
      </c>
      <c r="X58" s="114" t="str">
        <f>IF('kWh_Streetlight Data'!Y247=0,"",'kWh_Streetlight Data'!Y247)</f>
        <v/>
      </c>
      <c r="Y58" s="114" t="str">
        <f>IF('kWh_Streetlight Data'!Z247=0,"",'kWh_Streetlight Data'!Z247)</f>
        <v/>
      </c>
      <c r="Z58" s="114" t="str">
        <f>IF('kWh_Streetlight Data'!AA247=0,"",'kWh_Streetlight Data'!AA247)</f>
        <v/>
      </c>
      <c r="AA58" s="459" t="str">
        <f>IF('kWh_Streetlight Data'!AB247=0,"",'kWh_Streetlight Data'!AB247)</f>
        <v/>
      </c>
      <c r="AB58" s="240" t="str">
        <f>IF('kWh_Streetlight Data'!AC247=0,"",'kWh_Streetlight Data'!AC247)</f>
        <v/>
      </c>
      <c r="AC58" s="117" t="str">
        <f>IF('kWh_Streetlight Data'!AD247=0,"",'kWh_Streetlight Data'!AD247)</f>
        <v/>
      </c>
      <c r="AD58" s="117" t="str">
        <f>IF('kWh_Streetlight Data'!AE247=0,"",'kWh_Streetlight Data'!AE247)</f>
        <v/>
      </c>
      <c r="AE58" s="117" t="str">
        <f>IF('kWh_Streetlight Data'!AF247=0,"",'kWh_Streetlight Data'!AF247)</f>
        <v/>
      </c>
      <c r="AF58" s="117" t="str">
        <f>IF('kWh_Streetlight Data'!AG247=0,"",'kWh_Streetlight Data'!AG247)</f>
        <v/>
      </c>
      <c r="AG58" s="117" t="str">
        <f>IF('kWh_Streetlight Data'!AH247=0,"",'kWh_Streetlight Data'!AH247)</f>
        <v/>
      </c>
      <c r="AH58" s="117" t="str">
        <f>IF('kWh_Streetlight Data'!AI247=0,"",'kWh_Streetlight Data'!AI247)</f>
        <v/>
      </c>
      <c r="AI58" s="117" t="str">
        <f>IF('kWh_Streetlight Data'!AJ247=0,"",'kWh_Streetlight Data'!AJ247)</f>
        <v/>
      </c>
      <c r="AJ58" s="117" t="str">
        <f>IF('kWh_Streetlight Data'!AK247=0,"",'kWh_Streetlight Data'!AK247)</f>
        <v/>
      </c>
      <c r="AK58" s="117" t="str">
        <f>IF('kWh_Streetlight Data'!AL247=0,"",'kWh_Streetlight Data'!AL247)</f>
        <v/>
      </c>
      <c r="AL58" s="117" t="str">
        <f>IF('kWh_Streetlight Data'!AM247=0,"",'kWh_Streetlight Data'!AM247)</f>
        <v/>
      </c>
      <c r="AM58" s="117" t="str">
        <f>IF('kWh_Streetlight Data'!AN247=0,"",'kWh_Streetlight Data'!AN247)</f>
        <v/>
      </c>
      <c r="AN58" s="464" t="str">
        <f>IF('kWh_Streetlight Data'!AO247=0,"",'kWh_Streetlight Data'!AO247)</f>
        <v/>
      </c>
      <c r="AO58" s="151"/>
      <c r="AP58" s="152"/>
      <c r="AQ58" s="152"/>
      <c r="AR58" s="152"/>
      <c r="AS58" s="152"/>
      <c r="AT58" s="64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si="16"/>
        <v>0</v>
      </c>
      <c r="BG58" s="160">
        <f t="shared" si="16"/>
        <v>0</v>
      </c>
      <c r="BH58" s="160">
        <f t="shared" si="16"/>
        <v>0</v>
      </c>
      <c r="BI58" s="160">
        <f t="shared" si="16"/>
        <v>0</v>
      </c>
      <c r="BJ58" s="160">
        <f t="shared" si="16"/>
        <v>0</v>
      </c>
      <c r="BK58" s="160">
        <f t="shared" si="16"/>
        <v>0</v>
      </c>
      <c r="BL58" s="160">
        <f t="shared" si="16"/>
        <v>0</v>
      </c>
      <c r="BM58" s="160">
        <f t="shared" si="16"/>
        <v>0</v>
      </c>
      <c r="BN58" s="213">
        <f>SUM(BB58:BM58)</f>
        <v>0</v>
      </c>
      <c r="BO58" s="175"/>
    </row>
    <row r="59" spans="1:7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7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7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7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7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7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Data'!C198=0,"",'kWh_Streetlight Data'!C198)</f>
        <v/>
      </c>
      <c r="C69" s="130" t="str">
        <f>IF('kWh_Streetlight Data'!D198=0,"",'kWh_Streetlight Data'!D198)</f>
        <v/>
      </c>
      <c r="D69" s="130" t="str">
        <f>IF('kWh_Streetlight Data'!E198=0,"",'kWh_Streetlight Data'!E198)</f>
        <v/>
      </c>
      <c r="E69" s="130" t="str">
        <f>IF('kWh_Streetlight Data'!F198=0,"",'kWh_Streetlight Data'!F198)</f>
        <v/>
      </c>
      <c r="F69" s="130" t="str">
        <f>IF('kWh_Streetlight Data'!G198=0,"",'kWh_Streetlight Data'!G198)</f>
        <v/>
      </c>
      <c r="G69" s="130" t="str">
        <f>IF('kWh_Streetlight Data'!H198=0,"",'kWh_Streetlight Data'!H198)</f>
        <v/>
      </c>
      <c r="H69" s="130" t="str">
        <f>IF('kWh_Streetlight Data'!I198=0,"",'kWh_Streetlight Data'!I198)</f>
        <v/>
      </c>
      <c r="I69" s="130" t="str">
        <f>IF('kWh_Streetlight Data'!J198=0,"",'kWh_Streetlight Data'!J198)</f>
        <v/>
      </c>
      <c r="J69" s="130" t="str">
        <f>IF('kWh_Streetlight Data'!K198=0,"",'kWh_Streetlight Data'!K198)</f>
        <v/>
      </c>
      <c r="K69" s="130" t="str">
        <f>IF('kWh_Streetlight Data'!L198=0,"",'kWh_Streetlight Data'!L198)</f>
        <v/>
      </c>
      <c r="L69" s="130" t="str">
        <f>IF('kWh_Streetlight Data'!M198=0,"",'kWh_Streetlight Data'!M198)</f>
        <v/>
      </c>
      <c r="M69" s="130" t="str">
        <f>IF('kWh_Streetlight Data'!N198=0,"",'kWh_Streetlight Data'!N198)</f>
        <v/>
      </c>
      <c r="N69" s="424" t="str">
        <f>IF('kWh_Streetlight Data'!O198=0,"",'kWh_Streetlight Data'!O198)</f>
        <v/>
      </c>
      <c r="O69" s="84" t="str">
        <f>IF('kWh_Streetlight Data'!P198=0,"",'kWh_Streetlight Data'!P198)</f>
        <v/>
      </c>
      <c r="P69" s="108" t="str">
        <f>IF('kWh_Streetlight Data'!Q198=0,"",'kWh_Streetlight Data'!Q198)</f>
        <v/>
      </c>
      <c r="Q69" s="108" t="str">
        <f>IF('kWh_Streetlight Data'!R198=0,"",'kWh_Streetlight Data'!R198)</f>
        <v/>
      </c>
      <c r="R69" s="108" t="str">
        <f>IF('kWh_Streetlight Data'!S198=0,"",'kWh_Streetlight Data'!S198)</f>
        <v/>
      </c>
      <c r="S69" s="108" t="str">
        <f>IF('kWh_Streetlight Data'!T198=0,"",'kWh_Streetlight Data'!T198)</f>
        <v/>
      </c>
      <c r="T69" s="108" t="str">
        <f>IF('kWh_Streetlight Data'!U198=0,"",'kWh_Streetlight Data'!U198)</f>
        <v/>
      </c>
      <c r="U69" s="108" t="str">
        <f>IF('kWh_Streetlight Data'!V198=0,"",'kWh_Streetlight Data'!V198)</f>
        <v/>
      </c>
      <c r="V69" s="108" t="str">
        <f>IF('kWh_Streetlight Data'!W198=0,"",'kWh_Streetlight Data'!W198)</f>
        <v/>
      </c>
      <c r="W69" s="108" t="str">
        <f>IF('kWh_Streetlight Data'!X198=0,"",'kWh_Streetlight Data'!X198)</f>
        <v/>
      </c>
      <c r="X69" s="108" t="str">
        <f>IF('kWh_Streetlight Data'!Y198=0,"",'kWh_Streetlight Data'!Y198)</f>
        <v/>
      </c>
      <c r="Y69" s="108" t="str">
        <f>IF('kWh_Streetlight Data'!Z198=0,"",'kWh_Streetlight Data'!Z198)</f>
        <v/>
      </c>
      <c r="Z69" s="108" t="str">
        <f>IF('kWh_Streetlight Data'!AA198=0,"",'kWh_Streetlight Data'!AA198)</f>
        <v/>
      </c>
      <c r="AA69" s="424" t="str">
        <f>IF('kWh_Streetlight Data'!AB198=0,"",'kWh_Streetlight Data'!AB198)</f>
        <v/>
      </c>
      <c r="AB69" s="84" t="str">
        <f>IF('kWh_Streetlight Data'!AC198=0,"",'kWh_Streetlight Data'!AC198)</f>
        <v/>
      </c>
      <c r="AC69" s="108" t="str">
        <f>IF('kWh_Streetlight Data'!AD198=0,"",'kWh_Streetlight Data'!AD198)</f>
        <v/>
      </c>
      <c r="AD69" s="108" t="str">
        <f>IF('kWh_Streetlight Data'!AE198=0,"",'kWh_Streetlight Data'!AE198)</f>
        <v/>
      </c>
      <c r="AE69" s="108" t="str">
        <f>IF('kWh_Streetlight Data'!AF198=0,"",'kWh_Streetlight Data'!AF198)</f>
        <v/>
      </c>
      <c r="AF69" s="108" t="str">
        <f>IF('kWh_Streetlight Data'!AG198=0,"",'kWh_Streetlight Data'!AG198)</f>
        <v/>
      </c>
      <c r="AG69" s="108" t="str">
        <f>IF('kWh_Streetlight Data'!AH198=0,"",'kWh_Streetlight Data'!AH198)</f>
        <v/>
      </c>
      <c r="AH69" s="130" t="str">
        <f>IF('kWh_Streetlight Data'!AI198=0,"",'kWh_Streetlight Data'!AI198)</f>
        <v/>
      </c>
      <c r="AI69" s="130" t="str">
        <f>IF('kWh_Streetlight Data'!AJ198=0,"",'kWh_Streetlight Data'!AJ198)</f>
        <v/>
      </c>
      <c r="AJ69" s="130" t="str">
        <f>IF('kWh_Streetlight Data'!AK198=0,"",'kWh_Streetlight Data'!AK198)</f>
        <v/>
      </c>
      <c r="AK69" s="130" t="str">
        <f>IF('kWh_Streetlight Data'!AL198=0,"",'kWh_Streetlight Data'!AL198)</f>
        <v/>
      </c>
      <c r="AL69" s="130" t="str">
        <f>IF('kWh_Streetlight Data'!AM198=0,"",'kWh_Streetlight Data'!AM198)</f>
        <v/>
      </c>
      <c r="AM69" s="130" t="str">
        <f>IF('kWh_Streetlight Data'!AN198=0,"",'kWh_Streetlight Data'!AN198)</f>
        <v/>
      </c>
      <c r="AN69" s="424" t="str">
        <f>IF('kWh_Streetlight Data'!AO198=0,"",'kWh_Streetlight Data'!AO198)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9">
        <f>Customers!E193</f>
        <v>5</v>
      </c>
      <c r="AV75" s="39">
        <f>Customers!F193</f>
        <v>5</v>
      </c>
      <c r="AW75" s="39">
        <f>Customers!G193</f>
        <v>5</v>
      </c>
      <c r="AX75" s="39">
        <f>Customers!H193</f>
        <v>5</v>
      </c>
      <c r="AY75" s="39">
        <f>Customers!I193</f>
        <v>5</v>
      </c>
      <c r="AZ75" s="39">
        <f>Customers!J193</f>
        <v>5</v>
      </c>
      <c r="BA75" s="210">
        <f>AZ75</f>
        <v>5</v>
      </c>
      <c r="BB75" s="347">
        <v>5</v>
      </c>
      <c r="BC75" s="38">
        <v>5</v>
      </c>
      <c r="BD75" s="38">
        <v>5</v>
      </c>
      <c r="BE75" s="38">
        <v>5</v>
      </c>
      <c r="BF75" s="38">
        <f t="shared" ref="BF75:BM75" si="17">BE75</f>
        <v>5</v>
      </c>
      <c r="BG75" s="38">
        <f t="shared" si="17"/>
        <v>5</v>
      </c>
      <c r="BH75" s="38">
        <f t="shared" si="17"/>
        <v>5</v>
      </c>
      <c r="BI75" s="38">
        <f t="shared" si="17"/>
        <v>5</v>
      </c>
      <c r="BJ75" s="347">
        <f>BI75+8</f>
        <v>13</v>
      </c>
      <c r="BK75" s="38">
        <f t="shared" si="17"/>
        <v>13</v>
      </c>
      <c r="BL75" s="38">
        <f t="shared" si="17"/>
        <v>13</v>
      </c>
      <c r="BM75" s="38">
        <f t="shared" si="17"/>
        <v>13</v>
      </c>
      <c r="BN75" s="210">
        <f>IFERROR(ROUND(AVERAGE(BB75:BM75),0),0)</f>
        <v>8</v>
      </c>
      <c r="BO75" s="143">
        <v>0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>
        <f t="shared" ref="AU76:AZ76" si="18">IF(AU78&gt;(AU75*250),AU75*250,AU78)</f>
        <v>1250</v>
      </c>
      <c r="AV76" s="38">
        <f t="shared" si="18"/>
        <v>1250</v>
      </c>
      <c r="AW76" s="38">
        <f t="shared" si="18"/>
        <v>1250</v>
      </c>
      <c r="AX76" s="38">
        <f t="shared" si="18"/>
        <v>1250</v>
      </c>
      <c r="AY76" s="38">
        <f t="shared" si="18"/>
        <v>1250</v>
      </c>
      <c r="AZ76" s="38">
        <f t="shared" si="18"/>
        <v>1250</v>
      </c>
      <c r="BA76" s="210">
        <f>SUM(AO76:AZ76)</f>
        <v>7500</v>
      </c>
      <c r="BB76" s="38">
        <v>1250</v>
      </c>
      <c r="BC76" s="38">
        <v>1250</v>
      </c>
      <c r="BD76" s="38">
        <v>1250</v>
      </c>
      <c r="BE76" s="38">
        <v>1250</v>
      </c>
      <c r="BF76" s="38">
        <f t="shared" ref="BF76:BM76" si="19">IF(BF78&gt;(BF75*250),BF75*250,BF78)</f>
        <v>1250</v>
      </c>
      <c r="BG76" s="38">
        <f t="shared" si="19"/>
        <v>1250</v>
      </c>
      <c r="BH76" s="38">
        <f t="shared" si="19"/>
        <v>1250</v>
      </c>
      <c r="BI76" s="38">
        <f t="shared" si="19"/>
        <v>1250</v>
      </c>
      <c r="BJ76" s="38">
        <f t="shared" si="19"/>
        <v>3250</v>
      </c>
      <c r="BK76" s="38">
        <f t="shared" si="19"/>
        <v>3250</v>
      </c>
      <c r="BL76" s="38">
        <f t="shared" si="19"/>
        <v>3250</v>
      </c>
      <c r="BM76" s="38">
        <f t="shared" si="19"/>
        <v>3250</v>
      </c>
      <c r="BN76" s="210">
        <f>SUM(BB76:BM76)</f>
        <v>23000</v>
      </c>
      <c r="BO76" s="143">
        <f>IF(BO78&gt;(BM75*250),BM75*250,BO78)</f>
        <v>3250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>
        <f t="shared" ref="AU77:AZ77" si="20">ROUND(AU78-AU76,0)</f>
        <v>985</v>
      </c>
      <c r="AV77" s="38">
        <f t="shared" si="20"/>
        <v>1225</v>
      </c>
      <c r="AW77" s="38">
        <f t="shared" si="20"/>
        <v>484</v>
      </c>
      <c r="AX77" s="38">
        <f t="shared" si="20"/>
        <v>1239</v>
      </c>
      <c r="AY77" s="38">
        <f t="shared" si="20"/>
        <v>1171</v>
      </c>
      <c r="AZ77" s="38">
        <f t="shared" si="20"/>
        <v>1371</v>
      </c>
      <c r="BA77" s="210">
        <f>SUM(AO77:AZ77)</f>
        <v>6475</v>
      </c>
      <c r="BB77" s="38">
        <v>1340</v>
      </c>
      <c r="BC77" s="38">
        <v>1242</v>
      </c>
      <c r="BD77" s="38">
        <v>2018</v>
      </c>
      <c r="BE77" s="38">
        <v>1841</v>
      </c>
      <c r="BF77" s="38">
        <f t="shared" ref="BF77:BM77" si="21">ROUND(BF78-BF76,0)</f>
        <v>1779</v>
      </c>
      <c r="BG77" s="38">
        <f t="shared" si="21"/>
        <v>626</v>
      </c>
      <c r="BH77" s="38">
        <f t="shared" si="21"/>
        <v>985</v>
      </c>
      <c r="BI77" s="38">
        <f t="shared" si="21"/>
        <v>1225</v>
      </c>
      <c r="BJ77" s="38">
        <f t="shared" si="21"/>
        <v>1258</v>
      </c>
      <c r="BK77" s="38">
        <f t="shared" si="21"/>
        <v>3221</v>
      </c>
      <c r="BL77" s="38">
        <f t="shared" si="21"/>
        <v>3045</v>
      </c>
      <c r="BM77" s="38">
        <f t="shared" si="21"/>
        <v>3564</v>
      </c>
      <c r="BN77" s="210">
        <f>SUM(BB77:BM77)</f>
        <v>22144</v>
      </c>
      <c r="BO77" s="156">
        <f t="shared" ref="BO77" si="22">ROUND(BO78-BO76,0)</f>
        <v>36167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23">IFERROR(ROUND(AU79*AU75,0),0)</f>
        <v>2235</v>
      </c>
      <c r="AV78" s="64">
        <f t="shared" si="23"/>
        <v>2475</v>
      </c>
      <c r="AW78" s="64">
        <f t="shared" si="23"/>
        <v>1734</v>
      </c>
      <c r="AX78" s="64">
        <f t="shared" si="23"/>
        <v>2489</v>
      </c>
      <c r="AY78" s="64">
        <f t="shared" si="23"/>
        <v>2421</v>
      </c>
      <c r="AZ78" s="64">
        <f t="shared" si="23"/>
        <v>2621</v>
      </c>
      <c r="BA78" s="196">
        <f>SUM(AO78:AZ78)</f>
        <v>13975</v>
      </c>
      <c r="BB78" s="64">
        <v>2590</v>
      </c>
      <c r="BC78" s="64">
        <v>2492</v>
      </c>
      <c r="BD78" s="64">
        <v>3268</v>
      </c>
      <c r="BE78" s="64">
        <v>3091</v>
      </c>
      <c r="BF78" s="64">
        <f t="shared" ref="BF78:BM78" si="24">IFERROR(ROUND(BF79*BF75,0),0)</f>
        <v>3029</v>
      </c>
      <c r="BG78" s="64">
        <f t="shared" si="24"/>
        <v>1876</v>
      </c>
      <c r="BH78" s="64">
        <f t="shared" si="24"/>
        <v>2235</v>
      </c>
      <c r="BI78" s="64">
        <f t="shared" si="24"/>
        <v>2475</v>
      </c>
      <c r="BJ78" s="64">
        <f t="shared" si="24"/>
        <v>4508</v>
      </c>
      <c r="BK78" s="64">
        <f t="shared" si="24"/>
        <v>6471</v>
      </c>
      <c r="BL78" s="64">
        <f t="shared" si="24"/>
        <v>6295</v>
      </c>
      <c r="BM78" s="64">
        <f t="shared" si="24"/>
        <v>6814</v>
      </c>
      <c r="BN78" s="196">
        <f>SUM(BB78:BM78)</f>
        <v>45144</v>
      </c>
      <c r="BO78" s="144">
        <f>BU91</f>
        <v>39417</v>
      </c>
    </row>
    <row r="79" spans="1:67" ht="15.75" customHeight="1" thickTop="1">
      <c r="A79" s="374" t="s">
        <v>54</v>
      </c>
      <c r="B79" s="84">
        <f>IF('kWh_Streetlight Data'!C199=0,"",'kWh_Streetlight Data'!C199)</f>
        <v>611.20000000000005</v>
      </c>
      <c r="C79" s="108">
        <f>IF('kWh_Streetlight Data'!D199=0,"",'kWh_Streetlight Data'!D199)</f>
        <v>587</v>
      </c>
      <c r="D79" s="108">
        <f>IF('kWh_Streetlight Data'!E199=0,"",'kWh_Streetlight Data'!E199)</f>
        <v>614.75</v>
      </c>
      <c r="E79" s="108">
        <f>IF('kWh_Streetlight Data'!F199=0,"",'kWh_Streetlight Data'!F199)</f>
        <v>580</v>
      </c>
      <c r="F79" s="108">
        <f>IF('kWh_Streetlight Data'!G199=0,"",'kWh_Streetlight Data'!G199)</f>
        <v>659.75</v>
      </c>
      <c r="G79" s="108">
        <f>IF('kWh_Streetlight Data'!H199=0,"",'kWh_Streetlight Data'!H199)</f>
        <v>417.75</v>
      </c>
      <c r="H79" s="108">
        <f>IF('kWh_Streetlight Data'!I199=0,"",'kWh_Streetlight Data'!I199)</f>
        <v>651.20000000000005</v>
      </c>
      <c r="I79" s="108">
        <f>IF('kWh_Streetlight Data'!J199=0,"",'kWh_Streetlight Data'!J199)</f>
        <v>461</v>
      </c>
      <c r="J79" s="108">
        <f>IF('kWh_Streetlight Data'!K199=0,"",'kWh_Streetlight Data'!K199)</f>
        <v>365.2</v>
      </c>
      <c r="K79" s="108">
        <f>IF('kWh_Streetlight Data'!L199=0,"",'kWh_Streetlight Data'!L199)</f>
        <v>512</v>
      </c>
      <c r="L79" s="108">
        <f>IF('kWh_Streetlight Data'!M199=0,"",'kWh_Streetlight Data'!M199)</f>
        <v>404.6</v>
      </c>
      <c r="M79" s="108">
        <f>IF('kWh_Streetlight Data'!N199=0,"",'kWh_Streetlight Data'!N199)</f>
        <v>436.4</v>
      </c>
      <c r="N79" s="424">
        <f>IF('kWh_Streetlight Data'!O199=0,"",'kWh_Streetlight Data'!O199)</f>
        <v>522</v>
      </c>
      <c r="O79" s="84">
        <f>IF('kWh_Streetlight Data'!P199=0,"",'kWh_Streetlight Data'!P199)</f>
        <v>459</v>
      </c>
      <c r="P79" s="108">
        <f>IF('kWh_Streetlight Data'!Q199=0,"",'kWh_Streetlight Data'!Q199)</f>
        <v>427.2</v>
      </c>
      <c r="Q79" s="108">
        <f>IF('kWh_Streetlight Data'!R199=0,"",'kWh_Streetlight Data'!R199)</f>
        <v>389.2</v>
      </c>
      <c r="R79" s="108">
        <f>IF('kWh_Streetlight Data'!S199=0,"",'kWh_Streetlight Data'!S199)</f>
        <v>408.6</v>
      </c>
      <c r="S79" s="108">
        <f>IF('kWh_Streetlight Data'!T199=0,"",'kWh_Streetlight Data'!T199)</f>
        <v>471.2</v>
      </c>
      <c r="T79" s="108">
        <f>IF('kWh_Streetlight Data'!U199=0,"",'kWh_Streetlight Data'!U199)</f>
        <v>368.4</v>
      </c>
      <c r="U79" s="108">
        <f>IF('kWh_Streetlight Data'!V199=0,"",'kWh_Streetlight Data'!V199)</f>
        <v>236</v>
      </c>
      <c r="V79" s="108">
        <f>IF('kWh_Streetlight Data'!W199=0,"",'kWh_Streetlight Data'!W199)</f>
        <v>356.6</v>
      </c>
      <c r="W79" s="108">
        <f>IF('kWh_Streetlight Data'!X199=0,"",'kWh_Streetlight Data'!X199)</f>
        <v>313</v>
      </c>
      <c r="X79" s="108">
        <f>IF('kWh_Streetlight Data'!Y199=0,"",'kWh_Streetlight Data'!Y199)</f>
        <v>341.8</v>
      </c>
      <c r="Y79" s="108">
        <f>IF('kWh_Streetlight Data'!Z199=0,"",'kWh_Streetlight Data'!Z199)</f>
        <v>446.2</v>
      </c>
      <c r="Z79" s="108">
        <f>IF('kWh_Streetlight Data'!AA199=0,"",'kWh_Streetlight Data'!AA199)</f>
        <v>456.6</v>
      </c>
      <c r="AA79" s="424">
        <f>IF('kWh_Streetlight Data'!AB199=0,"",'kWh_Streetlight Data'!AB199)</f>
        <v>389.48333333333335</v>
      </c>
      <c r="AB79" s="129">
        <f>IF('kWh_Streetlight Data'!AC199=0,"",'kWh_Streetlight Data'!AC199)</f>
        <v>483.8</v>
      </c>
      <c r="AC79" s="130">
        <f>IF('kWh_Streetlight Data'!AD199=0,"",'kWh_Streetlight Data'!AD199)</f>
        <v>481.2</v>
      </c>
      <c r="AD79" s="130">
        <f>IF('kWh_Streetlight Data'!AE199=0,"",'kWh_Streetlight Data'!AE199)</f>
        <v>956.6</v>
      </c>
      <c r="AE79" s="130">
        <f>IF('kWh_Streetlight Data'!AF199=0,"",'kWh_Streetlight Data'!AF199)</f>
        <v>866</v>
      </c>
      <c r="AF79" s="130">
        <f>IF('kWh_Streetlight Data'!AG199=0,"",'kWh_Streetlight Data'!AG199)</f>
        <v>686.6</v>
      </c>
      <c r="AG79" s="130">
        <f>IF('kWh_Streetlight Data'!AH199=0,"",'kWh_Streetlight Data'!AH199)</f>
        <v>339.2</v>
      </c>
      <c r="AH79" s="130">
        <f>IF('kWh_Streetlight Data'!AI199=0,"",'kWh_Streetlight Data'!AI199)</f>
        <v>454</v>
      </c>
      <c r="AI79" s="130">
        <f>IF('kWh_Streetlight Data'!AJ199=0,"",'kWh_Streetlight Data'!AJ199)</f>
        <v>667.4</v>
      </c>
      <c r="AJ79" s="130">
        <f>IF('kWh_Streetlight Data'!AK199=0,"",'kWh_Streetlight Data'!AK199)</f>
        <v>362</v>
      </c>
      <c r="AK79" s="130">
        <f>IF('kWh_Streetlight Data'!AL199=0,"",'kWh_Streetlight Data'!AL199)</f>
        <v>639.6</v>
      </c>
      <c r="AL79" s="130">
        <f>IF('kWh_Streetlight Data'!AM199=0,"",'kWh_Streetlight Data'!AM199)</f>
        <v>601.79999999999995</v>
      </c>
      <c r="AM79" s="130">
        <f>IF('kWh_Streetlight Data'!AN199=0,"",'kWh_Streetlight Data'!AN199)</f>
        <v>679.4</v>
      </c>
      <c r="AN79" s="424">
        <f>IF('kWh_Streetlight Data'!AO199=0,"",'kWh_Streetlight Data'!AO199)</f>
        <v>601.4666666666667</v>
      </c>
      <c r="AO79" s="34"/>
      <c r="AP79" s="35"/>
      <c r="AQ79" s="35"/>
      <c r="AR79" s="35"/>
      <c r="AS79" s="35"/>
      <c r="AT79" s="9"/>
      <c r="AU79" s="9">
        <f t="shared" ref="AU79:AZ79" si="25">IFERROR(AVERAGE(AH79,U79,H79),0)</f>
        <v>447.06666666666666</v>
      </c>
      <c r="AV79" s="9">
        <f t="shared" si="25"/>
        <v>495</v>
      </c>
      <c r="AW79" s="9">
        <f t="shared" si="25"/>
        <v>346.73333333333335</v>
      </c>
      <c r="AX79" s="9">
        <f t="shared" si="25"/>
        <v>497.8</v>
      </c>
      <c r="AY79" s="9">
        <f t="shared" si="25"/>
        <v>484.2</v>
      </c>
      <c r="AZ79" s="9">
        <f t="shared" si="25"/>
        <v>524.13333333333333</v>
      </c>
      <c r="BA79" s="211"/>
      <c r="BB79" s="9">
        <v>518</v>
      </c>
      <c r="BC79" s="17">
        <v>498.4666666666667</v>
      </c>
      <c r="BD79" s="17">
        <v>653.51666666666677</v>
      </c>
      <c r="BE79" s="17">
        <v>618.19999999999993</v>
      </c>
      <c r="BF79" s="17">
        <f t="shared" ref="BF79:BM79" si="26">IFERROR(AVERAGE(F79,S79,AF79),0)</f>
        <v>605.85</v>
      </c>
      <c r="BG79" s="17">
        <f t="shared" si="26"/>
        <v>375.11666666666662</v>
      </c>
      <c r="BH79" s="17">
        <f t="shared" si="26"/>
        <v>447.06666666666666</v>
      </c>
      <c r="BI79" s="17">
        <f t="shared" si="26"/>
        <v>495</v>
      </c>
      <c r="BJ79" s="17">
        <f t="shared" si="26"/>
        <v>346.73333333333335</v>
      </c>
      <c r="BK79" s="17">
        <f t="shared" si="26"/>
        <v>497.8</v>
      </c>
      <c r="BL79" s="17">
        <f t="shared" si="26"/>
        <v>484.2</v>
      </c>
      <c r="BM79" s="9">
        <f t="shared" si="26"/>
        <v>524.13333333333333</v>
      </c>
      <c r="BN79" s="211">
        <f>IFERROR(BN78/SUM(BB75:BM75)*12,0)</f>
        <v>5888.347826086957</v>
      </c>
      <c r="BO79" s="20">
        <v>0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Data'!C200=0,"",'kWh_Streetlight Data'!C200)</f>
        <v/>
      </c>
      <c r="C83" s="108" t="str">
        <f>IF('kWh_Streetlight Data'!D200=0,"",'kWh_Streetlight Data'!D200)</f>
        <v/>
      </c>
      <c r="D83" s="108" t="str">
        <f>IF('kWh_Streetlight Data'!E200=0,"",'kWh_Streetlight Data'!E200)</f>
        <v/>
      </c>
      <c r="E83" s="108" t="str">
        <f>IF('kWh_Streetlight Data'!F200=0,"",'kWh_Streetlight Data'!F200)</f>
        <v/>
      </c>
      <c r="F83" s="108" t="str">
        <f>IF('kWh_Streetlight Data'!G200=0,"",'kWh_Streetlight Data'!G200)</f>
        <v/>
      </c>
      <c r="G83" s="108" t="str">
        <f>IF('kWh_Streetlight Data'!H200=0,"",'kWh_Streetlight Data'!H200)</f>
        <v/>
      </c>
      <c r="H83" s="108" t="str">
        <f>IF('kWh_Streetlight Data'!I200=0,"",'kWh_Streetlight Data'!I200)</f>
        <v/>
      </c>
      <c r="I83" s="108" t="str">
        <f>IF('kWh_Streetlight Data'!J200=0,"",'kWh_Streetlight Data'!J200)</f>
        <v/>
      </c>
      <c r="J83" s="108" t="str">
        <f>IF('kWh_Streetlight Data'!K200=0,"",'kWh_Streetlight Data'!K200)</f>
        <v/>
      </c>
      <c r="K83" s="108" t="str">
        <f>IF('kWh_Streetlight Data'!L200=0,"",'kWh_Streetlight Data'!L200)</f>
        <v/>
      </c>
      <c r="L83" s="108" t="str">
        <f>IF('kWh_Streetlight Data'!M200=0,"",'kWh_Streetlight Data'!M200)</f>
        <v/>
      </c>
      <c r="M83" s="108" t="str">
        <f>IF('kWh_Streetlight Data'!N200=0,"",'kWh_Streetlight Data'!N200)</f>
        <v/>
      </c>
      <c r="N83" s="424" t="str">
        <f>IF('kWh_Streetlight Data'!O200=0,"",'kWh_Streetlight Data'!O200)</f>
        <v/>
      </c>
      <c r="O83" s="84" t="str">
        <f>IF('kWh_Streetlight Data'!P200=0,"",'kWh_Streetlight Data'!P200)</f>
        <v/>
      </c>
      <c r="P83" s="108" t="str">
        <f>IF('kWh_Streetlight Data'!Q200=0,"",'kWh_Streetlight Data'!Q200)</f>
        <v/>
      </c>
      <c r="Q83" s="108" t="str">
        <f>IF('kWh_Streetlight Data'!R200=0,"",'kWh_Streetlight Data'!R200)</f>
        <v/>
      </c>
      <c r="R83" s="108" t="str">
        <f>IF('kWh_Streetlight Data'!S200=0,"",'kWh_Streetlight Data'!S200)</f>
        <v/>
      </c>
      <c r="S83" s="108" t="str">
        <f>IF('kWh_Streetlight Data'!T200=0,"",'kWh_Streetlight Data'!T200)</f>
        <v/>
      </c>
      <c r="T83" s="108" t="str">
        <f>IF('kWh_Streetlight Data'!U200=0,"",'kWh_Streetlight Data'!U200)</f>
        <v/>
      </c>
      <c r="U83" s="108" t="str">
        <f>IF('kWh_Streetlight Data'!V200=0,"",'kWh_Streetlight Data'!V200)</f>
        <v/>
      </c>
      <c r="V83" s="108" t="str">
        <f>IF('kWh_Streetlight Data'!W200=0,"",'kWh_Streetlight Data'!W200)</f>
        <v/>
      </c>
      <c r="W83" s="108" t="str">
        <f>IF('kWh_Streetlight Data'!X200=0,"",'kWh_Streetlight Data'!X200)</f>
        <v/>
      </c>
      <c r="X83" s="108" t="str">
        <f>IF('kWh_Streetlight Data'!Y200=0,"",'kWh_Streetlight Data'!Y200)</f>
        <v/>
      </c>
      <c r="Y83" s="108" t="str">
        <f>IF('kWh_Streetlight Data'!Z200=0,"",'kWh_Streetlight Data'!Z200)</f>
        <v/>
      </c>
      <c r="Z83" s="108" t="str">
        <f>IF('kWh_Streetlight Data'!AA200=0,"",'kWh_Streetlight Data'!AA200)</f>
        <v/>
      </c>
      <c r="AA83" s="424" t="str">
        <f>IF('kWh_Streetlight Data'!AB200=0,"",'kWh_Streetlight Data'!AB200)</f>
        <v/>
      </c>
      <c r="AB83" s="442" t="str">
        <f>IF('kWh_Streetlight Data'!AC200=0,"",'kWh_Streetlight Data'!AC200)</f>
        <v/>
      </c>
      <c r="AC83" s="443" t="str">
        <f>IF('kWh_Streetlight Data'!AD200=0,"",'kWh_Streetlight Data'!AD200)</f>
        <v/>
      </c>
      <c r="AD83" s="443" t="str">
        <f>IF('kWh_Streetlight Data'!AE200=0,"",'kWh_Streetlight Data'!AE200)</f>
        <v/>
      </c>
      <c r="AE83" s="443" t="str">
        <f>IF('kWh_Streetlight Data'!AF200=0,"",'kWh_Streetlight Data'!AF200)</f>
        <v/>
      </c>
      <c r="AF83" s="443" t="str">
        <f>IF('kWh_Streetlight Data'!AG200=0,"",'kWh_Streetlight Data'!AG200)</f>
        <v/>
      </c>
      <c r="AG83" s="443" t="str">
        <f>IF('kWh_Streetlight Data'!AH200=0,"",'kWh_Streetlight Data'!AH200)</f>
        <v/>
      </c>
      <c r="AH83" s="108" t="str">
        <f>IF('kWh_Streetlight Data'!AI200=0,"",'kWh_Streetlight Data'!AI200)</f>
        <v/>
      </c>
      <c r="AI83" s="108" t="str">
        <f>IF('kWh_Streetlight Data'!AJ200=0,"",'kWh_Streetlight Data'!AJ200)</f>
        <v/>
      </c>
      <c r="AJ83" s="108" t="str">
        <f>IF('kWh_Streetlight Data'!AK200=0,"",'kWh_Streetlight Data'!AK200)</f>
        <v/>
      </c>
      <c r="AK83" s="108" t="str">
        <f>IF('kWh_Streetlight Data'!AL200=0,"",'kWh_Streetlight Data'!AL200)</f>
        <v/>
      </c>
      <c r="AL83" s="108" t="str">
        <f>IF('kWh_Streetlight Data'!AM200=0,"",'kWh_Streetlight Data'!AM200)</f>
        <v/>
      </c>
      <c r="AM83" s="108" t="str">
        <f>IF('kWh_Streetlight Data'!AN200=0,"",'kWh_Streetlight Data'!AN200)</f>
        <v/>
      </c>
      <c r="AN83" s="424" t="str">
        <f>IF('kWh_Streetlight Data'!AO200=0,"",'kWh_Streetlight Data'!AO200)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  <c r="BS83" t="s">
        <v>238</v>
      </c>
      <c r="BT83">
        <f>Customers!N194</f>
        <v>6688</v>
      </c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  <c r="BQ84" s="2"/>
      <c r="BR84" s="2"/>
      <c r="BS84" s="2"/>
      <c r="BT84" s="2"/>
      <c r="BU84" s="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9">
        <f>Customers!E194</f>
        <v>14</v>
      </c>
      <c r="AV86" s="39">
        <f>Customers!F194</f>
        <v>14</v>
      </c>
      <c r="AW86" s="39">
        <f>Customers!G194</f>
        <v>14</v>
      </c>
      <c r="AX86" s="39">
        <f>Customers!H194</f>
        <v>14</v>
      </c>
      <c r="AY86" s="39">
        <f>Customers!I194</f>
        <v>14</v>
      </c>
      <c r="AZ86" s="39">
        <f>Customers!J194</f>
        <v>14</v>
      </c>
      <c r="BA86" s="210">
        <f>AZ86</f>
        <v>14</v>
      </c>
      <c r="BB86" s="347">
        <v>14</v>
      </c>
      <c r="BC86" s="38">
        <v>14</v>
      </c>
      <c r="BD86" s="38">
        <v>14</v>
      </c>
      <c r="BE86" s="38">
        <v>14</v>
      </c>
      <c r="BF86" s="38">
        <f t="shared" ref="BF86:BM86" si="27">BE86</f>
        <v>14</v>
      </c>
      <c r="BG86" s="38">
        <f t="shared" si="27"/>
        <v>14</v>
      </c>
      <c r="BH86" s="38">
        <f t="shared" si="27"/>
        <v>14</v>
      </c>
      <c r="BI86" s="38">
        <f t="shared" si="27"/>
        <v>14</v>
      </c>
      <c r="BJ86" s="347">
        <f>BI86+1</f>
        <v>15</v>
      </c>
      <c r="BK86" s="38">
        <f t="shared" si="27"/>
        <v>15</v>
      </c>
      <c r="BL86" s="38">
        <f t="shared" si="27"/>
        <v>15</v>
      </c>
      <c r="BM86" s="38">
        <f t="shared" si="27"/>
        <v>15</v>
      </c>
      <c r="BN86" s="210">
        <f>IFERROR(ROUND(AVERAGE(BB86:BM86),0),0)</f>
        <v>14</v>
      </c>
      <c r="BO86" s="143">
        <v>0</v>
      </c>
      <c r="BT86" s="229" t="s">
        <v>225</v>
      </c>
      <c r="BU86" s="229" t="s">
        <v>226</v>
      </c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>
        <f t="shared" ref="AU87:AZ87" si="28">IFERROR(ROUND(AU88*AU86,0),0)</f>
        <v>24434</v>
      </c>
      <c r="AV87" s="160">
        <f t="shared" si="28"/>
        <v>24375</v>
      </c>
      <c r="AW87" s="160">
        <f t="shared" si="28"/>
        <v>24290</v>
      </c>
      <c r="AX87" s="160">
        <f t="shared" si="28"/>
        <v>31715</v>
      </c>
      <c r="AY87" s="160">
        <f t="shared" si="28"/>
        <v>30893</v>
      </c>
      <c r="AZ87" s="160">
        <f t="shared" si="28"/>
        <v>43899</v>
      </c>
      <c r="BA87" s="196">
        <f>SUM(AO87:AZ87)</f>
        <v>179606</v>
      </c>
      <c r="BB87" s="160">
        <v>64893</v>
      </c>
      <c r="BC87" s="160">
        <v>56242</v>
      </c>
      <c r="BD87" s="160">
        <v>56380</v>
      </c>
      <c r="BE87" s="160">
        <v>50797</v>
      </c>
      <c r="BF87" s="160">
        <f t="shared" ref="BF87:BI87" si="29">IFERROR(ROUND(BF88*BF86,0),0)</f>
        <v>51880</v>
      </c>
      <c r="BG87" s="160">
        <f t="shared" si="29"/>
        <v>29598</v>
      </c>
      <c r="BH87" s="160">
        <f t="shared" si="29"/>
        <v>24434</v>
      </c>
      <c r="BI87" s="160">
        <f t="shared" si="29"/>
        <v>24375</v>
      </c>
      <c r="BJ87" s="160">
        <f>IFERROR(ROUND(BJ88*BJ86,0),0)+BT83-1157</f>
        <v>31556</v>
      </c>
      <c r="BK87" s="160">
        <f>IFERROR(ROUND(BK88*BK86,0),0)+BU83-2265</f>
        <v>31715</v>
      </c>
      <c r="BL87" s="160">
        <f>IFERROR(ROUND(BL88*BL86,0),0)+BV83-2207</f>
        <v>30892</v>
      </c>
      <c r="BM87" s="160">
        <f>IFERROR(ROUND(BM88*BM86,0),0)+BW83-3136</f>
        <v>43899</v>
      </c>
      <c r="BN87" s="196">
        <f>SUM(BB87:BM87)</f>
        <v>496661</v>
      </c>
      <c r="BO87" s="144">
        <f>BT91</f>
        <v>275082</v>
      </c>
      <c r="BS87" t="s">
        <v>230</v>
      </c>
      <c r="BT87" s="231">
        <f>BN87</f>
        <v>496661</v>
      </c>
      <c r="BU87" s="231">
        <f>BN78</f>
        <v>45144</v>
      </c>
    </row>
    <row r="88" spans="1:73" ht="15.75" customHeight="1" thickTop="1">
      <c r="A88" s="374" t="s">
        <v>54</v>
      </c>
      <c r="B88" s="84">
        <f>IF('kWh_Streetlight Data'!C201=0,"",'kWh_Streetlight Data'!C201)</f>
        <v>5429.833333333333</v>
      </c>
      <c r="C88" s="108">
        <f>IF('kWh_Streetlight Data'!D201=0,"",'kWh_Streetlight Data'!D201)</f>
        <v>4710</v>
      </c>
      <c r="D88" s="108">
        <f>IF('kWh_Streetlight Data'!E201=0,"",'kWh_Streetlight Data'!E201)</f>
        <v>4357.6153846153848</v>
      </c>
      <c r="E88" s="108">
        <f>IF('kWh_Streetlight Data'!F201=0,"",'kWh_Streetlight Data'!F201)</f>
        <v>4023.9166666666665</v>
      </c>
      <c r="F88" s="108">
        <f>IF('kWh_Streetlight Data'!G201=0,"",'kWh_Streetlight Data'!G201)</f>
        <v>4708.416666666667</v>
      </c>
      <c r="G88" s="108">
        <f>IF('kWh_Streetlight Data'!H201=0,"",'kWh_Streetlight Data'!H201)</f>
        <v>2088.3333333333335</v>
      </c>
      <c r="H88" s="108">
        <f>IF('kWh_Streetlight Data'!I201=0,"",'kWh_Streetlight Data'!I201)</f>
        <v>2116.6666666666665</v>
      </c>
      <c r="I88" s="108">
        <f>IF('kWh_Streetlight Data'!J201=0,"",'kWh_Streetlight Data'!J201)</f>
        <v>1395.4615384615386</v>
      </c>
      <c r="J88" s="108" t="str">
        <f>IF('kWh_Streetlight Data'!K201=0,"",'kWh_Streetlight Data'!K201)</f>
        <v/>
      </c>
      <c r="K88" s="108">
        <f>IF('kWh_Streetlight Data'!L201=0,"",'kWh_Streetlight Data'!L201)</f>
        <v>2531.2777777777778</v>
      </c>
      <c r="L88" s="108">
        <f>IF('kWh_Streetlight Data'!M201=0,"",'kWh_Streetlight Data'!M201)</f>
        <v>2316.8461538461538</v>
      </c>
      <c r="M88" s="108">
        <f>IF('kWh_Streetlight Data'!N201=0,"",'kWh_Streetlight Data'!N201)</f>
        <v>3312.3846153846152</v>
      </c>
      <c r="N88" s="424">
        <f>IF('kWh_Streetlight Data'!O201=0,"",'kWh_Streetlight Data'!O201)</f>
        <v>2670.6835443037976</v>
      </c>
      <c r="O88" s="84">
        <f>IF('kWh_Streetlight Data'!P201=0,"",'kWh_Streetlight Data'!P201)</f>
        <v>4396.5384615384619</v>
      </c>
      <c r="P88" s="108">
        <f>IF('kWh_Streetlight Data'!Q201=0,"",'kWh_Streetlight Data'!Q201)</f>
        <v>4396.9230769230771</v>
      </c>
      <c r="Q88" s="108">
        <f>IF('kWh_Streetlight Data'!R201=0,"",'kWh_Streetlight Data'!R201)</f>
        <v>3948.2307692307691</v>
      </c>
      <c r="R88" s="108">
        <f>IF('kWh_Streetlight Data'!S201=0,"",'kWh_Streetlight Data'!S201)</f>
        <v>3761</v>
      </c>
      <c r="S88" s="108">
        <f>IF('kWh_Streetlight Data'!T201=0,"",'kWh_Streetlight Data'!T201)</f>
        <v>3477.2142857142858</v>
      </c>
      <c r="T88" s="108">
        <f>IF('kWh_Streetlight Data'!U201=0,"",'kWh_Streetlight Data'!U201)</f>
        <v>2160.7692307692309</v>
      </c>
      <c r="U88" s="108">
        <f>IF('kWh_Streetlight Data'!V201=0,"",'kWh_Streetlight Data'!V201)</f>
        <v>1371.9230769230769</v>
      </c>
      <c r="V88" s="108">
        <f>IF('kWh_Streetlight Data'!W201=0,"",'kWh_Streetlight Data'!W201)</f>
        <v>1732.3333333333333</v>
      </c>
      <c r="W88" s="108">
        <f>IF('kWh_Streetlight Data'!X201=0,"",'kWh_Streetlight Data'!X201)</f>
        <v>1438</v>
      </c>
      <c r="X88" s="108">
        <f>IF('kWh_Streetlight Data'!Y201=0,"",'kWh_Streetlight Data'!Y201)</f>
        <v>2028.0833333333333</v>
      </c>
      <c r="Y88" s="108">
        <f>IF('kWh_Streetlight Data'!Z201=0,"",'kWh_Streetlight Data'!Z201)</f>
        <v>2476.9230769230771</v>
      </c>
      <c r="Z88" s="108">
        <f>IF('kWh_Streetlight Data'!AA201=0,"",'kWh_Streetlight Data'!AA201)</f>
        <v>2825</v>
      </c>
      <c r="AA88" s="426">
        <f>IF('kWh_Streetlight Data'!AB201=0,"",'kWh_Streetlight Data'!AB201)</f>
        <v>2856.503184713376</v>
      </c>
      <c r="AB88" s="442">
        <f>IF('kWh_Streetlight Data'!AC201=0,"",'kWh_Streetlight Data'!AC201)</f>
        <v>4079.2307692307691</v>
      </c>
      <c r="AC88" s="443">
        <f>IF('kWh_Streetlight Data'!AD201=0,"",'kWh_Streetlight Data'!AD201)</f>
        <v>2945</v>
      </c>
      <c r="AD88" s="443">
        <f>IF('kWh_Streetlight Data'!AE201=0,"",'kWh_Streetlight Data'!AE201)</f>
        <v>3775.6153846153848</v>
      </c>
      <c r="AE88" s="443">
        <f>IF('kWh_Streetlight Data'!AF201=0,"",'kWh_Streetlight Data'!AF201)</f>
        <v>3100.0769230769229</v>
      </c>
      <c r="AF88" s="443">
        <f>IF('kWh_Streetlight Data'!AG201=0,"",'kWh_Streetlight Data'!AG201)</f>
        <v>2931.6153846153848</v>
      </c>
      <c r="AG88" s="443">
        <f>IF('kWh_Streetlight Data'!AH201=0,"",'kWh_Streetlight Data'!AH201)</f>
        <v>2093.3333333333335</v>
      </c>
      <c r="AH88" s="443">
        <f>IF('kWh_Streetlight Data'!AI201=0,"",'kWh_Streetlight Data'!AI201)</f>
        <v>1747.3333333333333</v>
      </c>
      <c r="AI88" s="443">
        <f>IF('kWh_Streetlight Data'!AJ201=0,"",'kWh_Streetlight Data'!AJ201)</f>
        <v>2095.5</v>
      </c>
      <c r="AJ88" s="443">
        <f>IF('kWh_Streetlight Data'!AK201=0,"",'kWh_Streetlight Data'!AK201)</f>
        <v>2032</v>
      </c>
      <c r="AK88" s="443">
        <f>IF('kWh_Streetlight Data'!AL201=0,"",'kWh_Streetlight Data'!AL201)</f>
        <v>2236.6666666666665</v>
      </c>
      <c r="AL88" s="443">
        <f>IF('kWh_Streetlight Data'!AM201=0,"",'kWh_Streetlight Data'!AM201)</f>
        <v>1826.0588235294117</v>
      </c>
      <c r="AM88" s="443">
        <f>IF('kWh_Streetlight Data'!AN201=0,"",'kWh_Streetlight Data'!AN201)</f>
        <v>3269.625</v>
      </c>
      <c r="AN88" s="424">
        <f>IF('kWh_Streetlight Data'!AO201=0,"",'kWh_Streetlight Data'!AO201)</f>
        <v>2671.679012345679</v>
      </c>
      <c r="AO88" s="34"/>
      <c r="AP88" s="35"/>
      <c r="AQ88" s="35"/>
      <c r="AR88" s="35"/>
      <c r="AS88" s="35"/>
      <c r="AT88" s="9"/>
      <c r="AU88" s="9">
        <f t="shared" ref="AU88:AZ88" si="30">IFERROR(AVERAGE(AH88,U88,H88),0)</f>
        <v>1745.3076923076922</v>
      </c>
      <c r="AV88" s="9">
        <f t="shared" si="30"/>
        <v>1741.0982905982903</v>
      </c>
      <c r="AW88" s="9">
        <f t="shared" si="30"/>
        <v>1735</v>
      </c>
      <c r="AX88" s="9">
        <f t="shared" si="30"/>
        <v>2265.3425925925926</v>
      </c>
      <c r="AY88" s="9">
        <f t="shared" si="30"/>
        <v>2206.6093514328809</v>
      </c>
      <c r="AZ88" s="9">
        <f t="shared" si="30"/>
        <v>3135.6698717948716</v>
      </c>
      <c r="BA88" s="211"/>
      <c r="BB88" s="9">
        <v>4635.2008547008545</v>
      </c>
      <c r="BC88" s="41">
        <v>4017.3076923076928</v>
      </c>
      <c r="BD88" s="41">
        <v>4027.1538461538462</v>
      </c>
      <c r="BE88" s="41">
        <v>3628.3311965811968</v>
      </c>
      <c r="BF88" s="41">
        <f t="shared" ref="BF88:BM88" si="31">IFERROR(AVERAGE(F88,S88,AF88),0)</f>
        <v>3705.748778998779</v>
      </c>
      <c r="BG88" s="41">
        <f t="shared" si="31"/>
        <v>2114.1452991452993</v>
      </c>
      <c r="BH88" s="41">
        <f t="shared" si="31"/>
        <v>1745.3076923076922</v>
      </c>
      <c r="BI88" s="41">
        <f t="shared" si="31"/>
        <v>1741.0982905982908</v>
      </c>
      <c r="BJ88" s="41">
        <f t="shared" si="31"/>
        <v>1735</v>
      </c>
      <c r="BK88" s="41">
        <f t="shared" si="31"/>
        <v>2265.3425925925926</v>
      </c>
      <c r="BL88" s="41">
        <f t="shared" si="31"/>
        <v>2206.6093514328809</v>
      </c>
      <c r="BM88" s="9">
        <f t="shared" si="31"/>
        <v>3135.6698717948716</v>
      </c>
      <c r="BN88" s="211">
        <f>IFERROR(BN87/SUM(BB86:BM86)*12,0)</f>
        <v>34650.767441860466</v>
      </c>
      <c r="BO88" s="20"/>
      <c r="BQ88" s="2"/>
      <c r="BR88" s="2"/>
      <c r="BS88" t="s">
        <v>248</v>
      </c>
      <c r="BT88" s="231">
        <f>ROUND(BT83*8,0)</f>
        <v>53504</v>
      </c>
      <c r="BU88" s="231">
        <f>ROUND(BB79*8+BC79*8+BD79*8+BE79*8+BF79*8+BG79*8+BH79*8+BI79*8,0)</f>
        <v>33690</v>
      </c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Q89"/>
      <c r="BR89"/>
      <c r="BT89" s="38">
        <f>SUM(BT87:BT88)</f>
        <v>550165</v>
      </c>
      <c r="BU89" s="38">
        <f>SUM(BU87:BU88)</f>
        <v>78834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T90" s="231">
        <f>ROUND(BT89/12*BR92,0)</f>
        <v>275083</v>
      </c>
      <c r="BU90" s="231">
        <f>ROUND(BU89/12*BR92,0)</f>
        <v>39417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Q91" s="229" t="s">
        <v>222</v>
      </c>
      <c r="BR91" s="3" t="s">
        <v>227</v>
      </c>
      <c r="BT91" s="202">
        <f>BT89-BT90</f>
        <v>275082</v>
      </c>
      <c r="BU91" s="202">
        <f>BU89-BU90</f>
        <v>39417</v>
      </c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>
        <f>Customers!L193+Customers!L194</f>
        <v>28</v>
      </c>
      <c r="BQ92" s="39"/>
      <c r="BR92" s="296">
        <v>6</v>
      </c>
      <c r="BT92" s="202" t="s">
        <v>2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>
        <f>SUM(BB93:BM93)</f>
        <v>0</v>
      </c>
      <c r="BO93" s="147">
        <f>BT90+BU90</f>
        <v>314500</v>
      </c>
    </row>
    <row r="94" spans="1:73" ht="15.75" customHeight="1" thickTop="1">
      <c r="A94" s="374" t="s">
        <v>54</v>
      </c>
      <c r="B94" s="84" t="str">
        <f>IF('kWh_Streetlight Data'!C202=0,"",'kWh_Streetlight Data'!C202)</f>
        <v/>
      </c>
      <c r="C94" s="108" t="str">
        <f>IF('kWh_Streetlight Data'!D202=0,"",'kWh_Streetlight Data'!D202)</f>
        <v/>
      </c>
      <c r="D94" s="108" t="str">
        <f>IF('kWh_Streetlight Data'!E202=0,"",'kWh_Streetlight Data'!E202)</f>
        <v/>
      </c>
      <c r="E94" s="108" t="str">
        <f>IF('kWh_Streetlight Data'!F202=0,"",'kWh_Streetlight Data'!F202)</f>
        <v/>
      </c>
      <c r="F94" s="108" t="str">
        <f>IF('kWh_Streetlight Data'!G202=0,"",'kWh_Streetlight Data'!G202)</f>
        <v/>
      </c>
      <c r="G94" s="108" t="str">
        <f>IF('kWh_Streetlight Data'!H202=0,"",'kWh_Streetlight Data'!H202)</f>
        <v/>
      </c>
      <c r="H94" s="108" t="str">
        <f>IF('kWh_Streetlight Data'!I202=0,"",'kWh_Streetlight Data'!I202)</f>
        <v/>
      </c>
      <c r="I94" s="108" t="str">
        <f>IF('kWh_Streetlight Data'!J202=0,"",'kWh_Streetlight Data'!J202)</f>
        <v/>
      </c>
      <c r="J94" s="108" t="str">
        <f>IF('kWh_Streetlight Data'!K202=0,"",'kWh_Streetlight Data'!K202)</f>
        <v/>
      </c>
      <c r="K94" s="108" t="str">
        <f>IF('kWh_Streetlight Data'!L202=0,"",'kWh_Streetlight Data'!L202)</f>
        <v/>
      </c>
      <c r="L94" s="130" t="str">
        <f>IF('kWh_Streetlight Data'!M202=0,"",'kWh_Streetlight Data'!M202)</f>
        <v/>
      </c>
      <c r="M94" s="130" t="str">
        <f>IF('kWh_Streetlight Data'!N202=0,"",'kWh_Streetlight Data'!N202)</f>
        <v/>
      </c>
      <c r="N94" s="425" t="str">
        <f>IF('kWh_Streetlight Data'!O202=0,"",'kWh_Streetlight Data'!O202)</f>
        <v/>
      </c>
      <c r="O94" s="84" t="str">
        <f>IF('kWh_Streetlight Data'!P202=0,"",'kWh_Streetlight Data'!P202)</f>
        <v/>
      </c>
      <c r="P94" s="108" t="str">
        <f>IF('kWh_Streetlight Data'!Q202=0,"",'kWh_Streetlight Data'!Q202)</f>
        <v/>
      </c>
      <c r="Q94" s="108" t="str">
        <f>IF('kWh_Streetlight Data'!R202=0,"",'kWh_Streetlight Data'!R202)</f>
        <v/>
      </c>
      <c r="R94" s="108" t="str">
        <f>IF('kWh_Streetlight Data'!S202=0,"",'kWh_Streetlight Data'!S202)</f>
        <v/>
      </c>
      <c r="S94" s="108" t="str">
        <f>IF('kWh_Streetlight Data'!T202=0,"",'kWh_Streetlight Data'!T202)</f>
        <v/>
      </c>
      <c r="T94" s="108" t="str">
        <f>IF('kWh_Streetlight Data'!U202=0,"",'kWh_Streetlight Data'!U202)</f>
        <v/>
      </c>
      <c r="U94" s="108" t="str">
        <f>IF('kWh_Streetlight Data'!V202=0,"",'kWh_Streetlight Data'!V202)</f>
        <v/>
      </c>
      <c r="V94" s="108" t="str">
        <f>IF('kWh_Streetlight Data'!W202=0,"",'kWh_Streetlight Data'!W202)</f>
        <v/>
      </c>
      <c r="W94" s="108" t="str">
        <f>IF('kWh_Streetlight Data'!X202=0,"",'kWh_Streetlight Data'!X202)</f>
        <v/>
      </c>
      <c r="X94" s="108" t="str">
        <f>IF('kWh_Streetlight Data'!Y202=0,"",'kWh_Streetlight Data'!Y202)</f>
        <v/>
      </c>
      <c r="Y94" s="108" t="str">
        <f>IF('kWh_Streetlight Data'!Z202=0,"",'kWh_Streetlight Data'!Z202)</f>
        <v/>
      </c>
      <c r="Z94" s="108" t="str">
        <f>IF('kWh_Streetlight Data'!AA202=0,"",'kWh_Streetlight Data'!AA202)</f>
        <v/>
      </c>
      <c r="AA94" s="426" t="str">
        <f>IF('kWh_Streetlight Data'!AB202=0,"",'kWh_Streetlight Data'!AB202)</f>
        <v/>
      </c>
      <c r="AB94" s="84" t="str">
        <f>IF('kWh_Streetlight Data'!AC202=0,"",'kWh_Streetlight Data'!AC202)</f>
        <v/>
      </c>
      <c r="AC94" s="108" t="str">
        <f>IF('kWh_Streetlight Data'!AD202=0,"",'kWh_Streetlight Data'!AD202)</f>
        <v/>
      </c>
      <c r="AD94" s="108" t="str">
        <f>IF('kWh_Streetlight Data'!AE202=0,"",'kWh_Streetlight Data'!AE202)</f>
        <v/>
      </c>
      <c r="AE94" s="108" t="str">
        <f>IF('kWh_Streetlight Data'!AF202=0,"",'kWh_Streetlight Data'!AF202)</f>
        <v/>
      </c>
      <c r="AF94" s="108" t="str">
        <f>IF('kWh_Streetlight Data'!AG202=0,"",'kWh_Streetlight Data'!AG202)</f>
        <v/>
      </c>
      <c r="AG94" s="108" t="str">
        <f>IF('kWh_Streetlight Data'!AH202=0,"",'kWh_Streetlight Data'!AH202)</f>
        <v/>
      </c>
      <c r="AH94" s="108" t="str">
        <f>IF('kWh_Streetlight Data'!AI202=0,"",'kWh_Streetlight Data'!AI202)</f>
        <v/>
      </c>
      <c r="AI94" s="108" t="str">
        <f>IF('kWh_Streetlight Data'!AJ202=0,"",'kWh_Streetlight Data'!AJ202)</f>
        <v/>
      </c>
      <c r="AJ94" s="108" t="str">
        <f>IF('kWh_Streetlight Data'!AK202=0,"",'kWh_Streetlight Data'!AK202)</f>
        <v/>
      </c>
      <c r="AK94" s="108" t="str">
        <f>IF('kWh_Streetlight Data'!AL202=0,"",'kWh_Streetlight Data'!AL202)</f>
        <v/>
      </c>
      <c r="AL94" s="108" t="str">
        <f>IF('kWh_Streetlight Data'!AM202=0,"",'kWh_Streetlight Data'!AM202)</f>
        <v/>
      </c>
      <c r="AM94" s="108" t="str">
        <f>IF('kWh_Streetlight Data'!AN202=0,"",'kWh_Streetlight Data'!AN202)</f>
        <v/>
      </c>
      <c r="AN94" s="424" t="str">
        <f>IF('kWh_Streetlight Data'!AO202=0,"",'kWh_Streetlight Data'!AO202)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>
        <f>((BO93+BO87+BO78)/BO92)</f>
        <v>22464.25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3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73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73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32">AU7+AU22+AU29+AU43</f>
        <v>131</v>
      </c>
      <c r="AV98" s="9">
        <f t="shared" si="32"/>
        <v>131</v>
      </c>
      <c r="AW98" s="9">
        <f t="shared" si="32"/>
        <v>132</v>
      </c>
      <c r="AX98" s="9">
        <f t="shared" si="32"/>
        <v>132</v>
      </c>
      <c r="AY98" s="9">
        <f t="shared" si="32"/>
        <v>132</v>
      </c>
      <c r="AZ98" s="9">
        <f t="shared" si="32"/>
        <v>132</v>
      </c>
      <c r="BA98" s="138">
        <f t="shared" si="32"/>
        <v>132</v>
      </c>
      <c r="BB98" s="9">
        <v>134</v>
      </c>
      <c r="BC98" s="9">
        <v>134</v>
      </c>
      <c r="BD98" s="9">
        <v>134</v>
      </c>
      <c r="BE98" s="9">
        <v>134</v>
      </c>
      <c r="BF98" s="9">
        <f t="shared" ref="BF98:BO98" si="33">BF7+BF22+BF29+BF43</f>
        <v>134</v>
      </c>
      <c r="BG98" s="9">
        <f t="shared" si="33"/>
        <v>134</v>
      </c>
      <c r="BH98" s="9">
        <f t="shared" si="33"/>
        <v>134</v>
      </c>
      <c r="BI98" s="9">
        <f t="shared" si="33"/>
        <v>134</v>
      </c>
      <c r="BJ98" s="9">
        <f t="shared" si="33"/>
        <v>134</v>
      </c>
      <c r="BK98" s="9">
        <f t="shared" si="33"/>
        <v>134</v>
      </c>
      <c r="BL98" s="9">
        <f t="shared" si="33"/>
        <v>134</v>
      </c>
      <c r="BM98" s="9">
        <f t="shared" si="33"/>
        <v>134</v>
      </c>
      <c r="BN98" s="138">
        <f t="shared" si="33"/>
        <v>134</v>
      </c>
      <c r="BO98" s="58">
        <f t="shared" si="33"/>
        <v>0</v>
      </c>
    </row>
    <row r="99" spans="1:73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34">AU57</f>
        <v>0</v>
      </c>
      <c r="AV99" s="9">
        <f t="shared" si="34"/>
        <v>0</v>
      </c>
      <c r="AW99" s="9">
        <f t="shared" si="34"/>
        <v>0</v>
      </c>
      <c r="AX99" s="9">
        <f t="shared" si="34"/>
        <v>0</v>
      </c>
      <c r="AY99" s="9">
        <f t="shared" si="34"/>
        <v>0</v>
      </c>
      <c r="AZ99" s="9">
        <f t="shared" si="34"/>
        <v>0</v>
      </c>
      <c r="BA99" s="138">
        <f t="shared" si="34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35">BF57</f>
        <v>0</v>
      </c>
      <c r="BG99" s="9">
        <f t="shared" si="35"/>
        <v>0</v>
      </c>
      <c r="BH99" s="9">
        <f t="shared" si="35"/>
        <v>0</v>
      </c>
      <c r="BI99" s="9">
        <f t="shared" si="35"/>
        <v>0</v>
      </c>
      <c r="BJ99" s="9">
        <f t="shared" si="35"/>
        <v>0</v>
      </c>
      <c r="BK99" s="9">
        <f t="shared" si="35"/>
        <v>0</v>
      </c>
      <c r="BL99" s="9">
        <f t="shared" si="35"/>
        <v>0</v>
      </c>
      <c r="BM99" s="9">
        <f t="shared" si="35"/>
        <v>0</v>
      </c>
      <c r="BN99" s="138">
        <f t="shared" si="35"/>
        <v>0</v>
      </c>
      <c r="BO99" s="58">
        <f t="shared" si="35"/>
        <v>0</v>
      </c>
    </row>
    <row r="100" spans="1:73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>AU65+AU75+AU81+AU86+Customers!E195</f>
        <v>31</v>
      </c>
      <c r="AV100" s="9">
        <f>AV65+AV75+AV81+AV86+Customers!F195</f>
        <v>31</v>
      </c>
      <c r="AW100" s="9">
        <f>AW65+AW75+AW81+AW86+Customers!G195</f>
        <v>31</v>
      </c>
      <c r="AX100" s="9">
        <f>AX65+AX75+AX81+AX86+Customers!H195</f>
        <v>31</v>
      </c>
      <c r="AY100" s="9">
        <f>AY65+AY75+AY81+AY86+Customers!I195</f>
        <v>31</v>
      </c>
      <c r="AZ100" s="9">
        <f>AZ65+AZ75+AZ81+AZ86+Customers!J195</f>
        <v>31</v>
      </c>
      <c r="BA100" s="138">
        <f>BA65+BA75+BA81+BA86+Customers!J195</f>
        <v>31</v>
      </c>
      <c r="BB100" s="9">
        <v>31</v>
      </c>
      <c r="BC100" s="9">
        <v>31</v>
      </c>
      <c r="BD100" s="9">
        <v>31</v>
      </c>
      <c r="BE100" s="9">
        <v>31</v>
      </c>
      <c r="BF100" s="9">
        <f>BF65+BF75+BF81+BF86+Customers!$K$195</f>
        <v>31</v>
      </c>
      <c r="BG100" s="9">
        <f>BG65+BG75+BG81+BG86+Customers!$K$195</f>
        <v>31</v>
      </c>
      <c r="BH100" s="9">
        <f>BH65+BH75+BH81+BH86+Customers!$K$195</f>
        <v>31</v>
      </c>
      <c r="BI100" s="9">
        <f>BI65+BI75+BI81+BI86+Customers!$K$195</f>
        <v>31</v>
      </c>
      <c r="BJ100" s="9">
        <f>BJ65+BJ75+BJ81+BJ86+Customers!$K$195</f>
        <v>40</v>
      </c>
      <c r="BK100" s="9">
        <f>BK65+BK75+BK81+BK86+Customers!$K$195</f>
        <v>40</v>
      </c>
      <c r="BL100" s="9">
        <f>BL65+BL75+BL81+BL86+Customers!$K$195</f>
        <v>40</v>
      </c>
      <c r="BM100" s="9">
        <f>BM65+BM75+BM81+BM86+Customers!$K$195</f>
        <v>40</v>
      </c>
      <c r="BN100" s="9">
        <f>BN65+BN75+BN81+BN86+Customers!$K$195</f>
        <v>34</v>
      </c>
      <c r="BO100" s="58">
        <f>BO65+BO75+BO81+BO86</f>
        <v>0</v>
      </c>
    </row>
    <row r="101" spans="1:73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36">SUM(AU98:AU100)</f>
        <v>162</v>
      </c>
      <c r="AV101" s="73">
        <f t="shared" si="36"/>
        <v>162</v>
      </c>
      <c r="AW101" s="73">
        <f t="shared" si="36"/>
        <v>163</v>
      </c>
      <c r="AX101" s="73">
        <f t="shared" si="36"/>
        <v>163</v>
      </c>
      <c r="AY101" s="73">
        <f t="shared" si="36"/>
        <v>163</v>
      </c>
      <c r="AZ101" s="73">
        <f t="shared" si="36"/>
        <v>163</v>
      </c>
      <c r="BA101" s="249">
        <f t="shared" si="36"/>
        <v>163</v>
      </c>
      <c r="BB101" s="73">
        <v>165</v>
      </c>
      <c r="BC101" s="73">
        <v>165</v>
      </c>
      <c r="BD101" s="73">
        <v>165</v>
      </c>
      <c r="BE101" s="73">
        <v>165</v>
      </c>
      <c r="BF101" s="73">
        <f t="shared" ref="BF101:BO101" si="37">SUM(BF98:BF100)</f>
        <v>165</v>
      </c>
      <c r="BG101" s="73">
        <f t="shared" si="37"/>
        <v>165</v>
      </c>
      <c r="BH101" s="73">
        <f t="shared" si="37"/>
        <v>165</v>
      </c>
      <c r="BI101" s="73">
        <f t="shared" si="37"/>
        <v>165</v>
      </c>
      <c r="BJ101" s="73">
        <f t="shared" si="37"/>
        <v>174</v>
      </c>
      <c r="BK101" s="73">
        <f t="shared" si="37"/>
        <v>174</v>
      </c>
      <c r="BL101" s="73">
        <f t="shared" si="37"/>
        <v>174</v>
      </c>
      <c r="BM101" s="73">
        <f t="shared" si="37"/>
        <v>174</v>
      </c>
      <c r="BN101" s="249">
        <f t="shared" si="37"/>
        <v>168</v>
      </c>
      <c r="BO101" s="268">
        <f t="shared" si="37"/>
        <v>0</v>
      </c>
      <c r="BQ101" s="2"/>
      <c r="BR101" s="2"/>
      <c r="BS101" s="2"/>
      <c r="BT101" s="2"/>
      <c r="BU101" s="2"/>
    </row>
    <row r="102" spans="1:73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38">AU15+AU36+AU50</f>
        <v>0</v>
      </c>
      <c r="AV102" s="9">
        <f t="shared" si="38"/>
        <v>0</v>
      </c>
      <c r="AW102" s="9">
        <f t="shared" si="38"/>
        <v>0</v>
      </c>
      <c r="AX102" s="9">
        <f t="shared" si="38"/>
        <v>0</v>
      </c>
      <c r="AY102" s="9">
        <f t="shared" si="38"/>
        <v>0</v>
      </c>
      <c r="AZ102" s="9">
        <f t="shared" si="38"/>
        <v>0</v>
      </c>
      <c r="BA102" s="138">
        <f t="shared" si="38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39">BF15+BF36+BF50</f>
        <v>0</v>
      </c>
      <c r="BG102" s="9">
        <f t="shared" si="39"/>
        <v>0</v>
      </c>
      <c r="BH102" s="9">
        <f t="shared" si="39"/>
        <v>0</v>
      </c>
      <c r="BI102" s="9">
        <f t="shared" si="39"/>
        <v>0</v>
      </c>
      <c r="BJ102" s="9">
        <f t="shared" si="39"/>
        <v>0</v>
      </c>
      <c r="BK102" s="9">
        <f t="shared" si="39"/>
        <v>0</v>
      </c>
      <c r="BL102" s="9">
        <f t="shared" si="39"/>
        <v>0</v>
      </c>
      <c r="BM102" s="9">
        <f t="shared" si="39"/>
        <v>0</v>
      </c>
      <c r="BN102" s="138">
        <f t="shared" si="39"/>
        <v>0</v>
      </c>
      <c r="BO102" s="266">
        <f t="shared" si="39"/>
        <v>136</v>
      </c>
      <c r="BQ102" s="198"/>
      <c r="BR102" s="198"/>
      <c r="BS102" s="198"/>
      <c r="BT102" s="198"/>
      <c r="BU102" s="198"/>
    </row>
    <row r="103" spans="1:73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73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40">AU92</f>
        <v>0</v>
      </c>
      <c r="AV104" s="9">
        <f t="shared" si="40"/>
        <v>0</v>
      </c>
      <c r="AW104" s="9">
        <f t="shared" si="40"/>
        <v>0</v>
      </c>
      <c r="AX104" s="9">
        <f t="shared" si="40"/>
        <v>0</v>
      </c>
      <c r="AY104" s="9">
        <f t="shared" si="40"/>
        <v>0</v>
      </c>
      <c r="AZ104" s="9">
        <f t="shared" si="40"/>
        <v>0</v>
      </c>
      <c r="BA104" s="138">
        <f t="shared" si="40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N104" si="41">BF92</f>
        <v>0</v>
      </c>
      <c r="BG104" s="9">
        <f t="shared" si="41"/>
        <v>0</v>
      </c>
      <c r="BH104" s="9">
        <f t="shared" si="41"/>
        <v>0</v>
      </c>
      <c r="BI104" s="9">
        <f t="shared" si="41"/>
        <v>0</v>
      </c>
      <c r="BJ104" s="9">
        <f t="shared" si="41"/>
        <v>0</v>
      </c>
      <c r="BK104" s="9">
        <f t="shared" si="41"/>
        <v>0</v>
      </c>
      <c r="BL104" s="9">
        <f t="shared" si="41"/>
        <v>0</v>
      </c>
      <c r="BM104" s="9">
        <f t="shared" si="41"/>
        <v>0</v>
      </c>
      <c r="BN104" s="138">
        <f t="shared" si="41"/>
        <v>0</v>
      </c>
      <c r="BO104" s="58">
        <f>BO92+Customers!L195</f>
        <v>40</v>
      </c>
    </row>
    <row r="105" spans="1:73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42">SUM(AU102:AU104)</f>
        <v>0</v>
      </c>
      <c r="AV105" s="73">
        <f t="shared" si="42"/>
        <v>0</v>
      </c>
      <c r="AW105" s="73">
        <f t="shared" si="42"/>
        <v>0</v>
      </c>
      <c r="AX105" s="73">
        <f t="shared" si="42"/>
        <v>0</v>
      </c>
      <c r="AY105" s="73">
        <f t="shared" si="42"/>
        <v>0</v>
      </c>
      <c r="AZ105" s="73">
        <f t="shared" si="42"/>
        <v>0</v>
      </c>
      <c r="BA105" s="249">
        <f t="shared" si="42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43">SUM(BF102:BF104)</f>
        <v>0</v>
      </c>
      <c r="BG105" s="73">
        <f t="shared" si="43"/>
        <v>0</v>
      </c>
      <c r="BH105" s="73">
        <f t="shared" si="43"/>
        <v>0</v>
      </c>
      <c r="BI105" s="73">
        <f t="shared" si="43"/>
        <v>0</v>
      </c>
      <c r="BJ105" s="73">
        <f t="shared" si="43"/>
        <v>0</v>
      </c>
      <c r="BK105" s="73">
        <f t="shared" si="43"/>
        <v>0</v>
      </c>
      <c r="BL105" s="73">
        <f t="shared" si="43"/>
        <v>0</v>
      </c>
      <c r="BM105" s="73">
        <f t="shared" si="43"/>
        <v>0</v>
      </c>
      <c r="BN105" s="249">
        <f t="shared" si="43"/>
        <v>0</v>
      </c>
      <c r="BO105" s="268">
        <f t="shared" si="43"/>
        <v>176</v>
      </c>
      <c r="BQ105"/>
      <c r="BR105"/>
      <c r="BS105"/>
      <c r="BT105"/>
      <c r="BU105"/>
    </row>
    <row r="106" spans="1:73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44">AU105+AU101</f>
        <v>162</v>
      </c>
      <c r="AV106" s="251">
        <f t="shared" si="44"/>
        <v>162</v>
      </c>
      <c r="AW106" s="251">
        <f t="shared" si="44"/>
        <v>163</v>
      </c>
      <c r="AX106" s="251">
        <f t="shared" si="44"/>
        <v>163</v>
      </c>
      <c r="AY106" s="251">
        <f t="shared" si="44"/>
        <v>163</v>
      </c>
      <c r="AZ106" s="251">
        <f t="shared" si="44"/>
        <v>163</v>
      </c>
      <c r="BA106" s="255">
        <f t="shared" si="44"/>
        <v>163</v>
      </c>
      <c r="BB106" s="251">
        <v>165</v>
      </c>
      <c r="BC106" s="251">
        <v>165</v>
      </c>
      <c r="BD106" s="251">
        <v>165</v>
      </c>
      <c r="BE106" s="251">
        <v>165</v>
      </c>
      <c r="BF106" s="251">
        <f t="shared" si="44"/>
        <v>165</v>
      </c>
      <c r="BG106" s="251">
        <f t="shared" si="44"/>
        <v>165</v>
      </c>
      <c r="BH106" s="251">
        <f t="shared" si="44"/>
        <v>165</v>
      </c>
      <c r="BI106" s="251">
        <f t="shared" si="44"/>
        <v>165</v>
      </c>
      <c r="BJ106" s="251">
        <f t="shared" si="44"/>
        <v>174</v>
      </c>
      <c r="BK106" s="251">
        <f t="shared" si="44"/>
        <v>174</v>
      </c>
      <c r="BL106" s="251">
        <f t="shared" si="44"/>
        <v>174</v>
      </c>
      <c r="BM106" s="251">
        <f t="shared" si="44"/>
        <v>174</v>
      </c>
      <c r="BN106" s="255">
        <f t="shared" si="44"/>
        <v>168</v>
      </c>
      <c r="BO106" s="269">
        <f t="shared" si="44"/>
        <v>176</v>
      </c>
    </row>
    <row r="107" spans="1:73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Q107" s="3"/>
      <c r="BR107" s="3"/>
      <c r="BS107" s="3"/>
      <c r="BT107" s="3"/>
      <c r="BU107" s="3"/>
    </row>
    <row r="108" spans="1:73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5">AU11+AU26+AU33+AU47</f>
        <v>152611</v>
      </c>
      <c r="AV108" s="9">
        <f t="shared" si="45"/>
        <v>135634</v>
      </c>
      <c r="AW108" s="9">
        <f t="shared" si="45"/>
        <v>99348</v>
      </c>
      <c r="AX108" s="9">
        <f t="shared" si="45"/>
        <v>155732</v>
      </c>
      <c r="AY108" s="9">
        <f t="shared" si="45"/>
        <v>173912</v>
      </c>
      <c r="AZ108" s="9">
        <f t="shared" si="45"/>
        <v>215249</v>
      </c>
      <c r="BA108" s="138">
        <f t="shared" si="45"/>
        <v>932486</v>
      </c>
      <c r="BB108" s="9">
        <v>291953</v>
      </c>
      <c r="BC108" s="9">
        <v>258999</v>
      </c>
      <c r="BD108" s="9">
        <v>264293</v>
      </c>
      <c r="BE108" s="9">
        <v>232278</v>
      </c>
      <c r="BF108" s="9">
        <f t="shared" ref="BF108:BO108" si="46">BF11+BF26+BF33+BF47</f>
        <v>221775</v>
      </c>
      <c r="BG108" s="9">
        <f t="shared" si="46"/>
        <v>152284</v>
      </c>
      <c r="BH108" s="9">
        <f t="shared" si="46"/>
        <v>155364</v>
      </c>
      <c r="BI108" s="9">
        <f t="shared" si="46"/>
        <v>138550</v>
      </c>
      <c r="BJ108" s="9">
        <f t="shared" si="46"/>
        <v>100782</v>
      </c>
      <c r="BK108" s="9">
        <f t="shared" si="46"/>
        <v>158039</v>
      </c>
      <c r="BL108" s="9">
        <f t="shared" si="46"/>
        <v>176482</v>
      </c>
      <c r="BM108" s="9">
        <f t="shared" si="46"/>
        <v>218475</v>
      </c>
      <c r="BN108" s="138">
        <f t="shared" si="46"/>
        <v>2369274</v>
      </c>
      <c r="BO108" s="58">
        <f t="shared" si="46"/>
        <v>1201504</v>
      </c>
    </row>
    <row r="109" spans="1:73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47">AU58</f>
        <v>0</v>
      </c>
      <c r="AV109" s="9">
        <f t="shared" si="47"/>
        <v>0</v>
      </c>
      <c r="AW109" s="9">
        <f t="shared" si="47"/>
        <v>0</v>
      </c>
      <c r="AX109" s="9">
        <f t="shared" si="47"/>
        <v>0</v>
      </c>
      <c r="AY109" s="9">
        <f t="shared" si="47"/>
        <v>0</v>
      </c>
      <c r="AZ109" s="9">
        <f t="shared" si="47"/>
        <v>0</v>
      </c>
      <c r="BA109" s="138">
        <f t="shared" si="47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48">BF58</f>
        <v>0</v>
      </c>
      <c r="BG109" s="9">
        <f t="shared" si="48"/>
        <v>0</v>
      </c>
      <c r="BH109" s="9">
        <f t="shared" si="48"/>
        <v>0</v>
      </c>
      <c r="BI109" s="9">
        <f t="shared" si="48"/>
        <v>0</v>
      </c>
      <c r="BJ109" s="9">
        <f t="shared" si="48"/>
        <v>0</v>
      </c>
      <c r="BK109" s="9">
        <f t="shared" si="48"/>
        <v>0</v>
      </c>
      <c r="BL109" s="9">
        <f t="shared" si="48"/>
        <v>0</v>
      </c>
      <c r="BM109" s="9">
        <f t="shared" si="48"/>
        <v>0</v>
      </c>
      <c r="BN109" s="138">
        <f t="shared" si="48"/>
        <v>0</v>
      </c>
      <c r="BO109" s="58">
        <f t="shared" si="48"/>
        <v>0</v>
      </c>
    </row>
    <row r="110" spans="1:73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49">AU68+AU78+AU82+AU87</f>
        <v>26669</v>
      </c>
      <c r="AV110" s="9">
        <f t="shared" si="49"/>
        <v>26850</v>
      </c>
      <c r="AW110" s="9">
        <f t="shared" si="49"/>
        <v>26024</v>
      </c>
      <c r="AX110" s="9">
        <f t="shared" si="49"/>
        <v>34204</v>
      </c>
      <c r="AY110" s="9">
        <f t="shared" si="49"/>
        <v>33314</v>
      </c>
      <c r="AZ110" s="9">
        <f t="shared" si="49"/>
        <v>46520</v>
      </c>
      <c r="BA110" s="138">
        <f t="shared" si="49"/>
        <v>193581</v>
      </c>
      <c r="BB110" s="9">
        <v>67483</v>
      </c>
      <c r="BC110" s="9">
        <v>58734</v>
      </c>
      <c r="BD110" s="9">
        <v>59648</v>
      </c>
      <c r="BE110" s="9">
        <v>53888</v>
      </c>
      <c r="BF110" s="9">
        <f t="shared" ref="BF110:BO110" si="50">BF68+BF78+BF82+BF87</f>
        <v>54909</v>
      </c>
      <c r="BG110" s="9">
        <f t="shared" si="50"/>
        <v>31474</v>
      </c>
      <c r="BH110" s="9">
        <f t="shared" si="50"/>
        <v>26669</v>
      </c>
      <c r="BI110" s="9">
        <f t="shared" si="50"/>
        <v>26850</v>
      </c>
      <c r="BJ110" s="9">
        <f t="shared" si="50"/>
        <v>36064</v>
      </c>
      <c r="BK110" s="9">
        <f t="shared" si="50"/>
        <v>38186</v>
      </c>
      <c r="BL110" s="9">
        <f t="shared" si="50"/>
        <v>37187</v>
      </c>
      <c r="BM110" s="9">
        <f t="shared" si="50"/>
        <v>50713</v>
      </c>
      <c r="BN110" s="138">
        <f t="shared" si="50"/>
        <v>541805</v>
      </c>
      <c r="BO110" s="58">
        <f t="shared" si="50"/>
        <v>314499</v>
      </c>
    </row>
    <row r="111" spans="1:73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1">SUM(AU108:AU110)</f>
        <v>179280</v>
      </c>
      <c r="AV111" s="73">
        <f t="shared" si="51"/>
        <v>162484</v>
      </c>
      <c r="AW111" s="73">
        <f t="shared" si="51"/>
        <v>125372</v>
      </c>
      <c r="AX111" s="73">
        <f t="shared" si="51"/>
        <v>189936</v>
      </c>
      <c r="AY111" s="73">
        <f t="shared" si="51"/>
        <v>207226</v>
      </c>
      <c r="AZ111" s="73">
        <f t="shared" si="51"/>
        <v>261769</v>
      </c>
      <c r="BA111" s="249">
        <f t="shared" si="51"/>
        <v>1126067</v>
      </c>
      <c r="BB111" s="73">
        <v>359436</v>
      </c>
      <c r="BC111" s="73">
        <v>317733</v>
      </c>
      <c r="BD111" s="73">
        <v>323941</v>
      </c>
      <c r="BE111" s="73">
        <v>286166</v>
      </c>
      <c r="BF111" s="73">
        <f t="shared" ref="BF111:BO111" si="52">SUM(BF108:BF110)</f>
        <v>276684</v>
      </c>
      <c r="BG111" s="73">
        <f t="shared" si="52"/>
        <v>183758</v>
      </c>
      <c r="BH111" s="73">
        <f t="shared" si="52"/>
        <v>182033</v>
      </c>
      <c r="BI111" s="73">
        <f t="shared" si="52"/>
        <v>165400</v>
      </c>
      <c r="BJ111" s="73">
        <f t="shared" si="52"/>
        <v>136846</v>
      </c>
      <c r="BK111" s="73">
        <f t="shared" si="52"/>
        <v>196225</v>
      </c>
      <c r="BL111" s="73">
        <f t="shared" si="52"/>
        <v>213669</v>
      </c>
      <c r="BM111" s="73">
        <f t="shared" si="52"/>
        <v>269188</v>
      </c>
      <c r="BN111" s="249">
        <f t="shared" si="52"/>
        <v>2911079</v>
      </c>
      <c r="BO111" s="268">
        <f t="shared" si="52"/>
        <v>1516003</v>
      </c>
      <c r="BQ111"/>
      <c r="BR111"/>
      <c r="BS111"/>
      <c r="BT111"/>
      <c r="BU111"/>
    </row>
    <row r="112" spans="1:73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53">AU19+AU40+AU54</f>
        <v>0</v>
      </c>
      <c r="AV112" s="9">
        <f t="shared" si="53"/>
        <v>0</v>
      </c>
      <c r="AW112" s="9">
        <f t="shared" si="53"/>
        <v>0</v>
      </c>
      <c r="AX112" s="9">
        <f t="shared" si="53"/>
        <v>0</v>
      </c>
      <c r="AY112" s="9">
        <f t="shared" si="53"/>
        <v>0</v>
      </c>
      <c r="AZ112" s="9">
        <f t="shared" si="53"/>
        <v>0</v>
      </c>
      <c r="BA112" s="138">
        <f t="shared" si="53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54">BF19+BF40+BF54</f>
        <v>0</v>
      </c>
      <c r="BG112" s="9">
        <f t="shared" si="54"/>
        <v>0</v>
      </c>
      <c r="BH112" s="9">
        <f t="shared" si="54"/>
        <v>0</v>
      </c>
      <c r="BI112" s="9">
        <f t="shared" si="54"/>
        <v>0</v>
      </c>
      <c r="BJ112" s="9">
        <f t="shared" si="54"/>
        <v>0</v>
      </c>
      <c r="BK112" s="9">
        <f t="shared" si="54"/>
        <v>0</v>
      </c>
      <c r="BL112" s="9">
        <f t="shared" si="54"/>
        <v>0</v>
      </c>
      <c r="BM112" s="9">
        <f t="shared" si="54"/>
        <v>0</v>
      </c>
      <c r="BN112" s="138">
        <f t="shared" si="54"/>
        <v>0</v>
      </c>
      <c r="BO112" s="58">
        <f t="shared" si="54"/>
        <v>1201506</v>
      </c>
      <c r="BQ112" s="3"/>
      <c r="BR112" s="3"/>
      <c r="BS112" s="3"/>
      <c r="BT112" s="3"/>
      <c r="BU112" s="3"/>
    </row>
    <row r="113" spans="1:73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73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55">AU93</f>
        <v>0</v>
      </c>
      <c r="AV114" s="9">
        <f t="shared" si="55"/>
        <v>0</v>
      </c>
      <c r="AW114" s="9">
        <f t="shared" si="55"/>
        <v>0</v>
      </c>
      <c r="AX114" s="9">
        <f t="shared" si="55"/>
        <v>0</v>
      </c>
      <c r="AY114" s="9">
        <f t="shared" si="55"/>
        <v>0</v>
      </c>
      <c r="AZ114" s="9">
        <f t="shared" si="55"/>
        <v>0</v>
      </c>
      <c r="BA114" s="138">
        <f t="shared" si="55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56">BF93</f>
        <v>0</v>
      </c>
      <c r="BG114" s="9">
        <f t="shared" si="56"/>
        <v>0</v>
      </c>
      <c r="BH114" s="9">
        <f t="shared" si="56"/>
        <v>0</v>
      </c>
      <c r="BI114" s="9">
        <f t="shared" si="56"/>
        <v>0</v>
      </c>
      <c r="BJ114" s="9">
        <f t="shared" si="56"/>
        <v>0</v>
      </c>
      <c r="BK114" s="9">
        <f t="shared" si="56"/>
        <v>0</v>
      </c>
      <c r="BL114" s="9">
        <f t="shared" si="56"/>
        <v>0</v>
      </c>
      <c r="BM114" s="9">
        <f t="shared" si="56"/>
        <v>0</v>
      </c>
      <c r="BN114" s="138">
        <f t="shared" si="56"/>
        <v>0</v>
      </c>
      <c r="BO114" s="58">
        <f t="shared" si="56"/>
        <v>314500</v>
      </c>
    </row>
    <row r="115" spans="1:73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57">SUM(AU112:AU114)</f>
        <v>0</v>
      </c>
      <c r="AV115" s="73">
        <f t="shared" si="57"/>
        <v>0</v>
      </c>
      <c r="AW115" s="73">
        <f t="shared" si="57"/>
        <v>0</v>
      </c>
      <c r="AX115" s="73">
        <f t="shared" si="57"/>
        <v>0</v>
      </c>
      <c r="AY115" s="73">
        <f t="shared" si="57"/>
        <v>0</v>
      </c>
      <c r="AZ115" s="73">
        <f t="shared" si="57"/>
        <v>0</v>
      </c>
      <c r="BA115" s="249">
        <f t="shared" si="57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58">SUM(BF112:BF114)</f>
        <v>0</v>
      </c>
      <c r="BG115" s="73">
        <f t="shared" si="58"/>
        <v>0</v>
      </c>
      <c r="BH115" s="73">
        <f t="shared" si="58"/>
        <v>0</v>
      </c>
      <c r="BI115" s="73">
        <f t="shared" si="58"/>
        <v>0</v>
      </c>
      <c r="BJ115" s="73">
        <f t="shared" si="58"/>
        <v>0</v>
      </c>
      <c r="BK115" s="73">
        <f t="shared" si="58"/>
        <v>0</v>
      </c>
      <c r="BL115" s="73">
        <f t="shared" si="58"/>
        <v>0</v>
      </c>
      <c r="BM115" s="73">
        <f t="shared" si="58"/>
        <v>0</v>
      </c>
      <c r="BN115" s="249">
        <f t="shared" si="58"/>
        <v>0</v>
      </c>
      <c r="BO115" s="268">
        <f t="shared" si="58"/>
        <v>1516006</v>
      </c>
      <c r="BQ115"/>
      <c r="BR115"/>
      <c r="BS115"/>
      <c r="BT115"/>
      <c r="BU115"/>
    </row>
    <row r="116" spans="1:73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59">AU115+AU111</f>
        <v>179280</v>
      </c>
      <c r="AV116" s="251">
        <f t="shared" si="59"/>
        <v>162484</v>
      </c>
      <c r="AW116" s="251">
        <f t="shared" si="59"/>
        <v>125372</v>
      </c>
      <c r="AX116" s="251">
        <f t="shared" si="59"/>
        <v>189936</v>
      </c>
      <c r="AY116" s="251">
        <f t="shared" si="59"/>
        <v>207226</v>
      </c>
      <c r="AZ116" s="251">
        <f t="shared" si="59"/>
        <v>261769</v>
      </c>
      <c r="BA116" s="255">
        <f t="shared" si="59"/>
        <v>1126067</v>
      </c>
      <c r="BB116" s="251">
        <v>359436</v>
      </c>
      <c r="BC116" s="251">
        <v>317733</v>
      </c>
      <c r="BD116" s="251">
        <v>323941</v>
      </c>
      <c r="BE116" s="251">
        <v>286166</v>
      </c>
      <c r="BF116" s="251">
        <f t="shared" si="59"/>
        <v>276684</v>
      </c>
      <c r="BG116" s="251">
        <f t="shared" si="59"/>
        <v>183758</v>
      </c>
      <c r="BH116" s="251">
        <f t="shared" si="59"/>
        <v>182033</v>
      </c>
      <c r="BI116" s="251">
        <f t="shared" si="59"/>
        <v>165400</v>
      </c>
      <c r="BJ116" s="251">
        <f t="shared" si="59"/>
        <v>136846</v>
      </c>
      <c r="BK116" s="251">
        <f t="shared" si="59"/>
        <v>196225</v>
      </c>
      <c r="BL116" s="251">
        <f t="shared" si="59"/>
        <v>213669</v>
      </c>
      <c r="BM116" s="251">
        <f t="shared" si="59"/>
        <v>269188</v>
      </c>
      <c r="BN116" s="255">
        <f t="shared" si="59"/>
        <v>2911079</v>
      </c>
      <c r="BO116" s="269">
        <f t="shared" si="59"/>
        <v>3032009</v>
      </c>
    </row>
    <row r="117" spans="1:73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Q117" s="3"/>
      <c r="BR117" s="3"/>
      <c r="BS117" s="3"/>
      <c r="BT117" s="3"/>
      <c r="BU117" s="3"/>
    </row>
    <row r="118" spans="1:73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Q118" s="3"/>
      <c r="BR118" s="3"/>
      <c r="BS118" s="3"/>
      <c r="BT118" s="3"/>
      <c r="BU118" s="3"/>
    </row>
    <row r="119" spans="1:73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23</v>
      </c>
      <c r="AV119" s="280">
        <f>AU119</f>
        <v>23</v>
      </c>
      <c r="AW119" s="280">
        <f>AV119</f>
        <v>23</v>
      </c>
      <c r="AX119" s="280">
        <f t="shared" ref="AX119:AZ119" si="60">AW119</f>
        <v>23</v>
      </c>
      <c r="AY119" s="280">
        <f t="shared" si="60"/>
        <v>23</v>
      </c>
      <c r="AZ119" s="280">
        <f t="shared" si="60"/>
        <v>23</v>
      </c>
      <c r="BA119" s="259"/>
      <c r="BB119" s="280">
        <v>23</v>
      </c>
      <c r="BC119" s="280">
        <v>23</v>
      </c>
      <c r="BD119" s="280">
        <v>23</v>
      </c>
      <c r="BE119" s="280">
        <v>23</v>
      </c>
      <c r="BF119" s="280">
        <f t="shared" ref="BF119:BM119" si="61">BE119</f>
        <v>23</v>
      </c>
      <c r="BG119" s="280">
        <f t="shared" si="61"/>
        <v>23</v>
      </c>
      <c r="BH119" s="280">
        <f t="shared" si="61"/>
        <v>23</v>
      </c>
      <c r="BI119" s="280">
        <f t="shared" si="61"/>
        <v>23</v>
      </c>
      <c r="BJ119" s="280">
        <f t="shared" si="61"/>
        <v>23</v>
      </c>
      <c r="BK119" s="280">
        <f t="shared" si="61"/>
        <v>23</v>
      </c>
      <c r="BL119" s="280">
        <f t="shared" si="61"/>
        <v>23</v>
      </c>
      <c r="BM119" s="280">
        <f t="shared" si="61"/>
        <v>23</v>
      </c>
      <c r="BN119" s="259"/>
      <c r="BO119" s="343">
        <f>BM119</f>
        <v>23</v>
      </c>
    </row>
    <row r="120" spans="1:73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98135</v>
      </c>
      <c r="AU120" s="107">
        <v>117591</v>
      </c>
      <c r="AV120" s="39">
        <f>ROUND(AW108/30*AV119,0)</f>
        <v>76167</v>
      </c>
      <c r="AW120" s="39">
        <f>ROUND(AX108/30*AW119,0)</f>
        <v>119395</v>
      </c>
      <c r="AX120" s="39">
        <f>ROUND(AY108/30*AX119,0)</f>
        <v>133333</v>
      </c>
      <c r="AY120" s="39">
        <f>ROUND(AZ108/30*AY119,0)</f>
        <v>165024</v>
      </c>
      <c r="AZ120" s="39">
        <f>ROUND(BB108/30*AZ119,0)</f>
        <v>223831</v>
      </c>
      <c r="BA120" s="215"/>
      <c r="BB120" s="346">
        <v>198566</v>
      </c>
      <c r="BC120" s="346">
        <v>202625</v>
      </c>
      <c r="BD120" s="346">
        <v>178080</v>
      </c>
      <c r="BE120" s="346">
        <v>170028</v>
      </c>
      <c r="BF120" s="346">
        <f t="shared" ref="BF120:BL120" si="62">ROUND(BG108/30*BF119,0)</f>
        <v>116751</v>
      </c>
      <c r="BG120" s="346">
        <f t="shared" si="62"/>
        <v>119112</v>
      </c>
      <c r="BH120" s="346">
        <f t="shared" si="62"/>
        <v>106222</v>
      </c>
      <c r="BI120" s="346">
        <f t="shared" si="62"/>
        <v>77266</v>
      </c>
      <c r="BJ120" s="346">
        <f t="shared" si="62"/>
        <v>121163</v>
      </c>
      <c r="BK120" s="346">
        <f t="shared" si="62"/>
        <v>135303</v>
      </c>
      <c r="BL120" s="346">
        <f t="shared" si="62"/>
        <v>167498</v>
      </c>
      <c r="BM120" s="57">
        <f>ROUND((BO108+BO112)*0.11/30*BM119,0)</f>
        <v>202654</v>
      </c>
      <c r="BN120" s="215"/>
      <c r="BO120" s="141">
        <v>0</v>
      </c>
    </row>
    <row r="121" spans="1:73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23720</v>
      </c>
      <c r="AU121" s="107">
        <v>23108.808000000001</v>
      </c>
      <c r="AV121" s="39">
        <f>ROUND(AW110/30*AV119,0)</f>
        <v>19952</v>
      </c>
      <c r="AW121" s="39">
        <f>ROUND(AX110/30*AW119,0)</f>
        <v>26223</v>
      </c>
      <c r="AX121" s="39">
        <f>ROUND(AY110/30*AX119,0)</f>
        <v>25541</v>
      </c>
      <c r="AY121" s="39">
        <f>ROUND(AZ110/30*AY119,0)</f>
        <v>35665</v>
      </c>
      <c r="AZ121" s="39">
        <f>ROUND(BB110/30*AZ119,0)</f>
        <v>51737</v>
      </c>
      <c r="BA121" s="215"/>
      <c r="BB121" s="57">
        <v>45029</v>
      </c>
      <c r="BC121" s="57">
        <v>45730</v>
      </c>
      <c r="BD121" s="57">
        <v>41314</v>
      </c>
      <c r="BE121" s="57">
        <v>42097</v>
      </c>
      <c r="BF121" s="57">
        <f t="shared" ref="BF121:BL121" si="63">ROUND(BG110/30*BF119,0)</f>
        <v>24130</v>
      </c>
      <c r="BG121" s="57">
        <f t="shared" si="63"/>
        <v>20446</v>
      </c>
      <c r="BH121" s="57">
        <f t="shared" si="63"/>
        <v>20585</v>
      </c>
      <c r="BI121" s="57">
        <f t="shared" si="63"/>
        <v>27649</v>
      </c>
      <c r="BJ121" s="57">
        <f t="shared" si="63"/>
        <v>29276</v>
      </c>
      <c r="BK121" s="57">
        <f t="shared" si="63"/>
        <v>28510</v>
      </c>
      <c r="BL121" s="57">
        <f t="shared" si="63"/>
        <v>38880</v>
      </c>
      <c r="BM121" s="57">
        <f>ROUND((BO110+BO114)*0.11/30*BM119,0)</f>
        <v>53046</v>
      </c>
      <c r="BN121" s="215"/>
      <c r="BO121" s="141">
        <v>0</v>
      </c>
    </row>
    <row r="122" spans="1:73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-98135</v>
      </c>
      <c r="AV122" s="57">
        <f t="shared" ref="AV122:AZ123" si="64">-AU120</f>
        <v>-117591</v>
      </c>
      <c r="AW122" s="57">
        <f t="shared" si="64"/>
        <v>-76167</v>
      </c>
      <c r="AX122" s="57">
        <f t="shared" si="64"/>
        <v>-119395</v>
      </c>
      <c r="AY122" s="57">
        <f t="shared" si="64"/>
        <v>-133333</v>
      </c>
      <c r="AZ122" s="57">
        <f t="shared" si="64"/>
        <v>-165024</v>
      </c>
      <c r="BA122" s="215"/>
      <c r="BB122" s="57">
        <v>-223831</v>
      </c>
      <c r="BC122" s="57">
        <v>-198566</v>
      </c>
      <c r="BD122" s="57">
        <v>-202625</v>
      </c>
      <c r="BE122" s="57">
        <v>-178080</v>
      </c>
      <c r="BF122" s="57">
        <f t="shared" ref="BF122:BM123" si="65">-BE120</f>
        <v>-170028</v>
      </c>
      <c r="BG122" s="57">
        <f t="shared" si="65"/>
        <v>-116751</v>
      </c>
      <c r="BH122" s="57">
        <f t="shared" si="65"/>
        <v>-119112</v>
      </c>
      <c r="BI122" s="57">
        <f t="shared" si="65"/>
        <v>-106222</v>
      </c>
      <c r="BJ122" s="57">
        <f t="shared" si="65"/>
        <v>-77266</v>
      </c>
      <c r="BK122" s="57">
        <f t="shared" si="65"/>
        <v>-121163</v>
      </c>
      <c r="BL122" s="57">
        <f t="shared" si="65"/>
        <v>-135303</v>
      </c>
      <c r="BM122" s="57">
        <f t="shared" si="65"/>
        <v>-167498</v>
      </c>
      <c r="BN122" s="215"/>
      <c r="BO122" s="141">
        <f>-BM120</f>
        <v>-202654</v>
      </c>
    </row>
    <row r="123" spans="1:73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-23720</v>
      </c>
      <c r="AV123" s="57">
        <f t="shared" si="64"/>
        <v>-23108.808000000001</v>
      </c>
      <c r="AW123" s="57">
        <f t="shared" si="64"/>
        <v>-19952</v>
      </c>
      <c r="AX123" s="57">
        <f t="shared" si="64"/>
        <v>-26223</v>
      </c>
      <c r="AY123" s="57">
        <f t="shared" si="64"/>
        <v>-25541</v>
      </c>
      <c r="AZ123" s="57">
        <f t="shared" si="64"/>
        <v>-35665</v>
      </c>
      <c r="BA123" s="215"/>
      <c r="BB123" s="57">
        <v>-51737</v>
      </c>
      <c r="BC123" s="57">
        <v>-45029</v>
      </c>
      <c r="BD123" s="57">
        <v>-45730</v>
      </c>
      <c r="BE123" s="57">
        <v>-41314</v>
      </c>
      <c r="BF123" s="57">
        <f t="shared" si="65"/>
        <v>-42097</v>
      </c>
      <c r="BG123" s="57">
        <f t="shared" si="65"/>
        <v>-24130</v>
      </c>
      <c r="BH123" s="57">
        <f t="shared" si="65"/>
        <v>-20446</v>
      </c>
      <c r="BI123" s="57">
        <f t="shared" si="65"/>
        <v>-20585</v>
      </c>
      <c r="BJ123" s="57">
        <f t="shared" si="65"/>
        <v>-27649</v>
      </c>
      <c r="BK123" s="57">
        <f t="shared" si="65"/>
        <v>-29276</v>
      </c>
      <c r="BL123" s="57">
        <f t="shared" si="65"/>
        <v>-28510</v>
      </c>
      <c r="BM123" s="57">
        <f t="shared" si="65"/>
        <v>-38880</v>
      </c>
      <c r="BN123" s="215"/>
      <c r="BO123" s="141">
        <f>-BM121</f>
        <v>-53046</v>
      </c>
    </row>
    <row r="124" spans="1:73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18844.80799999999</v>
      </c>
      <c r="AV124" s="344">
        <f t="shared" ref="AV124:AZ124" si="66">SUM(AV120:AV123)</f>
        <v>-44580.808000000005</v>
      </c>
      <c r="AW124" s="344">
        <f t="shared" si="66"/>
        <v>49499</v>
      </c>
      <c r="AX124" s="344">
        <f t="shared" si="66"/>
        <v>13256</v>
      </c>
      <c r="AY124" s="344">
        <f t="shared" si="66"/>
        <v>41815</v>
      </c>
      <c r="AZ124" s="344">
        <f t="shared" si="66"/>
        <v>74879</v>
      </c>
      <c r="BA124" s="345"/>
      <c r="BB124" s="344">
        <v>-31973</v>
      </c>
      <c r="BC124" s="344">
        <v>4760</v>
      </c>
      <c r="BD124" s="344">
        <v>-28961</v>
      </c>
      <c r="BE124" s="344">
        <v>-7269</v>
      </c>
      <c r="BF124" s="344">
        <f t="shared" ref="BF124:BO124" si="67">SUM(BF120:BF123)</f>
        <v>-71244</v>
      </c>
      <c r="BG124" s="344">
        <f t="shared" si="67"/>
        <v>-1323</v>
      </c>
      <c r="BH124" s="344">
        <f t="shared" si="67"/>
        <v>-12751</v>
      </c>
      <c r="BI124" s="344">
        <f t="shared" si="67"/>
        <v>-21892</v>
      </c>
      <c r="BJ124" s="344">
        <f t="shared" si="67"/>
        <v>45524</v>
      </c>
      <c r="BK124" s="344">
        <f t="shared" si="67"/>
        <v>13374</v>
      </c>
      <c r="BL124" s="344">
        <f t="shared" si="67"/>
        <v>42565</v>
      </c>
      <c r="BM124" s="344">
        <f t="shared" si="67"/>
        <v>49322</v>
      </c>
      <c r="BN124" s="345"/>
      <c r="BO124" s="272">
        <f t="shared" si="67"/>
        <v>-255700</v>
      </c>
    </row>
    <row r="125" spans="1:73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23</v>
      </c>
      <c r="AV125" s="344">
        <f>AU125</f>
        <v>23</v>
      </c>
      <c r="AW125" s="344">
        <f>AV125</f>
        <v>23</v>
      </c>
      <c r="AX125" s="344">
        <f t="shared" ref="AX125:AZ125" si="68">AW125</f>
        <v>23</v>
      </c>
      <c r="AY125" s="344">
        <f t="shared" si="68"/>
        <v>23</v>
      </c>
      <c r="AZ125" s="344">
        <f t="shared" si="68"/>
        <v>23</v>
      </c>
      <c r="BA125" s="345"/>
      <c r="BB125" s="344">
        <v>23</v>
      </c>
      <c r="BC125" s="344">
        <v>23</v>
      </c>
      <c r="BD125" s="344">
        <v>23</v>
      </c>
      <c r="BE125" s="344">
        <v>23</v>
      </c>
      <c r="BF125" s="344">
        <f t="shared" ref="BF125:BM125" si="69">BE125</f>
        <v>23</v>
      </c>
      <c r="BG125" s="344">
        <f t="shared" si="69"/>
        <v>23</v>
      </c>
      <c r="BH125" s="344">
        <f t="shared" si="69"/>
        <v>23</v>
      </c>
      <c r="BI125" s="344">
        <f t="shared" si="69"/>
        <v>23</v>
      </c>
      <c r="BJ125" s="344">
        <f t="shared" si="69"/>
        <v>23</v>
      </c>
      <c r="BK125" s="344">
        <f t="shared" si="69"/>
        <v>23</v>
      </c>
      <c r="BL125" s="344">
        <f t="shared" si="69"/>
        <v>23</v>
      </c>
      <c r="BM125" s="344">
        <f t="shared" si="69"/>
        <v>23</v>
      </c>
      <c r="BN125" s="345"/>
      <c r="BO125" s="272">
        <f>BM125</f>
        <v>23</v>
      </c>
    </row>
    <row r="126" spans="1:73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70">ROUND(AV112/30*AU125,0)</f>
        <v>0</v>
      </c>
      <c r="AV126" s="57">
        <f t="shared" si="70"/>
        <v>0</v>
      </c>
      <c r="AW126" s="57">
        <f t="shared" si="70"/>
        <v>0</v>
      </c>
      <c r="AX126" s="57">
        <f t="shared" si="70"/>
        <v>0</v>
      </c>
      <c r="AY126" s="57">
        <f t="shared" si="70"/>
        <v>0</v>
      </c>
      <c r="AZ126" s="57">
        <f t="shared" si="70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71">BG112/30*BF125</f>
        <v>0</v>
      </c>
      <c r="BG126" s="57">
        <f t="shared" si="71"/>
        <v>0</v>
      </c>
      <c r="BH126" s="57">
        <f t="shared" si="71"/>
        <v>0</v>
      </c>
      <c r="BI126" s="57">
        <f t="shared" si="71"/>
        <v>0</v>
      </c>
      <c r="BJ126" s="57">
        <f t="shared" si="71"/>
        <v>0</v>
      </c>
      <c r="BK126" s="57">
        <f t="shared" si="71"/>
        <v>0</v>
      </c>
      <c r="BL126" s="57">
        <f t="shared" si="71"/>
        <v>0</v>
      </c>
      <c r="BM126" s="57">
        <v>0</v>
      </c>
      <c r="BN126" s="215"/>
      <c r="BO126" s="141">
        <v>205499</v>
      </c>
    </row>
    <row r="127" spans="1:73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72">ROUND(AV114/30*AU125,0)</f>
        <v>0</v>
      </c>
      <c r="AV127" s="57">
        <f t="shared" si="72"/>
        <v>0</v>
      </c>
      <c r="AW127" s="57">
        <f t="shared" si="72"/>
        <v>0</v>
      </c>
      <c r="AX127" s="57">
        <f t="shared" si="72"/>
        <v>0</v>
      </c>
      <c r="AY127" s="57">
        <f t="shared" si="72"/>
        <v>0</v>
      </c>
      <c r="AZ127" s="57">
        <f t="shared" si="72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73">ROUND(BG114/30*BF125,0)</f>
        <v>0</v>
      </c>
      <c r="BG127" s="57">
        <f t="shared" si="73"/>
        <v>0</v>
      </c>
      <c r="BH127" s="57">
        <f t="shared" si="73"/>
        <v>0</v>
      </c>
      <c r="BI127" s="57">
        <f t="shared" si="73"/>
        <v>0</v>
      </c>
      <c r="BJ127" s="57">
        <f t="shared" si="73"/>
        <v>0</v>
      </c>
      <c r="BK127" s="57">
        <f t="shared" si="73"/>
        <v>0</v>
      </c>
      <c r="BL127" s="57">
        <f t="shared" si="73"/>
        <v>0</v>
      </c>
      <c r="BM127" s="57">
        <v>0</v>
      </c>
      <c r="BN127" s="215"/>
      <c r="BO127" s="141">
        <v>53046</v>
      </c>
    </row>
    <row r="128" spans="1:73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74">-AU126</f>
        <v>0</v>
      </c>
      <c r="AW128" s="57">
        <f t="shared" si="74"/>
        <v>0</v>
      </c>
      <c r="AX128" s="57">
        <f t="shared" si="74"/>
        <v>0</v>
      </c>
      <c r="AY128" s="57">
        <f t="shared" si="74"/>
        <v>0</v>
      </c>
      <c r="AZ128" s="57">
        <f t="shared" si="74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75">-BE126</f>
        <v>0</v>
      </c>
      <c r="BG128" s="57">
        <f t="shared" si="75"/>
        <v>0</v>
      </c>
      <c r="BH128" s="57">
        <f t="shared" si="75"/>
        <v>0</v>
      </c>
      <c r="BI128" s="57">
        <f t="shared" si="75"/>
        <v>0</v>
      </c>
      <c r="BJ128" s="57">
        <f t="shared" si="75"/>
        <v>0</v>
      </c>
      <c r="BK128" s="57">
        <f t="shared" si="75"/>
        <v>0</v>
      </c>
      <c r="BL128" s="57">
        <f t="shared" si="75"/>
        <v>0</v>
      </c>
      <c r="BM128" s="57">
        <f t="shared" si="75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74"/>
        <v>0</v>
      </c>
      <c r="AW129" s="57">
        <f t="shared" si="74"/>
        <v>0</v>
      </c>
      <c r="AX129" s="57">
        <f t="shared" si="74"/>
        <v>0</v>
      </c>
      <c r="AY129" s="57">
        <f t="shared" si="74"/>
        <v>0</v>
      </c>
      <c r="AZ129" s="57">
        <f t="shared" si="74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75"/>
        <v>0</v>
      </c>
      <c r="BG129" s="57">
        <f t="shared" si="75"/>
        <v>0</v>
      </c>
      <c r="BH129" s="57">
        <f t="shared" si="75"/>
        <v>0</v>
      </c>
      <c r="BI129" s="57">
        <f t="shared" si="75"/>
        <v>0</v>
      </c>
      <c r="BJ129" s="57">
        <f t="shared" si="75"/>
        <v>0</v>
      </c>
      <c r="BK129" s="57">
        <f t="shared" si="75"/>
        <v>0</v>
      </c>
      <c r="BL129" s="57">
        <f t="shared" si="75"/>
        <v>0</v>
      </c>
      <c r="BM129" s="57">
        <f t="shared" si="75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76">SUM(AV126:AV129)</f>
        <v>0</v>
      </c>
      <c r="AW130" s="344">
        <f t="shared" si="76"/>
        <v>0</v>
      </c>
      <c r="AX130" s="344">
        <f t="shared" si="76"/>
        <v>0</v>
      </c>
      <c r="AY130" s="344">
        <f t="shared" si="76"/>
        <v>0</v>
      </c>
      <c r="AZ130" s="344">
        <f t="shared" si="76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77">SUM(BF126:BF129)</f>
        <v>0</v>
      </c>
      <c r="BG130" s="344">
        <f t="shared" si="77"/>
        <v>0</v>
      </c>
      <c r="BH130" s="344">
        <f t="shared" si="77"/>
        <v>0</v>
      </c>
      <c r="BI130" s="344">
        <f t="shared" si="77"/>
        <v>0</v>
      </c>
      <c r="BJ130" s="344">
        <f t="shared" si="77"/>
        <v>0</v>
      </c>
      <c r="BK130" s="344">
        <f t="shared" si="77"/>
        <v>0</v>
      </c>
      <c r="BL130" s="344">
        <f t="shared" si="77"/>
        <v>0</v>
      </c>
      <c r="BM130" s="344">
        <f t="shared" si="77"/>
        <v>0</v>
      </c>
      <c r="BN130" s="345"/>
      <c r="BO130" s="272">
        <f t="shared" ref="BO130" si="78">SUM(BO126:BO129)</f>
        <v>258545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79">AU111+AU124</f>
        <v>198124.80799999999</v>
      </c>
      <c r="AV132" s="66">
        <f t="shared" si="79"/>
        <v>117903.192</v>
      </c>
      <c r="AW132" s="66">
        <f t="shared" si="79"/>
        <v>174871</v>
      </c>
      <c r="AX132" s="66">
        <f t="shared" si="79"/>
        <v>203192</v>
      </c>
      <c r="AY132" s="66">
        <f t="shared" si="79"/>
        <v>249041</v>
      </c>
      <c r="AZ132" s="66">
        <f t="shared" si="79"/>
        <v>336648</v>
      </c>
      <c r="BA132" s="216">
        <f>SUM(AT132:AZ132)</f>
        <v>1279780</v>
      </c>
      <c r="BB132" s="66">
        <v>327463</v>
      </c>
      <c r="BC132" s="66">
        <v>322493</v>
      </c>
      <c r="BD132" s="66">
        <v>294980</v>
      </c>
      <c r="BE132" s="66">
        <v>278897</v>
      </c>
      <c r="BF132" s="66">
        <f t="shared" ref="BF132:BO132" si="80">BF111+BF124</f>
        <v>205440</v>
      </c>
      <c r="BG132" s="66">
        <f t="shared" si="80"/>
        <v>182435</v>
      </c>
      <c r="BH132" s="66">
        <f t="shared" si="80"/>
        <v>169282</v>
      </c>
      <c r="BI132" s="66">
        <f t="shared" si="80"/>
        <v>143508</v>
      </c>
      <c r="BJ132" s="66">
        <f t="shared" si="80"/>
        <v>182370</v>
      </c>
      <c r="BK132" s="66">
        <f t="shared" si="80"/>
        <v>209599</v>
      </c>
      <c r="BL132" s="66">
        <f t="shared" si="80"/>
        <v>256234</v>
      </c>
      <c r="BM132" s="66">
        <f t="shared" si="80"/>
        <v>318510</v>
      </c>
      <c r="BN132" s="216">
        <f t="shared" si="80"/>
        <v>2911079</v>
      </c>
      <c r="BO132" s="185">
        <f t="shared" si="80"/>
        <v>1260303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6" priority="7" operator="lessThan">
      <formula>0</formula>
    </cfRule>
  </conditionalFormatting>
  <conditionalFormatting sqref="BN58">
    <cfRule type="cellIs" dxfId="5" priority="6" operator="lessThan">
      <formula>0</formula>
    </cfRule>
  </conditionalFormatting>
  <conditionalFormatting sqref="BN78">
    <cfRule type="cellIs" dxfId="4" priority="5" operator="lessThan">
      <formula>0</formula>
    </cfRule>
  </conditionalFormatting>
  <conditionalFormatting sqref="BN19">
    <cfRule type="cellIs" dxfId="3" priority="4" operator="lessThan">
      <formula>0</formula>
    </cfRule>
  </conditionalFormatting>
  <conditionalFormatting sqref="BN40">
    <cfRule type="cellIs" dxfId="2" priority="3" operator="lessThan">
      <formula>0</formula>
    </cfRule>
  </conditionalFormatting>
  <conditionalFormatting sqref="BN54">
    <cfRule type="cellIs" dxfId="1" priority="2" operator="lessThan">
      <formula>0</formula>
    </cfRule>
  </conditionalFormatting>
  <conditionalFormatting sqref="BN62">
    <cfRule type="cellIs" dxfId="0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53"/>
  <sheetViews>
    <sheetView zoomScale="80" zoomScaleNormal="80" workbookViewId="0"/>
  </sheetViews>
  <sheetFormatPr defaultRowHeight="14.45"/>
  <cols>
    <col min="1" max="1" width="54.5703125" bestFit="1" customWidth="1"/>
    <col min="2" max="7" width="11.7109375" bestFit="1" customWidth="1"/>
    <col min="8" max="8" width="12.140625" customWidth="1"/>
    <col min="10" max="21" width="11.7109375" bestFit="1" customWidth="1"/>
    <col min="23" max="23" width="11.7109375" bestFit="1" customWidth="1"/>
  </cols>
  <sheetData>
    <row r="1" spans="1:24">
      <c r="A1" s="198" t="s">
        <v>0</v>
      </c>
    </row>
    <row r="2" spans="1:24">
      <c r="A2" s="3" t="s">
        <v>154</v>
      </c>
    </row>
    <row r="4" spans="1:24">
      <c r="B4" s="544">
        <v>2021</v>
      </c>
      <c r="C4" s="544"/>
      <c r="D4" s="544"/>
      <c r="E4" s="544"/>
      <c r="F4" s="544"/>
      <c r="G4" s="544"/>
      <c r="H4" s="544"/>
      <c r="J4" s="544">
        <v>2022</v>
      </c>
      <c r="K4" s="544"/>
      <c r="L4" s="544"/>
      <c r="M4" s="544"/>
      <c r="N4" s="544"/>
      <c r="O4" s="544"/>
      <c r="P4" s="544"/>
      <c r="Q4" s="544"/>
      <c r="R4" s="544"/>
      <c r="S4" s="544"/>
      <c r="T4" s="544"/>
      <c r="U4" s="544"/>
      <c r="W4" s="203">
        <v>2023</v>
      </c>
    </row>
    <row r="5" spans="1:24">
      <c r="B5" s="296" t="s">
        <v>155</v>
      </c>
      <c r="C5" s="296" t="s">
        <v>42</v>
      </c>
      <c r="D5" s="296" t="s">
        <v>43</v>
      </c>
      <c r="E5" s="296" t="s">
        <v>44</v>
      </c>
      <c r="F5" s="296" t="s">
        <v>45</v>
      </c>
      <c r="G5" s="296" t="s">
        <v>46</v>
      </c>
      <c r="H5" s="296" t="s">
        <v>47</v>
      </c>
      <c r="I5" s="296"/>
      <c r="J5" s="296" t="s">
        <v>36</v>
      </c>
      <c r="K5" s="296" t="s">
        <v>37</v>
      </c>
      <c r="L5" s="296" t="s">
        <v>156</v>
      </c>
      <c r="M5" s="296" t="s">
        <v>39</v>
      </c>
      <c r="N5" s="296" t="s">
        <v>40</v>
      </c>
      <c r="O5" s="296" t="s">
        <v>41</v>
      </c>
      <c r="P5" s="296" t="s">
        <v>42</v>
      </c>
      <c r="Q5" s="296" t="s">
        <v>43</v>
      </c>
      <c r="R5" s="296" t="s">
        <v>44</v>
      </c>
      <c r="S5" s="296" t="s">
        <v>45</v>
      </c>
      <c r="T5" s="296" t="s">
        <v>46</v>
      </c>
      <c r="U5" s="296" t="s">
        <v>47</v>
      </c>
      <c r="V5" s="296"/>
    </row>
    <row r="6" spans="1:24">
      <c r="A6" t="s">
        <v>157</v>
      </c>
    </row>
    <row r="7" spans="1:24">
      <c r="A7" t="s">
        <v>49</v>
      </c>
    </row>
    <row r="8" spans="1:24">
      <c r="A8" t="s">
        <v>50</v>
      </c>
      <c r="B8" s="349">
        <v>0.61182582845098776</v>
      </c>
      <c r="C8" s="349">
        <v>0.61182582845098776</v>
      </c>
      <c r="D8" s="349">
        <v>0.61182582845098776</v>
      </c>
      <c r="E8" s="349">
        <v>0.61182582845098776</v>
      </c>
      <c r="F8" s="349">
        <v>0.61182582845098776</v>
      </c>
      <c r="G8" s="349">
        <v>0.61182582845098776</v>
      </c>
      <c r="H8" s="349">
        <v>0.61182582845098776</v>
      </c>
      <c r="I8" s="321"/>
      <c r="J8" s="349">
        <v>0.61182582845098776</v>
      </c>
      <c r="K8" s="349">
        <v>0.61182582845098776</v>
      </c>
      <c r="L8" s="349">
        <v>0.61182582845098776</v>
      </c>
      <c r="M8" s="349">
        <v>0.61182582845098776</v>
      </c>
      <c r="N8" s="349">
        <v>0.61182582845098776</v>
      </c>
      <c r="O8" s="349">
        <v>0.61182582845098776</v>
      </c>
      <c r="P8" s="349">
        <v>0.61182582845098776</v>
      </c>
      <c r="Q8" s="349">
        <v>0.61182582845098776</v>
      </c>
      <c r="R8" s="349">
        <v>0.61182582845098776</v>
      </c>
      <c r="S8" s="349">
        <v>0.61182582845098776</v>
      </c>
      <c r="T8" s="349">
        <v>0.61182582845098776</v>
      </c>
      <c r="U8" s="349">
        <v>0.61182582845098776</v>
      </c>
      <c r="V8" s="321"/>
      <c r="W8" s="349">
        <v>0.61182582845098776</v>
      </c>
      <c r="X8" s="321"/>
    </row>
    <row r="9" spans="1:24">
      <c r="A9" t="s">
        <v>51</v>
      </c>
      <c r="B9" s="349">
        <v>0.32601112737080684</v>
      </c>
      <c r="C9" s="349">
        <v>0.32601112737080684</v>
      </c>
      <c r="D9" s="349">
        <v>0.32601112737080684</v>
      </c>
      <c r="E9" s="349">
        <v>0.32601112737080684</v>
      </c>
      <c r="F9" s="349">
        <v>0.32601112737080684</v>
      </c>
      <c r="G9" s="349">
        <v>0.32601112737080684</v>
      </c>
      <c r="H9" s="349">
        <v>0.32601112737080684</v>
      </c>
      <c r="I9" s="321"/>
      <c r="J9" s="349">
        <v>0.32601112737080684</v>
      </c>
      <c r="K9" s="349">
        <v>0.32601112737080684</v>
      </c>
      <c r="L9" s="349">
        <v>0.32601112737080684</v>
      </c>
      <c r="M9" s="349">
        <v>0.32601112737080684</v>
      </c>
      <c r="N9" s="349">
        <v>0.32601112737080684</v>
      </c>
      <c r="O9" s="349">
        <v>0.32601112737080684</v>
      </c>
      <c r="P9" s="349">
        <v>0.32601112737080684</v>
      </c>
      <c r="Q9" s="349">
        <v>0.32601112737080684</v>
      </c>
      <c r="R9" s="349">
        <v>0.32601112737080684</v>
      </c>
      <c r="S9" s="349">
        <v>0.32601112737080684</v>
      </c>
      <c r="T9" s="349">
        <v>0.32601112737080684</v>
      </c>
      <c r="U9" s="349">
        <v>0.32601112737080684</v>
      </c>
      <c r="V9" s="321"/>
      <c r="W9" s="349">
        <v>0.32601112737080684</v>
      </c>
      <c r="X9" s="321"/>
    </row>
    <row r="10" spans="1:24">
      <c r="A10" t="s">
        <v>52</v>
      </c>
      <c r="B10" s="349">
        <v>6.2163044178205396E-2</v>
      </c>
      <c r="C10" s="349">
        <v>6.2163044178205396E-2</v>
      </c>
      <c r="D10" s="349">
        <v>6.2163044178205396E-2</v>
      </c>
      <c r="E10" s="349">
        <v>6.2163044178205396E-2</v>
      </c>
      <c r="F10" s="349">
        <v>6.2163044178205396E-2</v>
      </c>
      <c r="G10" s="349">
        <v>6.2163044178205396E-2</v>
      </c>
      <c r="H10" s="349">
        <v>6.2163044178205396E-2</v>
      </c>
      <c r="I10" s="321"/>
      <c r="J10" s="349">
        <v>6.2163044178205396E-2</v>
      </c>
      <c r="K10" s="349">
        <v>6.2163044178205396E-2</v>
      </c>
      <c r="L10" s="349">
        <v>6.2163044178205396E-2</v>
      </c>
      <c r="M10" s="349">
        <v>6.2163044178205396E-2</v>
      </c>
      <c r="N10" s="349">
        <v>6.2163044178205396E-2</v>
      </c>
      <c r="O10" s="349">
        <v>6.2163044178205396E-2</v>
      </c>
      <c r="P10" s="349">
        <v>6.2163044178205396E-2</v>
      </c>
      <c r="Q10" s="349">
        <v>6.2163044178205396E-2</v>
      </c>
      <c r="R10" s="349">
        <v>6.2163044178205396E-2</v>
      </c>
      <c r="S10" s="349">
        <v>6.2163044178205396E-2</v>
      </c>
      <c r="T10" s="349">
        <v>6.2163044178205396E-2</v>
      </c>
      <c r="U10" s="349">
        <v>6.2163044178205396E-2</v>
      </c>
      <c r="V10" s="321"/>
      <c r="W10" s="349">
        <v>6.2163044178205396E-2</v>
      </c>
      <c r="X10" s="321"/>
    </row>
    <row r="11" spans="1:24">
      <c r="A11" t="s">
        <v>30</v>
      </c>
      <c r="B11" s="321">
        <f>SUM(B8:B10)</f>
        <v>1</v>
      </c>
      <c r="C11" s="321">
        <f t="shared" ref="C11:H11" si="0">SUM(C8:C10)</f>
        <v>1</v>
      </c>
      <c r="D11" s="321">
        <f t="shared" si="0"/>
        <v>1</v>
      </c>
      <c r="E11" s="321">
        <f t="shared" si="0"/>
        <v>1</v>
      </c>
      <c r="F11" s="321">
        <f t="shared" si="0"/>
        <v>1</v>
      </c>
      <c r="G11" s="321">
        <f t="shared" si="0"/>
        <v>1</v>
      </c>
      <c r="H11" s="321">
        <f t="shared" si="0"/>
        <v>1</v>
      </c>
      <c r="I11" s="321"/>
      <c r="J11" s="321">
        <f t="shared" ref="J11:U11" si="1">SUM(J8:J10)</f>
        <v>1</v>
      </c>
      <c r="K11" s="321">
        <f t="shared" si="1"/>
        <v>1</v>
      </c>
      <c r="L11" s="321">
        <f t="shared" si="1"/>
        <v>1</v>
      </c>
      <c r="M11" s="321">
        <f t="shared" si="1"/>
        <v>1</v>
      </c>
      <c r="N11" s="321">
        <f t="shared" si="1"/>
        <v>1</v>
      </c>
      <c r="O11" s="321">
        <f t="shared" si="1"/>
        <v>1</v>
      </c>
      <c r="P11" s="321">
        <f t="shared" si="1"/>
        <v>1</v>
      </c>
      <c r="Q11" s="321">
        <f t="shared" si="1"/>
        <v>1</v>
      </c>
      <c r="R11" s="321">
        <f t="shared" si="1"/>
        <v>1</v>
      </c>
      <c r="S11" s="321">
        <f t="shared" si="1"/>
        <v>1</v>
      </c>
      <c r="T11" s="321">
        <f t="shared" si="1"/>
        <v>1</v>
      </c>
      <c r="U11" s="321">
        <f t="shared" si="1"/>
        <v>1</v>
      </c>
      <c r="V11" s="321"/>
      <c r="W11" s="321">
        <f t="shared" ref="W11" si="2">SUM(W8:W10)</f>
        <v>1</v>
      </c>
      <c r="X11" s="321"/>
    </row>
    <row r="13" spans="1:24">
      <c r="A13" t="s">
        <v>53</v>
      </c>
    </row>
    <row r="14" spans="1:24">
      <c r="A14" t="s">
        <v>49</v>
      </c>
    </row>
    <row r="15" spans="1:24">
      <c r="A15" t="s">
        <v>50</v>
      </c>
      <c r="B15" s="349">
        <v>0.61182582845098776</v>
      </c>
      <c r="C15" s="349">
        <v>0.61182582845098776</v>
      </c>
      <c r="D15" s="349">
        <v>0.61182582845098776</v>
      </c>
      <c r="E15" s="349">
        <v>0.61182582845098776</v>
      </c>
      <c r="F15" s="349">
        <v>0.61182582845098776</v>
      </c>
      <c r="G15" s="349">
        <v>0.61182582845098776</v>
      </c>
      <c r="H15" s="349">
        <v>0.61182582845098776</v>
      </c>
      <c r="I15" s="321"/>
      <c r="J15" s="349">
        <v>0.61182582845098776</v>
      </c>
      <c r="K15" s="349">
        <v>0.61182582845098776</v>
      </c>
      <c r="L15" s="349">
        <v>0.61182582845098776</v>
      </c>
      <c r="M15" s="349">
        <v>0.61182582845098776</v>
      </c>
      <c r="N15" s="349">
        <v>0.61182582845098776</v>
      </c>
      <c r="O15" s="349">
        <v>0.61182582845098776</v>
      </c>
      <c r="P15" s="349">
        <v>0.61182582845098776</v>
      </c>
      <c r="Q15" s="349">
        <v>0.61182582845098776</v>
      </c>
      <c r="R15" s="349">
        <v>0.61182582845098776</v>
      </c>
      <c r="S15" s="349">
        <v>0.61182582845098776</v>
      </c>
      <c r="T15" s="349">
        <v>0.61182582845098776</v>
      </c>
      <c r="U15" s="349">
        <v>0.61182582845098776</v>
      </c>
      <c r="V15" s="321"/>
      <c r="W15" s="349">
        <v>0.61182582845098776</v>
      </c>
      <c r="X15" s="321"/>
    </row>
    <row r="16" spans="1:24">
      <c r="A16" t="s">
        <v>51</v>
      </c>
      <c r="B16" s="349">
        <v>0.32601112737080684</v>
      </c>
      <c r="C16" s="349">
        <v>0.32601112737080684</v>
      </c>
      <c r="D16" s="349">
        <v>0.32601112737080684</v>
      </c>
      <c r="E16" s="349">
        <v>0.32601112737080684</v>
      </c>
      <c r="F16" s="349">
        <v>0.32601112737080684</v>
      </c>
      <c r="G16" s="349">
        <v>0.32601112737080684</v>
      </c>
      <c r="H16" s="349">
        <v>0.32601112737080684</v>
      </c>
      <c r="I16" s="321"/>
      <c r="J16" s="349">
        <v>0.32601112737080684</v>
      </c>
      <c r="K16" s="349">
        <v>0.32601112737080684</v>
      </c>
      <c r="L16" s="349">
        <v>0.32601112737080684</v>
      </c>
      <c r="M16" s="349">
        <v>0.32601112737080684</v>
      </c>
      <c r="N16" s="349">
        <v>0.32601112737080684</v>
      </c>
      <c r="O16" s="349">
        <v>0.32601112737080684</v>
      </c>
      <c r="P16" s="349">
        <v>0.32601112737080684</v>
      </c>
      <c r="Q16" s="349">
        <v>0.32601112737080684</v>
      </c>
      <c r="R16" s="349">
        <v>0.32601112737080684</v>
      </c>
      <c r="S16" s="349">
        <v>0.32601112737080684</v>
      </c>
      <c r="T16" s="349">
        <v>0.32601112737080684</v>
      </c>
      <c r="U16" s="349">
        <v>0.32601112737080684</v>
      </c>
      <c r="V16" s="321"/>
      <c r="W16" s="349">
        <v>0.32601112737080684</v>
      </c>
      <c r="X16" s="321"/>
    </row>
    <row r="17" spans="1:24">
      <c r="A17" t="s">
        <v>52</v>
      </c>
      <c r="B17" s="349">
        <v>6.2163044178205396E-2</v>
      </c>
      <c r="C17" s="349">
        <v>6.2163044178205396E-2</v>
      </c>
      <c r="D17" s="349">
        <v>6.2163044178205396E-2</v>
      </c>
      <c r="E17" s="349">
        <v>6.2163044178205396E-2</v>
      </c>
      <c r="F17" s="349">
        <v>6.2163044178205396E-2</v>
      </c>
      <c r="G17" s="349">
        <v>6.2163044178205396E-2</v>
      </c>
      <c r="H17" s="349">
        <v>6.2163044178205396E-2</v>
      </c>
      <c r="I17" s="321"/>
      <c r="J17" s="349">
        <v>6.2163044178205396E-2</v>
      </c>
      <c r="K17" s="349">
        <v>6.2163044178205396E-2</v>
      </c>
      <c r="L17" s="349">
        <v>6.2163044178205396E-2</v>
      </c>
      <c r="M17" s="349">
        <v>6.2163044178205396E-2</v>
      </c>
      <c r="N17" s="349">
        <v>6.2163044178205396E-2</v>
      </c>
      <c r="O17" s="349">
        <v>6.2163044178205396E-2</v>
      </c>
      <c r="P17" s="349">
        <v>6.2163044178205396E-2</v>
      </c>
      <c r="Q17" s="349">
        <v>6.2163044178205396E-2</v>
      </c>
      <c r="R17" s="349">
        <v>6.2163044178205396E-2</v>
      </c>
      <c r="S17" s="349">
        <v>6.2163044178205396E-2</v>
      </c>
      <c r="T17" s="349">
        <v>6.2163044178205396E-2</v>
      </c>
      <c r="U17" s="349">
        <v>6.2163044178205396E-2</v>
      </c>
      <c r="V17" s="321"/>
      <c r="W17" s="349">
        <v>6.2163044178205396E-2</v>
      </c>
      <c r="X17" s="321"/>
    </row>
    <row r="18" spans="1:24">
      <c r="A18" t="s">
        <v>30</v>
      </c>
      <c r="B18" s="321">
        <f>SUM(B15:B17)</f>
        <v>1</v>
      </c>
      <c r="C18" s="321">
        <f t="shared" ref="C18:H18" si="3">SUM(C15:C17)</f>
        <v>1</v>
      </c>
      <c r="D18" s="321">
        <f t="shared" si="3"/>
        <v>1</v>
      </c>
      <c r="E18" s="321">
        <f t="shared" si="3"/>
        <v>1</v>
      </c>
      <c r="F18" s="321">
        <f t="shared" si="3"/>
        <v>1</v>
      </c>
      <c r="G18" s="321">
        <f t="shared" si="3"/>
        <v>1</v>
      </c>
      <c r="H18" s="321">
        <f t="shared" si="3"/>
        <v>1</v>
      </c>
      <c r="I18" s="321"/>
      <c r="J18" s="321">
        <f t="shared" ref="J18:U18" si="4">SUM(J15:J17)</f>
        <v>1</v>
      </c>
      <c r="K18" s="321">
        <f t="shared" si="4"/>
        <v>1</v>
      </c>
      <c r="L18" s="321">
        <f t="shared" si="4"/>
        <v>1</v>
      </c>
      <c r="M18" s="321">
        <f t="shared" si="4"/>
        <v>1</v>
      </c>
      <c r="N18" s="321">
        <f t="shared" si="4"/>
        <v>1</v>
      </c>
      <c r="O18" s="321">
        <f t="shared" si="4"/>
        <v>1</v>
      </c>
      <c r="P18" s="321">
        <f t="shared" si="4"/>
        <v>1</v>
      </c>
      <c r="Q18" s="321">
        <f t="shared" si="4"/>
        <v>1</v>
      </c>
      <c r="R18" s="321">
        <f t="shared" si="4"/>
        <v>1</v>
      </c>
      <c r="S18" s="321">
        <f t="shared" si="4"/>
        <v>1</v>
      </c>
      <c r="T18" s="321">
        <f t="shared" si="4"/>
        <v>1</v>
      </c>
      <c r="U18" s="321">
        <f t="shared" si="4"/>
        <v>1</v>
      </c>
      <c r="V18" s="321"/>
      <c r="W18" s="321">
        <f t="shared" ref="W18" si="5">SUM(W15:W17)</f>
        <v>1</v>
      </c>
      <c r="X18" s="321"/>
    </row>
    <row r="20" spans="1:24">
      <c r="A20" t="s">
        <v>55</v>
      </c>
    </row>
    <row r="21" spans="1:24">
      <c r="A21" t="s">
        <v>49</v>
      </c>
    </row>
    <row r="22" spans="1:24">
      <c r="A22" t="s">
        <v>50</v>
      </c>
      <c r="B22" s="350">
        <v>0.65937598217091919</v>
      </c>
      <c r="C22" s="350">
        <v>0.65937598217091919</v>
      </c>
      <c r="D22" s="350">
        <v>0.65937598217091919</v>
      </c>
      <c r="E22" s="350">
        <v>0.65937598217091919</v>
      </c>
      <c r="F22" s="350">
        <v>0.65937598217091919</v>
      </c>
      <c r="G22" s="350">
        <v>0.65937598217091919</v>
      </c>
      <c r="H22" s="350">
        <v>0.65937598217091919</v>
      </c>
      <c r="I22" s="54"/>
      <c r="J22" s="350">
        <v>0.65937598217091919</v>
      </c>
      <c r="K22" s="350">
        <v>0.65937598217091919</v>
      </c>
      <c r="L22" s="350">
        <v>0.65937598217091919</v>
      </c>
      <c r="M22" s="350">
        <v>0.65937598217091919</v>
      </c>
      <c r="N22" s="350">
        <v>0.65937598217091919</v>
      </c>
      <c r="O22" s="350">
        <v>0.65937598217091919</v>
      </c>
      <c r="P22" s="350">
        <v>0.65937598217091919</v>
      </c>
      <c r="Q22" s="350">
        <v>0.65937598217091919</v>
      </c>
      <c r="R22" s="350">
        <v>0.65937598217091919</v>
      </c>
      <c r="S22" s="350">
        <v>0.65937598217091919</v>
      </c>
      <c r="T22" s="350">
        <v>0.65937598217091919</v>
      </c>
      <c r="U22" s="350">
        <v>0.65937598217091919</v>
      </c>
      <c r="V22" s="54"/>
      <c r="W22" s="350">
        <v>0.65937598217091919</v>
      </c>
      <c r="X22" s="54"/>
    </row>
    <row r="23" spans="1:24">
      <c r="A23" t="s">
        <v>51</v>
      </c>
      <c r="B23" s="350">
        <v>0.22329780850881453</v>
      </c>
      <c r="C23" s="350">
        <v>0.22329780850881453</v>
      </c>
      <c r="D23" s="350">
        <v>0.22329780850881453</v>
      </c>
      <c r="E23" s="350">
        <v>0.22329780850881453</v>
      </c>
      <c r="F23" s="350">
        <v>0.22329780850881453</v>
      </c>
      <c r="G23" s="350">
        <v>0.22329780850881453</v>
      </c>
      <c r="H23" s="350">
        <v>0.22329780850881453</v>
      </c>
      <c r="I23" s="54"/>
      <c r="J23" s="350">
        <v>0.22329780850881453</v>
      </c>
      <c r="K23" s="350">
        <v>0.22329780850881453</v>
      </c>
      <c r="L23" s="350">
        <v>0.22329780850881453</v>
      </c>
      <c r="M23" s="350">
        <v>0.22329780850881453</v>
      </c>
      <c r="N23" s="350">
        <v>0.22329780850881453</v>
      </c>
      <c r="O23" s="350">
        <v>0.22329780850881453</v>
      </c>
      <c r="P23" s="350">
        <v>0.22329780850881453</v>
      </c>
      <c r="Q23" s="350">
        <v>0.22329780850881453</v>
      </c>
      <c r="R23" s="350">
        <v>0.22329780850881453</v>
      </c>
      <c r="S23" s="350">
        <v>0.22329780850881453</v>
      </c>
      <c r="T23" s="350">
        <v>0.22329780850881453</v>
      </c>
      <c r="U23" s="350">
        <v>0.22329780850881453</v>
      </c>
      <c r="V23" s="54"/>
      <c r="W23" s="350">
        <v>0.22329780850881453</v>
      </c>
      <c r="X23" s="54"/>
    </row>
    <row r="24" spans="1:24">
      <c r="A24" t="s">
        <v>52</v>
      </c>
      <c r="B24" s="350">
        <v>0.11732620932026629</v>
      </c>
      <c r="C24" s="350">
        <v>0.11732620932026629</v>
      </c>
      <c r="D24" s="350">
        <v>0.11732620932026629</v>
      </c>
      <c r="E24" s="350">
        <v>0.11732620932026629</v>
      </c>
      <c r="F24" s="350">
        <v>0.11732620932026629</v>
      </c>
      <c r="G24" s="350">
        <v>0.11732620932026629</v>
      </c>
      <c r="H24" s="350">
        <v>0.11732620932026629</v>
      </c>
      <c r="I24" s="54"/>
      <c r="J24" s="350">
        <v>0.11732620932026629</v>
      </c>
      <c r="K24" s="350">
        <v>0.11732620932026629</v>
      </c>
      <c r="L24" s="350">
        <v>0.11732620932026629</v>
      </c>
      <c r="M24" s="350">
        <v>0.11732620932026629</v>
      </c>
      <c r="N24" s="350">
        <v>0.11732620932026629</v>
      </c>
      <c r="O24" s="350">
        <v>0.11732620932026629</v>
      </c>
      <c r="P24" s="350">
        <v>0.11732620932026629</v>
      </c>
      <c r="Q24" s="350">
        <v>0.11732620932026629</v>
      </c>
      <c r="R24" s="350">
        <v>0.11732620932026629</v>
      </c>
      <c r="S24" s="350">
        <v>0.11732620932026629</v>
      </c>
      <c r="T24" s="350">
        <v>0.11732620932026629</v>
      </c>
      <c r="U24" s="350">
        <v>0.11732620932026629</v>
      </c>
      <c r="V24" s="54"/>
      <c r="W24" s="350">
        <v>0.11732620932026629</v>
      </c>
      <c r="X24" s="54"/>
    </row>
    <row r="25" spans="1:24">
      <c r="A25" t="s">
        <v>30</v>
      </c>
      <c r="B25" s="54">
        <f>SUM(B22:B24)</f>
        <v>1</v>
      </c>
      <c r="C25" s="54">
        <f t="shared" ref="C25:H25" si="6">SUM(C22:C24)</f>
        <v>1</v>
      </c>
      <c r="D25" s="54">
        <f t="shared" si="6"/>
        <v>1</v>
      </c>
      <c r="E25" s="54">
        <f t="shared" si="6"/>
        <v>1</v>
      </c>
      <c r="F25" s="54">
        <f t="shared" si="6"/>
        <v>1</v>
      </c>
      <c r="G25" s="54">
        <f t="shared" si="6"/>
        <v>1</v>
      </c>
      <c r="H25" s="54">
        <f t="shared" si="6"/>
        <v>1</v>
      </c>
      <c r="I25" s="54"/>
      <c r="J25" s="54">
        <f t="shared" ref="J25:U25" si="7">SUM(J22:J24)</f>
        <v>1</v>
      </c>
      <c r="K25" s="54">
        <f t="shared" si="7"/>
        <v>1</v>
      </c>
      <c r="L25" s="54">
        <f t="shared" si="7"/>
        <v>1</v>
      </c>
      <c r="M25" s="54">
        <f t="shared" si="7"/>
        <v>1</v>
      </c>
      <c r="N25" s="54">
        <f t="shared" si="7"/>
        <v>1</v>
      </c>
      <c r="O25" s="54">
        <f t="shared" si="7"/>
        <v>1</v>
      </c>
      <c r="P25" s="54">
        <f t="shared" si="7"/>
        <v>1</v>
      </c>
      <c r="Q25" s="54">
        <f t="shared" si="7"/>
        <v>1</v>
      </c>
      <c r="R25" s="54">
        <f t="shared" si="7"/>
        <v>1</v>
      </c>
      <c r="S25" s="54">
        <f t="shared" si="7"/>
        <v>1</v>
      </c>
      <c r="T25" s="54">
        <f t="shared" si="7"/>
        <v>1</v>
      </c>
      <c r="U25" s="54">
        <f t="shared" si="7"/>
        <v>1</v>
      </c>
      <c r="V25" s="54"/>
      <c r="W25" s="54">
        <f t="shared" ref="W25" si="8">SUM(W22:W24)</f>
        <v>1</v>
      </c>
      <c r="X25" s="54"/>
    </row>
    <row r="27" spans="1:24">
      <c r="A27" t="s">
        <v>56</v>
      </c>
    </row>
    <row r="28" spans="1:24">
      <c r="A28" t="s">
        <v>49</v>
      </c>
    </row>
    <row r="29" spans="1:24">
      <c r="A29" t="s">
        <v>57</v>
      </c>
      <c r="B29" s="350">
        <v>0.91305951426206522</v>
      </c>
      <c r="C29" s="350">
        <v>0.91305951426206522</v>
      </c>
      <c r="D29" s="350">
        <v>0.91305951426206522</v>
      </c>
      <c r="E29" s="350">
        <v>0.91305951426206522</v>
      </c>
      <c r="F29" s="350">
        <v>0.91305951426206522</v>
      </c>
      <c r="G29" s="350">
        <v>0.91305951426206522</v>
      </c>
      <c r="H29" s="350">
        <v>0.91305951426206522</v>
      </c>
      <c r="I29" s="54"/>
      <c r="J29" s="350">
        <v>0.91305951426206522</v>
      </c>
      <c r="K29" s="350">
        <v>0.91305951426206522</v>
      </c>
      <c r="L29" s="350">
        <v>0.91305951426206522</v>
      </c>
      <c r="M29" s="350">
        <v>0.91305951426206522</v>
      </c>
      <c r="N29" s="350">
        <v>0.91305951426206522</v>
      </c>
      <c r="O29" s="350">
        <v>0.91305951426206522</v>
      </c>
      <c r="P29" s="350">
        <v>0.91305951426206522</v>
      </c>
      <c r="Q29" s="350">
        <v>0.91305951426206522</v>
      </c>
      <c r="R29" s="350">
        <v>0.91305951426206522</v>
      </c>
      <c r="S29" s="350">
        <v>0.91305951426206522</v>
      </c>
      <c r="T29" s="350">
        <v>0.91305951426206522</v>
      </c>
      <c r="U29" s="350">
        <v>0.91305951426206522</v>
      </c>
      <c r="V29" s="54"/>
      <c r="W29" s="350">
        <v>0.91305951426206522</v>
      </c>
      <c r="X29" s="54"/>
    </row>
    <row r="30" spans="1:24">
      <c r="A30" t="s">
        <v>58</v>
      </c>
      <c r="B30" s="350">
        <v>8.6940485737934822E-2</v>
      </c>
      <c r="C30" s="350">
        <v>8.6940485737934822E-2</v>
      </c>
      <c r="D30" s="350">
        <v>8.6940485737934822E-2</v>
      </c>
      <c r="E30" s="350">
        <v>8.6940485737934822E-2</v>
      </c>
      <c r="F30" s="350">
        <v>8.6940485737934822E-2</v>
      </c>
      <c r="G30" s="350">
        <v>8.6940485737934822E-2</v>
      </c>
      <c r="H30" s="350">
        <v>8.6940485737934822E-2</v>
      </c>
      <c r="I30" s="54"/>
      <c r="J30" s="350">
        <v>8.6940485737934822E-2</v>
      </c>
      <c r="K30" s="350">
        <v>8.6940485737934822E-2</v>
      </c>
      <c r="L30" s="350">
        <v>8.6940485737934822E-2</v>
      </c>
      <c r="M30" s="350">
        <v>8.6940485737934822E-2</v>
      </c>
      <c r="N30" s="350">
        <v>8.6940485737934822E-2</v>
      </c>
      <c r="O30" s="350">
        <v>8.6940485737934822E-2</v>
      </c>
      <c r="P30" s="350">
        <v>8.6940485737934822E-2</v>
      </c>
      <c r="Q30" s="350">
        <v>8.6940485737934822E-2</v>
      </c>
      <c r="R30" s="350">
        <v>8.6940485737934822E-2</v>
      </c>
      <c r="S30" s="350">
        <v>8.6940485737934822E-2</v>
      </c>
      <c r="T30" s="350">
        <v>8.6940485737934822E-2</v>
      </c>
      <c r="U30" s="350">
        <v>8.6940485737934822E-2</v>
      </c>
      <c r="V30" s="54"/>
      <c r="W30" s="350">
        <v>8.6940485737934822E-2</v>
      </c>
      <c r="X30" s="54"/>
    </row>
    <row r="31" spans="1:24">
      <c r="A31" t="s">
        <v>52</v>
      </c>
      <c r="B31" s="350">
        <v>0</v>
      </c>
      <c r="C31" s="350">
        <v>0</v>
      </c>
      <c r="D31" s="350">
        <v>0</v>
      </c>
      <c r="E31" s="350">
        <v>0</v>
      </c>
      <c r="F31" s="350">
        <v>0</v>
      </c>
      <c r="G31" s="350">
        <v>0</v>
      </c>
      <c r="H31" s="350">
        <v>0</v>
      </c>
      <c r="I31" s="54"/>
      <c r="J31" s="350">
        <v>0</v>
      </c>
      <c r="K31" s="350">
        <v>0</v>
      </c>
      <c r="L31" s="350">
        <v>0</v>
      </c>
      <c r="M31" s="350">
        <v>0</v>
      </c>
      <c r="N31" s="350">
        <v>0</v>
      </c>
      <c r="O31" s="350">
        <v>0</v>
      </c>
      <c r="P31" s="350">
        <v>0</v>
      </c>
      <c r="Q31" s="350">
        <v>0</v>
      </c>
      <c r="R31" s="350">
        <v>0</v>
      </c>
      <c r="S31" s="350">
        <v>0</v>
      </c>
      <c r="T31" s="350">
        <v>0</v>
      </c>
      <c r="U31" s="350">
        <v>0</v>
      </c>
      <c r="V31" s="54"/>
      <c r="W31" s="350">
        <v>0</v>
      </c>
      <c r="X31" s="54"/>
    </row>
    <row r="32" spans="1:24">
      <c r="A32" t="s">
        <v>30</v>
      </c>
      <c r="B32" s="54">
        <f>SUM(B29:B31)</f>
        <v>1</v>
      </c>
      <c r="C32" s="54">
        <f t="shared" ref="C32:H32" si="9">SUM(C29:C31)</f>
        <v>1</v>
      </c>
      <c r="D32" s="54">
        <f t="shared" si="9"/>
        <v>1</v>
      </c>
      <c r="E32" s="54">
        <f t="shared" si="9"/>
        <v>1</v>
      </c>
      <c r="F32" s="54">
        <f t="shared" si="9"/>
        <v>1</v>
      </c>
      <c r="G32" s="54">
        <f t="shared" si="9"/>
        <v>1</v>
      </c>
      <c r="H32" s="54">
        <f t="shared" si="9"/>
        <v>1</v>
      </c>
      <c r="I32" s="54"/>
      <c r="J32" s="54">
        <f t="shared" ref="J32:U32" si="10">SUM(J29:J31)</f>
        <v>1</v>
      </c>
      <c r="K32" s="54">
        <f t="shared" si="10"/>
        <v>1</v>
      </c>
      <c r="L32" s="54">
        <f t="shared" si="10"/>
        <v>1</v>
      </c>
      <c r="M32" s="54">
        <f t="shared" si="10"/>
        <v>1</v>
      </c>
      <c r="N32" s="54">
        <f t="shared" si="10"/>
        <v>1</v>
      </c>
      <c r="O32" s="54">
        <f t="shared" si="10"/>
        <v>1</v>
      </c>
      <c r="P32" s="54">
        <f t="shared" si="10"/>
        <v>1</v>
      </c>
      <c r="Q32" s="54">
        <f t="shared" si="10"/>
        <v>1</v>
      </c>
      <c r="R32" s="54">
        <f t="shared" si="10"/>
        <v>1</v>
      </c>
      <c r="S32" s="54">
        <f t="shared" si="10"/>
        <v>1</v>
      </c>
      <c r="T32" s="54">
        <f t="shared" si="10"/>
        <v>1</v>
      </c>
      <c r="U32" s="54">
        <f t="shared" si="10"/>
        <v>1</v>
      </c>
      <c r="V32" s="54"/>
      <c r="W32" s="54">
        <f t="shared" ref="W32" si="11">SUM(W29:W31)</f>
        <v>1</v>
      </c>
      <c r="X32" s="54"/>
    </row>
    <row r="34" spans="1:24">
      <c r="A34" t="s">
        <v>59</v>
      </c>
    </row>
    <row r="35" spans="1:24">
      <c r="A35" t="s">
        <v>49</v>
      </c>
    </row>
    <row r="36" spans="1:24">
      <c r="A36" t="s">
        <v>57</v>
      </c>
      <c r="B36" s="350">
        <v>0.91305951426206522</v>
      </c>
      <c r="C36" s="350">
        <v>0.91305951426206522</v>
      </c>
      <c r="D36" s="350">
        <v>0.91305951426206522</v>
      </c>
      <c r="E36" s="350">
        <v>0.91305951426206522</v>
      </c>
      <c r="F36" s="350">
        <v>0.91305951426206522</v>
      </c>
      <c r="G36" s="350">
        <v>0.91305951426206522</v>
      </c>
      <c r="H36" s="350">
        <v>0.91305951426206522</v>
      </c>
      <c r="I36" s="54"/>
      <c r="J36" s="350">
        <v>0.91305951426206522</v>
      </c>
      <c r="K36" s="350">
        <v>0.91305951426206522</v>
      </c>
      <c r="L36" s="350">
        <v>0.91305951426206522</v>
      </c>
      <c r="M36" s="350">
        <v>0.91305951426206522</v>
      </c>
      <c r="N36" s="350">
        <v>0.91305951426206522</v>
      </c>
      <c r="O36" s="350">
        <v>0.91305951426206522</v>
      </c>
      <c r="P36" s="350">
        <v>0.91305951426206522</v>
      </c>
      <c r="Q36" s="350">
        <v>0.91305951426206522</v>
      </c>
      <c r="R36" s="350">
        <v>0.91305951426206522</v>
      </c>
      <c r="S36" s="350">
        <v>0.91305951426206522</v>
      </c>
      <c r="T36" s="350">
        <v>0.91305951426206522</v>
      </c>
      <c r="U36" s="350">
        <v>0.91305951426206522</v>
      </c>
      <c r="V36" s="54"/>
      <c r="W36" s="350">
        <v>0.91305951426206522</v>
      </c>
      <c r="X36" s="54"/>
    </row>
    <row r="37" spans="1:24">
      <c r="A37" t="s">
        <v>58</v>
      </c>
      <c r="B37" s="350">
        <v>8.6940485737934822E-2</v>
      </c>
      <c r="C37" s="350">
        <v>8.6940485737934822E-2</v>
      </c>
      <c r="D37" s="350">
        <v>8.6940485737934822E-2</v>
      </c>
      <c r="E37" s="350">
        <v>8.6940485737934822E-2</v>
      </c>
      <c r="F37" s="350">
        <v>8.6940485737934822E-2</v>
      </c>
      <c r="G37" s="350">
        <v>8.6940485737934822E-2</v>
      </c>
      <c r="H37" s="350">
        <v>8.6940485737934822E-2</v>
      </c>
      <c r="I37" s="54"/>
      <c r="J37" s="350">
        <v>8.6940485737934822E-2</v>
      </c>
      <c r="K37" s="350">
        <v>8.6940485737934822E-2</v>
      </c>
      <c r="L37" s="350">
        <v>8.6940485737934822E-2</v>
      </c>
      <c r="M37" s="350">
        <v>8.6940485737934822E-2</v>
      </c>
      <c r="N37" s="350">
        <v>8.6940485737934822E-2</v>
      </c>
      <c r="O37" s="350">
        <v>8.6940485737934822E-2</v>
      </c>
      <c r="P37" s="350">
        <v>8.6940485737934822E-2</v>
      </c>
      <c r="Q37" s="350">
        <v>8.6940485737934822E-2</v>
      </c>
      <c r="R37" s="350">
        <v>8.6940485737934822E-2</v>
      </c>
      <c r="S37" s="350">
        <v>8.6940485737934822E-2</v>
      </c>
      <c r="T37" s="350">
        <v>8.6940485737934822E-2</v>
      </c>
      <c r="U37" s="350">
        <v>8.6940485737934822E-2</v>
      </c>
      <c r="V37" s="54"/>
      <c r="W37" s="350">
        <v>8.6940485737934822E-2</v>
      </c>
      <c r="X37" s="54"/>
    </row>
    <row r="38" spans="1:24">
      <c r="A38" t="s">
        <v>52</v>
      </c>
      <c r="B38" s="350">
        <v>0</v>
      </c>
      <c r="C38" s="350">
        <v>0</v>
      </c>
      <c r="D38" s="350">
        <v>0</v>
      </c>
      <c r="E38" s="350">
        <v>0</v>
      </c>
      <c r="F38" s="350">
        <v>0</v>
      </c>
      <c r="G38" s="350">
        <v>0</v>
      </c>
      <c r="H38" s="350">
        <v>0</v>
      </c>
      <c r="I38" s="54"/>
      <c r="J38" s="350">
        <v>0</v>
      </c>
      <c r="K38" s="350">
        <v>0</v>
      </c>
      <c r="L38" s="350">
        <v>0</v>
      </c>
      <c r="M38" s="350">
        <v>0</v>
      </c>
      <c r="N38" s="350">
        <v>0</v>
      </c>
      <c r="O38" s="350">
        <v>0</v>
      </c>
      <c r="P38" s="350">
        <v>0</v>
      </c>
      <c r="Q38" s="350">
        <v>0</v>
      </c>
      <c r="R38" s="350">
        <v>0</v>
      </c>
      <c r="S38" s="350">
        <v>0</v>
      </c>
      <c r="T38" s="350">
        <v>0</v>
      </c>
      <c r="U38" s="350">
        <v>0</v>
      </c>
      <c r="V38" s="54"/>
      <c r="W38" s="350">
        <v>0</v>
      </c>
      <c r="X38" s="54"/>
    </row>
    <row r="39" spans="1:24">
      <c r="A39" t="s">
        <v>30</v>
      </c>
      <c r="B39" s="54">
        <f>SUM(B36:B38)</f>
        <v>1</v>
      </c>
      <c r="C39" s="54">
        <f t="shared" ref="C39:H39" si="12">SUM(C36:C38)</f>
        <v>1</v>
      </c>
      <c r="D39" s="54">
        <f t="shared" si="12"/>
        <v>1</v>
      </c>
      <c r="E39" s="54">
        <f t="shared" si="12"/>
        <v>1</v>
      </c>
      <c r="F39" s="54">
        <f t="shared" si="12"/>
        <v>1</v>
      </c>
      <c r="G39" s="54">
        <f t="shared" si="12"/>
        <v>1</v>
      </c>
      <c r="H39" s="54">
        <f t="shared" si="12"/>
        <v>1</v>
      </c>
      <c r="I39" s="54"/>
      <c r="J39" s="54">
        <f t="shared" ref="J39:U39" si="13">SUM(J36:J38)</f>
        <v>1</v>
      </c>
      <c r="K39" s="54">
        <f t="shared" si="13"/>
        <v>1</v>
      </c>
      <c r="L39" s="54">
        <f t="shared" si="13"/>
        <v>1</v>
      </c>
      <c r="M39" s="54">
        <f t="shared" si="13"/>
        <v>1</v>
      </c>
      <c r="N39" s="54">
        <f t="shared" si="13"/>
        <v>1</v>
      </c>
      <c r="O39" s="54">
        <f t="shared" si="13"/>
        <v>1</v>
      </c>
      <c r="P39" s="54">
        <f t="shared" si="13"/>
        <v>1</v>
      </c>
      <c r="Q39" s="54">
        <f t="shared" si="13"/>
        <v>1</v>
      </c>
      <c r="R39" s="54">
        <f t="shared" si="13"/>
        <v>1</v>
      </c>
      <c r="S39" s="54">
        <f t="shared" si="13"/>
        <v>1</v>
      </c>
      <c r="T39" s="54">
        <f t="shared" si="13"/>
        <v>1</v>
      </c>
      <c r="U39" s="54">
        <f t="shared" si="13"/>
        <v>1</v>
      </c>
      <c r="V39" s="54"/>
      <c r="W39" s="54">
        <f t="shared" ref="W39" si="14">SUM(W36:W38)</f>
        <v>1</v>
      </c>
      <c r="X39" s="54"/>
    </row>
    <row r="41" spans="1:24">
      <c r="A41" t="s">
        <v>60</v>
      </c>
    </row>
    <row r="42" spans="1:24">
      <c r="A42" t="s">
        <v>49</v>
      </c>
    </row>
    <row r="43" spans="1:24">
      <c r="A43" t="s">
        <v>61</v>
      </c>
      <c r="B43" s="350">
        <v>0.89299329730259813</v>
      </c>
      <c r="C43" s="350">
        <v>0.89299329730259813</v>
      </c>
      <c r="D43" s="350">
        <v>0.89299329730259813</v>
      </c>
      <c r="E43" s="350">
        <v>0.89299329730259813</v>
      </c>
      <c r="F43" s="350">
        <v>0.89299329730259813</v>
      </c>
      <c r="G43" s="350">
        <v>0.89299329730259813</v>
      </c>
      <c r="H43" s="350">
        <v>0.89299329730259813</v>
      </c>
      <c r="I43" s="54"/>
      <c r="J43" s="350">
        <v>0.89299329730259813</v>
      </c>
      <c r="K43" s="350">
        <v>0.89299329730259813</v>
      </c>
      <c r="L43" s="350">
        <v>0.89299329730259813</v>
      </c>
      <c r="M43" s="350">
        <v>0.89299329730259813</v>
      </c>
      <c r="N43" s="350">
        <v>0.89299329730259813</v>
      </c>
      <c r="O43" s="350">
        <v>0.89299329730259813</v>
      </c>
      <c r="P43" s="350">
        <v>0.89299329730259813</v>
      </c>
      <c r="Q43" s="350">
        <v>0.89299329730259813</v>
      </c>
      <c r="R43" s="350">
        <v>0.89299329730259813</v>
      </c>
      <c r="S43" s="350">
        <v>0.89299329730259813</v>
      </c>
      <c r="T43" s="350">
        <v>0.89299329730259813</v>
      </c>
      <c r="U43" s="350">
        <v>0.89299329730259813</v>
      </c>
      <c r="V43" s="54"/>
      <c r="W43" s="350">
        <v>0.89299329730259813</v>
      </c>
      <c r="X43" s="54"/>
    </row>
    <row r="44" spans="1:24">
      <c r="A44" t="s">
        <v>62</v>
      </c>
      <c r="B44" s="350">
        <v>7.5981968718164775E-2</v>
      </c>
      <c r="C44" s="350">
        <v>7.5981968718164775E-2</v>
      </c>
      <c r="D44" s="350">
        <v>7.5981968718164775E-2</v>
      </c>
      <c r="E44" s="350">
        <v>7.5981968718164775E-2</v>
      </c>
      <c r="F44" s="350">
        <v>7.5981968718164775E-2</v>
      </c>
      <c r="G44" s="350">
        <v>7.5981968718164775E-2</v>
      </c>
      <c r="H44" s="350">
        <v>7.5981968718164775E-2</v>
      </c>
      <c r="I44" s="54"/>
      <c r="J44" s="350">
        <v>7.5981968718164775E-2</v>
      </c>
      <c r="K44" s="350">
        <v>7.5981968718164775E-2</v>
      </c>
      <c r="L44" s="350">
        <v>7.5981968718164775E-2</v>
      </c>
      <c r="M44" s="350">
        <v>7.5981968718164775E-2</v>
      </c>
      <c r="N44" s="350">
        <v>7.5981968718164775E-2</v>
      </c>
      <c r="O44" s="350">
        <v>7.5981968718164775E-2</v>
      </c>
      <c r="P44" s="350">
        <v>7.5981968718164775E-2</v>
      </c>
      <c r="Q44" s="350">
        <v>7.5981968718164775E-2</v>
      </c>
      <c r="R44" s="350">
        <v>7.5981968718164775E-2</v>
      </c>
      <c r="S44" s="350">
        <v>7.5981968718164775E-2</v>
      </c>
      <c r="T44" s="350">
        <v>7.5981968718164775E-2</v>
      </c>
      <c r="U44" s="350">
        <v>7.5981968718164775E-2</v>
      </c>
      <c r="V44" s="54"/>
      <c r="W44" s="350">
        <v>7.5981968718164775E-2</v>
      </c>
      <c r="X44" s="54"/>
    </row>
    <row r="45" spans="1:24">
      <c r="A45" t="s">
        <v>52</v>
      </c>
      <c r="B45" s="350">
        <v>3.1024733979237058E-2</v>
      </c>
      <c r="C45" s="350">
        <v>3.1024733979237058E-2</v>
      </c>
      <c r="D45" s="350">
        <v>3.1024733979237058E-2</v>
      </c>
      <c r="E45" s="350">
        <v>3.1024733979237058E-2</v>
      </c>
      <c r="F45" s="350">
        <v>3.1024733979237058E-2</v>
      </c>
      <c r="G45" s="350">
        <v>3.1024733979237058E-2</v>
      </c>
      <c r="H45" s="350">
        <v>3.1024733979237058E-2</v>
      </c>
      <c r="I45" s="54"/>
      <c r="J45" s="350">
        <v>3.1024733979237058E-2</v>
      </c>
      <c r="K45" s="350">
        <v>3.1024733979237058E-2</v>
      </c>
      <c r="L45" s="350">
        <v>3.1024733979237058E-2</v>
      </c>
      <c r="M45" s="350">
        <v>3.1024733979237058E-2</v>
      </c>
      <c r="N45" s="350">
        <v>3.1024733979237058E-2</v>
      </c>
      <c r="O45" s="350">
        <v>3.1024733979237058E-2</v>
      </c>
      <c r="P45" s="350">
        <v>3.1024733979237058E-2</v>
      </c>
      <c r="Q45" s="350">
        <v>3.1024733979237058E-2</v>
      </c>
      <c r="R45" s="350">
        <v>3.1024733979237058E-2</v>
      </c>
      <c r="S45" s="350">
        <v>3.1024733979237058E-2</v>
      </c>
      <c r="T45" s="350">
        <v>3.1024733979237058E-2</v>
      </c>
      <c r="U45" s="350">
        <v>3.1024733979237058E-2</v>
      </c>
      <c r="V45" s="54"/>
      <c r="W45" s="350">
        <v>3.1024733979237058E-2</v>
      </c>
      <c r="X45" s="54"/>
    </row>
    <row r="46" spans="1:24">
      <c r="A46" t="s">
        <v>30</v>
      </c>
      <c r="B46" s="54">
        <f>SUM(B43:B45)</f>
        <v>1</v>
      </c>
      <c r="C46" s="54">
        <f t="shared" ref="C46:H46" si="15">SUM(C43:C45)</f>
        <v>1</v>
      </c>
      <c r="D46" s="54">
        <f t="shared" si="15"/>
        <v>1</v>
      </c>
      <c r="E46" s="54">
        <f t="shared" si="15"/>
        <v>1</v>
      </c>
      <c r="F46" s="54">
        <f t="shared" si="15"/>
        <v>1</v>
      </c>
      <c r="G46" s="54">
        <f t="shared" si="15"/>
        <v>1</v>
      </c>
      <c r="H46" s="54">
        <f t="shared" si="15"/>
        <v>1</v>
      </c>
      <c r="I46" s="54"/>
      <c r="J46" s="54">
        <f t="shared" ref="J46:U46" si="16">SUM(J43:J45)</f>
        <v>1</v>
      </c>
      <c r="K46" s="54">
        <f t="shared" si="16"/>
        <v>1</v>
      </c>
      <c r="L46" s="54">
        <f t="shared" si="16"/>
        <v>1</v>
      </c>
      <c r="M46" s="54">
        <f t="shared" si="16"/>
        <v>1</v>
      </c>
      <c r="N46" s="54">
        <f t="shared" si="16"/>
        <v>1</v>
      </c>
      <c r="O46" s="54">
        <f t="shared" si="16"/>
        <v>1</v>
      </c>
      <c r="P46" s="54">
        <f t="shared" si="16"/>
        <v>1</v>
      </c>
      <c r="Q46" s="54">
        <f t="shared" si="16"/>
        <v>1</v>
      </c>
      <c r="R46" s="54">
        <f t="shared" si="16"/>
        <v>1</v>
      </c>
      <c r="S46" s="54">
        <f t="shared" si="16"/>
        <v>1</v>
      </c>
      <c r="T46" s="54">
        <f t="shared" si="16"/>
        <v>1</v>
      </c>
      <c r="U46" s="54">
        <f t="shared" si="16"/>
        <v>1</v>
      </c>
      <c r="V46" s="54"/>
      <c r="W46" s="54">
        <f t="shared" ref="W46" si="17">SUM(W43:W45)</f>
        <v>1</v>
      </c>
      <c r="X46" s="54"/>
    </row>
    <row r="48" spans="1:24">
      <c r="A48" t="s">
        <v>63</v>
      </c>
    </row>
    <row r="49" spans="1:24">
      <c r="A49" t="s">
        <v>49</v>
      </c>
    </row>
    <row r="50" spans="1:24">
      <c r="A50" t="s">
        <v>61</v>
      </c>
      <c r="B50" s="350">
        <v>0.89299329730259813</v>
      </c>
      <c r="C50" s="350">
        <v>0.89299329730259813</v>
      </c>
      <c r="D50" s="350">
        <v>0.89299329730259813</v>
      </c>
      <c r="E50" s="350">
        <v>0.89299329730259813</v>
      </c>
      <c r="F50" s="350">
        <v>0.89299329730259813</v>
      </c>
      <c r="G50" s="350">
        <v>0.89299329730259813</v>
      </c>
      <c r="H50" s="350">
        <v>0.89299329730259813</v>
      </c>
      <c r="I50" s="54"/>
      <c r="J50" s="350">
        <v>0.89299329730259813</v>
      </c>
      <c r="K50" s="350">
        <v>0.89299329730259813</v>
      </c>
      <c r="L50" s="350">
        <v>0.89299329730259813</v>
      </c>
      <c r="M50" s="350">
        <v>0.89299329730259813</v>
      </c>
      <c r="N50" s="350">
        <v>0.89299329730259813</v>
      </c>
      <c r="O50" s="350">
        <v>0.89299329730259813</v>
      </c>
      <c r="P50" s="350">
        <v>0.89299329730259813</v>
      </c>
      <c r="Q50" s="350">
        <v>0.89299329730259813</v>
      </c>
      <c r="R50" s="350">
        <v>0.89299329730259813</v>
      </c>
      <c r="S50" s="350">
        <v>0.89299329730259813</v>
      </c>
      <c r="T50" s="350">
        <v>0.89299329730259813</v>
      </c>
      <c r="U50" s="350">
        <v>0.89299329730259813</v>
      </c>
      <c r="V50" s="54"/>
      <c r="W50" s="350">
        <v>0.89299329730259813</v>
      </c>
      <c r="X50" s="54"/>
    </row>
    <row r="51" spans="1:24">
      <c r="A51" t="s">
        <v>62</v>
      </c>
      <c r="B51" s="350">
        <v>7.5981968718164775E-2</v>
      </c>
      <c r="C51" s="350">
        <v>7.5981968718164775E-2</v>
      </c>
      <c r="D51" s="350">
        <v>7.5981968718164775E-2</v>
      </c>
      <c r="E51" s="350">
        <v>7.5981968718164775E-2</v>
      </c>
      <c r="F51" s="350">
        <v>7.5981968718164775E-2</v>
      </c>
      <c r="G51" s="350">
        <v>7.5981968718164775E-2</v>
      </c>
      <c r="H51" s="350">
        <v>7.5981968718164775E-2</v>
      </c>
      <c r="I51" s="54"/>
      <c r="J51" s="350">
        <v>7.5981968718164775E-2</v>
      </c>
      <c r="K51" s="350">
        <v>7.5981968718164775E-2</v>
      </c>
      <c r="L51" s="350">
        <v>7.5981968718164775E-2</v>
      </c>
      <c r="M51" s="350">
        <v>7.5981968718164775E-2</v>
      </c>
      <c r="N51" s="350">
        <v>7.5981968718164775E-2</v>
      </c>
      <c r="O51" s="350">
        <v>7.5981968718164775E-2</v>
      </c>
      <c r="P51" s="350">
        <v>7.5981968718164775E-2</v>
      </c>
      <c r="Q51" s="350">
        <v>7.5981968718164775E-2</v>
      </c>
      <c r="R51" s="350">
        <v>7.5981968718164775E-2</v>
      </c>
      <c r="S51" s="350">
        <v>7.5981968718164775E-2</v>
      </c>
      <c r="T51" s="350">
        <v>7.5981968718164775E-2</v>
      </c>
      <c r="U51" s="350">
        <v>7.5981968718164775E-2</v>
      </c>
      <c r="V51" s="54"/>
      <c r="W51" s="350">
        <v>7.5981968718164775E-2</v>
      </c>
      <c r="X51" s="54"/>
    </row>
    <row r="52" spans="1:24">
      <c r="A52" t="s">
        <v>52</v>
      </c>
      <c r="B52" s="350">
        <v>3.1024733979237058E-2</v>
      </c>
      <c r="C52" s="350">
        <v>3.1024733979237058E-2</v>
      </c>
      <c r="D52" s="350">
        <v>3.1024733979237058E-2</v>
      </c>
      <c r="E52" s="350">
        <v>3.1024733979237058E-2</v>
      </c>
      <c r="F52" s="350">
        <v>3.1024733979237058E-2</v>
      </c>
      <c r="G52" s="350">
        <v>3.1024733979237058E-2</v>
      </c>
      <c r="H52" s="350">
        <v>3.1024733979237058E-2</v>
      </c>
      <c r="I52" s="54"/>
      <c r="J52" s="350">
        <v>3.1024733979237058E-2</v>
      </c>
      <c r="K52" s="350">
        <v>3.1024733979237058E-2</v>
      </c>
      <c r="L52" s="350">
        <v>3.1024733979237058E-2</v>
      </c>
      <c r="M52" s="350">
        <v>3.1024733979237058E-2</v>
      </c>
      <c r="N52" s="350">
        <v>3.1024733979237058E-2</v>
      </c>
      <c r="O52" s="350">
        <v>3.1024733979237058E-2</v>
      </c>
      <c r="P52" s="350">
        <v>3.1024733979237058E-2</v>
      </c>
      <c r="Q52" s="350">
        <v>3.1024733979237058E-2</v>
      </c>
      <c r="R52" s="350">
        <v>3.1024733979237058E-2</v>
      </c>
      <c r="S52" s="350">
        <v>3.1024733979237058E-2</v>
      </c>
      <c r="T52" s="350">
        <v>3.1024733979237058E-2</v>
      </c>
      <c r="U52" s="350">
        <v>3.1024733979237058E-2</v>
      </c>
      <c r="V52" s="54"/>
      <c r="W52" s="350">
        <v>3.1024733979237058E-2</v>
      </c>
      <c r="X52" s="54"/>
    </row>
    <row r="53" spans="1:24">
      <c r="A53" t="s">
        <v>30</v>
      </c>
      <c r="B53" s="54">
        <f>SUM(B50:B52)</f>
        <v>1</v>
      </c>
      <c r="C53" s="54">
        <f t="shared" ref="C53:H53" si="18">SUM(C50:C52)</f>
        <v>1</v>
      </c>
      <c r="D53" s="54">
        <f t="shared" si="18"/>
        <v>1</v>
      </c>
      <c r="E53" s="54">
        <f t="shared" si="18"/>
        <v>1</v>
      </c>
      <c r="F53" s="54">
        <f t="shared" si="18"/>
        <v>1</v>
      </c>
      <c r="G53" s="54">
        <f t="shared" si="18"/>
        <v>1</v>
      </c>
      <c r="H53" s="54">
        <f t="shared" si="18"/>
        <v>1</v>
      </c>
      <c r="I53" s="54"/>
      <c r="J53" s="54">
        <f t="shared" ref="J53:U53" si="19">SUM(J50:J52)</f>
        <v>1</v>
      </c>
      <c r="K53" s="54">
        <f t="shared" si="19"/>
        <v>1</v>
      </c>
      <c r="L53" s="54">
        <f t="shared" si="19"/>
        <v>1</v>
      </c>
      <c r="M53" s="54">
        <f t="shared" si="19"/>
        <v>1</v>
      </c>
      <c r="N53" s="54">
        <f t="shared" si="19"/>
        <v>1</v>
      </c>
      <c r="O53" s="54">
        <f t="shared" si="19"/>
        <v>1</v>
      </c>
      <c r="P53" s="54">
        <f t="shared" si="19"/>
        <v>1</v>
      </c>
      <c r="Q53" s="54">
        <f t="shared" si="19"/>
        <v>1</v>
      </c>
      <c r="R53" s="54">
        <f t="shared" si="19"/>
        <v>1</v>
      </c>
      <c r="S53" s="54">
        <f t="shared" si="19"/>
        <v>1</v>
      </c>
      <c r="T53" s="54">
        <f t="shared" si="19"/>
        <v>1</v>
      </c>
      <c r="U53" s="54">
        <f t="shared" si="19"/>
        <v>1</v>
      </c>
      <c r="V53" s="54"/>
      <c r="W53" s="54">
        <f t="shared" ref="W53" si="20">SUM(W50:W52)</f>
        <v>1</v>
      </c>
      <c r="X53" s="54"/>
    </row>
  </sheetData>
  <mergeCells count="2">
    <mergeCell ref="B4:H4"/>
    <mergeCell ref="J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CC313"/>
  <sheetViews>
    <sheetView workbookViewId="0">
      <selection activeCell="CE34" sqref="CE34"/>
    </sheetView>
  </sheetViews>
  <sheetFormatPr defaultColWidth="9.140625" defaultRowHeight="12.95" outlineLevelCol="1"/>
  <cols>
    <col min="1" max="1" width="19.28515625" style="420" bestFit="1" customWidth="1"/>
    <col min="2" max="2" width="44.28515625" style="420" customWidth="1"/>
    <col min="3" max="3" width="9" style="420" hidden="1" customWidth="1" outlineLevel="1"/>
    <col min="4" max="14" width="8.140625" style="420" hidden="1" customWidth="1" outlineLevel="1"/>
    <col min="15" max="15" width="8.140625" style="420" bestFit="1" customWidth="1" collapsed="1"/>
    <col min="16" max="27" width="8.140625" style="420" hidden="1" customWidth="1" outlineLevel="1"/>
    <col min="28" max="28" width="8" style="420" bestFit="1" customWidth="1" collapsed="1"/>
    <col min="29" max="40" width="8.140625" style="420" hidden="1" customWidth="1" outlineLevel="1"/>
    <col min="41" max="41" width="8" style="420" bestFit="1" customWidth="1" collapsed="1"/>
    <col min="42" max="42" width="9.140625" style="420"/>
    <col min="43" max="54" width="8.140625" style="420" hidden="1" customWidth="1" outlineLevel="1"/>
    <col min="55" max="55" width="8.140625" style="420" bestFit="1" customWidth="1" collapsed="1"/>
    <col min="56" max="67" width="8.140625" style="420" hidden="1" customWidth="1" outlineLevel="1"/>
    <col min="68" max="68" width="8" style="420" bestFit="1" customWidth="1" collapsed="1"/>
    <col min="69" max="80" width="8.140625" style="420" hidden="1" customWidth="1" outlineLevel="1"/>
    <col min="81" max="81" width="8" style="420" bestFit="1" customWidth="1" collapsed="1"/>
    <col min="82" max="16384" width="9.140625" style="420"/>
  </cols>
  <sheetData>
    <row r="1" spans="1:81">
      <c r="C1" s="421" t="s">
        <v>158</v>
      </c>
    </row>
    <row r="2" spans="1:81">
      <c r="B2" s="421" t="s">
        <v>159</v>
      </c>
    </row>
    <row r="3" spans="1:81">
      <c r="B3" s="421"/>
    </row>
    <row r="4" spans="1:81">
      <c r="C4" s="432">
        <v>2018</v>
      </c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40">
        <f>C4</f>
        <v>2018</v>
      </c>
      <c r="P4" s="434">
        <v>2019</v>
      </c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40">
        <f>P4</f>
        <v>2019</v>
      </c>
      <c r="AC4" s="434">
        <v>2020</v>
      </c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40">
        <f>AC4</f>
        <v>2020</v>
      </c>
      <c r="AQ4" s="432">
        <v>2018</v>
      </c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40">
        <f>AQ4</f>
        <v>2018</v>
      </c>
      <c r="BD4" s="434">
        <v>2019</v>
      </c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40">
        <f>BD4</f>
        <v>2019</v>
      </c>
      <c r="BQ4" s="434">
        <v>2020</v>
      </c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40">
        <f>BQ4</f>
        <v>2020</v>
      </c>
    </row>
    <row r="5" spans="1:81">
      <c r="A5" s="470" t="s">
        <v>160</v>
      </c>
      <c r="B5" s="471"/>
      <c r="C5" s="427" t="s">
        <v>161</v>
      </c>
      <c r="D5" s="422" t="s">
        <v>162</v>
      </c>
      <c r="E5" s="422" t="s">
        <v>163</v>
      </c>
      <c r="F5" s="422" t="s">
        <v>164</v>
      </c>
      <c r="G5" s="422" t="s">
        <v>40</v>
      </c>
      <c r="H5" s="422" t="s">
        <v>165</v>
      </c>
      <c r="I5" s="422" t="s">
        <v>166</v>
      </c>
      <c r="J5" s="422" t="s">
        <v>167</v>
      </c>
      <c r="K5" s="422" t="s">
        <v>168</v>
      </c>
      <c r="L5" s="422" t="s">
        <v>169</v>
      </c>
      <c r="M5" s="422" t="s">
        <v>170</v>
      </c>
      <c r="N5" s="422" t="s">
        <v>171</v>
      </c>
      <c r="O5" s="430" t="s">
        <v>172</v>
      </c>
      <c r="P5" s="427" t="s">
        <v>161</v>
      </c>
      <c r="Q5" s="422" t="s">
        <v>162</v>
      </c>
      <c r="R5" s="422" t="s">
        <v>163</v>
      </c>
      <c r="S5" s="422" t="s">
        <v>164</v>
      </c>
      <c r="T5" s="422" t="s">
        <v>40</v>
      </c>
      <c r="U5" s="422" t="s">
        <v>165</v>
      </c>
      <c r="V5" s="422" t="s">
        <v>166</v>
      </c>
      <c r="W5" s="422" t="s">
        <v>167</v>
      </c>
      <c r="X5" s="422" t="s">
        <v>168</v>
      </c>
      <c r="Y5" s="422" t="s">
        <v>169</v>
      </c>
      <c r="Z5" s="422" t="s">
        <v>170</v>
      </c>
      <c r="AA5" s="422" t="s">
        <v>171</v>
      </c>
      <c r="AB5" s="430" t="s">
        <v>172</v>
      </c>
      <c r="AC5" s="427" t="s">
        <v>161</v>
      </c>
      <c r="AD5" s="422" t="s">
        <v>162</v>
      </c>
      <c r="AE5" s="422" t="s">
        <v>163</v>
      </c>
      <c r="AF5" s="422" t="s">
        <v>164</v>
      </c>
      <c r="AG5" s="422" t="s">
        <v>40</v>
      </c>
      <c r="AH5" s="422" t="s">
        <v>165</v>
      </c>
      <c r="AI5" s="422" t="s">
        <v>166</v>
      </c>
      <c r="AJ5" s="422" t="s">
        <v>167</v>
      </c>
      <c r="AK5" s="422" t="s">
        <v>168</v>
      </c>
      <c r="AL5" s="422" t="s">
        <v>169</v>
      </c>
      <c r="AM5" s="422" t="s">
        <v>170</v>
      </c>
      <c r="AN5" s="422" t="s">
        <v>171</v>
      </c>
      <c r="AO5" s="430" t="s">
        <v>172</v>
      </c>
      <c r="AQ5" s="427" t="s">
        <v>161</v>
      </c>
      <c r="AR5" s="422" t="s">
        <v>162</v>
      </c>
      <c r="AS5" s="422" t="s">
        <v>163</v>
      </c>
      <c r="AT5" s="422" t="s">
        <v>164</v>
      </c>
      <c r="AU5" s="422" t="s">
        <v>40</v>
      </c>
      <c r="AV5" s="422" t="s">
        <v>165</v>
      </c>
      <c r="AW5" s="422" t="s">
        <v>166</v>
      </c>
      <c r="AX5" s="422" t="s">
        <v>167</v>
      </c>
      <c r="AY5" s="422" t="s">
        <v>168</v>
      </c>
      <c r="AZ5" s="422" t="s">
        <v>169</v>
      </c>
      <c r="BA5" s="422" t="s">
        <v>170</v>
      </c>
      <c r="BB5" s="422" t="s">
        <v>171</v>
      </c>
      <c r="BC5" s="430" t="s">
        <v>172</v>
      </c>
      <c r="BD5" s="427" t="s">
        <v>161</v>
      </c>
      <c r="BE5" s="422" t="s">
        <v>162</v>
      </c>
      <c r="BF5" s="422" t="s">
        <v>163</v>
      </c>
      <c r="BG5" s="422" t="s">
        <v>164</v>
      </c>
      <c r="BH5" s="422" t="s">
        <v>40</v>
      </c>
      <c r="BI5" s="422" t="s">
        <v>165</v>
      </c>
      <c r="BJ5" s="422" t="s">
        <v>166</v>
      </c>
      <c r="BK5" s="422" t="s">
        <v>167</v>
      </c>
      <c r="BL5" s="422" t="s">
        <v>168</v>
      </c>
      <c r="BM5" s="422" t="s">
        <v>169</v>
      </c>
      <c r="BN5" s="422" t="s">
        <v>170</v>
      </c>
      <c r="BO5" s="422" t="s">
        <v>171</v>
      </c>
      <c r="BP5" s="430" t="s">
        <v>172</v>
      </c>
      <c r="BQ5" s="427" t="s">
        <v>161</v>
      </c>
      <c r="BR5" s="422" t="s">
        <v>162</v>
      </c>
      <c r="BS5" s="422" t="s">
        <v>163</v>
      </c>
      <c r="BT5" s="422" t="s">
        <v>164</v>
      </c>
      <c r="BU5" s="422" t="s">
        <v>40</v>
      </c>
      <c r="BV5" s="422" t="s">
        <v>165</v>
      </c>
      <c r="BW5" s="422" t="s">
        <v>166</v>
      </c>
      <c r="BX5" s="422" t="s">
        <v>167</v>
      </c>
      <c r="BY5" s="422" t="s">
        <v>168</v>
      </c>
      <c r="BZ5" s="422" t="s">
        <v>169</v>
      </c>
      <c r="CA5" s="422" t="s">
        <v>170</v>
      </c>
      <c r="CB5" s="422" t="s">
        <v>171</v>
      </c>
      <c r="CC5" s="430" t="s">
        <v>172</v>
      </c>
    </row>
    <row r="6" spans="1:81">
      <c r="B6" s="456" t="s">
        <v>173</v>
      </c>
      <c r="C6" s="428"/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31"/>
      <c r="P6" s="428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31"/>
      <c r="AC6" s="428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31"/>
      <c r="AQ6" s="428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31"/>
      <c r="BD6" s="428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31"/>
      <c r="BQ6" s="428"/>
      <c r="BR6" s="429"/>
      <c r="BS6" s="429"/>
      <c r="BT6" s="429"/>
      <c r="BU6" s="429"/>
      <c r="BV6" s="429"/>
      <c r="BW6" s="429"/>
      <c r="BX6" s="429"/>
      <c r="BY6" s="429"/>
      <c r="BZ6" s="429"/>
      <c r="CA6" s="429"/>
      <c r="CB6" s="429"/>
      <c r="CC6" s="431"/>
    </row>
    <row r="7" spans="1:81">
      <c r="A7" s="420" t="s">
        <v>174</v>
      </c>
      <c r="B7" s="420" t="s">
        <v>175</v>
      </c>
      <c r="C7" s="436">
        <f>IF(AQ7&lt;0,0,AQ7)</f>
        <v>991.17991631799168</v>
      </c>
      <c r="D7" s="437">
        <f t="shared" ref="D7:AO7" si="0">IF(AR7&lt;0,0,AR7)</f>
        <v>803.23728813559319</v>
      </c>
      <c r="E7" s="437">
        <f t="shared" si="0"/>
        <v>1048.2773109243697</v>
      </c>
      <c r="F7" s="437">
        <f t="shared" si="0"/>
        <v>643.68312757201647</v>
      </c>
      <c r="G7" s="437">
        <f t="shared" si="0"/>
        <v>831.25599999999997</v>
      </c>
      <c r="H7" s="437">
        <f t="shared" si="0"/>
        <v>847.76170212765953</v>
      </c>
      <c r="I7" s="437">
        <f t="shared" si="0"/>
        <v>464.51898734177217</v>
      </c>
      <c r="J7" s="437">
        <f t="shared" si="0"/>
        <v>697.82426778242677</v>
      </c>
      <c r="K7" s="437">
        <f t="shared" si="0"/>
        <v>555.66808510638293</v>
      </c>
      <c r="L7" s="437">
        <f t="shared" si="0"/>
        <v>710.18333333333328</v>
      </c>
      <c r="M7" s="437">
        <f t="shared" si="0"/>
        <v>726.16101694915255</v>
      </c>
      <c r="N7" s="437">
        <f t="shared" si="0"/>
        <v>899.97916666666663</v>
      </c>
      <c r="O7" s="438">
        <f t="shared" si="0"/>
        <v>768.71164574616455</v>
      </c>
      <c r="P7" s="439">
        <f t="shared" si="0"/>
        <v>901.67083333333335</v>
      </c>
      <c r="Q7" s="437">
        <f t="shared" si="0"/>
        <v>1044.9958506224066</v>
      </c>
      <c r="R7" s="437">
        <f t="shared" si="0"/>
        <v>1002.8458333333333</v>
      </c>
      <c r="S7" s="437">
        <f t="shared" si="0"/>
        <v>662.72834645669286</v>
      </c>
      <c r="T7" s="437">
        <f t="shared" si="0"/>
        <v>851.86307053941914</v>
      </c>
      <c r="U7" s="437">
        <f t="shared" si="0"/>
        <v>782.91836734693879</v>
      </c>
      <c r="V7" s="437">
        <f t="shared" si="0"/>
        <v>627.42561983471069</v>
      </c>
      <c r="W7" s="437">
        <f t="shared" si="0"/>
        <v>585.04237288135596</v>
      </c>
      <c r="X7" s="437">
        <f t="shared" si="0"/>
        <v>543.21848739495795</v>
      </c>
      <c r="Y7" s="437">
        <f t="shared" si="0"/>
        <v>713.02531645569616</v>
      </c>
      <c r="Z7" s="437">
        <f t="shared" si="0"/>
        <v>605.86307053941914</v>
      </c>
      <c r="AA7" s="437">
        <f t="shared" si="0"/>
        <v>944.56722689075627</v>
      </c>
      <c r="AB7" s="438">
        <f t="shared" si="0"/>
        <v>771.99274109920498</v>
      </c>
      <c r="AC7" s="439">
        <f t="shared" si="0"/>
        <v>923.07818930041151</v>
      </c>
      <c r="AD7" s="437">
        <f t="shared" si="0"/>
        <v>914.14107883817428</v>
      </c>
      <c r="AE7" s="437">
        <f t="shared" si="0"/>
        <v>841.23456790123453</v>
      </c>
      <c r="AF7" s="437">
        <f t="shared" si="0"/>
        <v>770.47107438016531</v>
      </c>
      <c r="AG7" s="437">
        <f t="shared" si="0"/>
        <v>816.359375</v>
      </c>
      <c r="AH7" s="437">
        <f t="shared" si="0"/>
        <v>645.26422764227641</v>
      </c>
      <c r="AI7" s="437">
        <f t="shared" si="0"/>
        <v>597.23966942148763</v>
      </c>
      <c r="AJ7" s="437">
        <f t="shared" si="0"/>
        <v>761.26050420168065</v>
      </c>
      <c r="AK7" s="437">
        <f t="shared" si="0"/>
        <v>580.63265306122446</v>
      </c>
      <c r="AL7" s="437">
        <f t="shared" si="0"/>
        <v>580.51652892561981</v>
      </c>
      <c r="AM7" s="437">
        <f t="shared" si="0"/>
        <v>885.73333333333335</v>
      </c>
      <c r="AN7" s="437">
        <f t="shared" si="0"/>
        <v>621.67226890756308</v>
      </c>
      <c r="AO7" s="438">
        <f t="shared" si="0"/>
        <v>744.92421124828536</v>
      </c>
      <c r="AQ7" s="435">
        <v>991.17991631799168</v>
      </c>
      <c r="AR7" s="429">
        <v>803.23728813559319</v>
      </c>
      <c r="AS7" s="429">
        <v>1048.2773109243697</v>
      </c>
      <c r="AT7" s="429">
        <v>643.68312757201647</v>
      </c>
      <c r="AU7" s="429">
        <v>831.25599999999997</v>
      </c>
      <c r="AV7" s="429">
        <v>847.76170212765953</v>
      </c>
      <c r="AW7" s="429">
        <v>464.51898734177217</v>
      </c>
      <c r="AX7" s="429">
        <v>697.82426778242677</v>
      </c>
      <c r="AY7" s="429">
        <v>555.66808510638293</v>
      </c>
      <c r="AZ7" s="429">
        <v>710.18333333333328</v>
      </c>
      <c r="BA7" s="429">
        <v>726.16101694915255</v>
      </c>
      <c r="BB7" s="429">
        <v>899.97916666666663</v>
      </c>
      <c r="BC7" s="431">
        <v>768.71164574616455</v>
      </c>
      <c r="BD7" s="428">
        <v>901.67083333333335</v>
      </c>
      <c r="BE7" s="429">
        <v>1044.9958506224066</v>
      </c>
      <c r="BF7" s="429">
        <v>1002.8458333333333</v>
      </c>
      <c r="BG7" s="429">
        <v>662.72834645669286</v>
      </c>
      <c r="BH7" s="429">
        <v>851.86307053941914</v>
      </c>
      <c r="BI7" s="429">
        <v>782.91836734693879</v>
      </c>
      <c r="BJ7" s="429">
        <v>627.42561983471069</v>
      </c>
      <c r="BK7" s="429">
        <v>585.04237288135596</v>
      </c>
      <c r="BL7" s="429">
        <v>543.21848739495795</v>
      </c>
      <c r="BM7" s="429">
        <v>713.02531645569616</v>
      </c>
      <c r="BN7" s="429">
        <v>605.86307053941914</v>
      </c>
      <c r="BO7" s="429">
        <v>944.56722689075627</v>
      </c>
      <c r="BP7" s="431">
        <v>771.99274109920498</v>
      </c>
      <c r="BQ7" s="428">
        <v>923.07818930041151</v>
      </c>
      <c r="BR7" s="429">
        <v>914.14107883817428</v>
      </c>
      <c r="BS7" s="429">
        <v>841.23456790123453</v>
      </c>
      <c r="BT7" s="429">
        <v>770.47107438016531</v>
      </c>
      <c r="BU7" s="429">
        <v>816.359375</v>
      </c>
      <c r="BV7" s="429">
        <v>645.26422764227641</v>
      </c>
      <c r="BW7" s="429">
        <v>597.23966942148763</v>
      </c>
      <c r="BX7" s="429">
        <v>761.26050420168065</v>
      </c>
      <c r="BY7" s="429">
        <v>580.63265306122446</v>
      </c>
      <c r="BZ7" s="429">
        <v>580.51652892561981</v>
      </c>
      <c r="CA7" s="429">
        <v>885.73333333333335</v>
      </c>
      <c r="CB7" s="429">
        <v>621.67226890756308</v>
      </c>
      <c r="CC7" s="431">
        <v>744.92421124828536</v>
      </c>
    </row>
    <row r="8" spans="1:81">
      <c r="A8" s="420" t="s">
        <v>174</v>
      </c>
      <c r="B8" s="420" t="s">
        <v>176</v>
      </c>
      <c r="C8" s="436">
        <f t="shared" ref="C8:C70" si="1">IF(AQ8&lt;0,0,AQ8)</f>
        <v>285.28571428571428</v>
      </c>
      <c r="D8" s="437">
        <f t="shared" ref="D8:D70" si="2">IF(AR8&lt;0,0,AR8)</f>
        <v>0</v>
      </c>
      <c r="E8" s="437">
        <f t="shared" ref="E8:E70" si="3">IF(AS8&lt;0,0,AS8)</f>
        <v>0</v>
      </c>
      <c r="F8" s="437">
        <f t="shared" ref="F8:F70" si="4">IF(AT8&lt;0,0,AT8)</f>
        <v>477</v>
      </c>
      <c r="G8" s="499">
        <f>IF(AU8&lt;0,0,AU8)*0</f>
        <v>0</v>
      </c>
      <c r="H8" s="500">
        <f t="shared" ref="H8:H70" si="5">IF(AV8&lt;0,0,AV8)</f>
        <v>0</v>
      </c>
      <c r="I8" s="500">
        <f t="shared" ref="I8:I70" si="6">IF(AW8&lt;0,0,AW8)</f>
        <v>775.28947368421052</v>
      </c>
      <c r="J8" s="500">
        <f t="shared" ref="J8:J70" si="7">IF(AX8&lt;0,0,AX8)</f>
        <v>0</v>
      </c>
      <c r="K8" s="500">
        <f t="shared" ref="K8:K70" si="8">IF(AY8&lt;0,0,AY8)</f>
        <v>0</v>
      </c>
      <c r="L8" s="500">
        <f t="shared" ref="L8:L70" si="9">IF(AZ8&lt;0,0,AZ8)</f>
        <v>569.07894736842104</v>
      </c>
      <c r="M8" s="500">
        <f t="shared" ref="M8:M70" si="10">IF(BA8&lt;0,0,BA8)</f>
        <v>0</v>
      </c>
      <c r="N8" s="500">
        <f t="shared" ref="N8:N70" si="11">IF(BB8&lt;0,0,BB8)</f>
        <v>0</v>
      </c>
      <c r="O8" s="501">
        <f t="shared" ref="O8:O70" si="12">IF(BC8&lt;0,0,BC8)</f>
        <v>493.343949044586</v>
      </c>
      <c r="P8" s="436">
        <f t="shared" ref="P8:P70" si="13">IF(BD8&lt;0,0,BD8)</f>
        <v>475.44827586206895</v>
      </c>
      <c r="Q8" s="500">
        <f t="shared" ref="Q8:Q70" si="14">IF(BE8&lt;0,0,BE8)</f>
        <v>0</v>
      </c>
      <c r="R8" s="500">
        <f t="shared" ref="R8:R70" si="15">IF(BF8&lt;0,0,BF8)</f>
        <v>0</v>
      </c>
      <c r="S8" s="500">
        <f t="shared" ref="S8:S70" si="16">IF(BG8&lt;0,0,BG8)</f>
        <v>737.84375</v>
      </c>
      <c r="T8" s="500">
        <f t="shared" ref="T8:T70" si="17">IF(BH8&lt;0,0,BH8)</f>
        <v>0</v>
      </c>
      <c r="U8" s="500">
        <f t="shared" ref="U8:U70" si="18">IF(BI8&lt;0,0,BI8)</f>
        <v>0</v>
      </c>
      <c r="V8" s="500">
        <f t="shared" ref="V8:V70" si="19">IF(BJ8&lt;0,0,BJ8)</f>
        <v>633.68292682926824</v>
      </c>
      <c r="W8" s="499">
        <f>IF(BK8&lt;0,0,BK8)*0</f>
        <v>0</v>
      </c>
      <c r="X8" s="499">
        <f>IF(BL8&lt;0,0,BL8)*0</f>
        <v>0</v>
      </c>
      <c r="Y8" s="500">
        <f t="shared" ref="Y8:Y70" si="20">IF(BM8&lt;0,0,BM8)</f>
        <v>756.34883720930236</v>
      </c>
      <c r="Z8" s="499">
        <f>IF(BN8&lt;0,0,BN8)*0</f>
        <v>0</v>
      </c>
      <c r="AA8" s="499">
        <f>IF(BO8&lt;0,0,BO8)*0</f>
        <v>0</v>
      </c>
      <c r="AB8" s="501">
        <f t="shared" ref="AB8:AB70" si="21">IF(BP8&lt;0,0,BP8)</f>
        <v>546.81609195402302</v>
      </c>
      <c r="AC8" s="499">
        <f>IF(BQ8&lt;0,0,BQ8)*0</f>
        <v>0</v>
      </c>
      <c r="AD8" s="499">
        <f>IF(BR8&lt;0,0,BR8)*0</f>
        <v>0</v>
      </c>
      <c r="AE8" s="499">
        <f>IF(BS8&lt;0,0,BS8)*0</f>
        <v>0</v>
      </c>
      <c r="AF8" s="504">
        <f>IF(BT8&lt;0,0,BT8)*0+751</f>
        <v>751</v>
      </c>
      <c r="AG8" s="437">
        <f t="shared" ref="AG8:AG70" si="22">IF(BU8&lt;0,0,BU8)</f>
        <v>0</v>
      </c>
      <c r="AH8" s="499">
        <f>IF(BV8&lt;0,0,BV8)*0</f>
        <v>0</v>
      </c>
      <c r="AI8" s="500">
        <f t="shared" ref="AI8:AI70" si="23">IF(BW8&lt;0,0,BW8)</f>
        <v>709.91666666666663</v>
      </c>
      <c r="AJ8" s="499">
        <f>IF(BX8&lt;0,0,BX8)*0</f>
        <v>0</v>
      </c>
      <c r="AK8" s="499">
        <f>IF(BY8&lt;0,0,BY8)*0</f>
        <v>0</v>
      </c>
      <c r="AL8" s="500">
        <f t="shared" ref="AL8:AL70" si="24">IF(BZ8&lt;0,0,BZ8)</f>
        <v>715.32558139534888</v>
      </c>
      <c r="AM8" s="499">
        <f>IF(CA8&lt;0,0,CA8)*0</f>
        <v>0</v>
      </c>
      <c r="AN8" s="499">
        <f>IF(CB8&lt;0,0,CB8)*0</f>
        <v>0</v>
      </c>
      <c r="AO8" s="501">
        <f t="shared" ref="AO8:AO70" si="25">IF(CC8&lt;0,0,CC8)</f>
        <v>564.72258064516132</v>
      </c>
      <c r="AQ8" s="435">
        <v>285.28571428571428</v>
      </c>
      <c r="AR8" s="429">
        <v>0</v>
      </c>
      <c r="AS8" s="429">
        <v>0</v>
      </c>
      <c r="AT8" s="429">
        <v>477</v>
      </c>
      <c r="AU8" s="429">
        <v>189.5</v>
      </c>
      <c r="AV8" s="429">
        <v>0</v>
      </c>
      <c r="AW8" s="429">
        <v>775.28947368421052</v>
      </c>
      <c r="AX8" s="429">
        <v>0</v>
      </c>
      <c r="AY8" s="429">
        <v>0</v>
      </c>
      <c r="AZ8" s="429">
        <v>569.07894736842104</v>
      </c>
      <c r="BA8" s="429">
        <v>0</v>
      </c>
      <c r="BB8" s="429">
        <v>0</v>
      </c>
      <c r="BC8" s="431">
        <v>493.343949044586</v>
      </c>
      <c r="BD8" s="428">
        <v>475.44827586206895</v>
      </c>
      <c r="BE8" s="429">
        <v>-129.88888888888889</v>
      </c>
      <c r="BF8" s="429">
        <v>0</v>
      </c>
      <c r="BG8" s="429">
        <v>737.84375</v>
      </c>
      <c r="BH8" s="429">
        <v>-59.333333333333336</v>
      </c>
      <c r="BI8" s="429">
        <v>0</v>
      </c>
      <c r="BJ8" s="429">
        <v>633.68292682926824</v>
      </c>
      <c r="BK8" s="429">
        <v>87.5</v>
      </c>
      <c r="BL8" s="429">
        <v>218</v>
      </c>
      <c r="BM8" s="429">
        <v>756.34883720930236</v>
      </c>
      <c r="BN8" s="429">
        <v>117</v>
      </c>
      <c r="BO8" s="429">
        <v>139.5</v>
      </c>
      <c r="BP8" s="431">
        <v>546.81609195402302</v>
      </c>
      <c r="BQ8" s="428">
        <v>186</v>
      </c>
      <c r="BR8" s="429">
        <v>172.5</v>
      </c>
      <c r="BS8" s="429">
        <v>122.5</v>
      </c>
      <c r="BT8" s="429">
        <v>1208.78125</v>
      </c>
      <c r="BU8" s="429">
        <v>-457.88</v>
      </c>
      <c r="BV8" s="429">
        <v>416.5</v>
      </c>
      <c r="BW8" s="429">
        <v>709.91666666666663</v>
      </c>
      <c r="BX8" s="429">
        <v>350.33333333333331</v>
      </c>
      <c r="BY8" s="429">
        <v>192.5</v>
      </c>
      <c r="BZ8" s="429">
        <v>715.32558139534888</v>
      </c>
      <c r="CA8" s="429">
        <v>116.25</v>
      </c>
      <c r="CB8" s="429">
        <v>143</v>
      </c>
      <c r="CC8" s="431">
        <v>564.72258064516132</v>
      </c>
    </row>
    <row r="9" spans="1:81">
      <c r="A9" s="420" t="s">
        <v>174</v>
      </c>
      <c r="B9" s="420" t="s">
        <v>177</v>
      </c>
      <c r="C9" s="436">
        <f t="shared" si="1"/>
        <v>2178.1458333333335</v>
      </c>
      <c r="D9" s="437">
        <f t="shared" si="2"/>
        <v>1717.6458333333333</v>
      </c>
      <c r="E9" s="437">
        <f t="shared" si="3"/>
        <v>2131.6938775510203</v>
      </c>
      <c r="F9" s="437">
        <f t="shared" si="4"/>
        <v>1431.3877551020407</v>
      </c>
      <c r="G9" s="500">
        <f t="shared" ref="G9:G70" si="26">IF(AU9&lt;0,0,AU9)</f>
        <v>865.93442622950818</v>
      </c>
      <c r="H9" s="500">
        <f t="shared" si="5"/>
        <v>1915.2941176470588</v>
      </c>
      <c r="I9" s="500">
        <f t="shared" si="6"/>
        <v>1028.4285714285713</v>
      </c>
      <c r="J9" s="500">
        <f t="shared" si="7"/>
        <v>1558.6470588235295</v>
      </c>
      <c r="K9" s="500">
        <f t="shared" si="8"/>
        <v>1096.3818181818183</v>
      </c>
      <c r="L9" s="500">
        <f t="shared" si="9"/>
        <v>1764.9433962264152</v>
      </c>
      <c r="M9" s="500">
        <f t="shared" si="10"/>
        <v>1529.12</v>
      </c>
      <c r="N9" s="500">
        <f t="shared" si="11"/>
        <v>2212.4893617021276</v>
      </c>
      <c r="O9" s="501">
        <f t="shared" si="12"/>
        <v>1597.8085106382978</v>
      </c>
      <c r="P9" s="436">
        <f t="shared" si="13"/>
        <v>2145.2978723404253</v>
      </c>
      <c r="Q9" s="500">
        <f t="shared" si="14"/>
        <v>2160.0416666666665</v>
      </c>
      <c r="R9" s="500">
        <f t="shared" si="15"/>
        <v>2356.2608695652175</v>
      </c>
      <c r="S9" s="500">
        <f t="shared" si="16"/>
        <v>1631.9183673469388</v>
      </c>
      <c r="T9" s="500">
        <f t="shared" si="17"/>
        <v>1340.140350877193</v>
      </c>
      <c r="U9" s="500">
        <f t="shared" si="18"/>
        <v>1629.5</v>
      </c>
      <c r="V9" s="500">
        <f t="shared" si="19"/>
        <v>1326.5098039215686</v>
      </c>
      <c r="W9" s="500">
        <f t="shared" ref="W9:W70" si="27">IF(BK9&lt;0,0,BK9)</f>
        <v>1227.3725490196077</v>
      </c>
      <c r="X9" s="500">
        <f t="shared" ref="X9:X70" si="28">IF(BL9&lt;0,0,BL9)</f>
        <v>1176.3061224489795</v>
      </c>
      <c r="Y9" s="500">
        <f t="shared" si="20"/>
        <v>1496.1</v>
      </c>
      <c r="Z9" s="500">
        <f t="shared" ref="Z9:Z70" si="29">IF(BN9&lt;0,0,BN9)</f>
        <v>1277.5625</v>
      </c>
      <c r="AA9" s="500">
        <f t="shared" ref="AA9:AA70" si="30">IF(BO9&lt;0,0,BO9)</f>
        <v>2124.2127659574467</v>
      </c>
      <c r="AB9" s="501">
        <f t="shared" si="21"/>
        <v>1643.3785594639867</v>
      </c>
      <c r="AC9" s="436">
        <f t="shared" ref="AC9:AC70" si="31">IF(BQ9&lt;0,0,BQ9)</f>
        <v>2350.9347826086955</v>
      </c>
      <c r="AD9" s="500">
        <f t="shared" ref="AD9:AD70" si="32">IF(BR9&lt;0,0,BR9)</f>
        <v>2271.7727272727275</v>
      </c>
      <c r="AE9" s="500">
        <f t="shared" ref="AE9:AE70" si="33">IF(BS9&lt;0,0,BS9)</f>
        <v>2101.8863636363635</v>
      </c>
      <c r="AF9" s="437">
        <f t="shared" ref="AF9:AF70" si="34">IF(BT9&lt;0,0,BT9)</f>
        <v>1805.4888888888888</v>
      </c>
      <c r="AG9" s="437">
        <f t="shared" si="22"/>
        <v>1428.4038461538462</v>
      </c>
      <c r="AH9" s="500">
        <f t="shared" ref="AH9:AH70" si="35">IF(BV9&lt;0,0,BV9)</f>
        <v>1234.74</v>
      </c>
      <c r="AI9" s="500">
        <f t="shared" si="23"/>
        <v>1047.0980392156862</v>
      </c>
      <c r="AJ9" s="500">
        <f t="shared" ref="AJ9:AJ70" si="36">IF(BX9&lt;0,0,BX9)</f>
        <v>1435.1632653061224</v>
      </c>
      <c r="AK9" s="500">
        <f t="shared" ref="AK9:AK70" si="37">IF(BY9&lt;0,0,BY9)</f>
        <v>1089.9591836734694</v>
      </c>
      <c r="AL9" s="500">
        <f t="shared" si="24"/>
        <v>1097.8269230769231</v>
      </c>
      <c r="AM9" s="500">
        <f t="shared" ref="AM9:AM70" si="38">IF(CA9&lt;0,0,CA9)</f>
        <v>1713.4181818181819</v>
      </c>
      <c r="AN9" s="500">
        <f t="shared" ref="AN9:AN70" si="39">IF(CB9&lt;0,0,CB9)</f>
        <v>1705.5454545454545</v>
      </c>
      <c r="AO9" s="501">
        <f t="shared" si="25"/>
        <v>1585.7951807228915</v>
      </c>
      <c r="AQ9" s="435">
        <v>2178.1458333333335</v>
      </c>
      <c r="AR9" s="429">
        <v>1717.6458333333333</v>
      </c>
      <c r="AS9" s="429">
        <v>2131.6938775510203</v>
      </c>
      <c r="AT9" s="429">
        <v>1431.3877551020407</v>
      </c>
      <c r="AU9" s="429">
        <v>865.93442622950818</v>
      </c>
      <c r="AV9" s="429">
        <v>1915.2941176470588</v>
      </c>
      <c r="AW9" s="429">
        <v>1028.4285714285713</v>
      </c>
      <c r="AX9" s="429">
        <v>1558.6470588235295</v>
      </c>
      <c r="AY9" s="429">
        <v>1096.3818181818183</v>
      </c>
      <c r="AZ9" s="429">
        <v>1764.9433962264152</v>
      </c>
      <c r="BA9" s="429">
        <v>1529.12</v>
      </c>
      <c r="BB9" s="429">
        <v>2212.4893617021276</v>
      </c>
      <c r="BC9" s="431">
        <v>1597.8085106382978</v>
      </c>
      <c r="BD9" s="428">
        <v>2145.2978723404253</v>
      </c>
      <c r="BE9" s="429">
        <v>2160.0416666666665</v>
      </c>
      <c r="BF9" s="429">
        <v>2356.2608695652175</v>
      </c>
      <c r="BG9" s="429">
        <v>1631.9183673469388</v>
      </c>
      <c r="BH9" s="429">
        <v>1340.140350877193</v>
      </c>
      <c r="BI9" s="429">
        <v>1629.5</v>
      </c>
      <c r="BJ9" s="429">
        <v>1326.5098039215686</v>
      </c>
      <c r="BK9" s="429">
        <v>1227.3725490196077</v>
      </c>
      <c r="BL9" s="429">
        <v>1176.3061224489795</v>
      </c>
      <c r="BM9" s="429">
        <v>1496.1</v>
      </c>
      <c r="BN9" s="429">
        <v>1277.5625</v>
      </c>
      <c r="BO9" s="429">
        <v>2124.2127659574467</v>
      </c>
      <c r="BP9" s="431">
        <v>1643.3785594639867</v>
      </c>
      <c r="BQ9" s="428">
        <v>2350.9347826086955</v>
      </c>
      <c r="BR9" s="429">
        <v>2271.7727272727275</v>
      </c>
      <c r="BS9" s="429">
        <v>2101.8863636363635</v>
      </c>
      <c r="BT9" s="429">
        <v>1805.4888888888888</v>
      </c>
      <c r="BU9" s="429">
        <v>1428.4038461538462</v>
      </c>
      <c r="BV9" s="429">
        <v>1234.74</v>
      </c>
      <c r="BW9" s="429">
        <v>1047.0980392156862</v>
      </c>
      <c r="BX9" s="429">
        <v>1435.1632653061224</v>
      </c>
      <c r="BY9" s="429">
        <v>1089.9591836734694</v>
      </c>
      <c r="BZ9" s="429">
        <v>1097.8269230769231</v>
      </c>
      <c r="CA9" s="429">
        <v>1713.4181818181819</v>
      </c>
      <c r="CB9" s="429">
        <v>1705.5454545454545</v>
      </c>
      <c r="CC9" s="431">
        <v>1585.7951807228915</v>
      </c>
    </row>
    <row r="10" spans="1:81">
      <c r="A10" s="420" t="s">
        <v>174</v>
      </c>
      <c r="B10" s="420" t="s">
        <v>178</v>
      </c>
      <c r="C10" s="436">
        <f t="shared" si="1"/>
        <v>10166.25</v>
      </c>
      <c r="D10" s="437">
        <f t="shared" si="2"/>
        <v>7155</v>
      </c>
      <c r="E10" s="437">
        <f t="shared" si="3"/>
        <v>8977.5</v>
      </c>
      <c r="F10" s="437">
        <f t="shared" si="4"/>
        <v>6136.25</v>
      </c>
      <c r="G10" s="500">
        <f t="shared" si="26"/>
        <v>9062.5</v>
      </c>
      <c r="H10" s="500">
        <f t="shared" si="5"/>
        <v>9455</v>
      </c>
      <c r="I10" s="500">
        <f t="shared" si="6"/>
        <v>5606.25</v>
      </c>
      <c r="J10" s="500">
        <f t="shared" si="7"/>
        <v>8757.5</v>
      </c>
      <c r="K10" s="500">
        <f t="shared" si="8"/>
        <v>7288.75</v>
      </c>
      <c r="L10" s="500">
        <f t="shared" si="9"/>
        <v>9295</v>
      </c>
      <c r="M10" s="500">
        <f t="shared" si="10"/>
        <v>9782.5</v>
      </c>
      <c r="N10" s="500">
        <f t="shared" si="11"/>
        <v>12473.75</v>
      </c>
      <c r="O10" s="501">
        <f t="shared" si="12"/>
        <v>8679.6875</v>
      </c>
      <c r="P10" s="436">
        <f t="shared" si="13"/>
        <v>9516.25</v>
      </c>
      <c r="Q10" s="500">
        <f t="shared" si="14"/>
        <v>9228.75</v>
      </c>
      <c r="R10" s="500">
        <f t="shared" si="15"/>
        <v>11037.5</v>
      </c>
      <c r="S10" s="500">
        <f t="shared" si="16"/>
        <v>9337.5</v>
      </c>
      <c r="T10" s="500">
        <f t="shared" si="17"/>
        <v>11753.75</v>
      </c>
      <c r="U10" s="500">
        <f t="shared" si="18"/>
        <v>11443.75</v>
      </c>
      <c r="V10" s="500">
        <f t="shared" si="19"/>
        <v>6587.5</v>
      </c>
      <c r="W10" s="500">
        <f t="shared" si="27"/>
        <v>7280</v>
      </c>
      <c r="X10" s="500">
        <f t="shared" si="28"/>
        <v>7172.5</v>
      </c>
      <c r="Y10" s="500">
        <f t="shared" si="20"/>
        <v>9608.75</v>
      </c>
      <c r="Z10" s="500">
        <f t="shared" si="29"/>
        <v>8321.25</v>
      </c>
      <c r="AA10" s="500">
        <f t="shared" si="30"/>
        <v>11340</v>
      </c>
      <c r="AB10" s="501">
        <f t="shared" si="21"/>
        <v>9385.625</v>
      </c>
      <c r="AC10" s="436">
        <f t="shared" si="31"/>
        <v>8376.25</v>
      </c>
      <c r="AD10" s="500">
        <f t="shared" si="32"/>
        <v>9482.5</v>
      </c>
      <c r="AE10" s="500">
        <f t="shared" si="33"/>
        <v>9482.5</v>
      </c>
      <c r="AF10" s="437">
        <f t="shared" si="34"/>
        <v>9790</v>
      </c>
      <c r="AG10" s="437">
        <f t="shared" si="22"/>
        <v>10430</v>
      </c>
      <c r="AH10" s="437">
        <f t="shared" si="35"/>
        <v>9986.25</v>
      </c>
      <c r="AI10" s="437">
        <f t="shared" si="23"/>
        <v>6143.75</v>
      </c>
      <c r="AJ10" s="437">
        <f t="shared" si="36"/>
        <v>10125</v>
      </c>
      <c r="AK10" s="437">
        <f t="shared" si="37"/>
        <v>7312.5</v>
      </c>
      <c r="AL10" s="437">
        <f t="shared" si="24"/>
        <v>7568.75</v>
      </c>
      <c r="AM10" s="437">
        <f t="shared" si="38"/>
        <v>11508.75</v>
      </c>
      <c r="AN10" s="437">
        <f t="shared" si="39"/>
        <v>7483.75</v>
      </c>
      <c r="AO10" s="438">
        <f t="shared" si="25"/>
        <v>8989.1752577319585</v>
      </c>
      <c r="AQ10" s="435">
        <v>10166.25</v>
      </c>
      <c r="AR10" s="429">
        <v>7155</v>
      </c>
      <c r="AS10" s="429">
        <v>8977.5</v>
      </c>
      <c r="AT10" s="429">
        <v>6136.25</v>
      </c>
      <c r="AU10" s="429">
        <v>9062.5</v>
      </c>
      <c r="AV10" s="429">
        <v>9455</v>
      </c>
      <c r="AW10" s="429">
        <v>5606.25</v>
      </c>
      <c r="AX10" s="429">
        <v>8757.5</v>
      </c>
      <c r="AY10" s="429">
        <v>7288.75</v>
      </c>
      <c r="AZ10" s="429">
        <v>9295</v>
      </c>
      <c r="BA10" s="429">
        <v>9782.5</v>
      </c>
      <c r="BB10" s="429">
        <v>12473.75</v>
      </c>
      <c r="BC10" s="431">
        <v>8679.6875</v>
      </c>
      <c r="BD10" s="428">
        <v>9516.25</v>
      </c>
      <c r="BE10" s="429">
        <v>9228.75</v>
      </c>
      <c r="BF10" s="429">
        <v>11037.5</v>
      </c>
      <c r="BG10" s="429">
        <v>9337.5</v>
      </c>
      <c r="BH10" s="429">
        <v>11753.75</v>
      </c>
      <c r="BI10" s="429">
        <v>11443.75</v>
      </c>
      <c r="BJ10" s="429">
        <v>6587.5</v>
      </c>
      <c r="BK10" s="429">
        <v>7280</v>
      </c>
      <c r="BL10" s="429">
        <v>7172.5</v>
      </c>
      <c r="BM10" s="429">
        <v>9608.75</v>
      </c>
      <c r="BN10" s="429">
        <v>8321.25</v>
      </c>
      <c r="BO10" s="429">
        <v>11340</v>
      </c>
      <c r="BP10" s="431">
        <v>9385.625</v>
      </c>
      <c r="BQ10" s="428">
        <v>8376.25</v>
      </c>
      <c r="BR10" s="429">
        <v>9482.5</v>
      </c>
      <c r="BS10" s="429">
        <v>9482.5</v>
      </c>
      <c r="BT10" s="429">
        <v>9790</v>
      </c>
      <c r="BU10" s="429">
        <v>10430</v>
      </c>
      <c r="BV10" s="429">
        <v>9986.25</v>
      </c>
      <c r="BW10" s="429">
        <v>6143.75</v>
      </c>
      <c r="BX10" s="429">
        <v>10125</v>
      </c>
      <c r="BY10" s="429">
        <v>7312.5</v>
      </c>
      <c r="BZ10" s="429">
        <v>7568.75</v>
      </c>
      <c r="CA10" s="429">
        <v>11508.75</v>
      </c>
      <c r="CB10" s="429">
        <v>7483.75</v>
      </c>
      <c r="CC10" s="431">
        <v>8989.1752577319585</v>
      </c>
    </row>
    <row r="11" spans="1:81">
      <c r="A11" s="420" t="s">
        <v>174</v>
      </c>
      <c r="B11" s="420" t="s">
        <v>179</v>
      </c>
      <c r="C11" s="436">
        <f t="shared" si="1"/>
        <v>220.2</v>
      </c>
      <c r="D11" s="437">
        <f t="shared" si="2"/>
        <v>179.2</v>
      </c>
      <c r="E11" s="437">
        <f t="shared" si="3"/>
        <v>219.8</v>
      </c>
      <c r="F11" s="437">
        <f t="shared" si="4"/>
        <v>147.80000000000001</v>
      </c>
      <c r="G11" s="500">
        <f t="shared" si="26"/>
        <v>215.2</v>
      </c>
      <c r="H11" s="500">
        <f t="shared" si="5"/>
        <v>259.8</v>
      </c>
      <c r="I11" s="500">
        <f t="shared" si="6"/>
        <v>202.8</v>
      </c>
      <c r="J11" s="500">
        <f t="shared" si="7"/>
        <v>252.5</v>
      </c>
      <c r="K11" s="500">
        <f t="shared" si="8"/>
        <v>0</v>
      </c>
      <c r="L11" s="500">
        <f t="shared" si="9"/>
        <v>0</v>
      </c>
      <c r="M11" s="500">
        <f t="shared" si="10"/>
        <v>0</v>
      </c>
      <c r="N11" s="500">
        <f t="shared" si="11"/>
        <v>0</v>
      </c>
      <c r="O11" s="501">
        <f t="shared" si="12"/>
        <v>216.64444444444445</v>
      </c>
      <c r="P11" s="436">
        <f t="shared" si="13"/>
        <v>0</v>
      </c>
      <c r="Q11" s="500">
        <f t="shared" si="14"/>
        <v>0</v>
      </c>
      <c r="R11" s="500">
        <f t="shared" si="15"/>
        <v>0</v>
      </c>
      <c r="S11" s="500">
        <f t="shared" si="16"/>
        <v>0</v>
      </c>
      <c r="T11" s="500">
        <f t="shared" si="17"/>
        <v>0</v>
      </c>
      <c r="U11" s="500">
        <f t="shared" si="18"/>
        <v>0</v>
      </c>
      <c r="V11" s="500">
        <f t="shared" si="19"/>
        <v>0</v>
      </c>
      <c r="W11" s="500">
        <f t="shared" si="27"/>
        <v>0</v>
      </c>
      <c r="X11" s="500">
        <f t="shared" si="28"/>
        <v>0</v>
      </c>
      <c r="Y11" s="500">
        <f t="shared" si="20"/>
        <v>0</v>
      </c>
      <c r="Z11" s="500">
        <f t="shared" si="29"/>
        <v>0</v>
      </c>
      <c r="AA11" s="500">
        <f t="shared" si="30"/>
        <v>0</v>
      </c>
      <c r="AB11" s="501">
        <f t="shared" si="21"/>
        <v>0</v>
      </c>
      <c r="AC11" s="436">
        <f t="shared" si="31"/>
        <v>0</v>
      </c>
      <c r="AD11" s="500">
        <f t="shared" si="32"/>
        <v>0</v>
      </c>
      <c r="AE11" s="500">
        <f t="shared" si="33"/>
        <v>0</v>
      </c>
      <c r="AF11" s="437">
        <f t="shared" si="34"/>
        <v>0</v>
      </c>
      <c r="AG11" s="437">
        <f t="shared" si="22"/>
        <v>0</v>
      </c>
      <c r="AH11" s="437">
        <f t="shared" si="35"/>
        <v>0</v>
      </c>
      <c r="AI11" s="437">
        <f t="shared" si="23"/>
        <v>0</v>
      </c>
      <c r="AJ11" s="437">
        <f t="shared" si="36"/>
        <v>0</v>
      </c>
      <c r="AK11" s="437">
        <f t="shared" si="37"/>
        <v>0</v>
      </c>
      <c r="AL11" s="437">
        <f t="shared" si="24"/>
        <v>0</v>
      </c>
      <c r="AM11" s="437">
        <f t="shared" si="38"/>
        <v>0</v>
      </c>
      <c r="AN11" s="437">
        <f t="shared" si="39"/>
        <v>0</v>
      </c>
      <c r="AO11" s="438">
        <f t="shared" si="25"/>
        <v>0</v>
      </c>
      <c r="AQ11" s="435">
        <v>220.2</v>
      </c>
      <c r="AR11" s="429">
        <v>179.2</v>
      </c>
      <c r="AS11" s="429">
        <v>219.8</v>
      </c>
      <c r="AT11" s="429">
        <v>147.80000000000001</v>
      </c>
      <c r="AU11" s="429">
        <v>215.2</v>
      </c>
      <c r="AV11" s="429">
        <v>259.8</v>
      </c>
      <c r="AW11" s="429">
        <v>202.8</v>
      </c>
      <c r="AX11" s="429">
        <v>252.5</v>
      </c>
      <c r="AY11" s="429">
        <v>0</v>
      </c>
      <c r="AZ11" s="429">
        <v>0</v>
      </c>
      <c r="BA11" s="429">
        <v>0</v>
      </c>
      <c r="BB11" s="429">
        <v>0</v>
      </c>
      <c r="BC11" s="431">
        <v>216.64444444444445</v>
      </c>
      <c r="BD11" s="428">
        <v>0</v>
      </c>
      <c r="BE11" s="429">
        <v>0</v>
      </c>
      <c r="BF11" s="429">
        <v>0</v>
      </c>
      <c r="BG11" s="429">
        <v>0</v>
      </c>
      <c r="BH11" s="429">
        <v>0</v>
      </c>
      <c r="BI11" s="429">
        <v>0</v>
      </c>
      <c r="BJ11" s="429">
        <v>0</v>
      </c>
      <c r="BK11" s="429">
        <v>0</v>
      </c>
      <c r="BL11" s="429">
        <v>0</v>
      </c>
      <c r="BM11" s="429">
        <v>0</v>
      </c>
      <c r="BN11" s="429">
        <v>0</v>
      </c>
      <c r="BO11" s="429">
        <v>0</v>
      </c>
      <c r="BP11" s="431">
        <v>0</v>
      </c>
      <c r="BQ11" s="428">
        <v>0</v>
      </c>
      <c r="BR11" s="429">
        <v>0</v>
      </c>
      <c r="BS11" s="429">
        <v>0</v>
      </c>
      <c r="BT11" s="429">
        <v>0</v>
      </c>
      <c r="BU11" s="429">
        <v>0</v>
      </c>
      <c r="BV11" s="429">
        <v>0</v>
      </c>
      <c r="BW11" s="429">
        <v>0</v>
      </c>
      <c r="BX11" s="429">
        <v>0</v>
      </c>
      <c r="BY11" s="429">
        <v>0</v>
      </c>
      <c r="BZ11" s="429">
        <v>0</v>
      </c>
      <c r="CA11" s="429">
        <v>0</v>
      </c>
      <c r="CB11" s="429">
        <v>0</v>
      </c>
      <c r="CC11" s="431">
        <v>0</v>
      </c>
    </row>
    <row r="12" spans="1:81">
      <c r="A12" s="420" t="s">
        <v>174</v>
      </c>
      <c r="B12" s="420" t="s">
        <v>180</v>
      </c>
      <c r="C12" s="436">
        <f t="shared" si="1"/>
        <v>0</v>
      </c>
      <c r="D12" s="437">
        <f t="shared" si="2"/>
        <v>0</v>
      </c>
      <c r="E12" s="437">
        <f t="shared" si="3"/>
        <v>0</v>
      </c>
      <c r="F12" s="437">
        <f t="shared" si="4"/>
        <v>0</v>
      </c>
      <c r="G12" s="500">
        <f t="shared" si="26"/>
        <v>0</v>
      </c>
      <c r="H12" s="500">
        <f t="shared" si="5"/>
        <v>0</v>
      </c>
      <c r="I12" s="500">
        <f t="shared" si="6"/>
        <v>0</v>
      </c>
      <c r="J12" s="500">
        <f t="shared" si="7"/>
        <v>0</v>
      </c>
      <c r="K12" s="500">
        <f t="shared" si="8"/>
        <v>0</v>
      </c>
      <c r="L12" s="500">
        <f t="shared" si="9"/>
        <v>0</v>
      </c>
      <c r="M12" s="500">
        <f t="shared" si="10"/>
        <v>0</v>
      </c>
      <c r="N12" s="500">
        <f t="shared" si="11"/>
        <v>0</v>
      </c>
      <c r="O12" s="501">
        <f t="shared" si="12"/>
        <v>0</v>
      </c>
      <c r="P12" s="436">
        <f t="shared" si="13"/>
        <v>0</v>
      </c>
      <c r="Q12" s="500">
        <f t="shared" si="14"/>
        <v>0</v>
      </c>
      <c r="R12" s="500">
        <f t="shared" si="15"/>
        <v>0</v>
      </c>
      <c r="S12" s="500">
        <f t="shared" si="16"/>
        <v>0</v>
      </c>
      <c r="T12" s="500">
        <f t="shared" si="17"/>
        <v>0</v>
      </c>
      <c r="U12" s="500">
        <f t="shared" si="18"/>
        <v>0</v>
      </c>
      <c r="V12" s="500">
        <f t="shared" si="19"/>
        <v>0</v>
      </c>
      <c r="W12" s="500">
        <f t="shared" si="27"/>
        <v>0</v>
      </c>
      <c r="X12" s="500">
        <f t="shared" si="28"/>
        <v>0</v>
      </c>
      <c r="Y12" s="500">
        <f t="shared" si="20"/>
        <v>0</v>
      </c>
      <c r="Z12" s="500">
        <f t="shared" si="29"/>
        <v>0</v>
      </c>
      <c r="AA12" s="500">
        <f t="shared" si="30"/>
        <v>0</v>
      </c>
      <c r="AB12" s="501">
        <f t="shared" si="21"/>
        <v>0</v>
      </c>
      <c r="AC12" s="436">
        <f t="shared" si="31"/>
        <v>0</v>
      </c>
      <c r="AD12" s="500">
        <f t="shared" si="32"/>
        <v>0</v>
      </c>
      <c r="AE12" s="500">
        <f t="shared" si="33"/>
        <v>0</v>
      </c>
      <c r="AF12" s="437">
        <f t="shared" si="34"/>
        <v>0</v>
      </c>
      <c r="AG12" s="437">
        <f t="shared" si="22"/>
        <v>0</v>
      </c>
      <c r="AH12" s="437">
        <f t="shared" si="35"/>
        <v>0</v>
      </c>
      <c r="AI12" s="437">
        <f t="shared" si="23"/>
        <v>0</v>
      </c>
      <c r="AJ12" s="437">
        <f t="shared" si="36"/>
        <v>0</v>
      </c>
      <c r="AK12" s="437">
        <f t="shared" si="37"/>
        <v>0</v>
      </c>
      <c r="AL12" s="437">
        <f t="shared" si="24"/>
        <v>0</v>
      </c>
      <c r="AM12" s="437">
        <f t="shared" si="38"/>
        <v>0</v>
      </c>
      <c r="AN12" s="437">
        <f t="shared" si="39"/>
        <v>0</v>
      </c>
      <c r="AO12" s="438">
        <f t="shared" si="25"/>
        <v>0</v>
      </c>
      <c r="AQ12" s="435">
        <v>0</v>
      </c>
      <c r="AR12" s="429">
        <v>0</v>
      </c>
      <c r="AS12" s="429">
        <v>0</v>
      </c>
      <c r="AT12" s="429">
        <v>0</v>
      </c>
      <c r="AU12" s="429">
        <v>0</v>
      </c>
      <c r="AV12" s="429">
        <v>0</v>
      </c>
      <c r="AW12" s="429">
        <v>0</v>
      </c>
      <c r="AX12" s="429">
        <v>0</v>
      </c>
      <c r="AY12" s="429">
        <v>0</v>
      </c>
      <c r="AZ12" s="429">
        <v>0</v>
      </c>
      <c r="BA12" s="429">
        <v>0</v>
      </c>
      <c r="BB12" s="429">
        <v>0</v>
      </c>
      <c r="BC12" s="431">
        <v>0</v>
      </c>
      <c r="BD12" s="428">
        <v>0</v>
      </c>
      <c r="BE12" s="429">
        <v>0</v>
      </c>
      <c r="BF12" s="429">
        <v>0</v>
      </c>
      <c r="BG12" s="429">
        <v>0</v>
      </c>
      <c r="BH12" s="429">
        <v>0</v>
      </c>
      <c r="BI12" s="429">
        <v>0</v>
      </c>
      <c r="BJ12" s="429">
        <v>0</v>
      </c>
      <c r="BK12" s="429">
        <v>0</v>
      </c>
      <c r="BL12" s="429">
        <v>0</v>
      </c>
      <c r="BM12" s="429">
        <v>0</v>
      </c>
      <c r="BN12" s="429">
        <v>0</v>
      </c>
      <c r="BO12" s="429">
        <v>0</v>
      </c>
      <c r="BP12" s="431">
        <v>0</v>
      </c>
      <c r="BQ12" s="428">
        <v>0</v>
      </c>
      <c r="BR12" s="429">
        <v>0</v>
      </c>
      <c r="BS12" s="429">
        <v>0</v>
      </c>
      <c r="BT12" s="429">
        <v>0</v>
      </c>
      <c r="BU12" s="429">
        <v>0</v>
      </c>
      <c r="BV12" s="429">
        <v>0</v>
      </c>
      <c r="BW12" s="429">
        <v>0</v>
      </c>
      <c r="BX12" s="429">
        <v>0</v>
      </c>
      <c r="BY12" s="429">
        <v>0</v>
      </c>
      <c r="BZ12" s="429">
        <v>0</v>
      </c>
      <c r="CA12" s="429">
        <v>0</v>
      </c>
      <c r="CB12" s="429">
        <v>0</v>
      </c>
      <c r="CC12" s="431">
        <v>0</v>
      </c>
    </row>
    <row r="13" spans="1:81">
      <c r="A13" s="420" t="s">
        <v>174</v>
      </c>
      <c r="B13" s="420" t="s">
        <v>181</v>
      </c>
      <c r="C13" s="436">
        <f t="shared" si="1"/>
        <v>3761.3333333333335</v>
      </c>
      <c r="D13" s="437">
        <f t="shared" si="2"/>
        <v>4531.2</v>
      </c>
      <c r="E13" s="437">
        <f t="shared" si="3"/>
        <v>5424.909090909091</v>
      </c>
      <c r="F13" s="437">
        <f t="shared" si="4"/>
        <v>3701.5454545454545</v>
      </c>
      <c r="G13" s="500">
        <f t="shared" si="26"/>
        <v>4346.2307692307695</v>
      </c>
      <c r="H13" s="500">
        <f t="shared" si="5"/>
        <v>4075.6153846153848</v>
      </c>
      <c r="I13" s="500">
        <f t="shared" si="6"/>
        <v>1960.4615384615386</v>
      </c>
      <c r="J13" s="500">
        <f t="shared" si="7"/>
        <v>2888.4615384615386</v>
      </c>
      <c r="K13" s="500">
        <f t="shared" si="8"/>
        <v>2584.3846153846152</v>
      </c>
      <c r="L13" s="500">
        <f t="shared" si="9"/>
        <v>3795.7692307692309</v>
      </c>
      <c r="M13" s="500">
        <f t="shared" si="10"/>
        <v>3840</v>
      </c>
      <c r="N13" s="500">
        <f t="shared" si="11"/>
        <v>4809.5</v>
      </c>
      <c r="O13" s="501">
        <f t="shared" si="12"/>
        <v>3767.7739726027398</v>
      </c>
      <c r="P13" s="436">
        <f t="shared" si="13"/>
        <v>4433.333333333333</v>
      </c>
      <c r="Q13" s="500">
        <f t="shared" si="14"/>
        <v>5090.181818181818</v>
      </c>
      <c r="R13" s="500">
        <f t="shared" si="15"/>
        <v>4935.25</v>
      </c>
      <c r="S13" s="500">
        <f t="shared" si="16"/>
        <v>3201.5833333333335</v>
      </c>
      <c r="T13" s="500">
        <f t="shared" si="17"/>
        <v>3805.6923076923076</v>
      </c>
      <c r="U13" s="500">
        <f t="shared" si="18"/>
        <v>3368.9230769230771</v>
      </c>
      <c r="V13" s="500">
        <f t="shared" si="19"/>
        <v>2160.2307692307691</v>
      </c>
      <c r="W13" s="500">
        <f t="shared" si="27"/>
        <v>1932.5833333333333</v>
      </c>
      <c r="X13" s="500">
        <f t="shared" si="28"/>
        <v>1839</v>
      </c>
      <c r="Y13" s="500">
        <f t="shared" si="20"/>
        <v>3455.0769230769229</v>
      </c>
      <c r="Z13" s="500">
        <f t="shared" si="29"/>
        <v>3109.25</v>
      </c>
      <c r="AA13" s="500">
        <f t="shared" si="30"/>
        <v>4669.583333333333</v>
      </c>
      <c r="AB13" s="501">
        <f t="shared" si="21"/>
        <v>3469.9121621621621</v>
      </c>
      <c r="AC13" s="436">
        <f t="shared" si="31"/>
        <v>3439.3636363636365</v>
      </c>
      <c r="AD13" s="500">
        <f t="shared" si="32"/>
        <v>3520.3636363636365</v>
      </c>
      <c r="AE13" s="500">
        <f t="shared" si="33"/>
        <v>6006.6428571428569</v>
      </c>
      <c r="AF13" s="437">
        <f t="shared" si="34"/>
        <v>3295.8333333333335</v>
      </c>
      <c r="AG13" s="437">
        <f t="shared" si="22"/>
        <v>3243.6153846153848</v>
      </c>
      <c r="AH13" s="437">
        <f t="shared" si="35"/>
        <v>5355.6153846153848</v>
      </c>
      <c r="AI13" s="437">
        <f t="shared" si="23"/>
        <v>0</v>
      </c>
      <c r="AJ13" s="437">
        <f t="shared" si="36"/>
        <v>2607.9230769230771</v>
      </c>
      <c r="AK13" s="437">
        <f t="shared" si="37"/>
        <v>2057.9230769230771</v>
      </c>
      <c r="AL13" s="437">
        <f t="shared" si="24"/>
        <v>3229.2307692307691</v>
      </c>
      <c r="AM13" s="437">
        <f t="shared" si="38"/>
        <v>4952.583333333333</v>
      </c>
      <c r="AN13" s="437">
        <f t="shared" si="39"/>
        <v>3387.6666666666665</v>
      </c>
      <c r="AO13" s="438">
        <f t="shared" si="25"/>
        <v>3380.8675496688743</v>
      </c>
      <c r="AQ13" s="435">
        <v>3761.3333333333335</v>
      </c>
      <c r="AR13" s="429">
        <v>4531.2</v>
      </c>
      <c r="AS13" s="429">
        <v>5424.909090909091</v>
      </c>
      <c r="AT13" s="429">
        <v>3701.5454545454545</v>
      </c>
      <c r="AU13" s="429">
        <v>4346.2307692307695</v>
      </c>
      <c r="AV13" s="429">
        <v>4075.6153846153848</v>
      </c>
      <c r="AW13" s="429">
        <v>1960.4615384615386</v>
      </c>
      <c r="AX13" s="429">
        <v>2888.4615384615386</v>
      </c>
      <c r="AY13" s="429">
        <v>2584.3846153846152</v>
      </c>
      <c r="AZ13" s="429">
        <v>3795.7692307692309</v>
      </c>
      <c r="BA13" s="429">
        <v>3840</v>
      </c>
      <c r="BB13" s="429">
        <v>4809.5</v>
      </c>
      <c r="BC13" s="431">
        <v>3767.7739726027398</v>
      </c>
      <c r="BD13" s="428">
        <v>4433.333333333333</v>
      </c>
      <c r="BE13" s="429">
        <v>5090.181818181818</v>
      </c>
      <c r="BF13" s="429">
        <v>4935.25</v>
      </c>
      <c r="BG13" s="429">
        <v>3201.5833333333335</v>
      </c>
      <c r="BH13" s="429">
        <v>3805.6923076923076</v>
      </c>
      <c r="BI13" s="429">
        <v>3368.9230769230771</v>
      </c>
      <c r="BJ13" s="429">
        <v>2160.2307692307691</v>
      </c>
      <c r="BK13" s="429">
        <v>1932.5833333333333</v>
      </c>
      <c r="BL13" s="429">
        <v>1839</v>
      </c>
      <c r="BM13" s="429">
        <v>3455.0769230769229</v>
      </c>
      <c r="BN13" s="429">
        <v>3109.25</v>
      </c>
      <c r="BO13" s="429">
        <v>4669.583333333333</v>
      </c>
      <c r="BP13" s="431">
        <v>3469.9121621621621</v>
      </c>
      <c r="BQ13" s="428">
        <v>3439.3636363636365</v>
      </c>
      <c r="BR13" s="429">
        <v>3520.3636363636365</v>
      </c>
      <c r="BS13" s="429">
        <v>6006.6428571428569</v>
      </c>
      <c r="BT13" s="429">
        <v>3295.8333333333335</v>
      </c>
      <c r="BU13" s="429">
        <v>3243.6153846153848</v>
      </c>
      <c r="BV13" s="429">
        <v>5355.6153846153848</v>
      </c>
      <c r="BW13" s="429">
        <v>-299.85714285714283</v>
      </c>
      <c r="BX13" s="429">
        <v>2607.9230769230771</v>
      </c>
      <c r="BY13" s="429">
        <v>2057.9230769230771</v>
      </c>
      <c r="BZ13" s="429">
        <v>3229.2307692307691</v>
      </c>
      <c r="CA13" s="429">
        <v>4952.583333333333</v>
      </c>
      <c r="CB13" s="429">
        <v>3387.6666666666665</v>
      </c>
      <c r="CC13" s="431">
        <v>3380.8675496688743</v>
      </c>
    </row>
    <row r="14" spans="1:81">
      <c r="A14" s="420" t="s">
        <v>174</v>
      </c>
      <c r="B14" s="420" t="s">
        <v>182</v>
      </c>
      <c r="C14" s="436">
        <f t="shared" si="1"/>
        <v>0</v>
      </c>
      <c r="D14" s="437">
        <f t="shared" si="2"/>
        <v>0</v>
      </c>
      <c r="E14" s="437">
        <f t="shared" si="3"/>
        <v>0</v>
      </c>
      <c r="F14" s="437">
        <f t="shared" si="4"/>
        <v>0</v>
      </c>
      <c r="G14" s="500">
        <f t="shared" si="26"/>
        <v>0</v>
      </c>
      <c r="H14" s="500">
        <f t="shared" si="5"/>
        <v>0</v>
      </c>
      <c r="I14" s="500">
        <f t="shared" si="6"/>
        <v>0</v>
      </c>
      <c r="J14" s="500">
        <f t="shared" si="7"/>
        <v>0</v>
      </c>
      <c r="K14" s="500">
        <f t="shared" si="8"/>
        <v>0</v>
      </c>
      <c r="L14" s="500">
        <f t="shared" si="9"/>
        <v>0</v>
      </c>
      <c r="M14" s="500">
        <f t="shared" si="10"/>
        <v>0</v>
      </c>
      <c r="N14" s="500">
        <f t="shared" si="11"/>
        <v>0</v>
      </c>
      <c r="O14" s="501">
        <f t="shared" si="12"/>
        <v>0</v>
      </c>
      <c r="P14" s="436">
        <f t="shared" si="13"/>
        <v>0</v>
      </c>
      <c r="Q14" s="500">
        <f t="shared" si="14"/>
        <v>0</v>
      </c>
      <c r="R14" s="500">
        <f t="shared" si="15"/>
        <v>0</v>
      </c>
      <c r="S14" s="500">
        <f t="shared" si="16"/>
        <v>0</v>
      </c>
      <c r="T14" s="500">
        <f t="shared" si="17"/>
        <v>0</v>
      </c>
      <c r="U14" s="500">
        <f t="shared" si="18"/>
        <v>0</v>
      </c>
      <c r="V14" s="500">
        <f t="shared" si="19"/>
        <v>0</v>
      </c>
      <c r="W14" s="500">
        <f t="shared" si="27"/>
        <v>0</v>
      </c>
      <c r="X14" s="500">
        <f t="shared" si="28"/>
        <v>0</v>
      </c>
      <c r="Y14" s="500">
        <f t="shared" si="20"/>
        <v>0</v>
      </c>
      <c r="Z14" s="500">
        <f t="shared" si="29"/>
        <v>0</v>
      </c>
      <c r="AA14" s="500">
        <f t="shared" si="30"/>
        <v>0</v>
      </c>
      <c r="AB14" s="501">
        <f t="shared" si="21"/>
        <v>0</v>
      </c>
      <c r="AC14" s="436">
        <f t="shared" si="31"/>
        <v>0</v>
      </c>
      <c r="AD14" s="500">
        <f t="shared" si="32"/>
        <v>0</v>
      </c>
      <c r="AE14" s="500">
        <f t="shared" si="33"/>
        <v>0</v>
      </c>
      <c r="AF14" s="437">
        <f t="shared" si="34"/>
        <v>0</v>
      </c>
      <c r="AG14" s="437">
        <f t="shared" si="22"/>
        <v>0</v>
      </c>
      <c r="AH14" s="437">
        <f t="shared" si="35"/>
        <v>0</v>
      </c>
      <c r="AI14" s="437">
        <f t="shared" si="23"/>
        <v>0</v>
      </c>
      <c r="AJ14" s="437">
        <f t="shared" si="36"/>
        <v>0</v>
      </c>
      <c r="AK14" s="437">
        <f t="shared" si="37"/>
        <v>0</v>
      </c>
      <c r="AL14" s="437">
        <f t="shared" si="24"/>
        <v>0</v>
      </c>
      <c r="AM14" s="437">
        <f t="shared" si="38"/>
        <v>0</v>
      </c>
      <c r="AN14" s="437">
        <f t="shared" si="39"/>
        <v>0</v>
      </c>
      <c r="AO14" s="438">
        <f t="shared" si="25"/>
        <v>0</v>
      </c>
      <c r="AQ14" s="435">
        <v>0</v>
      </c>
      <c r="AR14" s="429">
        <v>0</v>
      </c>
      <c r="AS14" s="429">
        <v>0</v>
      </c>
      <c r="AT14" s="429">
        <v>0</v>
      </c>
      <c r="AU14" s="429">
        <v>0</v>
      </c>
      <c r="AV14" s="429">
        <v>0</v>
      </c>
      <c r="AW14" s="429">
        <v>0</v>
      </c>
      <c r="AX14" s="429">
        <v>0</v>
      </c>
      <c r="AY14" s="429">
        <v>0</v>
      </c>
      <c r="AZ14" s="429">
        <v>0</v>
      </c>
      <c r="BA14" s="429">
        <v>0</v>
      </c>
      <c r="BB14" s="429">
        <v>0</v>
      </c>
      <c r="BC14" s="431">
        <v>0</v>
      </c>
      <c r="BD14" s="428">
        <v>0</v>
      </c>
      <c r="BE14" s="429">
        <v>0</v>
      </c>
      <c r="BF14" s="429">
        <v>0</v>
      </c>
      <c r="BG14" s="429">
        <v>0</v>
      </c>
      <c r="BH14" s="429">
        <v>0</v>
      </c>
      <c r="BI14" s="429">
        <v>0</v>
      </c>
      <c r="BJ14" s="429">
        <v>0</v>
      </c>
      <c r="BK14" s="429">
        <v>0</v>
      </c>
      <c r="BL14" s="429">
        <v>0</v>
      </c>
      <c r="BM14" s="429">
        <v>0</v>
      </c>
      <c r="BN14" s="429">
        <v>0</v>
      </c>
      <c r="BO14" s="429">
        <v>0</v>
      </c>
      <c r="BP14" s="431">
        <v>0</v>
      </c>
      <c r="BQ14" s="428">
        <v>0</v>
      </c>
      <c r="BR14" s="429">
        <v>0</v>
      </c>
      <c r="BS14" s="429">
        <v>0</v>
      </c>
      <c r="BT14" s="429">
        <v>0</v>
      </c>
      <c r="BU14" s="429">
        <v>0</v>
      </c>
      <c r="BV14" s="429">
        <v>0</v>
      </c>
      <c r="BW14" s="429">
        <v>0</v>
      </c>
      <c r="BX14" s="429">
        <v>0</v>
      </c>
      <c r="BY14" s="429">
        <v>0</v>
      </c>
      <c r="BZ14" s="429">
        <v>0</v>
      </c>
      <c r="CA14" s="429">
        <v>0</v>
      </c>
      <c r="CB14" s="429">
        <v>0</v>
      </c>
      <c r="CC14" s="431">
        <v>0</v>
      </c>
    </row>
    <row r="15" spans="1:81">
      <c r="A15" s="420" t="s">
        <v>174</v>
      </c>
      <c r="B15" s="420" t="s">
        <v>183</v>
      </c>
      <c r="C15" s="436">
        <f t="shared" si="1"/>
        <v>0</v>
      </c>
      <c r="D15" s="437">
        <f t="shared" si="2"/>
        <v>0</v>
      </c>
      <c r="E15" s="437">
        <f t="shared" si="3"/>
        <v>0</v>
      </c>
      <c r="F15" s="437">
        <f t="shared" si="4"/>
        <v>0</v>
      </c>
      <c r="G15" s="500">
        <f t="shared" si="26"/>
        <v>0</v>
      </c>
      <c r="H15" s="500">
        <f t="shared" si="5"/>
        <v>0</v>
      </c>
      <c r="I15" s="500">
        <f t="shared" si="6"/>
        <v>0</v>
      </c>
      <c r="J15" s="500">
        <f t="shared" si="7"/>
        <v>0</v>
      </c>
      <c r="K15" s="500">
        <f t="shared" si="8"/>
        <v>0</v>
      </c>
      <c r="L15" s="500">
        <f t="shared" si="9"/>
        <v>0</v>
      </c>
      <c r="M15" s="500">
        <f t="shared" si="10"/>
        <v>0</v>
      </c>
      <c r="N15" s="500">
        <f t="shared" si="11"/>
        <v>0</v>
      </c>
      <c r="O15" s="501">
        <f t="shared" si="12"/>
        <v>0</v>
      </c>
      <c r="P15" s="436">
        <f t="shared" si="13"/>
        <v>0</v>
      </c>
      <c r="Q15" s="500">
        <f t="shared" si="14"/>
        <v>0</v>
      </c>
      <c r="R15" s="500">
        <f t="shared" si="15"/>
        <v>0</v>
      </c>
      <c r="S15" s="500">
        <f t="shared" si="16"/>
        <v>0</v>
      </c>
      <c r="T15" s="500">
        <f t="shared" si="17"/>
        <v>0</v>
      </c>
      <c r="U15" s="500">
        <f t="shared" si="18"/>
        <v>0</v>
      </c>
      <c r="V15" s="500">
        <f t="shared" si="19"/>
        <v>0</v>
      </c>
      <c r="W15" s="500">
        <f t="shared" si="27"/>
        <v>0</v>
      </c>
      <c r="X15" s="500">
        <f t="shared" si="28"/>
        <v>0</v>
      </c>
      <c r="Y15" s="500">
        <f t="shared" si="20"/>
        <v>0</v>
      </c>
      <c r="Z15" s="500">
        <f t="shared" si="29"/>
        <v>0</v>
      </c>
      <c r="AA15" s="500">
        <f t="shared" si="30"/>
        <v>0</v>
      </c>
      <c r="AB15" s="501">
        <f t="shared" si="21"/>
        <v>0</v>
      </c>
      <c r="AC15" s="436">
        <f t="shared" si="31"/>
        <v>0</v>
      </c>
      <c r="AD15" s="500">
        <f t="shared" si="32"/>
        <v>0</v>
      </c>
      <c r="AE15" s="500">
        <f t="shared" si="33"/>
        <v>0</v>
      </c>
      <c r="AF15" s="437">
        <f t="shared" si="34"/>
        <v>0</v>
      </c>
      <c r="AG15" s="437">
        <f t="shared" si="22"/>
        <v>0</v>
      </c>
      <c r="AH15" s="437">
        <f t="shared" si="35"/>
        <v>0</v>
      </c>
      <c r="AI15" s="437">
        <f t="shared" si="23"/>
        <v>0</v>
      </c>
      <c r="AJ15" s="437">
        <f t="shared" si="36"/>
        <v>0</v>
      </c>
      <c r="AK15" s="437">
        <f t="shared" si="37"/>
        <v>0</v>
      </c>
      <c r="AL15" s="437">
        <f t="shared" si="24"/>
        <v>0</v>
      </c>
      <c r="AM15" s="437">
        <f t="shared" si="38"/>
        <v>0</v>
      </c>
      <c r="AN15" s="437">
        <f t="shared" si="39"/>
        <v>0</v>
      </c>
      <c r="AO15" s="438">
        <f t="shared" si="25"/>
        <v>0</v>
      </c>
      <c r="AQ15" s="435">
        <v>0</v>
      </c>
      <c r="AR15" s="429">
        <v>0</v>
      </c>
      <c r="AS15" s="429">
        <v>0</v>
      </c>
      <c r="AT15" s="429">
        <v>0</v>
      </c>
      <c r="AU15" s="429">
        <v>0</v>
      </c>
      <c r="AV15" s="429">
        <v>0</v>
      </c>
      <c r="AW15" s="429">
        <v>0</v>
      </c>
      <c r="AX15" s="429">
        <v>0</v>
      </c>
      <c r="AY15" s="429">
        <v>0</v>
      </c>
      <c r="AZ15" s="429">
        <v>0</v>
      </c>
      <c r="BA15" s="429">
        <v>0</v>
      </c>
      <c r="BB15" s="429">
        <v>0</v>
      </c>
      <c r="BC15" s="431">
        <v>0</v>
      </c>
      <c r="BD15" s="428">
        <v>0</v>
      </c>
      <c r="BE15" s="429">
        <v>0</v>
      </c>
      <c r="BF15" s="429">
        <v>0</v>
      </c>
      <c r="BG15" s="429">
        <v>0</v>
      </c>
      <c r="BH15" s="429">
        <v>0</v>
      </c>
      <c r="BI15" s="429">
        <v>0</v>
      </c>
      <c r="BJ15" s="429">
        <v>0</v>
      </c>
      <c r="BK15" s="429">
        <v>0</v>
      </c>
      <c r="BL15" s="429">
        <v>0</v>
      </c>
      <c r="BM15" s="429">
        <v>0</v>
      </c>
      <c r="BN15" s="429">
        <v>0</v>
      </c>
      <c r="BO15" s="429">
        <v>0</v>
      </c>
      <c r="BP15" s="431">
        <v>0</v>
      </c>
      <c r="BQ15" s="428">
        <v>0</v>
      </c>
      <c r="BR15" s="429">
        <v>0</v>
      </c>
      <c r="BS15" s="429">
        <v>0</v>
      </c>
      <c r="BT15" s="429">
        <v>0</v>
      </c>
      <c r="BU15" s="429">
        <v>0</v>
      </c>
      <c r="BV15" s="429">
        <v>0</v>
      </c>
      <c r="BW15" s="429">
        <v>0</v>
      </c>
      <c r="BX15" s="429">
        <v>0</v>
      </c>
      <c r="BY15" s="429">
        <v>0</v>
      </c>
      <c r="BZ15" s="429">
        <v>0</v>
      </c>
      <c r="CA15" s="429">
        <v>0</v>
      </c>
      <c r="CB15" s="429">
        <v>0</v>
      </c>
      <c r="CC15" s="431">
        <v>0</v>
      </c>
    </row>
    <row r="16" spans="1:81">
      <c r="A16" s="445"/>
      <c r="B16" s="445"/>
      <c r="C16" s="446"/>
      <c r="D16" s="447"/>
      <c r="E16" s="447"/>
      <c r="F16" s="447"/>
      <c r="G16" s="502"/>
      <c r="H16" s="502"/>
      <c r="I16" s="502"/>
      <c r="J16" s="502"/>
      <c r="K16" s="502"/>
      <c r="L16" s="502"/>
      <c r="M16" s="502"/>
      <c r="N16" s="502"/>
      <c r="O16" s="503"/>
      <c r="P16" s="446"/>
      <c r="Q16" s="502"/>
      <c r="R16" s="502"/>
      <c r="S16" s="502"/>
      <c r="T16" s="502"/>
      <c r="U16" s="502"/>
      <c r="V16" s="502"/>
      <c r="W16" s="502"/>
      <c r="X16" s="502"/>
      <c r="Y16" s="502"/>
      <c r="Z16" s="502"/>
      <c r="AA16" s="502"/>
      <c r="AB16" s="503"/>
      <c r="AC16" s="446"/>
      <c r="AD16" s="502"/>
      <c r="AE16" s="502"/>
      <c r="AF16" s="447"/>
      <c r="AG16" s="447"/>
      <c r="AH16" s="447"/>
      <c r="AI16" s="447"/>
      <c r="AJ16" s="447"/>
      <c r="AK16" s="447"/>
      <c r="AL16" s="447"/>
      <c r="AM16" s="447"/>
      <c r="AN16" s="447"/>
      <c r="AO16" s="448"/>
      <c r="AQ16" s="450"/>
      <c r="AR16" s="451"/>
      <c r="AS16" s="451"/>
      <c r="AT16" s="451"/>
      <c r="AU16" s="451"/>
      <c r="AV16" s="451"/>
      <c r="AW16" s="451"/>
      <c r="AX16" s="451"/>
      <c r="AY16" s="451"/>
      <c r="AZ16" s="451"/>
      <c r="BA16" s="451"/>
      <c r="BB16" s="451"/>
      <c r="BC16" s="452"/>
      <c r="BD16" s="453"/>
      <c r="BE16" s="451"/>
      <c r="BF16" s="451"/>
      <c r="BG16" s="451"/>
      <c r="BH16" s="451"/>
      <c r="BI16" s="451"/>
      <c r="BJ16" s="451"/>
      <c r="BK16" s="451"/>
      <c r="BL16" s="451"/>
      <c r="BM16" s="451"/>
      <c r="BN16" s="451"/>
      <c r="BO16" s="451"/>
      <c r="BP16" s="452"/>
      <c r="BQ16" s="453"/>
      <c r="BR16" s="451"/>
      <c r="BS16" s="451"/>
      <c r="BT16" s="451"/>
      <c r="BU16" s="451"/>
      <c r="BV16" s="451"/>
      <c r="BW16" s="451"/>
      <c r="BX16" s="451"/>
      <c r="BY16" s="451"/>
      <c r="BZ16" s="451"/>
      <c r="CA16" s="451"/>
      <c r="CB16" s="451"/>
      <c r="CC16" s="452"/>
    </row>
    <row r="17" spans="1:81">
      <c r="B17" s="456" t="s">
        <v>184</v>
      </c>
      <c r="C17" s="436"/>
      <c r="D17" s="437"/>
      <c r="E17" s="437"/>
      <c r="F17" s="437"/>
      <c r="G17" s="500"/>
      <c r="H17" s="500"/>
      <c r="I17" s="500"/>
      <c r="J17" s="500"/>
      <c r="K17" s="500"/>
      <c r="L17" s="500"/>
      <c r="M17" s="500"/>
      <c r="N17" s="500"/>
      <c r="O17" s="501"/>
      <c r="P17" s="436"/>
      <c r="Q17" s="500"/>
      <c r="R17" s="500"/>
      <c r="S17" s="500"/>
      <c r="T17" s="500"/>
      <c r="U17" s="500"/>
      <c r="V17" s="500"/>
      <c r="W17" s="500"/>
      <c r="X17" s="500"/>
      <c r="Y17" s="500"/>
      <c r="Z17" s="500"/>
      <c r="AA17" s="500"/>
      <c r="AB17" s="501"/>
      <c r="AC17" s="436"/>
      <c r="AD17" s="500"/>
      <c r="AE17" s="500"/>
      <c r="AF17" s="437"/>
      <c r="AG17" s="437"/>
      <c r="AH17" s="437"/>
      <c r="AI17" s="437"/>
      <c r="AJ17" s="437"/>
      <c r="AK17" s="437"/>
      <c r="AL17" s="437"/>
      <c r="AM17" s="437"/>
      <c r="AN17" s="437"/>
      <c r="AO17" s="438"/>
      <c r="AQ17" s="428"/>
      <c r="AR17" s="429"/>
      <c r="AS17" s="429"/>
      <c r="AT17" s="429"/>
      <c r="AU17" s="429"/>
      <c r="AV17" s="429"/>
      <c r="AW17" s="429"/>
      <c r="AX17" s="429"/>
      <c r="AY17" s="429"/>
      <c r="AZ17" s="429"/>
      <c r="BA17" s="429"/>
      <c r="BB17" s="429"/>
      <c r="BC17" s="431"/>
      <c r="BD17" s="428"/>
      <c r="BE17" s="429"/>
      <c r="BF17" s="429"/>
      <c r="BG17" s="429"/>
      <c r="BH17" s="429"/>
      <c r="BI17" s="429"/>
      <c r="BJ17" s="429"/>
      <c r="BK17" s="429"/>
      <c r="BL17" s="429"/>
      <c r="BM17" s="429"/>
      <c r="BN17" s="429"/>
      <c r="BO17" s="429"/>
      <c r="BP17" s="431"/>
      <c r="BQ17" s="428"/>
      <c r="BR17" s="429"/>
      <c r="BS17" s="429"/>
      <c r="BT17" s="429"/>
      <c r="BU17" s="429"/>
      <c r="BV17" s="429"/>
      <c r="BW17" s="429"/>
      <c r="BX17" s="429"/>
      <c r="BY17" s="429"/>
      <c r="BZ17" s="429"/>
      <c r="CA17" s="429"/>
      <c r="CB17" s="429"/>
      <c r="CC17" s="431"/>
    </row>
    <row r="18" spans="1:81">
      <c r="A18" s="420" t="s">
        <v>184</v>
      </c>
      <c r="B18" s="420" t="s">
        <v>175</v>
      </c>
      <c r="C18" s="436">
        <f t="shared" si="1"/>
        <v>1437.8790322580646</v>
      </c>
      <c r="D18" s="437">
        <f t="shared" si="2"/>
        <v>1568.84</v>
      </c>
      <c r="E18" s="437">
        <f t="shared" si="3"/>
        <v>1420.2786885245901</v>
      </c>
      <c r="F18" s="437">
        <f t="shared" si="4"/>
        <v>1551.952</v>
      </c>
      <c r="G18" s="500">
        <f t="shared" si="26"/>
        <v>1011.2032520325204</v>
      </c>
      <c r="H18" s="500">
        <f t="shared" si="5"/>
        <v>1085.7777777777778</v>
      </c>
      <c r="I18" s="500">
        <f t="shared" si="6"/>
        <v>790.92248062015506</v>
      </c>
      <c r="J18" s="500">
        <f t="shared" si="7"/>
        <v>884.44354838709683</v>
      </c>
      <c r="K18" s="500">
        <f t="shared" si="8"/>
        <v>723.43200000000002</v>
      </c>
      <c r="L18" s="500">
        <f t="shared" si="9"/>
        <v>1003.0625</v>
      </c>
      <c r="M18" s="500">
        <f t="shared" si="10"/>
        <v>906.8</v>
      </c>
      <c r="N18" s="500">
        <f t="shared" si="11"/>
        <v>1233.2403100775193</v>
      </c>
      <c r="O18" s="501">
        <f t="shared" si="12"/>
        <v>1131.9359735973596</v>
      </c>
      <c r="P18" s="436">
        <f t="shared" si="13"/>
        <v>1289.9296875</v>
      </c>
      <c r="Q18" s="500">
        <f t="shared" si="14"/>
        <v>1517.4461538461539</v>
      </c>
      <c r="R18" s="500">
        <f t="shared" si="15"/>
        <v>1731.1968503937007</v>
      </c>
      <c r="S18" s="500">
        <f t="shared" si="16"/>
        <v>980.7461538461539</v>
      </c>
      <c r="T18" s="500">
        <f t="shared" si="17"/>
        <v>1245.40625</v>
      </c>
      <c r="U18" s="500">
        <f t="shared" si="18"/>
        <v>892.10714285714289</v>
      </c>
      <c r="V18" s="500">
        <f t="shared" si="19"/>
        <v>962.96875</v>
      </c>
      <c r="W18" s="500">
        <f t="shared" si="27"/>
        <v>845.14173228346453</v>
      </c>
      <c r="X18" s="500">
        <f t="shared" si="28"/>
        <v>735.2</v>
      </c>
      <c r="Y18" s="500">
        <f t="shared" si="20"/>
        <v>839.87692307692305</v>
      </c>
      <c r="Z18" s="500">
        <f t="shared" si="29"/>
        <v>1146.2777777777778</v>
      </c>
      <c r="AA18" s="500">
        <f t="shared" si="30"/>
        <v>1558.7741935483871</v>
      </c>
      <c r="AB18" s="501">
        <f t="shared" si="21"/>
        <v>1142.8651976668828</v>
      </c>
      <c r="AC18" s="436">
        <f t="shared" si="31"/>
        <v>1500.1679999999999</v>
      </c>
      <c r="AD18" s="500">
        <f t="shared" si="32"/>
        <v>1825.5396825396826</v>
      </c>
      <c r="AE18" s="500">
        <f t="shared" si="33"/>
        <v>1338.152</v>
      </c>
      <c r="AF18" s="437">
        <f t="shared" si="34"/>
        <v>1723.4344262295083</v>
      </c>
      <c r="AG18" s="437">
        <f t="shared" si="22"/>
        <v>1210.9763779527559</v>
      </c>
      <c r="AH18" s="437">
        <f t="shared" si="35"/>
        <v>1149.3333333333333</v>
      </c>
      <c r="AI18" s="437">
        <f t="shared" si="23"/>
        <v>968.08064516129036</v>
      </c>
      <c r="AJ18" s="437">
        <f t="shared" si="36"/>
        <v>1096.5887096774193</v>
      </c>
      <c r="AK18" s="437">
        <f t="shared" si="37"/>
        <v>691.6328125</v>
      </c>
      <c r="AL18" s="437">
        <f t="shared" si="24"/>
        <v>1053.088</v>
      </c>
      <c r="AM18" s="437">
        <f t="shared" si="38"/>
        <v>1247.2822580645161</v>
      </c>
      <c r="AN18" s="437">
        <f t="shared" si="39"/>
        <v>1339.1048387096773</v>
      </c>
      <c r="AO18" s="438">
        <f t="shared" si="25"/>
        <v>1260.3820000000001</v>
      </c>
      <c r="AQ18" s="428">
        <v>1437.8790322580646</v>
      </c>
      <c r="AR18" s="429">
        <v>1568.84</v>
      </c>
      <c r="AS18" s="429">
        <v>1420.2786885245901</v>
      </c>
      <c r="AT18" s="429">
        <v>1551.952</v>
      </c>
      <c r="AU18" s="429">
        <v>1011.2032520325204</v>
      </c>
      <c r="AV18" s="429">
        <v>1085.7777777777778</v>
      </c>
      <c r="AW18" s="429">
        <v>790.92248062015506</v>
      </c>
      <c r="AX18" s="429">
        <v>884.44354838709683</v>
      </c>
      <c r="AY18" s="429">
        <v>723.43200000000002</v>
      </c>
      <c r="AZ18" s="429">
        <v>1003.0625</v>
      </c>
      <c r="BA18" s="429">
        <v>906.8</v>
      </c>
      <c r="BB18" s="429">
        <v>1233.2403100775193</v>
      </c>
      <c r="BC18" s="431">
        <v>1131.9359735973596</v>
      </c>
      <c r="BD18" s="428">
        <v>1289.9296875</v>
      </c>
      <c r="BE18" s="429">
        <v>1517.4461538461539</v>
      </c>
      <c r="BF18" s="429">
        <v>1731.1968503937007</v>
      </c>
      <c r="BG18" s="429">
        <v>980.7461538461539</v>
      </c>
      <c r="BH18" s="429">
        <v>1245.40625</v>
      </c>
      <c r="BI18" s="429">
        <v>892.10714285714289</v>
      </c>
      <c r="BJ18" s="429">
        <v>962.96875</v>
      </c>
      <c r="BK18" s="429">
        <v>845.14173228346453</v>
      </c>
      <c r="BL18" s="429">
        <v>735.2</v>
      </c>
      <c r="BM18" s="429">
        <v>839.87692307692305</v>
      </c>
      <c r="BN18" s="429">
        <v>1146.2777777777778</v>
      </c>
      <c r="BO18" s="429">
        <v>1558.7741935483871</v>
      </c>
      <c r="BP18" s="431">
        <v>1142.8651976668828</v>
      </c>
      <c r="BQ18" s="428">
        <v>1500.1679999999999</v>
      </c>
      <c r="BR18" s="429">
        <v>1825.5396825396826</v>
      </c>
      <c r="BS18" s="429">
        <v>1338.152</v>
      </c>
      <c r="BT18" s="429">
        <v>1723.4344262295083</v>
      </c>
      <c r="BU18" s="429">
        <v>1210.9763779527559</v>
      </c>
      <c r="BV18" s="429">
        <v>1149.3333333333333</v>
      </c>
      <c r="BW18" s="429">
        <v>968.08064516129036</v>
      </c>
      <c r="BX18" s="429">
        <v>1096.5887096774193</v>
      </c>
      <c r="BY18" s="429">
        <v>691.6328125</v>
      </c>
      <c r="BZ18" s="429">
        <v>1053.088</v>
      </c>
      <c r="CA18" s="429">
        <v>1247.2822580645161</v>
      </c>
      <c r="CB18" s="429">
        <v>1339.1048387096773</v>
      </c>
      <c r="CC18" s="431">
        <v>1260.3820000000001</v>
      </c>
    </row>
    <row r="19" spans="1:81">
      <c r="A19" s="420" t="s">
        <v>184</v>
      </c>
      <c r="B19" s="420" t="s">
        <v>176</v>
      </c>
      <c r="C19" s="436">
        <f t="shared" si="1"/>
        <v>0</v>
      </c>
      <c r="D19" s="437">
        <f t="shared" si="2"/>
        <v>0</v>
      </c>
      <c r="E19" s="437">
        <f t="shared" si="3"/>
        <v>0</v>
      </c>
      <c r="F19" s="437">
        <f t="shared" si="4"/>
        <v>0</v>
      </c>
      <c r="G19" s="500">
        <f t="shared" si="26"/>
        <v>0</v>
      </c>
      <c r="H19" s="500">
        <f t="shared" si="5"/>
        <v>0</v>
      </c>
      <c r="I19" s="500">
        <f t="shared" si="6"/>
        <v>0</v>
      </c>
      <c r="J19" s="500">
        <f t="shared" si="7"/>
        <v>0</v>
      </c>
      <c r="K19" s="500">
        <f t="shared" si="8"/>
        <v>0</v>
      </c>
      <c r="L19" s="500">
        <f t="shared" si="9"/>
        <v>0</v>
      </c>
      <c r="M19" s="500">
        <f t="shared" si="10"/>
        <v>0</v>
      </c>
      <c r="N19" s="500">
        <f t="shared" si="11"/>
        <v>0</v>
      </c>
      <c r="O19" s="501">
        <f t="shared" si="12"/>
        <v>0</v>
      </c>
      <c r="P19" s="436">
        <f t="shared" si="13"/>
        <v>0</v>
      </c>
      <c r="Q19" s="500">
        <f t="shared" si="14"/>
        <v>0</v>
      </c>
      <c r="R19" s="500">
        <f t="shared" si="15"/>
        <v>0</v>
      </c>
      <c r="S19" s="500">
        <f t="shared" si="16"/>
        <v>0</v>
      </c>
      <c r="T19" s="500">
        <f t="shared" si="17"/>
        <v>0</v>
      </c>
      <c r="U19" s="500">
        <f t="shared" si="18"/>
        <v>0</v>
      </c>
      <c r="V19" s="500">
        <f t="shared" si="19"/>
        <v>0</v>
      </c>
      <c r="W19" s="500">
        <f t="shared" si="27"/>
        <v>0</v>
      </c>
      <c r="X19" s="500">
        <f t="shared" si="28"/>
        <v>0</v>
      </c>
      <c r="Y19" s="500">
        <f t="shared" si="20"/>
        <v>0</v>
      </c>
      <c r="Z19" s="500">
        <f t="shared" si="29"/>
        <v>0</v>
      </c>
      <c r="AA19" s="500">
        <f t="shared" si="30"/>
        <v>0</v>
      </c>
      <c r="AB19" s="501">
        <f t="shared" si="21"/>
        <v>0</v>
      </c>
      <c r="AC19" s="436">
        <f t="shared" si="31"/>
        <v>0</v>
      </c>
      <c r="AD19" s="500">
        <f t="shared" si="32"/>
        <v>0</v>
      </c>
      <c r="AE19" s="500">
        <f t="shared" si="33"/>
        <v>0</v>
      </c>
      <c r="AF19" s="437">
        <f t="shared" si="34"/>
        <v>0</v>
      </c>
      <c r="AG19" s="437">
        <f t="shared" si="22"/>
        <v>0</v>
      </c>
      <c r="AH19" s="437">
        <f t="shared" si="35"/>
        <v>0</v>
      </c>
      <c r="AI19" s="437">
        <f t="shared" si="23"/>
        <v>0</v>
      </c>
      <c r="AJ19" s="437">
        <f t="shared" si="36"/>
        <v>0</v>
      </c>
      <c r="AK19" s="437">
        <f t="shared" si="37"/>
        <v>0</v>
      </c>
      <c r="AL19" s="437">
        <f t="shared" si="24"/>
        <v>0</v>
      </c>
      <c r="AM19" s="437">
        <f t="shared" si="38"/>
        <v>0</v>
      </c>
      <c r="AN19" s="437">
        <f t="shared" si="39"/>
        <v>0</v>
      </c>
      <c r="AO19" s="438">
        <f t="shared" si="25"/>
        <v>0</v>
      </c>
      <c r="AQ19" s="428">
        <v>0</v>
      </c>
      <c r="AR19" s="429">
        <v>0</v>
      </c>
      <c r="AS19" s="429">
        <v>0</v>
      </c>
      <c r="AT19" s="429">
        <v>0</v>
      </c>
      <c r="AU19" s="429">
        <v>0</v>
      </c>
      <c r="AV19" s="429">
        <v>0</v>
      </c>
      <c r="AW19" s="429">
        <v>0</v>
      </c>
      <c r="AX19" s="429">
        <v>0</v>
      </c>
      <c r="AY19" s="429">
        <v>0</v>
      </c>
      <c r="AZ19" s="429">
        <v>0</v>
      </c>
      <c r="BA19" s="429">
        <v>0</v>
      </c>
      <c r="BB19" s="429">
        <v>0</v>
      </c>
      <c r="BC19" s="431">
        <v>0</v>
      </c>
      <c r="BD19" s="428">
        <v>0</v>
      </c>
      <c r="BE19" s="429">
        <v>0</v>
      </c>
      <c r="BF19" s="429">
        <v>0</v>
      </c>
      <c r="BG19" s="429">
        <v>0</v>
      </c>
      <c r="BH19" s="429">
        <v>0</v>
      </c>
      <c r="BI19" s="429">
        <v>0</v>
      </c>
      <c r="BJ19" s="429">
        <v>0</v>
      </c>
      <c r="BK19" s="429">
        <v>0</v>
      </c>
      <c r="BL19" s="429">
        <v>0</v>
      </c>
      <c r="BM19" s="429">
        <v>0</v>
      </c>
      <c r="BN19" s="429">
        <v>0</v>
      </c>
      <c r="BO19" s="429">
        <v>0</v>
      </c>
      <c r="BP19" s="431">
        <v>0</v>
      </c>
      <c r="BQ19" s="428">
        <v>0</v>
      </c>
      <c r="BR19" s="429">
        <v>0</v>
      </c>
      <c r="BS19" s="429">
        <v>0</v>
      </c>
      <c r="BT19" s="429">
        <v>0</v>
      </c>
      <c r="BU19" s="429">
        <v>0</v>
      </c>
      <c r="BV19" s="429">
        <v>0</v>
      </c>
      <c r="BW19" s="429">
        <v>0</v>
      </c>
      <c r="BX19" s="429">
        <v>0</v>
      </c>
      <c r="BY19" s="429">
        <v>0</v>
      </c>
      <c r="BZ19" s="429">
        <v>0</v>
      </c>
      <c r="CA19" s="429">
        <v>0</v>
      </c>
      <c r="CB19" s="429">
        <v>0</v>
      </c>
      <c r="CC19" s="431">
        <v>0</v>
      </c>
    </row>
    <row r="20" spans="1:81">
      <c r="A20" s="420" t="s">
        <v>184</v>
      </c>
      <c r="B20" s="420" t="s">
        <v>177</v>
      </c>
      <c r="C20" s="436">
        <f t="shared" si="1"/>
        <v>3369.8</v>
      </c>
      <c r="D20" s="437">
        <f t="shared" si="2"/>
        <v>3116.4166666666665</v>
      </c>
      <c r="E20" s="437">
        <f t="shared" si="3"/>
        <v>3097.909090909091</v>
      </c>
      <c r="F20" s="437">
        <f t="shared" si="4"/>
        <v>3755.7272727272725</v>
      </c>
      <c r="G20" s="500">
        <f t="shared" si="26"/>
        <v>2228.3636363636365</v>
      </c>
      <c r="H20" s="500">
        <f t="shared" si="5"/>
        <v>2181.6363636363635</v>
      </c>
      <c r="I20" s="500">
        <f t="shared" si="6"/>
        <v>1945.5454545454545</v>
      </c>
      <c r="J20" s="500">
        <f t="shared" si="7"/>
        <v>1880.3636363636363</v>
      </c>
      <c r="K20" s="500">
        <f t="shared" si="8"/>
        <v>1669.909090909091</v>
      </c>
      <c r="L20" s="500">
        <f t="shared" si="9"/>
        <v>2007.8181818181818</v>
      </c>
      <c r="M20" s="500">
        <f t="shared" si="10"/>
        <v>2270.5454545454545</v>
      </c>
      <c r="N20" s="500">
        <f t="shared" si="11"/>
        <v>2692.181818181818</v>
      </c>
      <c r="O20" s="501">
        <f t="shared" si="12"/>
        <v>2516.098484848485</v>
      </c>
      <c r="P20" s="436">
        <f t="shared" si="13"/>
        <v>3276.3636363636365</v>
      </c>
      <c r="Q20" s="500">
        <f t="shared" si="14"/>
        <v>3217.4166666666665</v>
      </c>
      <c r="R20" s="500">
        <f t="shared" si="15"/>
        <v>4553.545454545455</v>
      </c>
      <c r="S20" s="500">
        <f t="shared" si="16"/>
        <v>2958.909090909091</v>
      </c>
      <c r="T20" s="500">
        <f t="shared" si="17"/>
        <v>3490.5454545454545</v>
      </c>
      <c r="U20" s="500">
        <f t="shared" si="18"/>
        <v>2559.5454545454545</v>
      </c>
      <c r="V20" s="500">
        <f t="shared" si="19"/>
        <v>2396.5454545454545</v>
      </c>
      <c r="W20" s="500">
        <f t="shared" si="27"/>
        <v>1503.8666666666666</v>
      </c>
      <c r="X20" s="500">
        <f t="shared" si="28"/>
        <v>1662.75</v>
      </c>
      <c r="Y20" s="500">
        <f t="shared" si="20"/>
        <v>1639</v>
      </c>
      <c r="Z20" s="500">
        <f t="shared" si="29"/>
        <v>2018.75</v>
      </c>
      <c r="AA20" s="500">
        <f t="shared" si="30"/>
        <v>4295.75</v>
      </c>
      <c r="AB20" s="501">
        <f t="shared" si="21"/>
        <v>2752.8510638297871</v>
      </c>
      <c r="AC20" s="436">
        <f t="shared" si="31"/>
        <v>4047.3333333333335</v>
      </c>
      <c r="AD20" s="500">
        <f t="shared" si="32"/>
        <v>5528.5</v>
      </c>
      <c r="AE20" s="500">
        <f t="shared" si="33"/>
        <v>3359.7692307692309</v>
      </c>
      <c r="AF20" s="437">
        <f t="shared" si="34"/>
        <v>3708.5454545454545</v>
      </c>
      <c r="AG20" s="437">
        <f t="shared" si="22"/>
        <v>3019.5454545454545</v>
      </c>
      <c r="AH20" s="437">
        <f t="shared" si="35"/>
        <v>2787</v>
      </c>
      <c r="AI20" s="437">
        <f t="shared" si="23"/>
        <v>2117.181818181818</v>
      </c>
      <c r="AJ20" s="437">
        <f t="shared" si="36"/>
        <v>2283.6363636363635</v>
      </c>
      <c r="AK20" s="437">
        <f t="shared" si="37"/>
        <v>1423.5833333333333</v>
      </c>
      <c r="AL20" s="437">
        <f t="shared" si="24"/>
        <v>1931.8181818181818</v>
      </c>
      <c r="AM20" s="437">
        <f t="shared" si="38"/>
        <v>2399.090909090909</v>
      </c>
      <c r="AN20" s="437">
        <f t="shared" si="39"/>
        <v>3331.818181818182</v>
      </c>
      <c r="AO20" s="438">
        <f t="shared" si="25"/>
        <v>3014.8540145985403</v>
      </c>
      <c r="AQ20" s="428">
        <v>3369.8</v>
      </c>
      <c r="AR20" s="429">
        <v>3116.4166666666665</v>
      </c>
      <c r="AS20" s="429">
        <v>3097.909090909091</v>
      </c>
      <c r="AT20" s="429">
        <v>3755.7272727272725</v>
      </c>
      <c r="AU20" s="429">
        <v>2228.3636363636365</v>
      </c>
      <c r="AV20" s="429">
        <v>2181.6363636363635</v>
      </c>
      <c r="AW20" s="429">
        <v>1945.5454545454545</v>
      </c>
      <c r="AX20" s="429">
        <v>1880.3636363636363</v>
      </c>
      <c r="AY20" s="429">
        <v>1669.909090909091</v>
      </c>
      <c r="AZ20" s="429">
        <v>2007.8181818181818</v>
      </c>
      <c r="BA20" s="429">
        <v>2270.5454545454545</v>
      </c>
      <c r="BB20" s="429">
        <v>2692.181818181818</v>
      </c>
      <c r="BC20" s="431">
        <v>2516.098484848485</v>
      </c>
      <c r="BD20" s="428">
        <v>3276.3636363636365</v>
      </c>
      <c r="BE20" s="429">
        <v>3217.4166666666665</v>
      </c>
      <c r="BF20" s="429">
        <v>4553.545454545455</v>
      </c>
      <c r="BG20" s="429">
        <v>2958.909090909091</v>
      </c>
      <c r="BH20" s="429">
        <v>3490.5454545454545</v>
      </c>
      <c r="BI20" s="429">
        <v>2559.5454545454545</v>
      </c>
      <c r="BJ20" s="429">
        <v>2396.5454545454545</v>
      </c>
      <c r="BK20" s="429">
        <v>1503.8666666666666</v>
      </c>
      <c r="BL20" s="429">
        <v>1662.75</v>
      </c>
      <c r="BM20" s="429">
        <v>1639</v>
      </c>
      <c r="BN20" s="429">
        <v>2018.75</v>
      </c>
      <c r="BO20" s="429">
        <v>4295.75</v>
      </c>
      <c r="BP20" s="431">
        <v>2752.8510638297871</v>
      </c>
      <c r="BQ20" s="428">
        <v>4047.3333333333335</v>
      </c>
      <c r="BR20" s="429">
        <v>5528.5</v>
      </c>
      <c r="BS20" s="429">
        <v>3359.7692307692309</v>
      </c>
      <c r="BT20" s="429">
        <v>3708.5454545454545</v>
      </c>
      <c r="BU20" s="429">
        <v>3019.5454545454545</v>
      </c>
      <c r="BV20" s="429">
        <v>2787</v>
      </c>
      <c r="BW20" s="429">
        <v>2117.181818181818</v>
      </c>
      <c r="BX20" s="429">
        <v>2283.6363636363635</v>
      </c>
      <c r="BY20" s="429">
        <v>1423.5833333333333</v>
      </c>
      <c r="BZ20" s="429">
        <v>1931.8181818181818</v>
      </c>
      <c r="CA20" s="429">
        <v>2399.090909090909</v>
      </c>
      <c r="CB20" s="429">
        <v>3331.818181818182</v>
      </c>
      <c r="CC20" s="431">
        <v>3014.8540145985403</v>
      </c>
    </row>
    <row r="21" spans="1:81">
      <c r="A21" s="420" t="s">
        <v>184</v>
      </c>
      <c r="B21" s="420" t="s">
        <v>178</v>
      </c>
      <c r="C21" s="436">
        <f t="shared" si="1"/>
        <v>6212</v>
      </c>
      <c r="D21" s="437">
        <f t="shared" si="2"/>
        <v>6486</v>
      </c>
      <c r="E21" s="437">
        <f t="shared" si="3"/>
        <v>5942</v>
      </c>
      <c r="F21" s="437">
        <f t="shared" si="4"/>
        <v>7172</v>
      </c>
      <c r="G21" s="500">
        <f t="shared" si="26"/>
        <v>4560</v>
      </c>
      <c r="H21" s="500">
        <f t="shared" si="5"/>
        <v>5234</v>
      </c>
      <c r="I21" s="500">
        <f t="shared" si="6"/>
        <v>4280</v>
      </c>
      <c r="J21" s="500">
        <f t="shared" si="7"/>
        <v>5162</v>
      </c>
      <c r="K21" s="500">
        <f t="shared" si="8"/>
        <v>4150</v>
      </c>
      <c r="L21" s="500">
        <f t="shared" si="9"/>
        <v>5802</v>
      </c>
      <c r="M21" s="500">
        <f t="shared" si="10"/>
        <v>2685</v>
      </c>
      <c r="N21" s="500">
        <f t="shared" si="11"/>
        <v>5226</v>
      </c>
      <c r="O21" s="501">
        <f t="shared" si="12"/>
        <v>5200.6557377049185</v>
      </c>
      <c r="P21" s="436">
        <f t="shared" si="13"/>
        <v>5580</v>
      </c>
      <c r="Q21" s="500">
        <f t="shared" si="14"/>
        <v>6028</v>
      </c>
      <c r="R21" s="500">
        <f t="shared" si="15"/>
        <v>5484</v>
      </c>
      <c r="S21" s="500">
        <f t="shared" si="16"/>
        <v>6162</v>
      </c>
      <c r="T21" s="500">
        <f t="shared" si="17"/>
        <v>5640</v>
      </c>
      <c r="U21" s="500">
        <f t="shared" si="18"/>
        <v>4460</v>
      </c>
      <c r="V21" s="500">
        <f t="shared" si="19"/>
        <v>3618</v>
      </c>
      <c r="W21" s="500">
        <f t="shared" si="27"/>
        <v>3446.1428571428573</v>
      </c>
      <c r="X21" s="500">
        <f t="shared" si="28"/>
        <v>3328.1428571428573</v>
      </c>
      <c r="Y21" s="500">
        <f t="shared" si="20"/>
        <v>3153.2857142857142</v>
      </c>
      <c r="Z21" s="500">
        <f t="shared" si="29"/>
        <v>3407.625</v>
      </c>
      <c r="AA21" s="500">
        <f t="shared" si="30"/>
        <v>4511.4285714285716</v>
      </c>
      <c r="AB21" s="501">
        <f t="shared" si="21"/>
        <v>4389.4520547945203</v>
      </c>
      <c r="AC21" s="436">
        <f t="shared" si="31"/>
        <v>3520</v>
      </c>
      <c r="AD21" s="500">
        <f t="shared" si="32"/>
        <v>4838.2857142857147</v>
      </c>
      <c r="AE21" s="500">
        <f t="shared" si="33"/>
        <v>3631</v>
      </c>
      <c r="AF21" s="437">
        <f t="shared" si="34"/>
        <v>4576.4285714285716</v>
      </c>
      <c r="AG21" s="437">
        <f t="shared" si="22"/>
        <v>3114.2857142857142</v>
      </c>
      <c r="AH21" s="437">
        <f t="shared" si="35"/>
        <v>3470.7142857142858</v>
      </c>
      <c r="AI21" s="437">
        <f t="shared" si="23"/>
        <v>6204.1428571428569</v>
      </c>
      <c r="AJ21" s="437">
        <f t="shared" si="36"/>
        <v>1201.875</v>
      </c>
      <c r="AK21" s="437">
        <f t="shared" si="37"/>
        <v>3126.4285714285716</v>
      </c>
      <c r="AL21" s="437">
        <f t="shared" si="24"/>
        <v>3054.4285714285716</v>
      </c>
      <c r="AM21" s="437">
        <f t="shared" si="38"/>
        <v>3537.5714285714284</v>
      </c>
      <c r="AN21" s="437">
        <f t="shared" si="39"/>
        <v>10266.200000000001</v>
      </c>
      <c r="AO21" s="438">
        <f t="shared" si="25"/>
        <v>4383.977272727273</v>
      </c>
      <c r="AQ21" s="428">
        <v>6212</v>
      </c>
      <c r="AR21" s="429">
        <v>6486</v>
      </c>
      <c r="AS21" s="429">
        <v>5942</v>
      </c>
      <c r="AT21" s="429">
        <v>7172</v>
      </c>
      <c r="AU21" s="429">
        <v>4560</v>
      </c>
      <c r="AV21" s="429">
        <v>5234</v>
      </c>
      <c r="AW21" s="429">
        <v>4280</v>
      </c>
      <c r="AX21" s="429">
        <v>5162</v>
      </c>
      <c r="AY21" s="429">
        <v>4150</v>
      </c>
      <c r="AZ21" s="429">
        <v>5802</v>
      </c>
      <c r="BA21" s="429">
        <v>2685</v>
      </c>
      <c r="BB21" s="429">
        <v>5226</v>
      </c>
      <c r="BC21" s="431">
        <v>5200.6557377049185</v>
      </c>
      <c r="BD21" s="428">
        <v>5580</v>
      </c>
      <c r="BE21" s="429">
        <v>6028</v>
      </c>
      <c r="BF21" s="429">
        <v>5484</v>
      </c>
      <c r="BG21" s="429">
        <v>6162</v>
      </c>
      <c r="BH21" s="429">
        <v>5640</v>
      </c>
      <c r="BI21" s="429">
        <v>4460</v>
      </c>
      <c r="BJ21" s="429">
        <v>3618</v>
      </c>
      <c r="BK21" s="429">
        <v>3446.1428571428573</v>
      </c>
      <c r="BL21" s="429">
        <v>3328.1428571428573</v>
      </c>
      <c r="BM21" s="429">
        <v>3153.2857142857142</v>
      </c>
      <c r="BN21" s="429">
        <v>3407.625</v>
      </c>
      <c r="BO21" s="429">
        <v>4511.4285714285716</v>
      </c>
      <c r="BP21" s="431">
        <v>4389.4520547945203</v>
      </c>
      <c r="BQ21" s="428">
        <v>3520</v>
      </c>
      <c r="BR21" s="429">
        <v>4838.2857142857147</v>
      </c>
      <c r="BS21" s="429">
        <v>3631</v>
      </c>
      <c r="BT21" s="429">
        <v>4576.4285714285716</v>
      </c>
      <c r="BU21" s="429">
        <v>3114.2857142857142</v>
      </c>
      <c r="BV21" s="429">
        <v>3470.7142857142858</v>
      </c>
      <c r="BW21" s="429">
        <v>6204.1428571428569</v>
      </c>
      <c r="BX21" s="429">
        <v>1201.875</v>
      </c>
      <c r="BY21" s="429">
        <v>3126.4285714285716</v>
      </c>
      <c r="BZ21" s="429">
        <v>3054.4285714285716</v>
      </c>
      <c r="CA21" s="429">
        <v>3537.5714285714284</v>
      </c>
      <c r="CB21" s="429">
        <v>10266.200000000001</v>
      </c>
      <c r="CC21" s="431">
        <v>4383.977272727273</v>
      </c>
    </row>
    <row r="22" spans="1:81">
      <c r="A22" s="420" t="s">
        <v>184</v>
      </c>
      <c r="B22" s="420" t="s">
        <v>179</v>
      </c>
      <c r="C22" s="436">
        <f t="shared" si="1"/>
        <v>0</v>
      </c>
      <c r="D22" s="437">
        <f t="shared" si="2"/>
        <v>0</v>
      </c>
      <c r="E22" s="437">
        <f t="shared" si="3"/>
        <v>0</v>
      </c>
      <c r="F22" s="437">
        <f t="shared" si="4"/>
        <v>0</v>
      </c>
      <c r="G22" s="500">
        <f t="shared" si="26"/>
        <v>0</v>
      </c>
      <c r="H22" s="500">
        <f t="shared" si="5"/>
        <v>0</v>
      </c>
      <c r="I22" s="500">
        <f t="shared" si="6"/>
        <v>0</v>
      </c>
      <c r="J22" s="500">
        <f t="shared" si="7"/>
        <v>0</v>
      </c>
      <c r="K22" s="500">
        <f t="shared" si="8"/>
        <v>0</v>
      </c>
      <c r="L22" s="500">
        <f t="shared" si="9"/>
        <v>0</v>
      </c>
      <c r="M22" s="500">
        <f t="shared" si="10"/>
        <v>0</v>
      </c>
      <c r="N22" s="500">
        <f t="shared" si="11"/>
        <v>0</v>
      </c>
      <c r="O22" s="501">
        <f t="shared" si="12"/>
        <v>0</v>
      </c>
      <c r="P22" s="436">
        <f t="shared" si="13"/>
        <v>0</v>
      </c>
      <c r="Q22" s="500">
        <f t="shared" si="14"/>
        <v>0</v>
      </c>
      <c r="R22" s="500">
        <f t="shared" si="15"/>
        <v>0</v>
      </c>
      <c r="S22" s="500">
        <f t="shared" si="16"/>
        <v>0</v>
      </c>
      <c r="T22" s="500">
        <f t="shared" si="17"/>
        <v>0</v>
      </c>
      <c r="U22" s="500">
        <f t="shared" si="18"/>
        <v>0</v>
      </c>
      <c r="V22" s="500">
        <f t="shared" si="19"/>
        <v>0</v>
      </c>
      <c r="W22" s="500">
        <f t="shared" si="27"/>
        <v>0</v>
      </c>
      <c r="X22" s="500">
        <f t="shared" si="28"/>
        <v>0</v>
      </c>
      <c r="Y22" s="500">
        <f t="shared" si="20"/>
        <v>0</v>
      </c>
      <c r="Z22" s="500">
        <f t="shared" si="29"/>
        <v>0</v>
      </c>
      <c r="AA22" s="500">
        <f t="shared" si="30"/>
        <v>0</v>
      </c>
      <c r="AB22" s="501">
        <f t="shared" si="21"/>
        <v>0</v>
      </c>
      <c r="AC22" s="436">
        <f t="shared" si="31"/>
        <v>0</v>
      </c>
      <c r="AD22" s="500">
        <f t="shared" si="32"/>
        <v>0</v>
      </c>
      <c r="AE22" s="500">
        <f t="shared" si="33"/>
        <v>0</v>
      </c>
      <c r="AF22" s="437">
        <f t="shared" si="34"/>
        <v>0</v>
      </c>
      <c r="AG22" s="437">
        <f t="shared" si="22"/>
        <v>0</v>
      </c>
      <c r="AH22" s="437">
        <f t="shared" si="35"/>
        <v>0</v>
      </c>
      <c r="AI22" s="437">
        <f t="shared" si="23"/>
        <v>0</v>
      </c>
      <c r="AJ22" s="437">
        <f t="shared" si="36"/>
        <v>0</v>
      </c>
      <c r="AK22" s="437">
        <f t="shared" si="37"/>
        <v>0</v>
      </c>
      <c r="AL22" s="437">
        <f t="shared" si="24"/>
        <v>0</v>
      </c>
      <c r="AM22" s="437">
        <f t="shared" si="38"/>
        <v>0</v>
      </c>
      <c r="AN22" s="437">
        <f t="shared" si="39"/>
        <v>0</v>
      </c>
      <c r="AO22" s="438">
        <f t="shared" si="25"/>
        <v>0</v>
      </c>
      <c r="AQ22" s="428">
        <v>0</v>
      </c>
      <c r="AR22" s="429">
        <v>0</v>
      </c>
      <c r="AS22" s="429">
        <v>0</v>
      </c>
      <c r="AT22" s="429">
        <v>0</v>
      </c>
      <c r="AU22" s="429">
        <v>0</v>
      </c>
      <c r="AV22" s="429">
        <v>0</v>
      </c>
      <c r="AW22" s="429">
        <v>0</v>
      </c>
      <c r="AX22" s="429">
        <v>0</v>
      </c>
      <c r="AY22" s="429">
        <v>0</v>
      </c>
      <c r="AZ22" s="429">
        <v>0</v>
      </c>
      <c r="BA22" s="429">
        <v>0</v>
      </c>
      <c r="BB22" s="429">
        <v>0</v>
      </c>
      <c r="BC22" s="431">
        <v>0</v>
      </c>
      <c r="BD22" s="428">
        <v>0</v>
      </c>
      <c r="BE22" s="429">
        <v>0</v>
      </c>
      <c r="BF22" s="429">
        <v>0</v>
      </c>
      <c r="BG22" s="429">
        <v>0</v>
      </c>
      <c r="BH22" s="429">
        <v>0</v>
      </c>
      <c r="BI22" s="429">
        <v>0</v>
      </c>
      <c r="BJ22" s="429">
        <v>0</v>
      </c>
      <c r="BK22" s="429">
        <v>0</v>
      </c>
      <c r="BL22" s="429">
        <v>0</v>
      </c>
      <c r="BM22" s="429">
        <v>0</v>
      </c>
      <c r="BN22" s="429">
        <v>0</v>
      </c>
      <c r="BO22" s="429">
        <v>0</v>
      </c>
      <c r="BP22" s="431">
        <v>0</v>
      </c>
      <c r="BQ22" s="428">
        <v>0</v>
      </c>
      <c r="BR22" s="429">
        <v>0</v>
      </c>
      <c r="BS22" s="429">
        <v>0</v>
      </c>
      <c r="BT22" s="429">
        <v>0</v>
      </c>
      <c r="BU22" s="429">
        <v>0</v>
      </c>
      <c r="BV22" s="429">
        <v>0</v>
      </c>
      <c r="BW22" s="429">
        <v>0</v>
      </c>
      <c r="BX22" s="429">
        <v>0</v>
      </c>
      <c r="BY22" s="429">
        <v>0</v>
      </c>
      <c r="BZ22" s="429">
        <v>0</v>
      </c>
      <c r="CA22" s="429">
        <v>0</v>
      </c>
      <c r="CB22" s="429">
        <v>0</v>
      </c>
      <c r="CC22" s="431">
        <v>0</v>
      </c>
    </row>
    <row r="23" spans="1:81">
      <c r="A23" s="420" t="s">
        <v>184</v>
      </c>
      <c r="B23" s="420" t="s">
        <v>180</v>
      </c>
      <c r="C23" s="436">
        <f t="shared" si="1"/>
        <v>545.125</v>
      </c>
      <c r="D23" s="437">
        <f t="shared" si="2"/>
        <v>532.75</v>
      </c>
      <c r="E23" s="437">
        <f t="shared" si="3"/>
        <v>470.75</v>
      </c>
      <c r="F23" s="437">
        <f t="shared" si="4"/>
        <v>650.25</v>
      </c>
      <c r="G23" s="500">
        <f t="shared" si="26"/>
        <v>397.5</v>
      </c>
      <c r="H23" s="500">
        <f t="shared" si="5"/>
        <v>536.625</v>
      </c>
      <c r="I23" s="500">
        <f t="shared" si="6"/>
        <v>442</v>
      </c>
      <c r="J23" s="500">
        <f t="shared" si="7"/>
        <v>457.25</v>
      </c>
      <c r="K23" s="500">
        <f t="shared" si="8"/>
        <v>313.125</v>
      </c>
      <c r="L23" s="500">
        <f t="shared" si="9"/>
        <v>503.25</v>
      </c>
      <c r="M23" s="500">
        <f t="shared" si="10"/>
        <v>459.375</v>
      </c>
      <c r="N23" s="500">
        <f t="shared" si="11"/>
        <v>506.625</v>
      </c>
      <c r="O23" s="501">
        <f t="shared" si="12"/>
        <v>484.55208333333331</v>
      </c>
      <c r="P23" s="436">
        <f t="shared" si="13"/>
        <v>494.375</v>
      </c>
      <c r="Q23" s="500">
        <f t="shared" si="14"/>
        <v>327.5</v>
      </c>
      <c r="R23" s="500">
        <f t="shared" si="15"/>
        <v>673.125</v>
      </c>
      <c r="S23" s="500">
        <f t="shared" si="16"/>
        <v>401.125</v>
      </c>
      <c r="T23" s="500">
        <f t="shared" si="17"/>
        <v>565.125</v>
      </c>
      <c r="U23" s="500">
        <f t="shared" si="18"/>
        <v>398.25</v>
      </c>
      <c r="V23" s="500">
        <f t="shared" si="19"/>
        <v>464.125</v>
      </c>
      <c r="W23" s="500">
        <f t="shared" si="27"/>
        <v>452.375</v>
      </c>
      <c r="X23" s="500">
        <f t="shared" si="28"/>
        <v>378.25</v>
      </c>
      <c r="Y23" s="500">
        <f t="shared" si="20"/>
        <v>413.5</v>
      </c>
      <c r="Z23" s="500">
        <f t="shared" si="29"/>
        <v>554</v>
      </c>
      <c r="AA23" s="500">
        <f t="shared" si="30"/>
        <v>880.5</v>
      </c>
      <c r="AB23" s="501">
        <f t="shared" si="21"/>
        <v>500.1875</v>
      </c>
      <c r="AC23" s="436">
        <f t="shared" si="31"/>
        <v>644.375</v>
      </c>
      <c r="AD23" s="500">
        <f t="shared" si="32"/>
        <v>618.25</v>
      </c>
      <c r="AE23" s="500">
        <f t="shared" si="33"/>
        <v>430.875</v>
      </c>
      <c r="AF23" s="437">
        <f t="shared" si="34"/>
        <v>912</v>
      </c>
      <c r="AG23" s="437">
        <f t="shared" si="22"/>
        <v>728.5</v>
      </c>
      <c r="AH23" s="437">
        <f t="shared" si="35"/>
        <v>678.375</v>
      </c>
      <c r="AI23" s="437">
        <f t="shared" si="23"/>
        <v>524.25</v>
      </c>
      <c r="AJ23" s="437">
        <f t="shared" si="36"/>
        <v>448</v>
      </c>
      <c r="AK23" s="437">
        <f t="shared" si="37"/>
        <v>351.5</v>
      </c>
      <c r="AL23" s="437">
        <f t="shared" si="24"/>
        <v>579.75</v>
      </c>
      <c r="AM23" s="437">
        <f t="shared" si="38"/>
        <v>567.25</v>
      </c>
      <c r="AN23" s="437">
        <f t="shared" si="39"/>
        <v>1415</v>
      </c>
      <c r="AO23" s="438">
        <f t="shared" si="25"/>
        <v>658.17708333333337</v>
      </c>
      <c r="AQ23" s="428">
        <v>545.125</v>
      </c>
      <c r="AR23" s="429">
        <v>532.75</v>
      </c>
      <c r="AS23" s="429">
        <v>470.75</v>
      </c>
      <c r="AT23" s="429">
        <v>650.25</v>
      </c>
      <c r="AU23" s="429">
        <v>397.5</v>
      </c>
      <c r="AV23" s="429">
        <v>536.625</v>
      </c>
      <c r="AW23" s="429">
        <v>442</v>
      </c>
      <c r="AX23" s="429">
        <v>457.25</v>
      </c>
      <c r="AY23" s="429">
        <v>313.125</v>
      </c>
      <c r="AZ23" s="429">
        <v>503.25</v>
      </c>
      <c r="BA23" s="429">
        <v>459.375</v>
      </c>
      <c r="BB23" s="429">
        <v>506.625</v>
      </c>
      <c r="BC23" s="431">
        <v>484.55208333333331</v>
      </c>
      <c r="BD23" s="428">
        <v>494.375</v>
      </c>
      <c r="BE23" s="429">
        <v>327.5</v>
      </c>
      <c r="BF23" s="429">
        <v>673.125</v>
      </c>
      <c r="BG23" s="429">
        <v>401.125</v>
      </c>
      <c r="BH23" s="429">
        <v>565.125</v>
      </c>
      <c r="BI23" s="429">
        <v>398.25</v>
      </c>
      <c r="BJ23" s="429">
        <v>464.125</v>
      </c>
      <c r="BK23" s="429">
        <v>452.375</v>
      </c>
      <c r="BL23" s="429">
        <v>378.25</v>
      </c>
      <c r="BM23" s="429">
        <v>413.5</v>
      </c>
      <c r="BN23" s="429">
        <v>554</v>
      </c>
      <c r="BO23" s="429">
        <v>880.5</v>
      </c>
      <c r="BP23" s="431">
        <v>500.1875</v>
      </c>
      <c r="BQ23" s="428">
        <v>644.375</v>
      </c>
      <c r="BR23" s="429">
        <v>618.25</v>
      </c>
      <c r="BS23" s="429">
        <v>430.875</v>
      </c>
      <c r="BT23" s="429">
        <v>912</v>
      </c>
      <c r="BU23" s="429">
        <v>728.5</v>
      </c>
      <c r="BV23" s="429">
        <v>678.375</v>
      </c>
      <c r="BW23" s="429">
        <v>524.25</v>
      </c>
      <c r="BX23" s="429">
        <v>448</v>
      </c>
      <c r="BY23" s="429">
        <v>351.5</v>
      </c>
      <c r="BZ23" s="429">
        <v>579.75</v>
      </c>
      <c r="CA23" s="429">
        <v>567.25</v>
      </c>
      <c r="CB23" s="429">
        <v>1415</v>
      </c>
      <c r="CC23" s="431">
        <v>658.17708333333337</v>
      </c>
    </row>
    <row r="24" spans="1:81">
      <c r="A24" s="420" t="s">
        <v>184</v>
      </c>
      <c r="B24" s="420" t="s">
        <v>181</v>
      </c>
      <c r="C24" s="436">
        <f t="shared" si="1"/>
        <v>0</v>
      </c>
      <c r="D24" s="437">
        <f t="shared" si="2"/>
        <v>0</v>
      </c>
      <c r="E24" s="437">
        <f t="shared" si="3"/>
        <v>0</v>
      </c>
      <c r="F24" s="437">
        <f t="shared" si="4"/>
        <v>0</v>
      </c>
      <c r="G24" s="500">
        <f t="shared" si="26"/>
        <v>0</v>
      </c>
      <c r="H24" s="500">
        <f t="shared" si="5"/>
        <v>0</v>
      </c>
      <c r="I24" s="500">
        <f t="shared" si="6"/>
        <v>0</v>
      </c>
      <c r="J24" s="500">
        <f t="shared" si="7"/>
        <v>0</v>
      </c>
      <c r="K24" s="500">
        <f t="shared" si="8"/>
        <v>0</v>
      </c>
      <c r="L24" s="500">
        <f t="shared" si="9"/>
        <v>0</v>
      </c>
      <c r="M24" s="500">
        <f t="shared" si="10"/>
        <v>0</v>
      </c>
      <c r="N24" s="500">
        <f t="shared" si="11"/>
        <v>0</v>
      </c>
      <c r="O24" s="501">
        <f t="shared" si="12"/>
        <v>0</v>
      </c>
      <c r="P24" s="436">
        <f t="shared" si="13"/>
        <v>0</v>
      </c>
      <c r="Q24" s="500">
        <f t="shared" si="14"/>
        <v>0</v>
      </c>
      <c r="R24" s="500">
        <f t="shared" si="15"/>
        <v>0</v>
      </c>
      <c r="S24" s="500">
        <f t="shared" si="16"/>
        <v>0</v>
      </c>
      <c r="T24" s="500">
        <f t="shared" si="17"/>
        <v>0</v>
      </c>
      <c r="U24" s="500">
        <f t="shared" si="18"/>
        <v>0</v>
      </c>
      <c r="V24" s="500">
        <f t="shared" si="19"/>
        <v>0</v>
      </c>
      <c r="W24" s="500">
        <f t="shared" si="27"/>
        <v>0</v>
      </c>
      <c r="X24" s="500">
        <f t="shared" si="28"/>
        <v>0</v>
      </c>
      <c r="Y24" s="500">
        <f t="shared" si="20"/>
        <v>0</v>
      </c>
      <c r="Z24" s="500">
        <f t="shared" si="29"/>
        <v>0</v>
      </c>
      <c r="AA24" s="500">
        <f t="shared" si="30"/>
        <v>0</v>
      </c>
      <c r="AB24" s="501">
        <f t="shared" si="21"/>
        <v>0</v>
      </c>
      <c r="AC24" s="436">
        <f t="shared" si="31"/>
        <v>0</v>
      </c>
      <c r="AD24" s="500">
        <f t="shared" si="32"/>
        <v>0</v>
      </c>
      <c r="AE24" s="500">
        <f t="shared" si="33"/>
        <v>0</v>
      </c>
      <c r="AF24" s="437">
        <f t="shared" si="34"/>
        <v>0</v>
      </c>
      <c r="AG24" s="437">
        <f t="shared" si="22"/>
        <v>0</v>
      </c>
      <c r="AH24" s="437">
        <f t="shared" si="35"/>
        <v>0</v>
      </c>
      <c r="AI24" s="437">
        <f t="shared" si="23"/>
        <v>0</v>
      </c>
      <c r="AJ24" s="437">
        <f t="shared" si="36"/>
        <v>0</v>
      </c>
      <c r="AK24" s="437">
        <f t="shared" si="37"/>
        <v>0</v>
      </c>
      <c r="AL24" s="437">
        <f t="shared" si="24"/>
        <v>0</v>
      </c>
      <c r="AM24" s="437">
        <f t="shared" si="38"/>
        <v>0</v>
      </c>
      <c r="AN24" s="437">
        <f t="shared" si="39"/>
        <v>0</v>
      </c>
      <c r="AO24" s="438">
        <f t="shared" si="25"/>
        <v>0</v>
      </c>
      <c r="AQ24" s="428">
        <v>0</v>
      </c>
      <c r="AR24" s="429">
        <v>0</v>
      </c>
      <c r="AS24" s="429">
        <v>0</v>
      </c>
      <c r="AT24" s="429">
        <v>0</v>
      </c>
      <c r="AU24" s="429">
        <v>0</v>
      </c>
      <c r="AV24" s="429">
        <v>0</v>
      </c>
      <c r="AW24" s="429">
        <v>0</v>
      </c>
      <c r="AX24" s="429">
        <v>0</v>
      </c>
      <c r="AY24" s="429">
        <v>0</v>
      </c>
      <c r="AZ24" s="429">
        <v>0</v>
      </c>
      <c r="BA24" s="429">
        <v>0</v>
      </c>
      <c r="BB24" s="429">
        <v>0</v>
      </c>
      <c r="BC24" s="431">
        <v>0</v>
      </c>
      <c r="BD24" s="428">
        <v>0</v>
      </c>
      <c r="BE24" s="429">
        <v>0</v>
      </c>
      <c r="BF24" s="429">
        <v>0</v>
      </c>
      <c r="BG24" s="429">
        <v>0</v>
      </c>
      <c r="BH24" s="429">
        <v>0</v>
      </c>
      <c r="BI24" s="429">
        <v>0</v>
      </c>
      <c r="BJ24" s="429">
        <v>0</v>
      </c>
      <c r="BK24" s="429">
        <v>0</v>
      </c>
      <c r="BL24" s="429">
        <v>0</v>
      </c>
      <c r="BM24" s="429">
        <v>0</v>
      </c>
      <c r="BN24" s="429">
        <v>0</v>
      </c>
      <c r="BO24" s="429">
        <v>0</v>
      </c>
      <c r="BP24" s="431">
        <v>0</v>
      </c>
      <c r="BQ24" s="428">
        <v>0</v>
      </c>
      <c r="BR24" s="429">
        <v>0</v>
      </c>
      <c r="BS24" s="429">
        <v>0</v>
      </c>
      <c r="BT24" s="429">
        <v>0</v>
      </c>
      <c r="BU24" s="429">
        <v>0</v>
      </c>
      <c r="BV24" s="429">
        <v>0</v>
      </c>
      <c r="BW24" s="429">
        <v>0</v>
      </c>
      <c r="BX24" s="429">
        <v>0</v>
      </c>
      <c r="BY24" s="429">
        <v>0</v>
      </c>
      <c r="BZ24" s="429">
        <v>0</v>
      </c>
      <c r="CA24" s="429">
        <v>0</v>
      </c>
      <c r="CB24" s="429">
        <v>0</v>
      </c>
      <c r="CC24" s="431">
        <v>0</v>
      </c>
    </row>
    <row r="25" spans="1:81">
      <c r="A25" s="420" t="s">
        <v>184</v>
      </c>
      <c r="B25" s="420" t="s">
        <v>182</v>
      </c>
      <c r="C25" s="436">
        <f t="shared" si="1"/>
        <v>3654</v>
      </c>
      <c r="D25" s="437">
        <f t="shared" si="2"/>
        <v>4677.7857142857147</v>
      </c>
      <c r="E25" s="437">
        <f t="shared" si="3"/>
        <v>3054.6666666666665</v>
      </c>
      <c r="F25" s="437">
        <f t="shared" si="4"/>
        <v>4356.6428571428569</v>
      </c>
      <c r="G25" s="500">
        <f t="shared" si="26"/>
        <v>2148.8333333333335</v>
      </c>
      <c r="H25" s="500">
        <f t="shared" si="5"/>
        <v>2634.75</v>
      </c>
      <c r="I25" s="500">
        <f t="shared" si="6"/>
        <v>2457</v>
      </c>
      <c r="J25" s="500">
        <f t="shared" si="7"/>
        <v>3094.3076923076924</v>
      </c>
      <c r="K25" s="500">
        <f t="shared" si="8"/>
        <v>4162.833333333333</v>
      </c>
      <c r="L25" s="500">
        <f t="shared" si="9"/>
        <v>3069.5454545454545</v>
      </c>
      <c r="M25" s="500">
        <f t="shared" si="10"/>
        <v>1070.0769230769231</v>
      </c>
      <c r="N25" s="500">
        <f t="shared" si="11"/>
        <v>4652.9375</v>
      </c>
      <c r="O25" s="501">
        <f t="shared" si="12"/>
        <v>3242.6628571428573</v>
      </c>
      <c r="P25" s="436">
        <f t="shared" si="13"/>
        <v>4278.916666666667</v>
      </c>
      <c r="Q25" s="500">
        <f t="shared" si="14"/>
        <v>3907.5333333333333</v>
      </c>
      <c r="R25" s="500">
        <f t="shared" si="15"/>
        <v>4705.5714285714284</v>
      </c>
      <c r="S25" s="500">
        <f t="shared" si="16"/>
        <v>2711.5882352941176</v>
      </c>
      <c r="T25" s="500">
        <f t="shared" si="17"/>
        <v>2689.4117647058824</v>
      </c>
      <c r="U25" s="500">
        <f t="shared" si="18"/>
        <v>2746.7142857142858</v>
      </c>
      <c r="V25" s="500">
        <f t="shared" si="19"/>
        <v>3026.9230769230771</v>
      </c>
      <c r="W25" s="500">
        <f t="shared" si="27"/>
        <v>2718.4615384615386</v>
      </c>
      <c r="X25" s="500">
        <f t="shared" si="28"/>
        <v>2764.5</v>
      </c>
      <c r="Y25" s="500">
        <f t="shared" si="20"/>
        <v>2879.5384615384614</v>
      </c>
      <c r="Z25" s="500">
        <f t="shared" si="29"/>
        <v>3522</v>
      </c>
      <c r="AA25" s="500">
        <f t="shared" si="30"/>
        <v>3809.4375</v>
      </c>
      <c r="AB25" s="501">
        <f t="shared" si="21"/>
        <v>3303.9176470588236</v>
      </c>
      <c r="AC25" s="436">
        <f t="shared" si="31"/>
        <v>5347.5</v>
      </c>
      <c r="AD25" s="500">
        <f t="shared" si="32"/>
        <v>3318.75</v>
      </c>
      <c r="AE25" s="500">
        <f t="shared" si="33"/>
        <v>2873.5384615384614</v>
      </c>
      <c r="AF25" s="437">
        <f t="shared" si="34"/>
        <v>2460.5263157894738</v>
      </c>
      <c r="AG25" s="437">
        <f t="shared" si="22"/>
        <v>2651.5</v>
      </c>
      <c r="AH25" s="437">
        <f t="shared" si="35"/>
        <v>2505.9444444444443</v>
      </c>
      <c r="AI25" s="437">
        <f t="shared" si="23"/>
        <v>1379</v>
      </c>
      <c r="AJ25" s="437">
        <f t="shared" si="36"/>
        <v>2472.909090909091</v>
      </c>
      <c r="AK25" s="437">
        <f t="shared" si="37"/>
        <v>5634.833333333333</v>
      </c>
      <c r="AL25" s="437">
        <f t="shared" si="24"/>
        <v>2773.4545454545455</v>
      </c>
      <c r="AM25" s="437">
        <f t="shared" si="38"/>
        <v>2604.5</v>
      </c>
      <c r="AN25" s="437">
        <f t="shared" si="39"/>
        <v>2400.9523809523807</v>
      </c>
      <c r="AO25" s="438">
        <f t="shared" si="25"/>
        <v>2935.4867724867727</v>
      </c>
      <c r="AQ25" s="428">
        <v>3654</v>
      </c>
      <c r="AR25" s="429">
        <v>4677.7857142857147</v>
      </c>
      <c r="AS25" s="429">
        <v>3054.6666666666665</v>
      </c>
      <c r="AT25" s="429">
        <v>4356.6428571428569</v>
      </c>
      <c r="AU25" s="429">
        <v>2148.8333333333335</v>
      </c>
      <c r="AV25" s="429">
        <v>2634.75</v>
      </c>
      <c r="AW25" s="429">
        <v>2457</v>
      </c>
      <c r="AX25" s="429">
        <v>3094.3076923076924</v>
      </c>
      <c r="AY25" s="429">
        <v>4162.833333333333</v>
      </c>
      <c r="AZ25" s="429">
        <v>3069.5454545454545</v>
      </c>
      <c r="BA25" s="429">
        <v>1070.0769230769231</v>
      </c>
      <c r="BB25" s="429">
        <v>4652.9375</v>
      </c>
      <c r="BC25" s="431">
        <v>3242.6628571428573</v>
      </c>
      <c r="BD25" s="428">
        <v>4278.916666666667</v>
      </c>
      <c r="BE25" s="429">
        <v>3907.5333333333333</v>
      </c>
      <c r="BF25" s="429">
        <v>4705.5714285714284</v>
      </c>
      <c r="BG25" s="429">
        <v>2711.5882352941176</v>
      </c>
      <c r="BH25" s="429">
        <v>2689.4117647058824</v>
      </c>
      <c r="BI25" s="429">
        <v>2746.7142857142858</v>
      </c>
      <c r="BJ25" s="429">
        <v>3026.9230769230771</v>
      </c>
      <c r="BK25" s="429">
        <v>2718.4615384615386</v>
      </c>
      <c r="BL25" s="429">
        <v>2764.5</v>
      </c>
      <c r="BM25" s="429">
        <v>2879.5384615384614</v>
      </c>
      <c r="BN25" s="429">
        <v>3522</v>
      </c>
      <c r="BO25" s="429">
        <v>3809.4375</v>
      </c>
      <c r="BP25" s="431">
        <v>3303.9176470588236</v>
      </c>
      <c r="BQ25" s="428">
        <v>5347.5</v>
      </c>
      <c r="BR25" s="429">
        <v>3318.75</v>
      </c>
      <c r="BS25" s="429">
        <v>2873.5384615384614</v>
      </c>
      <c r="BT25" s="429">
        <v>2460.5263157894738</v>
      </c>
      <c r="BU25" s="429">
        <v>2651.5</v>
      </c>
      <c r="BV25" s="429">
        <v>2505.9444444444443</v>
      </c>
      <c r="BW25" s="429">
        <v>1379</v>
      </c>
      <c r="BX25" s="429">
        <v>2472.909090909091</v>
      </c>
      <c r="BY25" s="429">
        <v>5634.833333333333</v>
      </c>
      <c r="BZ25" s="429">
        <v>2773.4545454545455</v>
      </c>
      <c r="CA25" s="429">
        <v>2604.5</v>
      </c>
      <c r="CB25" s="429">
        <v>2400.9523809523807</v>
      </c>
      <c r="CC25" s="431">
        <v>2935.4867724867727</v>
      </c>
    </row>
    <row r="26" spans="1:81">
      <c r="A26" s="420" t="s">
        <v>184</v>
      </c>
      <c r="B26" s="420" t="s">
        <v>183</v>
      </c>
      <c r="C26" s="436">
        <f t="shared" si="1"/>
        <v>0</v>
      </c>
      <c r="D26" s="437">
        <f t="shared" si="2"/>
        <v>0</v>
      </c>
      <c r="E26" s="437">
        <f t="shared" si="3"/>
        <v>0</v>
      </c>
      <c r="F26" s="437">
        <f t="shared" si="4"/>
        <v>0</v>
      </c>
      <c r="G26" s="500">
        <f t="shared" si="26"/>
        <v>0</v>
      </c>
      <c r="H26" s="500">
        <f t="shared" si="5"/>
        <v>0</v>
      </c>
      <c r="I26" s="500">
        <f t="shared" si="6"/>
        <v>0</v>
      </c>
      <c r="J26" s="500">
        <f t="shared" si="7"/>
        <v>0</v>
      </c>
      <c r="K26" s="500">
        <f t="shared" si="8"/>
        <v>0</v>
      </c>
      <c r="L26" s="500">
        <f t="shared" si="9"/>
        <v>0</v>
      </c>
      <c r="M26" s="500">
        <f t="shared" si="10"/>
        <v>0</v>
      </c>
      <c r="N26" s="500">
        <f t="shared" si="11"/>
        <v>0</v>
      </c>
      <c r="O26" s="501">
        <f t="shared" si="12"/>
        <v>0</v>
      </c>
      <c r="P26" s="436">
        <f t="shared" si="13"/>
        <v>0</v>
      </c>
      <c r="Q26" s="500">
        <f t="shared" si="14"/>
        <v>0</v>
      </c>
      <c r="R26" s="500">
        <f t="shared" si="15"/>
        <v>0</v>
      </c>
      <c r="S26" s="500">
        <f t="shared" si="16"/>
        <v>0</v>
      </c>
      <c r="T26" s="500">
        <f t="shared" si="17"/>
        <v>0</v>
      </c>
      <c r="U26" s="500">
        <f t="shared" si="18"/>
        <v>0</v>
      </c>
      <c r="V26" s="500">
        <f t="shared" si="19"/>
        <v>0</v>
      </c>
      <c r="W26" s="500">
        <f t="shared" si="27"/>
        <v>0</v>
      </c>
      <c r="X26" s="500">
        <f t="shared" si="28"/>
        <v>0</v>
      </c>
      <c r="Y26" s="500">
        <f t="shared" si="20"/>
        <v>0</v>
      </c>
      <c r="Z26" s="500">
        <f t="shared" si="29"/>
        <v>0</v>
      </c>
      <c r="AA26" s="500">
        <f t="shared" si="30"/>
        <v>0</v>
      </c>
      <c r="AB26" s="501">
        <f t="shared" si="21"/>
        <v>0</v>
      </c>
      <c r="AC26" s="436">
        <f t="shared" si="31"/>
        <v>0</v>
      </c>
      <c r="AD26" s="500">
        <f t="shared" si="32"/>
        <v>0</v>
      </c>
      <c r="AE26" s="500">
        <f t="shared" si="33"/>
        <v>0</v>
      </c>
      <c r="AF26" s="437">
        <f t="shared" si="34"/>
        <v>0</v>
      </c>
      <c r="AG26" s="437">
        <f t="shared" si="22"/>
        <v>0</v>
      </c>
      <c r="AH26" s="437">
        <f t="shared" si="35"/>
        <v>0</v>
      </c>
      <c r="AI26" s="437">
        <f t="shared" si="23"/>
        <v>0</v>
      </c>
      <c r="AJ26" s="437">
        <f t="shared" si="36"/>
        <v>0</v>
      </c>
      <c r="AK26" s="437">
        <f t="shared" si="37"/>
        <v>0</v>
      </c>
      <c r="AL26" s="437">
        <f t="shared" si="24"/>
        <v>0</v>
      </c>
      <c r="AM26" s="437">
        <f t="shared" si="38"/>
        <v>0</v>
      </c>
      <c r="AN26" s="437">
        <f t="shared" si="39"/>
        <v>0</v>
      </c>
      <c r="AO26" s="438">
        <f t="shared" si="25"/>
        <v>0</v>
      </c>
      <c r="AQ26" s="428">
        <v>0</v>
      </c>
      <c r="AR26" s="429">
        <v>0</v>
      </c>
      <c r="AS26" s="429">
        <v>0</v>
      </c>
      <c r="AT26" s="429">
        <v>0</v>
      </c>
      <c r="AU26" s="429">
        <v>0</v>
      </c>
      <c r="AV26" s="429">
        <v>0</v>
      </c>
      <c r="AW26" s="429">
        <v>0</v>
      </c>
      <c r="AX26" s="429">
        <v>0</v>
      </c>
      <c r="AY26" s="429">
        <v>0</v>
      </c>
      <c r="AZ26" s="429">
        <v>0</v>
      </c>
      <c r="BA26" s="429">
        <v>0</v>
      </c>
      <c r="BB26" s="429">
        <v>0</v>
      </c>
      <c r="BC26" s="431">
        <v>0</v>
      </c>
      <c r="BD26" s="428">
        <v>0</v>
      </c>
      <c r="BE26" s="429">
        <v>0</v>
      </c>
      <c r="BF26" s="429">
        <v>0</v>
      </c>
      <c r="BG26" s="429">
        <v>0</v>
      </c>
      <c r="BH26" s="429">
        <v>0</v>
      </c>
      <c r="BI26" s="429">
        <v>0</v>
      </c>
      <c r="BJ26" s="429">
        <v>0</v>
      </c>
      <c r="BK26" s="429">
        <v>0</v>
      </c>
      <c r="BL26" s="429">
        <v>0</v>
      </c>
      <c r="BM26" s="429">
        <v>0</v>
      </c>
      <c r="BN26" s="429">
        <v>0</v>
      </c>
      <c r="BO26" s="429">
        <v>0</v>
      </c>
      <c r="BP26" s="431">
        <v>0</v>
      </c>
      <c r="BQ26" s="428">
        <v>0</v>
      </c>
      <c r="BR26" s="429">
        <v>0</v>
      </c>
      <c r="BS26" s="429">
        <v>0</v>
      </c>
      <c r="BT26" s="429">
        <v>0</v>
      </c>
      <c r="BU26" s="429">
        <v>0</v>
      </c>
      <c r="BV26" s="429">
        <v>0</v>
      </c>
      <c r="BW26" s="429">
        <v>0</v>
      </c>
      <c r="BX26" s="429">
        <v>0</v>
      </c>
      <c r="BY26" s="429">
        <v>0</v>
      </c>
      <c r="BZ26" s="429">
        <v>0</v>
      </c>
      <c r="CA26" s="429">
        <v>0</v>
      </c>
      <c r="CB26" s="429">
        <v>0</v>
      </c>
      <c r="CC26" s="431">
        <v>0</v>
      </c>
    </row>
    <row r="27" spans="1:81">
      <c r="A27" s="445"/>
      <c r="B27" s="445"/>
      <c r="C27" s="446"/>
      <c r="D27" s="447"/>
      <c r="E27" s="447"/>
      <c r="F27" s="447"/>
      <c r="G27" s="502"/>
      <c r="H27" s="502"/>
      <c r="I27" s="502"/>
      <c r="J27" s="502"/>
      <c r="K27" s="502"/>
      <c r="L27" s="502"/>
      <c r="M27" s="502"/>
      <c r="N27" s="502"/>
      <c r="O27" s="503"/>
      <c r="P27" s="446"/>
      <c r="Q27" s="502"/>
      <c r="R27" s="502"/>
      <c r="S27" s="502"/>
      <c r="T27" s="502"/>
      <c r="U27" s="502"/>
      <c r="V27" s="502"/>
      <c r="W27" s="502"/>
      <c r="X27" s="502"/>
      <c r="Y27" s="502"/>
      <c r="Z27" s="502"/>
      <c r="AA27" s="502"/>
      <c r="AB27" s="503"/>
      <c r="AC27" s="446"/>
      <c r="AD27" s="502"/>
      <c r="AE27" s="502"/>
      <c r="AF27" s="447"/>
      <c r="AG27" s="447"/>
      <c r="AH27" s="447"/>
      <c r="AI27" s="447"/>
      <c r="AJ27" s="447"/>
      <c r="AK27" s="447"/>
      <c r="AL27" s="447"/>
      <c r="AM27" s="447"/>
      <c r="AN27" s="447"/>
      <c r="AO27" s="448"/>
      <c r="AQ27" s="450"/>
      <c r="AR27" s="451"/>
      <c r="AS27" s="451"/>
      <c r="AT27" s="451"/>
      <c r="AU27" s="451"/>
      <c r="AV27" s="451"/>
      <c r="AW27" s="451"/>
      <c r="AX27" s="451"/>
      <c r="AY27" s="451"/>
      <c r="AZ27" s="451"/>
      <c r="BA27" s="451"/>
      <c r="BB27" s="451"/>
      <c r="BC27" s="452"/>
      <c r="BD27" s="453"/>
      <c r="BE27" s="451"/>
      <c r="BF27" s="451"/>
      <c r="BG27" s="451"/>
      <c r="BH27" s="451"/>
      <c r="BI27" s="451"/>
      <c r="BJ27" s="451"/>
      <c r="BK27" s="451"/>
      <c r="BL27" s="451"/>
      <c r="BM27" s="451"/>
      <c r="BN27" s="451"/>
      <c r="BO27" s="451"/>
      <c r="BP27" s="452"/>
      <c r="BQ27" s="453"/>
      <c r="BR27" s="451"/>
      <c r="BS27" s="451"/>
      <c r="BT27" s="451"/>
      <c r="BU27" s="451"/>
      <c r="BV27" s="451"/>
      <c r="BW27" s="451"/>
      <c r="BX27" s="451"/>
      <c r="BY27" s="451"/>
      <c r="BZ27" s="451"/>
      <c r="CA27" s="451"/>
      <c r="CB27" s="451"/>
      <c r="CC27" s="452"/>
    </row>
    <row r="28" spans="1:81">
      <c r="B28" s="456" t="s">
        <v>185</v>
      </c>
      <c r="C28" s="436"/>
      <c r="D28" s="437"/>
      <c r="E28" s="437"/>
      <c r="F28" s="437"/>
      <c r="G28" s="500"/>
      <c r="H28" s="500"/>
      <c r="I28" s="500"/>
      <c r="J28" s="500"/>
      <c r="K28" s="500"/>
      <c r="L28" s="500"/>
      <c r="M28" s="500"/>
      <c r="N28" s="500"/>
      <c r="O28" s="501"/>
      <c r="P28" s="436"/>
      <c r="Q28" s="500"/>
      <c r="R28" s="500"/>
      <c r="S28" s="500"/>
      <c r="T28" s="500"/>
      <c r="U28" s="500"/>
      <c r="V28" s="500"/>
      <c r="W28" s="500"/>
      <c r="X28" s="500"/>
      <c r="Y28" s="500"/>
      <c r="Z28" s="500"/>
      <c r="AA28" s="500"/>
      <c r="AB28" s="501"/>
      <c r="AC28" s="436"/>
      <c r="AD28" s="500"/>
      <c r="AE28" s="500"/>
      <c r="AF28" s="437"/>
      <c r="AG28" s="437"/>
      <c r="AH28" s="437"/>
      <c r="AI28" s="437"/>
      <c r="AJ28" s="437"/>
      <c r="AK28" s="437"/>
      <c r="AL28" s="437"/>
      <c r="AM28" s="437"/>
      <c r="AN28" s="437"/>
      <c r="AO28" s="438"/>
      <c r="AQ28" s="428"/>
      <c r="AR28" s="429"/>
      <c r="AS28" s="429"/>
      <c r="AT28" s="429"/>
      <c r="AU28" s="429"/>
      <c r="AV28" s="429"/>
      <c r="AW28" s="429"/>
      <c r="AX28" s="429"/>
      <c r="AY28" s="429"/>
      <c r="AZ28" s="429"/>
      <c r="BA28" s="429"/>
      <c r="BB28" s="429"/>
      <c r="BC28" s="431"/>
      <c r="BD28" s="428"/>
      <c r="BE28" s="429"/>
      <c r="BF28" s="429"/>
      <c r="BG28" s="429"/>
      <c r="BH28" s="429"/>
      <c r="BI28" s="429"/>
      <c r="BJ28" s="429"/>
      <c r="BK28" s="429"/>
      <c r="BL28" s="429"/>
      <c r="BM28" s="429"/>
      <c r="BN28" s="429"/>
      <c r="BO28" s="429"/>
      <c r="BP28" s="431"/>
      <c r="BQ28" s="428"/>
      <c r="BR28" s="429"/>
      <c r="BS28" s="429"/>
      <c r="BT28" s="429"/>
      <c r="BU28" s="429"/>
      <c r="BV28" s="429"/>
      <c r="BW28" s="429"/>
      <c r="BX28" s="429"/>
      <c r="BY28" s="429"/>
      <c r="BZ28" s="429"/>
      <c r="CA28" s="429"/>
      <c r="CB28" s="429"/>
      <c r="CC28" s="431"/>
    </row>
    <row r="29" spans="1:81">
      <c r="A29" s="420" t="s">
        <v>185</v>
      </c>
      <c r="B29" s="420" t="s">
        <v>175</v>
      </c>
      <c r="C29" s="436">
        <f t="shared" si="1"/>
        <v>2055.1133333333332</v>
      </c>
      <c r="D29" s="437">
        <f t="shared" si="2"/>
        <v>1650.391304347826</v>
      </c>
      <c r="E29" s="437">
        <f t="shared" si="3"/>
        <v>1438.9117647058824</v>
      </c>
      <c r="F29" s="437">
        <f t="shared" si="4"/>
        <v>1557.495145631068</v>
      </c>
      <c r="G29" s="500">
        <f t="shared" si="26"/>
        <v>1267.2712418300653</v>
      </c>
      <c r="H29" s="500">
        <f t="shared" si="5"/>
        <v>1011.5222929936306</v>
      </c>
      <c r="I29" s="500">
        <f t="shared" si="6"/>
        <v>861.58631921824099</v>
      </c>
      <c r="J29" s="500">
        <f t="shared" si="7"/>
        <v>805.26845637583892</v>
      </c>
      <c r="K29" s="500">
        <f t="shared" si="8"/>
        <v>1033.4664429530201</v>
      </c>
      <c r="L29" s="500">
        <f t="shared" si="9"/>
        <v>1033.84520123839</v>
      </c>
      <c r="M29" s="500">
        <f t="shared" si="10"/>
        <v>1456.7100977198697</v>
      </c>
      <c r="N29" s="500">
        <f t="shared" si="11"/>
        <v>1324.9228295819935</v>
      </c>
      <c r="O29" s="501">
        <f t="shared" si="12"/>
        <v>1291.6992704674412</v>
      </c>
      <c r="P29" s="436">
        <f t="shared" si="13"/>
        <v>1771.9494949494949</v>
      </c>
      <c r="Q29" s="500">
        <f t="shared" si="14"/>
        <v>1656.0813559322035</v>
      </c>
      <c r="R29" s="500">
        <f t="shared" si="15"/>
        <v>1579.5304054054054</v>
      </c>
      <c r="S29" s="500">
        <f t="shared" si="16"/>
        <v>1540.9731543624162</v>
      </c>
      <c r="T29" s="500">
        <f t="shared" si="17"/>
        <v>1403.8223684210527</v>
      </c>
      <c r="U29" s="500">
        <f t="shared" si="18"/>
        <v>960.06461538461542</v>
      </c>
      <c r="V29" s="500">
        <f t="shared" si="19"/>
        <v>972.49163879598666</v>
      </c>
      <c r="W29" s="500">
        <f t="shared" si="27"/>
        <v>797.76315789473688</v>
      </c>
      <c r="X29" s="500">
        <f t="shared" si="28"/>
        <v>807.83112582781462</v>
      </c>
      <c r="Y29" s="500">
        <f t="shared" si="20"/>
        <v>1027.6040268456377</v>
      </c>
      <c r="Z29" s="500">
        <f t="shared" si="29"/>
        <v>1333.2269736842106</v>
      </c>
      <c r="AA29" s="500">
        <f t="shared" si="30"/>
        <v>1455.545751633987</v>
      </c>
      <c r="AB29" s="501">
        <f t="shared" si="21"/>
        <v>1271.9214443219405</v>
      </c>
      <c r="AC29" s="436">
        <f t="shared" si="31"/>
        <v>1883.14381270903</v>
      </c>
      <c r="AD29" s="500">
        <f t="shared" si="32"/>
        <v>1464.0996677740864</v>
      </c>
      <c r="AE29" s="500">
        <f t="shared" si="33"/>
        <v>1466.7658862876253</v>
      </c>
      <c r="AF29" s="437">
        <f t="shared" si="34"/>
        <v>1798.7558528428094</v>
      </c>
      <c r="AG29" s="437">
        <f t="shared" si="22"/>
        <v>1280.6843853820599</v>
      </c>
      <c r="AH29" s="437">
        <f t="shared" si="35"/>
        <v>1054.1671826625386</v>
      </c>
      <c r="AI29" s="437">
        <f t="shared" si="23"/>
        <v>903.86816720257229</v>
      </c>
      <c r="AJ29" s="437">
        <f t="shared" si="36"/>
        <v>953.45482866043619</v>
      </c>
      <c r="AK29" s="437">
        <f t="shared" si="37"/>
        <v>1059.275167785235</v>
      </c>
      <c r="AL29" s="437">
        <f t="shared" si="24"/>
        <v>1063.3076923076924</v>
      </c>
      <c r="AM29" s="437">
        <f t="shared" si="38"/>
        <v>1282.4389438943895</v>
      </c>
      <c r="AN29" s="437">
        <f t="shared" si="39"/>
        <v>1355.195652173913</v>
      </c>
      <c r="AO29" s="438">
        <f t="shared" si="25"/>
        <v>1291.8560585524533</v>
      </c>
      <c r="AQ29" s="428">
        <v>2055.1133333333332</v>
      </c>
      <c r="AR29" s="429">
        <v>1650.391304347826</v>
      </c>
      <c r="AS29" s="429">
        <v>1438.9117647058824</v>
      </c>
      <c r="AT29" s="429">
        <v>1557.495145631068</v>
      </c>
      <c r="AU29" s="429">
        <v>1267.2712418300653</v>
      </c>
      <c r="AV29" s="429">
        <v>1011.5222929936306</v>
      </c>
      <c r="AW29" s="429">
        <v>861.58631921824099</v>
      </c>
      <c r="AX29" s="429">
        <v>805.26845637583892</v>
      </c>
      <c r="AY29" s="429">
        <v>1033.4664429530201</v>
      </c>
      <c r="AZ29" s="429">
        <v>1033.84520123839</v>
      </c>
      <c r="BA29" s="429">
        <v>1456.7100977198697</v>
      </c>
      <c r="BB29" s="429">
        <v>1324.9228295819935</v>
      </c>
      <c r="BC29" s="431">
        <v>1291.6992704674412</v>
      </c>
      <c r="BD29" s="428">
        <v>1771.9494949494949</v>
      </c>
      <c r="BE29" s="429">
        <v>1656.0813559322035</v>
      </c>
      <c r="BF29" s="429">
        <v>1579.5304054054054</v>
      </c>
      <c r="BG29" s="429">
        <v>1540.9731543624162</v>
      </c>
      <c r="BH29" s="429">
        <v>1403.8223684210527</v>
      </c>
      <c r="BI29" s="429">
        <v>960.06461538461542</v>
      </c>
      <c r="BJ29" s="429">
        <v>972.49163879598666</v>
      </c>
      <c r="BK29" s="429">
        <v>797.76315789473688</v>
      </c>
      <c r="BL29" s="429">
        <v>807.83112582781462</v>
      </c>
      <c r="BM29" s="429">
        <v>1027.6040268456377</v>
      </c>
      <c r="BN29" s="429">
        <v>1333.2269736842106</v>
      </c>
      <c r="BO29" s="429">
        <v>1455.545751633987</v>
      </c>
      <c r="BP29" s="431">
        <v>1271.9214443219405</v>
      </c>
      <c r="BQ29" s="428">
        <v>1883.14381270903</v>
      </c>
      <c r="BR29" s="429">
        <v>1464.0996677740864</v>
      </c>
      <c r="BS29" s="429">
        <v>1466.7658862876253</v>
      </c>
      <c r="BT29" s="429">
        <v>1798.7558528428094</v>
      </c>
      <c r="BU29" s="429">
        <v>1280.6843853820599</v>
      </c>
      <c r="BV29" s="429">
        <v>1054.1671826625386</v>
      </c>
      <c r="BW29" s="429">
        <v>903.86816720257229</v>
      </c>
      <c r="BX29" s="429">
        <v>953.45482866043619</v>
      </c>
      <c r="BY29" s="429">
        <v>1059.275167785235</v>
      </c>
      <c r="BZ29" s="429">
        <v>1063.3076923076924</v>
      </c>
      <c r="CA29" s="429">
        <v>1282.4389438943895</v>
      </c>
      <c r="CB29" s="429">
        <v>1355.195652173913</v>
      </c>
      <c r="CC29" s="431">
        <v>1291.8560585524533</v>
      </c>
    </row>
    <row r="30" spans="1:81">
      <c r="A30" s="420" t="s">
        <v>185</v>
      </c>
      <c r="B30" s="420" t="s">
        <v>176</v>
      </c>
      <c r="C30" s="436">
        <f t="shared" si="1"/>
        <v>0</v>
      </c>
      <c r="D30" s="437">
        <f t="shared" si="2"/>
        <v>0</v>
      </c>
      <c r="E30" s="437">
        <f t="shared" si="3"/>
        <v>0</v>
      </c>
      <c r="F30" s="437">
        <f t="shared" si="4"/>
        <v>0</v>
      </c>
      <c r="G30" s="500">
        <f t="shared" si="26"/>
        <v>0</v>
      </c>
      <c r="H30" s="500">
        <f t="shared" si="5"/>
        <v>0</v>
      </c>
      <c r="I30" s="500">
        <f t="shared" si="6"/>
        <v>0</v>
      </c>
      <c r="J30" s="500">
        <f t="shared" si="7"/>
        <v>0</v>
      </c>
      <c r="K30" s="500">
        <f t="shared" si="8"/>
        <v>0</v>
      </c>
      <c r="L30" s="500">
        <f t="shared" si="9"/>
        <v>0</v>
      </c>
      <c r="M30" s="500">
        <f t="shared" si="10"/>
        <v>0</v>
      </c>
      <c r="N30" s="500">
        <f t="shared" si="11"/>
        <v>0</v>
      </c>
      <c r="O30" s="501">
        <f t="shared" si="12"/>
        <v>0</v>
      </c>
      <c r="P30" s="436">
        <f t="shared" si="13"/>
        <v>0</v>
      </c>
      <c r="Q30" s="500">
        <f t="shared" si="14"/>
        <v>0</v>
      </c>
      <c r="R30" s="500">
        <f t="shared" si="15"/>
        <v>0</v>
      </c>
      <c r="S30" s="500">
        <f t="shared" si="16"/>
        <v>0</v>
      </c>
      <c r="T30" s="500">
        <f t="shared" si="17"/>
        <v>0</v>
      </c>
      <c r="U30" s="500">
        <f t="shared" si="18"/>
        <v>0</v>
      </c>
      <c r="V30" s="500">
        <f t="shared" si="19"/>
        <v>0</v>
      </c>
      <c r="W30" s="500">
        <f t="shared" si="27"/>
        <v>0</v>
      </c>
      <c r="X30" s="500">
        <f t="shared" si="28"/>
        <v>0</v>
      </c>
      <c r="Y30" s="500">
        <f t="shared" si="20"/>
        <v>0</v>
      </c>
      <c r="Z30" s="500">
        <f t="shared" si="29"/>
        <v>0</v>
      </c>
      <c r="AA30" s="500">
        <f t="shared" si="30"/>
        <v>0</v>
      </c>
      <c r="AB30" s="501">
        <f t="shared" si="21"/>
        <v>0</v>
      </c>
      <c r="AC30" s="436">
        <f t="shared" si="31"/>
        <v>0</v>
      </c>
      <c r="AD30" s="500">
        <f t="shared" si="32"/>
        <v>0</v>
      </c>
      <c r="AE30" s="500">
        <f t="shared" si="33"/>
        <v>0</v>
      </c>
      <c r="AF30" s="437">
        <f t="shared" si="34"/>
        <v>0</v>
      </c>
      <c r="AG30" s="437">
        <f t="shared" si="22"/>
        <v>0</v>
      </c>
      <c r="AH30" s="437">
        <f t="shared" si="35"/>
        <v>0</v>
      </c>
      <c r="AI30" s="437">
        <f t="shared" si="23"/>
        <v>0</v>
      </c>
      <c r="AJ30" s="437">
        <f t="shared" si="36"/>
        <v>0</v>
      </c>
      <c r="AK30" s="437">
        <f t="shared" si="37"/>
        <v>0</v>
      </c>
      <c r="AL30" s="437">
        <f t="shared" si="24"/>
        <v>0</v>
      </c>
      <c r="AM30" s="437">
        <f t="shared" si="38"/>
        <v>0</v>
      </c>
      <c r="AN30" s="437">
        <f t="shared" si="39"/>
        <v>0</v>
      </c>
      <c r="AO30" s="438">
        <f t="shared" si="25"/>
        <v>0</v>
      </c>
      <c r="AQ30" s="428">
        <v>0</v>
      </c>
      <c r="AR30" s="429">
        <v>0</v>
      </c>
      <c r="AS30" s="429">
        <v>0</v>
      </c>
      <c r="AT30" s="429">
        <v>0</v>
      </c>
      <c r="AU30" s="429">
        <v>0</v>
      </c>
      <c r="AV30" s="429">
        <v>0</v>
      </c>
      <c r="AW30" s="429">
        <v>0</v>
      </c>
      <c r="AX30" s="429">
        <v>0</v>
      </c>
      <c r="AY30" s="429">
        <v>0</v>
      </c>
      <c r="AZ30" s="429">
        <v>0</v>
      </c>
      <c r="BA30" s="429">
        <v>0</v>
      </c>
      <c r="BB30" s="429">
        <v>0</v>
      </c>
      <c r="BC30" s="431">
        <v>0</v>
      </c>
      <c r="BD30" s="428">
        <v>0</v>
      </c>
      <c r="BE30" s="429">
        <v>0</v>
      </c>
      <c r="BF30" s="429">
        <v>0</v>
      </c>
      <c r="BG30" s="429">
        <v>0</v>
      </c>
      <c r="BH30" s="429">
        <v>0</v>
      </c>
      <c r="BI30" s="429">
        <v>0</v>
      </c>
      <c r="BJ30" s="429">
        <v>0</v>
      </c>
      <c r="BK30" s="429">
        <v>0</v>
      </c>
      <c r="BL30" s="429">
        <v>0</v>
      </c>
      <c r="BM30" s="429">
        <v>0</v>
      </c>
      <c r="BN30" s="429">
        <v>0</v>
      </c>
      <c r="BO30" s="429">
        <v>0</v>
      </c>
      <c r="BP30" s="431">
        <v>0</v>
      </c>
      <c r="BQ30" s="428">
        <v>0</v>
      </c>
      <c r="BR30" s="429">
        <v>0</v>
      </c>
      <c r="BS30" s="429">
        <v>0</v>
      </c>
      <c r="BT30" s="429">
        <v>0</v>
      </c>
      <c r="BU30" s="429">
        <v>0</v>
      </c>
      <c r="BV30" s="429">
        <v>0</v>
      </c>
      <c r="BW30" s="429">
        <v>0</v>
      </c>
      <c r="BX30" s="429">
        <v>0</v>
      </c>
      <c r="BY30" s="429">
        <v>0</v>
      </c>
      <c r="BZ30" s="429">
        <v>0</v>
      </c>
      <c r="CA30" s="429">
        <v>0</v>
      </c>
      <c r="CB30" s="429">
        <v>0</v>
      </c>
      <c r="CC30" s="431">
        <v>0</v>
      </c>
    </row>
    <row r="31" spans="1:81">
      <c r="A31" s="420" t="s">
        <v>185</v>
      </c>
      <c r="B31" s="420" t="s">
        <v>177</v>
      </c>
      <c r="C31" s="436">
        <f t="shared" si="1"/>
        <v>3759.7666666666669</v>
      </c>
      <c r="D31" s="437">
        <f t="shared" si="2"/>
        <v>3345.4333333333334</v>
      </c>
      <c r="E31" s="437">
        <f t="shared" si="3"/>
        <v>2609.1333333333332</v>
      </c>
      <c r="F31" s="437">
        <f t="shared" si="4"/>
        <v>2689.2333333333331</v>
      </c>
      <c r="G31" s="500">
        <f t="shared" si="26"/>
        <v>1748.3333333333333</v>
      </c>
      <c r="H31" s="500">
        <f t="shared" si="5"/>
        <v>1423.5</v>
      </c>
      <c r="I31" s="500">
        <f t="shared" si="6"/>
        <v>1439.6</v>
      </c>
      <c r="J31" s="500">
        <f t="shared" si="7"/>
        <v>1315.9333333333334</v>
      </c>
      <c r="K31" s="500">
        <f t="shared" si="8"/>
        <v>1503.0666666666666</v>
      </c>
      <c r="L31" s="500">
        <f t="shared" si="9"/>
        <v>1683.5333333333333</v>
      </c>
      <c r="M31" s="500">
        <f t="shared" si="10"/>
        <v>2398.8387096774195</v>
      </c>
      <c r="N31" s="500">
        <f t="shared" si="11"/>
        <v>2077.7096774193546</v>
      </c>
      <c r="O31" s="501">
        <f t="shared" si="12"/>
        <v>2166.5718232044201</v>
      </c>
      <c r="P31" s="436">
        <f t="shared" si="13"/>
        <v>2515.9354838709678</v>
      </c>
      <c r="Q31" s="500">
        <f t="shared" si="14"/>
        <v>2486.8333333333335</v>
      </c>
      <c r="R31" s="500">
        <f t="shared" si="15"/>
        <v>2080.0689655172414</v>
      </c>
      <c r="S31" s="500">
        <f t="shared" si="16"/>
        <v>2061.5</v>
      </c>
      <c r="T31" s="500">
        <f t="shared" si="17"/>
        <v>1796.75</v>
      </c>
      <c r="U31" s="500">
        <f t="shared" si="18"/>
        <v>1249.9032258064517</v>
      </c>
      <c r="V31" s="500">
        <f t="shared" si="19"/>
        <v>1194.53125</v>
      </c>
      <c r="W31" s="500">
        <f t="shared" si="27"/>
        <v>1482</v>
      </c>
      <c r="X31" s="500">
        <f t="shared" si="28"/>
        <v>1136.6666666666667</v>
      </c>
      <c r="Y31" s="500">
        <f t="shared" si="20"/>
        <v>1346.6428571428571</v>
      </c>
      <c r="Z31" s="500">
        <f t="shared" si="29"/>
        <v>1603.9642857142858</v>
      </c>
      <c r="AA31" s="500">
        <f t="shared" si="30"/>
        <v>1982.7857142857142</v>
      </c>
      <c r="AB31" s="501">
        <f t="shared" si="21"/>
        <v>1748.5965417867435</v>
      </c>
      <c r="AC31" s="436">
        <f t="shared" si="31"/>
        <v>2449.2142857142858</v>
      </c>
      <c r="AD31" s="500">
        <f t="shared" si="32"/>
        <v>1967.0357142857142</v>
      </c>
      <c r="AE31" s="500">
        <f t="shared" si="33"/>
        <v>1984.9642857142858</v>
      </c>
      <c r="AF31" s="437">
        <f t="shared" si="34"/>
        <v>2047.6785714285713</v>
      </c>
      <c r="AG31" s="437">
        <f t="shared" si="22"/>
        <v>1418.1785714285713</v>
      </c>
      <c r="AH31" s="437">
        <f t="shared" si="35"/>
        <v>1177.7241379310344</v>
      </c>
      <c r="AI31" s="437">
        <f t="shared" si="23"/>
        <v>1271.1379310344828</v>
      </c>
      <c r="AJ31" s="437">
        <f t="shared" si="36"/>
        <v>1522.5357142857142</v>
      </c>
      <c r="AK31" s="437">
        <f t="shared" si="37"/>
        <v>1243</v>
      </c>
      <c r="AL31" s="437">
        <f t="shared" si="24"/>
        <v>1383.8928571428571</v>
      </c>
      <c r="AM31" s="437">
        <f t="shared" si="38"/>
        <v>1582.7096774193549</v>
      </c>
      <c r="AN31" s="437">
        <f t="shared" si="39"/>
        <v>1758.9</v>
      </c>
      <c r="AO31" s="438">
        <f t="shared" si="25"/>
        <v>1646.9563953488373</v>
      </c>
      <c r="AQ31" s="428">
        <v>3759.7666666666669</v>
      </c>
      <c r="AR31" s="429">
        <v>3345.4333333333334</v>
      </c>
      <c r="AS31" s="429">
        <v>2609.1333333333332</v>
      </c>
      <c r="AT31" s="429">
        <v>2689.2333333333331</v>
      </c>
      <c r="AU31" s="429">
        <v>1748.3333333333333</v>
      </c>
      <c r="AV31" s="429">
        <v>1423.5</v>
      </c>
      <c r="AW31" s="429">
        <v>1439.6</v>
      </c>
      <c r="AX31" s="429">
        <v>1315.9333333333334</v>
      </c>
      <c r="AY31" s="429">
        <v>1503.0666666666666</v>
      </c>
      <c r="AZ31" s="429">
        <v>1683.5333333333333</v>
      </c>
      <c r="BA31" s="429">
        <v>2398.8387096774195</v>
      </c>
      <c r="BB31" s="429">
        <v>2077.7096774193546</v>
      </c>
      <c r="BC31" s="431">
        <v>2166.5718232044201</v>
      </c>
      <c r="BD31" s="428">
        <v>2515.9354838709678</v>
      </c>
      <c r="BE31" s="429">
        <v>2486.8333333333335</v>
      </c>
      <c r="BF31" s="429">
        <v>2080.0689655172414</v>
      </c>
      <c r="BG31" s="429">
        <v>2061.5</v>
      </c>
      <c r="BH31" s="429">
        <v>1796.75</v>
      </c>
      <c r="BI31" s="429">
        <v>1249.9032258064517</v>
      </c>
      <c r="BJ31" s="429">
        <v>1194.53125</v>
      </c>
      <c r="BK31" s="429">
        <v>1482</v>
      </c>
      <c r="BL31" s="429">
        <v>1136.6666666666667</v>
      </c>
      <c r="BM31" s="429">
        <v>1346.6428571428571</v>
      </c>
      <c r="BN31" s="429">
        <v>1603.9642857142858</v>
      </c>
      <c r="BO31" s="429">
        <v>1982.7857142857142</v>
      </c>
      <c r="BP31" s="431">
        <v>1748.5965417867435</v>
      </c>
      <c r="BQ31" s="428">
        <v>2449.2142857142858</v>
      </c>
      <c r="BR31" s="429">
        <v>1967.0357142857142</v>
      </c>
      <c r="BS31" s="429">
        <v>1984.9642857142858</v>
      </c>
      <c r="BT31" s="429">
        <v>2047.6785714285713</v>
      </c>
      <c r="BU31" s="429">
        <v>1418.1785714285713</v>
      </c>
      <c r="BV31" s="429">
        <v>1177.7241379310344</v>
      </c>
      <c r="BW31" s="429">
        <v>1271.1379310344828</v>
      </c>
      <c r="BX31" s="429">
        <v>1522.5357142857142</v>
      </c>
      <c r="BY31" s="429">
        <v>1243</v>
      </c>
      <c r="BZ31" s="429">
        <v>1383.8928571428571</v>
      </c>
      <c r="CA31" s="429">
        <v>1582.7096774193549</v>
      </c>
      <c r="CB31" s="429">
        <v>1758.9</v>
      </c>
      <c r="CC31" s="431">
        <v>1646.9563953488373</v>
      </c>
    </row>
    <row r="32" spans="1:81">
      <c r="A32" s="420" t="s">
        <v>185</v>
      </c>
      <c r="B32" s="420" t="s">
        <v>178</v>
      </c>
      <c r="C32" s="436">
        <f t="shared" si="1"/>
        <v>12613.333333333334</v>
      </c>
      <c r="D32" s="437">
        <f t="shared" si="2"/>
        <v>11690</v>
      </c>
      <c r="E32" s="437">
        <f t="shared" si="3"/>
        <v>9176.6666666666661</v>
      </c>
      <c r="F32" s="437">
        <f t="shared" si="4"/>
        <v>8471.6666666666661</v>
      </c>
      <c r="G32" s="500">
        <f t="shared" si="26"/>
        <v>9155</v>
      </c>
      <c r="H32" s="500">
        <f t="shared" si="5"/>
        <v>6196.666666666667</v>
      </c>
      <c r="I32" s="500">
        <f t="shared" si="6"/>
        <v>6625</v>
      </c>
      <c r="J32" s="500">
        <f t="shared" si="7"/>
        <v>6295</v>
      </c>
      <c r="K32" s="500">
        <f t="shared" si="8"/>
        <v>6953.333333333333</v>
      </c>
      <c r="L32" s="500">
        <f t="shared" si="9"/>
        <v>6453.333333333333</v>
      </c>
      <c r="M32" s="500">
        <f t="shared" si="10"/>
        <v>8716.6666666666661</v>
      </c>
      <c r="N32" s="500">
        <f t="shared" si="11"/>
        <v>7021.666666666667</v>
      </c>
      <c r="O32" s="501">
        <f t="shared" si="12"/>
        <v>8280.6944444444453</v>
      </c>
      <c r="P32" s="436">
        <f t="shared" si="13"/>
        <v>8418.3333333333339</v>
      </c>
      <c r="Q32" s="500">
        <f t="shared" si="14"/>
        <v>8400</v>
      </c>
      <c r="R32" s="500">
        <f t="shared" si="15"/>
        <v>8305</v>
      </c>
      <c r="S32" s="500">
        <f t="shared" si="16"/>
        <v>6465</v>
      </c>
      <c r="T32" s="500">
        <f t="shared" si="17"/>
        <v>5961.666666666667</v>
      </c>
      <c r="U32" s="500">
        <f t="shared" si="18"/>
        <v>4973.333333333333</v>
      </c>
      <c r="V32" s="500">
        <f t="shared" si="19"/>
        <v>5671.666666666667</v>
      </c>
      <c r="W32" s="500">
        <f t="shared" si="27"/>
        <v>5661.666666666667</v>
      </c>
      <c r="X32" s="500">
        <f t="shared" si="28"/>
        <v>4566.666666666667</v>
      </c>
      <c r="Y32" s="500">
        <f t="shared" si="20"/>
        <v>5151.666666666667</v>
      </c>
      <c r="Z32" s="500">
        <f t="shared" si="29"/>
        <v>6431.666666666667</v>
      </c>
      <c r="AA32" s="500">
        <f t="shared" si="30"/>
        <v>7836.666666666667</v>
      </c>
      <c r="AB32" s="501">
        <f t="shared" si="21"/>
        <v>6486.9444444444443</v>
      </c>
      <c r="AC32" s="436">
        <f t="shared" si="31"/>
        <v>8991.6666666666661</v>
      </c>
      <c r="AD32" s="500">
        <f t="shared" si="32"/>
        <v>6985</v>
      </c>
      <c r="AE32" s="500">
        <f t="shared" si="33"/>
        <v>7655</v>
      </c>
      <c r="AF32" s="437">
        <f t="shared" si="34"/>
        <v>9465</v>
      </c>
      <c r="AG32" s="437">
        <f t="shared" si="22"/>
        <v>4518.5714285714284</v>
      </c>
      <c r="AH32" s="437">
        <f t="shared" si="35"/>
        <v>4818.333333333333</v>
      </c>
      <c r="AI32" s="437">
        <f t="shared" si="23"/>
        <v>4945</v>
      </c>
      <c r="AJ32" s="437">
        <f t="shared" si="36"/>
        <v>6551.666666666667</v>
      </c>
      <c r="AK32" s="437">
        <f t="shared" si="37"/>
        <v>5165</v>
      </c>
      <c r="AL32" s="437">
        <f t="shared" si="24"/>
        <v>5501.666666666667</v>
      </c>
      <c r="AM32" s="437">
        <f t="shared" si="38"/>
        <v>6511.666666666667</v>
      </c>
      <c r="AN32" s="437">
        <f t="shared" si="39"/>
        <v>7965</v>
      </c>
      <c r="AO32" s="438">
        <f t="shared" si="25"/>
        <v>6561.0958904109593</v>
      </c>
      <c r="AQ32" s="428">
        <v>12613.333333333334</v>
      </c>
      <c r="AR32" s="429">
        <v>11690</v>
      </c>
      <c r="AS32" s="429">
        <v>9176.6666666666661</v>
      </c>
      <c r="AT32" s="429">
        <v>8471.6666666666661</v>
      </c>
      <c r="AU32" s="429">
        <v>9155</v>
      </c>
      <c r="AV32" s="429">
        <v>6196.666666666667</v>
      </c>
      <c r="AW32" s="429">
        <v>6625</v>
      </c>
      <c r="AX32" s="429">
        <v>6295</v>
      </c>
      <c r="AY32" s="429">
        <v>6953.333333333333</v>
      </c>
      <c r="AZ32" s="429">
        <v>6453.333333333333</v>
      </c>
      <c r="BA32" s="429">
        <v>8716.6666666666661</v>
      </c>
      <c r="BB32" s="429">
        <v>7021.666666666667</v>
      </c>
      <c r="BC32" s="431">
        <v>8280.6944444444453</v>
      </c>
      <c r="BD32" s="428">
        <v>8418.3333333333339</v>
      </c>
      <c r="BE32" s="429">
        <v>8400</v>
      </c>
      <c r="BF32" s="429">
        <v>8305</v>
      </c>
      <c r="BG32" s="429">
        <v>6465</v>
      </c>
      <c r="BH32" s="429">
        <v>5961.666666666667</v>
      </c>
      <c r="BI32" s="429">
        <v>4973.333333333333</v>
      </c>
      <c r="BJ32" s="429">
        <v>5671.666666666667</v>
      </c>
      <c r="BK32" s="429">
        <v>5661.666666666667</v>
      </c>
      <c r="BL32" s="429">
        <v>4566.666666666667</v>
      </c>
      <c r="BM32" s="429">
        <v>5151.666666666667</v>
      </c>
      <c r="BN32" s="429">
        <v>6431.666666666667</v>
      </c>
      <c r="BO32" s="429">
        <v>7836.666666666667</v>
      </c>
      <c r="BP32" s="431">
        <v>6486.9444444444443</v>
      </c>
      <c r="BQ32" s="428">
        <v>8991.6666666666661</v>
      </c>
      <c r="BR32" s="429">
        <v>6985</v>
      </c>
      <c r="BS32" s="429">
        <v>7655</v>
      </c>
      <c r="BT32" s="429">
        <v>9465</v>
      </c>
      <c r="BU32" s="429">
        <v>4518.5714285714284</v>
      </c>
      <c r="BV32" s="429">
        <v>4818.333333333333</v>
      </c>
      <c r="BW32" s="429">
        <v>4945</v>
      </c>
      <c r="BX32" s="429">
        <v>6551.666666666667</v>
      </c>
      <c r="BY32" s="429">
        <v>5165</v>
      </c>
      <c r="BZ32" s="429">
        <v>5501.666666666667</v>
      </c>
      <c r="CA32" s="429">
        <v>6511.666666666667</v>
      </c>
      <c r="CB32" s="429">
        <v>7965</v>
      </c>
      <c r="CC32" s="431">
        <v>6561.0958904109593</v>
      </c>
    </row>
    <row r="33" spans="1:81">
      <c r="A33" s="420" t="s">
        <v>185</v>
      </c>
      <c r="B33" s="420" t="s">
        <v>179</v>
      </c>
      <c r="C33" s="436">
        <f t="shared" si="1"/>
        <v>0</v>
      </c>
      <c r="D33" s="437">
        <f t="shared" si="2"/>
        <v>0</v>
      </c>
      <c r="E33" s="437">
        <f t="shared" si="3"/>
        <v>0</v>
      </c>
      <c r="F33" s="437">
        <f t="shared" si="4"/>
        <v>0</v>
      </c>
      <c r="G33" s="500">
        <f t="shared" si="26"/>
        <v>0</v>
      </c>
      <c r="H33" s="500">
        <f t="shared" si="5"/>
        <v>0</v>
      </c>
      <c r="I33" s="500">
        <f t="shared" si="6"/>
        <v>0</v>
      </c>
      <c r="J33" s="500">
        <f t="shared" si="7"/>
        <v>0</v>
      </c>
      <c r="K33" s="500">
        <f t="shared" si="8"/>
        <v>0</v>
      </c>
      <c r="L33" s="500">
        <f t="shared" si="9"/>
        <v>0</v>
      </c>
      <c r="M33" s="500">
        <f t="shared" si="10"/>
        <v>0</v>
      </c>
      <c r="N33" s="500">
        <f t="shared" si="11"/>
        <v>0</v>
      </c>
      <c r="O33" s="501">
        <f t="shared" si="12"/>
        <v>0</v>
      </c>
      <c r="P33" s="436">
        <f t="shared" si="13"/>
        <v>0</v>
      </c>
      <c r="Q33" s="500">
        <f t="shared" si="14"/>
        <v>0</v>
      </c>
      <c r="R33" s="500">
        <f t="shared" si="15"/>
        <v>0</v>
      </c>
      <c r="S33" s="500">
        <f t="shared" si="16"/>
        <v>0</v>
      </c>
      <c r="T33" s="500">
        <f t="shared" si="17"/>
        <v>0</v>
      </c>
      <c r="U33" s="500">
        <f t="shared" si="18"/>
        <v>0</v>
      </c>
      <c r="V33" s="500">
        <f t="shared" si="19"/>
        <v>0</v>
      </c>
      <c r="W33" s="500">
        <f t="shared" si="27"/>
        <v>0</v>
      </c>
      <c r="X33" s="500">
        <f t="shared" si="28"/>
        <v>0</v>
      </c>
      <c r="Y33" s="500">
        <f t="shared" si="20"/>
        <v>0</v>
      </c>
      <c r="Z33" s="500">
        <f t="shared" si="29"/>
        <v>0</v>
      </c>
      <c r="AA33" s="500">
        <f t="shared" si="30"/>
        <v>0</v>
      </c>
      <c r="AB33" s="501">
        <f t="shared" si="21"/>
        <v>0</v>
      </c>
      <c r="AC33" s="436">
        <f t="shared" si="31"/>
        <v>0</v>
      </c>
      <c r="AD33" s="500">
        <f t="shared" si="32"/>
        <v>0</v>
      </c>
      <c r="AE33" s="500">
        <f t="shared" si="33"/>
        <v>0</v>
      </c>
      <c r="AF33" s="437">
        <f t="shared" si="34"/>
        <v>0</v>
      </c>
      <c r="AG33" s="437">
        <f t="shared" si="22"/>
        <v>0</v>
      </c>
      <c r="AH33" s="437">
        <f t="shared" si="35"/>
        <v>0</v>
      </c>
      <c r="AI33" s="437">
        <f t="shared" si="23"/>
        <v>0</v>
      </c>
      <c r="AJ33" s="437">
        <f t="shared" si="36"/>
        <v>0</v>
      </c>
      <c r="AK33" s="437">
        <f t="shared" si="37"/>
        <v>0</v>
      </c>
      <c r="AL33" s="437">
        <f t="shared" si="24"/>
        <v>0</v>
      </c>
      <c r="AM33" s="437">
        <f t="shared" si="38"/>
        <v>0</v>
      </c>
      <c r="AN33" s="437">
        <f t="shared" si="39"/>
        <v>0</v>
      </c>
      <c r="AO33" s="438">
        <f t="shared" si="25"/>
        <v>0</v>
      </c>
      <c r="AQ33" s="428">
        <v>0</v>
      </c>
      <c r="AR33" s="429">
        <v>0</v>
      </c>
      <c r="AS33" s="429">
        <v>0</v>
      </c>
      <c r="AT33" s="429">
        <v>0</v>
      </c>
      <c r="AU33" s="429">
        <v>0</v>
      </c>
      <c r="AV33" s="429">
        <v>0</v>
      </c>
      <c r="AW33" s="429">
        <v>0</v>
      </c>
      <c r="AX33" s="429">
        <v>0</v>
      </c>
      <c r="AY33" s="429">
        <v>0</v>
      </c>
      <c r="AZ33" s="429">
        <v>0</v>
      </c>
      <c r="BA33" s="429">
        <v>0</v>
      </c>
      <c r="BB33" s="429">
        <v>0</v>
      </c>
      <c r="BC33" s="431">
        <v>0</v>
      </c>
      <c r="BD33" s="428">
        <v>0</v>
      </c>
      <c r="BE33" s="429">
        <v>0</v>
      </c>
      <c r="BF33" s="429">
        <v>0</v>
      </c>
      <c r="BG33" s="429">
        <v>0</v>
      </c>
      <c r="BH33" s="429">
        <v>0</v>
      </c>
      <c r="BI33" s="429">
        <v>0</v>
      </c>
      <c r="BJ33" s="429">
        <v>0</v>
      </c>
      <c r="BK33" s="429">
        <v>0</v>
      </c>
      <c r="BL33" s="429">
        <v>0</v>
      </c>
      <c r="BM33" s="429">
        <v>0</v>
      </c>
      <c r="BN33" s="429">
        <v>0</v>
      </c>
      <c r="BO33" s="429">
        <v>0</v>
      </c>
      <c r="BP33" s="431">
        <v>0</v>
      </c>
      <c r="BQ33" s="428">
        <v>0</v>
      </c>
      <c r="BR33" s="429">
        <v>0</v>
      </c>
      <c r="BS33" s="429">
        <v>0</v>
      </c>
      <c r="BT33" s="429">
        <v>0</v>
      </c>
      <c r="BU33" s="429">
        <v>0</v>
      </c>
      <c r="BV33" s="429">
        <v>0</v>
      </c>
      <c r="BW33" s="429">
        <v>0</v>
      </c>
      <c r="BX33" s="429">
        <v>0</v>
      </c>
      <c r="BY33" s="429">
        <v>0</v>
      </c>
      <c r="BZ33" s="429">
        <v>0</v>
      </c>
      <c r="CA33" s="429">
        <v>0</v>
      </c>
      <c r="CB33" s="429">
        <v>0</v>
      </c>
      <c r="CC33" s="431">
        <v>0</v>
      </c>
    </row>
    <row r="34" spans="1:81">
      <c r="A34" s="420" t="s">
        <v>185</v>
      </c>
      <c r="B34" s="420" t="s">
        <v>180</v>
      </c>
      <c r="C34" s="436">
        <f t="shared" si="1"/>
        <v>1465.7</v>
      </c>
      <c r="D34" s="437">
        <f t="shared" si="2"/>
        <v>1624.8</v>
      </c>
      <c r="E34" s="437">
        <f t="shared" si="3"/>
        <v>1099.5</v>
      </c>
      <c r="F34" s="437">
        <f t="shared" si="4"/>
        <v>1361.7</v>
      </c>
      <c r="G34" s="500">
        <f t="shared" si="26"/>
        <v>1168.8</v>
      </c>
      <c r="H34" s="500">
        <f t="shared" si="5"/>
        <v>1174.4444444444443</v>
      </c>
      <c r="I34" s="500">
        <f t="shared" si="6"/>
        <v>1052.5555555555557</v>
      </c>
      <c r="J34" s="500">
        <f t="shared" si="7"/>
        <v>1123.1111111111111</v>
      </c>
      <c r="K34" s="500">
        <f t="shared" si="8"/>
        <v>1300.5555555555557</v>
      </c>
      <c r="L34" s="500">
        <f t="shared" si="9"/>
        <v>1443.4444444444443</v>
      </c>
      <c r="M34" s="500">
        <f t="shared" si="10"/>
        <v>1831.5555555555557</v>
      </c>
      <c r="N34" s="500">
        <f t="shared" si="11"/>
        <v>1576.7777777777778</v>
      </c>
      <c r="O34" s="501">
        <f t="shared" si="12"/>
        <v>1351.5663716814158</v>
      </c>
      <c r="P34" s="436">
        <f t="shared" si="13"/>
        <v>1441.3333333333333</v>
      </c>
      <c r="Q34" s="500">
        <f t="shared" si="14"/>
        <v>1535.3333333333333</v>
      </c>
      <c r="R34" s="500">
        <f t="shared" si="15"/>
        <v>1438.4444444444443</v>
      </c>
      <c r="S34" s="500">
        <f t="shared" si="16"/>
        <v>1544</v>
      </c>
      <c r="T34" s="500">
        <f t="shared" si="17"/>
        <v>1409.1111111111111</v>
      </c>
      <c r="U34" s="500">
        <f t="shared" si="18"/>
        <v>675.5</v>
      </c>
      <c r="V34" s="500">
        <f t="shared" si="19"/>
        <v>1448.7</v>
      </c>
      <c r="W34" s="500">
        <f t="shared" si="27"/>
        <v>804.11111111111109</v>
      </c>
      <c r="X34" s="500">
        <f t="shared" si="28"/>
        <v>1114.4444444444443</v>
      </c>
      <c r="Y34" s="500">
        <f t="shared" si="20"/>
        <v>1409.4444444444443</v>
      </c>
      <c r="Z34" s="500">
        <f t="shared" si="29"/>
        <v>1681.4444444444443</v>
      </c>
      <c r="AA34" s="500">
        <f t="shared" si="30"/>
        <v>1726</v>
      </c>
      <c r="AB34" s="501">
        <f t="shared" si="21"/>
        <v>1359.4814814814815</v>
      </c>
      <c r="AC34" s="436">
        <f t="shared" si="31"/>
        <v>1722.2222222222222</v>
      </c>
      <c r="AD34" s="500">
        <f t="shared" si="32"/>
        <v>1548.7777777777778</v>
      </c>
      <c r="AE34" s="500">
        <f t="shared" si="33"/>
        <v>1464.5555555555557</v>
      </c>
      <c r="AF34" s="437">
        <f t="shared" si="34"/>
        <v>1296.1111111111111</v>
      </c>
      <c r="AG34" s="437">
        <f t="shared" si="22"/>
        <v>1065.3333333333333</v>
      </c>
      <c r="AH34" s="437">
        <f t="shared" si="35"/>
        <v>1056.8888888888889</v>
      </c>
      <c r="AI34" s="437">
        <f t="shared" si="23"/>
        <v>993.66666666666663</v>
      </c>
      <c r="AJ34" s="437">
        <f t="shared" si="36"/>
        <v>945.33333333333337</v>
      </c>
      <c r="AK34" s="437">
        <f t="shared" si="37"/>
        <v>1136.4000000000001</v>
      </c>
      <c r="AL34" s="437">
        <f t="shared" si="24"/>
        <v>1310.3</v>
      </c>
      <c r="AM34" s="437">
        <f t="shared" si="38"/>
        <v>1536.5</v>
      </c>
      <c r="AN34" s="437">
        <f t="shared" si="39"/>
        <v>1507</v>
      </c>
      <c r="AO34" s="438">
        <f t="shared" si="25"/>
        <v>1301.2321428571429</v>
      </c>
      <c r="AQ34" s="428">
        <v>1465.7</v>
      </c>
      <c r="AR34" s="429">
        <v>1624.8</v>
      </c>
      <c r="AS34" s="429">
        <v>1099.5</v>
      </c>
      <c r="AT34" s="429">
        <v>1361.7</v>
      </c>
      <c r="AU34" s="429">
        <v>1168.8</v>
      </c>
      <c r="AV34" s="429">
        <v>1174.4444444444443</v>
      </c>
      <c r="AW34" s="429">
        <v>1052.5555555555557</v>
      </c>
      <c r="AX34" s="429">
        <v>1123.1111111111111</v>
      </c>
      <c r="AY34" s="429">
        <v>1300.5555555555557</v>
      </c>
      <c r="AZ34" s="429">
        <v>1443.4444444444443</v>
      </c>
      <c r="BA34" s="429">
        <v>1831.5555555555557</v>
      </c>
      <c r="BB34" s="429">
        <v>1576.7777777777778</v>
      </c>
      <c r="BC34" s="431">
        <v>1351.5663716814158</v>
      </c>
      <c r="BD34" s="428">
        <v>1441.3333333333333</v>
      </c>
      <c r="BE34" s="429">
        <v>1535.3333333333333</v>
      </c>
      <c r="BF34" s="429">
        <v>1438.4444444444443</v>
      </c>
      <c r="BG34" s="429">
        <v>1544</v>
      </c>
      <c r="BH34" s="429">
        <v>1409.1111111111111</v>
      </c>
      <c r="BI34" s="429">
        <v>675.5</v>
      </c>
      <c r="BJ34" s="429">
        <v>1448.7</v>
      </c>
      <c r="BK34" s="429">
        <v>804.11111111111109</v>
      </c>
      <c r="BL34" s="429">
        <v>1114.4444444444443</v>
      </c>
      <c r="BM34" s="429">
        <v>1409.4444444444443</v>
      </c>
      <c r="BN34" s="429">
        <v>1681.4444444444443</v>
      </c>
      <c r="BO34" s="429">
        <v>1726</v>
      </c>
      <c r="BP34" s="431">
        <v>1359.4814814814815</v>
      </c>
      <c r="BQ34" s="428">
        <v>1722.2222222222222</v>
      </c>
      <c r="BR34" s="429">
        <v>1548.7777777777778</v>
      </c>
      <c r="BS34" s="429">
        <v>1464.5555555555557</v>
      </c>
      <c r="BT34" s="429">
        <v>1296.1111111111111</v>
      </c>
      <c r="BU34" s="429">
        <v>1065.3333333333333</v>
      </c>
      <c r="BV34" s="429">
        <v>1056.8888888888889</v>
      </c>
      <c r="BW34" s="429">
        <v>993.66666666666663</v>
      </c>
      <c r="BX34" s="429">
        <v>945.33333333333337</v>
      </c>
      <c r="BY34" s="429">
        <v>1136.4000000000001</v>
      </c>
      <c r="BZ34" s="429">
        <v>1310.3</v>
      </c>
      <c r="CA34" s="429">
        <v>1536.5</v>
      </c>
      <c r="CB34" s="429">
        <v>1507</v>
      </c>
      <c r="CC34" s="431">
        <v>1301.2321428571429</v>
      </c>
    </row>
    <row r="35" spans="1:81">
      <c r="A35" s="420" t="s">
        <v>185</v>
      </c>
      <c r="B35" s="420" t="s">
        <v>181</v>
      </c>
      <c r="C35" s="436">
        <f t="shared" si="1"/>
        <v>0</v>
      </c>
      <c r="D35" s="437">
        <f t="shared" si="2"/>
        <v>0</v>
      </c>
      <c r="E35" s="437">
        <f t="shared" si="3"/>
        <v>0</v>
      </c>
      <c r="F35" s="437">
        <f t="shared" si="4"/>
        <v>0</v>
      </c>
      <c r="G35" s="500">
        <f t="shared" si="26"/>
        <v>0</v>
      </c>
      <c r="H35" s="500">
        <f t="shared" si="5"/>
        <v>0</v>
      </c>
      <c r="I35" s="500">
        <f t="shared" si="6"/>
        <v>0</v>
      </c>
      <c r="J35" s="500">
        <f t="shared" si="7"/>
        <v>0</v>
      </c>
      <c r="K35" s="500">
        <f t="shared" si="8"/>
        <v>0</v>
      </c>
      <c r="L35" s="500">
        <f t="shared" si="9"/>
        <v>0</v>
      </c>
      <c r="M35" s="500">
        <f t="shared" si="10"/>
        <v>0</v>
      </c>
      <c r="N35" s="500">
        <f t="shared" si="11"/>
        <v>0</v>
      </c>
      <c r="O35" s="501">
        <f t="shared" si="12"/>
        <v>0</v>
      </c>
      <c r="P35" s="436">
        <f t="shared" si="13"/>
        <v>0</v>
      </c>
      <c r="Q35" s="500">
        <f t="shared" si="14"/>
        <v>0</v>
      </c>
      <c r="R35" s="500">
        <f t="shared" si="15"/>
        <v>0</v>
      </c>
      <c r="S35" s="500">
        <f t="shared" si="16"/>
        <v>0</v>
      </c>
      <c r="T35" s="500">
        <f t="shared" si="17"/>
        <v>0</v>
      </c>
      <c r="U35" s="500">
        <f t="shared" si="18"/>
        <v>0</v>
      </c>
      <c r="V35" s="500">
        <f t="shared" si="19"/>
        <v>0</v>
      </c>
      <c r="W35" s="500">
        <f t="shared" si="27"/>
        <v>0</v>
      </c>
      <c r="X35" s="500">
        <f t="shared" si="28"/>
        <v>0</v>
      </c>
      <c r="Y35" s="500">
        <f t="shared" si="20"/>
        <v>0</v>
      </c>
      <c r="Z35" s="500">
        <f t="shared" si="29"/>
        <v>0</v>
      </c>
      <c r="AA35" s="500">
        <f t="shared" si="30"/>
        <v>0</v>
      </c>
      <c r="AB35" s="501">
        <f t="shared" si="21"/>
        <v>0</v>
      </c>
      <c r="AC35" s="436">
        <f t="shared" si="31"/>
        <v>0</v>
      </c>
      <c r="AD35" s="500">
        <f t="shared" si="32"/>
        <v>0</v>
      </c>
      <c r="AE35" s="500">
        <f t="shared" si="33"/>
        <v>0</v>
      </c>
      <c r="AF35" s="437">
        <f t="shared" si="34"/>
        <v>0</v>
      </c>
      <c r="AG35" s="437">
        <f t="shared" si="22"/>
        <v>0</v>
      </c>
      <c r="AH35" s="437">
        <f t="shared" si="35"/>
        <v>0</v>
      </c>
      <c r="AI35" s="437">
        <f t="shared" si="23"/>
        <v>0</v>
      </c>
      <c r="AJ35" s="437">
        <f t="shared" si="36"/>
        <v>0</v>
      </c>
      <c r="AK35" s="437">
        <f t="shared" si="37"/>
        <v>0</v>
      </c>
      <c r="AL35" s="437">
        <f t="shared" si="24"/>
        <v>0</v>
      </c>
      <c r="AM35" s="437">
        <f t="shared" si="38"/>
        <v>0</v>
      </c>
      <c r="AN35" s="437">
        <f t="shared" si="39"/>
        <v>0</v>
      </c>
      <c r="AO35" s="438">
        <f t="shared" si="25"/>
        <v>0</v>
      </c>
      <c r="AQ35" s="428">
        <v>0</v>
      </c>
      <c r="AR35" s="429">
        <v>0</v>
      </c>
      <c r="AS35" s="429">
        <v>0</v>
      </c>
      <c r="AT35" s="429">
        <v>0</v>
      </c>
      <c r="AU35" s="429">
        <v>0</v>
      </c>
      <c r="AV35" s="429">
        <v>0</v>
      </c>
      <c r="AW35" s="429">
        <v>0</v>
      </c>
      <c r="AX35" s="429">
        <v>0</v>
      </c>
      <c r="AY35" s="429">
        <v>0</v>
      </c>
      <c r="AZ35" s="429">
        <v>0</v>
      </c>
      <c r="BA35" s="429">
        <v>0</v>
      </c>
      <c r="BB35" s="429">
        <v>0</v>
      </c>
      <c r="BC35" s="431">
        <v>0</v>
      </c>
      <c r="BD35" s="428">
        <v>0</v>
      </c>
      <c r="BE35" s="429">
        <v>0</v>
      </c>
      <c r="BF35" s="429">
        <v>0</v>
      </c>
      <c r="BG35" s="429">
        <v>0</v>
      </c>
      <c r="BH35" s="429">
        <v>0</v>
      </c>
      <c r="BI35" s="429">
        <v>0</v>
      </c>
      <c r="BJ35" s="429">
        <v>0</v>
      </c>
      <c r="BK35" s="429">
        <v>0</v>
      </c>
      <c r="BL35" s="429">
        <v>0</v>
      </c>
      <c r="BM35" s="429">
        <v>0</v>
      </c>
      <c r="BN35" s="429">
        <v>0</v>
      </c>
      <c r="BO35" s="429">
        <v>0</v>
      </c>
      <c r="BP35" s="431">
        <v>0</v>
      </c>
      <c r="BQ35" s="428">
        <v>0</v>
      </c>
      <c r="BR35" s="429">
        <v>0</v>
      </c>
      <c r="BS35" s="429">
        <v>0</v>
      </c>
      <c r="BT35" s="429">
        <v>0</v>
      </c>
      <c r="BU35" s="429">
        <v>0</v>
      </c>
      <c r="BV35" s="429">
        <v>0</v>
      </c>
      <c r="BW35" s="429">
        <v>0</v>
      </c>
      <c r="BX35" s="429">
        <v>0</v>
      </c>
      <c r="BY35" s="429">
        <v>0</v>
      </c>
      <c r="BZ35" s="429">
        <v>0</v>
      </c>
      <c r="CA35" s="429">
        <v>0</v>
      </c>
      <c r="CB35" s="429">
        <v>0</v>
      </c>
      <c r="CC35" s="431">
        <v>0</v>
      </c>
    </row>
    <row r="36" spans="1:81">
      <c r="A36" s="420" t="s">
        <v>185</v>
      </c>
      <c r="B36" s="420" t="s">
        <v>182</v>
      </c>
      <c r="C36" s="436">
        <f t="shared" si="1"/>
        <v>3114.6521739130435</v>
      </c>
      <c r="D36" s="437">
        <f t="shared" si="2"/>
        <v>2722.4583333333335</v>
      </c>
      <c r="E36" s="437">
        <f t="shared" si="3"/>
        <v>2379.9583333333335</v>
      </c>
      <c r="F36" s="437">
        <f t="shared" si="4"/>
        <v>2655.7083333333335</v>
      </c>
      <c r="G36" s="500">
        <f t="shared" si="26"/>
        <v>2726.217391304348</v>
      </c>
      <c r="H36" s="500">
        <f t="shared" si="5"/>
        <v>2208.84</v>
      </c>
      <c r="I36" s="500">
        <f t="shared" si="6"/>
        <v>1935.08</v>
      </c>
      <c r="J36" s="500">
        <f t="shared" si="7"/>
        <v>1931.64</v>
      </c>
      <c r="K36" s="500">
        <f t="shared" si="8"/>
        <v>2123.3076923076924</v>
      </c>
      <c r="L36" s="500">
        <f t="shared" si="9"/>
        <v>2059.92</v>
      </c>
      <c r="M36" s="500">
        <f t="shared" si="10"/>
        <v>2933.6521739130435</v>
      </c>
      <c r="N36" s="500">
        <f t="shared" si="11"/>
        <v>2686.4166666666665</v>
      </c>
      <c r="O36" s="501">
        <f t="shared" si="12"/>
        <v>2443.5601374570447</v>
      </c>
      <c r="P36" s="436">
        <f t="shared" si="13"/>
        <v>2735.12</v>
      </c>
      <c r="Q36" s="500">
        <f t="shared" si="14"/>
        <v>2694.6153846153848</v>
      </c>
      <c r="R36" s="500">
        <f t="shared" si="15"/>
        <v>2702.48</v>
      </c>
      <c r="S36" s="500">
        <f t="shared" si="16"/>
        <v>2589.037037037037</v>
      </c>
      <c r="T36" s="500">
        <f t="shared" si="17"/>
        <v>2468.8888888888887</v>
      </c>
      <c r="U36" s="500">
        <f t="shared" si="18"/>
        <v>2409.75</v>
      </c>
      <c r="V36" s="500">
        <f t="shared" si="19"/>
        <v>1416.4285714285713</v>
      </c>
      <c r="W36" s="500">
        <f t="shared" si="27"/>
        <v>2061.7199999999998</v>
      </c>
      <c r="X36" s="500">
        <f t="shared" si="28"/>
        <v>1871.9230769230769</v>
      </c>
      <c r="Y36" s="500">
        <f t="shared" si="20"/>
        <v>2170.8461538461538</v>
      </c>
      <c r="Z36" s="500">
        <f t="shared" si="29"/>
        <v>2682.6923076923076</v>
      </c>
      <c r="AA36" s="500">
        <f t="shared" si="30"/>
        <v>3087.3461538461538</v>
      </c>
      <c r="AB36" s="501">
        <f t="shared" si="21"/>
        <v>2379.3993710691825</v>
      </c>
      <c r="AC36" s="436">
        <f t="shared" si="31"/>
        <v>3402.25</v>
      </c>
      <c r="AD36" s="500">
        <f t="shared" si="32"/>
        <v>3018.28</v>
      </c>
      <c r="AE36" s="500">
        <f t="shared" si="33"/>
        <v>2525.6666666666665</v>
      </c>
      <c r="AF36" s="437">
        <f t="shared" si="34"/>
        <v>2998.8571428571427</v>
      </c>
      <c r="AG36" s="437">
        <f t="shared" si="22"/>
        <v>2764.75</v>
      </c>
      <c r="AH36" s="437">
        <f t="shared" si="35"/>
        <v>3441.3333333333335</v>
      </c>
      <c r="AI36" s="437">
        <f t="shared" si="23"/>
        <v>1420.2962962962963</v>
      </c>
      <c r="AJ36" s="437">
        <f t="shared" si="36"/>
        <v>1941</v>
      </c>
      <c r="AK36" s="437">
        <f t="shared" si="37"/>
        <v>2006.3076923076924</v>
      </c>
      <c r="AL36" s="437">
        <f t="shared" si="24"/>
        <v>2261.2399999999998</v>
      </c>
      <c r="AM36" s="437">
        <f t="shared" si="38"/>
        <v>2198.8888888888887</v>
      </c>
      <c r="AN36" s="437">
        <f t="shared" si="39"/>
        <v>2771.7692307692309</v>
      </c>
      <c r="AO36" s="438">
        <f t="shared" si="25"/>
        <v>2563.0521472392638</v>
      </c>
      <c r="AQ36" s="428">
        <v>3114.6521739130435</v>
      </c>
      <c r="AR36" s="429">
        <v>2722.4583333333335</v>
      </c>
      <c r="AS36" s="429">
        <v>2379.9583333333335</v>
      </c>
      <c r="AT36" s="429">
        <v>2655.7083333333335</v>
      </c>
      <c r="AU36" s="429">
        <v>2726.217391304348</v>
      </c>
      <c r="AV36" s="429">
        <v>2208.84</v>
      </c>
      <c r="AW36" s="429">
        <v>1935.08</v>
      </c>
      <c r="AX36" s="429">
        <v>1931.64</v>
      </c>
      <c r="AY36" s="429">
        <v>2123.3076923076924</v>
      </c>
      <c r="AZ36" s="429">
        <v>2059.92</v>
      </c>
      <c r="BA36" s="429">
        <v>2933.6521739130435</v>
      </c>
      <c r="BB36" s="429">
        <v>2686.4166666666665</v>
      </c>
      <c r="BC36" s="431">
        <v>2443.5601374570447</v>
      </c>
      <c r="BD36" s="428">
        <v>2735.12</v>
      </c>
      <c r="BE36" s="429">
        <v>2694.6153846153848</v>
      </c>
      <c r="BF36" s="429">
        <v>2702.48</v>
      </c>
      <c r="BG36" s="429">
        <v>2589.037037037037</v>
      </c>
      <c r="BH36" s="429">
        <v>2468.8888888888887</v>
      </c>
      <c r="BI36" s="429">
        <v>2409.75</v>
      </c>
      <c r="BJ36" s="429">
        <v>1416.4285714285713</v>
      </c>
      <c r="BK36" s="429">
        <v>2061.7199999999998</v>
      </c>
      <c r="BL36" s="429">
        <v>1871.9230769230769</v>
      </c>
      <c r="BM36" s="429">
        <v>2170.8461538461538</v>
      </c>
      <c r="BN36" s="429">
        <v>2682.6923076923076</v>
      </c>
      <c r="BO36" s="429">
        <v>3087.3461538461538</v>
      </c>
      <c r="BP36" s="431">
        <v>2379.3993710691825</v>
      </c>
      <c r="BQ36" s="428">
        <v>3402.25</v>
      </c>
      <c r="BR36" s="429">
        <v>3018.28</v>
      </c>
      <c r="BS36" s="429">
        <v>2525.6666666666665</v>
      </c>
      <c r="BT36" s="429">
        <v>2998.8571428571427</v>
      </c>
      <c r="BU36" s="429">
        <v>2764.75</v>
      </c>
      <c r="BV36" s="429">
        <v>3441.3333333333335</v>
      </c>
      <c r="BW36" s="429">
        <v>1420.2962962962963</v>
      </c>
      <c r="BX36" s="429">
        <v>1941</v>
      </c>
      <c r="BY36" s="429">
        <v>2006.3076923076924</v>
      </c>
      <c r="BZ36" s="429">
        <v>2261.2399999999998</v>
      </c>
      <c r="CA36" s="429">
        <v>2198.8888888888887</v>
      </c>
      <c r="CB36" s="429">
        <v>2771.7692307692309</v>
      </c>
      <c r="CC36" s="431">
        <v>2563.0521472392638</v>
      </c>
    </row>
    <row r="37" spans="1:81">
      <c r="A37" s="420" t="s">
        <v>185</v>
      </c>
      <c r="B37" s="420" t="s">
        <v>183</v>
      </c>
      <c r="C37" s="436">
        <f t="shared" si="1"/>
        <v>0</v>
      </c>
      <c r="D37" s="437">
        <f t="shared" si="2"/>
        <v>0</v>
      </c>
      <c r="E37" s="437">
        <f t="shared" si="3"/>
        <v>0</v>
      </c>
      <c r="F37" s="437">
        <f t="shared" si="4"/>
        <v>0</v>
      </c>
      <c r="G37" s="500">
        <f t="shared" si="26"/>
        <v>0</v>
      </c>
      <c r="H37" s="500">
        <f t="shared" si="5"/>
        <v>0</v>
      </c>
      <c r="I37" s="500">
        <f t="shared" si="6"/>
        <v>0</v>
      </c>
      <c r="J37" s="500">
        <f t="shared" si="7"/>
        <v>0</v>
      </c>
      <c r="K37" s="500">
        <f t="shared" si="8"/>
        <v>0</v>
      </c>
      <c r="L37" s="500">
        <f t="shared" si="9"/>
        <v>0</v>
      </c>
      <c r="M37" s="500">
        <f t="shared" si="10"/>
        <v>0</v>
      </c>
      <c r="N37" s="500">
        <f t="shared" si="11"/>
        <v>0</v>
      </c>
      <c r="O37" s="501">
        <f t="shared" si="12"/>
        <v>0</v>
      </c>
      <c r="P37" s="436">
        <f t="shared" si="13"/>
        <v>0</v>
      </c>
      <c r="Q37" s="500">
        <f t="shared" si="14"/>
        <v>0</v>
      </c>
      <c r="R37" s="500">
        <f t="shared" si="15"/>
        <v>0</v>
      </c>
      <c r="S37" s="500">
        <f t="shared" si="16"/>
        <v>0</v>
      </c>
      <c r="T37" s="500">
        <f t="shared" si="17"/>
        <v>0</v>
      </c>
      <c r="U37" s="500">
        <f t="shared" si="18"/>
        <v>0</v>
      </c>
      <c r="V37" s="500">
        <f t="shared" si="19"/>
        <v>0</v>
      </c>
      <c r="W37" s="500">
        <f t="shared" si="27"/>
        <v>0</v>
      </c>
      <c r="X37" s="500">
        <f t="shared" si="28"/>
        <v>0</v>
      </c>
      <c r="Y37" s="500">
        <f t="shared" si="20"/>
        <v>0</v>
      </c>
      <c r="Z37" s="500">
        <f t="shared" si="29"/>
        <v>0</v>
      </c>
      <c r="AA37" s="500">
        <f t="shared" si="30"/>
        <v>0</v>
      </c>
      <c r="AB37" s="501">
        <f t="shared" si="21"/>
        <v>0</v>
      </c>
      <c r="AC37" s="436">
        <f t="shared" si="31"/>
        <v>0</v>
      </c>
      <c r="AD37" s="500">
        <f t="shared" si="32"/>
        <v>0</v>
      </c>
      <c r="AE37" s="500">
        <f t="shared" si="33"/>
        <v>0</v>
      </c>
      <c r="AF37" s="437">
        <f t="shared" si="34"/>
        <v>0</v>
      </c>
      <c r="AG37" s="437">
        <f t="shared" si="22"/>
        <v>0</v>
      </c>
      <c r="AH37" s="437">
        <f t="shared" si="35"/>
        <v>0</v>
      </c>
      <c r="AI37" s="437">
        <f t="shared" si="23"/>
        <v>0</v>
      </c>
      <c r="AJ37" s="437">
        <f t="shared" si="36"/>
        <v>0</v>
      </c>
      <c r="AK37" s="437">
        <f t="shared" si="37"/>
        <v>0</v>
      </c>
      <c r="AL37" s="437">
        <f t="shared" si="24"/>
        <v>0</v>
      </c>
      <c r="AM37" s="437">
        <f t="shared" si="38"/>
        <v>0</v>
      </c>
      <c r="AN37" s="437">
        <f t="shared" si="39"/>
        <v>0</v>
      </c>
      <c r="AO37" s="438">
        <f t="shared" si="25"/>
        <v>0</v>
      </c>
      <c r="AQ37" s="428">
        <v>0</v>
      </c>
      <c r="AR37" s="429">
        <v>0</v>
      </c>
      <c r="AS37" s="429">
        <v>0</v>
      </c>
      <c r="AT37" s="429">
        <v>0</v>
      </c>
      <c r="AU37" s="429">
        <v>0</v>
      </c>
      <c r="AV37" s="429">
        <v>0</v>
      </c>
      <c r="AW37" s="429">
        <v>0</v>
      </c>
      <c r="AX37" s="429">
        <v>0</v>
      </c>
      <c r="AY37" s="429">
        <v>0</v>
      </c>
      <c r="AZ37" s="429">
        <v>0</v>
      </c>
      <c r="BA37" s="429">
        <v>0</v>
      </c>
      <c r="BB37" s="429">
        <v>0</v>
      </c>
      <c r="BC37" s="431">
        <v>0</v>
      </c>
      <c r="BD37" s="428">
        <v>0</v>
      </c>
      <c r="BE37" s="429">
        <v>0</v>
      </c>
      <c r="BF37" s="429">
        <v>0</v>
      </c>
      <c r="BG37" s="429">
        <v>0</v>
      </c>
      <c r="BH37" s="429">
        <v>0</v>
      </c>
      <c r="BI37" s="429">
        <v>0</v>
      </c>
      <c r="BJ37" s="429">
        <v>0</v>
      </c>
      <c r="BK37" s="429">
        <v>0</v>
      </c>
      <c r="BL37" s="429">
        <v>0</v>
      </c>
      <c r="BM37" s="429">
        <v>0</v>
      </c>
      <c r="BN37" s="429">
        <v>0</v>
      </c>
      <c r="BO37" s="429">
        <v>0</v>
      </c>
      <c r="BP37" s="431">
        <v>0</v>
      </c>
      <c r="BQ37" s="428">
        <v>0</v>
      </c>
      <c r="BR37" s="429">
        <v>0</v>
      </c>
      <c r="BS37" s="429">
        <v>0</v>
      </c>
      <c r="BT37" s="429">
        <v>0</v>
      </c>
      <c r="BU37" s="429">
        <v>0</v>
      </c>
      <c r="BV37" s="429">
        <v>0</v>
      </c>
      <c r="BW37" s="429">
        <v>0</v>
      </c>
      <c r="BX37" s="429">
        <v>0</v>
      </c>
      <c r="BY37" s="429">
        <v>0</v>
      </c>
      <c r="BZ37" s="429">
        <v>0</v>
      </c>
      <c r="CA37" s="429">
        <v>0</v>
      </c>
      <c r="CB37" s="429">
        <v>0</v>
      </c>
      <c r="CC37" s="431">
        <v>0</v>
      </c>
    </row>
    <row r="38" spans="1:81">
      <c r="A38" s="445"/>
      <c r="B38" s="445"/>
      <c r="C38" s="446"/>
      <c r="D38" s="447"/>
      <c r="E38" s="447"/>
      <c r="F38" s="447"/>
      <c r="G38" s="502"/>
      <c r="H38" s="502"/>
      <c r="I38" s="502"/>
      <c r="J38" s="502"/>
      <c r="K38" s="502"/>
      <c r="L38" s="502"/>
      <c r="M38" s="502"/>
      <c r="N38" s="502"/>
      <c r="O38" s="503"/>
      <c r="P38" s="446"/>
      <c r="Q38" s="502"/>
      <c r="R38" s="502"/>
      <c r="S38" s="502"/>
      <c r="T38" s="502"/>
      <c r="U38" s="502"/>
      <c r="V38" s="502"/>
      <c r="W38" s="502"/>
      <c r="X38" s="502"/>
      <c r="Y38" s="502"/>
      <c r="Z38" s="502"/>
      <c r="AA38" s="502"/>
      <c r="AB38" s="503"/>
      <c r="AC38" s="446"/>
      <c r="AD38" s="502"/>
      <c r="AE38" s="502"/>
      <c r="AF38" s="447"/>
      <c r="AG38" s="447"/>
      <c r="AH38" s="447"/>
      <c r="AI38" s="447"/>
      <c r="AJ38" s="447"/>
      <c r="AK38" s="447"/>
      <c r="AL38" s="447"/>
      <c r="AM38" s="447"/>
      <c r="AN38" s="447"/>
      <c r="AO38" s="448"/>
      <c r="AQ38" s="450"/>
      <c r="AR38" s="451"/>
      <c r="AS38" s="451"/>
      <c r="AT38" s="451"/>
      <c r="AU38" s="451"/>
      <c r="AV38" s="451"/>
      <c r="AW38" s="451"/>
      <c r="AX38" s="451"/>
      <c r="AY38" s="451"/>
      <c r="AZ38" s="451"/>
      <c r="BA38" s="451"/>
      <c r="BB38" s="451"/>
      <c r="BC38" s="452"/>
      <c r="BD38" s="453"/>
      <c r="BE38" s="451"/>
      <c r="BF38" s="451"/>
      <c r="BG38" s="451"/>
      <c r="BH38" s="451"/>
      <c r="BI38" s="451"/>
      <c r="BJ38" s="451"/>
      <c r="BK38" s="451"/>
      <c r="BL38" s="451"/>
      <c r="BM38" s="451"/>
      <c r="BN38" s="451"/>
      <c r="BO38" s="451"/>
      <c r="BP38" s="452"/>
      <c r="BQ38" s="453"/>
      <c r="BR38" s="451"/>
      <c r="BS38" s="451"/>
      <c r="BT38" s="451"/>
      <c r="BU38" s="451"/>
      <c r="BV38" s="451"/>
      <c r="BW38" s="451"/>
      <c r="BX38" s="451"/>
      <c r="BY38" s="451"/>
      <c r="BZ38" s="451"/>
      <c r="CA38" s="451"/>
      <c r="CB38" s="451"/>
      <c r="CC38" s="452"/>
    </row>
    <row r="39" spans="1:81">
      <c r="B39" s="456" t="s">
        <v>186</v>
      </c>
      <c r="C39" s="436"/>
      <c r="D39" s="437"/>
      <c r="E39" s="437"/>
      <c r="F39" s="437"/>
      <c r="G39" s="500"/>
      <c r="H39" s="500"/>
      <c r="I39" s="500"/>
      <c r="J39" s="500"/>
      <c r="K39" s="500"/>
      <c r="L39" s="500"/>
      <c r="M39" s="500"/>
      <c r="N39" s="500"/>
      <c r="O39" s="501"/>
      <c r="P39" s="436"/>
      <c r="Q39" s="500"/>
      <c r="R39" s="500"/>
      <c r="S39" s="500"/>
      <c r="T39" s="500"/>
      <c r="U39" s="500"/>
      <c r="V39" s="500"/>
      <c r="W39" s="500"/>
      <c r="X39" s="500"/>
      <c r="Y39" s="500"/>
      <c r="Z39" s="500"/>
      <c r="AA39" s="500"/>
      <c r="AB39" s="501"/>
      <c r="AC39" s="436"/>
      <c r="AD39" s="500"/>
      <c r="AE39" s="500"/>
      <c r="AF39" s="437"/>
      <c r="AG39" s="437"/>
      <c r="AH39" s="437"/>
      <c r="AI39" s="437"/>
      <c r="AJ39" s="437"/>
      <c r="AK39" s="437"/>
      <c r="AL39" s="437"/>
      <c r="AM39" s="437"/>
      <c r="AN39" s="437"/>
      <c r="AO39" s="438"/>
      <c r="AQ39" s="428"/>
      <c r="AR39" s="429"/>
      <c r="AS39" s="429"/>
      <c r="AT39" s="429"/>
      <c r="AU39" s="429"/>
      <c r="AV39" s="429"/>
      <c r="AW39" s="429"/>
      <c r="AX39" s="429"/>
      <c r="AY39" s="429"/>
      <c r="AZ39" s="429"/>
      <c r="BA39" s="429"/>
      <c r="BB39" s="429"/>
      <c r="BC39" s="431"/>
      <c r="BD39" s="428"/>
      <c r="BE39" s="429"/>
      <c r="BF39" s="429"/>
      <c r="BG39" s="429"/>
      <c r="BH39" s="429"/>
      <c r="BI39" s="429"/>
      <c r="BJ39" s="429"/>
      <c r="BK39" s="429"/>
      <c r="BL39" s="429"/>
      <c r="BM39" s="429"/>
      <c r="BN39" s="429"/>
      <c r="BO39" s="429"/>
      <c r="BP39" s="431"/>
      <c r="BQ39" s="428"/>
      <c r="BR39" s="429"/>
      <c r="BS39" s="429"/>
      <c r="BT39" s="429"/>
      <c r="BU39" s="429"/>
      <c r="BV39" s="429"/>
      <c r="BW39" s="429"/>
      <c r="BX39" s="429"/>
      <c r="BY39" s="429"/>
      <c r="BZ39" s="429"/>
      <c r="CA39" s="429"/>
      <c r="CB39" s="429"/>
      <c r="CC39" s="431"/>
    </row>
    <row r="40" spans="1:81">
      <c r="A40" s="420" t="s">
        <v>186</v>
      </c>
      <c r="B40" s="420" t="s">
        <v>175</v>
      </c>
      <c r="C40" s="436">
        <f t="shared" si="1"/>
        <v>1245.5238095238096</v>
      </c>
      <c r="D40" s="437">
        <f t="shared" si="2"/>
        <v>957.66666666666663</v>
      </c>
      <c r="E40" s="437">
        <f t="shared" si="3"/>
        <v>866.90909090909088</v>
      </c>
      <c r="F40" s="437">
        <f t="shared" si="4"/>
        <v>733.36</v>
      </c>
      <c r="G40" s="500">
        <f t="shared" si="26"/>
        <v>553.39130434782612</v>
      </c>
      <c r="H40" s="500">
        <f t="shared" si="5"/>
        <v>582.96</v>
      </c>
      <c r="I40" s="500">
        <f t="shared" si="6"/>
        <v>62.684210526315788</v>
      </c>
      <c r="J40" s="500">
        <f t="shared" si="7"/>
        <v>551.73076923076928</v>
      </c>
      <c r="K40" s="500">
        <f t="shared" si="8"/>
        <v>595.03846153846155</v>
      </c>
      <c r="L40" s="500">
        <f t="shared" si="9"/>
        <v>544.07692307692309</v>
      </c>
      <c r="M40" s="500">
        <f t="shared" si="10"/>
        <v>656.12</v>
      </c>
      <c r="N40" s="500">
        <f t="shared" si="11"/>
        <v>774.28571428571433</v>
      </c>
      <c r="O40" s="501">
        <f t="shared" si="12"/>
        <v>635.39130434782612</v>
      </c>
      <c r="P40" s="436">
        <f t="shared" si="13"/>
        <v>911.19047619047615</v>
      </c>
      <c r="Q40" s="500">
        <f t="shared" si="14"/>
        <v>867.52380952380952</v>
      </c>
      <c r="R40" s="500">
        <f t="shared" si="15"/>
        <v>877.95</v>
      </c>
      <c r="S40" s="500">
        <f t="shared" si="16"/>
        <v>507.08695652173913</v>
      </c>
      <c r="T40" s="500">
        <f t="shared" si="17"/>
        <v>530.23809523809518</v>
      </c>
      <c r="U40" s="500">
        <f t="shared" si="18"/>
        <v>594.52</v>
      </c>
      <c r="V40" s="500">
        <f t="shared" si="19"/>
        <v>478.04</v>
      </c>
      <c r="W40" s="500">
        <f t="shared" si="27"/>
        <v>561.58333333333337</v>
      </c>
      <c r="X40" s="500">
        <f t="shared" si="28"/>
        <v>535.33333333333337</v>
      </c>
      <c r="Y40" s="500">
        <f t="shared" si="20"/>
        <v>530.91666666666663</v>
      </c>
      <c r="Z40" s="500">
        <f t="shared" si="29"/>
        <v>552.56521739130437</v>
      </c>
      <c r="AA40" s="500">
        <f t="shared" si="30"/>
        <v>594.38095238095241</v>
      </c>
      <c r="AB40" s="501">
        <f t="shared" si="21"/>
        <v>620.52573529411768</v>
      </c>
      <c r="AC40" s="436">
        <f t="shared" si="31"/>
        <v>812.7</v>
      </c>
      <c r="AD40" s="500">
        <f t="shared" si="32"/>
        <v>792.05</v>
      </c>
      <c r="AE40" s="500">
        <f t="shared" si="33"/>
        <v>799.05</v>
      </c>
      <c r="AF40" s="437">
        <f t="shared" si="34"/>
        <v>730.7</v>
      </c>
      <c r="AG40" s="437">
        <f t="shared" si="22"/>
        <v>630.61904761904759</v>
      </c>
      <c r="AH40" s="437">
        <f t="shared" si="35"/>
        <v>891.09523809523807</v>
      </c>
      <c r="AI40" s="437">
        <f t="shared" si="23"/>
        <v>279.6521739130435</v>
      </c>
      <c r="AJ40" s="437">
        <f t="shared" si="36"/>
        <v>662.82608695652175</v>
      </c>
      <c r="AK40" s="437">
        <f t="shared" si="37"/>
        <v>654.17391304347825</v>
      </c>
      <c r="AL40" s="437">
        <f t="shared" si="24"/>
        <v>583.13043478260875</v>
      </c>
      <c r="AM40" s="437">
        <f t="shared" si="38"/>
        <v>630.23809523809518</v>
      </c>
      <c r="AN40" s="437">
        <f t="shared" si="39"/>
        <v>496.15</v>
      </c>
      <c r="AO40" s="438">
        <f t="shared" si="25"/>
        <v>658.58431372549023</v>
      </c>
      <c r="AQ40" s="428">
        <v>1245.5238095238096</v>
      </c>
      <c r="AR40" s="429">
        <v>957.66666666666663</v>
      </c>
      <c r="AS40" s="429">
        <v>866.90909090909088</v>
      </c>
      <c r="AT40" s="429">
        <v>733.36</v>
      </c>
      <c r="AU40" s="429">
        <v>553.39130434782612</v>
      </c>
      <c r="AV40" s="429">
        <v>582.96</v>
      </c>
      <c r="AW40" s="429">
        <v>62.684210526315788</v>
      </c>
      <c r="AX40" s="429">
        <v>551.73076923076928</v>
      </c>
      <c r="AY40" s="429">
        <v>595.03846153846155</v>
      </c>
      <c r="AZ40" s="429">
        <v>544.07692307692309</v>
      </c>
      <c r="BA40" s="429">
        <v>656.12</v>
      </c>
      <c r="BB40" s="429">
        <v>774.28571428571433</v>
      </c>
      <c r="BC40" s="431">
        <v>635.39130434782612</v>
      </c>
      <c r="BD40" s="428">
        <v>911.19047619047615</v>
      </c>
      <c r="BE40" s="429">
        <v>867.52380952380952</v>
      </c>
      <c r="BF40" s="429">
        <v>877.95</v>
      </c>
      <c r="BG40" s="429">
        <v>507.08695652173913</v>
      </c>
      <c r="BH40" s="429">
        <v>530.23809523809518</v>
      </c>
      <c r="BI40" s="429">
        <v>594.52</v>
      </c>
      <c r="BJ40" s="429">
        <v>478.04</v>
      </c>
      <c r="BK40" s="429">
        <v>561.58333333333337</v>
      </c>
      <c r="BL40" s="429">
        <v>535.33333333333337</v>
      </c>
      <c r="BM40" s="429">
        <v>530.91666666666663</v>
      </c>
      <c r="BN40" s="429">
        <v>552.56521739130437</v>
      </c>
      <c r="BO40" s="429">
        <v>594.38095238095241</v>
      </c>
      <c r="BP40" s="431">
        <v>620.52573529411768</v>
      </c>
      <c r="BQ40" s="428">
        <v>812.7</v>
      </c>
      <c r="BR40" s="429">
        <v>792.05</v>
      </c>
      <c r="BS40" s="429">
        <v>799.05</v>
      </c>
      <c r="BT40" s="429">
        <v>730.7</v>
      </c>
      <c r="BU40" s="429">
        <v>630.61904761904759</v>
      </c>
      <c r="BV40" s="429">
        <v>891.09523809523807</v>
      </c>
      <c r="BW40" s="429">
        <v>279.6521739130435</v>
      </c>
      <c r="BX40" s="429">
        <v>662.82608695652175</v>
      </c>
      <c r="BY40" s="429">
        <v>654.17391304347825</v>
      </c>
      <c r="BZ40" s="429">
        <v>583.13043478260875</v>
      </c>
      <c r="CA40" s="429">
        <v>630.23809523809518</v>
      </c>
      <c r="CB40" s="429">
        <v>496.15</v>
      </c>
      <c r="CC40" s="431">
        <v>658.58431372549023</v>
      </c>
    </row>
    <row r="41" spans="1:81">
      <c r="A41" s="420" t="s">
        <v>186</v>
      </c>
      <c r="B41" s="420" t="s">
        <v>176</v>
      </c>
      <c r="C41" s="436">
        <f t="shared" si="1"/>
        <v>936.2641509433962</v>
      </c>
      <c r="D41" s="437">
        <f t="shared" si="2"/>
        <v>0</v>
      </c>
      <c r="E41" s="437">
        <f t="shared" si="3"/>
        <v>0</v>
      </c>
      <c r="F41" s="437">
        <f t="shared" si="4"/>
        <v>705.5</v>
      </c>
      <c r="G41" s="499">
        <f>IF(AU41&lt;0,0,AU41)*0</f>
        <v>0</v>
      </c>
      <c r="H41" s="500">
        <f t="shared" si="5"/>
        <v>0</v>
      </c>
      <c r="I41" s="500">
        <f t="shared" si="6"/>
        <v>751.1960784313726</v>
      </c>
      <c r="J41" s="500">
        <f t="shared" si="7"/>
        <v>0</v>
      </c>
      <c r="K41" s="499">
        <f>IF(AY41&lt;0,0,AY41)*0</f>
        <v>0</v>
      </c>
      <c r="L41" s="500">
        <f t="shared" si="9"/>
        <v>1116.6181818181817</v>
      </c>
      <c r="M41" s="500">
        <f t="shared" si="10"/>
        <v>0</v>
      </c>
      <c r="N41" s="500">
        <f t="shared" si="11"/>
        <v>0</v>
      </c>
      <c r="O41" s="501">
        <f t="shared" si="12"/>
        <v>894.75401069518716</v>
      </c>
      <c r="P41" s="436">
        <f t="shared" si="13"/>
        <v>740.98039215686276</v>
      </c>
      <c r="Q41" s="499">
        <f>IF(BE41&lt;0,0,BE41)*0</f>
        <v>0</v>
      </c>
      <c r="R41" s="500">
        <f t="shared" si="15"/>
        <v>0</v>
      </c>
      <c r="S41" s="500">
        <f t="shared" si="16"/>
        <v>604.48648648648646</v>
      </c>
      <c r="T41" s="500">
        <f t="shared" si="17"/>
        <v>0</v>
      </c>
      <c r="U41" s="500">
        <f t="shared" si="18"/>
        <v>0</v>
      </c>
      <c r="V41" s="500">
        <f t="shared" si="19"/>
        <v>804.31578947368416</v>
      </c>
      <c r="W41" s="499">
        <f>IF(BK41&lt;0,0,BK41)*0</f>
        <v>0</v>
      </c>
      <c r="X41" s="499">
        <f>IF(BL41&lt;0,0,BL41)*0</f>
        <v>0</v>
      </c>
      <c r="Y41" s="500">
        <f t="shared" si="20"/>
        <v>1128.1454545454546</v>
      </c>
      <c r="Z41" s="500">
        <f t="shared" si="29"/>
        <v>0</v>
      </c>
      <c r="AA41" s="500">
        <f t="shared" si="30"/>
        <v>0</v>
      </c>
      <c r="AB41" s="501">
        <f t="shared" si="21"/>
        <v>830.30049261083741</v>
      </c>
      <c r="AC41" s="436">
        <f t="shared" si="31"/>
        <v>637.06976744186045</v>
      </c>
      <c r="AD41" s="500">
        <f t="shared" si="32"/>
        <v>0</v>
      </c>
      <c r="AE41" s="500">
        <f t="shared" si="33"/>
        <v>0</v>
      </c>
      <c r="AF41" s="437">
        <f t="shared" si="34"/>
        <v>372.38888888888891</v>
      </c>
      <c r="AG41" s="437">
        <f t="shared" si="22"/>
        <v>0</v>
      </c>
      <c r="AH41" s="437">
        <f t="shared" si="35"/>
        <v>0</v>
      </c>
      <c r="AI41" s="437">
        <f t="shared" si="23"/>
        <v>747.5</v>
      </c>
      <c r="AJ41" s="437">
        <f t="shared" si="36"/>
        <v>0</v>
      </c>
      <c r="AK41" s="437">
        <f t="shared" si="37"/>
        <v>0</v>
      </c>
      <c r="AL41" s="437">
        <f t="shared" si="24"/>
        <v>1124.1636363636364</v>
      </c>
      <c r="AM41" s="499">
        <f>IF(CA41&lt;0,0,CA41)*0</f>
        <v>0</v>
      </c>
      <c r="AN41" s="437">
        <f t="shared" si="39"/>
        <v>0</v>
      </c>
      <c r="AO41" s="438">
        <f t="shared" si="25"/>
        <v>728.41346153846155</v>
      </c>
      <c r="AQ41" s="428">
        <v>936.2641509433962</v>
      </c>
      <c r="AR41" s="429">
        <v>0</v>
      </c>
      <c r="AS41" s="429">
        <v>0</v>
      </c>
      <c r="AT41" s="429">
        <v>705.5</v>
      </c>
      <c r="AU41" s="429">
        <v>44.333333333333336</v>
      </c>
      <c r="AV41" s="429">
        <v>0</v>
      </c>
      <c r="AW41" s="429">
        <v>751.1960784313726</v>
      </c>
      <c r="AX41" s="429">
        <v>0</v>
      </c>
      <c r="AY41" s="429">
        <v>907</v>
      </c>
      <c r="AZ41" s="429">
        <v>1116.6181818181817</v>
      </c>
      <c r="BA41" s="429">
        <v>0</v>
      </c>
      <c r="BB41" s="429">
        <v>0</v>
      </c>
      <c r="BC41" s="431">
        <v>894.75401069518716</v>
      </c>
      <c r="BD41" s="428">
        <v>740.98039215686276</v>
      </c>
      <c r="BE41" s="429">
        <v>175</v>
      </c>
      <c r="BF41" s="429">
        <v>0</v>
      </c>
      <c r="BG41" s="429">
        <v>604.48648648648646</v>
      </c>
      <c r="BH41" s="429">
        <v>0</v>
      </c>
      <c r="BI41" s="429">
        <v>0</v>
      </c>
      <c r="BJ41" s="429">
        <v>804.31578947368416</v>
      </c>
      <c r="BK41" s="429">
        <v>190</v>
      </c>
      <c r="BL41" s="429">
        <v>136</v>
      </c>
      <c r="BM41" s="429">
        <v>1128.1454545454546</v>
      </c>
      <c r="BN41" s="429">
        <v>0</v>
      </c>
      <c r="BO41" s="429">
        <v>0</v>
      </c>
      <c r="BP41" s="431">
        <v>830.30049261083741</v>
      </c>
      <c r="BQ41" s="428">
        <v>637.06976744186045</v>
      </c>
      <c r="BR41" s="429">
        <v>0</v>
      </c>
      <c r="BS41" s="429">
        <v>0</v>
      </c>
      <c r="BT41" s="429">
        <v>372.38888888888891</v>
      </c>
      <c r="BU41" s="429">
        <v>0</v>
      </c>
      <c r="BV41" s="429">
        <v>0</v>
      </c>
      <c r="BW41" s="429">
        <v>747.5</v>
      </c>
      <c r="BX41" s="429">
        <v>0</v>
      </c>
      <c r="BY41" s="429">
        <v>0</v>
      </c>
      <c r="BZ41" s="429">
        <v>1124.1636363636364</v>
      </c>
      <c r="CA41" s="429">
        <v>906.5</v>
      </c>
      <c r="CB41" s="429">
        <v>0</v>
      </c>
      <c r="CC41" s="431">
        <v>728.41346153846155</v>
      </c>
    </row>
    <row r="42" spans="1:81">
      <c r="A42" s="420" t="s">
        <v>186</v>
      </c>
      <c r="B42" s="420" t="s">
        <v>177</v>
      </c>
      <c r="C42" s="436">
        <f t="shared" si="1"/>
        <v>2732.8</v>
      </c>
      <c r="D42" s="437">
        <f t="shared" si="2"/>
        <v>1988</v>
      </c>
      <c r="E42" s="437">
        <f t="shared" si="3"/>
        <v>2128</v>
      </c>
      <c r="F42" s="437">
        <f t="shared" si="4"/>
        <v>1559</v>
      </c>
      <c r="G42" s="437">
        <f t="shared" si="26"/>
        <v>1204.4000000000001</v>
      </c>
      <c r="H42" s="437">
        <f t="shared" si="5"/>
        <v>719.16666666666663</v>
      </c>
      <c r="I42" s="437">
        <f t="shared" si="6"/>
        <v>1013.8333333333334</v>
      </c>
      <c r="J42" s="437">
        <f t="shared" si="7"/>
        <v>921.85714285714289</v>
      </c>
      <c r="K42" s="437">
        <f t="shared" si="8"/>
        <v>925.85714285714289</v>
      </c>
      <c r="L42" s="437">
        <f t="shared" si="9"/>
        <v>1083.3333333333333</v>
      </c>
      <c r="M42" s="437">
        <f t="shared" si="10"/>
        <v>1383.5</v>
      </c>
      <c r="N42" s="437">
        <f t="shared" si="11"/>
        <v>1946.8</v>
      </c>
      <c r="O42" s="438">
        <f t="shared" si="12"/>
        <v>1344.0625</v>
      </c>
      <c r="P42" s="439">
        <f t="shared" si="13"/>
        <v>2469.8000000000002</v>
      </c>
      <c r="Q42" s="437">
        <f t="shared" si="14"/>
        <v>2969.2</v>
      </c>
      <c r="R42" s="437">
        <f t="shared" si="15"/>
        <v>3586.6</v>
      </c>
      <c r="S42" s="437">
        <f t="shared" si="16"/>
        <v>517.66666666666663</v>
      </c>
      <c r="T42" s="437">
        <f t="shared" si="17"/>
        <v>1549.2</v>
      </c>
      <c r="U42" s="437">
        <f t="shared" si="18"/>
        <v>1405.6666666666667</v>
      </c>
      <c r="V42" s="437">
        <f t="shared" si="19"/>
        <v>876.28571428571433</v>
      </c>
      <c r="W42" s="437">
        <f t="shared" si="27"/>
        <v>934</v>
      </c>
      <c r="X42" s="437">
        <f t="shared" si="28"/>
        <v>980.57142857142856</v>
      </c>
      <c r="Y42" s="437">
        <f t="shared" si="20"/>
        <v>1059.6666666666667</v>
      </c>
      <c r="Z42" s="437">
        <f t="shared" si="29"/>
        <v>1609.2</v>
      </c>
      <c r="AA42" s="437">
        <f t="shared" si="30"/>
        <v>1981.8</v>
      </c>
      <c r="AB42" s="438">
        <f t="shared" si="21"/>
        <v>1569.0289855072465</v>
      </c>
      <c r="AC42" s="439">
        <f t="shared" si="31"/>
        <v>2572.8000000000002</v>
      </c>
      <c r="AD42" s="437">
        <f t="shared" si="32"/>
        <v>3074.4</v>
      </c>
      <c r="AE42" s="437">
        <f t="shared" si="33"/>
        <v>1641.1666666666667</v>
      </c>
      <c r="AF42" s="437">
        <f t="shared" si="34"/>
        <v>2071.1999999999998</v>
      </c>
      <c r="AG42" s="437">
        <f t="shared" si="22"/>
        <v>1788.6</v>
      </c>
      <c r="AH42" s="437">
        <f t="shared" si="35"/>
        <v>968.66666666666663</v>
      </c>
      <c r="AI42" s="437">
        <f t="shared" si="23"/>
        <v>856.4</v>
      </c>
      <c r="AJ42" s="437">
        <f t="shared" si="36"/>
        <v>1294.2</v>
      </c>
      <c r="AK42" s="437">
        <f t="shared" si="37"/>
        <v>1112.3333333333333</v>
      </c>
      <c r="AL42" s="437">
        <f t="shared" si="24"/>
        <v>1086.8333333333333</v>
      </c>
      <c r="AM42" s="437">
        <f t="shared" si="38"/>
        <v>1532.4</v>
      </c>
      <c r="AN42" s="437">
        <f t="shared" si="39"/>
        <v>1672.4</v>
      </c>
      <c r="AO42" s="438">
        <f t="shared" si="25"/>
        <v>1611.96875</v>
      </c>
      <c r="AQ42" s="428">
        <v>2732.8</v>
      </c>
      <c r="AR42" s="429">
        <v>1988</v>
      </c>
      <c r="AS42" s="429">
        <v>2128</v>
      </c>
      <c r="AT42" s="429">
        <v>1559</v>
      </c>
      <c r="AU42" s="429">
        <v>1204.4000000000001</v>
      </c>
      <c r="AV42" s="429">
        <v>719.16666666666663</v>
      </c>
      <c r="AW42" s="429">
        <v>1013.8333333333334</v>
      </c>
      <c r="AX42" s="429">
        <v>921.85714285714289</v>
      </c>
      <c r="AY42" s="429">
        <v>925.85714285714289</v>
      </c>
      <c r="AZ42" s="429">
        <v>1083.3333333333333</v>
      </c>
      <c r="BA42" s="429">
        <v>1383.5</v>
      </c>
      <c r="BB42" s="429">
        <v>1946.8</v>
      </c>
      <c r="BC42" s="431">
        <v>1344.0625</v>
      </c>
      <c r="BD42" s="428">
        <v>2469.8000000000002</v>
      </c>
      <c r="BE42" s="429">
        <v>2969.2</v>
      </c>
      <c r="BF42" s="429">
        <v>3586.6</v>
      </c>
      <c r="BG42" s="429">
        <v>517.66666666666663</v>
      </c>
      <c r="BH42" s="429">
        <v>1549.2</v>
      </c>
      <c r="BI42" s="429">
        <v>1405.6666666666667</v>
      </c>
      <c r="BJ42" s="429">
        <v>876.28571428571433</v>
      </c>
      <c r="BK42" s="429">
        <v>934</v>
      </c>
      <c r="BL42" s="429">
        <v>980.57142857142856</v>
      </c>
      <c r="BM42" s="429">
        <v>1059.6666666666667</v>
      </c>
      <c r="BN42" s="429">
        <v>1609.2</v>
      </c>
      <c r="BO42" s="429">
        <v>1981.8</v>
      </c>
      <c r="BP42" s="431">
        <v>1569.0289855072465</v>
      </c>
      <c r="BQ42" s="428">
        <v>2572.8000000000002</v>
      </c>
      <c r="BR42" s="429">
        <v>3074.4</v>
      </c>
      <c r="BS42" s="429">
        <v>1641.1666666666667</v>
      </c>
      <c r="BT42" s="429">
        <v>2071.1999999999998</v>
      </c>
      <c r="BU42" s="429">
        <v>1788.6</v>
      </c>
      <c r="BV42" s="429">
        <v>968.66666666666663</v>
      </c>
      <c r="BW42" s="429">
        <v>856.4</v>
      </c>
      <c r="BX42" s="429">
        <v>1294.2</v>
      </c>
      <c r="BY42" s="429">
        <v>1112.3333333333333</v>
      </c>
      <c r="BZ42" s="429">
        <v>1086.8333333333333</v>
      </c>
      <c r="CA42" s="429">
        <v>1532.4</v>
      </c>
      <c r="CB42" s="429">
        <v>1672.4</v>
      </c>
      <c r="CC42" s="431">
        <v>1611.96875</v>
      </c>
    </row>
    <row r="43" spans="1:81">
      <c r="A43" s="420" t="s">
        <v>186</v>
      </c>
      <c r="B43" s="420" t="s">
        <v>178</v>
      </c>
      <c r="C43" s="436">
        <f t="shared" si="1"/>
        <v>0</v>
      </c>
      <c r="D43" s="437">
        <f t="shared" si="2"/>
        <v>0</v>
      </c>
      <c r="E43" s="437">
        <f t="shared" si="3"/>
        <v>0</v>
      </c>
      <c r="F43" s="437">
        <f t="shared" si="4"/>
        <v>0</v>
      </c>
      <c r="G43" s="437">
        <f t="shared" si="26"/>
        <v>0</v>
      </c>
      <c r="H43" s="437">
        <f t="shared" si="5"/>
        <v>0</v>
      </c>
      <c r="I43" s="437">
        <f t="shared" si="6"/>
        <v>0</v>
      </c>
      <c r="J43" s="437">
        <f t="shared" si="7"/>
        <v>0</v>
      </c>
      <c r="K43" s="437">
        <f t="shared" si="8"/>
        <v>0</v>
      </c>
      <c r="L43" s="437">
        <f t="shared" si="9"/>
        <v>0</v>
      </c>
      <c r="M43" s="437">
        <f t="shared" si="10"/>
        <v>0</v>
      </c>
      <c r="N43" s="437">
        <f t="shared" si="11"/>
        <v>0</v>
      </c>
      <c r="O43" s="438">
        <f t="shared" si="12"/>
        <v>0</v>
      </c>
      <c r="P43" s="439">
        <f t="shared" si="13"/>
        <v>0</v>
      </c>
      <c r="Q43" s="437">
        <f t="shared" si="14"/>
        <v>0</v>
      </c>
      <c r="R43" s="437">
        <f t="shared" si="15"/>
        <v>0</v>
      </c>
      <c r="S43" s="437">
        <f t="shared" si="16"/>
        <v>0</v>
      </c>
      <c r="T43" s="437">
        <f t="shared" si="17"/>
        <v>0</v>
      </c>
      <c r="U43" s="437">
        <f t="shared" si="18"/>
        <v>0</v>
      </c>
      <c r="V43" s="437">
        <f t="shared" si="19"/>
        <v>0</v>
      </c>
      <c r="W43" s="437">
        <f t="shared" si="27"/>
        <v>0</v>
      </c>
      <c r="X43" s="437">
        <f t="shared" si="28"/>
        <v>0</v>
      </c>
      <c r="Y43" s="437">
        <f t="shared" si="20"/>
        <v>0</v>
      </c>
      <c r="Z43" s="437">
        <f t="shared" si="29"/>
        <v>0</v>
      </c>
      <c r="AA43" s="437">
        <f t="shared" si="30"/>
        <v>0</v>
      </c>
      <c r="AB43" s="438">
        <f t="shared" si="21"/>
        <v>0</v>
      </c>
      <c r="AC43" s="439">
        <f t="shared" si="31"/>
        <v>0</v>
      </c>
      <c r="AD43" s="437">
        <f t="shared" si="32"/>
        <v>0</v>
      </c>
      <c r="AE43" s="437">
        <f t="shared" si="33"/>
        <v>0</v>
      </c>
      <c r="AF43" s="437">
        <f t="shared" si="34"/>
        <v>0</v>
      </c>
      <c r="AG43" s="437">
        <f t="shared" si="22"/>
        <v>0</v>
      </c>
      <c r="AH43" s="437">
        <f t="shared" si="35"/>
        <v>0</v>
      </c>
      <c r="AI43" s="437">
        <f t="shared" si="23"/>
        <v>0</v>
      </c>
      <c r="AJ43" s="437">
        <f t="shared" si="36"/>
        <v>0</v>
      </c>
      <c r="AK43" s="437">
        <f t="shared" si="37"/>
        <v>0</v>
      </c>
      <c r="AL43" s="437">
        <f t="shared" si="24"/>
        <v>0</v>
      </c>
      <c r="AM43" s="437">
        <f t="shared" si="38"/>
        <v>0</v>
      </c>
      <c r="AN43" s="437">
        <f t="shared" si="39"/>
        <v>0</v>
      </c>
      <c r="AO43" s="438">
        <f t="shared" si="25"/>
        <v>0</v>
      </c>
      <c r="AQ43" s="428">
        <v>0</v>
      </c>
      <c r="AR43" s="429">
        <v>0</v>
      </c>
      <c r="AS43" s="429">
        <v>0</v>
      </c>
      <c r="AT43" s="429">
        <v>0</v>
      </c>
      <c r="AU43" s="429">
        <v>0</v>
      </c>
      <c r="AV43" s="429">
        <v>0</v>
      </c>
      <c r="AW43" s="429">
        <v>0</v>
      </c>
      <c r="AX43" s="429">
        <v>0</v>
      </c>
      <c r="AY43" s="429">
        <v>0</v>
      </c>
      <c r="AZ43" s="429">
        <v>0</v>
      </c>
      <c r="BA43" s="429">
        <v>0</v>
      </c>
      <c r="BB43" s="429">
        <v>0</v>
      </c>
      <c r="BC43" s="431">
        <v>0</v>
      </c>
      <c r="BD43" s="428">
        <v>0</v>
      </c>
      <c r="BE43" s="429">
        <v>0</v>
      </c>
      <c r="BF43" s="429">
        <v>0</v>
      </c>
      <c r="BG43" s="429">
        <v>0</v>
      </c>
      <c r="BH43" s="429">
        <v>0</v>
      </c>
      <c r="BI43" s="429">
        <v>0</v>
      </c>
      <c r="BJ43" s="429">
        <v>0</v>
      </c>
      <c r="BK43" s="429">
        <v>0</v>
      </c>
      <c r="BL43" s="429">
        <v>0</v>
      </c>
      <c r="BM43" s="429">
        <v>0</v>
      </c>
      <c r="BN43" s="429">
        <v>0</v>
      </c>
      <c r="BO43" s="429">
        <v>0</v>
      </c>
      <c r="BP43" s="431">
        <v>0</v>
      </c>
      <c r="BQ43" s="428">
        <v>0</v>
      </c>
      <c r="BR43" s="429">
        <v>0</v>
      </c>
      <c r="BS43" s="429">
        <v>0</v>
      </c>
      <c r="BT43" s="429">
        <v>0</v>
      </c>
      <c r="BU43" s="429">
        <v>0</v>
      </c>
      <c r="BV43" s="429">
        <v>0</v>
      </c>
      <c r="BW43" s="429">
        <v>0</v>
      </c>
      <c r="BX43" s="429">
        <v>0</v>
      </c>
      <c r="BY43" s="429">
        <v>0</v>
      </c>
      <c r="BZ43" s="429">
        <v>0</v>
      </c>
      <c r="CA43" s="429">
        <v>0</v>
      </c>
      <c r="CB43" s="429">
        <v>0</v>
      </c>
      <c r="CC43" s="431">
        <v>0</v>
      </c>
    </row>
    <row r="44" spans="1:81">
      <c r="A44" s="420" t="s">
        <v>186</v>
      </c>
      <c r="B44" s="420" t="s">
        <v>179</v>
      </c>
      <c r="C44" s="436">
        <f t="shared" si="1"/>
        <v>0</v>
      </c>
      <c r="D44" s="437">
        <f t="shared" si="2"/>
        <v>0</v>
      </c>
      <c r="E44" s="437">
        <f t="shared" si="3"/>
        <v>0</v>
      </c>
      <c r="F44" s="437">
        <f t="shared" si="4"/>
        <v>0</v>
      </c>
      <c r="G44" s="437">
        <f t="shared" si="26"/>
        <v>0</v>
      </c>
      <c r="H44" s="437">
        <f t="shared" si="5"/>
        <v>0</v>
      </c>
      <c r="I44" s="437">
        <f t="shared" si="6"/>
        <v>0</v>
      </c>
      <c r="J44" s="437">
        <f t="shared" si="7"/>
        <v>0</v>
      </c>
      <c r="K44" s="437">
        <f t="shared" si="8"/>
        <v>0</v>
      </c>
      <c r="L44" s="437">
        <f t="shared" si="9"/>
        <v>0</v>
      </c>
      <c r="M44" s="437">
        <f t="shared" si="10"/>
        <v>0</v>
      </c>
      <c r="N44" s="437">
        <f t="shared" si="11"/>
        <v>0</v>
      </c>
      <c r="O44" s="438">
        <f t="shared" si="12"/>
        <v>0</v>
      </c>
      <c r="P44" s="439">
        <f t="shared" si="13"/>
        <v>0</v>
      </c>
      <c r="Q44" s="437">
        <f t="shared" si="14"/>
        <v>0</v>
      </c>
      <c r="R44" s="437">
        <f t="shared" si="15"/>
        <v>0</v>
      </c>
      <c r="S44" s="437">
        <f t="shared" si="16"/>
        <v>0</v>
      </c>
      <c r="T44" s="437">
        <f t="shared" si="17"/>
        <v>0</v>
      </c>
      <c r="U44" s="437">
        <f t="shared" si="18"/>
        <v>0</v>
      </c>
      <c r="V44" s="437">
        <f t="shared" si="19"/>
        <v>0</v>
      </c>
      <c r="W44" s="437">
        <f t="shared" si="27"/>
        <v>0</v>
      </c>
      <c r="X44" s="437">
        <f t="shared" si="28"/>
        <v>0</v>
      </c>
      <c r="Y44" s="437">
        <f t="shared" si="20"/>
        <v>0</v>
      </c>
      <c r="Z44" s="437">
        <f t="shared" si="29"/>
        <v>0</v>
      </c>
      <c r="AA44" s="437">
        <f t="shared" si="30"/>
        <v>0</v>
      </c>
      <c r="AB44" s="438">
        <f t="shared" si="21"/>
        <v>0</v>
      </c>
      <c r="AC44" s="439">
        <f t="shared" si="31"/>
        <v>0</v>
      </c>
      <c r="AD44" s="437">
        <f t="shared" si="32"/>
        <v>0</v>
      </c>
      <c r="AE44" s="437">
        <f t="shared" si="33"/>
        <v>0</v>
      </c>
      <c r="AF44" s="437">
        <f t="shared" si="34"/>
        <v>0</v>
      </c>
      <c r="AG44" s="437">
        <f t="shared" si="22"/>
        <v>0</v>
      </c>
      <c r="AH44" s="437">
        <f t="shared" si="35"/>
        <v>0</v>
      </c>
      <c r="AI44" s="437">
        <f t="shared" si="23"/>
        <v>0</v>
      </c>
      <c r="AJ44" s="437">
        <f t="shared" si="36"/>
        <v>0</v>
      </c>
      <c r="AK44" s="437">
        <f t="shared" si="37"/>
        <v>0</v>
      </c>
      <c r="AL44" s="437">
        <f t="shared" si="24"/>
        <v>0</v>
      </c>
      <c r="AM44" s="437">
        <f t="shared" si="38"/>
        <v>0</v>
      </c>
      <c r="AN44" s="437">
        <f t="shared" si="39"/>
        <v>0</v>
      </c>
      <c r="AO44" s="438">
        <f t="shared" si="25"/>
        <v>0</v>
      </c>
      <c r="AQ44" s="428">
        <v>0</v>
      </c>
      <c r="AR44" s="429">
        <v>0</v>
      </c>
      <c r="AS44" s="429">
        <v>0</v>
      </c>
      <c r="AT44" s="429">
        <v>0</v>
      </c>
      <c r="AU44" s="429">
        <v>0</v>
      </c>
      <c r="AV44" s="429">
        <v>0</v>
      </c>
      <c r="AW44" s="429">
        <v>0</v>
      </c>
      <c r="AX44" s="429">
        <v>0</v>
      </c>
      <c r="AY44" s="429">
        <v>0</v>
      </c>
      <c r="AZ44" s="429">
        <v>0</v>
      </c>
      <c r="BA44" s="429">
        <v>0</v>
      </c>
      <c r="BB44" s="429">
        <v>0</v>
      </c>
      <c r="BC44" s="431">
        <v>0</v>
      </c>
      <c r="BD44" s="428">
        <v>0</v>
      </c>
      <c r="BE44" s="429">
        <v>0</v>
      </c>
      <c r="BF44" s="429">
        <v>0</v>
      </c>
      <c r="BG44" s="429">
        <v>0</v>
      </c>
      <c r="BH44" s="429">
        <v>0</v>
      </c>
      <c r="BI44" s="429">
        <v>0</v>
      </c>
      <c r="BJ44" s="429">
        <v>0</v>
      </c>
      <c r="BK44" s="429">
        <v>0</v>
      </c>
      <c r="BL44" s="429">
        <v>0</v>
      </c>
      <c r="BM44" s="429">
        <v>0</v>
      </c>
      <c r="BN44" s="429">
        <v>0</v>
      </c>
      <c r="BO44" s="429">
        <v>0</v>
      </c>
      <c r="BP44" s="431">
        <v>0</v>
      </c>
      <c r="BQ44" s="428">
        <v>0</v>
      </c>
      <c r="BR44" s="429">
        <v>0</v>
      </c>
      <c r="BS44" s="429">
        <v>0</v>
      </c>
      <c r="BT44" s="429">
        <v>0</v>
      </c>
      <c r="BU44" s="429">
        <v>0</v>
      </c>
      <c r="BV44" s="429">
        <v>0</v>
      </c>
      <c r="BW44" s="429">
        <v>0</v>
      </c>
      <c r="BX44" s="429">
        <v>0</v>
      </c>
      <c r="BY44" s="429">
        <v>0</v>
      </c>
      <c r="BZ44" s="429">
        <v>0</v>
      </c>
      <c r="CA44" s="429">
        <v>0</v>
      </c>
      <c r="CB44" s="429">
        <v>0</v>
      </c>
      <c r="CC44" s="431">
        <v>0</v>
      </c>
    </row>
    <row r="45" spans="1:81">
      <c r="A45" s="420" t="s">
        <v>186</v>
      </c>
      <c r="B45" s="420" t="s">
        <v>180</v>
      </c>
      <c r="C45" s="436">
        <f t="shared" si="1"/>
        <v>0</v>
      </c>
      <c r="D45" s="437">
        <f t="shared" si="2"/>
        <v>0</v>
      </c>
      <c r="E45" s="437">
        <f t="shared" si="3"/>
        <v>0</v>
      </c>
      <c r="F45" s="437">
        <f t="shared" si="4"/>
        <v>0</v>
      </c>
      <c r="G45" s="437">
        <f t="shared" si="26"/>
        <v>0</v>
      </c>
      <c r="H45" s="437">
        <f t="shared" si="5"/>
        <v>0</v>
      </c>
      <c r="I45" s="437">
        <f t="shared" si="6"/>
        <v>0</v>
      </c>
      <c r="J45" s="437">
        <f t="shared" si="7"/>
        <v>0</v>
      </c>
      <c r="K45" s="437">
        <f t="shared" si="8"/>
        <v>0</v>
      </c>
      <c r="L45" s="437">
        <f t="shared" si="9"/>
        <v>0</v>
      </c>
      <c r="M45" s="437">
        <f t="shared" si="10"/>
        <v>0</v>
      </c>
      <c r="N45" s="437">
        <f t="shared" si="11"/>
        <v>0</v>
      </c>
      <c r="O45" s="438">
        <f t="shared" si="12"/>
        <v>0</v>
      </c>
      <c r="P45" s="439">
        <f t="shared" si="13"/>
        <v>0</v>
      </c>
      <c r="Q45" s="437">
        <f t="shared" si="14"/>
        <v>0</v>
      </c>
      <c r="R45" s="437">
        <f t="shared" si="15"/>
        <v>0</v>
      </c>
      <c r="S45" s="437">
        <f t="shared" si="16"/>
        <v>0</v>
      </c>
      <c r="T45" s="437">
        <f t="shared" si="17"/>
        <v>0</v>
      </c>
      <c r="U45" s="437">
        <f t="shared" si="18"/>
        <v>0</v>
      </c>
      <c r="V45" s="437">
        <f t="shared" si="19"/>
        <v>0</v>
      </c>
      <c r="W45" s="437">
        <f t="shared" si="27"/>
        <v>0</v>
      </c>
      <c r="X45" s="437">
        <f t="shared" si="28"/>
        <v>0</v>
      </c>
      <c r="Y45" s="437">
        <f t="shared" si="20"/>
        <v>0</v>
      </c>
      <c r="Z45" s="437">
        <f t="shared" si="29"/>
        <v>0</v>
      </c>
      <c r="AA45" s="437">
        <f t="shared" si="30"/>
        <v>0</v>
      </c>
      <c r="AB45" s="438">
        <f t="shared" si="21"/>
        <v>0</v>
      </c>
      <c r="AC45" s="439">
        <f t="shared" si="31"/>
        <v>0</v>
      </c>
      <c r="AD45" s="437">
        <f t="shared" si="32"/>
        <v>0</v>
      </c>
      <c r="AE45" s="437">
        <f t="shared" si="33"/>
        <v>0</v>
      </c>
      <c r="AF45" s="437">
        <f t="shared" si="34"/>
        <v>0</v>
      </c>
      <c r="AG45" s="437">
        <f t="shared" si="22"/>
        <v>0</v>
      </c>
      <c r="AH45" s="437">
        <f t="shared" si="35"/>
        <v>0</v>
      </c>
      <c r="AI45" s="437">
        <f t="shared" si="23"/>
        <v>0</v>
      </c>
      <c r="AJ45" s="437">
        <f t="shared" si="36"/>
        <v>0</v>
      </c>
      <c r="AK45" s="437">
        <f t="shared" si="37"/>
        <v>0</v>
      </c>
      <c r="AL45" s="437">
        <f t="shared" si="24"/>
        <v>0</v>
      </c>
      <c r="AM45" s="437">
        <f t="shared" si="38"/>
        <v>0</v>
      </c>
      <c r="AN45" s="437">
        <f t="shared" si="39"/>
        <v>0</v>
      </c>
      <c r="AO45" s="438">
        <f t="shared" si="25"/>
        <v>0</v>
      </c>
      <c r="AQ45" s="428">
        <v>0</v>
      </c>
      <c r="AR45" s="429">
        <v>0</v>
      </c>
      <c r="AS45" s="429">
        <v>0</v>
      </c>
      <c r="AT45" s="429">
        <v>0</v>
      </c>
      <c r="AU45" s="429">
        <v>0</v>
      </c>
      <c r="AV45" s="429">
        <v>0</v>
      </c>
      <c r="AW45" s="429">
        <v>0</v>
      </c>
      <c r="AX45" s="429">
        <v>0</v>
      </c>
      <c r="AY45" s="429">
        <v>0</v>
      </c>
      <c r="AZ45" s="429">
        <v>0</v>
      </c>
      <c r="BA45" s="429">
        <v>0</v>
      </c>
      <c r="BB45" s="429">
        <v>0</v>
      </c>
      <c r="BC45" s="431">
        <v>0</v>
      </c>
      <c r="BD45" s="428">
        <v>0</v>
      </c>
      <c r="BE45" s="429">
        <v>0</v>
      </c>
      <c r="BF45" s="429">
        <v>0</v>
      </c>
      <c r="BG45" s="429">
        <v>0</v>
      </c>
      <c r="BH45" s="429">
        <v>0</v>
      </c>
      <c r="BI45" s="429">
        <v>0</v>
      </c>
      <c r="BJ45" s="429">
        <v>0</v>
      </c>
      <c r="BK45" s="429">
        <v>0</v>
      </c>
      <c r="BL45" s="429">
        <v>0</v>
      </c>
      <c r="BM45" s="429">
        <v>0</v>
      </c>
      <c r="BN45" s="429">
        <v>0</v>
      </c>
      <c r="BO45" s="429">
        <v>0</v>
      </c>
      <c r="BP45" s="431">
        <v>0</v>
      </c>
      <c r="BQ45" s="428">
        <v>0</v>
      </c>
      <c r="BR45" s="429">
        <v>0</v>
      </c>
      <c r="BS45" s="429">
        <v>0</v>
      </c>
      <c r="BT45" s="429">
        <v>0</v>
      </c>
      <c r="BU45" s="429">
        <v>0</v>
      </c>
      <c r="BV45" s="429">
        <v>0</v>
      </c>
      <c r="BW45" s="429">
        <v>0</v>
      </c>
      <c r="BX45" s="429">
        <v>0</v>
      </c>
      <c r="BY45" s="429">
        <v>0</v>
      </c>
      <c r="BZ45" s="429">
        <v>0</v>
      </c>
      <c r="CA45" s="429">
        <v>0</v>
      </c>
      <c r="CB45" s="429">
        <v>0</v>
      </c>
      <c r="CC45" s="431">
        <v>0</v>
      </c>
    </row>
    <row r="46" spans="1:81">
      <c r="A46" s="420" t="s">
        <v>186</v>
      </c>
      <c r="B46" s="420" t="s">
        <v>181</v>
      </c>
      <c r="C46" s="436">
        <f t="shared" si="1"/>
        <v>0</v>
      </c>
      <c r="D46" s="437">
        <f t="shared" si="2"/>
        <v>0</v>
      </c>
      <c r="E46" s="437">
        <f t="shared" si="3"/>
        <v>0</v>
      </c>
      <c r="F46" s="437">
        <f t="shared" si="4"/>
        <v>0</v>
      </c>
      <c r="G46" s="437">
        <f t="shared" si="26"/>
        <v>0</v>
      </c>
      <c r="H46" s="437">
        <f t="shared" si="5"/>
        <v>0</v>
      </c>
      <c r="I46" s="437">
        <f t="shared" si="6"/>
        <v>0</v>
      </c>
      <c r="J46" s="437">
        <f t="shared" si="7"/>
        <v>0</v>
      </c>
      <c r="K46" s="437">
        <f t="shared" si="8"/>
        <v>0</v>
      </c>
      <c r="L46" s="437">
        <f t="shared" si="9"/>
        <v>0</v>
      </c>
      <c r="M46" s="437">
        <f t="shared" si="10"/>
        <v>0</v>
      </c>
      <c r="N46" s="437">
        <f t="shared" si="11"/>
        <v>0</v>
      </c>
      <c r="O46" s="438">
        <f t="shared" si="12"/>
        <v>0</v>
      </c>
      <c r="P46" s="439">
        <f t="shared" si="13"/>
        <v>0</v>
      </c>
      <c r="Q46" s="437">
        <f t="shared" si="14"/>
        <v>0</v>
      </c>
      <c r="R46" s="437">
        <f t="shared" si="15"/>
        <v>0</v>
      </c>
      <c r="S46" s="437">
        <f t="shared" si="16"/>
        <v>0</v>
      </c>
      <c r="T46" s="437">
        <f t="shared" si="17"/>
        <v>0</v>
      </c>
      <c r="U46" s="437">
        <f t="shared" si="18"/>
        <v>0</v>
      </c>
      <c r="V46" s="437">
        <f t="shared" si="19"/>
        <v>0</v>
      </c>
      <c r="W46" s="437">
        <f t="shared" si="27"/>
        <v>0</v>
      </c>
      <c r="X46" s="437">
        <f t="shared" si="28"/>
        <v>0</v>
      </c>
      <c r="Y46" s="437">
        <f t="shared" si="20"/>
        <v>0</v>
      </c>
      <c r="Z46" s="437">
        <f t="shared" si="29"/>
        <v>0</v>
      </c>
      <c r="AA46" s="437">
        <f t="shared" si="30"/>
        <v>0</v>
      </c>
      <c r="AB46" s="438">
        <f t="shared" si="21"/>
        <v>0</v>
      </c>
      <c r="AC46" s="439">
        <f t="shared" si="31"/>
        <v>0</v>
      </c>
      <c r="AD46" s="437">
        <f t="shared" si="32"/>
        <v>0</v>
      </c>
      <c r="AE46" s="437">
        <f t="shared" si="33"/>
        <v>0</v>
      </c>
      <c r="AF46" s="437">
        <f t="shared" si="34"/>
        <v>0</v>
      </c>
      <c r="AG46" s="437">
        <f t="shared" si="22"/>
        <v>0</v>
      </c>
      <c r="AH46" s="437">
        <f t="shared" si="35"/>
        <v>0</v>
      </c>
      <c r="AI46" s="437">
        <f t="shared" si="23"/>
        <v>0</v>
      </c>
      <c r="AJ46" s="437">
        <f t="shared" si="36"/>
        <v>0</v>
      </c>
      <c r="AK46" s="437">
        <f t="shared" si="37"/>
        <v>0</v>
      </c>
      <c r="AL46" s="437">
        <f t="shared" si="24"/>
        <v>0</v>
      </c>
      <c r="AM46" s="437">
        <f t="shared" si="38"/>
        <v>0</v>
      </c>
      <c r="AN46" s="437">
        <f t="shared" si="39"/>
        <v>0</v>
      </c>
      <c r="AO46" s="438">
        <f t="shared" si="25"/>
        <v>0</v>
      </c>
      <c r="AQ46" s="428">
        <v>0</v>
      </c>
      <c r="AR46" s="429">
        <v>0</v>
      </c>
      <c r="AS46" s="429">
        <v>0</v>
      </c>
      <c r="AT46" s="429">
        <v>0</v>
      </c>
      <c r="AU46" s="429">
        <v>0</v>
      </c>
      <c r="AV46" s="429">
        <v>0</v>
      </c>
      <c r="AW46" s="429">
        <v>0</v>
      </c>
      <c r="AX46" s="429">
        <v>0</v>
      </c>
      <c r="AY46" s="429">
        <v>0</v>
      </c>
      <c r="AZ46" s="429">
        <v>0</v>
      </c>
      <c r="BA46" s="429">
        <v>0</v>
      </c>
      <c r="BB46" s="429">
        <v>0</v>
      </c>
      <c r="BC46" s="431">
        <v>0</v>
      </c>
      <c r="BD46" s="428">
        <v>0</v>
      </c>
      <c r="BE46" s="429">
        <v>0</v>
      </c>
      <c r="BF46" s="429">
        <v>0</v>
      </c>
      <c r="BG46" s="429">
        <v>0</v>
      </c>
      <c r="BH46" s="429">
        <v>0</v>
      </c>
      <c r="BI46" s="429">
        <v>0</v>
      </c>
      <c r="BJ46" s="429">
        <v>0</v>
      </c>
      <c r="BK46" s="429">
        <v>0</v>
      </c>
      <c r="BL46" s="429">
        <v>0</v>
      </c>
      <c r="BM46" s="429">
        <v>0</v>
      </c>
      <c r="BN46" s="429">
        <v>0</v>
      </c>
      <c r="BO46" s="429">
        <v>0</v>
      </c>
      <c r="BP46" s="431">
        <v>0</v>
      </c>
      <c r="BQ46" s="428">
        <v>0</v>
      </c>
      <c r="BR46" s="429">
        <v>0</v>
      </c>
      <c r="BS46" s="429">
        <v>0</v>
      </c>
      <c r="BT46" s="429">
        <v>0</v>
      </c>
      <c r="BU46" s="429">
        <v>0</v>
      </c>
      <c r="BV46" s="429">
        <v>0</v>
      </c>
      <c r="BW46" s="429">
        <v>0</v>
      </c>
      <c r="BX46" s="429">
        <v>0</v>
      </c>
      <c r="BY46" s="429">
        <v>0</v>
      </c>
      <c r="BZ46" s="429">
        <v>0</v>
      </c>
      <c r="CA46" s="429">
        <v>0</v>
      </c>
      <c r="CB46" s="429">
        <v>0</v>
      </c>
      <c r="CC46" s="431">
        <v>0</v>
      </c>
    </row>
    <row r="47" spans="1:81">
      <c r="A47" s="420" t="s">
        <v>186</v>
      </c>
      <c r="B47" s="420" t="s">
        <v>182</v>
      </c>
      <c r="C47" s="436">
        <f t="shared" si="1"/>
        <v>0</v>
      </c>
      <c r="D47" s="437">
        <f t="shared" si="2"/>
        <v>0</v>
      </c>
      <c r="E47" s="437">
        <f t="shared" si="3"/>
        <v>0</v>
      </c>
      <c r="F47" s="437">
        <f t="shared" si="4"/>
        <v>0</v>
      </c>
      <c r="G47" s="437">
        <f t="shared" si="26"/>
        <v>0</v>
      </c>
      <c r="H47" s="437">
        <f t="shared" si="5"/>
        <v>0</v>
      </c>
      <c r="I47" s="437">
        <f t="shared" si="6"/>
        <v>0</v>
      </c>
      <c r="J47" s="437">
        <f t="shared" si="7"/>
        <v>0</v>
      </c>
      <c r="K47" s="437">
        <f t="shared" si="8"/>
        <v>0</v>
      </c>
      <c r="L47" s="437">
        <f t="shared" si="9"/>
        <v>0</v>
      </c>
      <c r="M47" s="437">
        <f t="shared" si="10"/>
        <v>0</v>
      </c>
      <c r="N47" s="437">
        <f t="shared" si="11"/>
        <v>0</v>
      </c>
      <c r="O47" s="438">
        <f t="shared" si="12"/>
        <v>0</v>
      </c>
      <c r="P47" s="439">
        <f t="shared" si="13"/>
        <v>0</v>
      </c>
      <c r="Q47" s="437">
        <f t="shared" si="14"/>
        <v>0</v>
      </c>
      <c r="R47" s="437">
        <f t="shared" si="15"/>
        <v>0</v>
      </c>
      <c r="S47" s="437">
        <f t="shared" si="16"/>
        <v>0</v>
      </c>
      <c r="T47" s="437">
        <f t="shared" si="17"/>
        <v>0</v>
      </c>
      <c r="U47" s="437">
        <f t="shared" si="18"/>
        <v>0</v>
      </c>
      <c r="V47" s="437">
        <f t="shared" si="19"/>
        <v>0</v>
      </c>
      <c r="W47" s="437">
        <f t="shared" si="27"/>
        <v>0</v>
      </c>
      <c r="X47" s="437">
        <f t="shared" si="28"/>
        <v>0</v>
      </c>
      <c r="Y47" s="437">
        <f t="shared" si="20"/>
        <v>0</v>
      </c>
      <c r="Z47" s="437">
        <f t="shared" si="29"/>
        <v>0</v>
      </c>
      <c r="AA47" s="437">
        <f t="shared" si="30"/>
        <v>0</v>
      </c>
      <c r="AB47" s="438">
        <f t="shared" si="21"/>
        <v>0</v>
      </c>
      <c r="AC47" s="439">
        <f t="shared" si="31"/>
        <v>0</v>
      </c>
      <c r="AD47" s="437">
        <f t="shared" si="32"/>
        <v>0</v>
      </c>
      <c r="AE47" s="437">
        <f t="shared" si="33"/>
        <v>0</v>
      </c>
      <c r="AF47" s="437">
        <f t="shared" si="34"/>
        <v>0</v>
      </c>
      <c r="AG47" s="437">
        <f t="shared" si="22"/>
        <v>0</v>
      </c>
      <c r="AH47" s="437">
        <f t="shared" si="35"/>
        <v>0</v>
      </c>
      <c r="AI47" s="437">
        <f t="shared" si="23"/>
        <v>0</v>
      </c>
      <c r="AJ47" s="437">
        <f t="shared" si="36"/>
        <v>0</v>
      </c>
      <c r="AK47" s="437">
        <f t="shared" si="37"/>
        <v>0</v>
      </c>
      <c r="AL47" s="437">
        <f t="shared" si="24"/>
        <v>0</v>
      </c>
      <c r="AM47" s="437">
        <f t="shared" si="38"/>
        <v>0</v>
      </c>
      <c r="AN47" s="437">
        <f t="shared" si="39"/>
        <v>0</v>
      </c>
      <c r="AO47" s="438">
        <f t="shared" si="25"/>
        <v>0</v>
      </c>
      <c r="AQ47" s="428">
        <v>0</v>
      </c>
      <c r="AR47" s="429">
        <v>0</v>
      </c>
      <c r="AS47" s="429">
        <v>0</v>
      </c>
      <c r="AT47" s="429">
        <v>0</v>
      </c>
      <c r="AU47" s="429">
        <v>0</v>
      </c>
      <c r="AV47" s="429">
        <v>0</v>
      </c>
      <c r="AW47" s="429">
        <v>0</v>
      </c>
      <c r="AX47" s="429">
        <v>0</v>
      </c>
      <c r="AY47" s="429">
        <v>0</v>
      </c>
      <c r="AZ47" s="429">
        <v>0</v>
      </c>
      <c r="BA47" s="429">
        <v>0</v>
      </c>
      <c r="BB47" s="429">
        <v>0</v>
      </c>
      <c r="BC47" s="431">
        <v>0</v>
      </c>
      <c r="BD47" s="428">
        <v>0</v>
      </c>
      <c r="BE47" s="429">
        <v>0</v>
      </c>
      <c r="BF47" s="429">
        <v>0</v>
      </c>
      <c r="BG47" s="429">
        <v>0</v>
      </c>
      <c r="BH47" s="429">
        <v>0</v>
      </c>
      <c r="BI47" s="429">
        <v>0</v>
      </c>
      <c r="BJ47" s="429">
        <v>0</v>
      </c>
      <c r="BK47" s="429">
        <v>0</v>
      </c>
      <c r="BL47" s="429">
        <v>0</v>
      </c>
      <c r="BM47" s="429">
        <v>0</v>
      </c>
      <c r="BN47" s="429">
        <v>0</v>
      </c>
      <c r="BO47" s="429">
        <v>0</v>
      </c>
      <c r="BP47" s="431">
        <v>0</v>
      </c>
      <c r="BQ47" s="428">
        <v>0</v>
      </c>
      <c r="BR47" s="429">
        <v>0</v>
      </c>
      <c r="BS47" s="429">
        <v>0</v>
      </c>
      <c r="BT47" s="429">
        <v>0</v>
      </c>
      <c r="BU47" s="429">
        <v>0</v>
      </c>
      <c r="BV47" s="429">
        <v>0</v>
      </c>
      <c r="BW47" s="429">
        <v>0</v>
      </c>
      <c r="BX47" s="429">
        <v>0</v>
      </c>
      <c r="BY47" s="429">
        <v>0</v>
      </c>
      <c r="BZ47" s="429">
        <v>0</v>
      </c>
      <c r="CA47" s="429">
        <v>0</v>
      </c>
      <c r="CB47" s="429">
        <v>0</v>
      </c>
      <c r="CC47" s="431">
        <v>0</v>
      </c>
    </row>
    <row r="48" spans="1:81">
      <c r="A48" s="420" t="s">
        <v>186</v>
      </c>
      <c r="B48" s="420" t="s">
        <v>183</v>
      </c>
      <c r="C48" s="436">
        <f t="shared" si="1"/>
        <v>0</v>
      </c>
      <c r="D48" s="437">
        <f t="shared" si="2"/>
        <v>0</v>
      </c>
      <c r="E48" s="437">
        <f t="shared" si="3"/>
        <v>0</v>
      </c>
      <c r="F48" s="437">
        <f t="shared" si="4"/>
        <v>0</v>
      </c>
      <c r="G48" s="437">
        <f t="shared" si="26"/>
        <v>0</v>
      </c>
      <c r="H48" s="437">
        <f t="shared" si="5"/>
        <v>0</v>
      </c>
      <c r="I48" s="437">
        <f t="shared" si="6"/>
        <v>0</v>
      </c>
      <c r="J48" s="437">
        <f t="shared" si="7"/>
        <v>0</v>
      </c>
      <c r="K48" s="437">
        <f t="shared" si="8"/>
        <v>0</v>
      </c>
      <c r="L48" s="437">
        <f t="shared" si="9"/>
        <v>0</v>
      </c>
      <c r="M48" s="437">
        <f t="shared" si="10"/>
        <v>0</v>
      </c>
      <c r="N48" s="437">
        <f t="shared" si="11"/>
        <v>0</v>
      </c>
      <c r="O48" s="438">
        <f t="shared" si="12"/>
        <v>0</v>
      </c>
      <c r="P48" s="439">
        <f t="shared" si="13"/>
        <v>0</v>
      </c>
      <c r="Q48" s="437">
        <f t="shared" si="14"/>
        <v>0</v>
      </c>
      <c r="R48" s="437">
        <f t="shared" si="15"/>
        <v>0</v>
      </c>
      <c r="S48" s="437">
        <f t="shared" si="16"/>
        <v>0</v>
      </c>
      <c r="T48" s="437">
        <f t="shared" si="17"/>
        <v>0</v>
      </c>
      <c r="U48" s="437">
        <f t="shared" si="18"/>
        <v>0</v>
      </c>
      <c r="V48" s="437">
        <f t="shared" si="19"/>
        <v>0</v>
      </c>
      <c r="W48" s="437">
        <f t="shared" si="27"/>
        <v>0</v>
      </c>
      <c r="X48" s="437">
        <f t="shared" si="28"/>
        <v>0</v>
      </c>
      <c r="Y48" s="437">
        <f t="shared" si="20"/>
        <v>0</v>
      </c>
      <c r="Z48" s="437">
        <f t="shared" si="29"/>
        <v>0</v>
      </c>
      <c r="AA48" s="437">
        <f t="shared" si="30"/>
        <v>0</v>
      </c>
      <c r="AB48" s="438">
        <f t="shared" si="21"/>
        <v>0</v>
      </c>
      <c r="AC48" s="439">
        <f t="shared" si="31"/>
        <v>0</v>
      </c>
      <c r="AD48" s="437">
        <f t="shared" si="32"/>
        <v>0</v>
      </c>
      <c r="AE48" s="437">
        <f t="shared" si="33"/>
        <v>0</v>
      </c>
      <c r="AF48" s="437">
        <f t="shared" si="34"/>
        <v>0</v>
      </c>
      <c r="AG48" s="437">
        <f t="shared" si="22"/>
        <v>0</v>
      </c>
      <c r="AH48" s="437">
        <f t="shared" si="35"/>
        <v>0</v>
      </c>
      <c r="AI48" s="437">
        <f t="shared" si="23"/>
        <v>0</v>
      </c>
      <c r="AJ48" s="437">
        <f t="shared" si="36"/>
        <v>0</v>
      </c>
      <c r="AK48" s="437">
        <f t="shared" si="37"/>
        <v>0</v>
      </c>
      <c r="AL48" s="437">
        <f t="shared" si="24"/>
        <v>0</v>
      </c>
      <c r="AM48" s="437">
        <f t="shared" si="38"/>
        <v>0</v>
      </c>
      <c r="AN48" s="437">
        <f t="shared" si="39"/>
        <v>0</v>
      </c>
      <c r="AO48" s="438">
        <f t="shared" si="25"/>
        <v>0</v>
      </c>
      <c r="AQ48" s="428">
        <v>0</v>
      </c>
      <c r="AR48" s="429">
        <v>0</v>
      </c>
      <c r="AS48" s="429">
        <v>0</v>
      </c>
      <c r="AT48" s="429">
        <v>0</v>
      </c>
      <c r="AU48" s="429">
        <v>0</v>
      </c>
      <c r="AV48" s="429">
        <v>0</v>
      </c>
      <c r="AW48" s="429">
        <v>0</v>
      </c>
      <c r="AX48" s="429">
        <v>0</v>
      </c>
      <c r="AY48" s="429">
        <v>0</v>
      </c>
      <c r="AZ48" s="429">
        <v>0</v>
      </c>
      <c r="BA48" s="429">
        <v>0</v>
      </c>
      <c r="BB48" s="429">
        <v>0</v>
      </c>
      <c r="BC48" s="431">
        <v>0</v>
      </c>
      <c r="BD48" s="428">
        <v>0</v>
      </c>
      <c r="BE48" s="429">
        <v>0</v>
      </c>
      <c r="BF48" s="429">
        <v>0</v>
      </c>
      <c r="BG48" s="429">
        <v>0</v>
      </c>
      <c r="BH48" s="429">
        <v>0</v>
      </c>
      <c r="BI48" s="429">
        <v>0</v>
      </c>
      <c r="BJ48" s="429">
        <v>0</v>
      </c>
      <c r="BK48" s="429">
        <v>0</v>
      </c>
      <c r="BL48" s="429">
        <v>0</v>
      </c>
      <c r="BM48" s="429">
        <v>0</v>
      </c>
      <c r="BN48" s="429">
        <v>0</v>
      </c>
      <c r="BO48" s="429">
        <v>0</v>
      </c>
      <c r="BP48" s="431">
        <v>0</v>
      </c>
      <c r="BQ48" s="428">
        <v>0</v>
      </c>
      <c r="BR48" s="429">
        <v>0</v>
      </c>
      <c r="BS48" s="429">
        <v>0</v>
      </c>
      <c r="BT48" s="429">
        <v>0</v>
      </c>
      <c r="BU48" s="429">
        <v>0</v>
      </c>
      <c r="BV48" s="429">
        <v>0</v>
      </c>
      <c r="BW48" s="429">
        <v>0</v>
      </c>
      <c r="BX48" s="429">
        <v>0</v>
      </c>
      <c r="BY48" s="429">
        <v>0</v>
      </c>
      <c r="BZ48" s="429">
        <v>0</v>
      </c>
      <c r="CA48" s="429">
        <v>0</v>
      </c>
      <c r="CB48" s="429">
        <v>0</v>
      </c>
      <c r="CC48" s="431">
        <v>0</v>
      </c>
    </row>
    <row r="49" spans="1:81">
      <c r="A49" s="445"/>
      <c r="B49" s="445"/>
      <c r="C49" s="446"/>
      <c r="D49" s="447"/>
      <c r="E49" s="447"/>
      <c r="F49" s="447"/>
      <c r="G49" s="447"/>
      <c r="H49" s="447"/>
      <c r="I49" s="447"/>
      <c r="J49" s="447"/>
      <c r="K49" s="447"/>
      <c r="L49" s="447"/>
      <c r="M49" s="447"/>
      <c r="N49" s="447"/>
      <c r="O49" s="448"/>
      <c r="P49" s="449"/>
      <c r="Q49" s="447"/>
      <c r="R49" s="447"/>
      <c r="S49" s="447"/>
      <c r="T49" s="447"/>
      <c r="U49" s="447"/>
      <c r="V49" s="447"/>
      <c r="W49" s="447"/>
      <c r="X49" s="447"/>
      <c r="Y49" s="447"/>
      <c r="Z49" s="447"/>
      <c r="AA49" s="447"/>
      <c r="AB49" s="448"/>
      <c r="AC49" s="449"/>
      <c r="AD49" s="447"/>
      <c r="AE49" s="447"/>
      <c r="AF49" s="447"/>
      <c r="AG49" s="447"/>
      <c r="AH49" s="447"/>
      <c r="AI49" s="447"/>
      <c r="AJ49" s="447"/>
      <c r="AK49" s="447"/>
      <c r="AL49" s="447"/>
      <c r="AM49" s="447"/>
      <c r="AN49" s="447"/>
      <c r="AO49" s="448"/>
      <c r="AQ49" s="450"/>
      <c r="AR49" s="451"/>
      <c r="AS49" s="451"/>
      <c r="AT49" s="451"/>
      <c r="AU49" s="451"/>
      <c r="AV49" s="451"/>
      <c r="AW49" s="451"/>
      <c r="AX49" s="451"/>
      <c r="AY49" s="451"/>
      <c r="AZ49" s="451"/>
      <c r="BA49" s="451"/>
      <c r="BB49" s="451"/>
      <c r="BC49" s="452"/>
      <c r="BD49" s="453"/>
      <c r="BE49" s="451"/>
      <c r="BF49" s="451"/>
      <c r="BG49" s="451"/>
      <c r="BH49" s="451"/>
      <c r="BI49" s="451"/>
      <c r="BJ49" s="451"/>
      <c r="BK49" s="451"/>
      <c r="BL49" s="451"/>
      <c r="BM49" s="451"/>
      <c r="BN49" s="451"/>
      <c r="BO49" s="451"/>
      <c r="BP49" s="452"/>
      <c r="BQ49" s="453"/>
      <c r="BR49" s="451"/>
      <c r="BS49" s="451"/>
      <c r="BT49" s="451"/>
      <c r="BU49" s="451"/>
      <c r="BV49" s="451"/>
      <c r="BW49" s="451"/>
      <c r="BX49" s="451"/>
      <c r="BY49" s="451"/>
      <c r="BZ49" s="451"/>
      <c r="CA49" s="451"/>
      <c r="CB49" s="451"/>
      <c r="CC49" s="452"/>
    </row>
    <row r="50" spans="1:81">
      <c r="B50" s="456" t="s">
        <v>187</v>
      </c>
      <c r="C50" s="436"/>
      <c r="D50" s="437"/>
      <c r="E50" s="437"/>
      <c r="F50" s="437"/>
      <c r="G50" s="437"/>
      <c r="H50" s="437"/>
      <c r="I50" s="437"/>
      <c r="J50" s="437"/>
      <c r="K50" s="437"/>
      <c r="L50" s="437"/>
      <c r="M50" s="437"/>
      <c r="N50" s="437"/>
      <c r="O50" s="438"/>
      <c r="P50" s="439"/>
      <c r="Q50" s="437"/>
      <c r="R50" s="437"/>
      <c r="S50" s="437"/>
      <c r="T50" s="437"/>
      <c r="U50" s="437"/>
      <c r="V50" s="437"/>
      <c r="W50" s="437"/>
      <c r="X50" s="437"/>
      <c r="Y50" s="437"/>
      <c r="Z50" s="437"/>
      <c r="AA50" s="437"/>
      <c r="AB50" s="438"/>
      <c r="AC50" s="439"/>
      <c r="AD50" s="437"/>
      <c r="AE50" s="437"/>
      <c r="AF50" s="437"/>
      <c r="AG50" s="437"/>
      <c r="AH50" s="437"/>
      <c r="AI50" s="437"/>
      <c r="AJ50" s="437"/>
      <c r="AK50" s="437"/>
      <c r="AL50" s="437"/>
      <c r="AM50" s="437"/>
      <c r="AN50" s="437"/>
      <c r="AO50" s="438"/>
      <c r="AQ50" s="428"/>
      <c r="AR50" s="429"/>
      <c r="AS50" s="429"/>
      <c r="AT50" s="429"/>
      <c r="AU50" s="429"/>
      <c r="AV50" s="429"/>
      <c r="AW50" s="429"/>
      <c r="AX50" s="429"/>
      <c r="AY50" s="429"/>
      <c r="AZ50" s="429"/>
      <c r="BA50" s="429"/>
      <c r="BB50" s="429"/>
      <c r="BC50" s="431"/>
      <c r="BD50" s="428"/>
      <c r="BE50" s="429"/>
      <c r="BF50" s="429"/>
      <c r="BG50" s="429"/>
      <c r="BH50" s="429"/>
      <c r="BI50" s="429"/>
      <c r="BJ50" s="429"/>
      <c r="BK50" s="429"/>
      <c r="BL50" s="429"/>
      <c r="BM50" s="429"/>
      <c r="BN50" s="429"/>
      <c r="BO50" s="429"/>
      <c r="BP50" s="431"/>
      <c r="BQ50" s="428"/>
      <c r="BR50" s="429"/>
      <c r="BS50" s="429"/>
      <c r="BT50" s="429"/>
      <c r="BU50" s="429"/>
      <c r="BV50" s="429"/>
      <c r="BW50" s="429"/>
      <c r="BX50" s="429"/>
      <c r="BY50" s="429"/>
      <c r="BZ50" s="429"/>
      <c r="CA50" s="429"/>
      <c r="CB50" s="429"/>
      <c r="CC50" s="431"/>
    </row>
    <row r="51" spans="1:81">
      <c r="A51" s="420" t="s">
        <v>187</v>
      </c>
      <c r="B51" s="420" t="s">
        <v>175</v>
      </c>
      <c r="C51" s="436">
        <f t="shared" si="1"/>
        <v>3074.0625</v>
      </c>
      <c r="D51" s="437">
        <f t="shared" si="2"/>
        <v>2768.8238636363635</v>
      </c>
      <c r="E51" s="437">
        <f t="shared" si="3"/>
        <v>2012.4261363636363</v>
      </c>
      <c r="F51" s="437">
        <f t="shared" si="4"/>
        <v>2392.8636363636365</v>
      </c>
      <c r="G51" s="437">
        <f t="shared" si="26"/>
        <v>1639.8514285714286</v>
      </c>
      <c r="H51" s="437">
        <f t="shared" si="5"/>
        <v>1361.0617977528091</v>
      </c>
      <c r="I51" s="437">
        <f t="shared" si="6"/>
        <v>832.57386363636363</v>
      </c>
      <c r="J51" s="437">
        <f t="shared" si="7"/>
        <v>1103.6352941176472</v>
      </c>
      <c r="K51" s="437">
        <f t="shared" si="8"/>
        <v>869.44508670520236</v>
      </c>
      <c r="L51" s="437">
        <f t="shared" si="9"/>
        <v>1515.3636363636363</v>
      </c>
      <c r="M51" s="437">
        <f t="shared" si="10"/>
        <v>1640.6720430107528</v>
      </c>
      <c r="N51" s="437">
        <f t="shared" si="11"/>
        <v>2137.2857142857142</v>
      </c>
      <c r="O51" s="438">
        <f t="shared" si="12"/>
        <v>1781.0605773781353</v>
      </c>
      <c r="P51" s="439">
        <f t="shared" si="13"/>
        <v>2731.2457142857143</v>
      </c>
      <c r="Q51" s="437">
        <f t="shared" si="14"/>
        <v>2749.3407821229052</v>
      </c>
      <c r="R51" s="437">
        <f t="shared" si="15"/>
        <v>2403.7541899441339</v>
      </c>
      <c r="S51" s="437">
        <f t="shared" si="16"/>
        <v>2016.6666666666667</v>
      </c>
      <c r="T51" s="437">
        <f t="shared" si="17"/>
        <v>1836.0335195530727</v>
      </c>
      <c r="U51" s="437">
        <f t="shared" si="18"/>
        <v>1232.1945945945945</v>
      </c>
      <c r="V51" s="437">
        <f t="shared" si="19"/>
        <v>987.27692307692303</v>
      </c>
      <c r="W51" s="437">
        <f t="shared" si="27"/>
        <v>939.51977401129943</v>
      </c>
      <c r="X51" s="437">
        <f t="shared" si="28"/>
        <v>1000.5955056179776</v>
      </c>
      <c r="Y51" s="437">
        <f t="shared" si="20"/>
        <v>1141.911111111111</v>
      </c>
      <c r="Z51" s="437">
        <f t="shared" si="29"/>
        <v>1889.3257142857142</v>
      </c>
      <c r="AA51" s="437">
        <f t="shared" si="30"/>
        <v>2077.1864406779659</v>
      </c>
      <c r="AB51" s="438">
        <f t="shared" si="21"/>
        <v>1741.8879110699397</v>
      </c>
      <c r="AC51" s="439">
        <f t="shared" si="31"/>
        <v>2961.5706214689267</v>
      </c>
      <c r="AD51" s="437">
        <f t="shared" si="32"/>
        <v>3580.6440677966102</v>
      </c>
      <c r="AE51" s="437">
        <f t="shared" si="33"/>
        <v>1723.0395480225989</v>
      </c>
      <c r="AF51" s="437">
        <f t="shared" si="34"/>
        <v>2710.2146892655369</v>
      </c>
      <c r="AG51" s="437">
        <f t="shared" si="22"/>
        <v>1779.1355932203389</v>
      </c>
      <c r="AH51" s="437">
        <f t="shared" si="35"/>
        <v>1208.6158192090395</v>
      </c>
      <c r="AI51" s="437">
        <f t="shared" si="23"/>
        <v>1148.2768361581921</v>
      </c>
      <c r="AJ51" s="437">
        <f t="shared" si="36"/>
        <v>1134.659090909091</v>
      </c>
      <c r="AK51" s="437">
        <f t="shared" si="37"/>
        <v>1062.4021739130435</v>
      </c>
      <c r="AL51" s="437">
        <f t="shared" si="24"/>
        <v>1214.0558659217877</v>
      </c>
      <c r="AM51" s="437">
        <f t="shared" si="38"/>
        <v>2152.7765363128492</v>
      </c>
      <c r="AN51" s="437">
        <f t="shared" si="39"/>
        <v>2133.5567567567568</v>
      </c>
      <c r="AO51" s="438">
        <f t="shared" si="25"/>
        <v>1898.8272642390289</v>
      </c>
      <c r="AQ51" s="428">
        <v>3074.0625</v>
      </c>
      <c r="AR51" s="429">
        <v>2768.8238636363635</v>
      </c>
      <c r="AS51" s="429">
        <v>2012.4261363636363</v>
      </c>
      <c r="AT51" s="429">
        <v>2392.8636363636365</v>
      </c>
      <c r="AU51" s="429">
        <v>1639.8514285714286</v>
      </c>
      <c r="AV51" s="429">
        <v>1361.0617977528091</v>
      </c>
      <c r="AW51" s="429">
        <v>832.57386363636363</v>
      </c>
      <c r="AX51" s="429">
        <v>1103.6352941176472</v>
      </c>
      <c r="AY51" s="429">
        <v>869.44508670520236</v>
      </c>
      <c r="AZ51" s="429">
        <v>1515.3636363636363</v>
      </c>
      <c r="BA51" s="429">
        <v>1640.6720430107528</v>
      </c>
      <c r="BB51" s="429">
        <v>2137.2857142857142</v>
      </c>
      <c r="BC51" s="431">
        <v>1781.0605773781353</v>
      </c>
      <c r="BD51" s="428">
        <v>2731.2457142857143</v>
      </c>
      <c r="BE51" s="429">
        <v>2749.3407821229052</v>
      </c>
      <c r="BF51" s="429">
        <v>2403.7541899441339</v>
      </c>
      <c r="BG51" s="429">
        <v>2016.6666666666667</v>
      </c>
      <c r="BH51" s="429">
        <v>1836.0335195530727</v>
      </c>
      <c r="BI51" s="429">
        <v>1232.1945945945945</v>
      </c>
      <c r="BJ51" s="429">
        <v>987.27692307692303</v>
      </c>
      <c r="BK51" s="429">
        <v>939.51977401129943</v>
      </c>
      <c r="BL51" s="429">
        <v>1000.5955056179776</v>
      </c>
      <c r="BM51" s="429">
        <v>1141.911111111111</v>
      </c>
      <c r="BN51" s="429">
        <v>1889.3257142857142</v>
      </c>
      <c r="BO51" s="429">
        <v>2077.1864406779659</v>
      </c>
      <c r="BP51" s="431">
        <v>1741.8879110699397</v>
      </c>
      <c r="BQ51" s="428">
        <v>2961.5706214689267</v>
      </c>
      <c r="BR51" s="429">
        <v>3580.6440677966102</v>
      </c>
      <c r="BS51" s="429">
        <v>1723.0395480225989</v>
      </c>
      <c r="BT51" s="429">
        <v>2710.2146892655369</v>
      </c>
      <c r="BU51" s="429">
        <v>1779.1355932203389</v>
      </c>
      <c r="BV51" s="429">
        <v>1208.6158192090395</v>
      </c>
      <c r="BW51" s="429">
        <v>1148.2768361581921</v>
      </c>
      <c r="BX51" s="429">
        <v>1134.659090909091</v>
      </c>
      <c r="BY51" s="429">
        <v>1062.4021739130435</v>
      </c>
      <c r="BZ51" s="429">
        <v>1214.0558659217877</v>
      </c>
      <c r="CA51" s="429">
        <v>2152.7765363128492</v>
      </c>
      <c r="CB51" s="429">
        <v>2133.5567567567568</v>
      </c>
      <c r="CC51" s="431">
        <v>1898.8272642390289</v>
      </c>
    </row>
    <row r="52" spans="1:81">
      <c r="A52" s="420" t="s">
        <v>187</v>
      </c>
      <c r="B52" s="420" t="s">
        <v>176</v>
      </c>
      <c r="C52" s="436">
        <f t="shared" si="1"/>
        <v>0</v>
      </c>
      <c r="D52" s="437">
        <f t="shared" si="2"/>
        <v>0</v>
      </c>
      <c r="E52" s="437">
        <f t="shared" si="3"/>
        <v>0</v>
      </c>
      <c r="F52" s="437">
        <f t="shared" si="4"/>
        <v>0</v>
      </c>
      <c r="G52" s="437">
        <f t="shared" si="26"/>
        <v>0</v>
      </c>
      <c r="H52" s="437">
        <f t="shared" si="5"/>
        <v>0</v>
      </c>
      <c r="I52" s="437">
        <f t="shared" si="6"/>
        <v>0</v>
      </c>
      <c r="J52" s="437">
        <f t="shared" si="7"/>
        <v>0</v>
      </c>
      <c r="K52" s="437">
        <f t="shared" si="8"/>
        <v>0</v>
      </c>
      <c r="L52" s="437">
        <f t="shared" si="9"/>
        <v>0</v>
      </c>
      <c r="M52" s="437">
        <f t="shared" si="10"/>
        <v>0</v>
      </c>
      <c r="N52" s="437">
        <f t="shared" si="11"/>
        <v>0</v>
      </c>
      <c r="O52" s="438">
        <f t="shared" si="12"/>
        <v>0</v>
      </c>
      <c r="P52" s="439">
        <f t="shared" si="13"/>
        <v>0</v>
      </c>
      <c r="Q52" s="437">
        <f t="shared" si="14"/>
        <v>0</v>
      </c>
      <c r="R52" s="437">
        <f t="shared" si="15"/>
        <v>0</v>
      </c>
      <c r="S52" s="437">
        <f t="shared" si="16"/>
        <v>0</v>
      </c>
      <c r="T52" s="437">
        <f t="shared" si="17"/>
        <v>0</v>
      </c>
      <c r="U52" s="437">
        <f t="shared" si="18"/>
        <v>0</v>
      </c>
      <c r="V52" s="437">
        <f t="shared" si="19"/>
        <v>0</v>
      </c>
      <c r="W52" s="437">
        <f t="shared" si="27"/>
        <v>0</v>
      </c>
      <c r="X52" s="437">
        <f t="shared" si="28"/>
        <v>0</v>
      </c>
      <c r="Y52" s="437">
        <f t="shared" si="20"/>
        <v>0</v>
      </c>
      <c r="Z52" s="437">
        <f t="shared" si="29"/>
        <v>0</v>
      </c>
      <c r="AA52" s="437">
        <f t="shared" si="30"/>
        <v>0</v>
      </c>
      <c r="AB52" s="438">
        <f t="shared" si="21"/>
        <v>0</v>
      </c>
      <c r="AC52" s="439">
        <f t="shared" si="31"/>
        <v>0</v>
      </c>
      <c r="AD52" s="437">
        <f t="shared" si="32"/>
        <v>0</v>
      </c>
      <c r="AE52" s="437">
        <f t="shared" si="33"/>
        <v>0</v>
      </c>
      <c r="AF52" s="437">
        <f t="shared" si="34"/>
        <v>0</v>
      </c>
      <c r="AG52" s="437">
        <f t="shared" si="22"/>
        <v>0</v>
      </c>
      <c r="AH52" s="437">
        <f t="shared" si="35"/>
        <v>0</v>
      </c>
      <c r="AI52" s="437">
        <f t="shared" si="23"/>
        <v>0</v>
      </c>
      <c r="AJ52" s="437">
        <f t="shared" si="36"/>
        <v>0</v>
      </c>
      <c r="AK52" s="437">
        <f t="shared" si="37"/>
        <v>0</v>
      </c>
      <c r="AL52" s="437">
        <f t="shared" si="24"/>
        <v>0</v>
      </c>
      <c r="AM52" s="437">
        <f t="shared" si="38"/>
        <v>0</v>
      </c>
      <c r="AN52" s="437">
        <f t="shared" si="39"/>
        <v>0</v>
      </c>
      <c r="AO52" s="438">
        <f t="shared" si="25"/>
        <v>0</v>
      </c>
      <c r="AQ52" s="428">
        <v>0</v>
      </c>
      <c r="AR52" s="429">
        <v>0</v>
      </c>
      <c r="AS52" s="429">
        <v>0</v>
      </c>
      <c r="AT52" s="429">
        <v>0</v>
      </c>
      <c r="AU52" s="429">
        <v>0</v>
      </c>
      <c r="AV52" s="429">
        <v>0</v>
      </c>
      <c r="AW52" s="429">
        <v>0</v>
      </c>
      <c r="AX52" s="429">
        <v>0</v>
      </c>
      <c r="AY52" s="429">
        <v>0</v>
      </c>
      <c r="AZ52" s="429">
        <v>0</v>
      </c>
      <c r="BA52" s="429">
        <v>0</v>
      </c>
      <c r="BB52" s="429">
        <v>0</v>
      </c>
      <c r="BC52" s="431">
        <v>0</v>
      </c>
      <c r="BD52" s="428">
        <v>0</v>
      </c>
      <c r="BE52" s="429">
        <v>0</v>
      </c>
      <c r="BF52" s="429">
        <v>0</v>
      </c>
      <c r="BG52" s="429">
        <v>0</v>
      </c>
      <c r="BH52" s="429">
        <v>0</v>
      </c>
      <c r="BI52" s="429">
        <v>0</v>
      </c>
      <c r="BJ52" s="429">
        <v>0</v>
      </c>
      <c r="BK52" s="429">
        <v>0</v>
      </c>
      <c r="BL52" s="429">
        <v>0</v>
      </c>
      <c r="BM52" s="429">
        <v>0</v>
      </c>
      <c r="BN52" s="429">
        <v>0</v>
      </c>
      <c r="BO52" s="429">
        <v>0</v>
      </c>
      <c r="BP52" s="431">
        <v>0</v>
      </c>
      <c r="BQ52" s="428">
        <v>0</v>
      </c>
      <c r="BR52" s="429">
        <v>0</v>
      </c>
      <c r="BS52" s="429">
        <v>0</v>
      </c>
      <c r="BT52" s="429">
        <v>0</v>
      </c>
      <c r="BU52" s="429">
        <v>0</v>
      </c>
      <c r="BV52" s="429">
        <v>0</v>
      </c>
      <c r="BW52" s="429">
        <v>0</v>
      </c>
      <c r="BX52" s="429">
        <v>0</v>
      </c>
      <c r="BY52" s="429">
        <v>0</v>
      </c>
      <c r="BZ52" s="429">
        <v>0</v>
      </c>
      <c r="CA52" s="429">
        <v>0</v>
      </c>
      <c r="CB52" s="429">
        <v>0</v>
      </c>
      <c r="CC52" s="431">
        <v>0</v>
      </c>
    </row>
    <row r="53" spans="1:81">
      <c r="A53" s="420" t="s">
        <v>187</v>
      </c>
      <c r="B53" s="420" t="s">
        <v>177</v>
      </c>
      <c r="C53" s="436">
        <f t="shared" si="1"/>
        <v>4325.8</v>
      </c>
      <c r="D53" s="437">
        <f t="shared" si="2"/>
        <v>4779</v>
      </c>
      <c r="E53" s="437">
        <f t="shared" si="3"/>
        <v>3639.4545454545455</v>
      </c>
      <c r="F53" s="437">
        <f t="shared" si="4"/>
        <v>4495.5</v>
      </c>
      <c r="G53" s="437">
        <f t="shared" si="26"/>
        <v>1740.5454545454545</v>
      </c>
      <c r="H53" s="437">
        <f t="shared" si="5"/>
        <v>1796.6</v>
      </c>
      <c r="I53" s="437">
        <f t="shared" si="6"/>
        <v>1387.7</v>
      </c>
      <c r="J53" s="437">
        <f t="shared" si="7"/>
        <v>1793.2</v>
      </c>
      <c r="K53" s="437">
        <f t="shared" si="8"/>
        <v>1381.7</v>
      </c>
      <c r="L53" s="437">
        <f t="shared" si="9"/>
        <v>1711.2727272727273</v>
      </c>
      <c r="M53" s="437">
        <f t="shared" si="10"/>
        <v>2257.4444444444443</v>
      </c>
      <c r="N53" s="437">
        <f t="shared" si="11"/>
        <v>3558</v>
      </c>
      <c r="O53" s="438">
        <f t="shared" si="12"/>
        <v>2726.7603305785124</v>
      </c>
      <c r="P53" s="439">
        <f t="shared" si="13"/>
        <v>5028.666666666667</v>
      </c>
      <c r="Q53" s="437">
        <f t="shared" si="14"/>
        <v>4904.2222222222226</v>
      </c>
      <c r="R53" s="437">
        <f t="shared" si="15"/>
        <v>4838.7777777777774</v>
      </c>
      <c r="S53" s="437">
        <f t="shared" si="16"/>
        <v>4214.666666666667</v>
      </c>
      <c r="T53" s="437">
        <f t="shared" si="17"/>
        <v>4040.1111111111113</v>
      </c>
      <c r="U53" s="437">
        <f t="shared" si="18"/>
        <v>1321.7142857142858</v>
      </c>
      <c r="V53" s="437">
        <f t="shared" si="19"/>
        <v>1505</v>
      </c>
      <c r="W53" s="437">
        <f t="shared" si="27"/>
        <v>1285.8888888888889</v>
      </c>
      <c r="X53" s="437">
        <f t="shared" si="28"/>
        <v>2424.1999999999998</v>
      </c>
      <c r="Y53" s="437">
        <f t="shared" si="20"/>
        <v>1706.8</v>
      </c>
      <c r="Z53" s="437">
        <f t="shared" si="29"/>
        <v>2372.3000000000002</v>
      </c>
      <c r="AA53" s="437">
        <f t="shared" si="30"/>
        <v>2842.3</v>
      </c>
      <c r="AB53" s="438">
        <f t="shared" si="21"/>
        <v>2930.6864406779659</v>
      </c>
      <c r="AC53" s="439">
        <f t="shared" si="31"/>
        <v>5302.8888888888887</v>
      </c>
      <c r="AD53" s="437">
        <f t="shared" si="32"/>
        <v>6858.1111111111113</v>
      </c>
      <c r="AE53" s="437">
        <f t="shared" si="33"/>
        <v>3321.6666666666665</v>
      </c>
      <c r="AF53" s="437">
        <f t="shared" si="34"/>
        <v>3931.3333333333335</v>
      </c>
      <c r="AG53" s="437">
        <f t="shared" si="22"/>
        <v>2019.5555555555557</v>
      </c>
      <c r="AH53" s="437">
        <f t="shared" si="35"/>
        <v>1479.3333333333333</v>
      </c>
      <c r="AI53" s="437">
        <f t="shared" si="23"/>
        <v>1701.2222222222222</v>
      </c>
      <c r="AJ53" s="437">
        <f t="shared" si="36"/>
        <v>1406.2222222222222</v>
      </c>
      <c r="AK53" s="437">
        <f t="shared" si="37"/>
        <v>1265.2222222222222</v>
      </c>
      <c r="AL53" s="437">
        <f t="shared" si="24"/>
        <v>1544</v>
      </c>
      <c r="AM53" s="437">
        <f t="shared" si="38"/>
        <v>2683.5555555555557</v>
      </c>
      <c r="AN53" s="437">
        <f t="shared" si="39"/>
        <v>3147.6666666666665</v>
      </c>
      <c r="AO53" s="438">
        <f t="shared" si="25"/>
        <v>2888.3981481481483</v>
      </c>
      <c r="AQ53" s="428">
        <v>4325.8</v>
      </c>
      <c r="AR53" s="429">
        <v>4779</v>
      </c>
      <c r="AS53" s="429">
        <v>3639.4545454545455</v>
      </c>
      <c r="AT53" s="429">
        <v>4495.5</v>
      </c>
      <c r="AU53" s="429">
        <v>1740.5454545454545</v>
      </c>
      <c r="AV53" s="429">
        <v>1796.6</v>
      </c>
      <c r="AW53" s="429">
        <v>1387.7</v>
      </c>
      <c r="AX53" s="429">
        <v>1793.2</v>
      </c>
      <c r="AY53" s="429">
        <v>1381.7</v>
      </c>
      <c r="AZ53" s="429">
        <v>1711.2727272727273</v>
      </c>
      <c r="BA53" s="429">
        <v>2257.4444444444443</v>
      </c>
      <c r="BB53" s="429">
        <v>3558</v>
      </c>
      <c r="BC53" s="431">
        <v>2726.7603305785124</v>
      </c>
      <c r="BD53" s="428">
        <v>5028.666666666667</v>
      </c>
      <c r="BE53" s="429">
        <v>4904.2222222222226</v>
      </c>
      <c r="BF53" s="429">
        <v>4838.7777777777774</v>
      </c>
      <c r="BG53" s="429">
        <v>4214.666666666667</v>
      </c>
      <c r="BH53" s="429">
        <v>4040.1111111111113</v>
      </c>
      <c r="BI53" s="429">
        <v>1321.7142857142858</v>
      </c>
      <c r="BJ53" s="429">
        <v>1505</v>
      </c>
      <c r="BK53" s="429">
        <v>1285.8888888888889</v>
      </c>
      <c r="BL53" s="429">
        <v>2424.1999999999998</v>
      </c>
      <c r="BM53" s="429">
        <v>1706.8</v>
      </c>
      <c r="BN53" s="429">
        <v>2372.3000000000002</v>
      </c>
      <c r="BO53" s="429">
        <v>2842.3</v>
      </c>
      <c r="BP53" s="431">
        <v>2930.6864406779659</v>
      </c>
      <c r="BQ53" s="428">
        <v>5302.8888888888887</v>
      </c>
      <c r="BR53" s="429">
        <v>6858.1111111111113</v>
      </c>
      <c r="BS53" s="429">
        <v>3321.6666666666665</v>
      </c>
      <c r="BT53" s="429">
        <v>3931.3333333333335</v>
      </c>
      <c r="BU53" s="429">
        <v>2019.5555555555557</v>
      </c>
      <c r="BV53" s="429">
        <v>1479.3333333333333</v>
      </c>
      <c r="BW53" s="429">
        <v>1701.2222222222222</v>
      </c>
      <c r="BX53" s="429">
        <v>1406.2222222222222</v>
      </c>
      <c r="BY53" s="429">
        <v>1265.2222222222222</v>
      </c>
      <c r="BZ53" s="429">
        <v>1544</v>
      </c>
      <c r="CA53" s="429">
        <v>2683.5555555555557</v>
      </c>
      <c r="CB53" s="429">
        <v>3147.6666666666665</v>
      </c>
      <c r="CC53" s="431">
        <v>2888.3981481481483</v>
      </c>
    </row>
    <row r="54" spans="1:81">
      <c r="A54" s="420" t="s">
        <v>187</v>
      </c>
      <c r="B54" s="420" t="s">
        <v>178</v>
      </c>
      <c r="C54" s="436">
        <f t="shared" si="1"/>
        <v>11183.333333333334</v>
      </c>
      <c r="D54" s="437">
        <f t="shared" si="2"/>
        <v>10263.333333333334</v>
      </c>
      <c r="E54" s="437">
        <f t="shared" si="3"/>
        <v>8223.3333333333339</v>
      </c>
      <c r="F54" s="437">
        <f t="shared" si="4"/>
        <v>10966.666666666666</v>
      </c>
      <c r="G54" s="437">
        <f t="shared" si="26"/>
        <v>8650</v>
      </c>
      <c r="H54" s="437">
        <f t="shared" si="5"/>
        <v>9850</v>
      </c>
      <c r="I54" s="437">
        <f t="shared" si="6"/>
        <v>8740</v>
      </c>
      <c r="J54" s="437">
        <f t="shared" si="7"/>
        <v>10546.666666666666</v>
      </c>
      <c r="K54" s="437">
        <f t="shared" si="8"/>
        <v>8726.6666666666661</v>
      </c>
      <c r="L54" s="437">
        <f t="shared" si="9"/>
        <v>9136.6666666666661</v>
      </c>
      <c r="M54" s="437">
        <f t="shared" si="10"/>
        <v>7900</v>
      </c>
      <c r="N54" s="437">
        <f t="shared" si="11"/>
        <v>8180</v>
      </c>
      <c r="O54" s="438">
        <f t="shared" si="12"/>
        <v>9363.8888888888887</v>
      </c>
      <c r="P54" s="439">
        <f t="shared" si="13"/>
        <v>10810</v>
      </c>
      <c r="Q54" s="437">
        <f t="shared" si="14"/>
        <v>9786.6666666666661</v>
      </c>
      <c r="R54" s="437">
        <f t="shared" si="15"/>
        <v>9846.6666666666661</v>
      </c>
      <c r="S54" s="437">
        <f t="shared" si="16"/>
        <v>10230</v>
      </c>
      <c r="T54" s="437">
        <f t="shared" si="17"/>
        <v>9590</v>
      </c>
      <c r="U54" s="437">
        <f t="shared" si="18"/>
        <v>9793.3333333333339</v>
      </c>
      <c r="V54" s="437">
        <f t="shared" si="19"/>
        <v>12456.666666666666</v>
      </c>
      <c r="W54" s="437">
        <f t="shared" si="27"/>
        <v>10463.333333333334</v>
      </c>
      <c r="X54" s="437">
        <f t="shared" si="28"/>
        <v>10593.333333333334</v>
      </c>
      <c r="Y54" s="437">
        <f t="shared" si="20"/>
        <v>10090</v>
      </c>
      <c r="Z54" s="437">
        <f t="shared" si="29"/>
        <v>8916.6666666666661</v>
      </c>
      <c r="AA54" s="437">
        <f t="shared" si="30"/>
        <v>9713.3333333333339</v>
      </c>
      <c r="AB54" s="438">
        <f t="shared" si="21"/>
        <v>10190.833333333334</v>
      </c>
      <c r="AC54" s="439">
        <f t="shared" si="31"/>
        <v>11823.333333333334</v>
      </c>
      <c r="AD54" s="437">
        <f t="shared" si="32"/>
        <v>14326.666666666666</v>
      </c>
      <c r="AE54" s="437">
        <f t="shared" si="33"/>
        <v>7306.666666666667</v>
      </c>
      <c r="AF54" s="437">
        <f t="shared" si="34"/>
        <v>12073.333333333334</v>
      </c>
      <c r="AG54" s="437">
        <f t="shared" si="22"/>
        <v>8613.3333333333339</v>
      </c>
      <c r="AH54" s="437">
        <f t="shared" si="35"/>
        <v>8730</v>
      </c>
      <c r="AI54" s="437">
        <f t="shared" si="23"/>
        <v>9700</v>
      </c>
      <c r="AJ54" s="437">
        <f t="shared" si="36"/>
        <v>10550</v>
      </c>
      <c r="AK54" s="437">
        <f t="shared" si="37"/>
        <v>9643.3333333333339</v>
      </c>
      <c r="AL54" s="437">
        <f t="shared" si="24"/>
        <v>8236.6666666666661</v>
      </c>
      <c r="AM54" s="437">
        <f t="shared" si="38"/>
        <v>9270</v>
      </c>
      <c r="AN54" s="437">
        <f t="shared" si="39"/>
        <v>8303.3333333333339</v>
      </c>
      <c r="AO54" s="438">
        <f t="shared" si="25"/>
        <v>9881.3888888888887</v>
      </c>
      <c r="AQ54" s="428">
        <v>11183.333333333334</v>
      </c>
      <c r="AR54" s="429">
        <v>10263.333333333334</v>
      </c>
      <c r="AS54" s="429">
        <v>8223.3333333333339</v>
      </c>
      <c r="AT54" s="429">
        <v>10966.666666666666</v>
      </c>
      <c r="AU54" s="429">
        <v>8650</v>
      </c>
      <c r="AV54" s="429">
        <v>9850</v>
      </c>
      <c r="AW54" s="429">
        <v>8740</v>
      </c>
      <c r="AX54" s="429">
        <v>10546.666666666666</v>
      </c>
      <c r="AY54" s="429">
        <v>8726.6666666666661</v>
      </c>
      <c r="AZ54" s="429">
        <v>9136.6666666666661</v>
      </c>
      <c r="BA54" s="429">
        <v>7900</v>
      </c>
      <c r="BB54" s="429">
        <v>8180</v>
      </c>
      <c r="BC54" s="431">
        <v>9363.8888888888887</v>
      </c>
      <c r="BD54" s="428">
        <v>10810</v>
      </c>
      <c r="BE54" s="429">
        <v>9786.6666666666661</v>
      </c>
      <c r="BF54" s="429">
        <v>9846.6666666666661</v>
      </c>
      <c r="BG54" s="429">
        <v>10230</v>
      </c>
      <c r="BH54" s="429">
        <v>9590</v>
      </c>
      <c r="BI54" s="429">
        <v>9793.3333333333339</v>
      </c>
      <c r="BJ54" s="429">
        <v>12456.666666666666</v>
      </c>
      <c r="BK54" s="429">
        <v>10463.333333333334</v>
      </c>
      <c r="BL54" s="429">
        <v>10593.333333333334</v>
      </c>
      <c r="BM54" s="429">
        <v>10090</v>
      </c>
      <c r="BN54" s="429">
        <v>8916.6666666666661</v>
      </c>
      <c r="BO54" s="429">
        <v>9713.3333333333339</v>
      </c>
      <c r="BP54" s="431">
        <v>10190.833333333334</v>
      </c>
      <c r="BQ54" s="428">
        <v>11823.333333333334</v>
      </c>
      <c r="BR54" s="429">
        <v>14326.666666666666</v>
      </c>
      <c r="BS54" s="429">
        <v>7306.666666666667</v>
      </c>
      <c r="BT54" s="429">
        <v>12073.333333333334</v>
      </c>
      <c r="BU54" s="429">
        <v>8613.3333333333339</v>
      </c>
      <c r="BV54" s="429">
        <v>8730</v>
      </c>
      <c r="BW54" s="429">
        <v>9700</v>
      </c>
      <c r="BX54" s="429">
        <v>10550</v>
      </c>
      <c r="BY54" s="429">
        <v>9643.3333333333339</v>
      </c>
      <c r="BZ54" s="429">
        <v>8236.6666666666661</v>
      </c>
      <c r="CA54" s="429">
        <v>9270</v>
      </c>
      <c r="CB54" s="429">
        <v>8303.3333333333339</v>
      </c>
      <c r="CC54" s="431">
        <v>9881.3888888888887</v>
      </c>
    </row>
    <row r="55" spans="1:81">
      <c r="A55" s="420" t="s">
        <v>187</v>
      </c>
      <c r="B55" s="420" t="s">
        <v>179</v>
      </c>
      <c r="C55" s="436">
        <f t="shared" si="1"/>
        <v>0</v>
      </c>
      <c r="D55" s="437">
        <f t="shared" si="2"/>
        <v>0</v>
      </c>
      <c r="E55" s="437">
        <f t="shared" si="3"/>
        <v>0</v>
      </c>
      <c r="F55" s="437">
        <f t="shared" si="4"/>
        <v>0</v>
      </c>
      <c r="G55" s="437">
        <f t="shared" si="26"/>
        <v>0</v>
      </c>
      <c r="H55" s="437">
        <f t="shared" si="5"/>
        <v>0</v>
      </c>
      <c r="I55" s="437">
        <f t="shared" si="6"/>
        <v>0</v>
      </c>
      <c r="J55" s="437">
        <f t="shared" si="7"/>
        <v>0</v>
      </c>
      <c r="K55" s="437">
        <f t="shared" si="8"/>
        <v>0</v>
      </c>
      <c r="L55" s="437">
        <f t="shared" si="9"/>
        <v>0</v>
      </c>
      <c r="M55" s="437">
        <f t="shared" si="10"/>
        <v>0</v>
      </c>
      <c r="N55" s="437">
        <f t="shared" si="11"/>
        <v>0</v>
      </c>
      <c r="O55" s="438">
        <f t="shared" si="12"/>
        <v>0</v>
      </c>
      <c r="P55" s="439">
        <f t="shared" si="13"/>
        <v>0</v>
      </c>
      <c r="Q55" s="437">
        <f t="shared" si="14"/>
        <v>0</v>
      </c>
      <c r="R55" s="437">
        <f t="shared" si="15"/>
        <v>0</v>
      </c>
      <c r="S55" s="437">
        <f t="shared" si="16"/>
        <v>0</v>
      </c>
      <c r="T55" s="437">
        <f t="shared" si="17"/>
        <v>0</v>
      </c>
      <c r="U55" s="437">
        <f t="shared" si="18"/>
        <v>0</v>
      </c>
      <c r="V55" s="437">
        <f t="shared" si="19"/>
        <v>0</v>
      </c>
      <c r="W55" s="437">
        <f t="shared" si="27"/>
        <v>0</v>
      </c>
      <c r="X55" s="437">
        <f t="shared" si="28"/>
        <v>0</v>
      </c>
      <c r="Y55" s="437">
        <f t="shared" si="20"/>
        <v>0</v>
      </c>
      <c r="Z55" s="437">
        <f t="shared" si="29"/>
        <v>0</v>
      </c>
      <c r="AA55" s="437">
        <f t="shared" si="30"/>
        <v>0</v>
      </c>
      <c r="AB55" s="438">
        <f t="shared" si="21"/>
        <v>0</v>
      </c>
      <c r="AC55" s="439">
        <f t="shared" si="31"/>
        <v>0</v>
      </c>
      <c r="AD55" s="437">
        <f t="shared" si="32"/>
        <v>0</v>
      </c>
      <c r="AE55" s="437">
        <f t="shared" si="33"/>
        <v>0</v>
      </c>
      <c r="AF55" s="437">
        <f t="shared" si="34"/>
        <v>0</v>
      </c>
      <c r="AG55" s="437">
        <f t="shared" si="22"/>
        <v>0</v>
      </c>
      <c r="AH55" s="437">
        <f t="shared" si="35"/>
        <v>0</v>
      </c>
      <c r="AI55" s="437">
        <f t="shared" si="23"/>
        <v>0</v>
      </c>
      <c r="AJ55" s="437">
        <f t="shared" si="36"/>
        <v>0</v>
      </c>
      <c r="AK55" s="437">
        <f t="shared" si="37"/>
        <v>0</v>
      </c>
      <c r="AL55" s="437">
        <f t="shared" si="24"/>
        <v>0</v>
      </c>
      <c r="AM55" s="437">
        <f t="shared" si="38"/>
        <v>0</v>
      </c>
      <c r="AN55" s="437">
        <f t="shared" si="39"/>
        <v>0</v>
      </c>
      <c r="AO55" s="438">
        <f t="shared" si="25"/>
        <v>0</v>
      </c>
      <c r="AQ55" s="428">
        <v>0</v>
      </c>
      <c r="AR55" s="429">
        <v>0</v>
      </c>
      <c r="AS55" s="429">
        <v>0</v>
      </c>
      <c r="AT55" s="429">
        <v>0</v>
      </c>
      <c r="AU55" s="429">
        <v>0</v>
      </c>
      <c r="AV55" s="429">
        <v>0</v>
      </c>
      <c r="AW55" s="429">
        <v>0</v>
      </c>
      <c r="AX55" s="429">
        <v>0</v>
      </c>
      <c r="AY55" s="429">
        <v>0</v>
      </c>
      <c r="AZ55" s="429">
        <v>0</v>
      </c>
      <c r="BA55" s="429">
        <v>0</v>
      </c>
      <c r="BB55" s="429">
        <v>0</v>
      </c>
      <c r="BC55" s="431">
        <v>0</v>
      </c>
      <c r="BD55" s="428">
        <v>0</v>
      </c>
      <c r="BE55" s="429">
        <v>0</v>
      </c>
      <c r="BF55" s="429">
        <v>0</v>
      </c>
      <c r="BG55" s="429">
        <v>0</v>
      </c>
      <c r="BH55" s="429">
        <v>0</v>
      </c>
      <c r="BI55" s="429">
        <v>0</v>
      </c>
      <c r="BJ55" s="429">
        <v>0</v>
      </c>
      <c r="BK55" s="429">
        <v>0</v>
      </c>
      <c r="BL55" s="429">
        <v>0</v>
      </c>
      <c r="BM55" s="429">
        <v>0</v>
      </c>
      <c r="BN55" s="429">
        <v>0</v>
      </c>
      <c r="BO55" s="429">
        <v>0</v>
      </c>
      <c r="BP55" s="431">
        <v>0</v>
      </c>
      <c r="BQ55" s="428">
        <v>0</v>
      </c>
      <c r="BR55" s="429">
        <v>0</v>
      </c>
      <c r="BS55" s="429">
        <v>0</v>
      </c>
      <c r="BT55" s="429">
        <v>0</v>
      </c>
      <c r="BU55" s="429">
        <v>0</v>
      </c>
      <c r="BV55" s="429">
        <v>0</v>
      </c>
      <c r="BW55" s="429">
        <v>0</v>
      </c>
      <c r="BX55" s="429">
        <v>0</v>
      </c>
      <c r="BY55" s="429">
        <v>0</v>
      </c>
      <c r="BZ55" s="429">
        <v>0</v>
      </c>
      <c r="CA55" s="429">
        <v>0</v>
      </c>
      <c r="CB55" s="429">
        <v>0</v>
      </c>
      <c r="CC55" s="431">
        <v>0</v>
      </c>
    </row>
    <row r="56" spans="1:81">
      <c r="A56" s="420" t="s">
        <v>187</v>
      </c>
      <c r="B56" s="420" t="s">
        <v>180</v>
      </c>
      <c r="C56" s="436">
        <f t="shared" si="1"/>
        <v>1202.090909090909</v>
      </c>
      <c r="D56" s="437">
        <f t="shared" si="2"/>
        <v>1167.2727272727273</v>
      </c>
      <c r="E56" s="437">
        <f t="shared" si="3"/>
        <v>729.90909090909088</v>
      </c>
      <c r="F56" s="437">
        <f t="shared" si="4"/>
        <v>942.72727272727275</v>
      </c>
      <c r="G56" s="437">
        <f t="shared" si="26"/>
        <v>648.09090909090912</v>
      </c>
      <c r="H56" s="437">
        <f t="shared" si="5"/>
        <v>874.5454545454545</v>
      </c>
      <c r="I56" s="437">
        <f t="shared" si="6"/>
        <v>510.09090909090907</v>
      </c>
      <c r="J56" s="437">
        <f t="shared" si="7"/>
        <v>555.9</v>
      </c>
      <c r="K56" s="437">
        <f t="shared" si="8"/>
        <v>541.5454545454545</v>
      </c>
      <c r="L56" s="437">
        <f t="shared" si="9"/>
        <v>835.5454545454545</v>
      </c>
      <c r="M56" s="437">
        <f t="shared" si="10"/>
        <v>923.90909090909088</v>
      </c>
      <c r="N56" s="437">
        <f t="shared" si="11"/>
        <v>1018.6363636363636</v>
      </c>
      <c r="O56" s="438">
        <f t="shared" si="12"/>
        <v>831.27480916030538</v>
      </c>
      <c r="P56" s="439">
        <f t="shared" si="13"/>
        <v>1050.4545454545455</v>
      </c>
      <c r="Q56" s="437">
        <f t="shared" si="14"/>
        <v>1064.7272727272727</v>
      </c>
      <c r="R56" s="437">
        <f t="shared" si="15"/>
        <v>1030</v>
      </c>
      <c r="S56" s="437">
        <f t="shared" si="16"/>
        <v>920</v>
      </c>
      <c r="T56" s="437">
        <f t="shared" si="17"/>
        <v>920.63636363636363</v>
      </c>
      <c r="U56" s="437">
        <f t="shared" si="18"/>
        <v>607.61538461538464</v>
      </c>
      <c r="V56" s="437">
        <f t="shared" si="19"/>
        <v>582.53846153846155</v>
      </c>
      <c r="W56" s="437">
        <f t="shared" si="27"/>
        <v>415.07692307692309</v>
      </c>
      <c r="X56" s="437">
        <f t="shared" si="28"/>
        <v>576.23076923076928</v>
      </c>
      <c r="Y56" s="437">
        <f t="shared" si="20"/>
        <v>584.25</v>
      </c>
      <c r="Z56" s="437">
        <f t="shared" si="29"/>
        <v>833.69230769230774</v>
      </c>
      <c r="AA56" s="437">
        <f t="shared" si="30"/>
        <v>1151.7692307692307</v>
      </c>
      <c r="AB56" s="438">
        <f t="shared" si="21"/>
        <v>800.17241379310349</v>
      </c>
      <c r="AC56" s="439">
        <f t="shared" si="31"/>
        <v>1521.7692307692307</v>
      </c>
      <c r="AD56" s="437">
        <f t="shared" si="32"/>
        <v>1982.7692307692307</v>
      </c>
      <c r="AE56" s="437">
        <f t="shared" si="33"/>
        <v>968.30769230769226</v>
      </c>
      <c r="AF56" s="437">
        <f t="shared" si="34"/>
        <v>1556.8461538461538</v>
      </c>
      <c r="AG56" s="437">
        <f t="shared" si="22"/>
        <v>1055.9230769230769</v>
      </c>
      <c r="AH56" s="437">
        <f t="shared" si="35"/>
        <v>763.69230769230774</v>
      </c>
      <c r="AI56" s="437">
        <f t="shared" si="23"/>
        <v>655.30769230769226</v>
      </c>
      <c r="AJ56" s="437">
        <f t="shared" si="36"/>
        <v>792.15384615384619</v>
      </c>
      <c r="AK56" s="437">
        <f t="shared" si="37"/>
        <v>823.76923076923072</v>
      </c>
      <c r="AL56" s="437">
        <f t="shared" si="24"/>
        <v>812.84615384615381</v>
      </c>
      <c r="AM56" s="437">
        <f t="shared" si="38"/>
        <v>1396.8461538461538</v>
      </c>
      <c r="AN56" s="437">
        <f t="shared" si="39"/>
        <v>1352.3846153846155</v>
      </c>
      <c r="AO56" s="438">
        <f t="shared" si="25"/>
        <v>1140.2179487179487</v>
      </c>
      <c r="AQ56" s="428">
        <v>1202.090909090909</v>
      </c>
      <c r="AR56" s="429">
        <v>1167.2727272727273</v>
      </c>
      <c r="AS56" s="429">
        <v>729.90909090909088</v>
      </c>
      <c r="AT56" s="429">
        <v>942.72727272727275</v>
      </c>
      <c r="AU56" s="429">
        <v>648.09090909090912</v>
      </c>
      <c r="AV56" s="429">
        <v>874.5454545454545</v>
      </c>
      <c r="AW56" s="429">
        <v>510.09090909090907</v>
      </c>
      <c r="AX56" s="429">
        <v>555.9</v>
      </c>
      <c r="AY56" s="429">
        <v>541.5454545454545</v>
      </c>
      <c r="AZ56" s="429">
        <v>835.5454545454545</v>
      </c>
      <c r="BA56" s="429">
        <v>923.90909090909088</v>
      </c>
      <c r="BB56" s="429">
        <v>1018.6363636363636</v>
      </c>
      <c r="BC56" s="431">
        <v>831.27480916030538</v>
      </c>
      <c r="BD56" s="428">
        <v>1050.4545454545455</v>
      </c>
      <c r="BE56" s="429">
        <v>1064.7272727272727</v>
      </c>
      <c r="BF56" s="429">
        <v>1030</v>
      </c>
      <c r="BG56" s="429">
        <v>920</v>
      </c>
      <c r="BH56" s="429">
        <v>920.63636363636363</v>
      </c>
      <c r="BI56" s="429">
        <v>607.61538461538464</v>
      </c>
      <c r="BJ56" s="429">
        <v>582.53846153846155</v>
      </c>
      <c r="BK56" s="429">
        <v>415.07692307692309</v>
      </c>
      <c r="BL56" s="429">
        <v>576.23076923076928</v>
      </c>
      <c r="BM56" s="429">
        <v>584.25</v>
      </c>
      <c r="BN56" s="429">
        <v>833.69230769230774</v>
      </c>
      <c r="BO56" s="429">
        <v>1151.7692307692307</v>
      </c>
      <c r="BP56" s="431">
        <v>800.17241379310349</v>
      </c>
      <c r="BQ56" s="428">
        <v>1521.7692307692307</v>
      </c>
      <c r="BR56" s="429">
        <v>1982.7692307692307</v>
      </c>
      <c r="BS56" s="429">
        <v>968.30769230769226</v>
      </c>
      <c r="BT56" s="429">
        <v>1556.8461538461538</v>
      </c>
      <c r="BU56" s="429">
        <v>1055.9230769230769</v>
      </c>
      <c r="BV56" s="429">
        <v>763.69230769230774</v>
      </c>
      <c r="BW56" s="429">
        <v>655.30769230769226</v>
      </c>
      <c r="BX56" s="429">
        <v>792.15384615384619</v>
      </c>
      <c r="BY56" s="429">
        <v>823.76923076923072</v>
      </c>
      <c r="BZ56" s="429">
        <v>812.84615384615381</v>
      </c>
      <c r="CA56" s="429">
        <v>1396.8461538461538</v>
      </c>
      <c r="CB56" s="429">
        <v>1352.3846153846155</v>
      </c>
      <c r="CC56" s="431">
        <v>1140.2179487179487</v>
      </c>
    </row>
    <row r="57" spans="1:81">
      <c r="A57" s="420" t="s">
        <v>187</v>
      </c>
      <c r="B57" s="420" t="s">
        <v>181</v>
      </c>
      <c r="C57" s="436">
        <f t="shared" si="1"/>
        <v>0</v>
      </c>
      <c r="D57" s="437">
        <f t="shared" si="2"/>
        <v>0</v>
      </c>
      <c r="E57" s="437">
        <f t="shared" si="3"/>
        <v>0</v>
      </c>
      <c r="F57" s="437">
        <f t="shared" si="4"/>
        <v>0</v>
      </c>
      <c r="G57" s="437">
        <f t="shared" si="26"/>
        <v>0</v>
      </c>
      <c r="H57" s="437">
        <f t="shared" si="5"/>
        <v>0</v>
      </c>
      <c r="I57" s="437">
        <f t="shared" si="6"/>
        <v>0</v>
      </c>
      <c r="J57" s="437">
        <f t="shared" si="7"/>
        <v>0</v>
      </c>
      <c r="K57" s="437">
        <f t="shared" si="8"/>
        <v>0</v>
      </c>
      <c r="L57" s="437">
        <f t="shared" si="9"/>
        <v>0</v>
      </c>
      <c r="M57" s="437">
        <f t="shared" si="10"/>
        <v>0</v>
      </c>
      <c r="N57" s="437">
        <f t="shared" si="11"/>
        <v>0</v>
      </c>
      <c r="O57" s="438">
        <f t="shared" si="12"/>
        <v>0</v>
      </c>
      <c r="P57" s="439">
        <f t="shared" si="13"/>
        <v>0</v>
      </c>
      <c r="Q57" s="437">
        <f t="shared" si="14"/>
        <v>0</v>
      </c>
      <c r="R57" s="437">
        <f t="shared" si="15"/>
        <v>0</v>
      </c>
      <c r="S57" s="437">
        <f t="shared" si="16"/>
        <v>0</v>
      </c>
      <c r="T57" s="437">
        <f t="shared" si="17"/>
        <v>0</v>
      </c>
      <c r="U57" s="437">
        <f t="shared" si="18"/>
        <v>0</v>
      </c>
      <c r="V57" s="437">
        <f t="shared" si="19"/>
        <v>0</v>
      </c>
      <c r="W57" s="437">
        <f t="shared" si="27"/>
        <v>0</v>
      </c>
      <c r="X57" s="437">
        <f t="shared" si="28"/>
        <v>0</v>
      </c>
      <c r="Y57" s="437">
        <f t="shared" si="20"/>
        <v>0</v>
      </c>
      <c r="Z57" s="437">
        <f t="shared" si="29"/>
        <v>0</v>
      </c>
      <c r="AA57" s="437">
        <f t="shared" si="30"/>
        <v>0</v>
      </c>
      <c r="AB57" s="438">
        <f t="shared" si="21"/>
        <v>0</v>
      </c>
      <c r="AC57" s="439">
        <f t="shared" si="31"/>
        <v>0</v>
      </c>
      <c r="AD57" s="437">
        <f t="shared" si="32"/>
        <v>0</v>
      </c>
      <c r="AE57" s="437">
        <f t="shared" si="33"/>
        <v>0</v>
      </c>
      <c r="AF57" s="437">
        <f t="shared" si="34"/>
        <v>0</v>
      </c>
      <c r="AG57" s="437">
        <f t="shared" si="22"/>
        <v>0</v>
      </c>
      <c r="AH57" s="437">
        <f t="shared" si="35"/>
        <v>0</v>
      </c>
      <c r="AI57" s="437">
        <f t="shared" si="23"/>
        <v>0</v>
      </c>
      <c r="AJ57" s="437">
        <f t="shared" si="36"/>
        <v>0</v>
      </c>
      <c r="AK57" s="437">
        <f t="shared" si="37"/>
        <v>0</v>
      </c>
      <c r="AL57" s="437">
        <f t="shared" si="24"/>
        <v>0</v>
      </c>
      <c r="AM57" s="437">
        <f t="shared" si="38"/>
        <v>0</v>
      </c>
      <c r="AN57" s="437">
        <f t="shared" si="39"/>
        <v>0</v>
      </c>
      <c r="AO57" s="438">
        <f t="shared" si="25"/>
        <v>0</v>
      </c>
      <c r="AQ57" s="428">
        <v>0</v>
      </c>
      <c r="AR57" s="429">
        <v>0</v>
      </c>
      <c r="AS57" s="429">
        <v>0</v>
      </c>
      <c r="AT57" s="429">
        <v>0</v>
      </c>
      <c r="AU57" s="429">
        <v>0</v>
      </c>
      <c r="AV57" s="429">
        <v>0</v>
      </c>
      <c r="AW57" s="429">
        <v>0</v>
      </c>
      <c r="AX57" s="429">
        <v>0</v>
      </c>
      <c r="AY57" s="429">
        <v>0</v>
      </c>
      <c r="AZ57" s="429">
        <v>0</v>
      </c>
      <c r="BA57" s="429">
        <v>0</v>
      </c>
      <c r="BB57" s="429">
        <v>0</v>
      </c>
      <c r="BC57" s="431">
        <v>0</v>
      </c>
      <c r="BD57" s="428">
        <v>0</v>
      </c>
      <c r="BE57" s="429">
        <v>0</v>
      </c>
      <c r="BF57" s="429">
        <v>0</v>
      </c>
      <c r="BG57" s="429">
        <v>0</v>
      </c>
      <c r="BH57" s="429">
        <v>0</v>
      </c>
      <c r="BI57" s="429">
        <v>0</v>
      </c>
      <c r="BJ57" s="429">
        <v>0</v>
      </c>
      <c r="BK57" s="429">
        <v>0</v>
      </c>
      <c r="BL57" s="429">
        <v>0</v>
      </c>
      <c r="BM57" s="429">
        <v>0</v>
      </c>
      <c r="BN57" s="429">
        <v>0</v>
      </c>
      <c r="BO57" s="429">
        <v>0</v>
      </c>
      <c r="BP57" s="431">
        <v>0</v>
      </c>
      <c r="BQ57" s="428">
        <v>0</v>
      </c>
      <c r="BR57" s="429">
        <v>0</v>
      </c>
      <c r="BS57" s="429">
        <v>0</v>
      </c>
      <c r="BT57" s="429">
        <v>0</v>
      </c>
      <c r="BU57" s="429">
        <v>0</v>
      </c>
      <c r="BV57" s="429">
        <v>0</v>
      </c>
      <c r="BW57" s="429">
        <v>0</v>
      </c>
      <c r="BX57" s="429">
        <v>0</v>
      </c>
      <c r="BY57" s="429">
        <v>0</v>
      </c>
      <c r="BZ57" s="429">
        <v>0</v>
      </c>
      <c r="CA57" s="429">
        <v>0</v>
      </c>
      <c r="CB57" s="429">
        <v>0</v>
      </c>
      <c r="CC57" s="431">
        <v>0</v>
      </c>
    </row>
    <row r="58" spans="1:81">
      <c r="A58" s="420" t="s">
        <v>187</v>
      </c>
      <c r="B58" s="420" t="s">
        <v>182</v>
      </c>
      <c r="C58" s="436">
        <f t="shared" si="1"/>
        <v>6574.1</v>
      </c>
      <c r="D58" s="437">
        <f t="shared" si="2"/>
        <v>6004.05</v>
      </c>
      <c r="E58" s="437">
        <f t="shared" si="3"/>
        <v>4741.95</v>
      </c>
      <c r="F58" s="437">
        <f t="shared" si="4"/>
        <v>5199.2</v>
      </c>
      <c r="G58" s="437">
        <f t="shared" si="26"/>
        <v>3956.8</v>
      </c>
      <c r="H58" s="437">
        <f t="shared" si="5"/>
        <v>4344.1000000000004</v>
      </c>
      <c r="I58" s="437">
        <f t="shared" si="6"/>
        <v>2530.4</v>
      </c>
      <c r="J58" s="437">
        <f t="shared" si="7"/>
        <v>2875.3333333333335</v>
      </c>
      <c r="K58" s="437">
        <f t="shared" si="8"/>
        <v>2486.7619047619046</v>
      </c>
      <c r="L58" s="437">
        <f t="shared" si="9"/>
        <v>3900.8571428571427</v>
      </c>
      <c r="M58" s="437">
        <f t="shared" si="10"/>
        <v>4111.7142857142853</v>
      </c>
      <c r="N58" s="437">
        <f t="shared" si="11"/>
        <v>5175.045454545455</v>
      </c>
      <c r="O58" s="438">
        <f t="shared" si="12"/>
        <v>4315.9796747967475</v>
      </c>
      <c r="P58" s="439">
        <f t="shared" si="13"/>
        <v>6502.3809523809523</v>
      </c>
      <c r="Q58" s="437">
        <f t="shared" si="14"/>
        <v>5450.363636363636</v>
      </c>
      <c r="R58" s="437">
        <f t="shared" si="15"/>
        <v>5943</v>
      </c>
      <c r="S58" s="437">
        <f t="shared" si="16"/>
        <v>4733.4761904761908</v>
      </c>
      <c r="T58" s="437">
        <f t="shared" si="17"/>
        <v>4551.9047619047615</v>
      </c>
      <c r="U58" s="437">
        <f t="shared" si="18"/>
        <v>3058.5238095238096</v>
      </c>
      <c r="V58" s="437">
        <f t="shared" si="19"/>
        <v>3196.35</v>
      </c>
      <c r="W58" s="437">
        <f t="shared" si="27"/>
        <v>3027.6</v>
      </c>
      <c r="X58" s="437">
        <f t="shared" si="28"/>
        <v>2754.3809523809523</v>
      </c>
      <c r="Y58" s="437">
        <f t="shared" si="20"/>
        <v>3151.4761904761904</v>
      </c>
      <c r="Z58" s="437">
        <f t="shared" si="29"/>
        <v>4972.6190476190477</v>
      </c>
      <c r="AA58" s="437">
        <f t="shared" si="30"/>
        <v>5743</v>
      </c>
      <c r="AB58" s="438">
        <f t="shared" si="21"/>
        <v>4438.2988047808767</v>
      </c>
      <c r="AC58" s="439">
        <f t="shared" si="31"/>
        <v>6366.2380952380954</v>
      </c>
      <c r="AD58" s="437">
        <f t="shared" si="32"/>
        <v>8256.3333333333339</v>
      </c>
      <c r="AE58" s="437">
        <f t="shared" si="33"/>
        <v>3910.3333333333335</v>
      </c>
      <c r="AF58" s="437">
        <f t="shared" si="34"/>
        <v>6320.666666666667</v>
      </c>
      <c r="AG58" s="437">
        <f t="shared" si="22"/>
        <v>4219.9047619047615</v>
      </c>
      <c r="AH58" s="437">
        <f t="shared" si="35"/>
        <v>3315.1428571428573</v>
      </c>
      <c r="AI58" s="437">
        <f t="shared" si="23"/>
        <v>3144.3333333333335</v>
      </c>
      <c r="AJ58" s="437">
        <f t="shared" si="36"/>
        <v>2757.9047619047619</v>
      </c>
      <c r="AK58" s="437">
        <f t="shared" si="37"/>
        <v>2717.0952380952381</v>
      </c>
      <c r="AL58" s="437">
        <f t="shared" si="24"/>
        <v>2742.0476190476193</v>
      </c>
      <c r="AM58" s="437">
        <f t="shared" si="38"/>
        <v>5348.4761904761908</v>
      </c>
      <c r="AN58" s="437">
        <f t="shared" si="39"/>
        <v>5103.9523809523807</v>
      </c>
      <c r="AO58" s="438">
        <f t="shared" si="25"/>
        <v>4516.8690476190477</v>
      </c>
      <c r="AQ58" s="428">
        <v>6574.1</v>
      </c>
      <c r="AR58" s="429">
        <v>6004.05</v>
      </c>
      <c r="AS58" s="429">
        <v>4741.95</v>
      </c>
      <c r="AT58" s="429">
        <v>5199.2</v>
      </c>
      <c r="AU58" s="429">
        <v>3956.8</v>
      </c>
      <c r="AV58" s="429">
        <v>4344.1000000000004</v>
      </c>
      <c r="AW58" s="429">
        <v>2530.4</v>
      </c>
      <c r="AX58" s="429">
        <v>2875.3333333333335</v>
      </c>
      <c r="AY58" s="429">
        <v>2486.7619047619046</v>
      </c>
      <c r="AZ58" s="429">
        <v>3900.8571428571427</v>
      </c>
      <c r="BA58" s="429">
        <v>4111.7142857142853</v>
      </c>
      <c r="BB58" s="429">
        <v>5175.045454545455</v>
      </c>
      <c r="BC58" s="431">
        <v>4315.9796747967475</v>
      </c>
      <c r="BD58" s="428">
        <v>6502.3809523809523</v>
      </c>
      <c r="BE58" s="429">
        <v>5450.363636363636</v>
      </c>
      <c r="BF58" s="429">
        <v>5943</v>
      </c>
      <c r="BG58" s="429">
        <v>4733.4761904761908</v>
      </c>
      <c r="BH58" s="429">
        <v>4551.9047619047615</v>
      </c>
      <c r="BI58" s="429">
        <v>3058.5238095238096</v>
      </c>
      <c r="BJ58" s="429">
        <v>3196.35</v>
      </c>
      <c r="BK58" s="429">
        <v>3027.6</v>
      </c>
      <c r="BL58" s="429">
        <v>2754.3809523809523</v>
      </c>
      <c r="BM58" s="429">
        <v>3151.4761904761904</v>
      </c>
      <c r="BN58" s="429">
        <v>4972.6190476190477</v>
      </c>
      <c r="BO58" s="429">
        <v>5743</v>
      </c>
      <c r="BP58" s="431">
        <v>4438.2988047808767</v>
      </c>
      <c r="BQ58" s="428">
        <v>6366.2380952380954</v>
      </c>
      <c r="BR58" s="429">
        <v>8256.3333333333339</v>
      </c>
      <c r="BS58" s="429">
        <v>3910.3333333333335</v>
      </c>
      <c r="BT58" s="429">
        <v>6320.666666666667</v>
      </c>
      <c r="BU58" s="429">
        <v>4219.9047619047615</v>
      </c>
      <c r="BV58" s="429">
        <v>3315.1428571428573</v>
      </c>
      <c r="BW58" s="429">
        <v>3144.3333333333335</v>
      </c>
      <c r="BX58" s="429">
        <v>2757.9047619047619</v>
      </c>
      <c r="BY58" s="429">
        <v>2717.0952380952381</v>
      </c>
      <c r="BZ58" s="429">
        <v>2742.0476190476193</v>
      </c>
      <c r="CA58" s="429">
        <v>5348.4761904761908</v>
      </c>
      <c r="CB58" s="429">
        <v>5103.9523809523807</v>
      </c>
      <c r="CC58" s="431">
        <v>4516.8690476190477</v>
      </c>
    </row>
    <row r="59" spans="1:81">
      <c r="A59" s="420" t="s">
        <v>187</v>
      </c>
      <c r="B59" s="420" t="s">
        <v>183</v>
      </c>
      <c r="C59" s="436">
        <f t="shared" si="1"/>
        <v>0</v>
      </c>
      <c r="D59" s="437">
        <f t="shared" si="2"/>
        <v>0</v>
      </c>
      <c r="E59" s="437">
        <f t="shared" si="3"/>
        <v>0</v>
      </c>
      <c r="F59" s="437">
        <f t="shared" si="4"/>
        <v>0</v>
      </c>
      <c r="G59" s="437">
        <f t="shared" si="26"/>
        <v>0</v>
      </c>
      <c r="H59" s="437">
        <f t="shared" si="5"/>
        <v>0</v>
      </c>
      <c r="I59" s="437">
        <f t="shared" si="6"/>
        <v>0</v>
      </c>
      <c r="J59" s="437">
        <f t="shared" si="7"/>
        <v>0</v>
      </c>
      <c r="K59" s="437">
        <f t="shared" si="8"/>
        <v>0</v>
      </c>
      <c r="L59" s="437">
        <f t="shared" si="9"/>
        <v>0</v>
      </c>
      <c r="M59" s="437">
        <f t="shared" si="10"/>
        <v>0</v>
      </c>
      <c r="N59" s="437">
        <f t="shared" si="11"/>
        <v>0</v>
      </c>
      <c r="O59" s="438">
        <f t="shared" si="12"/>
        <v>0</v>
      </c>
      <c r="P59" s="439">
        <f t="shared" si="13"/>
        <v>0</v>
      </c>
      <c r="Q59" s="437">
        <f t="shared" si="14"/>
        <v>0</v>
      </c>
      <c r="R59" s="437">
        <f t="shared" si="15"/>
        <v>0</v>
      </c>
      <c r="S59" s="437">
        <f t="shared" si="16"/>
        <v>0</v>
      </c>
      <c r="T59" s="437">
        <f t="shared" si="17"/>
        <v>0</v>
      </c>
      <c r="U59" s="437">
        <f t="shared" si="18"/>
        <v>0</v>
      </c>
      <c r="V59" s="437">
        <f t="shared" si="19"/>
        <v>0</v>
      </c>
      <c r="W59" s="437">
        <f t="shared" si="27"/>
        <v>0</v>
      </c>
      <c r="X59" s="437">
        <f t="shared" si="28"/>
        <v>0</v>
      </c>
      <c r="Y59" s="437">
        <f t="shared" si="20"/>
        <v>0</v>
      </c>
      <c r="Z59" s="437">
        <f t="shared" si="29"/>
        <v>0</v>
      </c>
      <c r="AA59" s="437">
        <f t="shared" si="30"/>
        <v>0</v>
      </c>
      <c r="AB59" s="438">
        <f t="shared" si="21"/>
        <v>0</v>
      </c>
      <c r="AC59" s="439">
        <f t="shared" si="31"/>
        <v>0</v>
      </c>
      <c r="AD59" s="437">
        <f t="shared" si="32"/>
        <v>0</v>
      </c>
      <c r="AE59" s="437">
        <f t="shared" si="33"/>
        <v>0</v>
      </c>
      <c r="AF59" s="437">
        <f t="shared" si="34"/>
        <v>0</v>
      </c>
      <c r="AG59" s="437">
        <f t="shared" si="22"/>
        <v>0</v>
      </c>
      <c r="AH59" s="437">
        <f t="shared" si="35"/>
        <v>0</v>
      </c>
      <c r="AI59" s="437">
        <f t="shared" si="23"/>
        <v>0</v>
      </c>
      <c r="AJ59" s="437">
        <f t="shared" si="36"/>
        <v>0</v>
      </c>
      <c r="AK59" s="437">
        <f t="shared" si="37"/>
        <v>0</v>
      </c>
      <c r="AL59" s="437">
        <f t="shared" si="24"/>
        <v>0</v>
      </c>
      <c r="AM59" s="437">
        <f t="shared" si="38"/>
        <v>0</v>
      </c>
      <c r="AN59" s="437">
        <f t="shared" si="39"/>
        <v>0</v>
      </c>
      <c r="AO59" s="438">
        <f t="shared" si="25"/>
        <v>0</v>
      </c>
      <c r="AQ59" s="428">
        <v>0</v>
      </c>
      <c r="AR59" s="429">
        <v>0</v>
      </c>
      <c r="AS59" s="429">
        <v>0</v>
      </c>
      <c r="AT59" s="429">
        <v>0</v>
      </c>
      <c r="AU59" s="429">
        <v>0</v>
      </c>
      <c r="AV59" s="429">
        <v>0</v>
      </c>
      <c r="AW59" s="429">
        <v>0</v>
      </c>
      <c r="AX59" s="429">
        <v>0</v>
      </c>
      <c r="AY59" s="429">
        <v>0</v>
      </c>
      <c r="AZ59" s="429">
        <v>0</v>
      </c>
      <c r="BA59" s="429">
        <v>0</v>
      </c>
      <c r="BB59" s="429">
        <v>0</v>
      </c>
      <c r="BC59" s="431">
        <v>0</v>
      </c>
      <c r="BD59" s="428">
        <v>0</v>
      </c>
      <c r="BE59" s="429">
        <v>0</v>
      </c>
      <c r="BF59" s="429">
        <v>0</v>
      </c>
      <c r="BG59" s="429">
        <v>0</v>
      </c>
      <c r="BH59" s="429">
        <v>0</v>
      </c>
      <c r="BI59" s="429">
        <v>0</v>
      </c>
      <c r="BJ59" s="429">
        <v>0</v>
      </c>
      <c r="BK59" s="429">
        <v>0</v>
      </c>
      <c r="BL59" s="429">
        <v>0</v>
      </c>
      <c r="BM59" s="429">
        <v>0</v>
      </c>
      <c r="BN59" s="429">
        <v>0</v>
      </c>
      <c r="BO59" s="429">
        <v>0</v>
      </c>
      <c r="BP59" s="431">
        <v>0</v>
      </c>
      <c r="BQ59" s="428">
        <v>0</v>
      </c>
      <c r="BR59" s="429">
        <v>0</v>
      </c>
      <c r="BS59" s="429">
        <v>0</v>
      </c>
      <c r="BT59" s="429">
        <v>0</v>
      </c>
      <c r="BU59" s="429">
        <v>0</v>
      </c>
      <c r="BV59" s="429">
        <v>0</v>
      </c>
      <c r="BW59" s="429">
        <v>0</v>
      </c>
      <c r="BX59" s="429">
        <v>0</v>
      </c>
      <c r="BY59" s="429">
        <v>0</v>
      </c>
      <c r="BZ59" s="429">
        <v>0</v>
      </c>
      <c r="CA59" s="429">
        <v>0</v>
      </c>
      <c r="CB59" s="429">
        <v>0</v>
      </c>
      <c r="CC59" s="431">
        <v>0</v>
      </c>
    </row>
    <row r="60" spans="1:81">
      <c r="A60" s="445"/>
      <c r="B60" s="445"/>
      <c r="C60" s="446"/>
      <c r="D60" s="447"/>
      <c r="E60" s="447"/>
      <c r="F60" s="447"/>
      <c r="G60" s="447"/>
      <c r="H60" s="447"/>
      <c r="I60" s="447"/>
      <c r="J60" s="447"/>
      <c r="K60" s="447"/>
      <c r="L60" s="447"/>
      <c r="M60" s="447"/>
      <c r="N60" s="447"/>
      <c r="O60" s="448"/>
      <c r="P60" s="449"/>
      <c r="Q60" s="447"/>
      <c r="R60" s="447"/>
      <c r="S60" s="447"/>
      <c r="T60" s="447"/>
      <c r="U60" s="447"/>
      <c r="V60" s="447"/>
      <c r="W60" s="447"/>
      <c r="X60" s="447"/>
      <c r="Y60" s="447"/>
      <c r="Z60" s="447"/>
      <c r="AA60" s="447"/>
      <c r="AB60" s="448"/>
      <c r="AC60" s="449"/>
      <c r="AD60" s="447"/>
      <c r="AE60" s="447"/>
      <c r="AF60" s="447"/>
      <c r="AG60" s="447"/>
      <c r="AH60" s="447"/>
      <c r="AI60" s="447"/>
      <c r="AJ60" s="447"/>
      <c r="AK60" s="447"/>
      <c r="AL60" s="447"/>
      <c r="AM60" s="447"/>
      <c r="AN60" s="447"/>
      <c r="AO60" s="448"/>
      <c r="AQ60" s="450"/>
      <c r="AR60" s="451"/>
      <c r="AS60" s="451"/>
      <c r="AT60" s="451"/>
      <c r="AU60" s="451"/>
      <c r="AV60" s="451"/>
      <c r="AW60" s="451"/>
      <c r="AX60" s="451"/>
      <c r="AY60" s="451"/>
      <c r="AZ60" s="451"/>
      <c r="BA60" s="451"/>
      <c r="BB60" s="451"/>
      <c r="BC60" s="452"/>
      <c r="BD60" s="453"/>
      <c r="BE60" s="451"/>
      <c r="BF60" s="451"/>
      <c r="BG60" s="451"/>
      <c r="BH60" s="451"/>
      <c r="BI60" s="451"/>
      <c r="BJ60" s="451"/>
      <c r="BK60" s="451"/>
      <c r="BL60" s="451"/>
      <c r="BM60" s="451"/>
      <c r="BN60" s="451"/>
      <c r="BO60" s="451"/>
      <c r="BP60" s="452"/>
      <c r="BQ60" s="453"/>
      <c r="BR60" s="451"/>
      <c r="BS60" s="451"/>
      <c r="BT60" s="451"/>
      <c r="BU60" s="451"/>
      <c r="BV60" s="451"/>
      <c r="BW60" s="451"/>
      <c r="BX60" s="451"/>
      <c r="BY60" s="451"/>
      <c r="BZ60" s="451"/>
      <c r="CA60" s="451"/>
      <c r="CB60" s="451"/>
      <c r="CC60" s="452"/>
    </row>
    <row r="61" spans="1:81">
      <c r="B61" s="456" t="s">
        <v>188</v>
      </c>
      <c r="C61" s="436"/>
      <c r="D61" s="437"/>
      <c r="E61" s="437"/>
      <c r="F61" s="437"/>
      <c r="G61" s="437"/>
      <c r="H61" s="437"/>
      <c r="I61" s="437"/>
      <c r="J61" s="437"/>
      <c r="K61" s="437"/>
      <c r="L61" s="437"/>
      <c r="M61" s="437"/>
      <c r="N61" s="437"/>
      <c r="O61" s="438"/>
      <c r="P61" s="439"/>
      <c r="Q61" s="437"/>
      <c r="R61" s="437"/>
      <c r="S61" s="437"/>
      <c r="T61" s="437"/>
      <c r="U61" s="437"/>
      <c r="V61" s="437"/>
      <c r="W61" s="437"/>
      <c r="X61" s="437"/>
      <c r="Y61" s="437"/>
      <c r="Z61" s="437"/>
      <c r="AA61" s="437"/>
      <c r="AB61" s="438"/>
      <c r="AC61" s="439"/>
      <c r="AD61" s="437"/>
      <c r="AE61" s="437"/>
      <c r="AF61" s="437"/>
      <c r="AG61" s="437"/>
      <c r="AH61" s="437"/>
      <c r="AI61" s="437"/>
      <c r="AJ61" s="437"/>
      <c r="AK61" s="437"/>
      <c r="AL61" s="437"/>
      <c r="AM61" s="437"/>
      <c r="AN61" s="437"/>
      <c r="AO61" s="438"/>
      <c r="AQ61" s="428"/>
      <c r="AR61" s="429"/>
      <c r="AS61" s="429"/>
      <c r="AT61" s="429"/>
      <c r="AU61" s="429"/>
      <c r="AV61" s="429"/>
      <c r="AW61" s="429"/>
      <c r="AX61" s="429"/>
      <c r="AY61" s="429"/>
      <c r="AZ61" s="429"/>
      <c r="BA61" s="429"/>
      <c r="BB61" s="429"/>
      <c r="BC61" s="431"/>
      <c r="BD61" s="428"/>
      <c r="BE61" s="429"/>
      <c r="BF61" s="429"/>
      <c r="BG61" s="429"/>
      <c r="BH61" s="429"/>
      <c r="BI61" s="429"/>
      <c r="BJ61" s="429"/>
      <c r="BK61" s="429"/>
      <c r="BL61" s="429"/>
      <c r="BM61" s="429"/>
      <c r="BN61" s="429"/>
      <c r="BO61" s="429"/>
      <c r="BP61" s="431"/>
      <c r="BQ61" s="428"/>
      <c r="BR61" s="429"/>
      <c r="BS61" s="429"/>
      <c r="BT61" s="429"/>
      <c r="BU61" s="429"/>
      <c r="BV61" s="429"/>
      <c r="BW61" s="429"/>
      <c r="BX61" s="429"/>
      <c r="BY61" s="429"/>
      <c r="BZ61" s="429"/>
      <c r="CA61" s="429"/>
      <c r="CB61" s="429"/>
      <c r="CC61" s="431"/>
    </row>
    <row r="62" spans="1:81">
      <c r="A62" s="420" t="s">
        <v>188</v>
      </c>
      <c r="B62" s="420" t="s">
        <v>175</v>
      </c>
      <c r="C62" s="436">
        <f t="shared" si="1"/>
        <v>1717.7380952380952</v>
      </c>
      <c r="D62" s="437">
        <f t="shared" si="2"/>
        <v>1950.9587628865979</v>
      </c>
      <c r="E62" s="437">
        <f t="shared" si="3"/>
        <v>1364.4555555555555</v>
      </c>
      <c r="F62" s="437">
        <f t="shared" si="4"/>
        <v>1757.5</v>
      </c>
      <c r="G62" s="437">
        <f t="shared" si="26"/>
        <v>1338.2127659574469</v>
      </c>
      <c r="H62" s="437">
        <f t="shared" si="5"/>
        <v>1134.3978494623657</v>
      </c>
      <c r="I62" s="437">
        <f t="shared" si="6"/>
        <v>1225.0217391304348</v>
      </c>
      <c r="J62" s="437">
        <f t="shared" si="7"/>
        <v>1121.1630434782608</v>
      </c>
      <c r="K62" s="437">
        <f t="shared" si="8"/>
        <v>1143.8556701030927</v>
      </c>
      <c r="L62" s="437">
        <f t="shared" si="9"/>
        <v>939.25</v>
      </c>
      <c r="M62" s="437">
        <f t="shared" si="10"/>
        <v>1449.0108695652175</v>
      </c>
      <c r="N62" s="437">
        <f t="shared" si="11"/>
        <v>1343.5591397849462</v>
      </c>
      <c r="O62" s="438">
        <f t="shared" si="12"/>
        <v>1365.5654867256637</v>
      </c>
      <c r="P62" s="439">
        <f t="shared" si="13"/>
        <v>1859.3478260869565</v>
      </c>
      <c r="Q62" s="437">
        <f t="shared" si="14"/>
        <v>1496.0978260869565</v>
      </c>
      <c r="R62" s="437">
        <f t="shared" si="15"/>
        <v>2199.6521739130435</v>
      </c>
      <c r="S62" s="437">
        <f t="shared" si="16"/>
        <v>1375.1521739130435</v>
      </c>
      <c r="T62" s="437">
        <f t="shared" si="17"/>
        <v>1430.8695652173913</v>
      </c>
      <c r="U62" s="437">
        <f t="shared" si="18"/>
        <v>1211.445652173913</v>
      </c>
      <c r="V62" s="437">
        <f t="shared" si="19"/>
        <v>1320.7065217391305</v>
      </c>
      <c r="W62" s="437">
        <f t="shared" si="27"/>
        <v>1058.8617021276596</v>
      </c>
      <c r="X62" s="437">
        <f t="shared" si="28"/>
        <v>945.12631578947367</v>
      </c>
      <c r="Y62" s="437">
        <f t="shared" si="20"/>
        <v>1359.0306122448981</v>
      </c>
      <c r="Z62" s="437">
        <f t="shared" si="29"/>
        <v>1518.1789473684209</v>
      </c>
      <c r="AA62" s="437">
        <f t="shared" si="30"/>
        <v>1260.2857142857142</v>
      </c>
      <c r="AB62" s="438">
        <f t="shared" si="21"/>
        <v>1416.7446619217083</v>
      </c>
      <c r="AC62" s="439">
        <f t="shared" si="31"/>
        <v>1822.5957446808511</v>
      </c>
      <c r="AD62" s="437">
        <f t="shared" si="32"/>
        <v>1815.6595744680851</v>
      </c>
      <c r="AE62" s="437">
        <f t="shared" si="33"/>
        <v>1598.0198019801981</v>
      </c>
      <c r="AF62" s="437">
        <f t="shared" si="34"/>
        <v>1502.9405940594058</v>
      </c>
      <c r="AG62" s="437">
        <f t="shared" si="22"/>
        <v>1258.1944444444443</v>
      </c>
      <c r="AH62" s="437">
        <f t="shared" si="35"/>
        <v>781.59504132231405</v>
      </c>
      <c r="AI62" s="437">
        <f t="shared" si="23"/>
        <v>1147.878787878788</v>
      </c>
      <c r="AJ62" s="437">
        <f t="shared" si="36"/>
        <v>1041.5454545454545</v>
      </c>
      <c r="AK62" s="437">
        <f t="shared" si="37"/>
        <v>1210.2190476190476</v>
      </c>
      <c r="AL62" s="437">
        <f t="shared" si="24"/>
        <v>1030.6603773584907</v>
      </c>
      <c r="AM62" s="437">
        <f t="shared" si="38"/>
        <v>1440.1826923076924</v>
      </c>
      <c r="AN62" s="437">
        <f t="shared" si="39"/>
        <v>1431.6538461538462</v>
      </c>
      <c r="AO62" s="438">
        <f t="shared" si="25"/>
        <v>1324.7556634304208</v>
      </c>
      <c r="AQ62" s="428">
        <v>1717.7380952380952</v>
      </c>
      <c r="AR62" s="429">
        <v>1950.9587628865979</v>
      </c>
      <c r="AS62" s="429">
        <v>1364.4555555555555</v>
      </c>
      <c r="AT62" s="429">
        <v>1757.5</v>
      </c>
      <c r="AU62" s="429">
        <v>1338.2127659574469</v>
      </c>
      <c r="AV62" s="429">
        <v>1134.3978494623657</v>
      </c>
      <c r="AW62" s="429">
        <v>1225.0217391304348</v>
      </c>
      <c r="AX62" s="429">
        <v>1121.1630434782608</v>
      </c>
      <c r="AY62" s="429">
        <v>1143.8556701030927</v>
      </c>
      <c r="AZ62" s="429">
        <v>939.25</v>
      </c>
      <c r="BA62" s="429">
        <v>1449.0108695652175</v>
      </c>
      <c r="BB62" s="429">
        <v>1343.5591397849462</v>
      </c>
      <c r="BC62" s="431">
        <v>1365.5654867256637</v>
      </c>
      <c r="BD62" s="428">
        <v>1859.3478260869565</v>
      </c>
      <c r="BE62" s="429">
        <v>1496.0978260869565</v>
      </c>
      <c r="BF62" s="429">
        <v>2199.6521739130435</v>
      </c>
      <c r="BG62" s="429">
        <v>1375.1521739130435</v>
      </c>
      <c r="BH62" s="429">
        <v>1430.8695652173913</v>
      </c>
      <c r="BI62" s="429">
        <v>1211.445652173913</v>
      </c>
      <c r="BJ62" s="429">
        <v>1320.7065217391305</v>
      </c>
      <c r="BK62" s="429">
        <v>1058.8617021276596</v>
      </c>
      <c r="BL62" s="429">
        <v>945.12631578947367</v>
      </c>
      <c r="BM62" s="429">
        <v>1359.0306122448981</v>
      </c>
      <c r="BN62" s="429">
        <v>1518.1789473684209</v>
      </c>
      <c r="BO62" s="429">
        <v>1260.2857142857142</v>
      </c>
      <c r="BP62" s="431">
        <v>1416.7446619217083</v>
      </c>
      <c r="BQ62" s="428">
        <v>1822.5957446808511</v>
      </c>
      <c r="BR62" s="429">
        <v>1815.6595744680851</v>
      </c>
      <c r="BS62" s="429">
        <v>1598.0198019801981</v>
      </c>
      <c r="BT62" s="429">
        <v>1502.9405940594058</v>
      </c>
      <c r="BU62" s="429">
        <v>1258.1944444444443</v>
      </c>
      <c r="BV62" s="429">
        <v>781.59504132231405</v>
      </c>
      <c r="BW62" s="429">
        <v>1147.878787878788</v>
      </c>
      <c r="BX62" s="429">
        <v>1041.5454545454545</v>
      </c>
      <c r="BY62" s="429">
        <v>1210.2190476190476</v>
      </c>
      <c r="BZ62" s="429">
        <v>1030.6603773584907</v>
      </c>
      <c r="CA62" s="429">
        <v>1440.1826923076924</v>
      </c>
      <c r="CB62" s="429">
        <v>1431.6538461538462</v>
      </c>
      <c r="CC62" s="431">
        <v>1324.7556634304208</v>
      </c>
    </row>
    <row r="63" spans="1:81">
      <c r="A63" s="420" t="s">
        <v>188</v>
      </c>
      <c r="B63" s="420" t="s">
        <v>176</v>
      </c>
      <c r="C63" s="436">
        <f t="shared" si="1"/>
        <v>0</v>
      </c>
      <c r="D63" s="437">
        <f t="shared" si="2"/>
        <v>0</v>
      </c>
      <c r="E63" s="437">
        <f t="shared" si="3"/>
        <v>0</v>
      </c>
      <c r="F63" s="437">
        <f t="shared" si="4"/>
        <v>0</v>
      </c>
      <c r="G63" s="437">
        <f t="shared" si="26"/>
        <v>0</v>
      </c>
      <c r="H63" s="437">
        <f t="shared" si="5"/>
        <v>0</v>
      </c>
      <c r="I63" s="437">
        <f t="shared" si="6"/>
        <v>0</v>
      </c>
      <c r="J63" s="437">
        <f t="shared" si="7"/>
        <v>0</v>
      </c>
      <c r="K63" s="437">
        <f t="shared" si="8"/>
        <v>0</v>
      </c>
      <c r="L63" s="437">
        <f t="shared" si="9"/>
        <v>0</v>
      </c>
      <c r="M63" s="437">
        <f t="shared" si="10"/>
        <v>0</v>
      </c>
      <c r="N63" s="437">
        <f t="shared" si="11"/>
        <v>0</v>
      </c>
      <c r="O63" s="438">
        <f t="shared" si="12"/>
        <v>0</v>
      </c>
      <c r="P63" s="439">
        <f t="shared" si="13"/>
        <v>0</v>
      </c>
      <c r="Q63" s="437">
        <f t="shared" si="14"/>
        <v>0</v>
      </c>
      <c r="R63" s="437">
        <f t="shared" si="15"/>
        <v>0</v>
      </c>
      <c r="S63" s="437">
        <f t="shared" si="16"/>
        <v>0</v>
      </c>
      <c r="T63" s="437">
        <f t="shared" si="17"/>
        <v>0</v>
      </c>
      <c r="U63" s="437">
        <f t="shared" si="18"/>
        <v>0</v>
      </c>
      <c r="V63" s="437">
        <f t="shared" si="19"/>
        <v>0</v>
      </c>
      <c r="W63" s="437">
        <f t="shared" si="27"/>
        <v>0</v>
      </c>
      <c r="X63" s="437">
        <f t="shared" si="28"/>
        <v>0</v>
      </c>
      <c r="Y63" s="437">
        <f t="shared" si="20"/>
        <v>0</v>
      </c>
      <c r="Z63" s="437">
        <f t="shared" si="29"/>
        <v>0</v>
      </c>
      <c r="AA63" s="437">
        <f t="shared" si="30"/>
        <v>0</v>
      </c>
      <c r="AB63" s="438">
        <f t="shared" si="21"/>
        <v>0</v>
      </c>
      <c r="AC63" s="439">
        <f t="shared" si="31"/>
        <v>0</v>
      </c>
      <c r="AD63" s="437">
        <f t="shared" si="32"/>
        <v>0</v>
      </c>
      <c r="AE63" s="437">
        <f t="shared" si="33"/>
        <v>0</v>
      </c>
      <c r="AF63" s="437">
        <f t="shared" si="34"/>
        <v>0</v>
      </c>
      <c r="AG63" s="437">
        <f t="shared" si="22"/>
        <v>0</v>
      </c>
      <c r="AH63" s="437">
        <f t="shared" si="35"/>
        <v>0</v>
      </c>
      <c r="AI63" s="437">
        <f t="shared" si="23"/>
        <v>0</v>
      </c>
      <c r="AJ63" s="437">
        <f t="shared" si="36"/>
        <v>0</v>
      </c>
      <c r="AK63" s="437">
        <f t="shared" si="37"/>
        <v>0</v>
      </c>
      <c r="AL63" s="437">
        <f t="shared" si="24"/>
        <v>0</v>
      </c>
      <c r="AM63" s="437">
        <f t="shared" si="38"/>
        <v>0</v>
      </c>
      <c r="AN63" s="437">
        <f t="shared" si="39"/>
        <v>0</v>
      </c>
      <c r="AO63" s="438">
        <f t="shared" si="25"/>
        <v>0</v>
      </c>
      <c r="AQ63" s="428">
        <v>0</v>
      </c>
      <c r="AR63" s="429">
        <v>0</v>
      </c>
      <c r="AS63" s="429">
        <v>0</v>
      </c>
      <c r="AT63" s="429">
        <v>0</v>
      </c>
      <c r="AU63" s="429">
        <v>0</v>
      </c>
      <c r="AV63" s="429">
        <v>0</v>
      </c>
      <c r="AW63" s="429">
        <v>0</v>
      </c>
      <c r="AX63" s="429">
        <v>0</v>
      </c>
      <c r="AY63" s="429">
        <v>0</v>
      </c>
      <c r="AZ63" s="429">
        <v>0</v>
      </c>
      <c r="BA63" s="429">
        <v>0</v>
      </c>
      <c r="BB63" s="429">
        <v>0</v>
      </c>
      <c r="BC63" s="431">
        <v>0</v>
      </c>
      <c r="BD63" s="428">
        <v>0</v>
      </c>
      <c r="BE63" s="429">
        <v>0</v>
      </c>
      <c r="BF63" s="429">
        <v>0</v>
      </c>
      <c r="BG63" s="429">
        <v>0</v>
      </c>
      <c r="BH63" s="429">
        <v>0</v>
      </c>
      <c r="BI63" s="429">
        <v>0</v>
      </c>
      <c r="BJ63" s="429">
        <v>0</v>
      </c>
      <c r="BK63" s="429">
        <v>0</v>
      </c>
      <c r="BL63" s="429">
        <v>0</v>
      </c>
      <c r="BM63" s="429">
        <v>0</v>
      </c>
      <c r="BN63" s="429">
        <v>0</v>
      </c>
      <c r="BO63" s="429">
        <v>0</v>
      </c>
      <c r="BP63" s="431">
        <v>0</v>
      </c>
      <c r="BQ63" s="428">
        <v>0</v>
      </c>
      <c r="BR63" s="429">
        <v>0</v>
      </c>
      <c r="BS63" s="429">
        <v>0</v>
      </c>
      <c r="BT63" s="429">
        <v>0</v>
      </c>
      <c r="BU63" s="429">
        <v>0</v>
      </c>
      <c r="BV63" s="429">
        <v>0</v>
      </c>
      <c r="BW63" s="429">
        <v>0</v>
      </c>
      <c r="BX63" s="429">
        <v>0</v>
      </c>
      <c r="BY63" s="429">
        <v>0</v>
      </c>
      <c r="BZ63" s="429">
        <v>0</v>
      </c>
      <c r="CA63" s="429">
        <v>0</v>
      </c>
      <c r="CB63" s="429">
        <v>0</v>
      </c>
      <c r="CC63" s="431">
        <v>0</v>
      </c>
    </row>
    <row r="64" spans="1:81">
      <c r="A64" s="420" t="s">
        <v>188</v>
      </c>
      <c r="B64" s="420" t="s">
        <v>177</v>
      </c>
      <c r="C64" s="436">
        <f t="shared" si="1"/>
        <v>2138.5714285714284</v>
      </c>
      <c r="D64" s="437">
        <f t="shared" si="2"/>
        <v>3136</v>
      </c>
      <c r="E64" s="437">
        <f t="shared" si="3"/>
        <v>1902.1904761904761</v>
      </c>
      <c r="F64" s="437">
        <f t="shared" si="4"/>
        <v>2166.5714285714284</v>
      </c>
      <c r="G64" s="437">
        <f t="shared" si="26"/>
        <v>1715.047619047619</v>
      </c>
      <c r="H64" s="437">
        <f t="shared" si="5"/>
        <v>1534.047619047619</v>
      </c>
      <c r="I64" s="437">
        <f t="shared" si="6"/>
        <v>1724</v>
      </c>
      <c r="J64" s="437">
        <f t="shared" si="7"/>
        <v>1583.8095238095239</v>
      </c>
      <c r="K64" s="437">
        <f t="shared" si="8"/>
        <v>1751.4</v>
      </c>
      <c r="L64" s="437">
        <f t="shared" si="9"/>
        <v>1555.4761904761904</v>
      </c>
      <c r="M64" s="437">
        <f t="shared" si="10"/>
        <v>1972.7619047619048</v>
      </c>
      <c r="N64" s="437">
        <f t="shared" si="11"/>
        <v>1767.7619047619048</v>
      </c>
      <c r="O64" s="438">
        <f t="shared" si="12"/>
        <v>1913.7</v>
      </c>
      <c r="P64" s="439">
        <f t="shared" si="13"/>
        <v>2391.0476190476193</v>
      </c>
      <c r="Q64" s="437">
        <f t="shared" si="14"/>
        <v>2018.4285714285713</v>
      </c>
      <c r="R64" s="437">
        <f t="shared" si="15"/>
        <v>2974.9523809523807</v>
      </c>
      <c r="S64" s="437">
        <f t="shared" si="16"/>
        <v>1729.3636363636363</v>
      </c>
      <c r="T64" s="437">
        <f t="shared" si="17"/>
        <v>1903.8095238095239</v>
      </c>
      <c r="U64" s="437">
        <f t="shared" si="18"/>
        <v>1474.1904761904761</v>
      </c>
      <c r="V64" s="437">
        <f t="shared" si="19"/>
        <v>1692.6190476190477</v>
      </c>
      <c r="W64" s="437">
        <f t="shared" si="27"/>
        <v>1303.0952380952381</v>
      </c>
      <c r="X64" s="437">
        <f t="shared" si="28"/>
        <v>1343.3333333333333</v>
      </c>
      <c r="Y64" s="437">
        <f t="shared" si="20"/>
        <v>1813.4285714285713</v>
      </c>
      <c r="Z64" s="437">
        <f t="shared" si="29"/>
        <v>2071.0952380952381</v>
      </c>
      <c r="AA64" s="437">
        <f t="shared" si="30"/>
        <v>1138.6538461538462</v>
      </c>
      <c r="AB64" s="438">
        <f t="shared" si="21"/>
        <v>1807.5852713178294</v>
      </c>
      <c r="AC64" s="439">
        <f t="shared" si="31"/>
        <v>2396.6666666666665</v>
      </c>
      <c r="AD64" s="437">
        <f t="shared" si="32"/>
        <v>2302.1428571428573</v>
      </c>
      <c r="AE64" s="437">
        <f t="shared" si="33"/>
        <v>2238.8571428571427</v>
      </c>
      <c r="AF64" s="437">
        <f t="shared" si="34"/>
        <v>2041.5238095238096</v>
      </c>
      <c r="AG64" s="437">
        <f t="shared" si="22"/>
        <v>1500.88</v>
      </c>
      <c r="AH64" s="437">
        <f t="shared" si="35"/>
        <v>1368.5714285714287</v>
      </c>
      <c r="AI64" s="437">
        <f t="shared" si="23"/>
        <v>1431.5238095238096</v>
      </c>
      <c r="AJ64" s="437">
        <f t="shared" si="36"/>
        <v>1351.75</v>
      </c>
      <c r="AK64" s="437">
        <f t="shared" si="37"/>
        <v>1321.64</v>
      </c>
      <c r="AL64" s="437">
        <f t="shared" si="24"/>
        <v>1178.409090909091</v>
      </c>
      <c r="AM64" s="437">
        <f t="shared" si="38"/>
        <v>1857.7142857142858</v>
      </c>
      <c r="AN64" s="437">
        <f t="shared" si="39"/>
        <v>1887.047619047619</v>
      </c>
      <c r="AO64" s="438">
        <f t="shared" si="25"/>
        <v>1728.9538461538461</v>
      </c>
      <c r="AQ64" s="428">
        <v>2138.5714285714284</v>
      </c>
      <c r="AR64" s="429">
        <v>3136</v>
      </c>
      <c r="AS64" s="429">
        <v>1902.1904761904761</v>
      </c>
      <c r="AT64" s="429">
        <v>2166.5714285714284</v>
      </c>
      <c r="AU64" s="429">
        <v>1715.047619047619</v>
      </c>
      <c r="AV64" s="429">
        <v>1534.047619047619</v>
      </c>
      <c r="AW64" s="429">
        <v>1724</v>
      </c>
      <c r="AX64" s="429">
        <v>1583.8095238095239</v>
      </c>
      <c r="AY64" s="429">
        <v>1751.4</v>
      </c>
      <c r="AZ64" s="429">
        <v>1555.4761904761904</v>
      </c>
      <c r="BA64" s="429">
        <v>1972.7619047619048</v>
      </c>
      <c r="BB64" s="429">
        <v>1767.7619047619048</v>
      </c>
      <c r="BC64" s="431">
        <v>1913.7</v>
      </c>
      <c r="BD64" s="428">
        <v>2391.0476190476193</v>
      </c>
      <c r="BE64" s="429">
        <v>2018.4285714285713</v>
      </c>
      <c r="BF64" s="429">
        <v>2974.9523809523807</v>
      </c>
      <c r="BG64" s="429">
        <v>1729.3636363636363</v>
      </c>
      <c r="BH64" s="429">
        <v>1903.8095238095239</v>
      </c>
      <c r="BI64" s="429">
        <v>1474.1904761904761</v>
      </c>
      <c r="BJ64" s="429">
        <v>1692.6190476190477</v>
      </c>
      <c r="BK64" s="429">
        <v>1303.0952380952381</v>
      </c>
      <c r="BL64" s="429">
        <v>1343.3333333333333</v>
      </c>
      <c r="BM64" s="429">
        <v>1813.4285714285713</v>
      </c>
      <c r="BN64" s="429">
        <v>2071.0952380952381</v>
      </c>
      <c r="BO64" s="429">
        <v>1138.6538461538462</v>
      </c>
      <c r="BP64" s="431">
        <v>1807.5852713178294</v>
      </c>
      <c r="BQ64" s="428">
        <v>2396.6666666666665</v>
      </c>
      <c r="BR64" s="429">
        <v>2302.1428571428573</v>
      </c>
      <c r="BS64" s="429">
        <v>2238.8571428571427</v>
      </c>
      <c r="BT64" s="429">
        <v>2041.5238095238096</v>
      </c>
      <c r="BU64" s="429">
        <v>1500.88</v>
      </c>
      <c r="BV64" s="429">
        <v>1368.5714285714287</v>
      </c>
      <c r="BW64" s="429">
        <v>1431.5238095238096</v>
      </c>
      <c r="BX64" s="429">
        <v>1351.75</v>
      </c>
      <c r="BY64" s="429">
        <v>1321.64</v>
      </c>
      <c r="BZ64" s="429">
        <v>1178.409090909091</v>
      </c>
      <c r="CA64" s="429">
        <v>1857.7142857142858</v>
      </c>
      <c r="CB64" s="429">
        <v>1887.047619047619</v>
      </c>
      <c r="CC64" s="431">
        <v>1728.9538461538461</v>
      </c>
    </row>
    <row r="65" spans="1:81">
      <c r="A65" s="420" t="s">
        <v>188</v>
      </c>
      <c r="B65" s="420" t="s">
        <v>178</v>
      </c>
      <c r="C65" s="436">
        <f t="shared" si="1"/>
        <v>0</v>
      </c>
      <c r="D65" s="437">
        <f t="shared" si="2"/>
        <v>0</v>
      </c>
      <c r="E65" s="437">
        <f t="shared" si="3"/>
        <v>0</v>
      </c>
      <c r="F65" s="437">
        <f t="shared" si="4"/>
        <v>0</v>
      </c>
      <c r="G65" s="437">
        <f t="shared" si="26"/>
        <v>0</v>
      </c>
      <c r="H65" s="437">
        <f t="shared" si="5"/>
        <v>0</v>
      </c>
      <c r="I65" s="437">
        <f t="shared" si="6"/>
        <v>0</v>
      </c>
      <c r="J65" s="437">
        <f t="shared" si="7"/>
        <v>0</v>
      </c>
      <c r="K65" s="437">
        <f t="shared" si="8"/>
        <v>0</v>
      </c>
      <c r="L65" s="437">
        <f t="shared" si="9"/>
        <v>0</v>
      </c>
      <c r="M65" s="437">
        <f t="shared" si="10"/>
        <v>0</v>
      </c>
      <c r="N65" s="437">
        <f t="shared" si="11"/>
        <v>0</v>
      </c>
      <c r="O65" s="438">
        <f t="shared" si="12"/>
        <v>0</v>
      </c>
      <c r="P65" s="439">
        <f t="shared" si="13"/>
        <v>0</v>
      </c>
      <c r="Q65" s="437">
        <f t="shared" si="14"/>
        <v>0</v>
      </c>
      <c r="R65" s="437">
        <f t="shared" si="15"/>
        <v>0</v>
      </c>
      <c r="S65" s="437">
        <f t="shared" si="16"/>
        <v>0</v>
      </c>
      <c r="T65" s="437">
        <f t="shared" si="17"/>
        <v>0</v>
      </c>
      <c r="U65" s="437">
        <f t="shared" si="18"/>
        <v>0</v>
      </c>
      <c r="V65" s="437">
        <f t="shared" si="19"/>
        <v>0</v>
      </c>
      <c r="W65" s="437">
        <f t="shared" si="27"/>
        <v>0</v>
      </c>
      <c r="X65" s="437">
        <f t="shared" si="28"/>
        <v>0</v>
      </c>
      <c r="Y65" s="437">
        <f t="shared" si="20"/>
        <v>0</v>
      </c>
      <c r="Z65" s="437">
        <f t="shared" si="29"/>
        <v>0</v>
      </c>
      <c r="AA65" s="437">
        <f t="shared" si="30"/>
        <v>0</v>
      </c>
      <c r="AB65" s="438">
        <f t="shared" si="21"/>
        <v>0</v>
      </c>
      <c r="AC65" s="439">
        <f t="shared" si="31"/>
        <v>0</v>
      </c>
      <c r="AD65" s="437">
        <f t="shared" si="32"/>
        <v>0</v>
      </c>
      <c r="AE65" s="437">
        <f t="shared" si="33"/>
        <v>0</v>
      </c>
      <c r="AF65" s="437">
        <f t="shared" si="34"/>
        <v>0</v>
      </c>
      <c r="AG65" s="437">
        <f t="shared" si="22"/>
        <v>0</v>
      </c>
      <c r="AH65" s="437">
        <f t="shared" si="35"/>
        <v>0</v>
      </c>
      <c r="AI65" s="437">
        <f t="shared" si="23"/>
        <v>0</v>
      </c>
      <c r="AJ65" s="437">
        <f t="shared" si="36"/>
        <v>0</v>
      </c>
      <c r="AK65" s="437">
        <f t="shared" si="37"/>
        <v>0</v>
      </c>
      <c r="AL65" s="437">
        <f t="shared" si="24"/>
        <v>0</v>
      </c>
      <c r="AM65" s="437">
        <f t="shared" si="38"/>
        <v>0</v>
      </c>
      <c r="AN65" s="437">
        <f t="shared" si="39"/>
        <v>0</v>
      </c>
      <c r="AO65" s="438">
        <f t="shared" si="25"/>
        <v>0</v>
      </c>
      <c r="AQ65" s="428">
        <v>0</v>
      </c>
      <c r="AR65" s="429">
        <v>0</v>
      </c>
      <c r="AS65" s="429">
        <v>0</v>
      </c>
      <c r="AT65" s="429">
        <v>0</v>
      </c>
      <c r="AU65" s="429">
        <v>0</v>
      </c>
      <c r="AV65" s="429">
        <v>0</v>
      </c>
      <c r="AW65" s="429">
        <v>0</v>
      </c>
      <c r="AX65" s="429">
        <v>0</v>
      </c>
      <c r="AY65" s="429">
        <v>0</v>
      </c>
      <c r="AZ65" s="429">
        <v>0</v>
      </c>
      <c r="BA65" s="429">
        <v>0</v>
      </c>
      <c r="BB65" s="429">
        <v>0</v>
      </c>
      <c r="BC65" s="431">
        <v>0</v>
      </c>
      <c r="BD65" s="428">
        <v>0</v>
      </c>
      <c r="BE65" s="429">
        <v>0</v>
      </c>
      <c r="BF65" s="429">
        <v>0</v>
      </c>
      <c r="BG65" s="429">
        <v>0</v>
      </c>
      <c r="BH65" s="429">
        <v>0</v>
      </c>
      <c r="BI65" s="429">
        <v>0</v>
      </c>
      <c r="BJ65" s="429">
        <v>0</v>
      </c>
      <c r="BK65" s="429">
        <v>0</v>
      </c>
      <c r="BL65" s="429">
        <v>0</v>
      </c>
      <c r="BM65" s="429">
        <v>0</v>
      </c>
      <c r="BN65" s="429">
        <v>0</v>
      </c>
      <c r="BO65" s="429">
        <v>0</v>
      </c>
      <c r="BP65" s="431">
        <v>0</v>
      </c>
      <c r="BQ65" s="428">
        <v>0</v>
      </c>
      <c r="BR65" s="429">
        <v>0</v>
      </c>
      <c r="BS65" s="429">
        <v>0</v>
      </c>
      <c r="BT65" s="429">
        <v>0</v>
      </c>
      <c r="BU65" s="429">
        <v>0</v>
      </c>
      <c r="BV65" s="429">
        <v>0</v>
      </c>
      <c r="BW65" s="429">
        <v>0</v>
      </c>
      <c r="BX65" s="429">
        <v>0</v>
      </c>
      <c r="BY65" s="429">
        <v>0</v>
      </c>
      <c r="BZ65" s="429">
        <v>0</v>
      </c>
      <c r="CA65" s="429">
        <v>0</v>
      </c>
      <c r="CB65" s="429">
        <v>0</v>
      </c>
      <c r="CC65" s="431">
        <v>0</v>
      </c>
    </row>
    <row r="66" spans="1:81">
      <c r="A66" s="420" t="s">
        <v>188</v>
      </c>
      <c r="B66" s="420" t="s">
        <v>179</v>
      </c>
      <c r="C66" s="436">
        <f t="shared" si="1"/>
        <v>0</v>
      </c>
      <c r="D66" s="437">
        <f t="shared" si="2"/>
        <v>0</v>
      </c>
      <c r="E66" s="437">
        <f t="shared" si="3"/>
        <v>0</v>
      </c>
      <c r="F66" s="437">
        <f t="shared" si="4"/>
        <v>0</v>
      </c>
      <c r="G66" s="437">
        <f t="shared" si="26"/>
        <v>0</v>
      </c>
      <c r="H66" s="437">
        <f t="shared" si="5"/>
        <v>0</v>
      </c>
      <c r="I66" s="437">
        <f t="shared" si="6"/>
        <v>0</v>
      </c>
      <c r="J66" s="437">
        <f t="shared" si="7"/>
        <v>0</v>
      </c>
      <c r="K66" s="437">
        <f t="shared" si="8"/>
        <v>0</v>
      </c>
      <c r="L66" s="437">
        <f t="shared" si="9"/>
        <v>0</v>
      </c>
      <c r="M66" s="437">
        <f t="shared" si="10"/>
        <v>0</v>
      </c>
      <c r="N66" s="437">
        <f t="shared" si="11"/>
        <v>0</v>
      </c>
      <c r="O66" s="438">
        <f t="shared" si="12"/>
        <v>0</v>
      </c>
      <c r="P66" s="439">
        <f t="shared" si="13"/>
        <v>0</v>
      </c>
      <c r="Q66" s="437">
        <f t="shared" si="14"/>
        <v>0</v>
      </c>
      <c r="R66" s="437">
        <f t="shared" si="15"/>
        <v>0</v>
      </c>
      <c r="S66" s="437">
        <f t="shared" si="16"/>
        <v>0</v>
      </c>
      <c r="T66" s="437">
        <f t="shared" si="17"/>
        <v>0</v>
      </c>
      <c r="U66" s="437">
        <f t="shared" si="18"/>
        <v>0</v>
      </c>
      <c r="V66" s="437">
        <f t="shared" si="19"/>
        <v>0</v>
      </c>
      <c r="W66" s="437">
        <f t="shared" si="27"/>
        <v>0</v>
      </c>
      <c r="X66" s="437">
        <f t="shared" si="28"/>
        <v>0</v>
      </c>
      <c r="Y66" s="437">
        <f t="shared" si="20"/>
        <v>0</v>
      </c>
      <c r="Z66" s="437">
        <f t="shared" si="29"/>
        <v>0</v>
      </c>
      <c r="AA66" s="437">
        <f t="shared" si="30"/>
        <v>0</v>
      </c>
      <c r="AB66" s="438">
        <f t="shared" si="21"/>
        <v>0</v>
      </c>
      <c r="AC66" s="439">
        <f t="shared" si="31"/>
        <v>0</v>
      </c>
      <c r="AD66" s="437">
        <f t="shared" si="32"/>
        <v>0</v>
      </c>
      <c r="AE66" s="437">
        <f t="shared" si="33"/>
        <v>0</v>
      </c>
      <c r="AF66" s="437">
        <f t="shared" si="34"/>
        <v>0</v>
      </c>
      <c r="AG66" s="437">
        <f t="shared" si="22"/>
        <v>0</v>
      </c>
      <c r="AH66" s="437">
        <f t="shared" si="35"/>
        <v>0</v>
      </c>
      <c r="AI66" s="437">
        <f t="shared" si="23"/>
        <v>0</v>
      </c>
      <c r="AJ66" s="437">
        <f t="shared" si="36"/>
        <v>0</v>
      </c>
      <c r="AK66" s="437">
        <f t="shared" si="37"/>
        <v>0</v>
      </c>
      <c r="AL66" s="437">
        <f t="shared" si="24"/>
        <v>0</v>
      </c>
      <c r="AM66" s="437">
        <f t="shared" si="38"/>
        <v>0</v>
      </c>
      <c r="AN66" s="437">
        <f t="shared" si="39"/>
        <v>0</v>
      </c>
      <c r="AO66" s="438">
        <f t="shared" si="25"/>
        <v>0</v>
      </c>
      <c r="AQ66" s="428">
        <v>0</v>
      </c>
      <c r="AR66" s="429">
        <v>0</v>
      </c>
      <c r="AS66" s="429">
        <v>0</v>
      </c>
      <c r="AT66" s="429">
        <v>0</v>
      </c>
      <c r="AU66" s="429">
        <v>0</v>
      </c>
      <c r="AV66" s="429">
        <v>0</v>
      </c>
      <c r="AW66" s="429">
        <v>0</v>
      </c>
      <c r="AX66" s="429">
        <v>0</v>
      </c>
      <c r="AY66" s="429">
        <v>0</v>
      </c>
      <c r="AZ66" s="429">
        <v>0</v>
      </c>
      <c r="BA66" s="429">
        <v>0</v>
      </c>
      <c r="BB66" s="429">
        <v>0</v>
      </c>
      <c r="BC66" s="431">
        <v>0</v>
      </c>
      <c r="BD66" s="428">
        <v>0</v>
      </c>
      <c r="BE66" s="429">
        <v>0</v>
      </c>
      <c r="BF66" s="429">
        <v>0</v>
      </c>
      <c r="BG66" s="429">
        <v>0</v>
      </c>
      <c r="BH66" s="429">
        <v>0</v>
      </c>
      <c r="BI66" s="429">
        <v>0</v>
      </c>
      <c r="BJ66" s="429">
        <v>0</v>
      </c>
      <c r="BK66" s="429">
        <v>0</v>
      </c>
      <c r="BL66" s="429">
        <v>0</v>
      </c>
      <c r="BM66" s="429">
        <v>0</v>
      </c>
      <c r="BN66" s="429">
        <v>0</v>
      </c>
      <c r="BO66" s="429">
        <v>0</v>
      </c>
      <c r="BP66" s="431">
        <v>0</v>
      </c>
      <c r="BQ66" s="428">
        <v>0</v>
      </c>
      <c r="BR66" s="429">
        <v>0</v>
      </c>
      <c r="BS66" s="429">
        <v>0</v>
      </c>
      <c r="BT66" s="429">
        <v>0</v>
      </c>
      <c r="BU66" s="429">
        <v>0</v>
      </c>
      <c r="BV66" s="429">
        <v>0</v>
      </c>
      <c r="BW66" s="429">
        <v>0</v>
      </c>
      <c r="BX66" s="429">
        <v>0</v>
      </c>
      <c r="BY66" s="429">
        <v>0</v>
      </c>
      <c r="BZ66" s="429">
        <v>0</v>
      </c>
      <c r="CA66" s="429">
        <v>0</v>
      </c>
      <c r="CB66" s="429">
        <v>0</v>
      </c>
      <c r="CC66" s="431">
        <v>0</v>
      </c>
    </row>
    <row r="67" spans="1:81">
      <c r="A67" s="420" t="s">
        <v>188</v>
      </c>
      <c r="B67" s="420" t="s">
        <v>180</v>
      </c>
      <c r="C67" s="436">
        <f t="shared" si="1"/>
        <v>1644.8</v>
      </c>
      <c r="D67" s="437">
        <f t="shared" si="2"/>
        <v>2377.1999999999998</v>
      </c>
      <c r="E67" s="437">
        <f t="shared" si="3"/>
        <v>1343.3</v>
      </c>
      <c r="F67" s="437">
        <f t="shared" si="4"/>
        <v>1655.8</v>
      </c>
      <c r="G67" s="437">
        <f t="shared" si="26"/>
        <v>1053.0999999999999</v>
      </c>
      <c r="H67" s="437">
        <f t="shared" si="5"/>
        <v>846.8</v>
      </c>
      <c r="I67" s="437">
        <f t="shared" si="6"/>
        <v>754.4</v>
      </c>
      <c r="J67" s="437">
        <f t="shared" si="7"/>
        <v>682.9</v>
      </c>
      <c r="K67" s="437">
        <f t="shared" si="8"/>
        <v>778.6</v>
      </c>
      <c r="L67" s="437">
        <f t="shared" si="9"/>
        <v>915.7</v>
      </c>
      <c r="M67" s="437">
        <f t="shared" si="10"/>
        <v>1134.3636363636363</v>
      </c>
      <c r="N67" s="437">
        <f t="shared" si="11"/>
        <v>1089.909090909091</v>
      </c>
      <c r="O67" s="438">
        <f t="shared" si="12"/>
        <v>1188.467213114754</v>
      </c>
      <c r="P67" s="439">
        <f t="shared" si="13"/>
        <v>1420.3636363636363</v>
      </c>
      <c r="Q67" s="437">
        <f t="shared" si="14"/>
        <v>1320.2727272727273</v>
      </c>
      <c r="R67" s="437">
        <f t="shared" si="15"/>
        <v>1847.5454545454545</v>
      </c>
      <c r="S67" s="437">
        <f t="shared" si="16"/>
        <v>1222.090909090909</v>
      </c>
      <c r="T67" s="437">
        <f t="shared" si="17"/>
        <v>1042.2727272727273</v>
      </c>
      <c r="U67" s="437">
        <f t="shared" si="18"/>
        <v>780.72727272727275</v>
      </c>
      <c r="V67" s="437">
        <f t="shared" si="19"/>
        <v>733.63636363636363</v>
      </c>
      <c r="W67" s="437">
        <f t="shared" si="27"/>
        <v>641.4545454545455</v>
      </c>
      <c r="X67" s="437">
        <f t="shared" si="28"/>
        <v>606.72727272727275</v>
      </c>
      <c r="Y67" s="437">
        <f t="shared" si="20"/>
        <v>1079</v>
      </c>
      <c r="Z67" s="437">
        <f t="shared" si="29"/>
        <v>1206.909090909091</v>
      </c>
      <c r="AA67" s="437">
        <f t="shared" si="30"/>
        <v>1052.5</v>
      </c>
      <c r="AB67" s="438">
        <f t="shared" si="21"/>
        <v>1079.2556390977443</v>
      </c>
      <c r="AC67" s="439">
        <f t="shared" si="31"/>
        <v>1867.4545454545455</v>
      </c>
      <c r="AD67" s="437">
        <f t="shared" si="32"/>
        <v>1869.8181818181818</v>
      </c>
      <c r="AE67" s="437">
        <f t="shared" si="33"/>
        <v>1587.5454545454545</v>
      </c>
      <c r="AF67" s="437">
        <f t="shared" si="34"/>
        <v>1311.3636363636363</v>
      </c>
      <c r="AG67" s="437">
        <f t="shared" si="22"/>
        <v>1443.3333333333333</v>
      </c>
      <c r="AH67" s="437">
        <f t="shared" si="35"/>
        <v>839.90909090909088</v>
      </c>
      <c r="AI67" s="437">
        <f t="shared" si="23"/>
        <v>946.90909090909088</v>
      </c>
      <c r="AJ67" s="437">
        <f t="shared" si="36"/>
        <v>671.81818181818187</v>
      </c>
      <c r="AK67" s="437">
        <f t="shared" si="37"/>
        <v>943.63636363636363</v>
      </c>
      <c r="AL67" s="437">
        <f t="shared" si="24"/>
        <v>1121.6363636363637</v>
      </c>
      <c r="AM67" s="437">
        <f t="shared" si="38"/>
        <v>782</v>
      </c>
      <c r="AN67" s="437">
        <f t="shared" si="39"/>
        <v>1337.090909090909</v>
      </c>
      <c r="AO67" s="438">
        <f t="shared" si="25"/>
        <v>1215.4671532846714</v>
      </c>
      <c r="AQ67" s="428">
        <v>1644.8</v>
      </c>
      <c r="AR67" s="429">
        <v>2377.1999999999998</v>
      </c>
      <c r="AS67" s="429">
        <v>1343.3</v>
      </c>
      <c r="AT67" s="429">
        <v>1655.8</v>
      </c>
      <c r="AU67" s="429">
        <v>1053.0999999999999</v>
      </c>
      <c r="AV67" s="429">
        <v>846.8</v>
      </c>
      <c r="AW67" s="429">
        <v>754.4</v>
      </c>
      <c r="AX67" s="429">
        <v>682.9</v>
      </c>
      <c r="AY67" s="429">
        <v>778.6</v>
      </c>
      <c r="AZ67" s="429">
        <v>915.7</v>
      </c>
      <c r="BA67" s="429">
        <v>1134.3636363636363</v>
      </c>
      <c r="BB67" s="429">
        <v>1089.909090909091</v>
      </c>
      <c r="BC67" s="431">
        <v>1188.467213114754</v>
      </c>
      <c r="BD67" s="428">
        <v>1420.3636363636363</v>
      </c>
      <c r="BE67" s="429">
        <v>1320.2727272727273</v>
      </c>
      <c r="BF67" s="429">
        <v>1847.5454545454545</v>
      </c>
      <c r="BG67" s="429">
        <v>1222.090909090909</v>
      </c>
      <c r="BH67" s="429">
        <v>1042.2727272727273</v>
      </c>
      <c r="BI67" s="429">
        <v>780.72727272727275</v>
      </c>
      <c r="BJ67" s="429">
        <v>733.63636363636363</v>
      </c>
      <c r="BK67" s="429">
        <v>641.4545454545455</v>
      </c>
      <c r="BL67" s="429">
        <v>606.72727272727275</v>
      </c>
      <c r="BM67" s="429">
        <v>1079</v>
      </c>
      <c r="BN67" s="429">
        <v>1206.909090909091</v>
      </c>
      <c r="BO67" s="429">
        <v>1052.5</v>
      </c>
      <c r="BP67" s="431">
        <v>1079.2556390977443</v>
      </c>
      <c r="BQ67" s="428">
        <v>1867.4545454545455</v>
      </c>
      <c r="BR67" s="429">
        <v>1869.8181818181818</v>
      </c>
      <c r="BS67" s="429">
        <v>1587.5454545454545</v>
      </c>
      <c r="BT67" s="429">
        <v>1311.3636363636363</v>
      </c>
      <c r="BU67" s="429">
        <v>1443.3333333333333</v>
      </c>
      <c r="BV67" s="429">
        <v>839.90909090909088</v>
      </c>
      <c r="BW67" s="429">
        <v>946.90909090909088</v>
      </c>
      <c r="BX67" s="429">
        <v>671.81818181818187</v>
      </c>
      <c r="BY67" s="429">
        <v>943.63636363636363</v>
      </c>
      <c r="BZ67" s="429">
        <v>1121.6363636363637</v>
      </c>
      <c r="CA67" s="429">
        <v>782</v>
      </c>
      <c r="CB67" s="429">
        <v>1337.090909090909</v>
      </c>
      <c r="CC67" s="431">
        <v>1215.4671532846714</v>
      </c>
    </row>
    <row r="68" spans="1:81">
      <c r="A68" s="420" t="s">
        <v>188</v>
      </c>
      <c r="B68" s="420" t="s">
        <v>181</v>
      </c>
      <c r="C68" s="436">
        <f t="shared" si="1"/>
        <v>0</v>
      </c>
      <c r="D68" s="437">
        <f t="shared" si="2"/>
        <v>0</v>
      </c>
      <c r="E68" s="437">
        <f t="shared" si="3"/>
        <v>0</v>
      </c>
      <c r="F68" s="437">
        <f t="shared" si="4"/>
        <v>0</v>
      </c>
      <c r="G68" s="437">
        <f t="shared" si="26"/>
        <v>0</v>
      </c>
      <c r="H68" s="437">
        <f t="shared" si="5"/>
        <v>0</v>
      </c>
      <c r="I68" s="437">
        <f t="shared" si="6"/>
        <v>0</v>
      </c>
      <c r="J68" s="437">
        <f t="shared" si="7"/>
        <v>0</v>
      </c>
      <c r="K68" s="437">
        <f t="shared" si="8"/>
        <v>0</v>
      </c>
      <c r="L68" s="437">
        <f t="shared" si="9"/>
        <v>0</v>
      </c>
      <c r="M68" s="437">
        <f t="shared" si="10"/>
        <v>0</v>
      </c>
      <c r="N68" s="437">
        <f t="shared" si="11"/>
        <v>0</v>
      </c>
      <c r="O68" s="438">
        <f t="shared" si="12"/>
        <v>0</v>
      </c>
      <c r="P68" s="439">
        <f t="shared" si="13"/>
        <v>0</v>
      </c>
      <c r="Q68" s="437">
        <f t="shared" si="14"/>
        <v>0</v>
      </c>
      <c r="R68" s="437">
        <f t="shared" si="15"/>
        <v>0</v>
      </c>
      <c r="S68" s="437">
        <f t="shared" si="16"/>
        <v>0</v>
      </c>
      <c r="T68" s="437">
        <f t="shared" si="17"/>
        <v>0</v>
      </c>
      <c r="U68" s="437">
        <f t="shared" si="18"/>
        <v>0</v>
      </c>
      <c r="V68" s="437">
        <f t="shared" si="19"/>
        <v>0</v>
      </c>
      <c r="W68" s="437">
        <f t="shared" si="27"/>
        <v>0</v>
      </c>
      <c r="X68" s="437">
        <f t="shared" si="28"/>
        <v>0</v>
      </c>
      <c r="Y68" s="437">
        <f t="shared" si="20"/>
        <v>0</v>
      </c>
      <c r="Z68" s="437">
        <f t="shared" si="29"/>
        <v>0</v>
      </c>
      <c r="AA68" s="437">
        <f t="shared" si="30"/>
        <v>0</v>
      </c>
      <c r="AB68" s="438">
        <f t="shared" si="21"/>
        <v>0</v>
      </c>
      <c r="AC68" s="439">
        <f t="shared" si="31"/>
        <v>0</v>
      </c>
      <c r="AD68" s="437">
        <f t="shared" si="32"/>
        <v>0</v>
      </c>
      <c r="AE68" s="437">
        <f t="shared" si="33"/>
        <v>0</v>
      </c>
      <c r="AF68" s="437">
        <f t="shared" si="34"/>
        <v>0</v>
      </c>
      <c r="AG68" s="437">
        <f t="shared" si="22"/>
        <v>0</v>
      </c>
      <c r="AH68" s="437">
        <f t="shared" si="35"/>
        <v>0</v>
      </c>
      <c r="AI68" s="437">
        <f t="shared" si="23"/>
        <v>0</v>
      </c>
      <c r="AJ68" s="437">
        <f t="shared" si="36"/>
        <v>0</v>
      </c>
      <c r="AK68" s="437">
        <f t="shared" si="37"/>
        <v>0</v>
      </c>
      <c r="AL68" s="437">
        <f t="shared" si="24"/>
        <v>0</v>
      </c>
      <c r="AM68" s="437">
        <f t="shared" si="38"/>
        <v>0</v>
      </c>
      <c r="AN68" s="437">
        <f t="shared" si="39"/>
        <v>0</v>
      </c>
      <c r="AO68" s="438">
        <f t="shared" si="25"/>
        <v>0</v>
      </c>
      <c r="AQ68" s="428">
        <v>0</v>
      </c>
      <c r="AR68" s="429">
        <v>0</v>
      </c>
      <c r="AS68" s="429">
        <v>0</v>
      </c>
      <c r="AT68" s="429">
        <v>0</v>
      </c>
      <c r="AU68" s="429">
        <v>0</v>
      </c>
      <c r="AV68" s="429">
        <v>0</v>
      </c>
      <c r="AW68" s="429">
        <v>0</v>
      </c>
      <c r="AX68" s="429">
        <v>0</v>
      </c>
      <c r="AY68" s="429">
        <v>0</v>
      </c>
      <c r="AZ68" s="429">
        <v>0</v>
      </c>
      <c r="BA68" s="429">
        <v>0</v>
      </c>
      <c r="BB68" s="429">
        <v>0</v>
      </c>
      <c r="BC68" s="431">
        <v>0</v>
      </c>
      <c r="BD68" s="428">
        <v>0</v>
      </c>
      <c r="BE68" s="429">
        <v>0</v>
      </c>
      <c r="BF68" s="429">
        <v>0</v>
      </c>
      <c r="BG68" s="429">
        <v>0</v>
      </c>
      <c r="BH68" s="429">
        <v>0</v>
      </c>
      <c r="BI68" s="429">
        <v>0</v>
      </c>
      <c r="BJ68" s="429">
        <v>0</v>
      </c>
      <c r="BK68" s="429">
        <v>0</v>
      </c>
      <c r="BL68" s="429">
        <v>0</v>
      </c>
      <c r="BM68" s="429">
        <v>0</v>
      </c>
      <c r="BN68" s="429">
        <v>0</v>
      </c>
      <c r="BO68" s="429">
        <v>0</v>
      </c>
      <c r="BP68" s="431">
        <v>0</v>
      </c>
      <c r="BQ68" s="428">
        <v>0</v>
      </c>
      <c r="BR68" s="429">
        <v>0</v>
      </c>
      <c r="BS68" s="429">
        <v>0</v>
      </c>
      <c r="BT68" s="429">
        <v>0</v>
      </c>
      <c r="BU68" s="429">
        <v>0</v>
      </c>
      <c r="BV68" s="429">
        <v>0</v>
      </c>
      <c r="BW68" s="429">
        <v>0</v>
      </c>
      <c r="BX68" s="429">
        <v>0</v>
      </c>
      <c r="BY68" s="429">
        <v>0</v>
      </c>
      <c r="BZ68" s="429">
        <v>0</v>
      </c>
      <c r="CA68" s="429">
        <v>0</v>
      </c>
      <c r="CB68" s="429">
        <v>0</v>
      </c>
      <c r="CC68" s="431">
        <v>0</v>
      </c>
    </row>
    <row r="69" spans="1:81">
      <c r="A69" s="420" t="s">
        <v>188</v>
      </c>
      <c r="B69" s="420" t="s">
        <v>182</v>
      </c>
      <c r="C69" s="436">
        <f t="shared" si="1"/>
        <v>4207.909090909091</v>
      </c>
      <c r="D69" s="437">
        <f t="shared" si="2"/>
        <v>4990</v>
      </c>
      <c r="E69" s="437">
        <f t="shared" si="3"/>
        <v>3211.0434782608695</v>
      </c>
      <c r="F69" s="437">
        <f t="shared" si="4"/>
        <v>4242.130434782609</v>
      </c>
      <c r="G69" s="437">
        <f t="shared" si="26"/>
        <v>3216.521739130435</v>
      </c>
      <c r="H69" s="437">
        <f t="shared" si="5"/>
        <v>2913.2608695652175</v>
      </c>
      <c r="I69" s="437">
        <f t="shared" si="6"/>
        <v>3150.2380952380954</v>
      </c>
      <c r="J69" s="437">
        <f t="shared" si="7"/>
        <v>2551.1428571428573</v>
      </c>
      <c r="K69" s="437">
        <f t="shared" si="8"/>
        <v>2980.9</v>
      </c>
      <c r="L69" s="437">
        <f t="shared" si="9"/>
        <v>2964.1428571428573</v>
      </c>
      <c r="M69" s="437">
        <f t="shared" si="10"/>
        <v>3131.6190476190477</v>
      </c>
      <c r="N69" s="437">
        <f t="shared" si="11"/>
        <v>3262.7272727272725</v>
      </c>
      <c r="O69" s="438">
        <f t="shared" si="12"/>
        <v>3417.832699619772</v>
      </c>
      <c r="P69" s="439">
        <f t="shared" si="13"/>
        <v>4678.7142857142853</v>
      </c>
      <c r="Q69" s="437">
        <f t="shared" si="14"/>
        <v>3657.4545454545455</v>
      </c>
      <c r="R69" s="437">
        <f t="shared" si="15"/>
        <v>4982.565217391304</v>
      </c>
      <c r="S69" s="437">
        <f t="shared" si="16"/>
        <v>2896.6666666666665</v>
      </c>
      <c r="T69" s="437">
        <f t="shared" si="17"/>
        <v>2893</v>
      </c>
      <c r="U69" s="437">
        <f t="shared" si="18"/>
        <v>3291.695652173913</v>
      </c>
      <c r="V69" s="437">
        <f t="shared" si="19"/>
        <v>3020.909090909091</v>
      </c>
      <c r="W69" s="437">
        <f t="shared" si="27"/>
        <v>2585.782608695652</v>
      </c>
      <c r="X69" s="437">
        <f t="shared" si="28"/>
        <v>1454.4285714285713</v>
      </c>
      <c r="Y69" s="437">
        <f t="shared" si="20"/>
        <v>2593.3703703703704</v>
      </c>
      <c r="Z69" s="437">
        <f t="shared" si="29"/>
        <v>3553.7619047619046</v>
      </c>
      <c r="AA69" s="437">
        <f t="shared" si="30"/>
        <v>3404.0833333333335</v>
      </c>
      <c r="AB69" s="438">
        <f t="shared" si="21"/>
        <v>3240.5401459854015</v>
      </c>
      <c r="AC69" s="439">
        <f t="shared" si="31"/>
        <v>3389.0454545454545</v>
      </c>
      <c r="AD69" s="437">
        <f t="shared" si="32"/>
        <v>4330.739130434783</v>
      </c>
      <c r="AE69" s="437">
        <f t="shared" si="33"/>
        <v>3518.8</v>
      </c>
      <c r="AF69" s="437">
        <f t="shared" si="34"/>
        <v>3465.2380952380954</v>
      </c>
      <c r="AG69" s="437">
        <f t="shared" si="22"/>
        <v>3205.7857142857142</v>
      </c>
      <c r="AH69" s="437">
        <f t="shared" si="35"/>
        <v>2822.4583333333335</v>
      </c>
      <c r="AI69" s="437">
        <f t="shared" si="23"/>
        <v>2680.7916666666665</v>
      </c>
      <c r="AJ69" s="437">
        <f t="shared" si="36"/>
        <v>1799.1304347826087</v>
      </c>
      <c r="AK69" s="437">
        <f t="shared" si="37"/>
        <v>1320.1</v>
      </c>
      <c r="AL69" s="437">
        <f t="shared" si="24"/>
        <v>1846.2</v>
      </c>
      <c r="AM69" s="437">
        <f t="shared" si="38"/>
        <v>3611.1538461538462</v>
      </c>
      <c r="AN69" s="437">
        <f t="shared" si="39"/>
        <v>2499.782608695652</v>
      </c>
      <c r="AO69" s="438">
        <f t="shared" si="25"/>
        <v>2876.0809859154929</v>
      </c>
      <c r="AQ69" s="428">
        <v>4207.909090909091</v>
      </c>
      <c r="AR69" s="429">
        <v>4990</v>
      </c>
      <c r="AS69" s="429">
        <v>3211.0434782608695</v>
      </c>
      <c r="AT69" s="429">
        <v>4242.130434782609</v>
      </c>
      <c r="AU69" s="429">
        <v>3216.521739130435</v>
      </c>
      <c r="AV69" s="429">
        <v>2913.2608695652175</v>
      </c>
      <c r="AW69" s="429">
        <v>3150.2380952380954</v>
      </c>
      <c r="AX69" s="429">
        <v>2551.1428571428573</v>
      </c>
      <c r="AY69" s="429">
        <v>2980.9</v>
      </c>
      <c r="AZ69" s="429">
        <v>2964.1428571428573</v>
      </c>
      <c r="BA69" s="429">
        <v>3131.6190476190477</v>
      </c>
      <c r="BB69" s="429">
        <v>3262.7272727272725</v>
      </c>
      <c r="BC69" s="431">
        <v>3417.832699619772</v>
      </c>
      <c r="BD69" s="428">
        <v>4678.7142857142853</v>
      </c>
      <c r="BE69" s="429">
        <v>3657.4545454545455</v>
      </c>
      <c r="BF69" s="429">
        <v>4982.565217391304</v>
      </c>
      <c r="BG69" s="429">
        <v>2896.6666666666665</v>
      </c>
      <c r="BH69" s="429">
        <v>2893</v>
      </c>
      <c r="BI69" s="429">
        <v>3291.695652173913</v>
      </c>
      <c r="BJ69" s="429">
        <v>3020.909090909091</v>
      </c>
      <c r="BK69" s="429">
        <v>2585.782608695652</v>
      </c>
      <c r="BL69" s="429">
        <v>1454.4285714285713</v>
      </c>
      <c r="BM69" s="429">
        <v>2593.3703703703704</v>
      </c>
      <c r="BN69" s="429">
        <v>3553.7619047619046</v>
      </c>
      <c r="BO69" s="429">
        <v>3404.0833333333335</v>
      </c>
      <c r="BP69" s="431">
        <v>3240.5401459854015</v>
      </c>
      <c r="BQ69" s="428">
        <v>3389.0454545454545</v>
      </c>
      <c r="BR69" s="429">
        <v>4330.739130434783</v>
      </c>
      <c r="BS69" s="429">
        <v>3518.8</v>
      </c>
      <c r="BT69" s="429">
        <v>3465.2380952380954</v>
      </c>
      <c r="BU69" s="429">
        <v>3205.7857142857142</v>
      </c>
      <c r="BV69" s="429">
        <v>2822.4583333333335</v>
      </c>
      <c r="BW69" s="429">
        <v>2680.7916666666665</v>
      </c>
      <c r="BX69" s="429">
        <v>1799.1304347826087</v>
      </c>
      <c r="BY69" s="429">
        <v>1320.1</v>
      </c>
      <c r="BZ69" s="429">
        <v>1846.2</v>
      </c>
      <c r="CA69" s="429">
        <v>3611.1538461538462</v>
      </c>
      <c r="CB69" s="429">
        <v>2499.782608695652</v>
      </c>
      <c r="CC69" s="431">
        <v>2876.0809859154929</v>
      </c>
    </row>
    <row r="70" spans="1:81">
      <c r="A70" s="420" t="s">
        <v>188</v>
      </c>
      <c r="B70" s="420" t="s">
        <v>183</v>
      </c>
      <c r="C70" s="436">
        <f t="shared" si="1"/>
        <v>0</v>
      </c>
      <c r="D70" s="437">
        <f t="shared" si="2"/>
        <v>0</v>
      </c>
      <c r="E70" s="437">
        <f t="shared" si="3"/>
        <v>0</v>
      </c>
      <c r="F70" s="437">
        <f t="shared" si="4"/>
        <v>0</v>
      </c>
      <c r="G70" s="437">
        <f t="shared" si="26"/>
        <v>0</v>
      </c>
      <c r="H70" s="437">
        <f t="shared" si="5"/>
        <v>0</v>
      </c>
      <c r="I70" s="437">
        <f t="shared" si="6"/>
        <v>0</v>
      </c>
      <c r="J70" s="437">
        <f t="shared" si="7"/>
        <v>0</v>
      </c>
      <c r="K70" s="437">
        <f t="shared" si="8"/>
        <v>0</v>
      </c>
      <c r="L70" s="437">
        <f t="shared" si="9"/>
        <v>0</v>
      </c>
      <c r="M70" s="437">
        <f t="shared" si="10"/>
        <v>0</v>
      </c>
      <c r="N70" s="437">
        <f t="shared" si="11"/>
        <v>0</v>
      </c>
      <c r="O70" s="438">
        <f t="shared" si="12"/>
        <v>0</v>
      </c>
      <c r="P70" s="439">
        <f t="shared" si="13"/>
        <v>0</v>
      </c>
      <c r="Q70" s="437">
        <f t="shared" si="14"/>
        <v>0</v>
      </c>
      <c r="R70" s="437">
        <f t="shared" si="15"/>
        <v>0</v>
      </c>
      <c r="S70" s="437">
        <f t="shared" si="16"/>
        <v>0</v>
      </c>
      <c r="T70" s="437">
        <f t="shared" si="17"/>
        <v>0</v>
      </c>
      <c r="U70" s="437">
        <f t="shared" si="18"/>
        <v>0</v>
      </c>
      <c r="V70" s="437">
        <f t="shared" si="19"/>
        <v>0</v>
      </c>
      <c r="W70" s="437">
        <f t="shared" si="27"/>
        <v>0</v>
      </c>
      <c r="X70" s="437">
        <f t="shared" si="28"/>
        <v>0</v>
      </c>
      <c r="Y70" s="437">
        <f t="shared" si="20"/>
        <v>0</v>
      </c>
      <c r="Z70" s="437">
        <f t="shared" si="29"/>
        <v>0</v>
      </c>
      <c r="AA70" s="437">
        <f t="shared" si="30"/>
        <v>0</v>
      </c>
      <c r="AB70" s="438">
        <f t="shared" si="21"/>
        <v>0</v>
      </c>
      <c r="AC70" s="439">
        <f t="shared" si="31"/>
        <v>0</v>
      </c>
      <c r="AD70" s="437">
        <f t="shared" si="32"/>
        <v>0</v>
      </c>
      <c r="AE70" s="437">
        <f t="shared" si="33"/>
        <v>0</v>
      </c>
      <c r="AF70" s="437">
        <f t="shared" si="34"/>
        <v>0</v>
      </c>
      <c r="AG70" s="437">
        <f t="shared" si="22"/>
        <v>0</v>
      </c>
      <c r="AH70" s="437">
        <f t="shared" si="35"/>
        <v>0</v>
      </c>
      <c r="AI70" s="437">
        <f t="shared" si="23"/>
        <v>0</v>
      </c>
      <c r="AJ70" s="437">
        <f t="shared" si="36"/>
        <v>0</v>
      </c>
      <c r="AK70" s="437">
        <f t="shared" si="37"/>
        <v>0</v>
      </c>
      <c r="AL70" s="437">
        <f t="shared" si="24"/>
        <v>0</v>
      </c>
      <c r="AM70" s="437">
        <f t="shared" si="38"/>
        <v>0</v>
      </c>
      <c r="AN70" s="437">
        <f t="shared" si="39"/>
        <v>0</v>
      </c>
      <c r="AO70" s="438">
        <f t="shared" si="25"/>
        <v>0</v>
      </c>
      <c r="AQ70" s="428">
        <v>0</v>
      </c>
      <c r="AR70" s="429">
        <v>0</v>
      </c>
      <c r="AS70" s="429">
        <v>0</v>
      </c>
      <c r="AT70" s="429">
        <v>0</v>
      </c>
      <c r="AU70" s="429">
        <v>0</v>
      </c>
      <c r="AV70" s="429">
        <v>0</v>
      </c>
      <c r="AW70" s="429">
        <v>0</v>
      </c>
      <c r="AX70" s="429">
        <v>0</v>
      </c>
      <c r="AY70" s="429">
        <v>0</v>
      </c>
      <c r="AZ70" s="429">
        <v>0</v>
      </c>
      <c r="BA70" s="429">
        <v>0</v>
      </c>
      <c r="BB70" s="429">
        <v>0</v>
      </c>
      <c r="BC70" s="431">
        <v>0</v>
      </c>
      <c r="BD70" s="428">
        <v>0</v>
      </c>
      <c r="BE70" s="429">
        <v>0</v>
      </c>
      <c r="BF70" s="429">
        <v>0</v>
      </c>
      <c r="BG70" s="429">
        <v>0</v>
      </c>
      <c r="BH70" s="429">
        <v>0</v>
      </c>
      <c r="BI70" s="429">
        <v>0</v>
      </c>
      <c r="BJ70" s="429">
        <v>0</v>
      </c>
      <c r="BK70" s="429">
        <v>0</v>
      </c>
      <c r="BL70" s="429">
        <v>0</v>
      </c>
      <c r="BM70" s="429">
        <v>0</v>
      </c>
      <c r="BN70" s="429">
        <v>0</v>
      </c>
      <c r="BO70" s="429">
        <v>0</v>
      </c>
      <c r="BP70" s="431">
        <v>0</v>
      </c>
      <c r="BQ70" s="428">
        <v>0</v>
      </c>
      <c r="BR70" s="429">
        <v>0</v>
      </c>
      <c r="BS70" s="429">
        <v>0</v>
      </c>
      <c r="BT70" s="429">
        <v>0</v>
      </c>
      <c r="BU70" s="429">
        <v>0</v>
      </c>
      <c r="BV70" s="429">
        <v>0</v>
      </c>
      <c r="BW70" s="429">
        <v>0</v>
      </c>
      <c r="BX70" s="429">
        <v>0</v>
      </c>
      <c r="BY70" s="429">
        <v>0</v>
      </c>
      <c r="BZ70" s="429">
        <v>0</v>
      </c>
      <c r="CA70" s="429">
        <v>0</v>
      </c>
      <c r="CB70" s="429">
        <v>0</v>
      </c>
      <c r="CC70" s="431">
        <v>0</v>
      </c>
    </row>
    <row r="71" spans="1:81">
      <c r="A71" s="445"/>
      <c r="B71" s="445"/>
      <c r="C71" s="446"/>
      <c r="D71" s="447"/>
      <c r="E71" s="447"/>
      <c r="F71" s="447"/>
      <c r="G71" s="447"/>
      <c r="H71" s="447"/>
      <c r="I71" s="447"/>
      <c r="J71" s="447"/>
      <c r="K71" s="447"/>
      <c r="L71" s="447"/>
      <c r="M71" s="447"/>
      <c r="N71" s="447"/>
      <c r="O71" s="448"/>
      <c r="P71" s="449"/>
      <c r="Q71" s="447"/>
      <c r="R71" s="447"/>
      <c r="S71" s="447"/>
      <c r="T71" s="447"/>
      <c r="U71" s="447"/>
      <c r="V71" s="447"/>
      <c r="W71" s="447"/>
      <c r="X71" s="447"/>
      <c r="Y71" s="447"/>
      <c r="Z71" s="447"/>
      <c r="AA71" s="447"/>
      <c r="AB71" s="448"/>
      <c r="AC71" s="449"/>
      <c r="AD71" s="447"/>
      <c r="AE71" s="447"/>
      <c r="AF71" s="447"/>
      <c r="AG71" s="447"/>
      <c r="AH71" s="447"/>
      <c r="AI71" s="447"/>
      <c r="AJ71" s="447"/>
      <c r="AK71" s="447"/>
      <c r="AL71" s="447"/>
      <c r="AM71" s="447"/>
      <c r="AN71" s="447"/>
      <c r="AO71" s="448"/>
      <c r="AQ71" s="450"/>
      <c r="AR71" s="451"/>
      <c r="AS71" s="451"/>
      <c r="AT71" s="451"/>
      <c r="AU71" s="451"/>
      <c r="AV71" s="451"/>
      <c r="AW71" s="451"/>
      <c r="AX71" s="451"/>
      <c r="AY71" s="451"/>
      <c r="AZ71" s="451"/>
      <c r="BA71" s="451"/>
      <c r="BB71" s="451"/>
      <c r="BC71" s="452"/>
      <c r="BD71" s="453"/>
      <c r="BE71" s="451"/>
      <c r="BF71" s="451"/>
      <c r="BG71" s="451"/>
      <c r="BH71" s="451"/>
      <c r="BI71" s="451"/>
      <c r="BJ71" s="451"/>
      <c r="BK71" s="451"/>
      <c r="BL71" s="451"/>
      <c r="BM71" s="451"/>
      <c r="BN71" s="451"/>
      <c r="BO71" s="451"/>
      <c r="BP71" s="452"/>
      <c r="BQ71" s="453"/>
      <c r="BR71" s="451"/>
      <c r="BS71" s="451"/>
      <c r="BT71" s="451"/>
      <c r="BU71" s="451"/>
      <c r="BV71" s="451"/>
      <c r="BW71" s="451"/>
      <c r="BX71" s="451"/>
      <c r="BY71" s="451"/>
      <c r="BZ71" s="451"/>
      <c r="CA71" s="451"/>
      <c r="CB71" s="451"/>
      <c r="CC71" s="452"/>
    </row>
    <row r="72" spans="1:81">
      <c r="B72" s="456" t="s">
        <v>189</v>
      </c>
      <c r="C72" s="436"/>
      <c r="D72" s="437"/>
      <c r="E72" s="437"/>
      <c r="F72" s="437"/>
      <c r="G72" s="437"/>
      <c r="H72" s="437"/>
      <c r="I72" s="437"/>
      <c r="J72" s="437"/>
      <c r="K72" s="437"/>
      <c r="L72" s="437"/>
      <c r="M72" s="437"/>
      <c r="N72" s="437"/>
      <c r="O72" s="438"/>
      <c r="P72" s="439"/>
      <c r="Q72" s="437"/>
      <c r="R72" s="437"/>
      <c r="S72" s="437"/>
      <c r="T72" s="437"/>
      <c r="U72" s="437"/>
      <c r="V72" s="437"/>
      <c r="W72" s="437"/>
      <c r="X72" s="437"/>
      <c r="Y72" s="437"/>
      <c r="Z72" s="437"/>
      <c r="AA72" s="437"/>
      <c r="AB72" s="438"/>
      <c r="AC72" s="439"/>
      <c r="AD72" s="437"/>
      <c r="AE72" s="437"/>
      <c r="AF72" s="437"/>
      <c r="AG72" s="437"/>
      <c r="AH72" s="437"/>
      <c r="AI72" s="437"/>
      <c r="AJ72" s="437"/>
      <c r="AK72" s="437"/>
      <c r="AL72" s="437"/>
      <c r="AM72" s="437"/>
      <c r="AN72" s="437"/>
      <c r="AO72" s="438"/>
      <c r="AQ72" s="428"/>
      <c r="AR72" s="429"/>
      <c r="AS72" s="429"/>
      <c r="AT72" s="429"/>
      <c r="AU72" s="429"/>
      <c r="AV72" s="429"/>
      <c r="AW72" s="429"/>
      <c r="AX72" s="429"/>
      <c r="AY72" s="429"/>
      <c r="AZ72" s="429"/>
      <c r="BA72" s="429"/>
      <c r="BB72" s="429"/>
      <c r="BC72" s="431"/>
      <c r="BD72" s="428"/>
      <c r="BE72" s="429"/>
      <c r="BF72" s="429"/>
      <c r="BG72" s="429"/>
      <c r="BH72" s="429"/>
      <c r="BI72" s="429"/>
      <c r="BJ72" s="429"/>
      <c r="BK72" s="429"/>
      <c r="BL72" s="429"/>
      <c r="BM72" s="429"/>
      <c r="BN72" s="429"/>
      <c r="BO72" s="429"/>
      <c r="BP72" s="431"/>
      <c r="BQ72" s="428"/>
      <c r="BR72" s="429"/>
      <c r="BS72" s="429"/>
      <c r="BT72" s="429"/>
      <c r="BU72" s="429"/>
      <c r="BV72" s="429"/>
      <c r="BW72" s="429"/>
      <c r="BX72" s="429"/>
      <c r="BY72" s="429"/>
      <c r="BZ72" s="429"/>
      <c r="CA72" s="429"/>
      <c r="CB72" s="429"/>
      <c r="CC72" s="431"/>
    </row>
    <row r="73" spans="1:81">
      <c r="A73" s="420" t="s">
        <v>189</v>
      </c>
      <c r="B73" s="420" t="s">
        <v>175</v>
      </c>
      <c r="C73" s="436">
        <f t="shared" ref="C73:C135" si="40">IF(AQ73&lt;0,0,AQ73)</f>
        <v>1195.2439024390244</v>
      </c>
      <c r="D73" s="437">
        <f t="shared" ref="D73:D135" si="41">IF(AR73&lt;0,0,AR73)</f>
        <v>790.36144578313258</v>
      </c>
      <c r="E73" s="437">
        <f t="shared" ref="E73:E135" si="42">IF(AS73&lt;0,0,AS73)</f>
        <v>1201.1547619047619</v>
      </c>
      <c r="F73" s="437">
        <f t="shared" ref="F73:F135" si="43">IF(AT73&lt;0,0,AT73)</f>
        <v>653.80952380952385</v>
      </c>
      <c r="G73" s="437">
        <f t="shared" ref="G73:G135" si="44">IF(AU73&lt;0,0,AU73)</f>
        <v>782.61797752808991</v>
      </c>
      <c r="H73" s="437">
        <f t="shared" ref="H73:H135" si="45">IF(AV73&lt;0,0,AV73)</f>
        <v>970.7341772151899</v>
      </c>
      <c r="I73" s="437">
        <f t="shared" ref="I73:I135" si="46">IF(AW73&lt;0,0,AW73)</f>
        <v>465.14102564102564</v>
      </c>
      <c r="J73" s="437">
        <f t="shared" ref="J73:J135" si="47">IF(AX73&lt;0,0,AX73)</f>
        <v>792.45569620253161</v>
      </c>
      <c r="K73" s="437">
        <f t="shared" ref="K73:K135" si="48">IF(AY73&lt;0,0,AY73)</f>
        <v>617.54999999999995</v>
      </c>
      <c r="L73" s="437">
        <f t="shared" ref="L73:L135" si="49">IF(AZ73&lt;0,0,AZ73)</f>
        <v>751.35443037974687</v>
      </c>
      <c r="M73" s="437">
        <f t="shared" ref="M73:M135" si="50">IF(BA73&lt;0,0,BA73)</f>
        <v>1006.4303797468355</v>
      </c>
      <c r="N73" s="437">
        <f t="shared" ref="N73:N135" si="51">IF(BB73&lt;0,0,BB73)</f>
        <v>1132.1898734177216</v>
      </c>
      <c r="O73" s="438">
        <f t="shared" ref="O73:O135" si="52">IF(BC73&lt;0,0,BC73)</f>
        <v>863.96410256410252</v>
      </c>
      <c r="P73" s="439">
        <f t="shared" ref="P73:P135" si="53">IF(BD73&lt;0,0,BD73)</f>
        <v>1165.0886075949368</v>
      </c>
      <c r="Q73" s="437">
        <f t="shared" ref="Q73:Q135" si="54">IF(BE73&lt;0,0,BE73)</f>
        <v>1516.9102564102564</v>
      </c>
      <c r="R73" s="437">
        <f t="shared" ref="R73:R135" si="55">IF(BF73&lt;0,0,BF73)</f>
        <v>1084.8227848101267</v>
      </c>
      <c r="S73" s="437">
        <f t="shared" ref="S73:S135" si="56">IF(BG73&lt;0,0,BG73)</f>
        <v>771.56976744186045</v>
      </c>
      <c r="T73" s="437">
        <f t="shared" ref="T73:T135" si="57">IF(BH73&lt;0,0,BH73)</f>
        <v>1011.2051282051282</v>
      </c>
      <c r="U73" s="437">
        <f t="shared" ref="U73:U135" si="58">IF(BI73&lt;0,0,BI73)</f>
        <v>954.48717948717945</v>
      </c>
      <c r="V73" s="437">
        <f t="shared" ref="V73:V135" si="59">IF(BJ73&lt;0,0,BJ73)</f>
        <v>634.51282051282055</v>
      </c>
      <c r="W73" s="437">
        <f t="shared" ref="W73:W135" si="60">IF(BK73&lt;0,0,BK73)</f>
        <v>602.37974683544303</v>
      </c>
      <c r="X73" s="437">
        <f t="shared" ref="X73:X135" si="61">IF(BL73&lt;0,0,BL73)</f>
        <v>574.9</v>
      </c>
      <c r="Y73" s="437">
        <f t="shared" ref="Y73:Y135" si="62">IF(BM73&lt;0,0,BM73)</f>
        <v>703.76829268292681</v>
      </c>
      <c r="Z73" s="437">
        <f t="shared" ref="Z73:Z135" si="63">IF(BN73&lt;0,0,BN73)</f>
        <v>937.26250000000005</v>
      </c>
      <c r="AA73" s="437">
        <f t="shared" ref="AA73:AA135" si="64">IF(BO73&lt;0,0,BO73)</f>
        <v>1094.8607594936709</v>
      </c>
      <c r="AB73" s="438">
        <f t="shared" ref="AB73:AB135" si="65">IF(BP73&lt;0,0,BP73)</f>
        <v>918.40690376569034</v>
      </c>
      <c r="AC73" s="439">
        <f t="shared" ref="AC73:AC135" si="66">IF(BQ73&lt;0,0,BQ73)</f>
        <v>1110.5384615384614</v>
      </c>
      <c r="AD73" s="437">
        <f t="shared" ref="AD73:AD135" si="67">IF(BR73&lt;0,0,BR73)</f>
        <v>972.91250000000002</v>
      </c>
      <c r="AE73" s="437">
        <f t="shared" ref="AE73:AE135" si="68">IF(BS73&lt;0,0,BS73)</f>
        <v>1122.6125</v>
      </c>
      <c r="AF73" s="437">
        <f t="shared" ref="AF73:AF135" si="69">IF(BT73&lt;0,0,BT73)</f>
        <v>950.31645569620252</v>
      </c>
      <c r="AG73" s="437">
        <f t="shared" ref="AG73:AG135" si="70">IF(BU73&lt;0,0,BU73)</f>
        <v>1028.551282051282</v>
      </c>
      <c r="AH73" s="437">
        <f t="shared" ref="AH73:AH135" si="71">IF(BV73&lt;0,0,BV73)</f>
        <v>687.38679245283015</v>
      </c>
      <c r="AI73" s="437">
        <f t="shared" ref="AI73:AI135" si="72">IF(BW73&lt;0,0,BW73)</f>
        <v>684.88607594936707</v>
      </c>
      <c r="AJ73" s="437">
        <f t="shared" ref="AJ73:AJ135" si="73">IF(BX73&lt;0,0,BX73)</f>
        <v>904.74683544303798</v>
      </c>
      <c r="AK73" s="437">
        <f t="shared" ref="AK73:AK135" si="74">IF(BY73&lt;0,0,BY73)</f>
        <v>643.04999999999995</v>
      </c>
      <c r="AL73" s="437">
        <f t="shared" ref="AL73:AL135" si="75">IF(BZ73&lt;0,0,BZ73)</f>
        <v>710.06172839506178</v>
      </c>
      <c r="AM73" s="437">
        <f t="shared" ref="AM73:AM135" si="76">IF(CA73&lt;0,0,CA73)</f>
        <v>1068.5925925925926</v>
      </c>
      <c r="AN73" s="437">
        <f t="shared" ref="AN73:AN135" si="77">IF(CB73&lt;0,0,CB73)</f>
        <v>741.27848101265818</v>
      </c>
      <c r="AO73" s="438">
        <f t="shared" ref="AO73:AO135" si="78">IF(CC73&lt;0,0,CC73)</f>
        <v>879.67959183673474</v>
      </c>
      <c r="AQ73" s="428">
        <v>1195.2439024390244</v>
      </c>
      <c r="AR73" s="429">
        <v>790.36144578313258</v>
      </c>
      <c r="AS73" s="429">
        <v>1201.1547619047619</v>
      </c>
      <c r="AT73" s="429">
        <v>653.80952380952385</v>
      </c>
      <c r="AU73" s="429">
        <v>782.61797752808991</v>
      </c>
      <c r="AV73" s="429">
        <v>970.7341772151899</v>
      </c>
      <c r="AW73" s="429">
        <v>465.14102564102564</v>
      </c>
      <c r="AX73" s="429">
        <v>792.45569620253161</v>
      </c>
      <c r="AY73" s="429">
        <v>617.54999999999995</v>
      </c>
      <c r="AZ73" s="429">
        <v>751.35443037974687</v>
      </c>
      <c r="BA73" s="429">
        <v>1006.4303797468355</v>
      </c>
      <c r="BB73" s="429">
        <v>1132.1898734177216</v>
      </c>
      <c r="BC73" s="431">
        <v>863.96410256410252</v>
      </c>
      <c r="BD73" s="428">
        <v>1165.0886075949368</v>
      </c>
      <c r="BE73" s="429">
        <v>1516.9102564102564</v>
      </c>
      <c r="BF73" s="429">
        <v>1084.8227848101267</v>
      </c>
      <c r="BG73" s="429">
        <v>771.56976744186045</v>
      </c>
      <c r="BH73" s="429">
        <v>1011.2051282051282</v>
      </c>
      <c r="BI73" s="429">
        <v>954.48717948717945</v>
      </c>
      <c r="BJ73" s="429">
        <v>634.51282051282055</v>
      </c>
      <c r="BK73" s="429">
        <v>602.37974683544303</v>
      </c>
      <c r="BL73" s="429">
        <v>574.9</v>
      </c>
      <c r="BM73" s="429">
        <v>703.76829268292681</v>
      </c>
      <c r="BN73" s="429">
        <v>937.26250000000005</v>
      </c>
      <c r="BO73" s="429">
        <v>1094.8607594936709</v>
      </c>
      <c r="BP73" s="431">
        <v>918.40690376569034</v>
      </c>
      <c r="BQ73" s="428">
        <v>1110.5384615384614</v>
      </c>
      <c r="BR73" s="429">
        <v>972.91250000000002</v>
      </c>
      <c r="BS73" s="429">
        <v>1122.6125</v>
      </c>
      <c r="BT73" s="429">
        <v>950.31645569620252</v>
      </c>
      <c r="BU73" s="429">
        <v>1028.551282051282</v>
      </c>
      <c r="BV73" s="429">
        <v>687.38679245283015</v>
      </c>
      <c r="BW73" s="429">
        <v>684.88607594936707</v>
      </c>
      <c r="BX73" s="429">
        <v>904.74683544303798</v>
      </c>
      <c r="BY73" s="429">
        <v>643.04999999999995</v>
      </c>
      <c r="BZ73" s="429">
        <v>710.06172839506178</v>
      </c>
      <c r="CA73" s="429">
        <v>1068.5925925925926</v>
      </c>
      <c r="CB73" s="429">
        <v>741.27848101265818</v>
      </c>
      <c r="CC73" s="431">
        <v>879.67959183673474</v>
      </c>
    </row>
    <row r="74" spans="1:81">
      <c r="A74" s="420" t="s">
        <v>189</v>
      </c>
      <c r="B74" s="420" t="s">
        <v>176</v>
      </c>
      <c r="C74" s="436">
        <f t="shared" si="40"/>
        <v>0</v>
      </c>
      <c r="D74" s="437">
        <f t="shared" si="41"/>
        <v>0</v>
      </c>
      <c r="E74" s="437">
        <f t="shared" si="42"/>
        <v>0</v>
      </c>
      <c r="F74" s="437">
        <f t="shared" si="43"/>
        <v>0</v>
      </c>
      <c r="G74" s="437">
        <f t="shared" si="44"/>
        <v>0</v>
      </c>
      <c r="H74" s="437">
        <f t="shared" si="45"/>
        <v>0</v>
      </c>
      <c r="I74" s="437">
        <f t="shared" si="46"/>
        <v>0</v>
      </c>
      <c r="J74" s="437">
        <f t="shared" si="47"/>
        <v>0</v>
      </c>
      <c r="K74" s="437">
        <f t="shared" si="48"/>
        <v>0</v>
      </c>
      <c r="L74" s="437">
        <f t="shared" si="49"/>
        <v>0</v>
      </c>
      <c r="M74" s="437">
        <f t="shared" si="50"/>
        <v>0</v>
      </c>
      <c r="N74" s="437">
        <f t="shared" si="51"/>
        <v>0</v>
      </c>
      <c r="O74" s="438">
        <f t="shared" si="52"/>
        <v>0</v>
      </c>
      <c r="P74" s="439">
        <f t="shared" si="53"/>
        <v>0</v>
      </c>
      <c r="Q74" s="437">
        <f t="shared" si="54"/>
        <v>0</v>
      </c>
      <c r="R74" s="437">
        <f t="shared" si="55"/>
        <v>0</v>
      </c>
      <c r="S74" s="437">
        <f t="shared" si="56"/>
        <v>0</v>
      </c>
      <c r="T74" s="437">
        <f t="shared" si="57"/>
        <v>0</v>
      </c>
      <c r="U74" s="437">
        <f t="shared" si="58"/>
        <v>0</v>
      </c>
      <c r="V74" s="437">
        <f t="shared" si="59"/>
        <v>0</v>
      </c>
      <c r="W74" s="437">
        <f t="shared" si="60"/>
        <v>0</v>
      </c>
      <c r="X74" s="437">
        <f t="shared" si="61"/>
        <v>0</v>
      </c>
      <c r="Y74" s="437">
        <f t="shared" si="62"/>
        <v>0</v>
      </c>
      <c r="Z74" s="437">
        <f t="shared" si="63"/>
        <v>0</v>
      </c>
      <c r="AA74" s="437">
        <f t="shared" si="64"/>
        <v>0</v>
      </c>
      <c r="AB74" s="438">
        <f t="shared" si="65"/>
        <v>0</v>
      </c>
      <c r="AC74" s="439">
        <f t="shared" si="66"/>
        <v>0</v>
      </c>
      <c r="AD74" s="437">
        <f t="shared" si="67"/>
        <v>0</v>
      </c>
      <c r="AE74" s="437">
        <f t="shared" si="68"/>
        <v>0</v>
      </c>
      <c r="AF74" s="437">
        <f t="shared" si="69"/>
        <v>0</v>
      </c>
      <c r="AG74" s="437">
        <f t="shared" si="70"/>
        <v>0</v>
      </c>
      <c r="AH74" s="437">
        <f t="shared" si="71"/>
        <v>0</v>
      </c>
      <c r="AI74" s="437">
        <f t="shared" si="72"/>
        <v>0</v>
      </c>
      <c r="AJ74" s="437">
        <f t="shared" si="73"/>
        <v>0</v>
      </c>
      <c r="AK74" s="437">
        <f t="shared" si="74"/>
        <v>0</v>
      </c>
      <c r="AL74" s="437">
        <f t="shared" si="75"/>
        <v>0</v>
      </c>
      <c r="AM74" s="437">
        <f t="shared" si="76"/>
        <v>0</v>
      </c>
      <c r="AN74" s="437">
        <f t="shared" si="77"/>
        <v>0</v>
      </c>
      <c r="AO74" s="438">
        <f t="shared" si="78"/>
        <v>0</v>
      </c>
      <c r="AQ74" s="428">
        <v>0</v>
      </c>
      <c r="AR74" s="429">
        <v>0</v>
      </c>
      <c r="AS74" s="429">
        <v>0</v>
      </c>
      <c r="AT74" s="429">
        <v>0</v>
      </c>
      <c r="AU74" s="429">
        <v>0</v>
      </c>
      <c r="AV74" s="429">
        <v>0</v>
      </c>
      <c r="AW74" s="429">
        <v>0</v>
      </c>
      <c r="AX74" s="429">
        <v>0</v>
      </c>
      <c r="AY74" s="429">
        <v>0</v>
      </c>
      <c r="AZ74" s="429">
        <v>0</v>
      </c>
      <c r="BA74" s="429">
        <v>0</v>
      </c>
      <c r="BB74" s="429">
        <v>0</v>
      </c>
      <c r="BC74" s="431">
        <v>0</v>
      </c>
      <c r="BD74" s="428">
        <v>0</v>
      </c>
      <c r="BE74" s="429">
        <v>0</v>
      </c>
      <c r="BF74" s="429">
        <v>0</v>
      </c>
      <c r="BG74" s="429">
        <v>0</v>
      </c>
      <c r="BH74" s="429">
        <v>0</v>
      </c>
      <c r="BI74" s="429">
        <v>0</v>
      </c>
      <c r="BJ74" s="429">
        <v>0</v>
      </c>
      <c r="BK74" s="429">
        <v>0</v>
      </c>
      <c r="BL74" s="429">
        <v>0</v>
      </c>
      <c r="BM74" s="429">
        <v>0</v>
      </c>
      <c r="BN74" s="429">
        <v>0</v>
      </c>
      <c r="BO74" s="429">
        <v>0</v>
      </c>
      <c r="BP74" s="431">
        <v>0</v>
      </c>
      <c r="BQ74" s="428">
        <v>0</v>
      </c>
      <c r="BR74" s="429">
        <v>0</v>
      </c>
      <c r="BS74" s="429">
        <v>0</v>
      </c>
      <c r="BT74" s="429">
        <v>0</v>
      </c>
      <c r="BU74" s="429">
        <v>0</v>
      </c>
      <c r="BV74" s="429">
        <v>0</v>
      </c>
      <c r="BW74" s="429">
        <v>0</v>
      </c>
      <c r="BX74" s="429">
        <v>0</v>
      </c>
      <c r="BY74" s="429">
        <v>0</v>
      </c>
      <c r="BZ74" s="429">
        <v>0</v>
      </c>
      <c r="CA74" s="429">
        <v>0</v>
      </c>
      <c r="CB74" s="429">
        <v>0</v>
      </c>
      <c r="CC74" s="431">
        <v>0</v>
      </c>
    </row>
    <row r="75" spans="1:81">
      <c r="A75" s="420" t="s">
        <v>189</v>
      </c>
      <c r="B75" s="420" t="s">
        <v>177</v>
      </c>
      <c r="C75" s="436">
        <f t="shared" si="40"/>
        <v>2553.625</v>
      </c>
      <c r="D75" s="437">
        <f t="shared" si="41"/>
        <v>2348.5</v>
      </c>
      <c r="E75" s="437">
        <f t="shared" si="42"/>
        <v>3131.375</v>
      </c>
      <c r="F75" s="437">
        <f t="shared" si="43"/>
        <v>2161.75</v>
      </c>
      <c r="G75" s="437">
        <f t="shared" si="44"/>
        <v>2357.125</v>
      </c>
      <c r="H75" s="437">
        <f t="shared" si="45"/>
        <v>1117.75</v>
      </c>
      <c r="I75" s="437">
        <f t="shared" si="46"/>
        <v>504.125</v>
      </c>
      <c r="J75" s="437">
        <f t="shared" si="47"/>
        <v>1015.25</v>
      </c>
      <c r="K75" s="437">
        <f t="shared" si="48"/>
        <v>856.33333333333337</v>
      </c>
      <c r="L75" s="437">
        <f t="shared" si="49"/>
        <v>960.66666666666663</v>
      </c>
      <c r="M75" s="437">
        <f t="shared" si="50"/>
        <v>1854.8888888888889</v>
      </c>
      <c r="N75" s="437">
        <f t="shared" si="51"/>
        <v>2350</v>
      </c>
      <c r="O75" s="438">
        <f t="shared" si="52"/>
        <v>1757.13</v>
      </c>
      <c r="P75" s="439">
        <f t="shared" si="53"/>
        <v>3023.3333333333335</v>
      </c>
      <c r="Q75" s="437">
        <f t="shared" si="54"/>
        <v>3911.6666666666665</v>
      </c>
      <c r="R75" s="437">
        <f t="shared" si="55"/>
        <v>2235.4444444444443</v>
      </c>
      <c r="S75" s="437">
        <f t="shared" si="56"/>
        <v>2319.3333333333335</v>
      </c>
      <c r="T75" s="437">
        <f t="shared" si="57"/>
        <v>1840.875</v>
      </c>
      <c r="U75" s="437">
        <f t="shared" si="58"/>
        <v>1316.75</v>
      </c>
      <c r="V75" s="437">
        <f t="shared" si="59"/>
        <v>601.625</v>
      </c>
      <c r="W75" s="437">
        <f t="shared" si="60"/>
        <v>1055.25</v>
      </c>
      <c r="X75" s="437">
        <f t="shared" si="61"/>
        <v>1060.625</v>
      </c>
      <c r="Y75" s="437">
        <f t="shared" si="62"/>
        <v>811.75</v>
      </c>
      <c r="Z75" s="437">
        <f t="shared" si="63"/>
        <v>1207.875</v>
      </c>
      <c r="AA75" s="437">
        <f t="shared" si="64"/>
        <v>2409.625</v>
      </c>
      <c r="AB75" s="438">
        <f t="shared" si="65"/>
        <v>1858.43</v>
      </c>
      <c r="AC75" s="439">
        <f t="shared" si="66"/>
        <v>2067.8888888888887</v>
      </c>
      <c r="AD75" s="437">
        <f t="shared" si="67"/>
        <v>2335.8888888888887</v>
      </c>
      <c r="AE75" s="437">
        <f t="shared" si="68"/>
        <v>2850.2222222222222</v>
      </c>
      <c r="AF75" s="437">
        <f t="shared" si="69"/>
        <v>2288</v>
      </c>
      <c r="AG75" s="437">
        <f t="shared" si="70"/>
        <v>2600.5555555555557</v>
      </c>
      <c r="AH75" s="437">
        <f t="shared" si="71"/>
        <v>871.42105263157896</v>
      </c>
      <c r="AI75" s="437">
        <f t="shared" si="72"/>
        <v>1675.875</v>
      </c>
      <c r="AJ75" s="437">
        <f t="shared" si="73"/>
        <v>2043.1111111111111</v>
      </c>
      <c r="AK75" s="437">
        <f t="shared" si="74"/>
        <v>1460.6666666666667</v>
      </c>
      <c r="AL75" s="437">
        <f t="shared" si="75"/>
        <v>885.22222222222217</v>
      </c>
      <c r="AM75" s="437">
        <f t="shared" si="76"/>
        <v>3151.9</v>
      </c>
      <c r="AN75" s="437">
        <f t="shared" si="77"/>
        <v>1651.5555555555557</v>
      </c>
      <c r="AO75" s="438">
        <f t="shared" si="78"/>
        <v>1907.8898305084747</v>
      </c>
      <c r="AQ75" s="428">
        <v>2553.625</v>
      </c>
      <c r="AR75" s="429">
        <v>2348.5</v>
      </c>
      <c r="AS75" s="429">
        <v>3131.375</v>
      </c>
      <c r="AT75" s="429">
        <v>2161.75</v>
      </c>
      <c r="AU75" s="429">
        <v>2357.125</v>
      </c>
      <c r="AV75" s="429">
        <v>1117.75</v>
      </c>
      <c r="AW75" s="429">
        <v>504.125</v>
      </c>
      <c r="AX75" s="429">
        <v>1015.25</v>
      </c>
      <c r="AY75" s="429">
        <v>856.33333333333337</v>
      </c>
      <c r="AZ75" s="429">
        <v>960.66666666666663</v>
      </c>
      <c r="BA75" s="429">
        <v>1854.8888888888889</v>
      </c>
      <c r="BB75" s="429">
        <v>2350</v>
      </c>
      <c r="BC75" s="431">
        <v>1757.13</v>
      </c>
      <c r="BD75" s="428">
        <v>3023.3333333333335</v>
      </c>
      <c r="BE75" s="429">
        <v>3911.6666666666665</v>
      </c>
      <c r="BF75" s="429">
        <v>2235.4444444444443</v>
      </c>
      <c r="BG75" s="429">
        <v>2319.3333333333335</v>
      </c>
      <c r="BH75" s="429">
        <v>1840.875</v>
      </c>
      <c r="BI75" s="429">
        <v>1316.75</v>
      </c>
      <c r="BJ75" s="429">
        <v>601.625</v>
      </c>
      <c r="BK75" s="429">
        <v>1055.25</v>
      </c>
      <c r="BL75" s="429">
        <v>1060.625</v>
      </c>
      <c r="BM75" s="429">
        <v>811.75</v>
      </c>
      <c r="BN75" s="429">
        <v>1207.875</v>
      </c>
      <c r="BO75" s="429">
        <v>2409.625</v>
      </c>
      <c r="BP75" s="431">
        <v>1858.43</v>
      </c>
      <c r="BQ75" s="428">
        <v>2067.8888888888887</v>
      </c>
      <c r="BR75" s="429">
        <v>2335.8888888888887</v>
      </c>
      <c r="BS75" s="429">
        <v>2850.2222222222222</v>
      </c>
      <c r="BT75" s="429">
        <v>2288</v>
      </c>
      <c r="BU75" s="429">
        <v>2600.5555555555557</v>
      </c>
      <c r="BV75" s="429">
        <v>871.42105263157896</v>
      </c>
      <c r="BW75" s="429">
        <v>1675.875</v>
      </c>
      <c r="BX75" s="429">
        <v>2043.1111111111111</v>
      </c>
      <c r="BY75" s="429">
        <v>1460.6666666666667</v>
      </c>
      <c r="BZ75" s="429">
        <v>885.22222222222217</v>
      </c>
      <c r="CA75" s="429">
        <v>3151.9</v>
      </c>
      <c r="CB75" s="429">
        <v>1651.5555555555557</v>
      </c>
      <c r="CC75" s="431">
        <v>1907.8898305084747</v>
      </c>
    </row>
    <row r="76" spans="1:81">
      <c r="A76" s="420" t="s">
        <v>189</v>
      </c>
      <c r="B76" s="420" t="s">
        <v>178</v>
      </c>
      <c r="C76" s="436">
        <f t="shared" si="40"/>
        <v>0</v>
      </c>
      <c r="D76" s="437">
        <f t="shared" si="41"/>
        <v>0</v>
      </c>
      <c r="E76" s="437">
        <f t="shared" si="42"/>
        <v>0</v>
      </c>
      <c r="F76" s="437">
        <f t="shared" si="43"/>
        <v>0</v>
      </c>
      <c r="G76" s="437">
        <f t="shared" si="44"/>
        <v>0</v>
      </c>
      <c r="H76" s="437">
        <f t="shared" si="45"/>
        <v>0</v>
      </c>
      <c r="I76" s="437">
        <f t="shared" si="46"/>
        <v>0</v>
      </c>
      <c r="J76" s="437">
        <f t="shared" si="47"/>
        <v>0</v>
      </c>
      <c r="K76" s="437">
        <f t="shared" si="48"/>
        <v>0</v>
      </c>
      <c r="L76" s="437">
        <f t="shared" si="49"/>
        <v>0</v>
      </c>
      <c r="M76" s="437">
        <f t="shared" si="50"/>
        <v>0</v>
      </c>
      <c r="N76" s="437">
        <f t="shared" si="51"/>
        <v>0</v>
      </c>
      <c r="O76" s="438">
        <f t="shared" si="52"/>
        <v>0</v>
      </c>
      <c r="P76" s="435">
        <f>IF(BD76&lt;0,0,BD76)*2</f>
        <v>7010</v>
      </c>
      <c r="Q76" s="437">
        <f t="shared" si="54"/>
        <v>13300</v>
      </c>
      <c r="R76" s="504">
        <f>IF(BF76&lt;0,0,BF76)*2</f>
        <v>8450</v>
      </c>
      <c r="S76" s="437">
        <f t="shared" si="56"/>
        <v>9550</v>
      </c>
      <c r="T76" s="437">
        <f t="shared" si="57"/>
        <v>6350</v>
      </c>
      <c r="U76" s="437">
        <f t="shared" si="58"/>
        <v>2790</v>
      </c>
      <c r="V76" s="437">
        <f t="shared" si="59"/>
        <v>980</v>
      </c>
      <c r="W76" s="437">
        <f t="shared" si="60"/>
        <v>950</v>
      </c>
      <c r="X76" s="437">
        <f t="shared" si="61"/>
        <v>1010</v>
      </c>
      <c r="Y76" s="437">
        <f t="shared" si="62"/>
        <v>1950</v>
      </c>
      <c r="Z76" s="437">
        <f t="shared" si="63"/>
        <v>4710</v>
      </c>
      <c r="AA76" s="437">
        <f t="shared" si="64"/>
        <v>14070</v>
      </c>
      <c r="AB76" s="438">
        <f t="shared" si="65"/>
        <v>5080</v>
      </c>
      <c r="AC76" s="439">
        <f t="shared" si="66"/>
        <v>9970</v>
      </c>
      <c r="AD76" s="437">
        <f t="shared" si="67"/>
        <v>10540</v>
      </c>
      <c r="AE76" s="437">
        <f t="shared" si="68"/>
        <v>11770</v>
      </c>
      <c r="AF76" s="437">
        <f t="shared" si="69"/>
        <v>10170</v>
      </c>
      <c r="AG76" s="437">
        <f t="shared" si="70"/>
        <v>8780</v>
      </c>
      <c r="AH76" s="437">
        <f t="shared" si="71"/>
        <v>930</v>
      </c>
      <c r="AI76" s="437">
        <f t="shared" si="72"/>
        <v>930</v>
      </c>
      <c r="AJ76" s="437">
        <f t="shared" si="73"/>
        <v>2160</v>
      </c>
      <c r="AK76" s="437">
        <f t="shared" si="74"/>
        <v>3800</v>
      </c>
      <c r="AL76" s="437">
        <f t="shared" si="75"/>
        <v>6640</v>
      </c>
      <c r="AM76" s="437">
        <f t="shared" si="76"/>
        <v>12570</v>
      </c>
      <c r="AN76" s="437">
        <f t="shared" si="77"/>
        <v>7490</v>
      </c>
      <c r="AO76" s="438">
        <f t="shared" si="78"/>
        <v>7145.833333333333</v>
      </c>
      <c r="AQ76" s="428">
        <v>0</v>
      </c>
      <c r="AR76" s="429">
        <v>0</v>
      </c>
      <c r="AS76" s="429">
        <v>0</v>
      </c>
      <c r="AT76" s="429">
        <v>0</v>
      </c>
      <c r="AU76" s="429">
        <v>0</v>
      </c>
      <c r="AV76" s="429">
        <v>0</v>
      </c>
      <c r="AW76" s="429">
        <v>0</v>
      </c>
      <c r="AX76" s="429">
        <v>0</v>
      </c>
      <c r="AY76" s="429">
        <v>0</v>
      </c>
      <c r="AZ76" s="429">
        <v>0</v>
      </c>
      <c r="BA76" s="429">
        <v>0</v>
      </c>
      <c r="BB76" s="429">
        <v>0</v>
      </c>
      <c r="BC76" s="431">
        <v>0</v>
      </c>
      <c r="BD76" s="428">
        <v>3505</v>
      </c>
      <c r="BE76" s="429">
        <v>13300</v>
      </c>
      <c r="BF76" s="429">
        <v>4225</v>
      </c>
      <c r="BG76" s="429">
        <v>9550</v>
      </c>
      <c r="BH76" s="429">
        <v>6350</v>
      </c>
      <c r="BI76" s="429">
        <v>2790</v>
      </c>
      <c r="BJ76" s="429">
        <v>980</v>
      </c>
      <c r="BK76" s="429">
        <v>950</v>
      </c>
      <c r="BL76" s="429">
        <v>1010</v>
      </c>
      <c r="BM76" s="429">
        <v>1950</v>
      </c>
      <c r="BN76" s="429">
        <v>4710</v>
      </c>
      <c r="BO76" s="429">
        <v>14070</v>
      </c>
      <c r="BP76" s="431">
        <v>5080</v>
      </c>
      <c r="BQ76" s="428">
        <v>9970</v>
      </c>
      <c r="BR76" s="429">
        <v>10540</v>
      </c>
      <c r="BS76" s="429">
        <v>11770</v>
      </c>
      <c r="BT76" s="429">
        <v>10170</v>
      </c>
      <c r="BU76" s="429">
        <v>8780</v>
      </c>
      <c r="BV76" s="429">
        <v>930</v>
      </c>
      <c r="BW76" s="429">
        <v>930</v>
      </c>
      <c r="BX76" s="429">
        <v>2160</v>
      </c>
      <c r="BY76" s="429">
        <v>3800</v>
      </c>
      <c r="BZ76" s="429">
        <v>6640</v>
      </c>
      <c r="CA76" s="429">
        <v>12570</v>
      </c>
      <c r="CB76" s="429">
        <v>7490</v>
      </c>
      <c r="CC76" s="431">
        <v>7145.833333333333</v>
      </c>
    </row>
    <row r="77" spans="1:81">
      <c r="A77" s="420" t="s">
        <v>189</v>
      </c>
      <c r="B77" s="420" t="s">
        <v>179</v>
      </c>
      <c r="C77" s="436">
        <f t="shared" si="40"/>
        <v>968</v>
      </c>
      <c r="D77" s="437">
        <f t="shared" si="41"/>
        <v>845.25</v>
      </c>
      <c r="E77" s="437">
        <f t="shared" si="42"/>
        <v>578</v>
      </c>
      <c r="F77" s="437">
        <f t="shared" si="43"/>
        <v>403.25</v>
      </c>
      <c r="G77" s="437">
        <f t="shared" si="44"/>
        <v>601</v>
      </c>
      <c r="H77" s="437">
        <f t="shared" si="45"/>
        <v>546.5</v>
      </c>
      <c r="I77" s="437">
        <f t="shared" si="46"/>
        <v>308.25</v>
      </c>
      <c r="J77" s="437">
        <f t="shared" si="47"/>
        <v>510.75</v>
      </c>
      <c r="K77" s="437">
        <f t="shared" si="48"/>
        <v>424.25</v>
      </c>
      <c r="L77" s="437">
        <f t="shared" si="49"/>
        <v>385</v>
      </c>
      <c r="M77" s="437">
        <f t="shared" si="50"/>
        <v>703.25</v>
      </c>
      <c r="N77" s="437">
        <f t="shared" si="51"/>
        <v>959.25</v>
      </c>
      <c r="O77" s="438">
        <f t="shared" si="52"/>
        <v>602.72916666666663</v>
      </c>
      <c r="P77" s="439">
        <f t="shared" si="53"/>
        <v>653.5</v>
      </c>
      <c r="Q77" s="437">
        <f t="shared" si="54"/>
        <v>760.25</v>
      </c>
      <c r="R77" s="437">
        <f t="shared" si="55"/>
        <v>415.25</v>
      </c>
      <c r="S77" s="437">
        <f t="shared" si="56"/>
        <v>407.5</v>
      </c>
      <c r="T77" s="437">
        <f t="shared" si="57"/>
        <v>481.5</v>
      </c>
      <c r="U77" s="437">
        <f t="shared" si="58"/>
        <v>501.25</v>
      </c>
      <c r="V77" s="437">
        <f t="shared" si="59"/>
        <v>378.25</v>
      </c>
      <c r="W77" s="437">
        <f t="shared" si="60"/>
        <v>350.5</v>
      </c>
      <c r="X77" s="437">
        <f t="shared" si="61"/>
        <v>514.25</v>
      </c>
      <c r="Y77" s="437">
        <f t="shared" si="62"/>
        <v>779</v>
      </c>
      <c r="Z77" s="437">
        <f t="shared" si="63"/>
        <v>1056.25</v>
      </c>
      <c r="AA77" s="437">
        <f t="shared" si="64"/>
        <v>618.5</v>
      </c>
      <c r="AB77" s="438">
        <f t="shared" si="65"/>
        <v>576.33333333333337</v>
      </c>
      <c r="AC77" s="439">
        <f t="shared" si="66"/>
        <v>500</v>
      </c>
      <c r="AD77" s="437">
        <f t="shared" si="67"/>
        <v>430.75</v>
      </c>
      <c r="AE77" s="437">
        <f t="shared" si="68"/>
        <v>556.5</v>
      </c>
      <c r="AF77" s="437">
        <f t="shared" si="69"/>
        <v>427.5</v>
      </c>
      <c r="AG77" s="437">
        <f t="shared" si="70"/>
        <v>505</v>
      </c>
      <c r="AH77" s="437">
        <f t="shared" si="71"/>
        <v>437</v>
      </c>
      <c r="AI77" s="437">
        <f t="shared" si="72"/>
        <v>405.75</v>
      </c>
      <c r="AJ77" s="437">
        <f t="shared" si="73"/>
        <v>541.5</v>
      </c>
      <c r="AK77" s="437">
        <f t="shared" si="74"/>
        <v>323.5</v>
      </c>
      <c r="AL77" s="437">
        <f t="shared" si="75"/>
        <v>379.75</v>
      </c>
      <c r="AM77" s="437">
        <f t="shared" si="76"/>
        <v>555.5</v>
      </c>
      <c r="AN77" s="437">
        <f t="shared" si="77"/>
        <v>387.5</v>
      </c>
      <c r="AO77" s="438">
        <f t="shared" si="78"/>
        <v>454.1875</v>
      </c>
      <c r="AQ77" s="428">
        <v>968</v>
      </c>
      <c r="AR77" s="429">
        <v>845.25</v>
      </c>
      <c r="AS77" s="429">
        <v>578</v>
      </c>
      <c r="AT77" s="429">
        <v>403.25</v>
      </c>
      <c r="AU77" s="429">
        <v>601</v>
      </c>
      <c r="AV77" s="429">
        <v>546.5</v>
      </c>
      <c r="AW77" s="429">
        <v>308.25</v>
      </c>
      <c r="AX77" s="429">
        <v>510.75</v>
      </c>
      <c r="AY77" s="429">
        <v>424.25</v>
      </c>
      <c r="AZ77" s="429">
        <v>385</v>
      </c>
      <c r="BA77" s="429">
        <v>703.25</v>
      </c>
      <c r="BB77" s="429">
        <v>959.25</v>
      </c>
      <c r="BC77" s="431">
        <v>602.72916666666663</v>
      </c>
      <c r="BD77" s="428">
        <v>653.5</v>
      </c>
      <c r="BE77" s="429">
        <v>760.25</v>
      </c>
      <c r="BF77" s="429">
        <v>415.25</v>
      </c>
      <c r="BG77" s="429">
        <v>407.5</v>
      </c>
      <c r="BH77" s="429">
        <v>481.5</v>
      </c>
      <c r="BI77" s="429">
        <v>501.25</v>
      </c>
      <c r="BJ77" s="429">
        <v>378.25</v>
      </c>
      <c r="BK77" s="429">
        <v>350.5</v>
      </c>
      <c r="BL77" s="429">
        <v>514.25</v>
      </c>
      <c r="BM77" s="429">
        <v>779</v>
      </c>
      <c r="BN77" s="429">
        <v>1056.25</v>
      </c>
      <c r="BO77" s="429">
        <v>618.5</v>
      </c>
      <c r="BP77" s="431">
        <v>576.33333333333337</v>
      </c>
      <c r="BQ77" s="428">
        <v>500</v>
      </c>
      <c r="BR77" s="429">
        <v>430.75</v>
      </c>
      <c r="BS77" s="429">
        <v>556.5</v>
      </c>
      <c r="BT77" s="429">
        <v>427.5</v>
      </c>
      <c r="BU77" s="429">
        <v>505</v>
      </c>
      <c r="BV77" s="429">
        <v>437</v>
      </c>
      <c r="BW77" s="429">
        <v>405.75</v>
      </c>
      <c r="BX77" s="429">
        <v>541.5</v>
      </c>
      <c r="BY77" s="429">
        <v>323.5</v>
      </c>
      <c r="BZ77" s="429">
        <v>379.75</v>
      </c>
      <c r="CA77" s="429">
        <v>555.5</v>
      </c>
      <c r="CB77" s="429">
        <v>387.5</v>
      </c>
      <c r="CC77" s="431">
        <v>454.1875</v>
      </c>
    </row>
    <row r="78" spans="1:81">
      <c r="A78" s="420" t="s">
        <v>189</v>
      </c>
      <c r="B78" s="420" t="s">
        <v>180</v>
      </c>
      <c r="C78" s="436">
        <f t="shared" si="40"/>
        <v>0</v>
      </c>
      <c r="D78" s="437">
        <f t="shared" si="41"/>
        <v>0</v>
      </c>
      <c r="E78" s="437">
        <f t="shared" si="42"/>
        <v>0</v>
      </c>
      <c r="F78" s="437">
        <f t="shared" si="43"/>
        <v>0</v>
      </c>
      <c r="G78" s="437">
        <f t="shared" si="44"/>
        <v>0</v>
      </c>
      <c r="H78" s="437">
        <f t="shared" si="45"/>
        <v>0</v>
      </c>
      <c r="I78" s="437">
        <f t="shared" si="46"/>
        <v>0</v>
      </c>
      <c r="J78" s="437">
        <f t="shared" si="47"/>
        <v>0</v>
      </c>
      <c r="K78" s="437">
        <f t="shared" si="48"/>
        <v>0</v>
      </c>
      <c r="L78" s="437">
        <f t="shared" si="49"/>
        <v>0</v>
      </c>
      <c r="M78" s="437">
        <f t="shared" si="50"/>
        <v>0</v>
      </c>
      <c r="N78" s="437">
        <f t="shared" si="51"/>
        <v>0</v>
      </c>
      <c r="O78" s="438">
        <f t="shared" si="52"/>
        <v>0</v>
      </c>
      <c r="P78" s="439">
        <f t="shared" si="53"/>
        <v>0</v>
      </c>
      <c r="Q78" s="437">
        <f t="shared" si="54"/>
        <v>0</v>
      </c>
      <c r="R78" s="437">
        <f t="shared" si="55"/>
        <v>0</v>
      </c>
      <c r="S78" s="437">
        <f t="shared" si="56"/>
        <v>0</v>
      </c>
      <c r="T78" s="437">
        <f t="shared" si="57"/>
        <v>0</v>
      </c>
      <c r="U78" s="437">
        <f t="shared" si="58"/>
        <v>0</v>
      </c>
      <c r="V78" s="437">
        <f t="shared" si="59"/>
        <v>0</v>
      </c>
      <c r="W78" s="437">
        <f t="shared" si="60"/>
        <v>0</v>
      </c>
      <c r="X78" s="437">
        <f t="shared" si="61"/>
        <v>0</v>
      </c>
      <c r="Y78" s="437">
        <f t="shared" si="62"/>
        <v>0</v>
      </c>
      <c r="Z78" s="437">
        <f t="shared" si="63"/>
        <v>0</v>
      </c>
      <c r="AA78" s="437">
        <f t="shared" si="64"/>
        <v>0</v>
      </c>
      <c r="AB78" s="438">
        <f t="shared" si="65"/>
        <v>0</v>
      </c>
      <c r="AC78" s="439">
        <f t="shared" si="66"/>
        <v>0</v>
      </c>
      <c r="AD78" s="437">
        <f t="shared" si="67"/>
        <v>0</v>
      </c>
      <c r="AE78" s="437">
        <f t="shared" si="68"/>
        <v>0</v>
      </c>
      <c r="AF78" s="437">
        <f t="shared" si="69"/>
        <v>0</v>
      </c>
      <c r="AG78" s="437">
        <f t="shared" si="70"/>
        <v>0</v>
      </c>
      <c r="AH78" s="437">
        <f t="shared" si="71"/>
        <v>0</v>
      </c>
      <c r="AI78" s="437">
        <f t="shared" si="72"/>
        <v>0</v>
      </c>
      <c r="AJ78" s="437">
        <f t="shared" si="73"/>
        <v>0</v>
      </c>
      <c r="AK78" s="437">
        <f t="shared" si="74"/>
        <v>0</v>
      </c>
      <c r="AL78" s="437">
        <f t="shared" si="75"/>
        <v>0</v>
      </c>
      <c r="AM78" s="437">
        <f t="shared" si="76"/>
        <v>0</v>
      </c>
      <c r="AN78" s="437">
        <f t="shared" si="77"/>
        <v>0</v>
      </c>
      <c r="AO78" s="438">
        <f t="shared" si="78"/>
        <v>0</v>
      </c>
      <c r="AQ78" s="428">
        <v>0</v>
      </c>
      <c r="AR78" s="429">
        <v>0</v>
      </c>
      <c r="AS78" s="429">
        <v>0</v>
      </c>
      <c r="AT78" s="429">
        <v>0</v>
      </c>
      <c r="AU78" s="429">
        <v>0</v>
      </c>
      <c r="AV78" s="429">
        <v>0</v>
      </c>
      <c r="AW78" s="429">
        <v>0</v>
      </c>
      <c r="AX78" s="429">
        <v>0</v>
      </c>
      <c r="AY78" s="429">
        <v>0</v>
      </c>
      <c r="AZ78" s="429">
        <v>0</v>
      </c>
      <c r="BA78" s="429">
        <v>0</v>
      </c>
      <c r="BB78" s="429">
        <v>0</v>
      </c>
      <c r="BC78" s="431">
        <v>0</v>
      </c>
      <c r="BD78" s="428">
        <v>0</v>
      </c>
      <c r="BE78" s="429">
        <v>0</v>
      </c>
      <c r="BF78" s="429">
        <v>0</v>
      </c>
      <c r="BG78" s="429">
        <v>0</v>
      </c>
      <c r="BH78" s="429">
        <v>0</v>
      </c>
      <c r="BI78" s="429">
        <v>0</v>
      </c>
      <c r="BJ78" s="429">
        <v>0</v>
      </c>
      <c r="BK78" s="429">
        <v>0</v>
      </c>
      <c r="BL78" s="429">
        <v>0</v>
      </c>
      <c r="BM78" s="429">
        <v>0</v>
      </c>
      <c r="BN78" s="429">
        <v>0</v>
      </c>
      <c r="BO78" s="429">
        <v>0</v>
      </c>
      <c r="BP78" s="431">
        <v>0</v>
      </c>
      <c r="BQ78" s="428">
        <v>0</v>
      </c>
      <c r="BR78" s="429">
        <v>0</v>
      </c>
      <c r="BS78" s="429">
        <v>0</v>
      </c>
      <c r="BT78" s="429">
        <v>0</v>
      </c>
      <c r="BU78" s="429">
        <v>0</v>
      </c>
      <c r="BV78" s="429">
        <v>0</v>
      </c>
      <c r="BW78" s="429">
        <v>0</v>
      </c>
      <c r="BX78" s="429">
        <v>0</v>
      </c>
      <c r="BY78" s="429">
        <v>0</v>
      </c>
      <c r="BZ78" s="429">
        <v>0</v>
      </c>
      <c r="CA78" s="429">
        <v>0</v>
      </c>
      <c r="CB78" s="429">
        <v>0</v>
      </c>
      <c r="CC78" s="431">
        <v>0</v>
      </c>
    </row>
    <row r="79" spans="1:81">
      <c r="A79" s="420" t="s">
        <v>189</v>
      </c>
      <c r="B79" s="420" t="s">
        <v>181</v>
      </c>
      <c r="C79" s="436">
        <f t="shared" si="40"/>
        <v>2782.75</v>
      </c>
      <c r="D79" s="437">
        <f t="shared" si="41"/>
        <v>2372.125</v>
      </c>
      <c r="E79" s="437">
        <f t="shared" si="42"/>
        <v>3071.625</v>
      </c>
      <c r="F79" s="437">
        <f t="shared" si="43"/>
        <v>2062.375</v>
      </c>
      <c r="G79" s="437">
        <f t="shared" si="44"/>
        <v>1805.2727272727273</v>
      </c>
      <c r="H79" s="437">
        <f t="shared" si="45"/>
        <v>3026.5714285714284</v>
      </c>
      <c r="I79" s="437">
        <f t="shared" si="46"/>
        <v>1865</v>
      </c>
      <c r="J79" s="437">
        <f t="shared" si="47"/>
        <v>2843.3333333333335</v>
      </c>
      <c r="K79" s="437">
        <f t="shared" si="48"/>
        <v>2744.1666666666665</v>
      </c>
      <c r="L79" s="437">
        <f t="shared" si="49"/>
        <v>2381</v>
      </c>
      <c r="M79" s="437">
        <f t="shared" si="50"/>
        <v>2779.5714285714284</v>
      </c>
      <c r="N79" s="437">
        <f t="shared" si="51"/>
        <v>3259.2857142857142</v>
      </c>
      <c r="O79" s="438">
        <f t="shared" si="52"/>
        <v>2550.6629213483147</v>
      </c>
      <c r="P79" s="439">
        <f t="shared" si="53"/>
        <v>3094</v>
      </c>
      <c r="Q79" s="437">
        <f t="shared" si="54"/>
        <v>3868</v>
      </c>
      <c r="R79" s="437">
        <f t="shared" si="55"/>
        <v>2601.2857142857142</v>
      </c>
      <c r="S79" s="437">
        <f t="shared" si="56"/>
        <v>2562.7142857142858</v>
      </c>
      <c r="T79" s="437">
        <f t="shared" si="57"/>
        <v>1678.090909090909</v>
      </c>
      <c r="U79" s="437">
        <f t="shared" si="58"/>
        <v>2847.2857142857142</v>
      </c>
      <c r="V79" s="437">
        <f t="shared" si="59"/>
        <v>2634</v>
      </c>
      <c r="W79" s="437">
        <f t="shared" si="60"/>
        <v>2314.6666666666665</v>
      </c>
      <c r="X79" s="437">
        <f t="shared" si="61"/>
        <v>2350</v>
      </c>
      <c r="Y79" s="437">
        <f t="shared" si="62"/>
        <v>1958.7142857142858</v>
      </c>
      <c r="Z79" s="437">
        <f t="shared" si="63"/>
        <v>2095.8571428571427</v>
      </c>
      <c r="AA79" s="437">
        <f t="shared" si="64"/>
        <v>2760.2857142857142</v>
      </c>
      <c r="AB79" s="438">
        <f t="shared" si="65"/>
        <v>2526.6823529411763</v>
      </c>
      <c r="AC79" s="439">
        <f t="shared" si="66"/>
        <v>3642</v>
      </c>
      <c r="AD79" s="437">
        <f t="shared" si="67"/>
        <v>2695</v>
      </c>
      <c r="AE79" s="437">
        <f t="shared" si="68"/>
        <v>3469.8571428571427</v>
      </c>
      <c r="AF79" s="437">
        <f t="shared" si="69"/>
        <v>2649.5714285714284</v>
      </c>
      <c r="AG79" s="437">
        <f t="shared" si="70"/>
        <v>3004.5714285714284</v>
      </c>
      <c r="AH79" s="437">
        <f t="shared" si="71"/>
        <v>2490.4285714285716</v>
      </c>
      <c r="AI79" s="437">
        <f t="shared" si="72"/>
        <v>3037.6666666666665</v>
      </c>
      <c r="AJ79" s="437">
        <f t="shared" si="73"/>
        <v>2647.5714285714284</v>
      </c>
      <c r="AK79" s="437">
        <f t="shared" si="74"/>
        <v>2096.6666666666665</v>
      </c>
      <c r="AL79" s="437">
        <f t="shared" si="75"/>
        <v>1925.1428571428571</v>
      </c>
      <c r="AM79" s="437">
        <f t="shared" si="76"/>
        <v>3688.5714285714284</v>
      </c>
      <c r="AN79" s="437">
        <f t="shared" si="77"/>
        <v>2168.2857142857142</v>
      </c>
      <c r="AO79" s="438">
        <f t="shared" si="78"/>
        <v>2798.4512195121952</v>
      </c>
      <c r="AQ79" s="428">
        <v>2782.75</v>
      </c>
      <c r="AR79" s="429">
        <v>2372.125</v>
      </c>
      <c r="AS79" s="429">
        <v>3071.625</v>
      </c>
      <c r="AT79" s="429">
        <v>2062.375</v>
      </c>
      <c r="AU79" s="429">
        <v>1805.2727272727273</v>
      </c>
      <c r="AV79" s="429">
        <v>3026.5714285714284</v>
      </c>
      <c r="AW79" s="429">
        <v>1865</v>
      </c>
      <c r="AX79" s="429">
        <v>2843.3333333333335</v>
      </c>
      <c r="AY79" s="429">
        <v>2744.1666666666665</v>
      </c>
      <c r="AZ79" s="429">
        <v>2381</v>
      </c>
      <c r="BA79" s="429">
        <v>2779.5714285714284</v>
      </c>
      <c r="BB79" s="429">
        <v>3259.2857142857142</v>
      </c>
      <c r="BC79" s="431">
        <v>2550.6629213483147</v>
      </c>
      <c r="BD79" s="428">
        <v>3094</v>
      </c>
      <c r="BE79" s="429">
        <v>3868</v>
      </c>
      <c r="BF79" s="429">
        <v>2601.2857142857142</v>
      </c>
      <c r="BG79" s="429">
        <v>2562.7142857142858</v>
      </c>
      <c r="BH79" s="429">
        <v>1678.090909090909</v>
      </c>
      <c r="BI79" s="429">
        <v>2847.2857142857142</v>
      </c>
      <c r="BJ79" s="429">
        <v>2634</v>
      </c>
      <c r="BK79" s="429">
        <v>2314.6666666666665</v>
      </c>
      <c r="BL79" s="429">
        <v>2350</v>
      </c>
      <c r="BM79" s="429">
        <v>1958.7142857142858</v>
      </c>
      <c r="BN79" s="429">
        <v>2095.8571428571427</v>
      </c>
      <c r="BO79" s="429">
        <v>2760.2857142857142</v>
      </c>
      <c r="BP79" s="431">
        <v>2526.6823529411763</v>
      </c>
      <c r="BQ79" s="428">
        <v>3642</v>
      </c>
      <c r="BR79" s="429">
        <v>2695</v>
      </c>
      <c r="BS79" s="429">
        <v>3469.8571428571427</v>
      </c>
      <c r="BT79" s="429">
        <v>2649.5714285714284</v>
      </c>
      <c r="BU79" s="429">
        <v>3004.5714285714284</v>
      </c>
      <c r="BV79" s="429">
        <v>2490.4285714285716</v>
      </c>
      <c r="BW79" s="429">
        <v>3037.6666666666665</v>
      </c>
      <c r="BX79" s="429">
        <v>2647.5714285714284</v>
      </c>
      <c r="BY79" s="429">
        <v>2096.6666666666665</v>
      </c>
      <c r="BZ79" s="429">
        <v>1925.1428571428571</v>
      </c>
      <c r="CA79" s="429">
        <v>3688.5714285714284</v>
      </c>
      <c r="CB79" s="429">
        <v>2168.2857142857142</v>
      </c>
      <c r="CC79" s="431">
        <v>2798.4512195121952</v>
      </c>
    </row>
    <row r="80" spans="1:81">
      <c r="A80" s="420" t="s">
        <v>189</v>
      </c>
      <c r="B80" s="420" t="s">
        <v>182</v>
      </c>
      <c r="C80" s="436">
        <f t="shared" si="40"/>
        <v>0</v>
      </c>
      <c r="D80" s="437">
        <f t="shared" si="41"/>
        <v>0</v>
      </c>
      <c r="E80" s="437">
        <f t="shared" si="42"/>
        <v>0</v>
      </c>
      <c r="F80" s="437">
        <f t="shared" si="43"/>
        <v>0</v>
      </c>
      <c r="G80" s="437">
        <f t="shared" si="44"/>
        <v>0</v>
      </c>
      <c r="H80" s="437">
        <f t="shared" si="45"/>
        <v>0</v>
      </c>
      <c r="I80" s="437">
        <f t="shared" si="46"/>
        <v>0</v>
      </c>
      <c r="J80" s="437">
        <f t="shared" si="47"/>
        <v>0</v>
      </c>
      <c r="K80" s="437">
        <f t="shared" si="48"/>
        <v>0</v>
      </c>
      <c r="L80" s="437">
        <f t="shared" si="49"/>
        <v>0</v>
      </c>
      <c r="M80" s="437">
        <f t="shared" si="50"/>
        <v>0</v>
      </c>
      <c r="N80" s="437">
        <f t="shared" si="51"/>
        <v>0</v>
      </c>
      <c r="O80" s="438">
        <f t="shared" si="52"/>
        <v>0</v>
      </c>
      <c r="P80" s="439">
        <f t="shared" si="53"/>
        <v>0</v>
      </c>
      <c r="Q80" s="437">
        <f t="shared" si="54"/>
        <v>0</v>
      </c>
      <c r="R80" s="437">
        <f t="shared" si="55"/>
        <v>0</v>
      </c>
      <c r="S80" s="437">
        <f t="shared" si="56"/>
        <v>0</v>
      </c>
      <c r="T80" s="437">
        <f t="shared" si="57"/>
        <v>0</v>
      </c>
      <c r="U80" s="437">
        <f t="shared" si="58"/>
        <v>0</v>
      </c>
      <c r="V80" s="437">
        <f t="shared" si="59"/>
        <v>0</v>
      </c>
      <c r="W80" s="437">
        <f t="shared" si="60"/>
        <v>0</v>
      </c>
      <c r="X80" s="437">
        <f t="shared" si="61"/>
        <v>0</v>
      </c>
      <c r="Y80" s="437">
        <f t="shared" si="62"/>
        <v>0</v>
      </c>
      <c r="Z80" s="437">
        <f t="shared" si="63"/>
        <v>0</v>
      </c>
      <c r="AA80" s="437">
        <f t="shared" si="64"/>
        <v>0</v>
      </c>
      <c r="AB80" s="438">
        <f t="shared" si="65"/>
        <v>0</v>
      </c>
      <c r="AC80" s="439">
        <f t="shared" si="66"/>
        <v>0</v>
      </c>
      <c r="AD80" s="437">
        <f t="shared" si="67"/>
        <v>0</v>
      </c>
      <c r="AE80" s="437">
        <f t="shared" si="68"/>
        <v>0</v>
      </c>
      <c r="AF80" s="437">
        <f t="shared" si="69"/>
        <v>0</v>
      </c>
      <c r="AG80" s="437">
        <f t="shared" si="70"/>
        <v>0</v>
      </c>
      <c r="AH80" s="437">
        <f t="shared" si="71"/>
        <v>0</v>
      </c>
      <c r="AI80" s="437">
        <f t="shared" si="72"/>
        <v>0</v>
      </c>
      <c r="AJ80" s="437">
        <f t="shared" si="73"/>
        <v>0</v>
      </c>
      <c r="AK80" s="437">
        <f t="shared" si="74"/>
        <v>0</v>
      </c>
      <c r="AL80" s="437">
        <f t="shared" si="75"/>
        <v>0</v>
      </c>
      <c r="AM80" s="437">
        <f t="shared" si="76"/>
        <v>0</v>
      </c>
      <c r="AN80" s="437">
        <f t="shared" si="77"/>
        <v>0</v>
      </c>
      <c r="AO80" s="438">
        <f t="shared" si="78"/>
        <v>0</v>
      </c>
      <c r="AQ80" s="428">
        <v>0</v>
      </c>
      <c r="AR80" s="429">
        <v>0</v>
      </c>
      <c r="AS80" s="429">
        <v>0</v>
      </c>
      <c r="AT80" s="429">
        <v>0</v>
      </c>
      <c r="AU80" s="429">
        <v>0</v>
      </c>
      <c r="AV80" s="429">
        <v>0</v>
      </c>
      <c r="AW80" s="429">
        <v>0</v>
      </c>
      <c r="AX80" s="429">
        <v>0</v>
      </c>
      <c r="AY80" s="429">
        <v>0</v>
      </c>
      <c r="AZ80" s="429">
        <v>0</v>
      </c>
      <c r="BA80" s="429">
        <v>0</v>
      </c>
      <c r="BB80" s="429">
        <v>0</v>
      </c>
      <c r="BC80" s="431">
        <v>0</v>
      </c>
      <c r="BD80" s="428">
        <v>0</v>
      </c>
      <c r="BE80" s="429">
        <v>0</v>
      </c>
      <c r="BF80" s="429">
        <v>0</v>
      </c>
      <c r="BG80" s="429">
        <v>0</v>
      </c>
      <c r="BH80" s="429">
        <v>0</v>
      </c>
      <c r="BI80" s="429">
        <v>0</v>
      </c>
      <c r="BJ80" s="429">
        <v>0</v>
      </c>
      <c r="BK80" s="429">
        <v>0</v>
      </c>
      <c r="BL80" s="429">
        <v>0</v>
      </c>
      <c r="BM80" s="429">
        <v>0</v>
      </c>
      <c r="BN80" s="429">
        <v>0</v>
      </c>
      <c r="BO80" s="429">
        <v>0</v>
      </c>
      <c r="BP80" s="431">
        <v>0</v>
      </c>
      <c r="BQ80" s="428">
        <v>0</v>
      </c>
      <c r="BR80" s="429">
        <v>0</v>
      </c>
      <c r="BS80" s="429">
        <v>0</v>
      </c>
      <c r="BT80" s="429">
        <v>0</v>
      </c>
      <c r="BU80" s="429">
        <v>0</v>
      </c>
      <c r="BV80" s="429">
        <v>0</v>
      </c>
      <c r="BW80" s="429">
        <v>0</v>
      </c>
      <c r="BX80" s="429">
        <v>0</v>
      </c>
      <c r="BY80" s="429">
        <v>0</v>
      </c>
      <c r="BZ80" s="429">
        <v>0</v>
      </c>
      <c r="CA80" s="429">
        <v>0</v>
      </c>
      <c r="CB80" s="429">
        <v>0</v>
      </c>
      <c r="CC80" s="431">
        <v>0</v>
      </c>
    </row>
    <row r="81" spans="1:81">
      <c r="A81" s="420" t="s">
        <v>189</v>
      </c>
      <c r="B81" s="420" t="s">
        <v>183</v>
      </c>
      <c r="C81" s="436">
        <f t="shared" si="40"/>
        <v>0</v>
      </c>
      <c r="D81" s="437">
        <f t="shared" si="41"/>
        <v>0</v>
      </c>
      <c r="E81" s="437">
        <f t="shared" si="42"/>
        <v>0</v>
      </c>
      <c r="F81" s="437">
        <f t="shared" si="43"/>
        <v>0</v>
      </c>
      <c r="G81" s="437">
        <f t="shared" si="44"/>
        <v>0</v>
      </c>
      <c r="H81" s="437">
        <f t="shared" si="45"/>
        <v>0</v>
      </c>
      <c r="I81" s="437">
        <f t="shared" si="46"/>
        <v>0</v>
      </c>
      <c r="J81" s="437">
        <f t="shared" si="47"/>
        <v>0</v>
      </c>
      <c r="K81" s="437">
        <f t="shared" si="48"/>
        <v>0</v>
      </c>
      <c r="L81" s="437">
        <f t="shared" si="49"/>
        <v>0</v>
      </c>
      <c r="M81" s="437">
        <f t="shared" si="50"/>
        <v>0</v>
      </c>
      <c r="N81" s="437">
        <f t="shared" si="51"/>
        <v>0</v>
      </c>
      <c r="O81" s="438">
        <f t="shared" si="52"/>
        <v>0</v>
      </c>
      <c r="P81" s="439">
        <f t="shared" si="53"/>
        <v>0</v>
      </c>
      <c r="Q81" s="437">
        <f t="shared" si="54"/>
        <v>0</v>
      </c>
      <c r="R81" s="437">
        <f t="shared" si="55"/>
        <v>0</v>
      </c>
      <c r="S81" s="437">
        <f t="shared" si="56"/>
        <v>0</v>
      </c>
      <c r="T81" s="437">
        <f t="shared" si="57"/>
        <v>0</v>
      </c>
      <c r="U81" s="437">
        <f t="shared" si="58"/>
        <v>0</v>
      </c>
      <c r="V81" s="437">
        <f t="shared" si="59"/>
        <v>0</v>
      </c>
      <c r="W81" s="437">
        <f t="shared" si="60"/>
        <v>0</v>
      </c>
      <c r="X81" s="437">
        <f t="shared" si="61"/>
        <v>0</v>
      </c>
      <c r="Y81" s="437">
        <f t="shared" si="62"/>
        <v>0</v>
      </c>
      <c r="Z81" s="437">
        <f t="shared" si="63"/>
        <v>0</v>
      </c>
      <c r="AA81" s="437">
        <f t="shared" si="64"/>
        <v>0</v>
      </c>
      <c r="AB81" s="438">
        <f t="shared" si="65"/>
        <v>0</v>
      </c>
      <c r="AC81" s="439">
        <f t="shared" si="66"/>
        <v>0</v>
      </c>
      <c r="AD81" s="437">
        <f t="shared" si="67"/>
        <v>0</v>
      </c>
      <c r="AE81" s="437">
        <f t="shared" si="68"/>
        <v>0</v>
      </c>
      <c r="AF81" s="437">
        <f t="shared" si="69"/>
        <v>0</v>
      </c>
      <c r="AG81" s="437">
        <f t="shared" si="70"/>
        <v>0</v>
      </c>
      <c r="AH81" s="437">
        <f t="shared" si="71"/>
        <v>0</v>
      </c>
      <c r="AI81" s="437">
        <f t="shared" si="72"/>
        <v>0</v>
      </c>
      <c r="AJ81" s="437">
        <f t="shared" si="73"/>
        <v>0</v>
      </c>
      <c r="AK81" s="437">
        <f t="shared" si="74"/>
        <v>0</v>
      </c>
      <c r="AL81" s="437">
        <f t="shared" si="75"/>
        <v>0</v>
      </c>
      <c r="AM81" s="437">
        <f t="shared" si="76"/>
        <v>0</v>
      </c>
      <c r="AN81" s="437">
        <f t="shared" si="77"/>
        <v>0</v>
      </c>
      <c r="AO81" s="438">
        <f t="shared" si="78"/>
        <v>0</v>
      </c>
      <c r="AQ81" s="428">
        <v>0</v>
      </c>
      <c r="AR81" s="429">
        <v>0</v>
      </c>
      <c r="AS81" s="429">
        <v>0</v>
      </c>
      <c r="AT81" s="429">
        <v>0</v>
      </c>
      <c r="AU81" s="429">
        <v>0</v>
      </c>
      <c r="AV81" s="429">
        <v>0</v>
      </c>
      <c r="AW81" s="429">
        <v>0</v>
      </c>
      <c r="AX81" s="429">
        <v>0</v>
      </c>
      <c r="AY81" s="429">
        <v>0</v>
      </c>
      <c r="AZ81" s="429">
        <v>0</v>
      </c>
      <c r="BA81" s="429">
        <v>0</v>
      </c>
      <c r="BB81" s="429">
        <v>0</v>
      </c>
      <c r="BC81" s="431">
        <v>0</v>
      </c>
      <c r="BD81" s="428">
        <v>0</v>
      </c>
      <c r="BE81" s="429">
        <v>0</v>
      </c>
      <c r="BF81" s="429">
        <v>0</v>
      </c>
      <c r="BG81" s="429">
        <v>0</v>
      </c>
      <c r="BH81" s="429">
        <v>0</v>
      </c>
      <c r="BI81" s="429">
        <v>0</v>
      </c>
      <c r="BJ81" s="429">
        <v>0</v>
      </c>
      <c r="BK81" s="429">
        <v>0</v>
      </c>
      <c r="BL81" s="429">
        <v>0</v>
      </c>
      <c r="BM81" s="429">
        <v>0</v>
      </c>
      <c r="BN81" s="429">
        <v>0</v>
      </c>
      <c r="BO81" s="429">
        <v>0</v>
      </c>
      <c r="BP81" s="431">
        <v>0</v>
      </c>
      <c r="BQ81" s="428">
        <v>0</v>
      </c>
      <c r="BR81" s="429">
        <v>0</v>
      </c>
      <c r="BS81" s="429">
        <v>0</v>
      </c>
      <c r="BT81" s="429">
        <v>0</v>
      </c>
      <c r="BU81" s="429">
        <v>0</v>
      </c>
      <c r="BV81" s="429">
        <v>0</v>
      </c>
      <c r="BW81" s="429">
        <v>0</v>
      </c>
      <c r="BX81" s="429">
        <v>0</v>
      </c>
      <c r="BY81" s="429">
        <v>0</v>
      </c>
      <c r="BZ81" s="429">
        <v>0</v>
      </c>
      <c r="CA81" s="429">
        <v>0</v>
      </c>
      <c r="CB81" s="429">
        <v>0</v>
      </c>
      <c r="CC81" s="431">
        <v>0</v>
      </c>
    </row>
    <row r="82" spans="1:81">
      <c r="A82" s="445"/>
      <c r="B82" s="445"/>
      <c r="C82" s="446"/>
      <c r="D82" s="447"/>
      <c r="E82" s="447"/>
      <c r="F82" s="447"/>
      <c r="G82" s="447"/>
      <c r="H82" s="447"/>
      <c r="I82" s="447"/>
      <c r="J82" s="447"/>
      <c r="K82" s="447"/>
      <c r="L82" s="447"/>
      <c r="M82" s="447"/>
      <c r="N82" s="447"/>
      <c r="O82" s="448"/>
      <c r="P82" s="449"/>
      <c r="Q82" s="447"/>
      <c r="R82" s="447"/>
      <c r="S82" s="447"/>
      <c r="T82" s="447"/>
      <c r="U82" s="447"/>
      <c r="V82" s="447"/>
      <c r="W82" s="447"/>
      <c r="X82" s="447"/>
      <c r="Y82" s="447"/>
      <c r="Z82" s="447"/>
      <c r="AA82" s="447"/>
      <c r="AB82" s="448"/>
      <c r="AC82" s="449"/>
      <c r="AD82" s="447"/>
      <c r="AE82" s="447"/>
      <c r="AF82" s="447"/>
      <c r="AG82" s="447"/>
      <c r="AH82" s="447"/>
      <c r="AI82" s="447"/>
      <c r="AJ82" s="447"/>
      <c r="AK82" s="447"/>
      <c r="AL82" s="447"/>
      <c r="AM82" s="447"/>
      <c r="AN82" s="447"/>
      <c r="AO82" s="448"/>
      <c r="AQ82" s="450"/>
      <c r="AR82" s="451"/>
      <c r="AS82" s="451"/>
      <c r="AT82" s="451"/>
      <c r="AU82" s="451"/>
      <c r="AV82" s="451"/>
      <c r="AW82" s="451"/>
      <c r="AX82" s="451"/>
      <c r="AY82" s="451"/>
      <c r="AZ82" s="451"/>
      <c r="BA82" s="451"/>
      <c r="BB82" s="451"/>
      <c r="BC82" s="452"/>
      <c r="BD82" s="453"/>
      <c r="BE82" s="451"/>
      <c r="BF82" s="451"/>
      <c r="BG82" s="451"/>
      <c r="BH82" s="451"/>
      <c r="BI82" s="451"/>
      <c r="BJ82" s="451"/>
      <c r="BK82" s="451"/>
      <c r="BL82" s="451"/>
      <c r="BM82" s="451"/>
      <c r="BN82" s="451"/>
      <c r="BO82" s="451"/>
      <c r="BP82" s="452"/>
      <c r="BQ82" s="453"/>
      <c r="BR82" s="451"/>
      <c r="BS82" s="451"/>
      <c r="BT82" s="451"/>
      <c r="BU82" s="451"/>
      <c r="BV82" s="451"/>
      <c r="BW82" s="451"/>
      <c r="BX82" s="451"/>
      <c r="BY82" s="451"/>
      <c r="BZ82" s="451"/>
      <c r="CA82" s="451"/>
      <c r="CB82" s="451"/>
      <c r="CC82" s="452"/>
    </row>
    <row r="83" spans="1:81">
      <c r="B83" s="456" t="s">
        <v>190</v>
      </c>
      <c r="C83" s="436"/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7"/>
      <c r="O83" s="438"/>
      <c r="P83" s="439"/>
      <c r="Q83" s="437"/>
      <c r="R83" s="437"/>
      <c r="S83" s="437"/>
      <c r="T83" s="437"/>
      <c r="U83" s="437"/>
      <c r="V83" s="437"/>
      <c r="W83" s="437"/>
      <c r="X83" s="437"/>
      <c r="Y83" s="437"/>
      <c r="Z83" s="437"/>
      <c r="AA83" s="437"/>
      <c r="AB83" s="438"/>
      <c r="AC83" s="439"/>
      <c r="AD83" s="437"/>
      <c r="AE83" s="437"/>
      <c r="AF83" s="437"/>
      <c r="AG83" s="437"/>
      <c r="AH83" s="437"/>
      <c r="AI83" s="437"/>
      <c r="AJ83" s="437"/>
      <c r="AK83" s="437"/>
      <c r="AL83" s="437"/>
      <c r="AM83" s="437"/>
      <c r="AN83" s="437"/>
      <c r="AO83" s="438"/>
      <c r="AQ83" s="428"/>
      <c r="AR83" s="429"/>
      <c r="AS83" s="429"/>
      <c r="AT83" s="429"/>
      <c r="AU83" s="429"/>
      <c r="AV83" s="429"/>
      <c r="AW83" s="429"/>
      <c r="AX83" s="429"/>
      <c r="AY83" s="429"/>
      <c r="AZ83" s="429"/>
      <c r="BA83" s="429"/>
      <c r="BB83" s="429"/>
      <c r="BC83" s="431"/>
      <c r="BD83" s="428"/>
      <c r="BE83" s="429"/>
      <c r="BF83" s="429"/>
      <c r="BG83" s="429"/>
      <c r="BH83" s="429"/>
      <c r="BI83" s="429"/>
      <c r="BJ83" s="429"/>
      <c r="BK83" s="429"/>
      <c r="BL83" s="429"/>
      <c r="BM83" s="429"/>
      <c r="BN83" s="429"/>
      <c r="BO83" s="429"/>
      <c r="BP83" s="431"/>
      <c r="BQ83" s="428"/>
      <c r="BR83" s="429"/>
      <c r="BS83" s="429"/>
      <c r="BT83" s="429"/>
      <c r="BU83" s="429"/>
      <c r="BV83" s="429"/>
      <c r="BW83" s="429"/>
      <c r="BX83" s="429"/>
      <c r="BY83" s="429"/>
      <c r="BZ83" s="429"/>
      <c r="CA83" s="429"/>
      <c r="CB83" s="429"/>
      <c r="CC83" s="431"/>
    </row>
    <row r="84" spans="1:81">
      <c r="A84" s="420" t="s">
        <v>190</v>
      </c>
      <c r="B84" s="420" t="s">
        <v>175</v>
      </c>
      <c r="C84" s="436">
        <f t="shared" si="40"/>
        <v>837.5</v>
      </c>
      <c r="D84" s="437">
        <f t="shared" si="41"/>
        <v>897.08333333333337</v>
      </c>
      <c r="E84" s="437">
        <f t="shared" si="42"/>
        <v>795.38461538461536</v>
      </c>
      <c r="F84" s="437">
        <f t="shared" si="43"/>
        <v>806.53846153846155</v>
      </c>
      <c r="G84" s="437">
        <f t="shared" si="44"/>
        <v>473.76923076923077</v>
      </c>
      <c r="H84" s="437">
        <f t="shared" si="45"/>
        <v>494.84615384615387</v>
      </c>
      <c r="I84" s="437">
        <f t="shared" si="46"/>
        <v>507.92307692307691</v>
      </c>
      <c r="J84" s="437">
        <f t="shared" si="47"/>
        <v>372.57142857142856</v>
      </c>
      <c r="K84" s="437">
        <f t="shared" si="48"/>
        <v>468.85714285714283</v>
      </c>
      <c r="L84" s="437">
        <f t="shared" si="49"/>
        <v>498</v>
      </c>
      <c r="M84" s="437">
        <f t="shared" si="50"/>
        <v>611.42857142857144</v>
      </c>
      <c r="N84" s="437">
        <f t="shared" si="51"/>
        <v>773.14285714285711</v>
      </c>
      <c r="O84" s="438">
        <f t="shared" si="52"/>
        <v>622.45911949685535</v>
      </c>
      <c r="P84" s="439">
        <f t="shared" si="53"/>
        <v>825.15384615384619</v>
      </c>
      <c r="Q84" s="437">
        <f t="shared" si="54"/>
        <v>1043.1538461538462</v>
      </c>
      <c r="R84" s="437">
        <f t="shared" si="55"/>
        <v>896.23076923076928</v>
      </c>
      <c r="S84" s="437">
        <f t="shared" si="56"/>
        <v>614.46153846153845</v>
      </c>
      <c r="T84" s="437">
        <f t="shared" si="57"/>
        <v>668.61538461538464</v>
      </c>
      <c r="U84" s="437">
        <f t="shared" si="58"/>
        <v>595.07142857142856</v>
      </c>
      <c r="V84" s="437">
        <f t="shared" si="59"/>
        <v>433.71428571428572</v>
      </c>
      <c r="W84" s="437">
        <f t="shared" si="60"/>
        <v>444.30769230769232</v>
      </c>
      <c r="X84" s="437">
        <f t="shared" si="61"/>
        <v>450.61538461538464</v>
      </c>
      <c r="Y84" s="437">
        <f t="shared" si="62"/>
        <v>427.5</v>
      </c>
      <c r="Z84" s="437">
        <f t="shared" si="63"/>
        <v>878.23076923076928</v>
      </c>
      <c r="AA84" s="437">
        <f t="shared" si="64"/>
        <v>892.61538461538464</v>
      </c>
      <c r="AB84" s="438">
        <f t="shared" si="65"/>
        <v>677.11949685534591</v>
      </c>
      <c r="AC84" s="439">
        <f t="shared" si="66"/>
        <v>891.38461538461536</v>
      </c>
      <c r="AD84" s="437">
        <f t="shared" si="67"/>
        <v>881.35714285714289</v>
      </c>
      <c r="AE84" s="437">
        <f t="shared" si="68"/>
        <v>898.69230769230774</v>
      </c>
      <c r="AF84" s="437">
        <f t="shared" si="69"/>
        <v>738.46153846153845</v>
      </c>
      <c r="AG84" s="437">
        <f t="shared" si="70"/>
        <v>784.69230769230774</v>
      </c>
      <c r="AH84" s="437">
        <f t="shared" si="71"/>
        <v>439.78571428571428</v>
      </c>
      <c r="AI84" s="437">
        <f t="shared" si="72"/>
        <v>577.07692307692309</v>
      </c>
      <c r="AJ84" s="437">
        <f t="shared" si="73"/>
        <v>537.46153846153845</v>
      </c>
      <c r="AK84" s="437">
        <f t="shared" si="74"/>
        <v>367.76923076923077</v>
      </c>
      <c r="AL84" s="437">
        <f t="shared" si="75"/>
        <v>762.41666666666663</v>
      </c>
      <c r="AM84" s="437">
        <f t="shared" si="76"/>
        <v>908.58333333333337</v>
      </c>
      <c r="AN84" s="437">
        <f t="shared" si="77"/>
        <v>835.66666666666663</v>
      </c>
      <c r="AO84" s="438">
        <f t="shared" si="78"/>
        <v>715.6</v>
      </c>
      <c r="AQ84" s="428">
        <v>837.5</v>
      </c>
      <c r="AR84" s="429">
        <v>897.08333333333337</v>
      </c>
      <c r="AS84" s="429">
        <v>795.38461538461536</v>
      </c>
      <c r="AT84" s="429">
        <v>806.53846153846155</v>
      </c>
      <c r="AU84" s="429">
        <v>473.76923076923077</v>
      </c>
      <c r="AV84" s="429">
        <v>494.84615384615387</v>
      </c>
      <c r="AW84" s="429">
        <v>507.92307692307691</v>
      </c>
      <c r="AX84" s="429">
        <v>372.57142857142856</v>
      </c>
      <c r="AY84" s="429">
        <v>468.85714285714283</v>
      </c>
      <c r="AZ84" s="429">
        <v>498</v>
      </c>
      <c r="BA84" s="429">
        <v>611.42857142857144</v>
      </c>
      <c r="BB84" s="429">
        <v>773.14285714285711</v>
      </c>
      <c r="BC84" s="431">
        <v>622.45911949685535</v>
      </c>
      <c r="BD84" s="428">
        <v>825.15384615384619</v>
      </c>
      <c r="BE84" s="429">
        <v>1043.1538461538462</v>
      </c>
      <c r="BF84" s="429">
        <v>896.23076923076928</v>
      </c>
      <c r="BG84" s="429">
        <v>614.46153846153845</v>
      </c>
      <c r="BH84" s="429">
        <v>668.61538461538464</v>
      </c>
      <c r="BI84" s="429">
        <v>595.07142857142856</v>
      </c>
      <c r="BJ84" s="429">
        <v>433.71428571428572</v>
      </c>
      <c r="BK84" s="429">
        <v>444.30769230769232</v>
      </c>
      <c r="BL84" s="429">
        <v>450.61538461538464</v>
      </c>
      <c r="BM84" s="429">
        <v>427.5</v>
      </c>
      <c r="BN84" s="429">
        <v>878.23076923076928</v>
      </c>
      <c r="BO84" s="429">
        <v>892.61538461538464</v>
      </c>
      <c r="BP84" s="431">
        <v>677.11949685534591</v>
      </c>
      <c r="BQ84" s="428">
        <v>891.38461538461536</v>
      </c>
      <c r="BR84" s="429">
        <v>881.35714285714289</v>
      </c>
      <c r="BS84" s="429">
        <v>898.69230769230774</v>
      </c>
      <c r="BT84" s="429">
        <v>738.46153846153845</v>
      </c>
      <c r="BU84" s="429">
        <v>784.69230769230774</v>
      </c>
      <c r="BV84" s="429">
        <v>439.78571428571428</v>
      </c>
      <c r="BW84" s="429">
        <v>577.07692307692309</v>
      </c>
      <c r="BX84" s="429">
        <v>537.46153846153845</v>
      </c>
      <c r="BY84" s="429">
        <v>367.76923076923077</v>
      </c>
      <c r="BZ84" s="429">
        <v>762.41666666666663</v>
      </c>
      <c r="CA84" s="429">
        <v>908.58333333333337</v>
      </c>
      <c r="CB84" s="429">
        <v>835.66666666666663</v>
      </c>
      <c r="CC84" s="431">
        <v>715.6</v>
      </c>
    </row>
    <row r="85" spans="1:81">
      <c r="A85" s="420" t="s">
        <v>190</v>
      </c>
      <c r="B85" s="420" t="s">
        <v>176</v>
      </c>
      <c r="C85" s="436">
        <f t="shared" si="40"/>
        <v>990.42857142857144</v>
      </c>
      <c r="D85" s="437">
        <f t="shared" si="41"/>
        <v>0</v>
      </c>
      <c r="E85" s="437">
        <f t="shared" si="42"/>
        <v>0</v>
      </c>
      <c r="F85" s="437">
        <f t="shared" si="43"/>
        <v>1458.8333333333333</v>
      </c>
      <c r="G85" s="437">
        <f t="shared" si="44"/>
        <v>0</v>
      </c>
      <c r="H85" s="437">
        <f t="shared" si="45"/>
        <v>0</v>
      </c>
      <c r="I85" s="437">
        <f t="shared" si="46"/>
        <v>551.66666666666663</v>
      </c>
      <c r="J85" s="437">
        <f t="shared" si="47"/>
        <v>0</v>
      </c>
      <c r="K85" s="437">
        <f t="shared" si="48"/>
        <v>0</v>
      </c>
      <c r="L85" s="437">
        <f t="shared" si="49"/>
        <v>753.75</v>
      </c>
      <c r="M85" s="437">
        <f t="shared" si="50"/>
        <v>0</v>
      </c>
      <c r="N85" s="437">
        <f t="shared" si="51"/>
        <v>0</v>
      </c>
      <c r="O85" s="438">
        <f t="shared" si="52"/>
        <v>732.29032258064512</v>
      </c>
      <c r="P85" s="439">
        <f t="shared" si="53"/>
        <v>1532.5</v>
      </c>
      <c r="Q85" s="437">
        <f t="shared" si="54"/>
        <v>0</v>
      </c>
      <c r="R85" s="437">
        <f t="shared" si="55"/>
        <v>0</v>
      </c>
      <c r="S85" s="437">
        <f t="shared" si="56"/>
        <v>1360.25</v>
      </c>
      <c r="T85" s="437">
        <f t="shared" si="57"/>
        <v>0</v>
      </c>
      <c r="U85" s="437">
        <f t="shared" si="58"/>
        <v>0</v>
      </c>
      <c r="V85" s="437">
        <f t="shared" si="59"/>
        <v>490.25</v>
      </c>
      <c r="W85" s="437">
        <f t="shared" si="60"/>
        <v>0</v>
      </c>
      <c r="X85" s="437">
        <f t="shared" si="61"/>
        <v>0</v>
      </c>
      <c r="Y85" s="437">
        <f t="shared" si="62"/>
        <v>740.875</v>
      </c>
      <c r="Z85" s="437">
        <f t="shared" si="63"/>
        <v>0</v>
      </c>
      <c r="AA85" s="437">
        <f t="shared" si="64"/>
        <v>0</v>
      </c>
      <c r="AB85" s="438">
        <f t="shared" si="65"/>
        <v>941.73076923076928</v>
      </c>
      <c r="AC85" s="439">
        <f t="shared" si="66"/>
        <v>1064.3333333333333</v>
      </c>
      <c r="AD85" s="437">
        <f t="shared" si="67"/>
        <v>0</v>
      </c>
      <c r="AE85" s="437">
        <f t="shared" si="68"/>
        <v>0</v>
      </c>
      <c r="AF85" s="437">
        <f t="shared" si="69"/>
        <v>1337</v>
      </c>
      <c r="AG85" s="437">
        <f t="shared" si="70"/>
        <v>0</v>
      </c>
      <c r="AH85" s="437">
        <f t="shared" si="71"/>
        <v>0</v>
      </c>
      <c r="AI85" s="437">
        <f t="shared" si="72"/>
        <v>1429.4285714285713</v>
      </c>
      <c r="AJ85" s="437">
        <f t="shared" si="73"/>
        <v>0</v>
      </c>
      <c r="AK85" s="437">
        <f t="shared" si="74"/>
        <v>0</v>
      </c>
      <c r="AL85" s="437">
        <f t="shared" si="75"/>
        <v>1158</v>
      </c>
      <c r="AM85" s="437">
        <f t="shared" si="76"/>
        <v>0</v>
      </c>
      <c r="AN85" s="437">
        <f t="shared" si="77"/>
        <v>0</v>
      </c>
      <c r="AO85" s="438">
        <f t="shared" si="78"/>
        <v>1190.7083333333333</v>
      </c>
      <c r="AQ85" s="428">
        <v>990.42857142857144</v>
      </c>
      <c r="AR85" s="429">
        <v>0</v>
      </c>
      <c r="AS85" s="429">
        <v>0</v>
      </c>
      <c r="AT85" s="429">
        <v>1458.8333333333333</v>
      </c>
      <c r="AU85" s="429">
        <v>-581.25</v>
      </c>
      <c r="AV85" s="429">
        <v>0</v>
      </c>
      <c r="AW85" s="429">
        <v>551.66666666666663</v>
      </c>
      <c r="AX85" s="429">
        <v>0</v>
      </c>
      <c r="AY85" s="429">
        <v>0</v>
      </c>
      <c r="AZ85" s="429">
        <v>753.75</v>
      </c>
      <c r="BA85" s="429">
        <v>0</v>
      </c>
      <c r="BB85" s="429">
        <v>0</v>
      </c>
      <c r="BC85" s="431">
        <v>732.29032258064512</v>
      </c>
      <c r="BD85" s="428">
        <v>1532.5</v>
      </c>
      <c r="BE85" s="429">
        <v>0</v>
      </c>
      <c r="BF85" s="429">
        <v>0</v>
      </c>
      <c r="BG85" s="429">
        <v>1360.25</v>
      </c>
      <c r="BH85" s="429">
        <v>0</v>
      </c>
      <c r="BI85" s="429">
        <v>0</v>
      </c>
      <c r="BJ85" s="429">
        <v>490.25</v>
      </c>
      <c r="BK85" s="429">
        <v>0</v>
      </c>
      <c r="BL85" s="429">
        <v>0</v>
      </c>
      <c r="BM85" s="429">
        <v>740.875</v>
      </c>
      <c r="BN85" s="429">
        <v>0</v>
      </c>
      <c r="BO85" s="429">
        <v>0</v>
      </c>
      <c r="BP85" s="431">
        <v>941.73076923076928</v>
      </c>
      <c r="BQ85" s="428">
        <v>1064.3333333333333</v>
      </c>
      <c r="BR85" s="429">
        <v>0</v>
      </c>
      <c r="BS85" s="429">
        <v>0</v>
      </c>
      <c r="BT85" s="429">
        <v>1337</v>
      </c>
      <c r="BU85" s="429">
        <v>-111</v>
      </c>
      <c r="BV85" s="429">
        <v>0</v>
      </c>
      <c r="BW85" s="429">
        <v>1429.4285714285713</v>
      </c>
      <c r="BX85" s="429">
        <v>0</v>
      </c>
      <c r="BY85" s="429">
        <v>0</v>
      </c>
      <c r="BZ85" s="429">
        <v>1158</v>
      </c>
      <c r="CA85" s="429">
        <v>0</v>
      </c>
      <c r="CB85" s="429">
        <v>0</v>
      </c>
      <c r="CC85" s="431">
        <v>1190.7083333333333</v>
      </c>
    </row>
    <row r="86" spans="1:81">
      <c r="A86" s="420" t="s">
        <v>190</v>
      </c>
      <c r="B86" s="420" t="s">
        <v>177</v>
      </c>
      <c r="C86" s="436">
        <f t="shared" si="40"/>
        <v>751.36363636363637</v>
      </c>
      <c r="D86" s="437">
        <f t="shared" si="41"/>
        <v>991.9</v>
      </c>
      <c r="E86" s="437">
        <f t="shared" si="42"/>
        <v>1050.8888888888889</v>
      </c>
      <c r="F86" s="437">
        <f t="shared" si="43"/>
        <v>848.2</v>
      </c>
      <c r="G86" s="437">
        <f t="shared" si="44"/>
        <v>584.1</v>
      </c>
      <c r="H86" s="437">
        <f t="shared" si="45"/>
        <v>345.0625</v>
      </c>
      <c r="I86" s="437">
        <f t="shared" si="46"/>
        <v>1008.7272727272727</v>
      </c>
      <c r="J86" s="437">
        <f t="shared" si="47"/>
        <v>710.18181818181813</v>
      </c>
      <c r="K86" s="437">
        <f t="shared" si="48"/>
        <v>904.9</v>
      </c>
      <c r="L86" s="437">
        <f t="shared" si="49"/>
        <v>858.27272727272725</v>
      </c>
      <c r="M86" s="437">
        <f t="shared" si="50"/>
        <v>1228.5454545454545</v>
      </c>
      <c r="N86" s="437">
        <f t="shared" si="51"/>
        <v>1118</v>
      </c>
      <c r="O86" s="438">
        <f t="shared" si="52"/>
        <v>845.00763358778624</v>
      </c>
      <c r="P86" s="439">
        <f t="shared" si="53"/>
        <v>775.25</v>
      </c>
      <c r="Q86" s="437">
        <f t="shared" si="54"/>
        <v>974</v>
      </c>
      <c r="R86" s="437">
        <f t="shared" si="55"/>
        <v>869.41666666666663</v>
      </c>
      <c r="S86" s="437">
        <f t="shared" si="56"/>
        <v>670</v>
      </c>
      <c r="T86" s="437">
        <f t="shared" si="57"/>
        <v>771.72727272727275</v>
      </c>
      <c r="U86" s="437">
        <f t="shared" si="58"/>
        <v>587.81818181818187</v>
      </c>
      <c r="V86" s="437">
        <f t="shared" si="59"/>
        <v>737.90909090909088</v>
      </c>
      <c r="W86" s="437">
        <f t="shared" si="60"/>
        <v>859</v>
      </c>
      <c r="X86" s="437">
        <f t="shared" si="61"/>
        <v>842.90909090909088</v>
      </c>
      <c r="Y86" s="437">
        <f t="shared" si="62"/>
        <v>789.27272727272725</v>
      </c>
      <c r="Z86" s="437">
        <f t="shared" si="63"/>
        <v>1390.4545454545455</v>
      </c>
      <c r="AA86" s="437">
        <f t="shared" si="64"/>
        <v>841.5454545454545</v>
      </c>
      <c r="AB86" s="438">
        <f t="shared" si="65"/>
        <v>841.71851851851852</v>
      </c>
      <c r="AC86" s="439">
        <f t="shared" si="66"/>
        <v>830.27272727272725</v>
      </c>
      <c r="AD86" s="437">
        <f t="shared" si="67"/>
        <v>998.6</v>
      </c>
      <c r="AE86" s="437">
        <f t="shared" si="68"/>
        <v>887</v>
      </c>
      <c r="AF86" s="437">
        <f t="shared" si="69"/>
        <v>895</v>
      </c>
      <c r="AG86" s="437">
        <f t="shared" si="70"/>
        <v>870.77777777777783</v>
      </c>
      <c r="AH86" s="437">
        <f t="shared" si="71"/>
        <v>621.20000000000005</v>
      </c>
      <c r="AI86" s="437">
        <f t="shared" si="72"/>
        <v>610.79999999999995</v>
      </c>
      <c r="AJ86" s="437">
        <f t="shared" si="73"/>
        <v>878.375</v>
      </c>
      <c r="AK86" s="437">
        <f t="shared" si="74"/>
        <v>525.33333333333337</v>
      </c>
      <c r="AL86" s="437">
        <f t="shared" si="75"/>
        <v>887.77777777777783</v>
      </c>
      <c r="AM86" s="437">
        <f t="shared" si="76"/>
        <v>1499.5555555555557</v>
      </c>
      <c r="AN86" s="437">
        <f t="shared" si="77"/>
        <v>742.7</v>
      </c>
      <c r="AO86" s="438">
        <f t="shared" si="78"/>
        <v>849.72807017543857</v>
      </c>
      <c r="AQ86" s="428">
        <v>751.36363636363637</v>
      </c>
      <c r="AR86" s="429">
        <v>991.9</v>
      </c>
      <c r="AS86" s="429">
        <v>1050.8888888888889</v>
      </c>
      <c r="AT86" s="429">
        <v>848.2</v>
      </c>
      <c r="AU86" s="429">
        <v>584.1</v>
      </c>
      <c r="AV86" s="429">
        <v>345.0625</v>
      </c>
      <c r="AW86" s="429">
        <v>1008.7272727272727</v>
      </c>
      <c r="AX86" s="429">
        <v>710.18181818181813</v>
      </c>
      <c r="AY86" s="429">
        <v>904.9</v>
      </c>
      <c r="AZ86" s="429">
        <v>858.27272727272725</v>
      </c>
      <c r="BA86" s="429">
        <v>1228.5454545454545</v>
      </c>
      <c r="BB86" s="429">
        <v>1118</v>
      </c>
      <c r="BC86" s="431">
        <v>845.00763358778624</v>
      </c>
      <c r="BD86" s="428">
        <v>775.25</v>
      </c>
      <c r="BE86" s="429">
        <v>974</v>
      </c>
      <c r="BF86" s="429">
        <v>869.41666666666663</v>
      </c>
      <c r="BG86" s="429">
        <v>670</v>
      </c>
      <c r="BH86" s="429">
        <v>771.72727272727275</v>
      </c>
      <c r="BI86" s="429">
        <v>587.81818181818187</v>
      </c>
      <c r="BJ86" s="429">
        <v>737.90909090909088</v>
      </c>
      <c r="BK86" s="429">
        <v>859</v>
      </c>
      <c r="BL86" s="429">
        <v>842.90909090909088</v>
      </c>
      <c r="BM86" s="429">
        <v>789.27272727272725</v>
      </c>
      <c r="BN86" s="429">
        <v>1390.4545454545455</v>
      </c>
      <c r="BO86" s="429">
        <v>841.5454545454545</v>
      </c>
      <c r="BP86" s="431">
        <v>841.71851851851852</v>
      </c>
      <c r="BQ86" s="428">
        <v>830.27272727272725</v>
      </c>
      <c r="BR86" s="429">
        <v>998.6</v>
      </c>
      <c r="BS86" s="429">
        <v>887</v>
      </c>
      <c r="BT86" s="429">
        <v>895</v>
      </c>
      <c r="BU86" s="429">
        <v>870.77777777777783</v>
      </c>
      <c r="BV86" s="429">
        <v>621.20000000000005</v>
      </c>
      <c r="BW86" s="429">
        <v>610.79999999999995</v>
      </c>
      <c r="BX86" s="429">
        <v>878.375</v>
      </c>
      <c r="BY86" s="429">
        <v>525.33333333333337</v>
      </c>
      <c r="BZ86" s="429">
        <v>887.77777777777783</v>
      </c>
      <c r="CA86" s="429">
        <v>1499.5555555555557</v>
      </c>
      <c r="CB86" s="429">
        <v>742.7</v>
      </c>
      <c r="CC86" s="431">
        <v>849.72807017543857</v>
      </c>
    </row>
    <row r="87" spans="1:81">
      <c r="A87" s="420" t="s">
        <v>190</v>
      </c>
      <c r="B87" s="420" t="s">
        <v>178</v>
      </c>
      <c r="C87" s="436">
        <f t="shared" si="40"/>
        <v>0</v>
      </c>
      <c r="D87" s="437">
        <f t="shared" si="41"/>
        <v>0</v>
      </c>
      <c r="E87" s="437">
        <f t="shared" si="42"/>
        <v>0</v>
      </c>
      <c r="F87" s="437">
        <f t="shared" si="43"/>
        <v>0</v>
      </c>
      <c r="G87" s="437">
        <f t="shared" si="44"/>
        <v>0</v>
      </c>
      <c r="H87" s="437">
        <f t="shared" si="45"/>
        <v>0</v>
      </c>
      <c r="I87" s="437">
        <f t="shared" si="46"/>
        <v>0</v>
      </c>
      <c r="J87" s="437">
        <f t="shared" si="47"/>
        <v>0</v>
      </c>
      <c r="K87" s="437">
        <f t="shared" si="48"/>
        <v>0</v>
      </c>
      <c r="L87" s="437">
        <f t="shared" si="49"/>
        <v>0</v>
      </c>
      <c r="M87" s="437">
        <f t="shared" si="50"/>
        <v>0</v>
      </c>
      <c r="N87" s="437">
        <f t="shared" si="51"/>
        <v>0</v>
      </c>
      <c r="O87" s="438">
        <f t="shared" si="52"/>
        <v>0</v>
      </c>
      <c r="P87" s="439">
        <f t="shared" si="53"/>
        <v>0</v>
      </c>
      <c r="Q87" s="437">
        <f t="shared" si="54"/>
        <v>0</v>
      </c>
      <c r="R87" s="437">
        <f t="shared" si="55"/>
        <v>0</v>
      </c>
      <c r="S87" s="437">
        <f t="shared" si="56"/>
        <v>0</v>
      </c>
      <c r="T87" s="437">
        <f t="shared" si="57"/>
        <v>0</v>
      </c>
      <c r="U87" s="437">
        <f t="shared" si="58"/>
        <v>0</v>
      </c>
      <c r="V87" s="437">
        <f t="shared" si="59"/>
        <v>0</v>
      </c>
      <c r="W87" s="437">
        <f t="shared" si="60"/>
        <v>0</v>
      </c>
      <c r="X87" s="437">
        <f t="shared" si="61"/>
        <v>0</v>
      </c>
      <c r="Y87" s="437">
        <f t="shared" si="62"/>
        <v>0</v>
      </c>
      <c r="Z87" s="437">
        <f t="shared" si="63"/>
        <v>0</v>
      </c>
      <c r="AA87" s="437">
        <f t="shared" si="64"/>
        <v>0</v>
      </c>
      <c r="AB87" s="438">
        <f t="shared" si="65"/>
        <v>0</v>
      </c>
      <c r="AC87" s="439">
        <f t="shared" si="66"/>
        <v>0</v>
      </c>
      <c r="AD87" s="437">
        <f t="shared" si="67"/>
        <v>0</v>
      </c>
      <c r="AE87" s="437">
        <f t="shared" si="68"/>
        <v>0</v>
      </c>
      <c r="AF87" s="437">
        <f t="shared" si="69"/>
        <v>0</v>
      </c>
      <c r="AG87" s="437">
        <f t="shared" si="70"/>
        <v>0</v>
      </c>
      <c r="AH87" s="437">
        <f t="shared" si="71"/>
        <v>0</v>
      </c>
      <c r="AI87" s="437">
        <f t="shared" si="72"/>
        <v>0</v>
      </c>
      <c r="AJ87" s="437">
        <f t="shared" si="73"/>
        <v>0</v>
      </c>
      <c r="AK87" s="437">
        <f t="shared" si="74"/>
        <v>0</v>
      </c>
      <c r="AL87" s="437">
        <f t="shared" si="75"/>
        <v>0</v>
      </c>
      <c r="AM87" s="437">
        <f t="shared" si="76"/>
        <v>0</v>
      </c>
      <c r="AN87" s="437">
        <f t="shared" si="77"/>
        <v>0</v>
      </c>
      <c r="AO87" s="438">
        <f t="shared" si="78"/>
        <v>0</v>
      </c>
      <c r="AQ87" s="428">
        <v>0</v>
      </c>
      <c r="AR87" s="429">
        <v>0</v>
      </c>
      <c r="AS87" s="429">
        <v>0</v>
      </c>
      <c r="AT87" s="429">
        <v>0</v>
      </c>
      <c r="AU87" s="429">
        <v>0</v>
      </c>
      <c r="AV87" s="429">
        <v>0</v>
      </c>
      <c r="AW87" s="429">
        <v>0</v>
      </c>
      <c r="AX87" s="429">
        <v>0</v>
      </c>
      <c r="AY87" s="429">
        <v>0</v>
      </c>
      <c r="AZ87" s="429">
        <v>0</v>
      </c>
      <c r="BA87" s="429">
        <v>0</v>
      </c>
      <c r="BB87" s="429">
        <v>0</v>
      </c>
      <c r="BC87" s="431">
        <v>0</v>
      </c>
      <c r="BD87" s="428">
        <v>0</v>
      </c>
      <c r="BE87" s="429">
        <v>0</v>
      </c>
      <c r="BF87" s="429">
        <v>0</v>
      </c>
      <c r="BG87" s="429">
        <v>0</v>
      </c>
      <c r="BH87" s="429">
        <v>0</v>
      </c>
      <c r="BI87" s="429">
        <v>0</v>
      </c>
      <c r="BJ87" s="429">
        <v>0</v>
      </c>
      <c r="BK87" s="429">
        <v>0</v>
      </c>
      <c r="BL87" s="429">
        <v>0</v>
      </c>
      <c r="BM87" s="429">
        <v>0</v>
      </c>
      <c r="BN87" s="429">
        <v>0</v>
      </c>
      <c r="BO87" s="429">
        <v>0</v>
      </c>
      <c r="BP87" s="431">
        <v>0</v>
      </c>
      <c r="BQ87" s="428">
        <v>0</v>
      </c>
      <c r="BR87" s="429">
        <v>0</v>
      </c>
      <c r="BS87" s="429">
        <v>0</v>
      </c>
      <c r="BT87" s="429">
        <v>0</v>
      </c>
      <c r="BU87" s="429">
        <v>0</v>
      </c>
      <c r="BV87" s="429">
        <v>0</v>
      </c>
      <c r="BW87" s="429">
        <v>0</v>
      </c>
      <c r="BX87" s="429">
        <v>0</v>
      </c>
      <c r="BY87" s="429">
        <v>0</v>
      </c>
      <c r="BZ87" s="429">
        <v>0</v>
      </c>
      <c r="CA87" s="429">
        <v>0</v>
      </c>
      <c r="CB87" s="429">
        <v>0</v>
      </c>
      <c r="CC87" s="431">
        <v>0</v>
      </c>
    </row>
    <row r="88" spans="1:81">
      <c r="A88" s="420" t="s">
        <v>190</v>
      </c>
      <c r="B88" s="420" t="s">
        <v>179</v>
      </c>
      <c r="C88" s="436">
        <f t="shared" si="40"/>
        <v>0</v>
      </c>
      <c r="D88" s="437">
        <f t="shared" si="41"/>
        <v>0</v>
      </c>
      <c r="E88" s="437">
        <f t="shared" si="42"/>
        <v>0</v>
      </c>
      <c r="F88" s="437">
        <f t="shared" si="43"/>
        <v>0</v>
      </c>
      <c r="G88" s="437">
        <f t="shared" si="44"/>
        <v>0</v>
      </c>
      <c r="H88" s="437">
        <f t="shared" si="45"/>
        <v>0</v>
      </c>
      <c r="I88" s="437">
        <f t="shared" si="46"/>
        <v>0</v>
      </c>
      <c r="J88" s="437">
        <f t="shared" si="47"/>
        <v>0</v>
      </c>
      <c r="K88" s="437">
        <f t="shared" si="48"/>
        <v>0</v>
      </c>
      <c r="L88" s="437">
        <f t="shared" si="49"/>
        <v>0</v>
      </c>
      <c r="M88" s="437">
        <f t="shared" si="50"/>
        <v>0</v>
      </c>
      <c r="N88" s="437">
        <f t="shared" si="51"/>
        <v>0</v>
      </c>
      <c r="O88" s="438">
        <f t="shared" si="52"/>
        <v>0</v>
      </c>
      <c r="P88" s="439">
        <f t="shared" si="53"/>
        <v>0</v>
      </c>
      <c r="Q88" s="437">
        <f t="shared" si="54"/>
        <v>0</v>
      </c>
      <c r="R88" s="437">
        <f t="shared" si="55"/>
        <v>0</v>
      </c>
      <c r="S88" s="437">
        <f t="shared" si="56"/>
        <v>0</v>
      </c>
      <c r="T88" s="437">
        <f t="shared" si="57"/>
        <v>0</v>
      </c>
      <c r="U88" s="437">
        <f t="shared" si="58"/>
        <v>0</v>
      </c>
      <c r="V88" s="437">
        <f t="shared" si="59"/>
        <v>0</v>
      </c>
      <c r="W88" s="437">
        <f t="shared" si="60"/>
        <v>0</v>
      </c>
      <c r="X88" s="437">
        <f t="shared" si="61"/>
        <v>0</v>
      </c>
      <c r="Y88" s="437">
        <f t="shared" si="62"/>
        <v>0</v>
      </c>
      <c r="Z88" s="437">
        <f t="shared" si="63"/>
        <v>0</v>
      </c>
      <c r="AA88" s="437">
        <f t="shared" si="64"/>
        <v>0</v>
      </c>
      <c r="AB88" s="438">
        <f t="shared" si="65"/>
        <v>0</v>
      </c>
      <c r="AC88" s="439">
        <f t="shared" si="66"/>
        <v>0</v>
      </c>
      <c r="AD88" s="437">
        <f t="shared" si="67"/>
        <v>0</v>
      </c>
      <c r="AE88" s="437">
        <f t="shared" si="68"/>
        <v>0</v>
      </c>
      <c r="AF88" s="437">
        <f t="shared" si="69"/>
        <v>0</v>
      </c>
      <c r="AG88" s="437">
        <f t="shared" si="70"/>
        <v>0</v>
      </c>
      <c r="AH88" s="437">
        <f t="shared" si="71"/>
        <v>0</v>
      </c>
      <c r="AI88" s="437">
        <f t="shared" si="72"/>
        <v>0</v>
      </c>
      <c r="AJ88" s="437">
        <f t="shared" si="73"/>
        <v>0</v>
      </c>
      <c r="AK88" s="437">
        <f t="shared" si="74"/>
        <v>0</v>
      </c>
      <c r="AL88" s="437">
        <f t="shared" si="75"/>
        <v>0</v>
      </c>
      <c r="AM88" s="437">
        <f t="shared" si="76"/>
        <v>0</v>
      </c>
      <c r="AN88" s="437">
        <f t="shared" si="77"/>
        <v>0</v>
      </c>
      <c r="AO88" s="438">
        <f t="shared" si="78"/>
        <v>0</v>
      </c>
      <c r="AQ88" s="428">
        <v>0</v>
      </c>
      <c r="AR88" s="429">
        <v>0</v>
      </c>
      <c r="AS88" s="429">
        <v>0</v>
      </c>
      <c r="AT88" s="429">
        <v>0</v>
      </c>
      <c r="AU88" s="429">
        <v>0</v>
      </c>
      <c r="AV88" s="429">
        <v>0</v>
      </c>
      <c r="AW88" s="429">
        <v>0</v>
      </c>
      <c r="AX88" s="429">
        <v>0</v>
      </c>
      <c r="AY88" s="429">
        <v>0</v>
      </c>
      <c r="AZ88" s="429">
        <v>0</v>
      </c>
      <c r="BA88" s="429">
        <v>0</v>
      </c>
      <c r="BB88" s="429">
        <v>0</v>
      </c>
      <c r="BC88" s="431">
        <v>0</v>
      </c>
      <c r="BD88" s="428">
        <v>0</v>
      </c>
      <c r="BE88" s="429">
        <v>0</v>
      </c>
      <c r="BF88" s="429">
        <v>0</v>
      </c>
      <c r="BG88" s="429">
        <v>0</v>
      </c>
      <c r="BH88" s="429">
        <v>0</v>
      </c>
      <c r="BI88" s="429">
        <v>0</v>
      </c>
      <c r="BJ88" s="429">
        <v>0</v>
      </c>
      <c r="BK88" s="429">
        <v>0</v>
      </c>
      <c r="BL88" s="429">
        <v>0</v>
      </c>
      <c r="BM88" s="429">
        <v>0</v>
      </c>
      <c r="BN88" s="429">
        <v>0</v>
      </c>
      <c r="BO88" s="429">
        <v>0</v>
      </c>
      <c r="BP88" s="431">
        <v>0</v>
      </c>
      <c r="BQ88" s="428">
        <v>0</v>
      </c>
      <c r="BR88" s="429">
        <v>0</v>
      </c>
      <c r="BS88" s="429">
        <v>0</v>
      </c>
      <c r="BT88" s="429">
        <v>0</v>
      </c>
      <c r="BU88" s="429">
        <v>0</v>
      </c>
      <c r="BV88" s="429">
        <v>0</v>
      </c>
      <c r="BW88" s="429">
        <v>0</v>
      </c>
      <c r="BX88" s="429">
        <v>0</v>
      </c>
      <c r="BY88" s="429">
        <v>0</v>
      </c>
      <c r="BZ88" s="429">
        <v>0</v>
      </c>
      <c r="CA88" s="429">
        <v>0</v>
      </c>
      <c r="CB88" s="429">
        <v>0</v>
      </c>
      <c r="CC88" s="431">
        <v>0</v>
      </c>
    </row>
    <row r="89" spans="1:81">
      <c r="A89" s="420" t="s">
        <v>190</v>
      </c>
      <c r="B89" s="420" t="s">
        <v>180</v>
      </c>
      <c r="C89" s="436">
        <f t="shared" si="40"/>
        <v>0</v>
      </c>
      <c r="D89" s="437">
        <f t="shared" si="41"/>
        <v>0</v>
      </c>
      <c r="E89" s="437">
        <f t="shared" si="42"/>
        <v>0</v>
      </c>
      <c r="F89" s="437">
        <f t="shared" si="43"/>
        <v>0</v>
      </c>
      <c r="G89" s="437">
        <f t="shared" si="44"/>
        <v>0</v>
      </c>
      <c r="H89" s="437">
        <f t="shared" si="45"/>
        <v>0</v>
      </c>
      <c r="I89" s="437">
        <f t="shared" si="46"/>
        <v>0</v>
      </c>
      <c r="J89" s="437">
        <f t="shared" si="47"/>
        <v>0</v>
      </c>
      <c r="K89" s="437">
        <f t="shared" si="48"/>
        <v>0</v>
      </c>
      <c r="L89" s="437">
        <f t="shared" si="49"/>
        <v>0</v>
      </c>
      <c r="M89" s="437">
        <f t="shared" si="50"/>
        <v>0</v>
      </c>
      <c r="N89" s="437">
        <f t="shared" si="51"/>
        <v>0</v>
      </c>
      <c r="O89" s="438">
        <f t="shared" si="52"/>
        <v>0</v>
      </c>
      <c r="P89" s="439">
        <f t="shared" si="53"/>
        <v>0</v>
      </c>
      <c r="Q89" s="437">
        <f t="shared" si="54"/>
        <v>0</v>
      </c>
      <c r="R89" s="437">
        <f t="shared" si="55"/>
        <v>0</v>
      </c>
      <c r="S89" s="437">
        <f t="shared" si="56"/>
        <v>0</v>
      </c>
      <c r="T89" s="437">
        <f t="shared" si="57"/>
        <v>0</v>
      </c>
      <c r="U89" s="437">
        <f t="shared" si="58"/>
        <v>0</v>
      </c>
      <c r="V89" s="437">
        <f t="shared" si="59"/>
        <v>0</v>
      </c>
      <c r="W89" s="437">
        <f t="shared" si="60"/>
        <v>0</v>
      </c>
      <c r="X89" s="437">
        <f t="shared" si="61"/>
        <v>0</v>
      </c>
      <c r="Y89" s="437">
        <f t="shared" si="62"/>
        <v>0</v>
      </c>
      <c r="Z89" s="437">
        <f t="shared" si="63"/>
        <v>0</v>
      </c>
      <c r="AA89" s="437">
        <f t="shared" si="64"/>
        <v>0</v>
      </c>
      <c r="AB89" s="438">
        <f t="shared" si="65"/>
        <v>0</v>
      </c>
      <c r="AC89" s="439">
        <f t="shared" si="66"/>
        <v>0</v>
      </c>
      <c r="AD89" s="437">
        <f t="shared" si="67"/>
        <v>0</v>
      </c>
      <c r="AE89" s="437">
        <f t="shared" si="68"/>
        <v>0</v>
      </c>
      <c r="AF89" s="437">
        <f t="shared" si="69"/>
        <v>0</v>
      </c>
      <c r="AG89" s="437">
        <f t="shared" si="70"/>
        <v>0</v>
      </c>
      <c r="AH89" s="437">
        <f t="shared" si="71"/>
        <v>0</v>
      </c>
      <c r="AI89" s="437">
        <f t="shared" si="72"/>
        <v>0</v>
      </c>
      <c r="AJ89" s="437">
        <f t="shared" si="73"/>
        <v>0</v>
      </c>
      <c r="AK89" s="437">
        <f t="shared" si="74"/>
        <v>0</v>
      </c>
      <c r="AL89" s="437">
        <f t="shared" si="75"/>
        <v>0</v>
      </c>
      <c r="AM89" s="437">
        <f t="shared" si="76"/>
        <v>0</v>
      </c>
      <c r="AN89" s="437">
        <f t="shared" si="77"/>
        <v>0</v>
      </c>
      <c r="AO89" s="438">
        <f t="shared" si="78"/>
        <v>0</v>
      </c>
      <c r="AQ89" s="428">
        <v>0</v>
      </c>
      <c r="AR89" s="429">
        <v>0</v>
      </c>
      <c r="AS89" s="429">
        <v>0</v>
      </c>
      <c r="AT89" s="429">
        <v>0</v>
      </c>
      <c r="AU89" s="429">
        <v>0</v>
      </c>
      <c r="AV89" s="429">
        <v>0</v>
      </c>
      <c r="AW89" s="429">
        <v>0</v>
      </c>
      <c r="AX89" s="429">
        <v>0</v>
      </c>
      <c r="AY89" s="429">
        <v>0</v>
      </c>
      <c r="AZ89" s="429">
        <v>0</v>
      </c>
      <c r="BA89" s="429">
        <v>0</v>
      </c>
      <c r="BB89" s="429">
        <v>0</v>
      </c>
      <c r="BC89" s="431">
        <v>0</v>
      </c>
      <c r="BD89" s="428">
        <v>0</v>
      </c>
      <c r="BE89" s="429">
        <v>0</v>
      </c>
      <c r="BF89" s="429">
        <v>0</v>
      </c>
      <c r="BG89" s="429">
        <v>0</v>
      </c>
      <c r="BH89" s="429">
        <v>0</v>
      </c>
      <c r="BI89" s="429">
        <v>0</v>
      </c>
      <c r="BJ89" s="429">
        <v>0</v>
      </c>
      <c r="BK89" s="429">
        <v>0</v>
      </c>
      <c r="BL89" s="429">
        <v>0</v>
      </c>
      <c r="BM89" s="429">
        <v>0</v>
      </c>
      <c r="BN89" s="429">
        <v>0</v>
      </c>
      <c r="BO89" s="429">
        <v>0</v>
      </c>
      <c r="BP89" s="431">
        <v>0</v>
      </c>
      <c r="BQ89" s="428">
        <v>0</v>
      </c>
      <c r="BR89" s="429">
        <v>0</v>
      </c>
      <c r="BS89" s="429">
        <v>0</v>
      </c>
      <c r="BT89" s="429">
        <v>0</v>
      </c>
      <c r="BU89" s="429">
        <v>0</v>
      </c>
      <c r="BV89" s="429">
        <v>0</v>
      </c>
      <c r="BW89" s="429">
        <v>0</v>
      </c>
      <c r="BX89" s="429">
        <v>0</v>
      </c>
      <c r="BY89" s="429">
        <v>0</v>
      </c>
      <c r="BZ89" s="429">
        <v>0</v>
      </c>
      <c r="CA89" s="429">
        <v>0</v>
      </c>
      <c r="CB89" s="429">
        <v>0</v>
      </c>
      <c r="CC89" s="431">
        <v>0</v>
      </c>
    </row>
    <row r="90" spans="1:81">
      <c r="A90" s="420" t="s">
        <v>190</v>
      </c>
      <c r="B90" s="420" t="s">
        <v>181</v>
      </c>
      <c r="C90" s="436">
        <f t="shared" si="40"/>
        <v>0</v>
      </c>
      <c r="D90" s="437">
        <f t="shared" si="41"/>
        <v>0</v>
      </c>
      <c r="E90" s="437">
        <f t="shared" si="42"/>
        <v>0</v>
      </c>
      <c r="F90" s="437">
        <f t="shared" si="43"/>
        <v>0</v>
      </c>
      <c r="G90" s="437">
        <f t="shared" si="44"/>
        <v>0</v>
      </c>
      <c r="H90" s="437">
        <f t="shared" si="45"/>
        <v>0</v>
      </c>
      <c r="I90" s="437">
        <f t="shared" si="46"/>
        <v>0</v>
      </c>
      <c r="J90" s="437">
        <f t="shared" si="47"/>
        <v>0</v>
      </c>
      <c r="K90" s="437">
        <f t="shared" si="48"/>
        <v>0</v>
      </c>
      <c r="L90" s="437">
        <f t="shared" si="49"/>
        <v>0</v>
      </c>
      <c r="M90" s="437">
        <f t="shared" si="50"/>
        <v>0</v>
      </c>
      <c r="N90" s="437">
        <f t="shared" si="51"/>
        <v>0</v>
      </c>
      <c r="O90" s="438">
        <f t="shared" si="52"/>
        <v>0</v>
      </c>
      <c r="P90" s="439">
        <f t="shared" si="53"/>
        <v>0</v>
      </c>
      <c r="Q90" s="437">
        <f t="shared" si="54"/>
        <v>0</v>
      </c>
      <c r="R90" s="437">
        <f t="shared" si="55"/>
        <v>0</v>
      </c>
      <c r="S90" s="437">
        <f t="shared" si="56"/>
        <v>0</v>
      </c>
      <c r="T90" s="437">
        <f t="shared" si="57"/>
        <v>0</v>
      </c>
      <c r="U90" s="437">
        <f t="shared" si="58"/>
        <v>0</v>
      </c>
      <c r="V90" s="437">
        <f t="shared" si="59"/>
        <v>0</v>
      </c>
      <c r="W90" s="437">
        <f t="shared" si="60"/>
        <v>0</v>
      </c>
      <c r="X90" s="437">
        <f t="shared" si="61"/>
        <v>0</v>
      </c>
      <c r="Y90" s="437">
        <f t="shared" si="62"/>
        <v>0</v>
      </c>
      <c r="Z90" s="437">
        <f t="shared" si="63"/>
        <v>0</v>
      </c>
      <c r="AA90" s="437">
        <f t="shared" si="64"/>
        <v>0</v>
      </c>
      <c r="AB90" s="438">
        <f t="shared" si="65"/>
        <v>0</v>
      </c>
      <c r="AC90" s="439">
        <f t="shared" si="66"/>
        <v>0</v>
      </c>
      <c r="AD90" s="437">
        <f t="shared" si="67"/>
        <v>0</v>
      </c>
      <c r="AE90" s="437">
        <f t="shared" si="68"/>
        <v>0</v>
      </c>
      <c r="AF90" s="437">
        <f t="shared" si="69"/>
        <v>0</v>
      </c>
      <c r="AG90" s="437">
        <f t="shared" si="70"/>
        <v>0</v>
      </c>
      <c r="AH90" s="437">
        <f t="shared" si="71"/>
        <v>0</v>
      </c>
      <c r="AI90" s="437">
        <f t="shared" si="72"/>
        <v>0</v>
      </c>
      <c r="AJ90" s="437">
        <f t="shared" si="73"/>
        <v>0</v>
      </c>
      <c r="AK90" s="437">
        <f t="shared" si="74"/>
        <v>0</v>
      </c>
      <c r="AL90" s="437">
        <f t="shared" si="75"/>
        <v>0</v>
      </c>
      <c r="AM90" s="437">
        <f t="shared" si="76"/>
        <v>0</v>
      </c>
      <c r="AN90" s="437">
        <f t="shared" si="77"/>
        <v>0</v>
      </c>
      <c r="AO90" s="438">
        <f t="shared" si="78"/>
        <v>0</v>
      </c>
      <c r="AQ90" s="428">
        <v>0</v>
      </c>
      <c r="AR90" s="429">
        <v>0</v>
      </c>
      <c r="AS90" s="429">
        <v>0</v>
      </c>
      <c r="AT90" s="429">
        <v>0</v>
      </c>
      <c r="AU90" s="429">
        <v>0</v>
      </c>
      <c r="AV90" s="429">
        <v>0</v>
      </c>
      <c r="AW90" s="429">
        <v>0</v>
      </c>
      <c r="AX90" s="429">
        <v>0</v>
      </c>
      <c r="AY90" s="429">
        <v>0</v>
      </c>
      <c r="AZ90" s="429">
        <v>0</v>
      </c>
      <c r="BA90" s="429">
        <v>0</v>
      </c>
      <c r="BB90" s="429">
        <v>0</v>
      </c>
      <c r="BC90" s="431">
        <v>0</v>
      </c>
      <c r="BD90" s="428">
        <v>0</v>
      </c>
      <c r="BE90" s="429">
        <v>0</v>
      </c>
      <c r="BF90" s="429">
        <v>0</v>
      </c>
      <c r="BG90" s="429">
        <v>0</v>
      </c>
      <c r="BH90" s="429">
        <v>0</v>
      </c>
      <c r="BI90" s="429">
        <v>0</v>
      </c>
      <c r="BJ90" s="429">
        <v>0</v>
      </c>
      <c r="BK90" s="429">
        <v>0</v>
      </c>
      <c r="BL90" s="429">
        <v>0</v>
      </c>
      <c r="BM90" s="429">
        <v>0</v>
      </c>
      <c r="BN90" s="429">
        <v>0</v>
      </c>
      <c r="BO90" s="429">
        <v>0</v>
      </c>
      <c r="BP90" s="431">
        <v>0</v>
      </c>
      <c r="BQ90" s="428">
        <v>0</v>
      </c>
      <c r="BR90" s="429">
        <v>0</v>
      </c>
      <c r="BS90" s="429">
        <v>0</v>
      </c>
      <c r="BT90" s="429">
        <v>0</v>
      </c>
      <c r="BU90" s="429">
        <v>0</v>
      </c>
      <c r="BV90" s="429">
        <v>0</v>
      </c>
      <c r="BW90" s="429">
        <v>0</v>
      </c>
      <c r="BX90" s="429">
        <v>0</v>
      </c>
      <c r="BY90" s="429">
        <v>0</v>
      </c>
      <c r="BZ90" s="429">
        <v>0</v>
      </c>
      <c r="CA90" s="429">
        <v>0</v>
      </c>
      <c r="CB90" s="429">
        <v>0</v>
      </c>
      <c r="CC90" s="431">
        <v>0</v>
      </c>
    </row>
    <row r="91" spans="1:81">
      <c r="A91" s="420" t="s">
        <v>190</v>
      </c>
      <c r="B91" s="420" t="s">
        <v>182</v>
      </c>
      <c r="C91" s="436">
        <f t="shared" si="40"/>
        <v>0</v>
      </c>
      <c r="D91" s="437">
        <f t="shared" si="41"/>
        <v>0</v>
      </c>
      <c r="E91" s="437">
        <f t="shared" si="42"/>
        <v>0</v>
      </c>
      <c r="F91" s="437">
        <f t="shared" si="43"/>
        <v>0</v>
      </c>
      <c r="G91" s="437">
        <f t="shared" si="44"/>
        <v>0</v>
      </c>
      <c r="H91" s="437">
        <f t="shared" si="45"/>
        <v>0</v>
      </c>
      <c r="I91" s="437">
        <f t="shared" si="46"/>
        <v>0</v>
      </c>
      <c r="J91" s="437">
        <f t="shared" si="47"/>
        <v>0</v>
      </c>
      <c r="K91" s="437">
        <f t="shared" si="48"/>
        <v>0</v>
      </c>
      <c r="L91" s="437">
        <f t="shared" si="49"/>
        <v>0</v>
      </c>
      <c r="M91" s="437">
        <f t="shared" si="50"/>
        <v>0</v>
      </c>
      <c r="N91" s="437">
        <f t="shared" si="51"/>
        <v>0</v>
      </c>
      <c r="O91" s="438">
        <f t="shared" si="52"/>
        <v>0</v>
      </c>
      <c r="P91" s="439">
        <f t="shared" si="53"/>
        <v>0</v>
      </c>
      <c r="Q91" s="437">
        <f t="shared" si="54"/>
        <v>0</v>
      </c>
      <c r="R91" s="437">
        <f t="shared" si="55"/>
        <v>0</v>
      </c>
      <c r="S91" s="437">
        <f t="shared" si="56"/>
        <v>0</v>
      </c>
      <c r="T91" s="437">
        <f t="shared" si="57"/>
        <v>0</v>
      </c>
      <c r="U91" s="437">
        <f t="shared" si="58"/>
        <v>0</v>
      </c>
      <c r="V91" s="437">
        <f t="shared" si="59"/>
        <v>0</v>
      </c>
      <c r="W91" s="437">
        <f t="shared" si="60"/>
        <v>0</v>
      </c>
      <c r="X91" s="437">
        <f t="shared" si="61"/>
        <v>0</v>
      </c>
      <c r="Y91" s="437">
        <f t="shared" si="62"/>
        <v>0</v>
      </c>
      <c r="Z91" s="437">
        <f t="shared" si="63"/>
        <v>0</v>
      </c>
      <c r="AA91" s="437">
        <f t="shared" si="64"/>
        <v>0</v>
      </c>
      <c r="AB91" s="438">
        <f t="shared" si="65"/>
        <v>0</v>
      </c>
      <c r="AC91" s="439">
        <f t="shared" si="66"/>
        <v>0</v>
      </c>
      <c r="AD91" s="437">
        <f t="shared" si="67"/>
        <v>0</v>
      </c>
      <c r="AE91" s="437">
        <f t="shared" si="68"/>
        <v>0</v>
      </c>
      <c r="AF91" s="437">
        <f t="shared" si="69"/>
        <v>0</v>
      </c>
      <c r="AG91" s="437">
        <f t="shared" si="70"/>
        <v>0</v>
      </c>
      <c r="AH91" s="437">
        <f t="shared" si="71"/>
        <v>0</v>
      </c>
      <c r="AI91" s="437">
        <f t="shared" si="72"/>
        <v>0</v>
      </c>
      <c r="AJ91" s="437">
        <f t="shared" si="73"/>
        <v>0</v>
      </c>
      <c r="AK91" s="437">
        <f t="shared" si="74"/>
        <v>0</v>
      </c>
      <c r="AL91" s="437">
        <f t="shared" si="75"/>
        <v>0</v>
      </c>
      <c r="AM91" s="437">
        <f t="shared" si="76"/>
        <v>0</v>
      </c>
      <c r="AN91" s="437">
        <f t="shared" si="77"/>
        <v>0</v>
      </c>
      <c r="AO91" s="438">
        <f t="shared" si="78"/>
        <v>0</v>
      </c>
      <c r="AQ91" s="428">
        <v>0</v>
      </c>
      <c r="AR91" s="429">
        <v>0</v>
      </c>
      <c r="AS91" s="429">
        <v>0</v>
      </c>
      <c r="AT91" s="429">
        <v>0</v>
      </c>
      <c r="AU91" s="429">
        <v>0</v>
      </c>
      <c r="AV91" s="429">
        <v>0</v>
      </c>
      <c r="AW91" s="429">
        <v>0</v>
      </c>
      <c r="AX91" s="429">
        <v>0</v>
      </c>
      <c r="AY91" s="429">
        <v>0</v>
      </c>
      <c r="AZ91" s="429">
        <v>0</v>
      </c>
      <c r="BA91" s="429">
        <v>0</v>
      </c>
      <c r="BB91" s="429">
        <v>0</v>
      </c>
      <c r="BC91" s="431">
        <v>0</v>
      </c>
      <c r="BD91" s="428">
        <v>0</v>
      </c>
      <c r="BE91" s="429">
        <v>0</v>
      </c>
      <c r="BF91" s="429">
        <v>0</v>
      </c>
      <c r="BG91" s="429">
        <v>0</v>
      </c>
      <c r="BH91" s="429">
        <v>0</v>
      </c>
      <c r="BI91" s="429">
        <v>0</v>
      </c>
      <c r="BJ91" s="429">
        <v>0</v>
      </c>
      <c r="BK91" s="429">
        <v>0</v>
      </c>
      <c r="BL91" s="429">
        <v>0</v>
      </c>
      <c r="BM91" s="429">
        <v>0</v>
      </c>
      <c r="BN91" s="429">
        <v>0</v>
      </c>
      <c r="BO91" s="429">
        <v>0</v>
      </c>
      <c r="BP91" s="431">
        <v>0</v>
      </c>
      <c r="BQ91" s="428">
        <v>0</v>
      </c>
      <c r="BR91" s="429">
        <v>0</v>
      </c>
      <c r="BS91" s="429">
        <v>0</v>
      </c>
      <c r="BT91" s="429">
        <v>0</v>
      </c>
      <c r="BU91" s="429">
        <v>0</v>
      </c>
      <c r="BV91" s="429">
        <v>0</v>
      </c>
      <c r="BW91" s="429">
        <v>0</v>
      </c>
      <c r="BX91" s="429">
        <v>0</v>
      </c>
      <c r="BY91" s="429">
        <v>0</v>
      </c>
      <c r="BZ91" s="429">
        <v>0</v>
      </c>
      <c r="CA91" s="429">
        <v>0</v>
      </c>
      <c r="CB91" s="429">
        <v>0</v>
      </c>
      <c r="CC91" s="431">
        <v>0</v>
      </c>
    </row>
    <row r="92" spans="1:81">
      <c r="A92" s="420" t="s">
        <v>190</v>
      </c>
      <c r="B92" s="420" t="s">
        <v>183</v>
      </c>
      <c r="C92" s="436">
        <f t="shared" si="40"/>
        <v>0</v>
      </c>
      <c r="D92" s="437">
        <f t="shared" si="41"/>
        <v>0</v>
      </c>
      <c r="E92" s="437">
        <f t="shared" si="42"/>
        <v>0</v>
      </c>
      <c r="F92" s="437">
        <f t="shared" si="43"/>
        <v>0</v>
      </c>
      <c r="G92" s="437">
        <f t="shared" si="44"/>
        <v>0</v>
      </c>
      <c r="H92" s="437">
        <f t="shared" si="45"/>
        <v>0</v>
      </c>
      <c r="I92" s="437">
        <f t="shared" si="46"/>
        <v>0</v>
      </c>
      <c r="J92" s="437">
        <f t="shared" si="47"/>
        <v>0</v>
      </c>
      <c r="K92" s="437">
        <f t="shared" si="48"/>
        <v>0</v>
      </c>
      <c r="L92" s="437">
        <f t="shared" si="49"/>
        <v>0</v>
      </c>
      <c r="M92" s="437">
        <f t="shared" si="50"/>
        <v>0</v>
      </c>
      <c r="N92" s="437">
        <f t="shared" si="51"/>
        <v>0</v>
      </c>
      <c r="O92" s="438">
        <f t="shared" si="52"/>
        <v>0</v>
      </c>
      <c r="P92" s="439">
        <f t="shared" si="53"/>
        <v>0</v>
      </c>
      <c r="Q92" s="437">
        <f t="shared" si="54"/>
        <v>0</v>
      </c>
      <c r="R92" s="437">
        <f t="shared" si="55"/>
        <v>0</v>
      </c>
      <c r="S92" s="437">
        <f t="shared" si="56"/>
        <v>0</v>
      </c>
      <c r="T92" s="437">
        <f t="shared" si="57"/>
        <v>0</v>
      </c>
      <c r="U92" s="437">
        <f t="shared" si="58"/>
        <v>0</v>
      </c>
      <c r="V92" s="437">
        <f t="shared" si="59"/>
        <v>0</v>
      </c>
      <c r="W92" s="437">
        <f t="shared" si="60"/>
        <v>0</v>
      </c>
      <c r="X92" s="437">
        <f t="shared" si="61"/>
        <v>0</v>
      </c>
      <c r="Y92" s="437">
        <f t="shared" si="62"/>
        <v>0</v>
      </c>
      <c r="Z92" s="437">
        <f t="shared" si="63"/>
        <v>0</v>
      </c>
      <c r="AA92" s="437">
        <f t="shared" si="64"/>
        <v>0</v>
      </c>
      <c r="AB92" s="438">
        <f t="shared" si="65"/>
        <v>0</v>
      </c>
      <c r="AC92" s="439">
        <f t="shared" si="66"/>
        <v>0</v>
      </c>
      <c r="AD92" s="437">
        <f t="shared" si="67"/>
        <v>0</v>
      </c>
      <c r="AE92" s="437">
        <f t="shared" si="68"/>
        <v>0</v>
      </c>
      <c r="AF92" s="437">
        <f t="shared" si="69"/>
        <v>0</v>
      </c>
      <c r="AG92" s="437">
        <f t="shared" si="70"/>
        <v>0</v>
      </c>
      <c r="AH92" s="437">
        <f t="shared" si="71"/>
        <v>0</v>
      </c>
      <c r="AI92" s="437">
        <f t="shared" si="72"/>
        <v>0</v>
      </c>
      <c r="AJ92" s="437">
        <f t="shared" si="73"/>
        <v>0</v>
      </c>
      <c r="AK92" s="437">
        <f t="shared" si="74"/>
        <v>0</v>
      </c>
      <c r="AL92" s="437">
        <f t="shared" si="75"/>
        <v>0</v>
      </c>
      <c r="AM92" s="437">
        <f t="shared" si="76"/>
        <v>0</v>
      </c>
      <c r="AN92" s="437">
        <f t="shared" si="77"/>
        <v>0</v>
      </c>
      <c r="AO92" s="438">
        <f t="shared" si="78"/>
        <v>0</v>
      </c>
      <c r="AQ92" s="428">
        <v>0</v>
      </c>
      <c r="AR92" s="429">
        <v>0</v>
      </c>
      <c r="AS92" s="429">
        <v>0</v>
      </c>
      <c r="AT92" s="429">
        <v>0</v>
      </c>
      <c r="AU92" s="429">
        <v>0</v>
      </c>
      <c r="AV92" s="429">
        <v>0</v>
      </c>
      <c r="AW92" s="429">
        <v>0</v>
      </c>
      <c r="AX92" s="429">
        <v>0</v>
      </c>
      <c r="AY92" s="429">
        <v>0</v>
      </c>
      <c r="AZ92" s="429">
        <v>0</v>
      </c>
      <c r="BA92" s="429">
        <v>0</v>
      </c>
      <c r="BB92" s="429">
        <v>0</v>
      </c>
      <c r="BC92" s="431">
        <v>0</v>
      </c>
      <c r="BD92" s="428">
        <v>0</v>
      </c>
      <c r="BE92" s="429">
        <v>0</v>
      </c>
      <c r="BF92" s="429">
        <v>0</v>
      </c>
      <c r="BG92" s="429">
        <v>0</v>
      </c>
      <c r="BH92" s="429">
        <v>0</v>
      </c>
      <c r="BI92" s="429">
        <v>0</v>
      </c>
      <c r="BJ92" s="429">
        <v>0</v>
      </c>
      <c r="BK92" s="429">
        <v>0</v>
      </c>
      <c r="BL92" s="429">
        <v>0</v>
      </c>
      <c r="BM92" s="429">
        <v>0</v>
      </c>
      <c r="BN92" s="429">
        <v>0</v>
      </c>
      <c r="BO92" s="429">
        <v>0</v>
      </c>
      <c r="BP92" s="431">
        <v>0</v>
      </c>
      <c r="BQ92" s="428">
        <v>0</v>
      </c>
      <c r="BR92" s="429">
        <v>0</v>
      </c>
      <c r="BS92" s="429">
        <v>0</v>
      </c>
      <c r="BT92" s="429">
        <v>0</v>
      </c>
      <c r="BU92" s="429">
        <v>0</v>
      </c>
      <c r="BV92" s="429">
        <v>0</v>
      </c>
      <c r="BW92" s="429">
        <v>0</v>
      </c>
      <c r="BX92" s="429">
        <v>0</v>
      </c>
      <c r="BY92" s="429">
        <v>0</v>
      </c>
      <c r="BZ92" s="429">
        <v>0</v>
      </c>
      <c r="CA92" s="429">
        <v>0</v>
      </c>
      <c r="CB92" s="429">
        <v>0</v>
      </c>
      <c r="CC92" s="431">
        <v>0</v>
      </c>
    </row>
    <row r="93" spans="1:81">
      <c r="A93" s="445"/>
      <c r="B93" s="445"/>
      <c r="C93" s="446"/>
      <c r="D93" s="447"/>
      <c r="E93" s="447"/>
      <c r="F93" s="447"/>
      <c r="G93" s="447"/>
      <c r="H93" s="447"/>
      <c r="I93" s="447"/>
      <c r="J93" s="447"/>
      <c r="K93" s="447"/>
      <c r="L93" s="447"/>
      <c r="M93" s="447"/>
      <c r="N93" s="447"/>
      <c r="O93" s="448"/>
      <c r="P93" s="449"/>
      <c r="Q93" s="447"/>
      <c r="R93" s="447"/>
      <c r="S93" s="447"/>
      <c r="T93" s="447"/>
      <c r="U93" s="447"/>
      <c r="V93" s="447"/>
      <c r="W93" s="447"/>
      <c r="X93" s="447"/>
      <c r="Y93" s="447"/>
      <c r="Z93" s="447"/>
      <c r="AA93" s="447"/>
      <c r="AB93" s="448"/>
      <c r="AC93" s="449"/>
      <c r="AD93" s="447"/>
      <c r="AE93" s="447"/>
      <c r="AF93" s="447"/>
      <c r="AG93" s="447"/>
      <c r="AH93" s="447"/>
      <c r="AI93" s="447"/>
      <c r="AJ93" s="447"/>
      <c r="AK93" s="447"/>
      <c r="AL93" s="447"/>
      <c r="AM93" s="447"/>
      <c r="AN93" s="447"/>
      <c r="AO93" s="448"/>
      <c r="AQ93" s="450"/>
      <c r="AR93" s="451"/>
      <c r="AS93" s="451"/>
      <c r="AT93" s="451"/>
      <c r="AU93" s="451"/>
      <c r="AV93" s="451"/>
      <c r="AW93" s="451"/>
      <c r="AX93" s="451"/>
      <c r="AY93" s="451"/>
      <c r="AZ93" s="451"/>
      <c r="BA93" s="451"/>
      <c r="BB93" s="451"/>
      <c r="BC93" s="452"/>
      <c r="BD93" s="453"/>
      <c r="BE93" s="451"/>
      <c r="BF93" s="451"/>
      <c r="BG93" s="451"/>
      <c r="BH93" s="451"/>
      <c r="BI93" s="451"/>
      <c r="BJ93" s="451"/>
      <c r="BK93" s="451"/>
      <c r="BL93" s="451"/>
      <c r="BM93" s="451"/>
      <c r="BN93" s="451"/>
      <c r="BO93" s="451"/>
      <c r="BP93" s="452"/>
      <c r="BQ93" s="453"/>
      <c r="BR93" s="451"/>
      <c r="BS93" s="451"/>
      <c r="BT93" s="451"/>
      <c r="BU93" s="451"/>
      <c r="BV93" s="451"/>
      <c r="BW93" s="451"/>
      <c r="BX93" s="451"/>
      <c r="BY93" s="451"/>
      <c r="BZ93" s="451"/>
      <c r="CA93" s="451"/>
      <c r="CB93" s="451"/>
      <c r="CC93" s="452"/>
    </row>
    <row r="94" spans="1:81">
      <c r="B94" s="456" t="s">
        <v>191</v>
      </c>
      <c r="C94" s="436"/>
      <c r="D94" s="437"/>
      <c r="E94" s="437"/>
      <c r="F94" s="437"/>
      <c r="G94" s="437"/>
      <c r="H94" s="437"/>
      <c r="I94" s="437"/>
      <c r="J94" s="437"/>
      <c r="K94" s="437"/>
      <c r="L94" s="437"/>
      <c r="M94" s="437"/>
      <c r="N94" s="437"/>
      <c r="O94" s="438"/>
      <c r="P94" s="439"/>
      <c r="Q94" s="437"/>
      <c r="R94" s="437"/>
      <c r="S94" s="437"/>
      <c r="T94" s="437"/>
      <c r="U94" s="437"/>
      <c r="V94" s="437"/>
      <c r="W94" s="437"/>
      <c r="X94" s="437"/>
      <c r="Y94" s="437"/>
      <c r="Z94" s="437"/>
      <c r="AA94" s="437"/>
      <c r="AB94" s="438"/>
      <c r="AC94" s="439"/>
      <c r="AD94" s="437"/>
      <c r="AE94" s="437"/>
      <c r="AF94" s="437"/>
      <c r="AG94" s="437"/>
      <c r="AH94" s="437"/>
      <c r="AI94" s="437"/>
      <c r="AJ94" s="437"/>
      <c r="AK94" s="437"/>
      <c r="AL94" s="437"/>
      <c r="AM94" s="437"/>
      <c r="AN94" s="437"/>
      <c r="AO94" s="438"/>
      <c r="AQ94" s="428"/>
      <c r="AR94" s="429"/>
      <c r="AS94" s="429"/>
      <c r="AT94" s="429"/>
      <c r="AU94" s="429"/>
      <c r="AV94" s="429"/>
      <c r="AW94" s="429"/>
      <c r="AX94" s="429"/>
      <c r="AY94" s="429"/>
      <c r="AZ94" s="429"/>
      <c r="BA94" s="429"/>
      <c r="BB94" s="429"/>
      <c r="BC94" s="431"/>
      <c r="BD94" s="428"/>
      <c r="BE94" s="429"/>
      <c r="BF94" s="429"/>
      <c r="BG94" s="429"/>
      <c r="BH94" s="429"/>
      <c r="BI94" s="429"/>
      <c r="BJ94" s="429"/>
      <c r="BK94" s="429"/>
      <c r="BL94" s="429"/>
      <c r="BM94" s="429"/>
      <c r="BN94" s="429"/>
      <c r="BO94" s="429"/>
      <c r="BP94" s="431"/>
      <c r="BQ94" s="428"/>
      <c r="BR94" s="429"/>
      <c r="BS94" s="429"/>
      <c r="BT94" s="429"/>
      <c r="BU94" s="429"/>
      <c r="BV94" s="429"/>
      <c r="BW94" s="429"/>
      <c r="BX94" s="429"/>
      <c r="BY94" s="429"/>
      <c r="BZ94" s="429"/>
      <c r="CA94" s="429"/>
      <c r="CB94" s="429"/>
      <c r="CC94" s="431"/>
    </row>
    <row r="95" spans="1:81">
      <c r="A95" s="420" t="s">
        <v>191</v>
      </c>
      <c r="B95" s="420" t="s">
        <v>175</v>
      </c>
      <c r="C95" s="436">
        <f t="shared" si="40"/>
        <v>1771.6009615384614</v>
      </c>
      <c r="D95" s="437">
        <f t="shared" si="41"/>
        <v>1665.8136363636363</v>
      </c>
      <c r="E95" s="437">
        <f t="shared" si="42"/>
        <v>1591.5934579439252</v>
      </c>
      <c r="F95" s="437">
        <f t="shared" si="43"/>
        <v>1418.1898148148148</v>
      </c>
      <c r="G95" s="437">
        <f t="shared" si="44"/>
        <v>1201.4730290456432</v>
      </c>
      <c r="H95" s="437">
        <f t="shared" si="45"/>
        <v>1168.3139013452915</v>
      </c>
      <c r="I95" s="437">
        <f t="shared" si="46"/>
        <v>924.77522935779814</v>
      </c>
      <c r="J95" s="437">
        <f t="shared" si="47"/>
        <v>963.42723004694835</v>
      </c>
      <c r="K95" s="437">
        <f t="shared" si="48"/>
        <v>1174.6232558139534</v>
      </c>
      <c r="L95" s="437">
        <f t="shared" si="49"/>
        <v>1193.0226244343892</v>
      </c>
      <c r="M95" s="437">
        <f t="shared" si="50"/>
        <v>1254.5213270142181</v>
      </c>
      <c r="N95" s="437">
        <f t="shared" si="51"/>
        <v>1571.9666666666667</v>
      </c>
      <c r="O95" s="438">
        <f t="shared" si="52"/>
        <v>1321.7704980842911</v>
      </c>
      <c r="P95" s="439">
        <f t="shared" si="53"/>
        <v>1805.7014218009479</v>
      </c>
      <c r="Q95" s="437">
        <f t="shared" si="54"/>
        <v>1817.7018348623853</v>
      </c>
      <c r="R95" s="437">
        <f t="shared" si="55"/>
        <v>1517.568720379147</v>
      </c>
      <c r="S95" s="437">
        <f t="shared" si="56"/>
        <v>1369.1382488479262</v>
      </c>
      <c r="T95" s="437">
        <f t="shared" si="57"/>
        <v>1341.3838862559242</v>
      </c>
      <c r="U95" s="437">
        <f t="shared" si="58"/>
        <v>1177.875</v>
      </c>
      <c r="V95" s="437">
        <f t="shared" si="59"/>
        <v>998.80184331797238</v>
      </c>
      <c r="W95" s="437">
        <f t="shared" si="60"/>
        <v>1028.9571428571428</v>
      </c>
      <c r="X95" s="437">
        <f t="shared" si="61"/>
        <v>1085.1238095238095</v>
      </c>
      <c r="Y95" s="437">
        <f t="shared" si="62"/>
        <v>1263.0225225225224</v>
      </c>
      <c r="Z95" s="437">
        <f t="shared" si="63"/>
        <v>1393.246511627907</v>
      </c>
      <c r="AA95" s="437">
        <f t="shared" si="64"/>
        <v>1412.1745283018868</v>
      </c>
      <c r="AB95" s="438">
        <f t="shared" si="65"/>
        <v>1349.387432536623</v>
      </c>
      <c r="AC95" s="439">
        <f t="shared" si="66"/>
        <v>2077.6132075471696</v>
      </c>
      <c r="AD95" s="437">
        <f t="shared" si="67"/>
        <v>1622.2441314553992</v>
      </c>
      <c r="AE95" s="437">
        <f t="shared" si="68"/>
        <v>1845.0610328638497</v>
      </c>
      <c r="AF95" s="437">
        <f t="shared" si="69"/>
        <v>1594.5023041474653</v>
      </c>
      <c r="AG95" s="437">
        <f t="shared" si="70"/>
        <v>1439.5140186915887</v>
      </c>
      <c r="AH95" s="437">
        <f t="shared" si="71"/>
        <v>1321.1187214611873</v>
      </c>
      <c r="AI95" s="437">
        <f t="shared" si="72"/>
        <v>1121.2723214285713</v>
      </c>
      <c r="AJ95" s="437">
        <f t="shared" si="73"/>
        <v>1042.8240740740741</v>
      </c>
      <c r="AK95" s="437">
        <f t="shared" si="74"/>
        <v>1197.0140845070423</v>
      </c>
      <c r="AL95" s="437">
        <f t="shared" si="75"/>
        <v>1482.5654205607477</v>
      </c>
      <c r="AM95" s="437">
        <f t="shared" si="76"/>
        <v>1499.5280373831777</v>
      </c>
      <c r="AN95" s="437">
        <f t="shared" si="77"/>
        <v>1545.1689497716895</v>
      </c>
      <c r="AO95" s="438">
        <f t="shared" si="78"/>
        <v>1480.0297527047912</v>
      </c>
      <c r="AQ95" s="428">
        <v>1771.6009615384614</v>
      </c>
      <c r="AR95" s="429">
        <v>1665.8136363636363</v>
      </c>
      <c r="AS95" s="429">
        <v>1591.5934579439252</v>
      </c>
      <c r="AT95" s="429">
        <v>1418.1898148148148</v>
      </c>
      <c r="AU95" s="429">
        <v>1201.4730290456432</v>
      </c>
      <c r="AV95" s="429">
        <v>1168.3139013452915</v>
      </c>
      <c r="AW95" s="429">
        <v>924.77522935779814</v>
      </c>
      <c r="AX95" s="429">
        <v>963.42723004694835</v>
      </c>
      <c r="AY95" s="429">
        <v>1174.6232558139534</v>
      </c>
      <c r="AZ95" s="429">
        <v>1193.0226244343892</v>
      </c>
      <c r="BA95" s="429">
        <v>1254.5213270142181</v>
      </c>
      <c r="BB95" s="429">
        <v>1571.9666666666667</v>
      </c>
      <c r="BC95" s="431">
        <v>1321.7704980842911</v>
      </c>
      <c r="BD95" s="428">
        <v>1805.7014218009479</v>
      </c>
      <c r="BE95" s="429">
        <v>1817.7018348623853</v>
      </c>
      <c r="BF95" s="429">
        <v>1517.568720379147</v>
      </c>
      <c r="BG95" s="429">
        <v>1369.1382488479262</v>
      </c>
      <c r="BH95" s="429">
        <v>1341.3838862559242</v>
      </c>
      <c r="BI95" s="429">
        <v>1177.875</v>
      </c>
      <c r="BJ95" s="429">
        <v>998.80184331797238</v>
      </c>
      <c r="BK95" s="429">
        <v>1028.9571428571428</v>
      </c>
      <c r="BL95" s="429">
        <v>1085.1238095238095</v>
      </c>
      <c r="BM95" s="429">
        <v>1263.0225225225224</v>
      </c>
      <c r="BN95" s="429">
        <v>1393.246511627907</v>
      </c>
      <c r="BO95" s="429">
        <v>1412.1745283018868</v>
      </c>
      <c r="BP95" s="431">
        <v>1349.387432536623</v>
      </c>
      <c r="BQ95" s="428">
        <v>2077.6132075471696</v>
      </c>
      <c r="BR95" s="429">
        <v>1622.2441314553992</v>
      </c>
      <c r="BS95" s="429">
        <v>1845.0610328638497</v>
      </c>
      <c r="BT95" s="429">
        <v>1594.5023041474653</v>
      </c>
      <c r="BU95" s="429">
        <v>1439.5140186915887</v>
      </c>
      <c r="BV95" s="429">
        <v>1321.1187214611873</v>
      </c>
      <c r="BW95" s="429">
        <v>1121.2723214285713</v>
      </c>
      <c r="BX95" s="429">
        <v>1042.8240740740741</v>
      </c>
      <c r="BY95" s="429">
        <v>1197.0140845070423</v>
      </c>
      <c r="BZ95" s="429">
        <v>1482.5654205607477</v>
      </c>
      <c r="CA95" s="429">
        <v>1499.5280373831777</v>
      </c>
      <c r="CB95" s="429">
        <v>1545.1689497716895</v>
      </c>
      <c r="CC95" s="431">
        <v>1480.0297527047912</v>
      </c>
    </row>
    <row r="96" spans="1:81">
      <c r="A96" s="420" t="s">
        <v>191</v>
      </c>
      <c r="B96" s="420" t="s">
        <v>176</v>
      </c>
      <c r="C96" s="436">
        <f t="shared" si="40"/>
        <v>0</v>
      </c>
      <c r="D96" s="437">
        <f t="shared" si="41"/>
        <v>0</v>
      </c>
      <c r="E96" s="437">
        <f t="shared" si="42"/>
        <v>0</v>
      </c>
      <c r="F96" s="437">
        <f t="shared" si="43"/>
        <v>0</v>
      </c>
      <c r="G96" s="437">
        <f t="shared" si="44"/>
        <v>0</v>
      </c>
      <c r="H96" s="437">
        <f t="shared" si="45"/>
        <v>0</v>
      </c>
      <c r="I96" s="437">
        <f t="shared" si="46"/>
        <v>0</v>
      </c>
      <c r="J96" s="437">
        <f t="shared" si="47"/>
        <v>0</v>
      </c>
      <c r="K96" s="437">
        <f t="shared" si="48"/>
        <v>0</v>
      </c>
      <c r="L96" s="437">
        <f t="shared" si="49"/>
        <v>0</v>
      </c>
      <c r="M96" s="437">
        <f t="shared" si="50"/>
        <v>0</v>
      </c>
      <c r="N96" s="437">
        <f t="shared" si="51"/>
        <v>0</v>
      </c>
      <c r="O96" s="438">
        <f t="shared" si="52"/>
        <v>0</v>
      </c>
      <c r="P96" s="439">
        <f t="shared" si="53"/>
        <v>0</v>
      </c>
      <c r="Q96" s="437">
        <f t="shared" si="54"/>
        <v>0</v>
      </c>
      <c r="R96" s="437">
        <f t="shared" si="55"/>
        <v>0</v>
      </c>
      <c r="S96" s="437">
        <f t="shared" si="56"/>
        <v>0</v>
      </c>
      <c r="T96" s="437">
        <f t="shared" si="57"/>
        <v>0</v>
      </c>
      <c r="U96" s="437">
        <f t="shared" si="58"/>
        <v>0</v>
      </c>
      <c r="V96" s="437">
        <f t="shared" si="59"/>
        <v>0</v>
      </c>
      <c r="W96" s="437">
        <f t="shared" si="60"/>
        <v>0</v>
      </c>
      <c r="X96" s="437">
        <f t="shared" si="61"/>
        <v>0</v>
      </c>
      <c r="Y96" s="437">
        <f t="shared" si="62"/>
        <v>0</v>
      </c>
      <c r="Z96" s="437">
        <f t="shared" si="63"/>
        <v>0</v>
      </c>
      <c r="AA96" s="437">
        <f t="shared" si="64"/>
        <v>0</v>
      </c>
      <c r="AB96" s="438">
        <f t="shared" si="65"/>
        <v>0</v>
      </c>
      <c r="AC96" s="439">
        <f t="shared" si="66"/>
        <v>0</v>
      </c>
      <c r="AD96" s="437">
        <f t="shared" si="67"/>
        <v>0</v>
      </c>
      <c r="AE96" s="437">
        <f t="shared" si="68"/>
        <v>0</v>
      </c>
      <c r="AF96" s="437">
        <f t="shared" si="69"/>
        <v>0</v>
      </c>
      <c r="AG96" s="437">
        <f t="shared" si="70"/>
        <v>0</v>
      </c>
      <c r="AH96" s="437">
        <f t="shared" si="71"/>
        <v>0</v>
      </c>
      <c r="AI96" s="437">
        <f t="shared" si="72"/>
        <v>0</v>
      </c>
      <c r="AJ96" s="437">
        <f t="shared" si="73"/>
        <v>0</v>
      </c>
      <c r="AK96" s="437">
        <f t="shared" si="74"/>
        <v>0</v>
      </c>
      <c r="AL96" s="437">
        <f t="shared" si="75"/>
        <v>0</v>
      </c>
      <c r="AM96" s="437">
        <f t="shared" si="76"/>
        <v>0</v>
      </c>
      <c r="AN96" s="437">
        <f t="shared" si="77"/>
        <v>0</v>
      </c>
      <c r="AO96" s="438">
        <f t="shared" si="78"/>
        <v>0</v>
      </c>
      <c r="AQ96" s="428">
        <v>0</v>
      </c>
      <c r="AR96" s="429">
        <v>0</v>
      </c>
      <c r="AS96" s="429">
        <v>0</v>
      </c>
      <c r="AT96" s="429">
        <v>0</v>
      </c>
      <c r="AU96" s="429">
        <v>0</v>
      </c>
      <c r="AV96" s="429">
        <v>0</v>
      </c>
      <c r="AW96" s="429">
        <v>0</v>
      </c>
      <c r="AX96" s="429">
        <v>0</v>
      </c>
      <c r="AY96" s="429">
        <v>0</v>
      </c>
      <c r="AZ96" s="429">
        <v>0</v>
      </c>
      <c r="BA96" s="429">
        <v>0</v>
      </c>
      <c r="BB96" s="429">
        <v>0</v>
      </c>
      <c r="BC96" s="431">
        <v>0</v>
      </c>
      <c r="BD96" s="428">
        <v>0</v>
      </c>
      <c r="BE96" s="429">
        <v>0</v>
      </c>
      <c r="BF96" s="429">
        <v>0</v>
      </c>
      <c r="BG96" s="429">
        <v>0</v>
      </c>
      <c r="BH96" s="429">
        <v>0</v>
      </c>
      <c r="BI96" s="429">
        <v>0</v>
      </c>
      <c r="BJ96" s="429">
        <v>0</v>
      </c>
      <c r="BK96" s="429">
        <v>0</v>
      </c>
      <c r="BL96" s="429">
        <v>0</v>
      </c>
      <c r="BM96" s="429">
        <v>0</v>
      </c>
      <c r="BN96" s="429">
        <v>0</v>
      </c>
      <c r="BO96" s="429">
        <v>0</v>
      </c>
      <c r="BP96" s="431">
        <v>0</v>
      </c>
      <c r="BQ96" s="428">
        <v>0</v>
      </c>
      <c r="BR96" s="429">
        <v>0</v>
      </c>
      <c r="BS96" s="429">
        <v>0</v>
      </c>
      <c r="BT96" s="429">
        <v>0</v>
      </c>
      <c r="BU96" s="429">
        <v>0</v>
      </c>
      <c r="BV96" s="429">
        <v>0</v>
      </c>
      <c r="BW96" s="429">
        <v>0</v>
      </c>
      <c r="BX96" s="429">
        <v>0</v>
      </c>
      <c r="BY96" s="429">
        <v>0</v>
      </c>
      <c r="BZ96" s="429">
        <v>0</v>
      </c>
      <c r="CA96" s="429">
        <v>0</v>
      </c>
      <c r="CB96" s="429">
        <v>0</v>
      </c>
      <c r="CC96" s="431">
        <v>0</v>
      </c>
    </row>
    <row r="97" spans="1:81">
      <c r="A97" s="420" t="s">
        <v>191</v>
      </c>
      <c r="B97" s="420" t="s">
        <v>177</v>
      </c>
      <c r="C97" s="436">
        <f t="shared" si="40"/>
        <v>3656</v>
      </c>
      <c r="D97" s="437">
        <f t="shared" si="41"/>
        <v>3587.125</v>
      </c>
      <c r="E97" s="437">
        <f t="shared" si="42"/>
        <v>3744.6</v>
      </c>
      <c r="F97" s="437">
        <f t="shared" si="43"/>
        <v>2057.8636363636365</v>
      </c>
      <c r="G97" s="437">
        <f t="shared" si="44"/>
        <v>2334.6666666666665</v>
      </c>
      <c r="H97" s="437">
        <f t="shared" si="45"/>
        <v>1718</v>
      </c>
      <c r="I97" s="437">
        <f t="shared" si="46"/>
        <v>1018.4</v>
      </c>
      <c r="J97" s="437">
        <f t="shared" si="47"/>
        <v>1076.3125</v>
      </c>
      <c r="K97" s="437">
        <f t="shared" si="48"/>
        <v>1102.5714285714287</v>
      </c>
      <c r="L97" s="437">
        <f t="shared" si="49"/>
        <v>1214.8571428571429</v>
      </c>
      <c r="M97" s="437">
        <f t="shared" si="50"/>
        <v>1350.0714285714287</v>
      </c>
      <c r="N97" s="437">
        <f t="shared" si="51"/>
        <v>1870.2</v>
      </c>
      <c r="O97" s="438">
        <f t="shared" si="52"/>
        <v>2085.6524064171122</v>
      </c>
      <c r="P97" s="439">
        <f t="shared" si="53"/>
        <v>2259.7857142857142</v>
      </c>
      <c r="Q97" s="437">
        <f t="shared" si="54"/>
        <v>2528.6666666666665</v>
      </c>
      <c r="R97" s="437">
        <f t="shared" si="55"/>
        <v>2070.8000000000002</v>
      </c>
      <c r="S97" s="437">
        <f t="shared" si="56"/>
        <v>1782.4666666666667</v>
      </c>
      <c r="T97" s="437">
        <f t="shared" si="57"/>
        <v>1325</v>
      </c>
      <c r="U97" s="437">
        <f t="shared" si="58"/>
        <v>1189</v>
      </c>
      <c r="V97" s="437">
        <f t="shared" si="59"/>
        <v>781.93333333333328</v>
      </c>
      <c r="W97" s="437">
        <f t="shared" si="60"/>
        <v>841.92857142857144</v>
      </c>
      <c r="X97" s="437">
        <f t="shared" si="61"/>
        <v>921.8</v>
      </c>
      <c r="Y97" s="437">
        <f t="shared" si="62"/>
        <v>1210.9333333333334</v>
      </c>
      <c r="Z97" s="437">
        <f t="shared" si="63"/>
        <v>1575.9333333333334</v>
      </c>
      <c r="AA97" s="437">
        <f t="shared" si="64"/>
        <v>1698.5</v>
      </c>
      <c r="AB97" s="438">
        <f t="shared" si="65"/>
        <v>1516.1899441340781</v>
      </c>
      <c r="AC97" s="439">
        <f t="shared" si="66"/>
        <v>2644.5</v>
      </c>
      <c r="AD97" s="437">
        <f t="shared" si="67"/>
        <v>2161.4666666666667</v>
      </c>
      <c r="AE97" s="437">
        <f t="shared" si="68"/>
        <v>2715.7333333333331</v>
      </c>
      <c r="AF97" s="437">
        <f t="shared" si="69"/>
        <v>2350.4666666666667</v>
      </c>
      <c r="AG97" s="437">
        <f t="shared" si="70"/>
        <v>1763.1333333333334</v>
      </c>
      <c r="AH97" s="437">
        <f t="shared" si="71"/>
        <v>1274.75</v>
      </c>
      <c r="AI97" s="437">
        <f t="shared" si="72"/>
        <v>1087.0625</v>
      </c>
      <c r="AJ97" s="437">
        <f t="shared" si="73"/>
        <v>981.375</v>
      </c>
      <c r="AK97" s="437">
        <f t="shared" si="74"/>
        <v>1086.9333333333334</v>
      </c>
      <c r="AL97" s="437">
        <f t="shared" si="75"/>
        <v>1269.6666666666667</v>
      </c>
      <c r="AM97" s="437">
        <f t="shared" si="76"/>
        <v>1759.3333333333333</v>
      </c>
      <c r="AN97" s="437">
        <f t="shared" si="77"/>
        <v>1674.1875</v>
      </c>
      <c r="AO97" s="438">
        <f t="shared" si="78"/>
        <v>1725.3567567567568</v>
      </c>
      <c r="AQ97" s="428">
        <v>3656</v>
      </c>
      <c r="AR97" s="429">
        <v>3587.125</v>
      </c>
      <c r="AS97" s="429">
        <v>3744.6</v>
      </c>
      <c r="AT97" s="429">
        <v>2057.8636363636365</v>
      </c>
      <c r="AU97" s="429">
        <v>2334.6666666666665</v>
      </c>
      <c r="AV97" s="429">
        <v>1718</v>
      </c>
      <c r="AW97" s="429">
        <v>1018.4</v>
      </c>
      <c r="AX97" s="429">
        <v>1076.3125</v>
      </c>
      <c r="AY97" s="429">
        <v>1102.5714285714287</v>
      </c>
      <c r="AZ97" s="429">
        <v>1214.8571428571429</v>
      </c>
      <c r="BA97" s="429">
        <v>1350.0714285714287</v>
      </c>
      <c r="BB97" s="429">
        <v>1870.2</v>
      </c>
      <c r="BC97" s="431">
        <v>2085.6524064171122</v>
      </c>
      <c r="BD97" s="428">
        <v>2259.7857142857142</v>
      </c>
      <c r="BE97" s="429">
        <v>2528.6666666666665</v>
      </c>
      <c r="BF97" s="429">
        <v>2070.8000000000002</v>
      </c>
      <c r="BG97" s="429">
        <v>1782.4666666666667</v>
      </c>
      <c r="BH97" s="429">
        <v>1325</v>
      </c>
      <c r="BI97" s="429">
        <v>1189</v>
      </c>
      <c r="BJ97" s="429">
        <v>781.93333333333328</v>
      </c>
      <c r="BK97" s="429">
        <v>841.92857142857144</v>
      </c>
      <c r="BL97" s="429">
        <v>921.8</v>
      </c>
      <c r="BM97" s="429">
        <v>1210.9333333333334</v>
      </c>
      <c r="BN97" s="429">
        <v>1575.9333333333334</v>
      </c>
      <c r="BO97" s="429">
        <v>1698.5</v>
      </c>
      <c r="BP97" s="431">
        <v>1516.1899441340781</v>
      </c>
      <c r="BQ97" s="428">
        <v>2644.5</v>
      </c>
      <c r="BR97" s="429">
        <v>2161.4666666666667</v>
      </c>
      <c r="BS97" s="429">
        <v>2715.7333333333331</v>
      </c>
      <c r="BT97" s="429">
        <v>2350.4666666666667</v>
      </c>
      <c r="BU97" s="429">
        <v>1763.1333333333334</v>
      </c>
      <c r="BV97" s="429">
        <v>1274.75</v>
      </c>
      <c r="BW97" s="429">
        <v>1087.0625</v>
      </c>
      <c r="BX97" s="429">
        <v>981.375</v>
      </c>
      <c r="BY97" s="429">
        <v>1086.9333333333334</v>
      </c>
      <c r="BZ97" s="429">
        <v>1269.6666666666667</v>
      </c>
      <c r="CA97" s="429">
        <v>1759.3333333333333</v>
      </c>
      <c r="CB97" s="429">
        <v>1674.1875</v>
      </c>
      <c r="CC97" s="431">
        <v>1725.3567567567568</v>
      </c>
    </row>
    <row r="98" spans="1:81">
      <c r="A98" s="420" t="s">
        <v>191</v>
      </c>
      <c r="B98" s="420" t="s">
        <v>178</v>
      </c>
      <c r="C98" s="436">
        <f t="shared" si="40"/>
        <v>11262.5</v>
      </c>
      <c r="D98" s="437">
        <f t="shared" si="41"/>
        <v>10797.5</v>
      </c>
      <c r="E98" s="437">
        <f t="shared" si="42"/>
        <v>11257.5</v>
      </c>
      <c r="F98" s="437">
        <f t="shared" si="43"/>
        <v>3441.818181818182</v>
      </c>
      <c r="G98" s="437">
        <f t="shared" si="44"/>
        <v>9970</v>
      </c>
      <c r="H98" s="437">
        <f t="shared" si="45"/>
        <v>9942.5</v>
      </c>
      <c r="I98" s="437">
        <f t="shared" si="46"/>
        <v>9947.5</v>
      </c>
      <c r="J98" s="437">
        <f t="shared" si="47"/>
        <v>9632.5</v>
      </c>
      <c r="K98" s="437">
        <f t="shared" si="48"/>
        <v>9795</v>
      </c>
      <c r="L98" s="437">
        <f t="shared" si="49"/>
        <v>8835</v>
      </c>
      <c r="M98" s="437">
        <f t="shared" si="50"/>
        <v>10115</v>
      </c>
      <c r="N98" s="437">
        <f t="shared" si="51"/>
        <v>12062.5</v>
      </c>
      <c r="O98" s="438">
        <f t="shared" si="52"/>
        <v>8951.454545454546</v>
      </c>
      <c r="P98" s="439">
        <f t="shared" si="53"/>
        <v>12487.5</v>
      </c>
      <c r="Q98" s="437">
        <f t="shared" si="54"/>
        <v>12802.5</v>
      </c>
      <c r="R98" s="437">
        <f t="shared" si="55"/>
        <v>10092.5</v>
      </c>
      <c r="S98" s="437">
        <f t="shared" si="56"/>
        <v>9632.5</v>
      </c>
      <c r="T98" s="437">
        <f t="shared" si="57"/>
        <v>9232.5</v>
      </c>
      <c r="U98" s="437">
        <f t="shared" si="58"/>
        <v>10867.5</v>
      </c>
      <c r="V98" s="437">
        <f t="shared" si="59"/>
        <v>9120</v>
      </c>
      <c r="W98" s="437">
        <f t="shared" si="60"/>
        <v>10005</v>
      </c>
      <c r="X98" s="437">
        <f t="shared" si="61"/>
        <v>9275</v>
      </c>
      <c r="Y98" s="437">
        <f t="shared" si="62"/>
        <v>10667.5</v>
      </c>
      <c r="Z98" s="437">
        <f t="shared" si="63"/>
        <v>11047.5</v>
      </c>
      <c r="AA98" s="437">
        <f t="shared" si="64"/>
        <v>10660</v>
      </c>
      <c r="AB98" s="438">
        <f t="shared" si="65"/>
        <v>10490.833333333334</v>
      </c>
      <c r="AC98" s="439">
        <f t="shared" si="66"/>
        <v>14655</v>
      </c>
      <c r="AD98" s="437">
        <f t="shared" si="67"/>
        <v>12390</v>
      </c>
      <c r="AE98" s="437">
        <f t="shared" si="68"/>
        <v>13697.5</v>
      </c>
      <c r="AF98" s="437">
        <f t="shared" si="69"/>
        <v>11385</v>
      </c>
      <c r="AG98" s="437">
        <f t="shared" si="70"/>
        <v>9672.5</v>
      </c>
      <c r="AH98" s="437">
        <f t="shared" si="71"/>
        <v>10665</v>
      </c>
      <c r="AI98" s="437">
        <f t="shared" si="72"/>
        <v>10387.5</v>
      </c>
      <c r="AJ98" s="437">
        <f t="shared" si="73"/>
        <v>9835</v>
      </c>
      <c r="AK98" s="437">
        <f t="shared" si="74"/>
        <v>9672.5</v>
      </c>
      <c r="AL98" s="437">
        <f t="shared" si="75"/>
        <v>9840</v>
      </c>
      <c r="AM98" s="437">
        <f t="shared" si="76"/>
        <v>10712.5</v>
      </c>
      <c r="AN98" s="437">
        <f t="shared" si="77"/>
        <v>10300</v>
      </c>
      <c r="AO98" s="438">
        <f t="shared" si="78"/>
        <v>11101.041666666666</v>
      </c>
      <c r="AQ98" s="428">
        <v>11262.5</v>
      </c>
      <c r="AR98" s="429">
        <v>10797.5</v>
      </c>
      <c r="AS98" s="429">
        <v>11257.5</v>
      </c>
      <c r="AT98" s="429">
        <v>3441.818181818182</v>
      </c>
      <c r="AU98" s="429">
        <v>9970</v>
      </c>
      <c r="AV98" s="429">
        <v>9942.5</v>
      </c>
      <c r="AW98" s="429">
        <v>9947.5</v>
      </c>
      <c r="AX98" s="429">
        <v>9632.5</v>
      </c>
      <c r="AY98" s="429">
        <v>9795</v>
      </c>
      <c r="AZ98" s="429">
        <v>8835</v>
      </c>
      <c r="BA98" s="429">
        <v>10115</v>
      </c>
      <c r="BB98" s="429">
        <v>12062.5</v>
      </c>
      <c r="BC98" s="431">
        <v>8951.454545454546</v>
      </c>
      <c r="BD98" s="428">
        <v>12487.5</v>
      </c>
      <c r="BE98" s="429">
        <v>12802.5</v>
      </c>
      <c r="BF98" s="429">
        <v>10092.5</v>
      </c>
      <c r="BG98" s="429">
        <v>9632.5</v>
      </c>
      <c r="BH98" s="429">
        <v>9232.5</v>
      </c>
      <c r="BI98" s="429">
        <v>10867.5</v>
      </c>
      <c r="BJ98" s="429">
        <v>9120</v>
      </c>
      <c r="BK98" s="429">
        <v>10005</v>
      </c>
      <c r="BL98" s="429">
        <v>9275</v>
      </c>
      <c r="BM98" s="429">
        <v>10667.5</v>
      </c>
      <c r="BN98" s="429">
        <v>11047.5</v>
      </c>
      <c r="BO98" s="429">
        <v>10660</v>
      </c>
      <c r="BP98" s="431">
        <v>10490.833333333334</v>
      </c>
      <c r="BQ98" s="428">
        <v>14655</v>
      </c>
      <c r="BR98" s="429">
        <v>12390</v>
      </c>
      <c r="BS98" s="429">
        <v>13697.5</v>
      </c>
      <c r="BT98" s="429">
        <v>11385</v>
      </c>
      <c r="BU98" s="429">
        <v>9672.5</v>
      </c>
      <c r="BV98" s="429">
        <v>10665</v>
      </c>
      <c r="BW98" s="429">
        <v>10387.5</v>
      </c>
      <c r="BX98" s="429">
        <v>9835</v>
      </c>
      <c r="BY98" s="429">
        <v>9672.5</v>
      </c>
      <c r="BZ98" s="429">
        <v>9840</v>
      </c>
      <c r="CA98" s="429">
        <v>10712.5</v>
      </c>
      <c r="CB98" s="429">
        <v>10300</v>
      </c>
      <c r="CC98" s="431">
        <v>11101.041666666666</v>
      </c>
    </row>
    <row r="99" spans="1:81">
      <c r="A99" s="420" t="s">
        <v>191</v>
      </c>
      <c r="B99" s="420" t="s">
        <v>179</v>
      </c>
      <c r="C99" s="436">
        <f t="shared" si="40"/>
        <v>0</v>
      </c>
      <c r="D99" s="437">
        <f t="shared" si="41"/>
        <v>0</v>
      </c>
      <c r="E99" s="437">
        <f t="shared" si="42"/>
        <v>0</v>
      </c>
      <c r="F99" s="437">
        <f t="shared" si="43"/>
        <v>0</v>
      </c>
      <c r="G99" s="437">
        <f t="shared" si="44"/>
        <v>0</v>
      </c>
      <c r="H99" s="437">
        <f t="shared" si="45"/>
        <v>0</v>
      </c>
      <c r="I99" s="437">
        <f t="shared" si="46"/>
        <v>0</v>
      </c>
      <c r="J99" s="437">
        <f t="shared" si="47"/>
        <v>0</v>
      </c>
      <c r="K99" s="437">
        <f t="shared" si="48"/>
        <v>0</v>
      </c>
      <c r="L99" s="437">
        <f t="shared" si="49"/>
        <v>0</v>
      </c>
      <c r="M99" s="437">
        <f t="shared" si="50"/>
        <v>0</v>
      </c>
      <c r="N99" s="437">
        <f t="shared" si="51"/>
        <v>0</v>
      </c>
      <c r="O99" s="438">
        <f t="shared" si="52"/>
        <v>0</v>
      </c>
      <c r="P99" s="439">
        <f t="shared" si="53"/>
        <v>0</v>
      </c>
      <c r="Q99" s="437">
        <f t="shared" si="54"/>
        <v>0</v>
      </c>
      <c r="R99" s="437">
        <f t="shared" si="55"/>
        <v>0</v>
      </c>
      <c r="S99" s="437">
        <f t="shared" si="56"/>
        <v>0</v>
      </c>
      <c r="T99" s="437">
        <f t="shared" si="57"/>
        <v>0</v>
      </c>
      <c r="U99" s="437">
        <f t="shared" si="58"/>
        <v>0</v>
      </c>
      <c r="V99" s="437">
        <f t="shared" si="59"/>
        <v>0</v>
      </c>
      <c r="W99" s="437">
        <f t="shared" si="60"/>
        <v>0</v>
      </c>
      <c r="X99" s="437">
        <f t="shared" si="61"/>
        <v>0</v>
      </c>
      <c r="Y99" s="437">
        <f t="shared" si="62"/>
        <v>0</v>
      </c>
      <c r="Z99" s="437">
        <f t="shared" si="63"/>
        <v>0</v>
      </c>
      <c r="AA99" s="437">
        <f t="shared" si="64"/>
        <v>0</v>
      </c>
      <c r="AB99" s="438">
        <f t="shared" si="65"/>
        <v>0</v>
      </c>
      <c r="AC99" s="439">
        <f t="shared" si="66"/>
        <v>0</v>
      </c>
      <c r="AD99" s="437">
        <f t="shared" si="67"/>
        <v>0</v>
      </c>
      <c r="AE99" s="437">
        <f t="shared" si="68"/>
        <v>0</v>
      </c>
      <c r="AF99" s="437">
        <f t="shared" si="69"/>
        <v>0</v>
      </c>
      <c r="AG99" s="437">
        <f t="shared" si="70"/>
        <v>0</v>
      </c>
      <c r="AH99" s="437">
        <f t="shared" si="71"/>
        <v>0</v>
      </c>
      <c r="AI99" s="437">
        <f t="shared" si="72"/>
        <v>0</v>
      </c>
      <c r="AJ99" s="437">
        <f t="shared" si="73"/>
        <v>0</v>
      </c>
      <c r="AK99" s="437">
        <f t="shared" si="74"/>
        <v>0</v>
      </c>
      <c r="AL99" s="437">
        <f t="shared" si="75"/>
        <v>0</v>
      </c>
      <c r="AM99" s="437">
        <f t="shared" si="76"/>
        <v>0</v>
      </c>
      <c r="AN99" s="437">
        <f t="shared" si="77"/>
        <v>0</v>
      </c>
      <c r="AO99" s="438">
        <f t="shared" si="78"/>
        <v>0</v>
      </c>
      <c r="AQ99" s="428">
        <v>0</v>
      </c>
      <c r="AR99" s="429">
        <v>0</v>
      </c>
      <c r="AS99" s="429">
        <v>0</v>
      </c>
      <c r="AT99" s="429">
        <v>0</v>
      </c>
      <c r="AU99" s="429">
        <v>0</v>
      </c>
      <c r="AV99" s="429">
        <v>0</v>
      </c>
      <c r="AW99" s="429">
        <v>0</v>
      </c>
      <c r="AX99" s="429">
        <v>0</v>
      </c>
      <c r="AY99" s="429">
        <v>0</v>
      </c>
      <c r="AZ99" s="429">
        <v>0</v>
      </c>
      <c r="BA99" s="429">
        <v>0</v>
      </c>
      <c r="BB99" s="429">
        <v>0</v>
      </c>
      <c r="BC99" s="431">
        <v>0</v>
      </c>
      <c r="BD99" s="428">
        <v>0</v>
      </c>
      <c r="BE99" s="429">
        <v>0</v>
      </c>
      <c r="BF99" s="429">
        <v>0</v>
      </c>
      <c r="BG99" s="429">
        <v>0</v>
      </c>
      <c r="BH99" s="429">
        <v>0</v>
      </c>
      <c r="BI99" s="429">
        <v>0</v>
      </c>
      <c r="BJ99" s="429">
        <v>0</v>
      </c>
      <c r="BK99" s="429">
        <v>0</v>
      </c>
      <c r="BL99" s="429">
        <v>0</v>
      </c>
      <c r="BM99" s="429">
        <v>0</v>
      </c>
      <c r="BN99" s="429">
        <v>0</v>
      </c>
      <c r="BO99" s="429">
        <v>0</v>
      </c>
      <c r="BP99" s="431">
        <v>0</v>
      </c>
      <c r="BQ99" s="428">
        <v>0</v>
      </c>
      <c r="BR99" s="429">
        <v>0</v>
      </c>
      <c r="BS99" s="429">
        <v>0</v>
      </c>
      <c r="BT99" s="429">
        <v>0</v>
      </c>
      <c r="BU99" s="429">
        <v>0</v>
      </c>
      <c r="BV99" s="429">
        <v>0</v>
      </c>
      <c r="BW99" s="429">
        <v>0</v>
      </c>
      <c r="BX99" s="429">
        <v>0</v>
      </c>
      <c r="BY99" s="429">
        <v>0</v>
      </c>
      <c r="BZ99" s="429">
        <v>0</v>
      </c>
      <c r="CA99" s="429">
        <v>0</v>
      </c>
      <c r="CB99" s="429">
        <v>0</v>
      </c>
      <c r="CC99" s="431">
        <v>0</v>
      </c>
    </row>
    <row r="100" spans="1:81">
      <c r="A100" s="420" t="s">
        <v>191</v>
      </c>
      <c r="B100" s="420" t="s">
        <v>180</v>
      </c>
      <c r="C100" s="436">
        <f t="shared" si="40"/>
        <v>2507.4166666666665</v>
      </c>
      <c r="D100" s="437">
        <f t="shared" si="41"/>
        <v>2369</v>
      </c>
      <c r="E100" s="437">
        <f t="shared" si="42"/>
        <v>2101.4166666666665</v>
      </c>
      <c r="F100" s="437">
        <f t="shared" si="43"/>
        <v>1870.4166666666667</v>
      </c>
      <c r="G100" s="437">
        <f t="shared" si="44"/>
        <v>1502.0833333333333</v>
      </c>
      <c r="H100" s="437">
        <f t="shared" si="45"/>
        <v>1098.9166666666667</v>
      </c>
      <c r="I100" s="437">
        <f t="shared" si="46"/>
        <v>715.41666666666663</v>
      </c>
      <c r="J100" s="437">
        <f t="shared" si="47"/>
        <v>573.16666666666663</v>
      </c>
      <c r="K100" s="437">
        <f t="shared" si="48"/>
        <v>883.91666666666663</v>
      </c>
      <c r="L100" s="437">
        <f t="shared" si="49"/>
        <v>1303.5833333333333</v>
      </c>
      <c r="M100" s="437">
        <f t="shared" si="50"/>
        <v>1484.9166666666667</v>
      </c>
      <c r="N100" s="437">
        <f t="shared" si="51"/>
        <v>2332.0833333333335</v>
      </c>
      <c r="O100" s="438">
        <f t="shared" si="52"/>
        <v>1561.8611111111111</v>
      </c>
      <c r="P100" s="439">
        <f t="shared" si="53"/>
        <v>2478.0833333333335</v>
      </c>
      <c r="Q100" s="437">
        <f t="shared" si="54"/>
        <v>2677.4166666666665</v>
      </c>
      <c r="R100" s="437">
        <f t="shared" si="55"/>
        <v>1920.75</v>
      </c>
      <c r="S100" s="437">
        <f t="shared" si="56"/>
        <v>1692.1666666666667</v>
      </c>
      <c r="T100" s="437">
        <f t="shared" si="57"/>
        <v>1382.9166666666667</v>
      </c>
      <c r="U100" s="437">
        <f t="shared" si="58"/>
        <v>1345.8333333333333</v>
      </c>
      <c r="V100" s="437">
        <f t="shared" si="59"/>
        <v>710.83333333333337</v>
      </c>
      <c r="W100" s="437">
        <f t="shared" si="60"/>
        <v>624.5</v>
      </c>
      <c r="X100" s="437">
        <f t="shared" si="61"/>
        <v>839</v>
      </c>
      <c r="Y100" s="437">
        <f t="shared" si="62"/>
        <v>1350.090909090909</v>
      </c>
      <c r="Z100" s="437">
        <f t="shared" si="63"/>
        <v>1796.5454545454545</v>
      </c>
      <c r="AA100" s="437">
        <f t="shared" si="64"/>
        <v>1845.1818181818182</v>
      </c>
      <c r="AB100" s="438">
        <f t="shared" si="65"/>
        <v>1558.0642857142857</v>
      </c>
      <c r="AC100" s="439">
        <f t="shared" si="66"/>
        <v>2661.9166666666665</v>
      </c>
      <c r="AD100" s="437">
        <f t="shared" si="67"/>
        <v>2134.8333333333335</v>
      </c>
      <c r="AE100" s="437">
        <f t="shared" si="68"/>
        <v>2328.6666666666665</v>
      </c>
      <c r="AF100" s="437">
        <f t="shared" si="69"/>
        <v>1764.3333333333333</v>
      </c>
      <c r="AG100" s="437">
        <f t="shared" si="70"/>
        <v>1563.75</v>
      </c>
      <c r="AH100" s="437">
        <f t="shared" si="71"/>
        <v>1348.9166666666667</v>
      </c>
      <c r="AI100" s="437">
        <f t="shared" si="72"/>
        <v>1099.3333333333333</v>
      </c>
      <c r="AJ100" s="437">
        <f t="shared" si="73"/>
        <v>988.75</v>
      </c>
      <c r="AK100" s="437">
        <f t="shared" si="74"/>
        <v>1047.4166666666667</v>
      </c>
      <c r="AL100" s="437">
        <f t="shared" si="75"/>
        <v>1270.5833333333333</v>
      </c>
      <c r="AM100" s="437">
        <f t="shared" si="76"/>
        <v>1791.9166666666667</v>
      </c>
      <c r="AN100" s="437">
        <f t="shared" si="77"/>
        <v>1927.1666666666667</v>
      </c>
      <c r="AO100" s="438">
        <f t="shared" si="78"/>
        <v>1660.6319444444443</v>
      </c>
      <c r="AQ100" s="428">
        <v>2507.4166666666665</v>
      </c>
      <c r="AR100" s="429">
        <v>2369</v>
      </c>
      <c r="AS100" s="429">
        <v>2101.4166666666665</v>
      </c>
      <c r="AT100" s="429">
        <v>1870.4166666666667</v>
      </c>
      <c r="AU100" s="429">
        <v>1502.0833333333333</v>
      </c>
      <c r="AV100" s="429">
        <v>1098.9166666666667</v>
      </c>
      <c r="AW100" s="429">
        <v>715.41666666666663</v>
      </c>
      <c r="AX100" s="429">
        <v>573.16666666666663</v>
      </c>
      <c r="AY100" s="429">
        <v>883.91666666666663</v>
      </c>
      <c r="AZ100" s="429">
        <v>1303.5833333333333</v>
      </c>
      <c r="BA100" s="429">
        <v>1484.9166666666667</v>
      </c>
      <c r="BB100" s="429">
        <v>2332.0833333333335</v>
      </c>
      <c r="BC100" s="431">
        <v>1561.8611111111111</v>
      </c>
      <c r="BD100" s="428">
        <v>2478.0833333333335</v>
      </c>
      <c r="BE100" s="429">
        <v>2677.4166666666665</v>
      </c>
      <c r="BF100" s="429">
        <v>1920.75</v>
      </c>
      <c r="BG100" s="429">
        <v>1692.1666666666667</v>
      </c>
      <c r="BH100" s="429">
        <v>1382.9166666666667</v>
      </c>
      <c r="BI100" s="429">
        <v>1345.8333333333333</v>
      </c>
      <c r="BJ100" s="429">
        <v>710.83333333333337</v>
      </c>
      <c r="BK100" s="429">
        <v>624.5</v>
      </c>
      <c r="BL100" s="429">
        <v>839</v>
      </c>
      <c r="BM100" s="429">
        <v>1350.090909090909</v>
      </c>
      <c r="BN100" s="429">
        <v>1796.5454545454545</v>
      </c>
      <c r="BO100" s="429">
        <v>1845.1818181818182</v>
      </c>
      <c r="BP100" s="431">
        <v>1558.0642857142857</v>
      </c>
      <c r="BQ100" s="428">
        <v>2661.9166666666665</v>
      </c>
      <c r="BR100" s="429">
        <v>2134.8333333333335</v>
      </c>
      <c r="BS100" s="429">
        <v>2328.6666666666665</v>
      </c>
      <c r="BT100" s="429">
        <v>1764.3333333333333</v>
      </c>
      <c r="BU100" s="429">
        <v>1563.75</v>
      </c>
      <c r="BV100" s="429">
        <v>1348.9166666666667</v>
      </c>
      <c r="BW100" s="429">
        <v>1099.3333333333333</v>
      </c>
      <c r="BX100" s="429">
        <v>988.75</v>
      </c>
      <c r="BY100" s="429">
        <v>1047.4166666666667</v>
      </c>
      <c r="BZ100" s="429">
        <v>1270.5833333333333</v>
      </c>
      <c r="CA100" s="429">
        <v>1791.9166666666667</v>
      </c>
      <c r="CB100" s="429">
        <v>1927.1666666666667</v>
      </c>
      <c r="CC100" s="431">
        <v>1660.6319444444443</v>
      </c>
    </row>
    <row r="101" spans="1:81">
      <c r="A101" s="420" t="s">
        <v>191</v>
      </c>
      <c r="B101" s="420" t="s">
        <v>181</v>
      </c>
      <c r="C101" s="436">
        <f t="shared" si="40"/>
        <v>0</v>
      </c>
      <c r="D101" s="437">
        <f t="shared" si="41"/>
        <v>0</v>
      </c>
      <c r="E101" s="437">
        <f t="shared" si="42"/>
        <v>0</v>
      </c>
      <c r="F101" s="437">
        <f t="shared" si="43"/>
        <v>0</v>
      </c>
      <c r="G101" s="437">
        <f t="shared" si="44"/>
        <v>0</v>
      </c>
      <c r="H101" s="437">
        <f t="shared" si="45"/>
        <v>0</v>
      </c>
      <c r="I101" s="437">
        <f t="shared" si="46"/>
        <v>0</v>
      </c>
      <c r="J101" s="437">
        <f t="shared" si="47"/>
        <v>0</v>
      </c>
      <c r="K101" s="437">
        <f t="shared" si="48"/>
        <v>0</v>
      </c>
      <c r="L101" s="437">
        <f t="shared" si="49"/>
        <v>0</v>
      </c>
      <c r="M101" s="437">
        <f t="shared" si="50"/>
        <v>0</v>
      </c>
      <c r="N101" s="437">
        <f t="shared" si="51"/>
        <v>0</v>
      </c>
      <c r="O101" s="438">
        <f t="shared" si="52"/>
        <v>0</v>
      </c>
      <c r="P101" s="439">
        <f t="shared" si="53"/>
        <v>0</v>
      </c>
      <c r="Q101" s="437">
        <f t="shared" si="54"/>
        <v>0</v>
      </c>
      <c r="R101" s="437">
        <f t="shared" si="55"/>
        <v>0</v>
      </c>
      <c r="S101" s="437">
        <f t="shared" si="56"/>
        <v>0</v>
      </c>
      <c r="T101" s="437">
        <f t="shared" si="57"/>
        <v>0</v>
      </c>
      <c r="U101" s="437">
        <f t="shared" si="58"/>
        <v>0</v>
      </c>
      <c r="V101" s="437">
        <f t="shared" si="59"/>
        <v>0</v>
      </c>
      <c r="W101" s="437">
        <f t="shared" si="60"/>
        <v>0</v>
      </c>
      <c r="X101" s="437">
        <f t="shared" si="61"/>
        <v>0</v>
      </c>
      <c r="Y101" s="437">
        <f t="shared" si="62"/>
        <v>0</v>
      </c>
      <c r="Z101" s="437">
        <f t="shared" si="63"/>
        <v>0</v>
      </c>
      <c r="AA101" s="437">
        <f t="shared" si="64"/>
        <v>0</v>
      </c>
      <c r="AB101" s="438">
        <f t="shared" si="65"/>
        <v>0</v>
      </c>
      <c r="AC101" s="439">
        <f t="shared" si="66"/>
        <v>0</v>
      </c>
      <c r="AD101" s="437">
        <f t="shared" si="67"/>
        <v>0</v>
      </c>
      <c r="AE101" s="437">
        <f t="shared" si="68"/>
        <v>0</v>
      </c>
      <c r="AF101" s="437">
        <f t="shared" si="69"/>
        <v>0</v>
      </c>
      <c r="AG101" s="437">
        <f t="shared" si="70"/>
        <v>0</v>
      </c>
      <c r="AH101" s="437">
        <f t="shared" si="71"/>
        <v>0</v>
      </c>
      <c r="AI101" s="437">
        <f t="shared" si="72"/>
        <v>0</v>
      </c>
      <c r="AJ101" s="437">
        <f t="shared" si="73"/>
        <v>0</v>
      </c>
      <c r="AK101" s="437">
        <f t="shared" si="74"/>
        <v>0</v>
      </c>
      <c r="AL101" s="437">
        <f t="shared" si="75"/>
        <v>0</v>
      </c>
      <c r="AM101" s="437">
        <f t="shared" si="76"/>
        <v>0</v>
      </c>
      <c r="AN101" s="437">
        <f t="shared" si="77"/>
        <v>0</v>
      </c>
      <c r="AO101" s="438">
        <f t="shared" si="78"/>
        <v>0</v>
      </c>
      <c r="AQ101" s="428">
        <v>0</v>
      </c>
      <c r="AR101" s="429">
        <v>0</v>
      </c>
      <c r="AS101" s="429">
        <v>0</v>
      </c>
      <c r="AT101" s="429">
        <v>0</v>
      </c>
      <c r="AU101" s="429">
        <v>0</v>
      </c>
      <c r="AV101" s="429">
        <v>0</v>
      </c>
      <c r="AW101" s="429">
        <v>0</v>
      </c>
      <c r="AX101" s="429">
        <v>0</v>
      </c>
      <c r="AY101" s="429">
        <v>0</v>
      </c>
      <c r="AZ101" s="429">
        <v>0</v>
      </c>
      <c r="BA101" s="429">
        <v>0</v>
      </c>
      <c r="BB101" s="429">
        <v>0</v>
      </c>
      <c r="BC101" s="431">
        <v>0</v>
      </c>
      <c r="BD101" s="428">
        <v>0</v>
      </c>
      <c r="BE101" s="429">
        <v>0</v>
      </c>
      <c r="BF101" s="429">
        <v>0</v>
      </c>
      <c r="BG101" s="429">
        <v>0</v>
      </c>
      <c r="BH101" s="429">
        <v>0</v>
      </c>
      <c r="BI101" s="429">
        <v>0</v>
      </c>
      <c r="BJ101" s="429">
        <v>0</v>
      </c>
      <c r="BK101" s="429">
        <v>0</v>
      </c>
      <c r="BL101" s="429">
        <v>0</v>
      </c>
      <c r="BM101" s="429">
        <v>0</v>
      </c>
      <c r="BN101" s="429">
        <v>0</v>
      </c>
      <c r="BO101" s="429">
        <v>0</v>
      </c>
      <c r="BP101" s="431">
        <v>0</v>
      </c>
      <c r="BQ101" s="428">
        <v>0</v>
      </c>
      <c r="BR101" s="429">
        <v>0</v>
      </c>
      <c r="BS101" s="429">
        <v>0</v>
      </c>
      <c r="BT101" s="429">
        <v>0</v>
      </c>
      <c r="BU101" s="429">
        <v>0</v>
      </c>
      <c r="BV101" s="429">
        <v>0</v>
      </c>
      <c r="BW101" s="429">
        <v>0</v>
      </c>
      <c r="BX101" s="429">
        <v>0</v>
      </c>
      <c r="BY101" s="429">
        <v>0</v>
      </c>
      <c r="BZ101" s="429">
        <v>0</v>
      </c>
      <c r="CA101" s="429">
        <v>0</v>
      </c>
      <c r="CB101" s="429">
        <v>0</v>
      </c>
      <c r="CC101" s="431">
        <v>0</v>
      </c>
    </row>
    <row r="102" spans="1:81">
      <c r="A102" s="420" t="s">
        <v>191</v>
      </c>
      <c r="B102" s="420" t="s">
        <v>182</v>
      </c>
      <c r="C102" s="436">
        <f t="shared" si="40"/>
        <v>3420</v>
      </c>
      <c r="D102" s="437">
        <f t="shared" si="41"/>
        <v>3373.2352941176468</v>
      </c>
      <c r="E102" s="437">
        <f t="shared" si="42"/>
        <v>3460.4117647058824</v>
      </c>
      <c r="F102" s="437">
        <f t="shared" si="43"/>
        <v>3225.705882352941</v>
      </c>
      <c r="G102" s="437">
        <f t="shared" si="44"/>
        <v>3066.5882352941176</v>
      </c>
      <c r="H102" s="437">
        <f t="shared" si="45"/>
        <v>2955</v>
      </c>
      <c r="I102" s="437">
        <f t="shared" si="46"/>
        <v>2525</v>
      </c>
      <c r="J102" s="437">
        <f t="shared" si="47"/>
        <v>1327.6818181818182</v>
      </c>
      <c r="K102" s="437">
        <f t="shared" si="48"/>
        <v>3354.0588235294117</v>
      </c>
      <c r="L102" s="437">
        <f t="shared" si="49"/>
        <v>710.41176470588232</v>
      </c>
      <c r="M102" s="437">
        <f t="shared" si="50"/>
        <v>2459.625</v>
      </c>
      <c r="N102" s="437">
        <f t="shared" si="51"/>
        <v>4957.3500000000004</v>
      </c>
      <c r="O102" s="438">
        <f t="shared" si="52"/>
        <v>2896.9052132701422</v>
      </c>
      <c r="P102" s="439">
        <f t="shared" si="53"/>
        <v>4797.8888888888887</v>
      </c>
      <c r="Q102" s="437">
        <f t="shared" si="54"/>
        <v>5306.8888888888887</v>
      </c>
      <c r="R102" s="437">
        <f t="shared" si="55"/>
        <v>4053.4444444444443</v>
      </c>
      <c r="S102" s="437">
        <f t="shared" si="56"/>
        <v>3819.4705882352941</v>
      </c>
      <c r="T102" s="437">
        <f t="shared" si="57"/>
        <v>3890.1176470588234</v>
      </c>
      <c r="U102" s="437">
        <f t="shared" si="58"/>
        <v>4141.8823529411766</v>
      </c>
      <c r="V102" s="437">
        <f t="shared" si="59"/>
        <v>3102.0588235294117</v>
      </c>
      <c r="W102" s="437">
        <f t="shared" si="60"/>
        <v>3494.5882352941176</v>
      </c>
      <c r="X102" s="437">
        <f t="shared" si="61"/>
        <v>2526.5</v>
      </c>
      <c r="Y102" s="437">
        <f t="shared" si="62"/>
        <v>5148</v>
      </c>
      <c r="Z102" s="437">
        <f t="shared" si="63"/>
        <v>4238</v>
      </c>
      <c r="AA102" s="437">
        <f t="shared" si="64"/>
        <v>4164.8235294117649</v>
      </c>
      <c r="AB102" s="438">
        <f t="shared" si="65"/>
        <v>4079.2367149758452</v>
      </c>
      <c r="AC102" s="439">
        <f t="shared" si="66"/>
        <v>5666.8235294117649</v>
      </c>
      <c r="AD102" s="437">
        <f t="shared" si="67"/>
        <v>4558.7647058823532</v>
      </c>
      <c r="AE102" s="437">
        <f t="shared" si="68"/>
        <v>4854.588235294118</v>
      </c>
      <c r="AF102" s="437">
        <f t="shared" si="69"/>
        <v>3717.5294117647059</v>
      </c>
      <c r="AG102" s="437">
        <f t="shared" si="70"/>
        <v>3368.7647058823532</v>
      </c>
      <c r="AH102" s="437">
        <f t="shared" si="71"/>
        <v>3898.5882352941176</v>
      </c>
      <c r="AI102" s="437">
        <f t="shared" si="72"/>
        <v>3972.5294117647059</v>
      </c>
      <c r="AJ102" s="437">
        <f t="shared" si="73"/>
        <v>3853.8823529411766</v>
      </c>
      <c r="AK102" s="437">
        <f t="shared" si="74"/>
        <v>3622.3529411764707</v>
      </c>
      <c r="AL102" s="437">
        <f t="shared" si="75"/>
        <v>3848.3529411764707</v>
      </c>
      <c r="AM102" s="437">
        <f t="shared" si="76"/>
        <v>4317.1764705882351</v>
      </c>
      <c r="AN102" s="437">
        <f t="shared" si="77"/>
        <v>3962.8823529411766</v>
      </c>
      <c r="AO102" s="438">
        <f t="shared" si="78"/>
        <v>4136.8529411764703</v>
      </c>
      <c r="AQ102" s="428">
        <v>3420</v>
      </c>
      <c r="AR102" s="429">
        <v>3373.2352941176468</v>
      </c>
      <c r="AS102" s="429">
        <v>3460.4117647058824</v>
      </c>
      <c r="AT102" s="429">
        <v>3225.705882352941</v>
      </c>
      <c r="AU102" s="429">
        <v>3066.5882352941176</v>
      </c>
      <c r="AV102" s="429">
        <v>2955</v>
      </c>
      <c r="AW102" s="429">
        <v>2525</v>
      </c>
      <c r="AX102" s="429">
        <v>1327.6818181818182</v>
      </c>
      <c r="AY102" s="429">
        <v>3354.0588235294117</v>
      </c>
      <c r="AZ102" s="429">
        <v>710.41176470588232</v>
      </c>
      <c r="BA102" s="429">
        <v>2459.625</v>
      </c>
      <c r="BB102" s="429">
        <v>4957.3500000000004</v>
      </c>
      <c r="BC102" s="431">
        <v>2896.9052132701422</v>
      </c>
      <c r="BD102" s="428">
        <v>4797.8888888888887</v>
      </c>
      <c r="BE102" s="429">
        <v>5306.8888888888887</v>
      </c>
      <c r="BF102" s="429">
        <v>4053.4444444444443</v>
      </c>
      <c r="BG102" s="429">
        <v>3819.4705882352941</v>
      </c>
      <c r="BH102" s="429">
        <v>3890.1176470588234</v>
      </c>
      <c r="BI102" s="429">
        <v>4141.8823529411766</v>
      </c>
      <c r="BJ102" s="429">
        <v>3102.0588235294117</v>
      </c>
      <c r="BK102" s="429">
        <v>3494.5882352941176</v>
      </c>
      <c r="BL102" s="429">
        <v>2526.5</v>
      </c>
      <c r="BM102" s="429">
        <v>5148</v>
      </c>
      <c r="BN102" s="429">
        <v>4238</v>
      </c>
      <c r="BO102" s="429">
        <v>4164.8235294117649</v>
      </c>
      <c r="BP102" s="431">
        <v>4079.2367149758452</v>
      </c>
      <c r="BQ102" s="428">
        <v>5666.8235294117649</v>
      </c>
      <c r="BR102" s="429">
        <v>4558.7647058823532</v>
      </c>
      <c r="BS102" s="429">
        <v>4854.588235294118</v>
      </c>
      <c r="BT102" s="429">
        <v>3717.5294117647059</v>
      </c>
      <c r="BU102" s="429">
        <v>3368.7647058823532</v>
      </c>
      <c r="BV102" s="429">
        <v>3898.5882352941176</v>
      </c>
      <c r="BW102" s="429">
        <v>3972.5294117647059</v>
      </c>
      <c r="BX102" s="429">
        <v>3853.8823529411766</v>
      </c>
      <c r="BY102" s="429">
        <v>3622.3529411764707</v>
      </c>
      <c r="BZ102" s="429">
        <v>3848.3529411764707</v>
      </c>
      <c r="CA102" s="429">
        <v>4317.1764705882351</v>
      </c>
      <c r="CB102" s="429">
        <v>3962.8823529411766</v>
      </c>
      <c r="CC102" s="431">
        <v>4136.8529411764703</v>
      </c>
    </row>
    <row r="103" spans="1:81">
      <c r="A103" s="420" t="s">
        <v>191</v>
      </c>
      <c r="B103" s="420" t="s">
        <v>183</v>
      </c>
      <c r="C103" s="436">
        <f t="shared" si="40"/>
        <v>0</v>
      </c>
      <c r="D103" s="437">
        <f t="shared" si="41"/>
        <v>0</v>
      </c>
      <c r="E103" s="437">
        <f t="shared" si="42"/>
        <v>0</v>
      </c>
      <c r="F103" s="437">
        <f t="shared" si="43"/>
        <v>0</v>
      </c>
      <c r="G103" s="437">
        <f t="shared" si="44"/>
        <v>0</v>
      </c>
      <c r="H103" s="437">
        <f t="shared" si="45"/>
        <v>0</v>
      </c>
      <c r="I103" s="437">
        <f t="shared" si="46"/>
        <v>0</v>
      </c>
      <c r="J103" s="437">
        <f t="shared" si="47"/>
        <v>0</v>
      </c>
      <c r="K103" s="437">
        <f t="shared" si="48"/>
        <v>0</v>
      </c>
      <c r="L103" s="437">
        <f t="shared" si="49"/>
        <v>0</v>
      </c>
      <c r="M103" s="437">
        <f t="shared" si="50"/>
        <v>0</v>
      </c>
      <c r="N103" s="437">
        <f t="shared" si="51"/>
        <v>0</v>
      </c>
      <c r="O103" s="438">
        <f t="shared" si="52"/>
        <v>0</v>
      </c>
      <c r="P103" s="439">
        <f t="shared" si="53"/>
        <v>0</v>
      </c>
      <c r="Q103" s="437">
        <f t="shared" si="54"/>
        <v>0</v>
      </c>
      <c r="R103" s="437">
        <f t="shared" si="55"/>
        <v>0</v>
      </c>
      <c r="S103" s="437">
        <f t="shared" si="56"/>
        <v>0</v>
      </c>
      <c r="T103" s="437">
        <f t="shared" si="57"/>
        <v>0</v>
      </c>
      <c r="U103" s="437">
        <f t="shared" si="58"/>
        <v>0</v>
      </c>
      <c r="V103" s="437">
        <f t="shared" si="59"/>
        <v>0</v>
      </c>
      <c r="W103" s="437">
        <f t="shared" si="60"/>
        <v>0</v>
      </c>
      <c r="X103" s="437">
        <f t="shared" si="61"/>
        <v>0</v>
      </c>
      <c r="Y103" s="437">
        <f t="shared" si="62"/>
        <v>0</v>
      </c>
      <c r="Z103" s="437">
        <f t="shared" si="63"/>
        <v>0</v>
      </c>
      <c r="AA103" s="437">
        <f t="shared" si="64"/>
        <v>0</v>
      </c>
      <c r="AB103" s="438">
        <f t="shared" si="65"/>
        <v>0</v>
      </c>
      <c r="AC103" s="439">
        <f t="shared" si="66"/>
        <v>0</v>
      </c>
      <c r="AD103" s="437">
        <f t="shared" si="67"/>
        <v>0</v>
      </c>
      <c r="AE103" s="437">
        <f t="shared" si="68"/>
        <v>0</v>
      </c>
      <c r="AF103" s="437">
        <f t="shared" si="69"/>
        <v>0</v>
      </c>
      <c r="AG103" s="437">
        <f t="shared" si="70"/>
        <v>0</v>
      </c>
      <c r="AH103" s="437">
        <f t="shared" si="71"/>
        <v>0</v>
      </c>
      <c r="AI103" s="437">
        <f t="shared" si="72"/>
        <v>0</v>
      </c>
      <c r="AJ103" s="437">
        <f t="shared" si="73"/>
        <v>0</v>
      </c>
      <c r="AK103" s="437">
        <f t="shared" si="74"/>
        <v>0</v>
      </c>
      <c r="AL103" s="437">
        <f t="shared" si="75"/>
        <v>0</v>
      </c>
      <c r="AM103" s="437">
        <f t="shared" si="76"/>
        <v>0</v>
      </c>
      <c r="AN103" s="437">
        <f t="shared" si="77"/>
        <v>0</v>
      </c>
      <c r="AO103" s="438">
        <f t="shared" si="78"/>
        <v>0</v>
      </c>
      <c r="AQ103" s="428">
        <v>0</v>
      </c>
      <c r="AR103" s="429">
        <v>0</v>
      </c>
      <c r="AS103" s="429">
        <v>0</v>
      </c>
      <c r="AT103" s="429">
        <v>0</v>
      </c>
      <c r="AU103" s="429">
        <v>0</v>
      </c>
      <c r="AV103" s="429">
        <v>0</v>
      </c>
      <c r="AW103" s="429">
        <v>0</v>
      </c>
      <c r="AX103" s="429">
        <v>0</v>
      </c>
      <c r="AY103" s="429">
        <v>0</v>
      </c>
      <c r="AZ103" s="429">
        <v>0</v>
      </c>
      <c r="BA103" s="429">
        <v>0</v>
      </c>
      <c r="BB103" s="429">
        <v>0</v>
      </c>
      <c r="BC103" s="431">
        <v>0</v>
      </c>
      <c r="BD103" s="428">
        <v>0</v>
      </c>
      <c r="BE103" s="429">
        <v>0</v>
      </c>
      <c r="BF103" s="429">
        <v>0</v>
      </c>
      <c r="BG103" s="429">
        <v>0</v>
      </c>
      <c r="BH103" s="429">
        <v>0</v>
      </c>
      <c r="BI103" s="429">
        <v>0</v>
      </c>
      <c r="BJ103" s="429">
        <v>0</v>
      </c>
      <c r="BK103" s="429">
        <v>0</v>
      </c>
      <c r="BL103" s="429">
        <v>0</v>
      </c>
      <c r="BM103" s="429">
        <v>0</v>
      </c>
      <c r="BN103" s="429">
        <v>0</v>
      </c>
      <c r="BO103" s="429">
        <v>0</v>
      </c>
      <c r="BP103" s="431">
        <v>0</v>
      </c>
      <c r="BQ103" s="428">
        <v>0</v>
      </c>
      <c r="BR103" s="429">
        <v>0</v>
      </c>
      <c r="BS103" s="429">
        <v>0</v>
      </c>
      <c r="BT103" s="429">
        <v>0</v>
      </c>
      <c r="BU103" s="429">
        <v>0</v>
      </c>
      <c r="BV103" s="429">
        <v>0</v>
      </c>
      <c r="BW103" s="429">
        <v>0</v>
      </c>
      <c r="BX103" s="429">
        <v>0</v>
      </c>
      <c r="BY103" s="429">
        <v>0</v>
      </c>
      <c r="BZ103" s="429">
        <v>0</v>
      </c>
      <c r="CA103" s="429">
        <v>0</v>
      </c>
      <c r="CB103" s="429">
        <v>0</v>
      </c>
      <c r="CC103" s="431">
        <v>0</v>
      </c>
    </row>
    <row r="104" spans="1:81">
      <c r="A104" s="445"/>
      <c r="B104" s="445"/>
      <c r="C104" s="446"/>
      <c r="D104" s="447"/>
      <c r="E104" s="447"/>
      <c r="F104" s="447"/>
      <c r="G104" s="447"/>
      <c r="H104" s="447"/>
      <c r="I104" s="447"/>
      <c r="J104" s="447"/>
      <c r="K104" s="447"/>
      <c r="L104" s="447"/>
      <c r="M104" s="447"/>
      <c r="N104" s="447"/>
      <c r="O104" s="448"/>
      <c r="P104" s="449"/>
      <c r="Q104" s="447"/>
      <c r="R104" s="447"/>
      <c r="S104" s="447"/>
      <c r="T104" s="447"/>
      <c r="U104" s="447"/>
      <c r="V104" s="447"/>
      <c r="W104" s="447"/>
      <c r="X104" s="447"/>
      <c r="Y104" s="447"/>
      <c r="Z104" s="447"/>
      <c r="AA104" s="447"/>
      <c r="AB104" s="448"/>
      <c r="AC104" s="449"/>
      <c r="AD104" s="447"/>
      <c r="AE104" s="447"/>
      <c r="AF104" s="447"/>
      <c r="AG104" s="447"/>
      <c r="AH104" s="447"/>
      <c r="AI104" s="447"/>
      <c r="AJ104" s="447"/>
      <c r="AK104" s="447"/>
      <c r="AL104" s="447"/>
      <c r="AM104" s="447"/>
      <c r="AN104" s="447"/>
      <c r="AO104" s="448"/>
      <c r="AQ104" s="450"/>
      <c r="AR104" s="451"/>
      <c r="AS104" s="451"/>
      <c r="AT104" s="451"/>
      <c r="AU104" s="451"/>
      <c r="AV104" s="451"/>
      <c r="AW104" s="451"/>
      <c r="AX104" s="451"/>
      <c r="AY104" s="451"/>
      <c r="AZ104" s="451"/>
      <c r="BA104" s="451"/>
      <c r="BB104" s="451"/>
      <c r="BC104" s="452"/>
      <c r="BD104" s="453"/>
      <c r="BE104" s="451"/>
      <c r="BF104" s="451"/>
      <c r="BG104" s="451"/>
      <c r="BH104" s="451"/>
      <c r="BI104" s="451"/>
      <c r="BJ104" s="451"/>
      <c r="BK104" s="451"/>
      <c r="BL104" s="451"/>
      <c r="BM104" s="451"/>
      <c r="BN104" s="451"/>
      <c r="BO104" s="451"/>
      <c r="BP104" s="452"/>
      <c r="BQ104" s="453"/>
      <c r="BR104" s="451"/>
      <c r="BS104" s="451"/>
      <c r="BT104" s="451"/>
      <c r="BU104" s="451"/>
      <c r="BV104" s="451"/>
      <c r="BW104" s="451"/>
      <c r="BX104" s="451"/>
      <c r="BY104" s="451"/>
      <c r="BZ104" s="451"/>
      <c r="CA104" s="451"/>
      <c r="CB104" s="451"/>
      <c r="CC104" s="452"/>
    </row>
    <row r="105" spans="1:81">
      <c r="B105" s="456" t="s">
        <v>192</v>
      </c>
      <c r="C105" s="436"/>
      <c r="D105" s="437"/>
      <c r="E105" s="437"/>
      <c r="F105" s="437"/>
      <c r="G105" s="437"/>
      <c r="H105" s="437"/>
      <c r="I105" s="437"/>
      <c r="J105" s="437"/>
      <c r="K105" s="437"/>
      <c r="L105" s="437"/>
      <c r="M105" s="437"/>
      <c r="N105" s="437"/>
      <c r="O105" s="438"/>
      <c r="P105" s="439"/>
      <c r="Q105" s="437"/>
      <c r="R105" s="437"/>
      <c r="S105" s="437"/>
      <c r="T105" s="437"/>
      <c r="U105" s="437"/>
      <c r="V105" s="437"/>
      <c r="W105" s="437"/>
      <c r="X105" s="437"/>
      <c r="Y105" s="437"/>
      <c r="Z105" s="437"/>
      <c r="AA105" s="437"/>
      <c r="AB105" s="438"/>
      <c r="AC105" s="439"/>
      <c r="AD105" s="437"/>
      <c r="AE105" s="437"/>
      <c r="AF105" s="437"/>
      <c r="AG105" s="437"/>
      <c r="AH105" s="437"/>
      <c r="AI105" s="437"/>
      <c r="AJ105" s="437"/>
      <c r="AK105" s="437"/>
      <c r="AL105" s="437"/>
      <c r="AM105" s="437"/>
      <c r="AN105" s="437"/>
      <c r="AO105" s="438"/>
      <c r="AQ105" s="428"/>
      <c r="AR105" s="429"/>
      <c r="AS105" s="429"/>
      <c r="AT105" s="429"/>
      <c r="AU105" s="429"/>
      <c r="AV105" s="429"/>
      <c r="AW105" s="429"/>
      <c r="AX105" s="429"/>
      <c r="AY105" s="429"/>
      <c r="AZ105" s="429"/>
      <c r="BA105" s="429"/>
      <c r="BB105" s="429"/>
      <c r="BC105" s="431"/>
      <c r="BD105" s="428"/>
      <c r="BE105" s="429"/>
      <c r="BF105" s="429"/>
      <c r="BG105" s="429"/>
      <c r="BH105" s="429"/>
      <c r="BI105" s="429"/>
      <c r="BJ105" s="429"/>
      <c r="BK105" s="429"/>
      <c r="BL105" s="429"/>
      <c r="BM105" s="429"/>
      <c r="BN105" s="429"/>
      <c r="BO105" s="429"/>
      <c r="BP105" s="431"/>
      <c r="BQ105" s="428"/>
      <c r="BR105" s="429"/>
      <c r="BS105" s="429"/>
      <c r="BT105" s="429"/>
      <c r="BU105" s="429"/>
      <c r="BV105" s="429"/>
      <c r="BW105" s="429"/>
      <c r="BX105" s="429"/>
      <c r="BY105" s="429"/>
      <c r="BZ105" s="429"/>
      <c r="CA105" s="429"/>
      <c r="CB105" s="429"/>
      <c r="CC105" s="431"/>
    </row>
    <row r="106" spans="1:81">
      <c r="A106" s="420" t="s">
        <v>192</v>
      </c>
      <c r="B106" s="420" t="s">
        <v>175</v>
      </c>
      <c r="C106" s="436">
        <f t="shared" si="40"/>
        <v>1815.3454545454545</v>
      </c>
      <c r="D106" s="437">
        <f t="shared" si="41"/>
        <v>1713.4545454545455</v>
      </c>
      <c r="E106" s="437">
        <f t="shared" si="42"/>
        <v>1411.9</v>
      </c>
      <c r="F106" s="437">
        <f t="shared" si="43"/>
        <v>1865.0169491525423</v>
      </c>
      <c r="G106" s="437">
        <f t="shared" si="44"/>
        <v>1186.6239316239316</v>
      </c>
      <c r="H106" s="437">
        <f t="shared" si="45"/>
        <v>988.65599999999995</v>
      </c>
      <c r="I106" s="437">
        <f t="shared" si="46"/>
        <v>993.35</v>
      </c>
      <c r="J106" s="437">
        <f t="shared" si="47"/>
        <v>913.81034482758616</v>
      </c>
      <c r="K106" s="437">
        <f t="shared" si="48"/>
        <v>851.43589743589746</v>
      </c>
      <c r="L106" s="437">
        <f t="shared" si="49"/>
        <v>1056.6929824561403</v>
      </c>
      <c r="M106" s="437">
        <f t="shared" si="50"/>
        <v>1209.593220338983</v>
      </c>
      <c r="N106" s="437">
        <f t="shared" si="51"/>
        <v>1316.5517241379309</v>
      </c>
      <c r="O106" s="438">
        <f t="shared" si="52"/>
        <v>1270.0956146657081</v>
      </c>
      <c r="P106" s="439">
        <f t="shared" si="53"/>
        <v>1780.7586206896551</v>
      </c>
      <c r="Q106" s="437">
        <f t="shared" si="54"/>
        <v>1502.6637931034484</v>
      </c>
      <c r="R106" s="437">
        <f t="shared" si="55"/>
        <v>1671.4545454545455</v>
      </c>
      <c r="S106" s="437">
        <f t="shared" si="56"/>
        <v>1498.1379310344828</v>
      </c>
      <c r="T106" s="437">
        <f t="shared" si="57"/>
        <v>1065.6949152542372</v>
      </c>
      <c r="U106" s="437">
        <f t="shared" si="58"/>
        <v>1245.4827586206898</v>
      </c>
      <c r="V106" s="437">
        <f t="shared" si="59"/>
        <v>1101.1440677966102</v>
      </c>
      <c r="W106" s="437">
        <f t="shared" si="60"/>
        <v>815.66949152542372</v>
      </c>
      <c r="X106" s="437">
        <f t="shared" si="61"/>
        <v>1022.9831932773109</v>
      </c>
      <c r="Y106" s="437">
        <f t="shared" si="62"/>
        <v>893.71428571428567</v>
      </c>
      <c r="Z106" s="437">
        <f t="shared" si="63"/>
        <v>1165.6525423728813</v>
      </c>
      <c r="AA106" s="437">
        <f t="shared" si="64"/>
        <v>1385.6166666666666</v>
      </c>
      <c r="AB106" s="438">
        <f t="shared" si="65"/>
        <v>1261.6445229681979</v>
      </c>
      <c r="AC106" s="439">
        <f t="shared" si="66"/>
        <v>1768.3781512605042</v>
      </c>
      <c r="AD106" s="437">
        <f t="shared" si="67"/>
        <v>1627.9663865546217</v>
      </c>
      <c r="AE106" s="437">
        <f t="shared" si="68"/>
        <v>1679.873949579832</v>
      </c>
      <c r="AF106" s="437">
        <f t="shared" si="69"/>
        <v>1382.3949579831933</v>
      </c>
      <c r="AG106" s="437">
        <f t="shared" si="70"/>
        <v>1494.4453781512605</v>
      </c>
      <c r="AH106" s="437">
        <f t="shared" si="71"/>
        <v>1214.8907563025209</v>
      </c>
      <c r="AI106" s="437">
        <f t="shared" si="72"/>
        <v>1080.7750000000001</v>
      </c>
      <c r="AJ106" s="437">
        <f t="shared" si="73"/>
        <v>1103.0420168067226</v>
      </c>
      <c r="AK106" s="437">
        <f t="shared" si="74"/>
        <v>1050.206611570248</v>
      </c>
      <c r="AL106" s="437">
        <f t="shared" si="75"/>
        <v>1131.6500000000001</v>
      </c>
      <c r="AM106" s="437">
        <f t="shared" si="76"/>
        <v>1445.8083333333334</v>
      </c>
      <c r="AN106" s="437">
        <f t="shared" si="77"/>
        <v>1317.9710144927535</v>
      </c>
      <c r="AO106" s="438">
        <f t="shared" si="78"/>
        <v>1356.8808539944903</v>
      </c>
      <c r="AQ106" s="428">
        <v>1815.3454545454545</v>
      </c>
      <c r="AR106" s="429">
        <v>1713.4545454545455</v>
      </c>
      <c r="AS106" s="429">
        <v>1411.9</v>
      </c>
      <c r="AT106" s="429">
        <v>1865.0169491525423</v>
      </c>
      <c r="AU106" s="429">
        <v>1186.6239316239316</v>
      </c>
      <c r="AV106" s="429">
        <v>988.65599999999995</v>
      </c>
      <c r="AW106" s="429">
        <v>993.35</v>
      </c>
      <c r="AX106" s="429">
        <v>913.81034482758616</v>
      </c>
      <c r="AY106" s="429">
        <v>851.43589743589746</v>
      </c>
      <c r="AZ106" s="429">
        <v>1056.6929824561403</v>
      </c>
      <c r="BA106" s="429">
        <v>1209.593220338983</v>
      </c>
      <c r="BB106" s="429">
        <v>1316.5517241379309</v>
      </c>
      <c r="BC106" s="431">
        <v>1270.0956146657081</v>
      </c>
      <c r="BD106" s="428">
        <v>1780.7586206896551</v>
      </c>
      <c r="BE106" s="429">
        <v>1502.6637931034484</v>
      </c>
      <c r="BF106" s="429">
        <v>1671.4545454545455</v>
      </c>
      <c r="BG106" s="429">
        <v>1498.1379310344828</v>
      </c>
      <c r="BH106" s="429">
        <v>1065.6949152542372</v>
      </c>
      <c r="BI106" s="429">
        <v>1245.4827586206898</v>
      </c>
      <c r="BJ106" s="429">
        <v>1101.1440677966102</v>
      </c>
      <c r="BK106" s="429">
        <v>815.66949152542372</v>
      </c>
      <c r="BL106" s="429">
        <v>1022.9831932773109</v>
      </c>
      <c r="BM106" s="429">
        <v>893.71428571428567</v>
      </c>
      <c r="BN106" s="429">
        <v>1165.6525423728813</v>
      </c>
      <c r="BO106" s="429">
        <v>1385.6166666666666</v>
      </c>
      <c r="BP106" s="431">
        <v>1261.6445229681979</v>
      </c>
      <c r="BQ106" s="428">
        <v>1768.3781512605042</v>
      </c>
      <c r="BR106" s="429">
        <v>1627.9663865546217</v>
      </c>
      <c r="BS106" s="429">
        <v>1679.873949579832</v>
      </c>
      <c r="BT106" s="429">
        <v>1382.3949579831933</v>
      </c>
      <c r="BU106" s="429">
        <v>1494.4453781512605</v>
      </c>
      <c r="BV106" s="429">
        <v>1214.8907563025209</v>
      </c>
      <c r="BW106" s="429">
        <v>1080.7750000000001</v>
      </c>
      <c r="BX106" s="429">
        <v>1103.0420168067226</v>
      </c>
      <c r="BY106" s="429">
        <v>1050.206611570248</v>
      </c>
      <c r="BZ106" s="429">
        <v>1131.6500000000001</v>
      </c>
      <c r="CA106" s="429">
        <v>1445.8083333333334</v>
      </c>
      <c r="CB106" s="429">
        <v>1317.9710144927535</v>
      </c>
      <c r="CC106" s="431">
        <v>1356.8808539944903</v>
      </c>
    </row>
    <row r="107" spans="1:81">
      <c r="A107" s="420" t="s">
        <v>192</v>
      </c>
      <c r="B107" s="420" t="s">
        <v>176</v>
      </c>
      <c r="C107" s="436">
        <f t="shared" si="40"/>
        <v>0</v>
      </c>
      <c r="D107" s="437">
        <f t="shared" si="41"/>
        <v>0</v>
      </c>
      <c r="E107" s="437">
        <f t="shared" si="42"/>
        <v>0</v>
      </c>
      <c r="F107" s="437">
        <f t="shared" si="43"/>
        <v>0</v>
      </c>
      <c r="G107" s="437">
        <f t="shared" si="44"/>
        <v>0</v>
      </c>
      <c r="H107" s="437">
        <f t="shared" si="45"/>
        <v>0</v>
      </c>
      <c r="I107" s="437">
        <f t="shared" si="46"/>
        <v>0</v>
      </c>
      <c r="J107" s="437">
        <f t="shared" si="47"/>
        <v>0</v>
      </c>
      <c r="K107" s="437">
        <f t="shared" si="48"/>
        <v>0</v>
      </c>
      <c r="L107" s="437">
        <f t="shared" si="49"/>
        <v>0</v>
      </c>
      <c r="M107" s="437">
        <f t="shared" si="50"/>
        <v>0</v>
      </c>
      <c r="N107" s="437">
        <f t="shared" si="51"/>
        <v>0</v>
      </c>
      <c r="O107" s="438">
        <f t="shared" si="52"/>
        <v>0</v>
      </c>
      <c r="P107" s="439">
        <f t="shared" si="53"/>
        <v>0</v>
      </c>
      <c r="Q107" s="437">
        <f t="shared" si="54"/>
        <v>0</v>
      </c>
      <c r="R107" s="437">
        <f t="shared" si="55"/>
        <v>0</v>
      </c>
      <c r="S107" s="437">
        <f t="shared" si="56"/>
        <v>0</v>
      </c>
      <c r="T107" s="437">
        <f t="shared" si="57"/>
        <v>0</v>
      </c>
      <c r="U107" s="437">
        <f t="shared" si="58"/>
        <v>0</v>
      </c>
      <c r="V107" s="437">
        <f t="shared" si="59"/>
        <v>0</v>
      </c>
      <c r="W107" s="437">
        <f t="shared" si="60"/>
        <v>0</v>
      </c>
      <c r="X107" s="437">
        <f t="shared" si="61"/>
        <v>0</v>
      </c>
      <c r="Y107" s="437">
        <f t="shared" si="62"/>
        <v>0</v>
      </c>
      <c r="Z107" s="437">
        <f t="shared" si="63"/>
        <v>0</v>
      </c>
      <c r="AA107" s="437">
        <f t="shared" si="64"/>
        <v>0</v>
      </c>
      <c r="AB107" s="438">
        <f t="shared" si="65"/>
        <v>0</v>
      </c>
      <c r="AC107" s="439">
        <f t="shared" si="66"/>
        <v>0</v>
      </c>
      <c r="AD107" s="437">
        <f t="shared" si="67"/>
        <v>0</v>
      </c>
      <c r="AE107" s="437">
        <f t="shared" si="68"/>
        <v>0</v>
      </c>
      <c r="AF107" s="437">
        <f t="shared" si="69"/>
        <v>0</v>
      </c>
      <c r="AG107" s="437">
        <f t="shared" si="70"/>
        <v>0</v>
      </c>
      <c r="AH107" s="437">
        <f t="shared" si="71"/>
        <v>0</v>
      </c>
      <c r="AI107" s="437">
        <f t="shared" si="72"/>
        <v>0</v>
      </c>
      <c r="AJ107" s="437">
        <f t="shared" si="73"/>
        <v>0</v>
      </c>
      <c r="AK107" s="437">
        <f t="shared" si="74"/>
        <v>0</v>
      </c>
      <c r="AL107" s="437">
        <f t="shared" si="75"/>
        <v>0</v>
      </c>
      <c r="AM107" s="437">
        <f t="shared" si="76"/>
        <v>0</v>
      </c>
      <c r="AN107" s="437">
        <f t="shared" si="77"/>
        <v>0</v>
      </c>
      <c r="AO107" s="438">
        <f t="shared" si="78"/>
        <v>0</v>
      </c>
      <c r="AQ107" s="428">
        <v>0</v>
      </c>
      <c r="AR107" s="429">
        <v>0</v>
      </c>
      <c r="AS107" s="429">
        <v>0</v>
      </c>
      <c r="AT107" s="429">
        <v>0</v>
      </c>
      <c r="AU107" s="429">
        <v>0</v>
      </c>
      <c r="AV107" s="429">
        <v>0</v>
      </c>
      <c r="AW107" s="429">
        <v>0</v>
      </c>
      <c r="AX107" s="429">
        <v>0</v>
      </c>
      <c r="AY107" s="429">
        <v>0</v>
      </c>
      <c r="AZ107" s="429">
        <v>0</v>
      </c>
      <c r="BA107" s="429">
        <v>0</v>
      </c>
      <c r="BB107" s="429">
        <v>0</v>
      </c>
      <c r="BC107" s="431">
        <v>0</v>
      </c>
      <c r="BD107" s="428">
        <v>0</v>
      </c>
      <c r="BE107" s="429">
        <v>0</v>
      </c>
      <c r="BF107" s="429">
        <v>0</v>
      </c>
      <c r="BG107" s="429">
        <v>0</v>
      </c>
      <c r="BH107" s="429">
        <v>0</v>
      </c>
      <c r="BI107" s="429">
        <v>0</v>
      </c>
      <c r="BJ107" s="429">
        <v>0</v>
      </c>
      <c r="BK107" s="429">
        <v>0</v>
      </c>
      <c r="BL107" s="429">
        <v>0</v>
      </c>
      <c r="BM107" s="429">
        <v>0</v>
      </c>
      <c r="BN107" s="429">
        <v>0</v>
      </c>
      <c r="BO107" s="429">
        <v>0</v>
      </c>
      <c r="BP107" s="431">
        <v>0</v>
      </c>
      <c r="BQ107" s="428">
        <v>0</v>
      </c>
      <c r="BR107" s="429">
        <v>0</v>
      </c>
      <c r="BS107" s="429">
        <v>0</v>
      </c>
      <c r="BT107" s="429">
        <v>0</v>
      </c>
      <c r="BU107" s="429">
        <v>0</v>
      </c>
      <c r="BV107" s="429">
        <v>0</v>
      </c>
      <c r="BW107" s="429">
        <v>0</v>
      </c>
      <c r="BX107" s="429">
        <v>0</v>
      </c>
      <c r="BY107" s="429">
        <v>0</v>
      </c>
      <c r="BZ107" s="429">
        <v>0</v>
      </c>
      <c r="CA107" s="429">
        <v>0</v>
      </c>
      <c r="CB107" s="429">
        <v>0</v>
      </c>
      <c r="CC107" s="431">
        <v>0</v>
      </c>
    </row>
    <row r="108" spans="1:81">
      <c r="A108" s="420" t="s">
        <v>192</v>
      </c>
      <c r="B108" s="420" t="s">
        <v>177</v>
      </c>
      <c r="C108" s="436">
        <f t="shared" si="40"/>
        <v>2565.8000000000002</v>
      </c>
      <c r="D108" s="437">
        <f t="shared" si="41"/>
        <v>2409.6</v>
      </c>
      <c r="E108" s="437">
        <f t="shared" si="42"/>
        <v>1907.8</v>
      </c>
      <c r="F108" s="437">
        <f t="shared" si="43"/>
        <v>2568.1</v>
      </c>
      <c r="G108" s="437">
        <f t="shared" si="44"/>
        <v>1905.6</v>
      </c>
      <c r="H108" s="437">
        <f t="shared" si="45"/>
        <v>1695.5</v>
      </c>
      <c r="I108" s="437">
        <f t="shared" si="46"/>
        <v>1423.2727272727273</v>
      </c>
      <c r="J108" s="437">
        <f t="shared" si="47"/>
        <v>1684.3</v>
      </c>
      <c r="K108" s="437">
        <f t="shared" si="48"/>
        <v>1240.090909090909</v>
      </c>
      <c r="L108" s="437">
        <f t="shared" si="49"/>
        <v>1604.7</v>
      </c>
      <c r="M108" s="437">
        <f t="shared" si="50"/>
        <v>2082.6999999999998</v>
      </c>
      <c r="N108" s="437">
        <f t="shared" si="51"/>
        <v>2201.5</v>
      </c>
      <c r="O108" s="438">
        <f t="shared" si="52"/>
        <v>1930.7622950819673</v>
      </c>
      <c r="P108" s="439">
        <f t="shared" si="53"/>
        <v>2716.6</v>
      </c>
      <c r="Q108" s="437">
        <f t="shared" si="54"/>
        <v>2233.4</v>
      </c>
      <c r="R108" s="437">
        <f t="shared" si="55"/>
        <v>2829.9</v>
      </c>
      <c r="S108" s="437">
        <f t="shared" si="56"/>
        <v>2922.5</v>
      </c>
      <c r="T108" s="437">
        <f t="shared" si="57"/>
        <v>1661.8</v>
      </c>
      <c r="U108" s="437">
        <f t="shared" si="58"/>
        <v>1999.4</v>
      </c>
      <c r="V108" s="437">
        <f t="shared" si="59"/>
        <v>1575.8</v>
      </c>
      <c r="W108" s="437">
        <f t="shared" si="60"/>
        <v>1666.7</v>
      </c>
      <c r="X108" s="437">
        <f t="shared" si="61"/>
        <v>1815.9</v>
      </c>
      <c r="Y108" s="437">
        <f t="shared" si="62"/>
        <v>1513.2</v>
      </c>
      <c r="Z108" s="437">
        <f t="shared" si="63"/>
        <v>2276.6</v>
      </c>
      <c r="AA108" s="437">
        <f t="shared" si="64"/>
        <v>3227.4</v>
      </c>
      <c r="AB108" s="438">
        <f t="shared" si="65"/>
        <v>2203.2666666666669</v>
      </c>
      <c r="AC108" s="439">
        <f t="shared" si="66"/>
        <v>3987.3</v>
      </c>
      <c r="AD108" s="437">
        <f t="shared" si="67"/>
        <v>3011.2</v>
      </c>
      <c r="AE108" s="437">
        <f t="shared" si="68"/>
        <v>3469.7</v>
      </c>
      <c r="AF108" s="437">
        <f t="shared" si="69"/>
        <v>2386.5</v>
      </c>
      <c r="AG108" s="437">
        <f t="shared" si="70"/>
        <v>2227.1</v>
      </c>
      <c r="AH108" s="437">
        <f t="shared" si="71"/>
        <v>1613.5</v>
      </c>
      <c r="AI108" s="437">
        <f t="shared" si="72"/>
        <v>1387.4</v>
      </c>
      <c r="AJ108" s="437">
        <f t="shared" si="73"/>
        <v>1437.3</v>
      </c>
      <c r="AK108" s="437">
        <f t="shared" si="74"/>
        <v>1330.8</v>
      </c>
      <c r="AL108" s="437">
        <f t="shared" si="75"/>
        <v>1313.3</v>
      </c>
      <c r="AM108" s="437">
        <f t="shared" si="76"/>
        <v>2123.6</v>
      </c>
      <c r="AN108" s="437">
        <f t="shared" si="77"/>
        <v>2705.4</v>
      </c>
      <c r="AO108" s="438">
        <f t="shared" si="78"/>
        <v>2249.4250000000002</v>
      </c>
      <c r="AQ108" s="428">
        <v>2565.8000000000002</v>
      </c>
      <c r="AR108" s="429">
        <v>2409.6</v>
      </c>
      <c r="AS108" s="429">
        <v>1907.8</v>
      </c>
      <c r="AT108" s="429">
        <v>2568.1</v>
      </c>
      <c r="AU108" s="429">
        <v>1905.6</v>
      </c>
      <c r="AV108" s="429">
        <v>1695.5</v>
      </c>
      <c r="AW108" s="429">
        <v>1423.2727272727273</v>
      </c>
      <c r="AX108" s="429">
        <v>1684.3</v>
      </c>
      <c r="AY108" s="429">
        <v>1240.090909090909</v>
      </c>
      <c r="AZ108" s="429">
        <v>1604.7</v>
      </c>
      <c r="BA108" s="429">
        <v>2082.6999999999998</v>
      </c>
      <c r="BB108" s="429">
        <v>2201.5</v>
      </c>
      <c r="BC108" s="431">
        <v>1930.7622950819673</v>
      </c>
      <c r="BD108" s="428">
        <v>2716.6</v>
      </c>
      <c r="BE108" s="429">
        <v>2233.4</v>
      </c>
      <c r="BF108" s="429">
        <v>2829.9</v>
      </c>
      <c r="BG108" s="429">
        <v>2922.5</v>
      </c>
      <c r="BH108" s="429">
        <v>1661.8</v>
      </c>
      <c r="BI108" s="429">
        <v>1999.4</v>
      </c>
      <c r="BJ108" s="429">
        <v>1575.8</v>
      </c>
      <c r="BK108" s="429">
        <v>1666.7</v>
      </c>
      <c r="BL108" s="429">
        <v>1815.9</v>
      </c>
      <c r="BM108" s="429">
        <v>1513.2</v>
      </c>
      <c r="BN108" s="429">
        <v>2276.6</v>
      </c>
      <c r="BO108" s="429">
        <v>3227.4</v>
      </c>
      <c r="BP108" s="431">
        <v>2203.2666666666669</v>
      </c>
      <c r="BQ108" s="428">
        <v>3987.3</v>
      </c>
      <c r="BR108" s="429">
        <v>3011.2</v>
      </c>
      <c r="BS108" s="429">
        <v>3469.7</v>
      </c>
      <c r="BT108" s="429">
        <v>2386.5</v>
      </c>
      <c r="BU108" s="429">
        <v>2227.1</v>
      </c>
      <c r="BV108" s="429">
        <v>1613.5</v>
      </c>
      <c r="BW108" s="429">
        <v>1387.4</v>
      </c>
      <c r="BX108" s="429">
        <v>1437.3</v>
      </c>
      <c r="BY108" s="429">
        <v>1330.8</v>
      </c>
      <c r="BZ108" s="429">
        <v>1313.3</v>
      </c>
      <c r="CA108" s="429">
        <v>2123.6</v>
      </c>
      <c r="CB108" s="429">
        <v>2705.4</v>
      </c>
      <c r="CC108" s="431">
        <v>2249.4250000000002</v>
      </c>
    </row>
    <row r="109" spans="1:81">
      <c r="A109" s="420" t="s">
        <v>192</v>
      </c>
      <c r="B109" s="420" t="s">
        <v>178</v>
      </c>
      <c r="C109" s="436">
        <f t="shared" si="40"/>
        <v>13515</v>
      </c>
      <c r="D109" s="437">
        <f t="shared" si="41"/>
        <v>11465</v>
      </c>
      <c r="E109" s="437">
        <f t="shared" si="42"/>
        <v>10155</v>
      </c>
      <c r="F109" s="437">
        <f t="shared" si="43"/>
        <v>13710</v>
      </c>
      <c r="G109" s="437">
        <f t="shared" si="44"/>
        <v>11730</v>
      </c>
      <c r="H109" s="437">
        <f t="shared" si="45"/>
        <v>10465</v>
      </c>
      <c r="I109" s="437">
        <f t="shared" si="46"/>
        <v>14010</v>
      </c>
      <c r="J109" s="437">
        <f t="shared" si="47"/>
        <v>13815</v>
      </c>
      <c r="K109" s="437">
        <f t="shared" si="48"/>
        <v>10985</v>
      </c>
      <c r="L109" s="437">
        <f t="shared" si="49"/>
        <v>11250</v>
      </c>
      <c r="M109" s="437">
        <f t="shared" si="50"/>
        <v>12180</v>
      </c>
      <c r="N109" s="437">
        <f t="shared" si="51"/>
        <v>10880</v>
      </c>
      <c r="O109" s="438">
        <f t="shared" si="52"/>
        <v>12013.333333333334</v>
      </c>
      <c r="P109" s="439">
        <f t="shared" si="53"/>
        <v>12790</v>
      </c>
      <c r="Q109" s="437">
        <f t="shared" si="54"/>
        <v>10720</v>
      </c>
      <c r="R109" s="437">
        <f t="shared" si="55"/>
        <v>13415</v>
      </c>
      <c r="S109" s="437">
        <f t="shared" si="56"/>
        <v>11940</v>
      </c>
      <c r="T109" s="437">
        <f t="shared" si="57"/>
        <v>9565</v>
      </c>
      <c r="U109" s="437">
        <f t="shared" si="58"/>
        <v>11935</v>
      </c>
      <c r="V109" s="437">
        <f t="shared" si="59"/>
        <v>14270</v>
      </c>
      <c r="W109" s="437">
        <f t="shared" si="60"/>
        <v>14100</v>
      </c>
      <c r="X109" s="437">
        <f t="shared" si="61"/>
        <v>15235</v>
      </c>
      <c r="Y109" s="437">
        <f t="shared" si="62"/>
        <v>10515</v>
      </c>
      <c r="Z109" s="437">
        <f t="shared" si="63"/>
        <v>11170</v>
      </c>
      <c r="AA109" s="437">
        <f t="shared" si="64"/>
        <v>11465</v>
      </c>
      <c r="AB109" s="438">
        <f t="shared" si="65"/>
        <v>12260</v>
      </c>
      <c r="AC109" s="439">
        <f t="shared" si="66"/>
        <v>13185</v>
      </c>
      <c r="AD109" s="437">
        <f t="shared" si="67"/>
        <v>10930</v>
      </c>
      <c r="AE109" s="437">
        <f t="shared" si="68"/>
        <v>11395</v>
      </c>
      <c r="AF109" s="437">
        <f t="shared" si="69"/>
        <v>9715</v>
      </c>
      <c r="AG109" s="437">
        <f t="shared" si="70"/>
        <v>11160</v>
      </c>
      <c r="AH109" s="437">
        <f t="shared" si="71"/>
        <v>10595</v>
      </c>
      <c r="AI109" s="437">
        <f t="shared" si="72"/>
        <v>11430</v>
      </c>
      <c r="AJ109" s="437">
        <f t="shared" si="73"/>
        <v>15050</v>
      </c>
      <c r="AK109" s="437">
        <f t="shared" si="74"/>
        <v>13865</v>
      </c>
      <c r="AL109" s="437">
        <f t="shared" si="75"/>
        <v>10775</v>
      </c>
      <c r="AM109" s="437">
        <f t="shared" si="76"/>
        <v>10455</v>
      </c>
      <c r="AN109" s="437">
        <f t="shared" si="77"/>
        <v>9295</v>
      </c>
      <c r="AO109" s="438">
        <f t="shared" si="78"/>
        <v>11487.5</v>
      </c>
      <c r="AQ109" s="428">
        <v>13515</v>
      </c>
      <c r="AR109" s="429">
        <v>11465</v>
      </c>
      <c r="AS109" s="429">
        <v>10155</v>
      </c>
      <c r="AT109" s="429">
        <v>13710</v>
      </c>
      <c r="AU109" s="429">
        <v>11730</v>
      </c>
      <c r="AV109" s="429">
        <v>10465</v>
      </c>
      <c r="AW109" s="429">
        <v>14010</v>
      </c>
      <c r="AX109" s="429">
        <v>13815</v>
      </c>
      <c r="AY109" s="429">
        <v>10985</v>
      </c>
      <c r="AZ109" s="429">
        <v>11250</v>
      </c>
      <c r="BA109" s="429">
        <v>12180</v>
      </c>
      <c r="BB109" s="429">
        <v>10880</v>
      </c>
      <c r="BC109" s="431">
        <v>12013.333333333334</v>
      </c>
      <c r="BD109" s="428">
        <v>12790</v>
      </c>
      <c r="BE109" s="429">
        <v>10720</v>
      </c>
      <c r="BF109" s="429">
        <v>13415</v>
      </c>
      <c r="BG109" s="429">
        <v>11940</v>
      </c>
      <c r="BH109" s="429">
        <v>9565</v>
      </c>
      <c r="BI109" s="429">
        <v>11935</v>
      </c>
      <c r="BJ109" s="429">
        <v>14270</v>
      </c>
      <c r="BK109" s="429">
        <v>14100</v>
      </c>
      <c r="BL109" s="429">
        <v>15235</v>
      </c>
      <c r="BM109" s="429">
        <v>10515</v>
      </c>
      <c r="BN109" s="429">
        <v>11170</v>
      </c>
      <c r="BO109" s="429">
        <v>11465</v>
      </c>
      <c r="BP109" s="431">
        <v>12260</v>
      </c>
      <c r="BQ109" s="428">
        <v>13185</v>
      </c>
      <c r="BR109" s="429">
        <v>10930</v>
      </c>
      <c r="BS109" s="429">
        <v>11395</v>
      </c>
      <c r="BT109" s="429">
        <v>9715</v>
      </c>
      <c r="BU109" s="429">
        <v>11160</v>
      </c>
      <c r="BV109" s="429">
        <v>10595</v>
      </c>
      <c r="BW109" s="429">
        <v>11430</v>
      </c>
      <c r="BX109" s="429">
        <v>15050</v>
      </c>
      <c r="BY109" s="429">
        <v>13865</v>
      </c>
      <c r="BZ109" s="429">
        <v>10775</v>
      </c>
      <c r="CA109" s="429">
        <v>10455</v>
      </c>
      <c r="CB109" s="429">
        <v>9295</v>
      </c>
      <c r="CC109" s="431">
        <v>11487.5</v>
      </c>
    </row>
    <row r="110" spans="1:81">
      <c r="A110" s="420" t="s">
        <v>192</v>
      </c>
      <c r="B110" s="420" t="s">
        <v>179</v>
      </c>
      <c r="C110" s="436">
        <f t="shared" si="40"/>
        <v>0</v>
      </c>
      <c r="D110" s="437">
        <f t="shared" si="41"/>
        <v>0</v>
      </c>
      <c r="E110" s="437">
        <f t="shared" si="42"/>
        <v>0</v>
      </c>
      <c r="F110" s="437">
        <f t="shared" si="43"/>
        <v>0</v>
      </c>
      <c r="G110" s="437">
        <f t="shared" si="44"/>
        <v>0</v>
      </c>
      <c r="H110" s="437">
        <f t="shared" si="45"/>
        <v>0</v>
      </c>
      <c r="I110" s="437">
        <f t="shared" si="46"/>
        <v>0</v>
      </c>
      <c r="J110" s="437">
        <f t="shared" si="47"/>
        <v>0</v>
      </c>
      <c r="K110" s="437">
        <f t="shared" si="48"/>
        <v>0</v>
      </c>
      <c r="L110" s="437">
        <f t="shared" si="49"/>
        <v>0</v>
      </c>
      <c r="M110" s="437">
        <f t="shared" si="50"/>
        <v>0</v>
      </c>
      <c r="N110" s="437">
        <f t="shared" si="51"/>
        <v>0</v>
      </c>
      <c r="O110" s="438">
        <f t="shared" si="52"/>
        <v>0</v>
      </c>
      <c r="P110" s="439">
        <f t="shared" si="53"/>
        <v>0</v>
      </c>
      <c r="Q110" s="437">
        <f t="shared" si="54"/>
        <v>0</v>
      </c>
      <c r="R110" s="437">
        <f t="shared" si="55"/>
        <v>0</v>
      </c>
      <c r="S110" s="437">
        <f t="shared" si="56"/>
        <v>0</v>
      </c>
      <c r="T110" s="437">
        <f t="shared" si="57"/>
        <v>0</v>
      </c>
      <c r="U110" s="437">
        <f t="shared" si="58"/>
        <v>0</v>
      </c>
      <c r="V110" s="437">
        <f t="shared" si="59"/>
        <v>0</v>
      </c>
      <c r="W110" s="437">
        <f t="shared" si="60"/>
        <v>0</v>
      </c>
      <c r="X110" s="437">
        <f t="shared" si="61"/>
        <v>0</v>
      </c>
      <c r="Y110" s="437">
        <f t="shared" si="62"/>
        <v>0</v>
      </c>
      <c r="Z110" s="437">
        <f t="shared" si="63"/>
        <v>0</v>
      </c>
      <c r="AA110" s="437">
        <f t="shared" si="64"/>
        <v>0</v>
      </c>
      <c r="AB110" s="438">
        <f t="shared" si="65"/>
        <v>0</v>
      </c>
      <c r="AC110" s="439">
        <f t="shared" si="66"/>
        <v>0</v>
      </c>
      <c r="AD110" s="437">
        <f t="shared" si="67"/>
        <v>0</v>
      </c>
      <c r="AE110" s="437">
        <f t="shared" si="68"/>
        <v>0</v>
      </c>
      <c r="AF110" s="437">
        <f t="shared" si="69"/>
        <v>0</v>
      </c>
      <c r="AG110" s="437">
        <f t="shared" si="70"/>
        <v>0</v>
      </c>
      <c r="AH110" s="437">
        <f t="shared" si="71"/>
        <v>0</v>
      </c>
      <c r="AI110" s="437">
        <f t="shared" si="72"/>
        <v>0</v>
      </c>
      <c r="AJ110" s="437">
        <f t="shared" si="73"/>
        <v>0</v>
      </c>
      <c r="AK110" s="437">
        <f t="shared" si="74"/>
        <v>0</v>
      </c>
      <c r="AL110" s="437">
        <f t="shared" si="75"/>
        <v>0</v>
      </c>
      <c r="AM110" s="437">
        <f t="shared" si="76"/>
        <v>0</v>
      </c>
      <c r="AN110" s="437">
        <f t="shared" si="77"/>
        <v>0</v>
      </c>
      <c r="AO110" s="438">
        <f t="shared" si="78"/>
        <v>0</v>
      </c>
      <c r="AQ110" s="428">
        <v>0</v>
      </c>
      <c r="AR110" s="429">
        <v>0</v>
      </c>
      <c r="AS110" s="429">
        <v>0</v>
      </c>
      <c r="AT110" s="429">
        <v>0</v>
      </c>
      <c r="AU110" s="429">
        <v>0</v>
      </c>
      <c r="AV110" s="429">
        <v>0</v>
      </c>
      <c r="AW110" s="429">
        <v>0</v>
      </c>
      <c r="AX110" s="429">
        <v>0</v>
      </c>
      <c r="AY110" s="429">
        <v>0</v>
      </c>
      <c r="AZ110" s="429">
        <v>0</v>
      </c>
      <c r="BA110" s="429">
        <v>0</v>
      </c>
      <c r="BB110" s="429">
        <v>0</v>
      </c>
      <c r="BC110" s="431">
        <v>0</v>
      </c>
      <c r="BD110" s="428">
        <v>0</v>
      </c>
      <c r="BE110" s="429">
        <v>0</v>
      </c>
      <c r="BF110" s="429">
        <v>0</v>
      </c>
      <c r="BG110" s="429">
        <v>0</v>
      </c>
      <c r="BH110" s="429">
        <v>0</v>
      </c>
      <c r="BI110" s="429">
        <v>0</v>
      </c>
      <c r="BJ110" s="429">
        <v>0</v>
      </c>
      <c r="BK110" s="429">
        <v>0</v>
      </c>
      <c r="BL110" s="429">
        <v>0</v>
      </c>
      <c r="BM110" s="429">
        <v>0</v>
      </c>
      <c r="BN110" s="429">
        <v>0</v>
      </c>
      <c r="BO110" s="429">
        <v>0</v>
      </c>
      <c r="BP110" s="431">
        <v>0</v>
      </c>
      <c r="BQ110" s="428">
        <v>0</v>
      </c>
      <c r="BR110" s="429">
        <v>0</v>
      </c>
      <c r="BS110" s="429">
        <v>0</v>
      </c>
      <c r="BT110" s="429">
        <v>0</v>
      </c>
      <c r="BU110" s="429">
        <v>0</v>
      </c>
      <c r="BV110" s="429">
        <v>0</v>
      </c>
      <c r="BW110" s="429">
        <v>0</v>
      </c>
      <c r="BX110" s="429">
        <v>0</v>
      </c>
      <c r="BY110" s="429">
        <v>0</v>
      </c>
      <c r="BZ110" s="429">
        <v>0</v>
      </c>
      <c r="CA110" s="429">
        <v>0</v>
      </c>
      <c r="CB110" s="429">
        <v>0</v>
      </c>
      <c r="CC110" s="431">
        <v>0</v>
      </c>
    </row>
    <row r="111" spans="1:81">
      <c r="A111" s="420" t="s">
        <v>192</v>
      </c>
      <c r="B111" s="420" t="s">
        <v>180</v>
      </c>
      <c r="C111" s="436">
        <f t="shared" si="40"/>
        <v>547.75</v>
      </c>
      <c r="D111" s="437">
        <f t="shared" si="41"/>
        <v>590</v>
      </c>
      <c r="E111" s="437">
        <f t="shared" si="42"/>
        <v>523.5</v>
      </c>
      <c r="F111" s="437">
        <f t="shared" si="43"/>
        <v>708.5</v>
      </c>
      <c r="G111" s="437">
        <f t="shared" si="44"/>
        <v>442.25</v>
      </c>
      <c r="H111" s="437">
        <f t="shared" si="45"/>
        <v>383.75</v>
      </c>
      <c r="I111" s="437">
        <f t="shared" si="46"/>
        <v>458.5</v>
      </c>
      <c r="J111" s="437">
        <f t="shared" si="47"/>
        <v>459.75</v>
      </c>
      <c r="K111" s="437">
        <f t="shared" si="48"/>
        <v>412.75</v>
      </c>
      <c r="L111" s="437">
        <f t="shared" si="49"/>
        <v>342</v>
      </c>
      <c r="M111" s="437">
        <f t="shared" si="50"/>
        <v>502.75</v>
      </c>
      <c r="N111" s="437">
        <f t="shared" si="51"/>
        <v>560.25</v>
      </c>
      <c r="O111" s="438">
        <f t="shared" si="52"/>
        <v>494.3125</v>
      </c>
      <c r="P111" s="439">
        <f t="shared" si="53"/>
        <v>585.75</v>
      </c>
      <c r="Q111" s="437">
        <f t="shared" si="54"/>
        <v>549.25</v>
      </c>
      <c r="R111" s="437">
        <f t="shared" si="55"/>
        <v>644.25</v>
      </c>
      <c r="S111" s="437">
        <f t="shared" si="56"/>
        <v>620.75</v>
      </c>
      <c r="T111" s="437">
        <f t="shared" si="57"/>
        <v>462</v>
      </c>
      <c r="U111" s="437">
        <f t="shared" si="58"/>
        <v>642.75</v>
      </c>
      <c r="V111" s="437">
        <f t="shared" si="59"/>
        <v>487</v>
      </c>
      <c r="W111" s="437">
        <f t="shared" si="60"/>
        <v>422</v>
      </c>
      <c r="X111" s="437">
        <f t="shared" si="61"/>
        <v>568.25</v>
      </c>
      <c r="Y111" s="437">
        <f t="shared" si="62"/>
        <v>544.75</v>
      </c>
      <c r="Z111" s="437">
        <f t="shared" si="63"/>
        <v>764.75</v>
      </c>
      <c r="AA111" s="437">
        <f t="shared" si="64"/>
        <v>897.5</v>
      </c>
      <c r="AB111" s="438">
        <f t="shared" si="65"/>
        <v>599.08333333333337</v>
      </c>
      <c r="AC111" s="439">
        <f t="shared" si="66"/>
        <v>1129.75</v>
      </c>
      <c r="AD111" s="437">
        <f t="shared" si="67"/>
        <v>973.25</v>
      </c>
      <c r="AE111" s="437">
        <f t="shared" si="68"/>
        <v>1197</v>
      </c>
      <c r="AF111" s="437">
        <f t="shared" si="69"/>
        <v>910</v>
      </c>
      <c r="AG111" s="437">
        <f t="shared" si="70"/>
        <v>755.75</v>
      </c>
      <c r="AH111" s="437">
        <f t="shared" si="71"/>
        <v>646.25</v>
      </c>
      <c r="AI111" s="437">
        <f t="shared" si="72"/>
        <v>582.25</v>
      </c>
      <c r="AJ111" s="437">
        <f t="shared" si="73"/>
        <v>447.25</v>
      </c>
      <c r="AK111" s="437">
        <f t="shared" si="74"/>
        <v>460.25</v>
      </c>
      <c r="AL111" s="437">
        <f t="shared" si="75"/>
        <v>572.5</v>
      </c>
      <c r="AM111" s="437">
        <f t="shared" si="76"/>
        <v>580.5</v>
      </c>
      <c r="AN111" s="437">
        <f t="shared" si="77"/>
        <v>680</v>
      </c>
      <c r="AO111" s="438">
        <f t="shared" si="78"/>
        <v>744.5625</v>
      </c>
      <c r="AQ111" s="428">
        <v>547.75</v>
      </c>
      <c r="AR111" s="429">
        <v>590</v>
      </c>
      <c r="AS111" s="429">
        <v>523.5</v>
      </c>
      <c r="AT111" s="429">
        <v>708.5</v>
      </c>
      <c r="AU111" s="429">
        <v>442.25</v>
      </c>
      <c r="AV111" s="429">
        <v>383.75</v>
      </c>
      <c r="AW111" s="429">
        <v>458.5</v>
      </c>
      <c r="AX111" s="429">
        <v>459.75</v>
      </c>
      <c r="AY111" s="429">
        <v>412.75</v>
      </c>
      <c r="AZ111" s="429">
        <v>342</v>
      </c>
      <c r="BA111" s="429">
        <v>502.75</v>
      </c>
      <c r="BB111" s="429">
        <v>560.25</v>
      </c>
      <c r="BC111" s="431">
        <v>494.3125</v>
      </c>
      <c r="BD111" s="428">
        <v>585.75</v>
      </c>
      <c r="BE111" s="429">
        <v>549.25</v>
      </c>
      <c r="BF111" s="429">
        <v>644.25</v>
      </c>
      <c r="BG111" s="429">
        <v>620.75</v>
      </c>
      <c r="BH111" s="429">
        <v>462</v>
      </c>
      <c r="BI111" s="429">
        <v>642.75</v>
      </c>
      <c r="BJ111" s="429">
        <v>487</v>
      </c>
      <c r="BK111" s="429">
        <v>422</v>
      </c>
      <c r="BL111" s="429">
        <v>568.25</v>
      </c>
      <c r="BM111" s="429">
        <v>544.75</v>
      </c>
      <c r="BN111" s="429">
        <v>764.75</v>
      </c>
      <c r="BO111" s="429">
        <v>897.5</v>
      </c>
      <c r="BP111" s="431">
        <v>599.08333333333337</v>
      </c>
      <c r="BQ111" s="428">
        <v>1129.75</v>
      </c>
      <c r="BR111" s="429">
        <v>973.25</v>
      </c>
      <c r="BS111" s="429">
        <v>1197</v>
      </c>
      <c r="BT111" s="429">
        <v>910</v>
      </c>
      <c r="BU111" s="429">
        <v>755.75</v>
      </c>
      <c r="BV111" s="429">
        <v>646.25</v>
      </c>
      <c r="BW111" s="429">
        <v>582.25</v>
      </c>
      <c r="BX111" s="429">
        <v>447.25</v>
      </c>
      <c r="BY111" s="429">
        <v>460.25</v>
      </c>
      <c r="BZ111" s="429">
        <v>572.5</v>
      </c>
      <c r="CA111" s="429">
        <v>580.5</v>
      </c>
      <c r="CB111" s="429">
        <v>680</v>
      </c>
      <c r="CC111" s="431">
        <v>744.5625</v>
      </c>
    </row>
    <row r="112" spans="1:81">
      <c r="A112" s="420" t="s">
        <v>192</v>
      </c>
      <c r="B112" s="420" t="s">
        <v>181</v>
      </c>
      <c r="C112" s="436">
        <f t="shared" si="40"/>
        <v>0</v>
      </c>
      <c r="D112" s="437">
        <f t="shared" si="41"/>
        <v>0</v>
      </c>
      <c r="E112" s="437">
        <f t="shared" si="42"/>
        <v>0</v>
      </c>
      <c r="F112" s="437">
        <f t="shared" si="43"/>
        <v>0</v>
      </c>
      <c r="G112" s="437">
        <f t="shared" si="44"/>
        <v>0</v>
      </c>
      <c r="H112" s="437">
        <f t="shared" si="45"/>
        <v>0</v>
      </c>
      <c r="I112" s="437">
        <f t="shared" si="46"/>
        <v>0</v>
      </c>
      <c r="J112" s="437">
        <f t="shared" si="47"/>
        <v>0</v>
      </c>
      <c r="K112" s="437">
        <f t="shared" si="48"/>
        <v>0</v>
      </c>
      <c r="L112" s="437">
        <f t="shared" si="49"/>
        <v>0</v>
      </c>
      <c r="M112" s="437">
        <f t="shared" si="50"/>
        <v>0</v>
      </c>
      <c r="N112" s="437">
        <f t="shared" si="51"/>
        <v>0</v>
      </c>
      <c r="O112" s="438">
        <f t="shared" si="52"/>
        <v>0</v>
      </c>
      <c r="P112" s="439">
        <f t="shared" si="53"/>
        <v>0</v>
      </c>
      <c r="Q112" s="437">
        <f t="shared" si="54"/>
        <v>0</v>
      </c>
      <c r="R112" s="437">
        <f t="shared" si="55"/>
        <v>0</v>
      </c>
      <c r="S112" s="437">
        <f t="shared" si="56"/>
        <v>0</v>
      </c>
      <c r="T112" s="437">
        <f t="shared" si="57"/>
        <v>0</v>
      </c>
      <c r="U112" s="437">
        <f t="shared" si="58"/>
        <v>0</v>
      </c>
      <c r="V112" s="437">
        <f t="shared" si="59"/>
        <v>0</v>
      </c>
      <c r="W112" s="437">
        <f t="shared" si="60"/>
        <v>0</v>
      </c>
      <c r="X112" s="437">
        <f t="shared" si="61"/>
        <v>0</v>
      </c>
      <c r="Y112" s="437">
        <f t="shared" si="62"/>
        <v>0</v>
      </c>
      <c r="Z112" s="437">
        <f t="shared" si="63"/>
        <v>0</v>
      </c>
      <c r="AA112" s="437">
        <f t="shared" si="64"/>
        <v>0</v>
      </c>
      <c r="AB112" s="438">
        <f t="shared" si="65"/>
        <v>0</v>
      </c>
      <c r="AC112" s="439">
        <f t="shared" si="66"/>
        <v>0</v>
      </c>
      <c r="AD112" s="437">
        <f t="shared" si="67"/>
        <v>0</v>
      </c>
      <c r="AE112" s="437">
        <f t="shared" si="68"/>
        <v>0</v>
      </c>
      <c r="AF112" s="437">
        <f t="shared" si="69"/>
        <v>0</v>
      </c>
      <c r="AG112" s="437">
        <f t="shared" si="70"/>
        <v>0</v>
      </c>
      <c r="AH112" s="437">
        <f t="shared" si="71"/>
        <v>0</v>
      </c>
      <c r="AI112" s="437">
        <f t="shared" si="72"/>
        <v>0</v>
      </c>
      <c r="AJ112" s="437">
        <f t="shared" si="73"/>
        <v>0</v>
      </c>
      <c r="AK112" s="437">
        <f t="shared" si="74"/>
        <v>0</v>
      </c>
      <c r="AL112" s="437">
        <f t="shared" si="75"/>
        <v>0</v>
      </c>
      <c r="AM112" s="437">
        <f t="shared" si="76"/>
        <v>0</v>
      </c>
      <c r="AN112" s="437">
        <f t="shared" si="77"/>
        <v>0</v>
      </c>
      <c r="AO112" s="438">
        <f t="shared" si="78"/>
        <v>0</v>
      </c>
      <c r="AQ112" s="428">
        <v>0</v>
      </c>
      <c r="AR112" s="429">
        <v>0</v>
      </c>
      <c r="AS112" s="429">
        <v>0</v>
      </c>
      <c r="AT112" s="429">
        <v>0</v>
      </c>
      <c r="AU112" s="429">
        <v>0</v>
      </c>
      <c r="AV112" s="429">
        <v>0</v>
      </c>
      <c r="AW112" s="429">
        <v>0</v>
      </c>
      <c r="AX112" s="429">
        <v>0</v>
      </c>
      <c r="AY112" s="429">
        <v>0</v>
      </c>
      <c r="AZ112" s="429">
        <v>0</v>
      </c>
      <c r="BA112" s="429">
        <v>0</v>
      </c>
      <c r="BB112" s="429">
        <v>0</v>
      </c>
      <c r="BC112" s="431">
        <v>0</v>
      </c>
      <c r="BD112" s="428">
        <v>0</v>
      </c>
      <c r="BE112" s="429">
        <v>0</v>
      </c>
      <c r="BF112" s="429">
        <v>0</v>
      </c>
      <c r="BG112" s="429">
        <v>0</v>
      </c>
      <c r="BH112" s="429">
        <v>0</v>
      </c>
      <c r="BI112" s="429">
        <v>0</v>
      </c>
      <c r="BJ112" s="429">
        <v>0</v>
      </c>
      <c r="BK112" s="429">
        <v>0</v>
      </c>
      <c r="BL112" s="429">
        <v>0</v>
      </c>
      <c r="BM112" s="429">
        <v>0</v>
      </c>
      <c r="BN112" s="429">
        <v>0</v>
      </c>
      <c r="BO112" s="429">
        <v>0</v>
      </c>
      <c r="BP112" s="431">
        <v>0</v>
      </c>
      <c r="BQ112" s="428">
        <v>0</v>
      </c>
      <c r="BR112" s="429">
        <v>0</v>
      </c>
      <c r="BS112" s="429">
        <v>0</v>
      </c>
      <c r="BT112" s="429">
        <v>0</v>
      </c>
      <c r="BU112" s="429">
        <v>0</v>
      </c>
      <c r="BV112" s="429">
        <v>0</v>
      </c>
      <c r="BW112" s="429">
        <v>0</v>
      </c>
      <c r="BX112" s="429">
        <v>0</v>
      </c>
      <c r="BY112" s="429">
        <v>0</v>
      </c>
      <c r="BZ112" s="429">
        <v>0</v>
      </c>
      <c r="CA112" s="429">
        <v>0</v>
      </c>
      <c r="CB112" s="429">
        <v>0</v>
      </c>
      <c r="CC112" s="431">
        <v>0</v>
      </c>
    </row>
    <row r="113" spans="1:81">
      <c r="A113" s="420" t="s">
        <v>192</v>
      </c>
      <c r="B113" s="420" t="s">
        <v>182</v>
      </c>
      <c r="C113" s="436">
        <f t="shared" si="40"/>
        <v>3806.5</v>
      </c>
      <c r="D113" s="437">
        <f t="shared" si="41"/>
        <v>4221</v>
      </c>
      <c r="E113" s="437">
        <f t="shared" si="42"/>
        <v>3349.0714285714284</v>
      </c>
      <c r="F113" s="437">
        <f t="shared" si="43"/>
        <v>4785.7142857142853</v>
      </c>
      <c r="G113" s="437">
        <f t="shared" si="44"/>
        <v>3556.0714285714284</v>
      </c>
      <c r="H113" s="437">
        <f t="shared" si="45"/>
        <v>2639.7142857142858</v>
      </c>
      <c r="I113" s="437">
        <f t="shared" si="46"/>
        <v>2792.0714285714284</v>
      </c>
      <c r="J113" s="437">
        <f t="shared" si="47"/>
        <v>2676</v>
      </c>
      <c r="K113" s="437">
        <f t="shared" si="48"/>
        <v>2457.1538461538462</v>
      </c>
      <c r="L113" s="437">
        <f t="shared" si="49"/>
        <v>2979.6923076923076</v>
      </c>
      <c r="M113" s="437">
        <f t="shared" si="50"/>
        <v>4142.2307692307695</v>
      </c>
      <c r="N113" s="437">
        <f t="shared" si="51"/>
        <v>5045.4615384615381</v>
      </c>
      <c r="O113" s="438">
        <f t="shared" si="52"/>
        <v>3539.9325153374234</v>
      </c>
      <c r="P113" s="439">
        <f t="shared" si="53"/>
        <v>4809.2307692307695</v>
      </c>
      <c r="Q113" s="437">
        <f t="shared" si="54"/>
        <v>4024.5384615384614</v>
      </c>
      <c r="R113" s="437">
        <f t="shared" si="55"/>
        <v>4287.9333333333334</v>
      </c>
      <c r="S113" s="437">
        <f t="shared" si="56"/>
        <v>4182</v>
      </c>
      <c r="T113" s="437">
        <f t="shared" si="57"/>
        <v>3045.7857142857142</v>
      </c>
      <c r="U113" s="437">
        <f t="shared" si="58"/>
        <v>3854.75</v>
      </c>
      <c r="V113" s="437">
        <f t="shared" si="59"/>
        <v>2769.9166666666665</v>
      </c>
      <c r="W113" s="437">
        <f t="shared" si="60"/>
        <v>2887.75</v>
      </c>
      <c r="X113" s="437">
        <f t="shared" si="61"/>
        <v>2482.4285714285716</v>
      </c>
      <c r="Y113" s="437">
        <f t="shared" si="62"/>
        <v>2448.9230769230771</v>
      </c>
      <c r="Z113" s="437">
        <f t="shared" si="63"/>
        <v>2903.0769230769229</v>
      </c>
      <c r="AA113" s="437">
        <f t="shared" si="64"/>
        <v>4183.181818181818</v>
      </c>
      <c r="AB113" s="438">
        <f t="shared" si="65"/>
        <v>3488.1225806451612</v>
      </c>
      <c r="AC113" s="439">
        <f t="shared" si="66"/>
        <v>5388.363636363636</v>
      </c>
      <c r="AD113" s="437">
        <f t="shared" si="67"/>
        <v>4355.363636363636</v>
      </c>
      <c r="AE113" s="437">
        <f t="shared" si="68"/>
        <v>4621.166666666667</v>
      </c>
      <c r="AF113" s="437">
        <f t="shared" si="69"/>
        <v>3990.8333333333335</v>
      </c>
      <c r="AG113" s="437">
        <f t="shared" si="70"/>
        <v>3953.25</v>
      </c>
      <c r="AH113" s="437">
        <f t="shared" si="71"/>
        <v>3278.5</v>
      </c>
      <c r="AI113" s="437">
        <f t="shared" si="72"/>
        <v>2727.5833333333335</v>
      </c>
      <c r="AJ113" s="437">
        <f t="shared" si="73"/>
        <v>2979.1666666666665</v>
      </c>
      <c r="AK113" s="437">
        <f t="shared" si="74"/>
        <v>2557.5833333333335</v>
      </c>
      <c r="AL113" s="437">
        <f t="shared" si="75"/>
        <v>2986.1666666666665</v>
      </c>
      <c r="AM113" s="437">
        <f t="shared" si="76"/>
        <v>3519.2307692307691</v>
      </c>
      <c r="AN113" s="437">
        <f t="shared" si="77"/>
        <v>4455.166666666667</v>
      </c>
      <c r="AO113" s="438">
        <f t="shared" si="78"/>
        <v>3716.951048951049</v>
      </c>
      <c r="AQ113" s="428">
        <v>3806.5</v>
      </c>
      <c r="AR113" s="429">
        <v>4221</v>
      </c>
      <c r="AS113" s="429">
        <v>3349.0714285714284</v>
      </c>
      <c r="AT113" s="429">
        <v>4785.7142857142853</v>
      </c>
      <c r="AU113" s="429">
        <v>3556.0714285714284</v>
      </c>
      <c r="AV113" s="429">
        <v>2639.7142857142858</v>
      </c>
      <c r="AW113" s="429">
        <v>2792.0714285714284</v>
      </c>
      <c r="AX113" s="429">
        <v>2676</v>
      </c>
      <c r="AY113" s="429">
        <v>2457.1538461538462</v>
      </c>
      <c r="AZ113" s="429">
        <v>2979.6923076923076</v>
      </c>
      <c r="BA113" s="429">
        <v>4142.2307692307695</v>
      </c>
      <c r="BB113" s="429">
        <v>5045.4615384615381</v>
      </c>
      <c r="BC113" s="431">
        <v>3539.9325153374234</v>
      </c>
      <c r="BD113" s="428">
        <v>4809.2307692307695</v>
      </c>
      <c r="BE113" s="429">
        <v>4024.5384615384614</v>
      </c>
      <c r="BF113" s="429">
        <v>4287.9333333333334</v>
      </c>
      <c r="BG113" s="429">
        <v>4182</v>
      </c>
      <c r="BH113" s="429">
        <v>3045.7857142857142</v>
      </c>
      <c r="BI113" s="429">
        <v>3854.75</v>
      </c>
      <c r="BJ113" s="429">
        <v>2769.9166666666665</v>
      </c>
      <c r="BK113" s="429">
        <v>2887.75</v>
      </c>
      <c r="BL113" s="429">
        <v>2482.4285714285716</v>
      </c>
      <c r="BM113" s="429">
        <v>2448.9230769230771</v>
      </c>
      <c r="BN113" s="429">
        <v>2903.0769230769229</v>
      </c>
      <c r="BO113" s="429">
        <v>4183.181818181818</v>
      </c>
      <c r="BP113" s="431">
        <v>3488.1225806451612</v>
      </c>
      <c r="BQ113" s="428">
        <v>5388.363636363636</v>
      </c>
      <c r="BR113" s="429">
        <v>4355.363636363636</v>
      </c>
      <c r="BS113" s="429">
        <v>4621.166666666667</v>
      </c>
      <c r="BT113" s="429">
        <v>3990.8333333333335</v>
      </c>
      <c r="BU113" s="429">
        <v>3953.25</v>
      </c>
      <c r="BV113" s="429">
        <v>3278.5</v>
      </c>
      <c r="BW113" s="429">
        <v>2727.5833333333335</v>
      </c>
      <c r="BX113" s="429">
        <v>2979.1666666666665</v>
      </c>
      <c r="BY113" s="429">
        <v>2557.5833333333335</v>
      </c>
      <c r="BZ113" s="429">
        <v>2986.1666666666665</v>
      </c>
      <c r="CA113" s="429">
        <v>3519.2307692307691</v>
      </c>
      <c r="CB113" s="429">
        <v>4455.166666666667</v>
      </c>
      <c r="CC113" s="431">
        <v>3716.951048951049</v>
      </c>
    </row>
    <row r="114" spans="1:81">
      <c r="A114" s="420" t="s">
        <v>192</v>
      </c>
      <c r="B114" s="420" t="s">
        <v>183</v>
      </c>
      <c r="C114" s="436">
        <f t="shared" si="40"/>
        <v>0</v>
      </c>
      <c r="D114" s="437">
        <f t="shared" si="41"/>
        <v>0</v>
      </c>
      <c r="E114" s="437">
        <f t="shared" si="42"/>
        <v>0</v>
      </c>
      <c r="F114" s="437">
        <f t="shared" si="43"/>
        <v>0</v>
      </c>
      <c r="G114" s="437">
        <f t="shared" si="44"/>
        <v>0</v>
      </c>
      <c r="H114" s="437">
        <f t="shared" si="45"/>
        <v>0</v>
      </c>
      <c r="I114" s="437">
        <f t="shared" si="46"/>
        <v>0</v>
      </c>
      <c r="J114" s="437">
        <f t="shared" si="47"/>
        <v>0</v>
      </c>
      <c r="K114" s="437">
        <f t="shared" si="48"/>
        <v>0</v>
      </c>
      <c r="L114" s="437">
        <f t="shared" si="49"/>
        <v>0</v>
      </c>
      <c r="M114" s="437">
        <f t="shared" si="50"/>
        <v>0</v>
      </c>
      <c r="N114" s="437">
        <f t="shared" si="51"/>
        <v>0</v>
      </c>
      <c r="O114" s="438">
        <f t="shared" si="52"/>
        <v>0</v>
      </c>
      <c r="P114" s="439">
        <f t="shared" si="53"/>
        <v>0</v>
      </c>
      <c r="Q114" s="437">
        <f t="shared" si="54"/>
        <v>0</v>
      </c>
      <c r="R114" s="437">
        <f t="shared" si="55"/>
        <v>0</v>
      </c>
      <c r="S114" s="437">
        <f t="shared" si="56"/>
        <v>0</v>
      </c>
      <c r="T114" s="437">
        <f t="shared" si="57"/>
        <v>0</v>
      </c>
      <c r="U114" s="437">
        <f t="shared" si="58"/>
        <v>0</v>
      </c>
      <c r="V114" s="437">
        <f t="shared" si="59"/>
        <v>0</v>
      </c>
      <c r="W114" s="437">
        <f t="shared" si="60"/>
        <v>0</v>
      </c>
      <c r="X114" s="437">
        <f t="shared" si="61"/>
        <v>0</v>
      </c>
      <c r="Y114" s="437">
        <f t="shared" si="62"/>
        <v>0</v>
      </c>
      <c r="Z114" s="437">
        <f t="shared" si="63"/>
        <v>0</v>
      </c>
      <c r="AA114" s="437">
        <f t="shared" si="64"/>
        <v>0</v>
      </c>
      <c r="AB114" s="438">
        <f t="shared" si="65"/>
        <v>0</v>
      </c>
      <c r="AC114" s="439">
        <f t="shared" si="66"/>
        <v>0</v>
      </c>
      <c r="AD114" s="437">
        <f t="shared" si="67"/>
        <v>0</v>
      </c>
      <c r="AE114" s="437">
        <f t="shared" si="68"/>
        <v>0</v>
      </c>
      <c r="AF114" s="437">
        <f t="shared" si="69"/>
        <v>0</v>
      </c>
      <c r="AG114" s="437">
        <f t="shared" si="70"/>
        <v>0</v>
      </c>
      <c r="AH114" s="437">
        <f t="shared" si="71"/>
        <v>0</v>
      </c>
      <c r="AI114" s="437">
        <f t="shared" si="72"/>
        <v>0</v>
      </c>
      <c r="AJ114" s="437">
        <f t="shared" si="73"/>
        <v>0</v>
      </c>
      <c r="AK114" s="437">
        <f t="shared" si="74"/>
        <v>0</v>
      </c>
      <c r="AL114" s="437">
        <f t="shared" si="75"/>
        <v>0</v>
      </c>
      <c r="AM114" s="437">
        <f t="shared" si="76"/>
        <v>0</v>
      </c>
      <c r="AN114" s="437">
        <f t="shared" si="77"/>
        <v>0</v>
      </c>
      <c r="AO114" s="438">
        <f t="shared" si="78"/>
        <v>0</v>
      </c>
      <c r="AQ114" s="428">
        <v>0</v>
      </c>
      <c r="AR114" s="429">
        <v>0</v>
      </c>
      <c r="AS114" s="429">
        <v>0</v>
      </c>
      <c r="AT114" s="429">
        <v>0</v>
      </c>
      <c r="AU114" s="429">
        <v>0</v>
      </c>
      <c r="AV114" s="429">
        <v>0</v>
      </c>
      <c r="AW114" s="429">
        <v>0</v>
      </c>
      <c r="AX114" s="429">
        <v>0</v>
      </c>
      <c r="AY114" s="429">
        <v>0</v>
      </c>
      <c r="AZ114" s="429">
        <v>0</v>
      </c>
      <c r="BA114" s="429">
        <v>0</v>
      </c>
      <c r="BB114" s="429">
        <v>0</v>
      </c>
      <c r="BC114" s="431">
        <v>0</v>
      </c>
      <c r="BD114" s="428">
        <v>0</v>
      </c>
      <c r="BE114" s="429">
        <v>0</v>
      </c>
      <c r="BF114" s="429">
        <v>0</v>
      </c>
      <c r="BG114" s="429">
        <v>0</v>
      </c>
      <c r="BH114" s="429">
        <v>0</v>
      </c>
      <c r="BI114" s="429">
        <v>0</v>
      </c>
      <c r="BJ114" s="429">
        <v>0</v>
      </c>
      <c r="BK114" s="429">
        <v>0</v>
      </c>
      <c r="BL114" s="429">
        <v>0</v>
      </c>
      <c r="BM114" s="429">
        <v>0</v>
      </c>
      <c r="BN114" s="429">
        <v>0</v>
      </c>
      <c r="BO114" s="429">
        <v>0</v>
      </c>
      <c r="BP114" s="431">
        <v>0</v>
      </c>
      <c r="BQ114" s="428">
        <v>0</v>
      </c>
      <c r="BR114" s="429">
        <v>0</v>
      </c>
      <c r="BS114" s="429">
        <v>0</v>
      </c>
      <c r="BT114" s="429">
        <v>0</v>
      </c>
      <c r="BU114" s="429">
        <v>0</v>
      </c>
      <c r="BV114" s="429">
        <v>0</v>
      </c>
      <c r="BW114" s="429">
        <v>0</v>
      </c>
      <c r="BX114" s="429">
        <v>0</v>
      </c>
      <c r="BY114" s="429">
        <v>0</v>
      </c>
      <c r="BZ114" s="429">
        <v>0</v>
      </c>
      <c r="CA114" s="429">
        <v>0</v>
      </c>
      <c r="CB114" s="429">
        <v>0</v>
      </c>
      <c r="CC114" s="431">
        <v>0</v>
      </c>
    </row>
    <row r="115" spans="1:81">
      <c r="A115" s="445"/>
      <c r="B115" s="445"/>
      <c r="C115" s="446"/>
      <c r="D115" s="447"/>
      <c r="E115" s="447"/>
      <c r="F115" s="447"/>
      <c r="G115" s="447"/>
      <c r="H115" s="447"/>
      <c r="I115" s="447"/>
      <c r="J115" s="447"/>
      <c r="K115" s="447"/>
      <c r="L115" s="447"/>
      <c r="M115" s="447"/>
      <c r="N115" s="447"/>
      <c r="O115" s="448"/>
      <c r="P115" s="449"/>
      <c r="Q115" s="447"/>
      <c r="R115" s="447"/>
      <c r="S115" s="447"/>
      <c r="T115" s="447"/>
      <c r="U115" s="447"/>
      <c r="V115" s="447"/>
      <c r="W115" s="447"/>
      <c r="X115" s="447"/>
      <c r="Y115" s="447"/>
      <c r="Z115" s="447"/>
      <c r="AA115" s="447"/>
      <c r="AB115" s="448"/>
      <c r="AC115" s="449"/>
      <c r="AD115" s="447"/>
      <c r="AE115" s="447"/>
      <c r="AF115" s="447"/>
      <c r="AG115" s="447"/>
      <c r="AH115" s="447"/>
      <c r="AI115" s="447"/>
      <c r="AJ115" s="447"/>
      <c r="AK115" s="447"/>
      <c r="AL115" s="447"/>
      <c r="AM115" s="447"/>
      <c r="AN115" s="447"/>
      <c r="AO115" s="448"/>
      <c r="AQ115" s="450"/>
      <c r="AR115" s="451"/>
      <c r="AS115" s="451"/>
      <c r="AT115" s="451"/>
      <c r="AU115" s="451"/>
      <c r="AV115" s="451"/>
      <c r="AW115" s="451"/>
      <c r="AX115" s="451"/>
      <c r="AY115" s="451"/>
      <c r="AZ115" s="451"/>
      <c r="BA115" s="451"/>
      <c r="BB115" s="451"/>
      <c r="BC115" s="452"/>
      <c r="BD115" s="453"/>
      <c r="BE115" s="451"/>
      <c r="BF115" s="451"/>
      <c r="BG115" s="451"/>
      <c r="BH115" s="451"/>
      <c r="BI115" s="451"/>
      <c r="BJ115" s="451"/>
      <c r="BK115" s="451"/>
      <c r="BL115" s="451"/>
      <c r="BM115" s="451"/>
      <c r="BN115" s="451"/>
      <c r="BO115" s="451"/>
      <c r="BP115" s="452"/>
      <c r="BQ115" s="453"/>
      <c r="BR115" s="451"/>
      <c r="BS115" s="451"/>
      <c r="BT115" s="451"/>
      <c r="BU115" s="451"/>
      <c r="BV115" s="451"/>
      <c r="BW115" s="451"/>
      <c r="BX115" s="451"/>
      <c r="BY115" s="451"/>
      <c r="BZ115" s="451"/>
      <c r="CA115" s="451"/>
      <c r="CB115" s="451"/>
      <c r="CC115" s="452"/>
    </row>
    <row r="116" spans="1:81">
      <c r="B116" s="456" t="s">
        <v>193</v>
      </c>
      <c r="C116" s="436"/>
      <c r="D116" s="437"/>
      <c r="E116" s="437"/>
      <c r="F116" s="437"/>
      <c r="G116" s="437"/>
      <c r="H116" s="437"/>
      <c r="I116" s="437"/>
      <c r="J116" s="437"/>
      <c r="K116" s="437"/>
      <c r="L116" s="437"/>
      <c r="M116" s="437"/>
      <c r="N116" s="437"/>
      <c r="O116" s="438"/>
      <c r="P116" s="439"/>
      <c r="Q116" s="437"/>
      <c r="R116" s="437"/>
      <c r="S116" s="437"/>
      <c r="T116" s="437"/>
      <c r="U116" s="437"/>
      <c r="V116" s="437"/>
      <c r="W116" s="437"/>
      <c r="X116" s="437"/>
      <c r="Y116" s="437"/>
      <c r="Z116" s="437"/>
      <c r="AA116" s="437"/>
      <c r="AB116" s="438"/>
      <c r="AC116" s="439"/>
      <c r="AD116" s="437"/>
      <c r="AE116" s="437"/>
      <c r="AF116" s="437"/>
      <c r="AG116" s="437"/>
      <c r="AH116" s="437"/>
      <c r="AI116" s="437"/>
      <c r="AJ116" s="437"/>
      <c r="AK116" s="437"/>
      <c r="AL116" s="437"/>
      <c r="AM116" s="437"/>
      <c r="AN116" s="437"/>
      <c r="AO116" s="438"/>
      <c r="AQ116" s="428"/>
      <c r="AR116" s="429"/>
      <c r="AS116" s="429"/>
      <c r="AT116" s="429"/>
      <c r="AU116" s="429"/>
      <c r="AV116" s="429"/>
      <c r="AW116" s="429"/>
      <c r="AX116" s="429"/>
      <c r="AY116" s="429"/>
      <c r="AZ116" s="429"/>
      <c r="BA116" s="429"/>
      <c r="BB116" s="429"/>
      <c r="BC116" s="431"/>
      <c r="BD116" s="428"/>
      <c r="BE116" s="429"/>
      <c r="BF116" s="429"/>
      <c r="BG116" s="429"/>
      <c r="BH116" s="429"/>
      <c r="BI116" s="429"/>
      <c r="BJ116" s="429"/>
      <c r="BK116" s="429"/>
      <c r="BL116" s="429"/>
      <c r="BM116" s="429"/>
      <c r="BN116" s="429"/>
      <c r="BO116" s="429"/>
      <c r="BP116" s="431"/>
      <c r="BQ116" s="428"/>
      <c r="BR116" s="429"/>
      <c r="BS116" s="429"/>
      <c r="BT116" s="429"/>
      <c r="BU116" s="429"/>
      <c r="BV116" s="429"/>
      <c r="BW116" s="429"/>
      <c r="BX116" s="429"/>
      <c r="BY116" s="429"/>
      <c r="BZ116" s="429"/>
      <c r="CA116" s="429"/>
      <c r="CB116" s="429"/>
      <c r="CC116" s="431"/>
    </row>
    <row r="117" spans="1:81">
      <c r="A117" s="420" t="s">
        <v>193</v>
      </c>
      <c r="B117" s="420" t="s">
        <v>175</v>
      </c>
      <c r="C117" s="436">
        <f t="shared" si="40"/>
        <v>2198.014492753623</v>
      </c>
      <c r="D117" s="437">
        <f t="shared" si="41"/>
        <v>1655.8513513513512</v>
      </c>
      <c r="E117" s="437">
        <f t="shared" si="42"/>
        <v>1769.75</v>
      </c>
      <c r="F117" s="437">
        <f t="shared" si="43"/>
        <v>1619.6046511627908</v>
      </c>
      <c r="G117" s="437">
        <f t="shared" si="44"/>
        <v>1210.68</v>
      </c>
      <c r="H117" s="437">
        <f t="shared" si="45"/>
        <v>1342</v>
      </c>
      <c r="I117" s="437">
        <f t="shared" si="46"/>
        <v>855.25974025974028</v>
      </c>
      <c r="J117" s="437">
        <f t="shared" si="47"/>
        <v>747.57894736842104</v>
      </c>
      <c r="K117" s="437">
        <f t="shared" si="48"/>
        <v>526.90804597701151</v>
      </c>
      <c r="L117" s="437">
        <f t="shared" si="49"/>
        <v>1388.1315789473683</v>
      </c>
      <c r="M117" s="437">
        <f t="shared" si="50"/>
        <v>1306.5</v>
      </c>
      <c r="N117" s="437">
        <f t="shared" si="51"/>
        <v>623.79999999999995</v>
      </c>
      <c r="O117" s="438">
        <f t="shared" si="52"/>
        <v>1309.9545983701978</v>
      </c>
      <c r="P117" s="439">
        <f t="shared" si="53"/>
        <v>2779.6794871794873</v>
      </c>
      <c r="Q117" s="437">
        <f t="shared" si="54"/>
        <v>744.4</v>
      </c>
      <c r="R117" s="437">
        <f t="shared" si="55"/>
        <v>2025.25</v>
      </c>
      <c r="S117" s="437">
        <f t="shared" si="56"/>
        <v>1718.9431818181818</v>
      </c>
      <c r="T117" s="437">
        <f t="shared" si="57"/>
        <v>795.91176470588232</v>
      </c>
      <c r="U117" s="437">
        <f t="shared" si="58"/>
        <v>761.30379746835445</v>
      </c>
      <c r="V117" s="437">
        <f t="shared" si="59"/>
        <v>819.97500000000002</v>
      </c>
      <c r="W117" s="437">
        <f t="shared" si="60"/>
        <v>726.53750000000002</v>
      </c>
      <c r="X117" s="437">
        <f t="shared" si="61"/>
        <v>743.52380952380952</v>
      </c>
      <c r="Y117" s="437">
        <f t="shared" si="62"/>
        <v>1169.9230769230769</v>
      </c>
      <c r="Z117" s="437">
        <f t="shared" si="63"/>
        <v>1393.5897435897436</v>
      </c>
      <c r="AA117" s="437">
        <f t="shared" si="64"/>
        <v>2108.6538461538462</v>
      </c>
      <c r="AB117" s="438">
        <f t="shared" si="65"/>
        <v>1379.7825651302605</v>
      </c>
      <c r="AC117" s="439">
        <f t="shared" si="66"/>
        <v>0</v>
      </c>
      <c r="AD117" s="437">
        <f t="shared" si="67"/>
        <v>2398.4220779220777</v>
      </c>
      <c r="AE117" s="437">
        <f t="shared" si="68"/>
        <v>0</v>
      </c>
      <c r="AF117" s="437">
        <f t="shared" si="69"/>
        <v>1915.867469879518</v>
      </c>
      <c r="AG117" s="437">
        <f t="shared" si="70"/>
        <v>1811.6777777777777</v>
      </c>
      <c r="AH117" s="437">
        <f t="shared" si="71"/>
        <v>1184.3860759493671</v>
      </c>
      <c r="AI117" s="437">
        <f t="shared" si="72"/>
        <v>735.53571428571433</v>
      </c>
      <c r="AJ117" s="437">
        <f t="shared" si="73"/>
        <v>886.57352941176475</v>
      </c>
      <c r="AK117" s="437">
        <f t="shared" si="74"/>
        <v>752.34375</v>
      </c>
      <c r="AL117" s="437">
        <f t="shared" si="75"/>
        <v>1192</v>
      </c>
      <c r="AM117" s="437">
        <f t="shared" si="76"/>
        <v>1323.8265306122448</v>
      </c>
      <c r="AN117" s="437">
        <f t="shared" si="77"/>
        <v>2171.1558441558441</v>
      </c>
      <c r="AO117" s="438">
        <f t="shared" si="78"/>
        <v>1483.2188449848024</v>
      </c>
      <c r="AQ117" s="428">
        <v>2198.014492753623</v>
      </c>
      <c r="AR117" s="429">
        <v>1655.8513513513512</v>
      </c>
      <c r="AS117" s="429">
        <v>1769.75</v>
      </c>
      <c r="AT117" s="429">
        <v>1619.6046511627908</v>
      </c>
      <c r="AU117" s="429">
        <v>1210.68</v>
      </c>
      <c r="AV117" s="429">
        <v>1342</v>
      </c>
      <c r="AW117" s="429">
        <v>855.25974025974028</v>
      </c>
      <c r="AX117" s="429">
        <v>747.57894736842104</v>
      </c>
      <c r="AY117" s="429">
        <v>526.90804597701151</v>
      </c>
      <c r="AZ117" s="429">
        <v>1388.1315789473683</v>
      </c>
      <c r="BA117" s="429">
        <v>1306.5</v>
      </c>
      <c r="BB117" s="429">
        <v>623.79999999999995</v>
      </c>
      <c r="BC117" s="431">
        <v>1309.9545983701978</v>
      </c>
      <c r="BD117" s="428">
        <v>2779.6794871794873</v>
      </c>
      <c r="BE117" s="429">
        <v>744.4</v>
      </c>
      <c r="BF117" s="429">
        <v>2025.25</v>
      </c>
      <c r="BG117" s="429">
        <v>1718.9431818181818</v>
      </c>
      <c r="BH117" s="429">
        <v>795.91176470588232</v>
      </c>
      <c r="BI117" s="429">
        <v>761.30379746835445</v>
      </c>
      <c r="BJ117" s="429">
        <v>819.97500000000002</v>
      </c>
      <c r="BK117" s="429">
        <v>726.53750000000002</v>
      </c>
      <c r="BL117" s="429">
        <v>743.52380952380952</v>
      </c>
      <c r="BM117" s="429">
        <v>1169.9230769230769</v>
      </c>
      <c r="BN117" s="429">
        <v>1393.5897435897436</v>
      </c>
      <c r="BO117" s="429">
        <v>2108.6538461538462</v>
      </c>
      <c r="BP117" s="431">
        <v>1379.7825651302605</v>
      </c>
      <c r="BQ117" s="428">
        <v>0</v>
      </c>
      <c r="BR117" s="429">
        <v>2398.4220779220777</v>
      </c>
      <c r="BS117" s="429">
        <v>0</v>
      </c>
      <c r="BT117" s="429">
        <v>1915.867469879518</v>
      </c>
      <c r="BU117" s="429">
        <v>1811.6777777777777</v>
      </c>
      <c r="BV117" s="429">
        <v>1184.3860759493671</v>
      </c>
      <c r="BW117" s="429">
        <v>735.53571428571433</v>
      </c>
      <c r="BX117" s="429">
        <v>886.57352941176475</v>
      </c>
      <c r="BY117" s="429">
        <v>752.34375</v>
      </c>
      <c r="BZ117" s="429">
        <v>1192</v>
      </c>
      <c r="CA117" s="429">
        <v>1323.8265306122448</v>
      </c>
      <c r="CB117" s="429">
        <v>2171.1558441558441</v>
      </c>
      <c r="CC117" s="431">
        <v>1483.2188449848024</v>
      </c>
    </row>
    <row r="118" spans="1:81">
      <c r="A118" s="420" t="s">
        <v>193</v>
      </c>
      <c r="B118" s="420" t="s">
        <v>176</v>
      </c>
      <c r="C118" s="436">
        <f t="shared" si="40"/>
        <v>0</v>
      </c>
      <c r="D118" s="437">
        <f t="shared" si="41"/>
        <v>0</v>
      </c>
      <c r="E118" s="437">
        <f t="shared" si="42"/>
        <v>0</v>
      </c>
      <c r="F118" s="437">
        <f t="shared" si="43"/>
        <v>0</v>
      </c>
      <c r="G118" s="437">
        <f t="shared" si="44"/>
        <v>0</v>
      </c>
      <c r="H118" s="437">
        <f t="shared" si="45"/>
        <v>0</v>
      </c>
      <c r="I118" s="437">
        <f t="shared" si="46"/>
        <v>0</v>
      </c>
      <c r="J118" s="437">
        <f t="shared" si="47"/>
        <v>0</v>
      </c>
      <c r="K118" s="437">
        <f t="shared" si="48"/>
        <v>0</v>
      </c>
      <c r="L118" s="437">
        <f t="shared" si="49"/>
        <v>0</v>
      </c>
      <c r="M118" s="437">
        <f t="shared" si="50"/>
        <v>0</v>
      </c>
      <c r="N118" s="437">
        <f t="shared" si="51"/>
        <v>0</v>
      </c>
      <c r="O118" s="438">
        <f t="shared" si="52"/>
        <v>0</v>
      </c>
      <c r="P118" s="439">
        <f t="shared" si="53"/>
        <v>0</v>
      </c>
      <c r="Q118" s="437">
        <f t="shared" si="54"/>
        <v>0</v>
      </c>
      <c r="R118" s="437">
        <f t="shared" si="55"/>
        <v>0</v>
      </c>
      <c r="S118" s="437">
        <f t="shared" si="56"/>
        <v>0</v>
      </c>
      <c r="T118" s="437">
        <f t="shared" si="57"/>
        <v>0</v>
      </c>
      <c r="U118" s="437">
        <f t="shared" si="58"/>
        <v>0</v>
      </c>
      <c r="V118" s="437">
        <f t="shared" si="59"/>
        <v>0</v>
      </c>
      <c r="W118" s="437">
        <f t="shared" si="60"/>
        <v>0</v>
      </c>
      <c r="X118" s="437">
        <f t="shared" si="61"/>
        <v>0</v>
      </c>
      <c r="Y118" s="437">
        <f t="shared" si="62"/>
        <v>0</v>
      </c>
      <c r="Z118" s="437">
        <f t="shared" si="63"/>
        <v>0</v>
      </c>
      <c r="AA118" s="437">
        <f t="shared" si="64"/>
        <v>0</v>
      </c>
      <c r="AB118" s="438">
        <f t="shared" si="65"/>
        <v>0</v>
      </c>
      <c r="AC118" s="439">
        <f t="shared" si="66"/>
        <v>0</v>
      </c>
      <c r="AD118" s="437">
        <f t="shared" si="67"/>
        <v>0</v>
      </c>
      <c r="AE118" s="437">
        <f t="shared" si="68"/>
        <v>0</v>
      </c>
      <c r="AF118" s="437">
        <f t="shared" si="69"/>
        <v>0</v>
      </c>
      <c r="AG118" s="437">
        <f t="shared" si="70"/>
        <v>0</v>
      </c>
      <c r="AH118" s="437">
        <f t="shared" si="71"/>
        <v>0</v>
      </c>
      <c r="AI118" s="437">
        <f t="shared" si="72"/>
        <v>0</v>
      </c>
      <c r="AJ118" s="437">
        <f t="shared" si="73"/>
        <v>0</v>
      </c>
      <c r="AK118" s="437">
        <f t="shared" si="74"/>
        <v>0</v>
      </c>
      <c r="AL118" s="437">
        <f t="shared" si="75"/>
        <v>0</v>
      </c>
      <c r="AM118" s="437">
        <f t="shared" si="76"/>
        <v>0</v>
      </c>
      <c r="AN118" s="437">
        <f t="shared" si="77"/>
        <v>0</v>
      </c>
      <c r="AO118" s="438">
        <f t="shared" si="78"/>
        <v>0</v>
      </c>
      <c r="AQ118" s="428">
        <v>0</v>
      </c>
      <c r="AR118" s="429">
        <v>0</v>
      </c>
      <c r="AS118" s="429">
        <v>0</v>
      </c>
      <c r="AT118" s="429">
        <v>0</v>
      </c>
      <c r="AU118" s="429">
        <v>0</v>
      </c>
      <c r="AV118" s="429">
        <v>0</v>
      </c>
      <c r="AW118" s="429">
        <v>0</v>
      </c>
      <c r="AX118" s="429">
        <v>0</v>
      </c>
      <c r="AY118" s="429">
        <v>0</v>
      </c>
      <c r="AZ118" s="429">
        <v>0</v>
      </c>
      <c r="BA118" s="429">
        <v>0</v>
      </c>
      <c r="BB118" s="429">
        <v>0</v>
      </c>
      <c r="BC118" s="431">
        <v>0</v>
      </c>
      <c r="BD118" s="428">
        <v>0</v>
      </c>
      <c r="BE118" s="429">
        <v>0</v>
      </c>
      <c r="BF118" s="429">
        <v>0</v>
      </c>
      <c r="BG118" s="429">
        <v>0</v>
      </c>
      <c r="BH118" s="429">
        <v>0</v>
      </c>
      <c r="BI118" s="429">
        <v>0</v>
      </c>
      <c r="BJ118" s="429">
        <v>0</v>
      </c>
      <c r="BK118" s="429">
        <v>0</v>
      </c>
      <c r="BL118" s="429">
        <v>0</v>
      </c>
      <c r="BM118" s="429">
        <v>0</v>
      </c>
      <c r="BN118" s="429">
        <v>0</v>
      </c>
      <c r="BO118" s="429">
        <v>0</v>
      </c>
      <c r="BP118" s="431">
        <v>0</v>
      </c>
      <c r="BQ118" s="428">
        <v>0</v>
      </c>
      <c r="BR118" s="429">
        <v>0</v>
      </c>
      <c r="BS118" s="429">
        <v>0</v>
      </c>
      <c r="BT118" s="429">
        <v>0</v>
      </c>
      <c r="BU118" s="429">
        <v>0</v>
      </c>
      <c r="BV118" s="429">
        <v>0</v>
      </c>
      <c r="BW118" s="429">
        <v>0</v>
      </c>
      <c r="BX118" s="429">
        <v>0</v>
      </c>
      <c r="BY118" s="429">
        <v>0</v>
      </c>
      <c r="BZ118" s="429">
        <v>0</v>
      </c>
      <c r="CA118" s="429">
        <v>0</v>
      </c>
      <c r="CB118" s="429">
        <v>0</v>
      </c>
      <c r="CC118" s="431">
        <v>0</v>
      </c>
    </row>
    <row r="119" spans="1:81">
      <c r="A119" s="420" t="s">
        <v>193</v>
      </c>
      <c r="B119" s="420" t="s">
        <v>177</v>
      </c>
      <c r="C119" s="436">
        <f t="shared" si="40"/>
        <v>6802.666666666667</v>
      </c>
      <c r="D119" s="437">
        <f t="shared" si="41"/>
        <v>5048.875</v>
      </c>
      <c r="E119" s="437">
        <f t="shared" si="42"/>
        <v>3915</v>
      </c>
      <c r="F119" s="437">
        <f t="shared" si="43"/>
        <v>4334</v>
      </c>
      <c r="G119" s="437">
        <f t="shared" si="44"/>
        <v>3715.0769230769229</v>
      </c>
      <c r="H119" s="437">
        <f t="shared" si="45"/>
        <v>2721.9</v>
      </c>
      <c r="I119" s="437">
        <f t="shared" si="46"/>
        <v>3133.6666666666665</v>
      </c>
      <c r="J119" s="437">
        <f t="shared" si="47"/>
        <v>1927.625</v>
      </c>
      <c r="K119" s="437">
        <f t="shared" si="48"/>
        <v>2711.3</v>
      </c>
      <c r="L119" s="437">
        <f t="shared" si="49"/>
        <v>4150.5</v>
      </c>
      <c r="M119" s="437">
        <f t="shared" si="50"/>
        <v>3143.1</v>
      </c>
      <c r="N119" s="437">
        <f t="shared" si="51"/>
        <v>0</v>
      </c>
      <c r="O119" s="438">
        <f t="shared" si="52"/>
        <v>3747.4653465346537</v>
      </c>
      <c r="P119" s="439">
        <f t="shared" si="53"/>
        <v>6097.4444444444443</v>
      </c>
      <c r="Q119" s="437">
        <f t="shared" si="54"/>
        <v>0</v>
      </c>
      <c r="R119" s="437">
        <f t="shared" si="55"/>
        <v>5436.4444444444443</v>
      </c>
      <c r="S119" s="437">
        <f t="shared" si="56"/>
        <v>4105.5789473684208</v>
      </c>
      <c r="T119" s="437">
        <f t="shared" si="57"/>
        <v>2455.1111111111113</v>
      </c>
      <c r="U119" s="437">
        <f t="shared" si="58"/>
        <v>2081.6666666666665</v>
      </c>
      <c r="V119" s="437">
        <f t="shared" si="59"/>
        <v>2564.4444444444443</v>
      </c>
      <c r="W119" s="437">
        <f t="shared" si="60"/>
        <v>2473.2222222222222</v>
      </c>
      <c r="X119" s="437">
        <f t="shared" si="61"/>
        <v>2281</v>
      </c>
      <c r="Y119" s="437">
        <f t="shared" si="62"/>
        <v>2160.2222222222222</v>
      </c>
      <c r="Z119" s="437">
        <f t="shared" si="63"/>
        <v>3387.4444444444443</v>
      </c>
      <c r="AA119" s="437">
        <f t="shared" si="64"/>
        <v>3582.6666666666665</v>
      </c>
      <c r="AB119" s="438">
        <f t="shared" si="65"/>
        <v>3400.7614678899081</v>
      </c>
      <c r="AC119" s="439">
        <f t="shared" si="66"/>
        <v>0</v>
      </c>
      <c r="AD119" s="437">
        <f t="shared" si="67"/>
        <v>6120.8888888888887</v>
      </c>
      <c r="AE119" s="437">
        <f t="shared" si="68"/>
        <v>0</v>
      </c>
      <c r="AF119" s="437">
        <f t="shared" si="69"/>
        <v>3760.8888888888887</v>
      </c>
      <c r="AG119" s="437">
        <f t="shared" si="70"/>
        <v>5522</v>
      </c>
      <c r="AH119" s="437">
        <f t="shared" si="71"/>
        <v>2421</v>
      </c>
      <c r="AI119" s="437">
        <f t="shared" si="72"/>
        <v>1782.4444444444443</v>
      </c>
      <c r="AJ119" s="437">
        <f t="shared" si="73"/>
        <v>1928.3333333333333</v>
      </c>
      <c r="AK119" s="437">
        <f t="shared" si="74"/>
        <v>2277.8888888888887</v>
      </c>
      <c r="AL119" s="437">
        <f t="shared" si="75"/>
        <v>2376.1111111111113</v>
      </c>
      <c r="AM119" s="437">
        <f t="shared" si="76"/>
        <v>3078.2222222222222</v>
      </c>
      <c r="AN119" s="437">
        <f t="shared" si="77"/>
        <v>4930.5555555555557</v>
      </c>
      <c r="AO119" s="438">
        <f t="shared" si="78"/>
        <v>3561.6851851851852</v>
      </c>
      <c r="AQ119" s="428">
        <v>6802.666666666667</v>
      </c>
      <c r="AR119" s="429">
        <v>5048.875</v>
      </c>
      <c r="AS119" s="429">
        <v>3915</v>
      </c>
      <c r="AT119" s="429">
        <v>4334</v>
      </c>
      <c r="AU119" s="429">
        <v>3715.0769230769229</v>
      </c>
      <c r="AV119" s="429">
        <v>2721.9</v>
      </c>
      <c r="AW119" s="429">
        <v>3133.6666666666665</v>
      </c>
      <c r="AX119" s="429">
        <v>1927.625</v>
      </c>
      <c r="AY119" s="429">
        <v>2711.3</v>
      </c>
      <c r="AZ119" s="429">
        <v>4150.5</v>
      </c>
      <c r="BA119" s="429">
        <v>3143.1</v>
      </c>
      <c r="BB119" s="429">
        <v>0</v>
      </c>
      <c r="BC119" s="431">
        <v>3747.4653465346537</v>
      </c>
      <c r="BD119" s="428">
        <v>6097.4444444444443</v>
      </c>
      <c r="BE119" s="429">
        <v>0</v>
      </c>
      <c r="BF119" s="429">
        <v>5436.4444444444443</v>
      </c>
      <c r="BG119" s="429">
        <v>4105.5789473684208</v>
      </c>
      <c r="BH119" s="429">
        <v>2455.1111111111113</v>
      </c>
      <c r="BI119" s="429">
        <v>2081.6666666666665</v>
      </c>
      <c r="BJ119" s="429">
        <v>2564.4444444444443</v>
      </c>
      <c r="BK119" s="429">
        <v>2473.2222222222222</v>
      </c>
      <c r="BL119" s="429">
        <v>2281</v>
      </c>
      <c r="BM119" s="429">
        <v>2160.2222222222222</v>
      </c>
      <c r="BN119" s="429">
        <v>3387.4444444444443</v>
      </c>
      <c r="BO119" s="429">
        <v>3582.6666666666665</v>
      </c>
      <c r="BP119" s="431">
        <v>3400.7614678899081</v>
      </c>
      <c r="BQ119" s="428">
        <v>0</v>
      </c>
      <c r="BR119" s="429">
        <v>6120.8888888888887</v>
      </c>
      <c r="BS119" s="429">
        <v>0</v>
      </c>
      <c r="BT119" s="429">
        <v>3760.8888888888887</v>
      </c>
      <c r="BU119" s="429">
        <v>5522</v>
      </c>
      <c r="BV119" s="429">
        <v>2421</v>
      </c>
      <c r="BW119" s="429">
        <v>1782.4444444444443</v>
      </c>
      <c r="BX119" s="429">
        <v>1928.3333333333333</v>
      </c>
      <c r="BY119" s="429">
        <v>2277.8888888888887</v>
      </c>
      <c r="BZ119" s="429">
        <v>2376.1111111111113</v>
      </c>
      <c r="CA119" s="429">
        <v>3078.2222222222222</v>
      </c>
      <c r="CB119" s="429">
        <v>4930.5555555555557</v>
      </c>
      <c r="CC119" s="431">
        <v>3561.6851851851852</v>
      </c>
    </row>
    <row r="120" spans="1:81">
      <c r="A120" s="420" t="s">
        <v>193</v>
      </c>
      <c r="B120" s="420" t="s">
        <v>178</v>
      </c>
      <c r="C120" s="436">
        <f t="shared" si="40"/>
        <v>12860</v>
      </c>
      <c r="D120" s="437">
        <f t="shared" si="41"/>
        <v>9720</v>
      </c>
      <c r="E120" s="437">
        <f t="shared" si="42"/>
        <v>10300</v>
      </c>
      <c r="F120" s="437">
        <f t="shared" si="43"/>
        <v>10240</v>
      </c>
      <c r="G120" s="437">
        <f t="shared" si="44"/>
        <v>5094.2857142857147</v>
      </c>
      <c r="H120" s="437">
        <f t="shared" si="45"/>
        <v>6940</v>
      </c>
      <c r="I120" s="437">
        <f t="shared" si="46"/>
        <v>9220</v>
      </c>
      <c r="J120" s="437">
        <f t="shared" si="47"/>
        <v>6653.333333333333</v>
      </c>
      <c r="K120" s="437">
        <f t="shared" si="48"/>
        <v>6646.666666666667</v>
      </c>
      <c r="L120" s="437">
        <f t="shared" si="49"/>
        <v>8020</v>
      </c>
      <c r="M120" s="437">
        <f t="shared" si="50"/>
        <v>7813.333333333333</v>
      </c>
      <c r="N120" s="437">
        <f t="shared" si="51"/>
        <v>0</v>
      </c>
      <c r="O120" s="438">
        <f t="shared" si="52"/>
        <v>7811.515151515152</v>
      </c>
      <c r="P120" s="439">
        <f t="shared" si="53"/>
        <v>13773.333333333334</v>
      </c>
      <c r="Q120" s="437">
        <f t="shared" si="54"/>
        <v>0</v>
      </c>
      <c r="R120" s="437">
        <f t="shared" si="55"/>
        <v>8500</v>
      </c>
      <c r="S120" s="437">
        <f t="shared" si="56"/>
        <v>9316.6666666666661</v>
      </c>
      <c r="T120" s="437">
        <f t="shared" si="57"/>
        <v>9830</v>
      </c>
      <c r="U120" s="437">
        <f t="shared" si="58"/>
        <v>7400</v>
      </c>
      <c r="V120" s="437">
        <f t="shared" si="59"/>
        <v>7973.333333333333</v>
      </c>
      <c r="W120" s="437">
        <f t="shared" si="60"/>
        <v>7753.333333333333</v>
      </c>
      <c r="X120" s="437">
        <f t="shared" si="61"/>
        <v>7313.333333333333</v>
      </c>
      <c r="Y120" s="437">
        <f t="shared" si="62"/>
        <v>7806.666666666667</v>
      </c>
      <c r="Z120" s="437">
        <f t="shared" si="63"/>
        <v>7166.666666666667</v>
      </c>
      <c r="AA120" s="437">
        <f t="shared" si="64"/>
        <v>7213.333333333333</v>
      </c>
      <c r="AB120" s="438">
        <f t="shared" si="65"/>
        <v>8646.4864864864867</v>
      </c>
      <c r="AC120" s="439">
        <f t="shared" si="66"/>
        <v>0</v>
      </c>
      <c r="AD120" s="437">
        <f t="shared" si="67"/>
        <v>8333.3333333333339</v>
      </c>
      <c r="AE120" s="437">
        <f t="shared" si="68"/>
        <v>0</v>
      </c>
      <c r="AF120" s="437">
        <f t="shared" si="69"/>
        <v>7020</v>
      </c>
      <c r="AG120" s="437">
        <f t="shared" si="70"/>
        <v>6300</v>
      </c>
      <c r="AH120" s="437">
        <f t="shared" si="71"/>
        <v>4082.5</v>
      </c>
      <c r="AI120" s="437">
        <f t="shared" si="72"/>
        <v>3290</v>
      </c>
      <c r="AJ120" s="437">
        <f t="shared" si="73"/>
        <v>6246.666666666667</v>
      </c>
      <c r="AK120" s="437">
        <f t="shared" si="74"/>
        <v>4380</v>
      </c>
      <c r="AL120" s="437">
        <f t="shared" si="75"/>
        <v>9700</v>
      </c>
      <c r="AM120" s="437">
        <f t="shared" si="76"/>
        <v>11300</v>
      </c>
      <c r="AN120" s="437">
        <f t="shared" si="77"/>
        <v>12140</v>
      </c>
      <c r="AO120" s="438">
        <f t="shared" si="78"/>
        <v>5790.6976744186049</v>
      </c>
      <c r="AQ120" s="428">
        <v>12860</v>
      </c>
      <c r="AR120" s="429">
        <v>9720</v>
      </c>
      <c r="AS120" s="429">
        <v>10300</v>
      </c>
      <c r="AT120" s="429">
        <v>10240</v>
      </c>
      <c r="AU120" s="429">
        <v>5094.2857142857147</v>
      </c>
      <c r="AV120" s="429">
        <v>6940</v>
      </c>
      <c r="AW120" s="429">
        <v>9220</v>
      </c>
      <c r="AX120" s="429">
        <v>6653.333333333333</v>
      </c>
      <c r="AY120" s="429">
        <v>6646.666666666667</v>
      </c>
      <c r="AZ120" s="429">
        <v>8020</v>
      </c>
      <c r="BA120" s="429">
        <v>7813.333333333333</v>
      </c>
      <c r="BB120" s="429">
        <v>0</v>
      </c>
      <c r="BC120" s="431">
        <v>7811.515151515152</v>
      </c>
      <c r="BD120" s="428">
        <v>13773.333333333334</v>
      </c>
      <c r="BE120" s="429">
        <v>0</v>
      </c>
      <c r="BF120" s="429">
        <v>8500</v>
      </c>
      <c r="BG120" s="429">
        <v>9316.6666666666661</v>
      </c>
      <c r="BH120" s="429">
        <v>9830</v>
      </c>
      <c r="BI120" s="429">
        <v>7400</v>
      </c>
      <c r="BJ120" s="429">
        <v>7973.333333333333</v>
      </c>
      <c r="BK120" s="429">
        <v>7753.333333333333</v>
      </c>
      <c r="BL120" s="429">
        <v>7313.333333333333</v>
      </c>
      <c r="BM120" s="429">
        <v>7806.666666666667</v>
      </c>
      <c r="BN120" s="429">
        <v>7166.666666666667</v>
      </c>
      <c r="BO120" s="429">
        <v>7213.333333333333</v>
      </c>
      <c r="BP120" s="431">
        <v>8646.4864864864867</v>
      </c>
      <c r="BQ120" s="428">
        <v>0</v>
      </c>
      <c r="BR120" s="429">
        <v>8333.3333333333339</v>
      </c>
      <c r="BS120" s="429">
        <v>0</v>
      </c>
      <c r="BT120" s="429">
        <v>7020</v>
      </c>
      <c r="BU120" s="429">
        <v>6300</v>
      </c>
      <c r="BV120" s="429">
        <v>4082.5</v>
      </c>
      <c r="BW120" s="429">
        <v>3290</v>
      </c>
      <c r="BX120" s="429">
        <v>6246.666666666667</v>
      </c>
      <c r="BY120" s="429">
        <v>4380</v>
      </c>
      <c r="BZ120" s="429">
        <v>9700</v>
      </c>
      <c r="CA120" s="429">
        <v>11300</v>
      </c>
      <c r="CB120" s="429">
        <v>12140</v>
      </c>
      <c r="CC120" s="431">
        <v>5790.6976744186049</v>
      </c>
    </row>
    <row r="121" spans="1:81">
      <c r="A121" s="420" t="s">
        <v>193</v>
      </c>
      <c r="B121" s="420" t="s">
        <v>179</v>
      </c>
      <c r="C121" s="436">
        <f t="shared" si="40"/>
        <v>0</v>
      </c>
      <c r="D121" s="437">
        <f t="shared" si="41"/>
        <v>0</v>
      </c>
      <c r="E121" s="437">
        <f t="shared" si="42"/>
        <v>0</v>
      </c>
      <c r="F121" s="437">
        <f t="shared" si="43"/>
        <v>0</v>
      </c>
      <c r="G121" s="437">
        <f t="shared" si="44"/>
        <v>0</v>
      </c>
      <c r="H121" s="437">
        <f t="shared" si="45"/>
        <v>0</v>
      </c>
      <c r="I121" s="437">
        <f t="shared" si="46"/>
        <v>0</v>
      </c>
      <c r="J121" s="437">
        <f t="shared" si="47"/>
        <v>0</v>
      </c>
      <c r="K121" s="437">
        <f t="shared" si="48"/>
        <v>0</v>
      </c>
      <c r="L121" s="437">
        <f t="shared" si="49"/>
        <v>0</v>
      </c>
      <c r="M121" s="437">
        <f t="shared" si="50"/>
        <v>0</v>
      </c>
      <c r="N121" s="437">
        <f t="shared" si="51"/>
        <v>0</v>
      </c>
      <c r="O121" s="438">
        <f t="shared" si="52"/>
        <v>0</v>
      </c>
      <c r="P121" s="439">
        <f t="shared" si="53"/>
        <v>0</v>
      </c>
      <c r="Q121" s="437">
        <f t="shared" si="54"/>
        <v>0</v>
      </c>
      <c r="R121" s="437">
        <f t="shared" si="55"/>
        <v>0</v>
      </c>
      <c r="S121" s="437">
        <f t="shared" si="56"/>
        <v>0</v>
      </c>
      <c r="T121" s="437">
        <f t="shared" si="57"/>
        <v>0</v>
      </c>
      <c r="U121" s="437">
        <f t="shared" si="58"/>
        <v>0</v>
      </c>
      <c r="V121" s="437">
        <f t="shared" si="59"/>
        <v>0</v>
      </c>
      <c r="W121" s="437">
        <f t="shared" si="60"/>
        <v>0</v>
      </c>
      <c r="X121" s="437">
        <f t="shared" si="61"/>
        <v>0</v>
      </c>
      <c r="Y121" s="437">
        <f t="shared" si="62"/>
        <v>0</v>
      </c>
      <c r="Z121" s="437">
        <f t="shared" si="63"/>
        <v>0</v>
      </c>
      <c r="AA121" s="437">
        <f t="shared" si="64"/>
        <v>0</v>
      </c>
      <c r="AB121" s="438">
        <f t="shared" si="65"/>
        <v>0</v>
      </c>
      <c r="AC121" s="439">
        <f t="shared" si="66"/>
        <v>0</v>
      </c>
      <c r="AD121" s="437">
        <f t="shared" si="67"/>
        <v>0</v>
      </c>
      <c r="AE121" s="437">
        <f t="shared" si="68"/>
        <v>0</v>
      </c>
      <c r="AF121" s="437">
        <f t="shared" si="69"/>
        <v>0</v>
      </c>
      <c r="AG121" s="437">
        <f t="shared" si="70"/>
        <v>0</v>
      </c>
      <c r="AH121" s="437">
        <f t="shared" si="71"/>
        <v>0</v>
      </c>
      <c r="AI121" s="437">
        <f t="shared" si="72"/>
        <v>0</v>
      </c>
      <c r="AJ121" s="437">
        <f t="shared" si="73"/>
        <v>0</v>
      </c>
      <c r="AK121" s="437">
        <f t="shared" si="74"/>
        <v>0</v>
      </c>
      <c r="AL121" s="437">
        <f t="shared" si="75"/>
        <v>0</v>
      </c>
      <c r="AM121" s="437">
        <f t="shared" si="76"/>
        <v>0</v>
      </c>
      <c r="AN121" s="437">
        <f t="shared" si="77"/>
        <v>0</v>
      </c>
      <c r="AO121" s="438">
        <f t="shared" si="78"/>
        <v>0</v>
      </c>
      <c r="AQ121" s="428">
        <v>0</v>
      </c>
      <c r="AR121" s="429">
        <v>0</v>
      </c>
      <c r="AS121" s="429">
        <v>0</v>
      </c>
      <c r="AT121" s="429">
        <v>0</v>
      </c>
      <c r="AU121" s="429">
        <v>0</v>
      </c>
      <c r="AV121" s="429">
        <v>0</v>
      </c>
      <c r="AW121" s="429">
        <v>0</v>
      </c>
      <c r="AX121" s="429">
        <v>0</v>
      </c>
      <c r="AY121" s="429">
        <v>0</v>
      </c>
      <c r="AZ121" s="429">
        <v>0</v>
      </c>
      <c r="BA121" s="429">
        <v>0</v>
      </c>
      <c r="BB121" s="429">
        <v>0</v>
      </c>
      <c r="BC121" s="431">
        <v>0</v>
      </c>
      <c r="BD121" s="428">
        <v>0</v>
      </c>
      <c r="BE121" s="429">
        <v>0</v>
      </c>
      <c r="BF121" s="429">
        <v>0</v>
      </c>
      <c r="BG121" s="429">
        <v>0</v>
      </c>
      <c r="BH121" s="429">
        <v>0</v>
      </c>
      <c r="BI121" s="429">
        <v>0</v>
      </c>
      <c r="BJ121" s="429">
        <v>0</v>
      </c>
      <c r="BK121" s="429">
        <v>0</v>
      </c>
      <c r="BL121" s="429">
        <v>0</v>
      </c>
      <c r="BM121" s="429">
        <v>0</v>
      </c>
      <c r="BN121" s="429">
        <v>0</v>
      </c>
      <c r="BO121" s="429">
        <v>0</v>
      </c>
      <c r="BP121" s="431">
        <v>0</v>
      </c>
      <c r="BQ121" s="428">
        <v>0</v>
      </c>
      <c r="BR121" s="429">
        <v>0</v>
      </c>
      <c r="BS121" s="429">
        <v>0</v>
      </c>
      <c r="BT121" s="429">
        <v>0</v>
      </c>
      <c r="BU121" s="429">
        <v>0</v>
      </c>
      <c r="BV121" s="429">
        <v>0</v>
      </c>
      <c r="BW121" s="429">
        <v>0</v>
      </c>
      <c r="BX121" s="429">
        <v>0</v>
      </c>
      <c r="BY121" s="429">
        <v>0</v>
      </c>
      <c r="BZ121" s="429">
        <v>0</v>
      </c>
      <c r="CA121" s="429">
        <v>0</v>
      </c>
      <c r="CB121" s="429">
        <v>0</v>
      </c>
      <c r="CC121" s="431">
        <v>0</v>
      </c>
    </row>
    <row r="122" spans="1:81">
      <c r="A122" s="420" t="s">
        <v>193</v>
      </c>
      <c r="B122" s="420" t="s">
        <v>180</v>
      </c>
      <c r="C122" s="436">
        <f t="shared" si="40"/>
        <v>1250.5</v>
      </c>
      <c r="D122" s="437">
        <f t="shared" si="41"/>
        <v>1137.625</v>
      </c>
      <c r="E122" s="437">
        <f t="shared" si="42"/>
        <v>853.25</v>
      </c>
      <c r="F122" s="437">
        <f t="shared" si="43"/>
        <v>1035.75</v>
      </c>
      <c r="G122" s="437">
        <f t="shared" si="44"/>
        <v>780.5</v>
      </c>
      <c r="H122" s="437">
        <f t="shared" si="45"/>
        <v>689.875</v>
      </c>
      <c r="I122" s="437">
        <f t="shared" si="46"/>
        <v>470.875</v>
      </c>
      <c r="J122" s="437">
        <f t="shared" si="47"/>
        <v>480.875</v>
      </c>
      <c r="K122" s="437">
        <f t="shared" si="48"/>
        <v>555.875</v>
      </c>
      <c r="L122" s="437">
        <f t="shared" si="49"/>
        <v>886</v>
      </c>
      <c r="M122" s="437">
        <f t="shared" si="50"/>
        <v>1097.75</v>
      </c>
      <c r="N122" s="437">
        <f t="shared" si="51"/>
        <v>0</v>
      </c>
      <c r="O122" s="438">
        <f t="shared" si="52"/>
        <v>839.89772727272725</v>
      </c>
      <c r="P122" s="439">
        <f t="shared" si="53"/>
        <v>1827.25</v>
      </c>
      <c r="Q122" s="437">
        <f t="shared" si="54"/>
        <v>1522.125</v>
      </c>
      <c r="R122" s="437">
        <f t="shared" si="55"/>
        <v>1253.25</v>
      </c>
      <c r="S122" s="437">
        <f t="shared" si="56"/>
        <v>723.66666666666663</v>
      </c>
      <c r="T122" s="437">
        <f t="shared" si="57"/>
        <v>774.875</v>
      </c>
      <c r="U122" s="437">
        <f t="shared" si="58"/>
        <v>611.75</v>
      </c>
      <c r="V122" s="437">
        <f t="shared" si="59"/>
        <v>523.875</v>
      </c>
      <c r="W122" s="437">
        <f t="shared" si="60"/>
        <v>496.625</v>
      </c>
      <c r="X122" s="437">
        <f t="shared" si="61"/>
        <v>569.625</v>
      </c>
      <c r="Y122" s="437">
        <f t="shared" si="62"/>
        <v>771.75</v>
      </c>
      <c r="Z122" s="437">
        <f t="shared" si="63"/>
        <v>605.14285714285711</v>
      </c>
      <c r="AA122" s="437">
        <f t="shared" si="64"/>
        <v>1139.8888888888889</v>
      </c>
      <c r="AB122" s="438">
        <f t="shared" si="65"/>
        <v>905.32989690721649</v>
      </c>
      <c r="AC122" s="439">
        <f t="shared" si="66"/>
        <v>0</v>
      </c>
      <c r="AD122" s="437">
        <f t="shared" si="67"/>
        <v>1168.75</v>
      </c>
      <c r="AE122" s="437">
        <f t="shared" si="68"/>
        <v>0</v>
      </c>
      <c r="AF122" s="437">
        <f t="shared" si="69"/>
        <v>1255.875</v>
      </c>
      <c r="AG122" s="437">
        <f t="shared" si="70"/>
        <v>613.33333333333337</v>
      </c>
      <c r="AH122" s="437">
        <f t="shared" si="71"/>
        <v>641.76470588235293</v>
      </c>
      <c r="AI122" s="437">
        <f t="shared" si="72"/>
        <v>477.375</v>
      </c>
      <c r="AJ122" s="437">
        <f t="shared" si="73"/>
        <v>377.625</v>
      </c>
      <c r="AK122" s="437">
        <f t="shared" si="74"/>
        <v>568.5</v>
      </c>
      <c r="AL122" s="437">
        <f t="shared" si="75"/>
        <v>916.5</v>
      </c>
      <c r="AM122" s="437">
        <f t="shared" si="76"/>
        <v>755.125</v>
      </c>
      <c r="AN122" s="437">
        <f t="shared" si="77"/>
        <v>1080.375</v>
      </c>
      <c r="AO122" s="438">
        <f t="shared" si="78"/>
        <v>801.84693877551024</v>
      </c>
      <c r="AQ122" s="428">
        <v>1250.5</v>
      </c>
      <c r="AR122" s="429">
        <v>1137.625</v>
      </c>
      <c r="AS122" s="429">
        <v>853.25</v>
      </c>
      <c r="AT122" s="429">
        <v>1035.75</v>
      </c>
      <c r="AU122" s="429">
        <v>780.5</v>
      </c>
      <c r="AV122" s="429">
        <v>689.875</v>
      </c>
      <c r="AW122" s="429">
        <v>470.875</v>
      </c>
      <c r="AX122" s="429">
        <v>480.875</v>
      </c>
      <c r="AY122" s="429">
        <v>555.875</v>
      </c>
      <c r="AZ122" s="429">
        <v>886</v>
      </c>
      <c r="BA122" s="429">
        <v>1097.75</v>
      </c>
      <c r="BB122" s="429">
        <v>0</v>
      </c>
      <c r="BC122" s="431">
        <v>839.89772727272725</v>
      </c>
      <c r="BD122" s="428">
        <v>1827.25</v>
      </c>
      <c r="BE122" s="429">
        <v>1522.125</v>
      </c>
      <c r="BF122" s="429">
        <v>1253.25</v>
      </c>
      <c r="BG122" s="429">
        <v>723.66666666666663</v>
      </c>
      <c r="BH122" s="429">
        <v>774.875</v>
      </c>
      <c r="BI122" s="429">
        <v>611.75</v>
      </c>
      <c r="BJ122" s="429">
        <v>523.875</v>
      </c>
      <c r="BK122" s="429">
        <v>496.625</v>
      </c>
      <c r="BL122" s="429">
        <v>569.625</v>
      </c>
      <c r="BM122" s="429">
        <v>771.75</v>
      </c>
      <c r="BN122" s="429">
        <v>605.14285714285711</v>
      </c>
      <c r="BO122" s="429">
        <v>1139.8888888888889</v>
      </c>
      <c r="BP122" s="431">
        <v>905.32989690721649</v>
      </c>
      <c r="BQ122" s="428">
        <v>0</v>
      </c>
      <c r="BR122" s="429">
        <v>1168.75</v>
      </c>
      <c r="BS122" s="429">
        <v>0</v>
      </c>
      <c r="BT122" s="429">
        <v>1255.875</v>
      </c>
      <c r="BU122" s="429">
        <v>613.33333333333337</v>
      </c>
      <c r="BV122" s="429">
        <v>641.76470588235293</v>
      </c>
      <c r="BW122" s="429">
        <v>477.375</v>
      </c>
      <c r="BX122" s="429">
        <v>377.625</v>
      </c>
      <c r="BY122" s="429">
        <v>568.5</v>
      </c>
      <c r="BZ122" s="429">
        <v>916.5</v>
      </c>
      <c r="CA122" s="429">
        <v>755.125</v>
      </c>
      <c r="CB122" s="429">
        <v>1080.375</v>
      </c>
      <c r="CC122" s="431">
        <v>801.84693877551024</v>
      </c>
    </row>
    <row r="123" spans="1:81">
      <c r="A123" s="420" t="s">
        <v>193</v>
      </c>
      <c r="B123" s="420" t="s">
        <v>181</v>
      </c>
      <c r="C123" s="436">
        <f t="shared" si="40"/>
        <v>0</v>
      </c>
      <c r="D123" s="437">
        <f t="shared" si="41"/>
        <v>0</v>
      </c>
      <c r="E123" s="437">
        <f t="shared" si="42"/>
        <v>0</v>
      </c>
      <c r="F123" s="437">
        <f t="shared" si="43"/>
        <v>0</v>
      </c>
      <c r="G123" s="437">
        <f t="shared" si="44"/>
        <v>0</v>
      </c>
      <c r="H123" s="437">
        <f t="shared" si="45"/>
        <v>0</v>
      </c>
      <c r="I123" s="437">
        <f t="shared" si="46"/>
        <v>0</v>
      </c>
      <c r="J123" s="437">
        <f t="shared" si="47"/>
        <v>0</v>
      </c>
      <c r="K123" s="437">
        <f t="shared" si="48"/>
        <v>0</v>
      </c>
      <c r="L123" s="437">
        <f t="shared" si="49"/>
        <v>0</v>
      </c>
      <c r="M123" s="437">
        <f t="shared" si="50"/>
        <v>0</v>
      </c>
      <c r="N123" s="437">
        <f t="shared" si="51"/>
        <v>0</v>
      </c>
      <c r="O123" s="438">
        <f t="shared" si="52"/>
        <v>0</v>
      </c>
      <c r="P123" s="439">
        <f t="shared" si="53"/>
        <v>0</v>
      </c>
      <c r="Q123" s="437">
        <f t="shared" si="54"/>
        <v>0</v>
      </c>
      <c r="R123" s="437">
        <f t="shared" si="55"/>
        <v>0</v>
      </c>
      <c r="S123" s="437">
        <f t="shared" si="56"/>
        <v>0</v>
      </c>
      <c r="T123" s="437">
        <f t="shared" si="57"/>
        <v>0</v>
      </c>
      <c r="U123" s="437">
        <f t="shared" si="58"/>
        <v>0</v>
      </c>
      <c r="V123" s="437">
        <f t="shared" si="59"/>
        <v>0</v>
      </c>
      <c r="W123" s="437">
        <f t="shared" si="60"/>
        <v>0</v>
      </c>
      <c r="X123" s="437">
        <f t="shared" si="61"/>
        <v>0</v>
      </c>
      <c r="Y123" s="437">
        <f t="shared" si="62"/>
        <v>0</v>
      </c>
      <c r="Z123" s="437">
        <f t="shared" si="63"/>
        <v>0</v>
      </c>
      <c r="AA123" s="437">
        <f t="shared" si="64"/>
        <v>0</v>
      </c>
      <c r="AB123" s="438">
        <f t="shared" si="65"/>
        <v>0</v>
      </c>
      <c r="AC123" s="439">
        <f t="shared" si="66"/>
        <v>0</v>
      </c>
      <c r="AD123" s="437">
        <f t="shared" si="67"/>
        <v>0</v>
      </c>
      <c r="AE123" s="437">
        <f t="shared" si="68"/>
        <v>0</v>
      </c>
      <c r="AF123" s="437">
        <f t="shared" si="69"/>
        <v>0</v>
      </c>
      <c r="AG123" s="437">
        <f t="shared" si="70"/>
        <v>0</v>
      </c>
      <c r="AH123" s="437">
        <f t="shared" si="71"/>
        <v>0</v>
      </c>
      <c r="AI123" s="437">
        <f t="shared" si="72"/>
        <v>0</v>
      </c>
      <c r="AJ123" s="437">
        <f t="shared" si="73"/>
        <v>0</v>
      </c>
      <c r="AK123" s="437">
        <f t="shared" si="74"/>
        <v>0</v>
      </c>
      <c r="AL123" s="437">
        <f t="shared" si="75"/>
        <v>0</v>
      </c>
      <c r="AM123" s="437">
        <f t="shared" si="76"/>
        <v>0</v>
      </c>
      <c r="AN123" s="437">
        <f t="shared" si="77"/>
        <v>0</v>
      </c>
      <c r="AO123" s="438">
        <f t="shared" si="78"/>
        <v>0</v>
      </c>
      <c r="AQ123" s="428">
        <v>0</v>
      </c>
      <c r="AR123" s="429">
        <v>0</v>
      </c>
      <c r="AS123" s="429">
        <v>0</v>
      </c>
      <c r="AT123" s="429">
        <v>0</v>
      </c>
      <c r="AU123" s="429">
        <v>0</v>
      </c>
      <c r="AV123" s="429">
        <v>0</v>
      </c>
      <c r="AW123" s="429">
        <v>0</v>
      </c>
      <c r="AX123" s="429">
        <v>0</v>
      </c>
      <c r="AY123" s="429">
        <v>0</v>
      </c>
      <c r="AZ123" s="429">
        <v>0</v>
      </c>
      <c r="BA123" s="429">
        <v>0</v>
      </c>
      <c r="BB123" s="429">
        <v>0</v>
      </c>
      <c r="BC123" s="431">
        <v>0</v>
      </c>
      <c r="BD123" s="428">
        <v>0</v>
      </c>
      <c r="BE123" s="429">
        <v>0</v>
      </c>
      <c r="BF123" s="429">
        <v>0</v>
      </c>
      <c r="BG123" s="429">
        <v>0</v>
      </c>
      <c r="BH123" s="429">
        <v>0</v>
      </c>
      <c r="BI123" s="429">
        <v>0</v>
      </c>
      <c r="BJ123" s="429">
        <v>0</v>
      </c>
      <c r="BK123" s="429">
        <v>0</v>
      </c>
      <c r="BL123" s="429">
        <v>0</v>
      </c>
      <c r="BM123" s="429">
        <v>0</v>
      </c>
      <c r="BN123" s="429">
        <v>0</v>
      </c>
      <c r="BO123" s="429">
        <v>0</v>
      </c>
      <c r="BP123" s="431">
        <v>0</v>
      </c>
      <c r="BQ123" s="428">
        <v>0</v>
      </c>
      <c r="BR123" s="429">
        <v>0</v>
      </c>
      <c r="BS123" s="429">
        <v>0</v>
      </c>
      <c r="BT123" s="429">
        <v>0</v>
      </c>
      <c r="BU123" s="429">
        <v>0</v>
      </c>
      <c r="BV123" s="429">
        <v>0</v>
      </c>
      <c r="BW123" s="429">
        <v>0</v>
      </c>
      <c r="BX123" s="429">
        <v>0</v>
      </c>
      <c r="BY123" s="429">
        <v>0</v>
      </c>
      <c r="BZ123" s="429">
        <v>0</v>
      </c>
      <c r="CA123" s="429">
        <v>0</v>
      </c>
      <c r="CB123" s="429">
        <v>0</v>
      </c>
      <c r="CC123" s="431">
        <v>0</v>
      </c>
    </row>
    <row r="124" spans="1:81">
      <c r="A124" s="420" t="s">
        <v>193</v>
      </c>
      <c r="B124" s="420" t="s">
        <v>182</v>
      </c>
      <c r="C124" s="436">
        <f t="shared" si="40"/>
        <v>5123.625</v>
      </c>
      <c r="D124" s="437">
        <f t="shared" si="41"/>
        <v>4082.25</v>
      </c>
      <c r="E124" s="437">
        <f t="shared" si="42"/>
        <v>3460.8125</v>
      </c>
      <c r="F124" s="437">
        <f t="shared" si="43"/>
        <v>3562.625</v>
      </c>
      <c r="G124" s="437">
        <f t="shared" si="44"/>
        <v>321.68181818181819</v>
      </c>
      <c r="H124" s="437">
        <f t="shared" si="45"/>
        <v>3240.9285714285716</v>
      </c>
      <c r="I124" s="437">
        <f t="shared" si="46"/>
        <v>3302.4615384615386</v>
      </c>
      <c r="J124" s="437">
        <f t="shared" si="47"/>
        <v>2699.7692307692309</v>
      </c>
      <c r="K124" s="437">
        <f t="shared" si="48"/>
        <v>1891.8888888888889</v>
      </c>
      <c r="L124" s="437">
        <f t="shared" si="49"/>
        <v>3692.7857142857142</v>
      </c>
      <c r="M124" s="437">
        <f t="shared" si="50"/>
        <v>3828.5714285714284</v>
      </c>
      <c r="N124" s="437">
        <f t="shared" si="51"/>
        <v>0</v>
      </c>
      <c r="O124" s="438">
        <f t="shared" si="52"/>
        <v>3078.4941860465115</v>
      </c>
      <c r="P124" s="439">
        <f t="shared" si="53"/>
        <v>6622.4285714285716</v>
      </c>
      <c r="Q124" s="437">
        <f t="shared" si="54"/>
        <v>5601.4285714285716</v>
      </c>
      <c r="R124" s="437">
        <f t="shared" si="55"/>
        <v>4794.7333333333336</v>
      </c>
      <c r="S124" s="437">
        <f t="shared" si="56"/>
        <v>3970.2</v>
      </c>
      <c r="T124" s="437">
        <f t="shared" si="57"/>
        <v>3365.4666666666667</v>
      </c>
      <c r="U124" s="437">
        <f t="shared" si="58"/>
        <v>3147</v>
      </c>
      <c r="V124" s="437">
        <f t="shared" si="59"/>
        <v>2687.2666666666669</v>
      </c>
      <c r="W124" s="437">
        <f t="shared" si="60"/>
        <v>3042.2</v>
      </c>
      <c r="X124" s="437">
        <f t="shared" si="61"/>
        <v>2981.3333333333335</v>
      </c>
      <c r="Y124" s="437">
        <f t="shared" si="62"/>
        <v>9186.6</v>
      </c>
      <c r="Z124" s="437">
        <f t="shared" si="63"/>
        <v>6520.2857142857147</v>
      </c>
      <c r="AA124" s="437">
        <f t="shared" si="64"/>
        <v>9651.5</v>
      </c>
      <c r="AB124" s="438">
        <f t="shared" si="65"/>
        <v>5033.666666666667</v>
      </c>
      <c r="AC124" s="439">
        <f t="shared" si="66"/>
        <v>0</v>
      </c>
      <c r="AD124" s="437">
        <f t="shared" si="67"/>
        <v>9467.9166666666661</v>
      </c>
      <c r="AE124" s="437">
        <f t="shared" si="68"/>
        <v>0</v>
      </c>
      <c r="AF124" s="437">
        <f t="shared" si="69"/>
        <v>6766.75</v>
      </c>
      <c r="AG124" s="437">
        <f t="shared" si="70"/>
        <v>11770.153846153846</v>
      </c>
      <c r="AH124" s="437">
        <f t="shared" si="71"/>
        <v>3547.5</v>
      </c>
      <c r="AI124" s="437">
        <f t="shared" si="72"/>
        <v>13297.5</v>
      </c>
      <c r="AJ124" s="437">
        <f t="shared" si="73"/>
        <v>2754.4545454545455</v>
      </c>
      <c r="AK124" s="437">
        <f t="shared" si="74"/>
        <v>6623.2</v>
      </c>
      <c r="AL124" s="437">
        <f t="shared" si="75"/>
        <v>6873.363636363636</v>
      </c>
      <c r="AM124" s="437">
        <f t="shared" si="76"/>
        <v>4866</v>
      </c>
      <c r="AN124" s="437">
        <f t="shared" si="77"/>
        <v>5742.894736842105</v>
      </c>
      <c r="AO124" s="438">
        <f t="shared" si="78"/>
        <v>7194.394736842105</v>
      </c>
      <c r="AQ124" s="428">
        <v>5123.625</v>
      </c>
      <c r="AR124" s="429">
        <v>4082.25</v>
      </c>
      <c r="AS124" s="429">
        <v>3460.8125</v>
      </c>
      <c r="AT124" s="429">
        <v>3562.625</v>
      </c>
      <c r="AU124" s="429">
        <v>321.68181818181819</v>
      </c>
      <c r="AV124" s="429">
        <v>3240.9285714285716</v>
      </c>
      <c r="AW124" s="429">
        <v>3302.4615384615386</v>
      </c>
      <c r="AX124" s="429">
        <v>2699.7692307692309</v>
      </c>
      <c r="AY124" s="429">
        <v>1891.8888888888889</v>
      </c>
      <c r="AZ124" s="429">
        <v>3692.7857142857142</v>
      </c>
      <c r="BA124" s="429">
        <v>3828.5714285714284</v>
      </c>
      <c r="BB124" s="429">
        <v>0</v>
      </c>
      <c r="BC124" s="431">
        <v>3078.4941860465115</v>
      </c>
      <c r="BD124" s="428">
        <v>6622.4285714285716</v>
      </c>
      <c r="BE124" s="429">
        <v>5601.4285714285716</v>
      </c>
      <c r="BF124" s="429">
        <v>4794.7333333333336</v>
      </c>
      <c r="BG124" s="429">
        <v>3970.2</v>
      </c>
      <c r="BH124" s="429">
        <v>3365.4666666666667</v>
      </c>
      <c r="BI124" s="429">
        <v>3147</v>
      </c>
      <c r="BJ124" s="429">
        <v>2687.2666666666669</v>
      </c>
      <c r="BK124" s="429">
        <v>3042.2</v>
      </c>
      <c r="BL124" s="429">
        <v>2981.3333333333335</v>
      </c>
      <c r="BM124" s="429">
        <v>9186.6</v>
      </c>
      <c r="BN124" s="429">
        <v>6520.2857142857147</v>
      </c>
      <c r="BO124" s="429">
        <v>9651.5</v>
      </c>
      <c r="BP124" s="431">
        <v>5033.666666666667</v>
      </c>
      <c r="BQ124" s="428">
        <v>0</v>
      </c>
      <c r="BR124" s="429">
        <v>9467.9166666666661</v>
      </c>
      <c r="BS124" s="429">
        <v>0</v>
      </c>
      <c r="BT124" s="429">
        <v>6766.75</v>
      </c>
      <c r="BU124" s="429">
        <v>11770.153846153846</v>
      </c>
      <c r="BV124" s="429">
        <v>3547.5</v>
      </c>
      <c r="BW124" s="429">
        <v>13297.5</v>
      </c>
      <c r="BX124" s="429">
        <v>2754.4545454545455</v>
      </c>
      <c r="BY124" s="429">
        <v>6623.2</v>
      </c>
      <c r="BZ124" s="429">
        <v>6873.363636363636</v>
      </c>
      <c r="CA124" s="429">
        <v>4866</v>
      </c>
      <c r="CB124" s="429">
        <v>5742.894736842105</v>
      </c>
      <c r="CC124" s="431">
        <v>7194.394736842105</v>
      </c>
    </row>
    <row r="125" spans="1:81">
      <c r="A125" s="420" t="s">
        <v>193</v>
      </c>
      <c r="B125" s="420" t="s">
        <v>183</v>
      </c>
      <c r="C125" s="436">
        <f t="shared" si="40"/>
        <v>0</v>
      </c>
      <c r="D125" s="437">
        <f t="shared" si="41"/>
        <v>0</v>
      </c>
      <c r="E125" s="437">
        <f t="shared" si="42"/>
        <v>0</v>
      </c>
      <c r="F125" s="437">
        <f t="shared" si="43"/>
        <v>0</v>
      </c>
      <c r="G125" s="437">
        <f t="shared" si="44"/>
        <v>0</v>
      </c>
      <c r="H125" s="437">
        <f t="shared" si="45"/>
        <v>0</v>
      </c>
      <c r="I125" s="437">
        <f t="shared" si="46"/>
        <v>0</v>
      </c>
      <c r="J125" s="437">
        <f t="shared" si="47"/>
        <v>0</v>
      </c>
      <c r="K125" s="437">
        <f t="shared" si="48"/>
        <v>0</v>
      </c>
      <c r="L125" s="437">
        <f t="shared" si="49"/>
        <v>0</v>
      </c>
      <c r="M125" s="437">
        <f t="shared" si="50"/>
        <v>0</v>
      </c>
      <c r="N125" s="437">
        <f t="shared" si="51"/>
        <v>0</v>
      </c>
      <c r="O125" s="438">
        <f t="shared" si="52"/>
        <v>0</v>
      </c>
      <c r="P125" s="439">
        <f t="shared" si="53"/>
        <v>0</v>
      </c>
      <c r="Q125" s="437">
        <f t="shared" si="54"/>
        <v>0</v>
      </c>
      <c r="R125" s="437">
        <f t="shared" si="55"/>
        <v>0</v>
      </c>
      <c r="S125" s="437">
        <f t="shared" si="56"/>
        <v>0</v>
      </c>
      <c r="T125" s="437">
        <f t="shared" si="57"/>
        <v>0</v>
      </c>
      <c r="U125" s="437">
        <f t="shared" si="58"/>
        <v>0</v>
      </c>
      <c r="V125" s="437">
        <f t="shared" si="59"/>
        <v>0</v>
      </c>
      <c r="W125" s="437">
        <f t="shared" si="60"/>
        <v>0</v>
      </c>
      <c r="X125" s="437">
        <f t="shared" si="61"/>
        <v>0</v>
      </c>
      <c r="Y125" s="437">
        <f t="shared" si="62"/>
        <v>0</v>
      </c>
      <c r="Z125" s="437">
        <f t="shared" si="63"/>
        <v>0</v>
      </c>
      <c r="AA125" s="437">
        <f t="shared" si="64"/>
        <v>0</v>
      </c>
      <c r="AB125" s="438">
        <f t="shared" si="65"/>
        <v>0</v>
      </c>
      <c r="AC125" s="439">
        <f t="shared" si="66"/>
        <v>0</v>
      </c>
      <c r="AD125" s="437">
        <f t="shared" si="67"/>
        <v>0</v>
      </c>
      <c r="AE125" s="437">
        <f t="shared" si="68"/>
        <v>0</v>
      </c>
      <c r="AF125" s="437">
        <f t="shared" si="69"/>
        <v>0</v>
      </c>
      <c r="AG125" s="437">
        <f t="shared" si="70"/>
        <v>0</v>
      </c>
      <c r="AH125" s="437">
        <f t="shared" si="71"/>
        <v>0</v>
      </c>
      <c r="AI125" s="437">
        <f t="shared" si="72"/>
        <v>0</v>
      </c>
      <c r="AJ125" s="437">
        <f t="shared" si="73"/>
        <v>0</v>
      </c>
      <c r="AK125" s="437">
        <f t="shared" si="74"/>
        <v>0</v>
      </c>
      <c r="AL125" s="437">
        <f t="shared" si="75"/>
        <v>0</v>
      </c>
      <c r="AM125" s="437">
        <f t="shared" si="76"/>
        <v>0</v>
      </c>
      <c r="AN125" s="437">
        <f t="shared" si="77"/>
        <v>0</v>
      </c>
      <c r="AO125" s="438">
        <f t="shared" si="78"/>
        <v>0</v>
      </c>
      <c r="AQ125" s="428">
        <v>0</v>
      </c>
      <c r="AR125" s="429">
        <v>0</v>
      </c>
      <c r="AS125" s="429">
        <v>0</v>
      </c>
      <c r="AT125" s="429">
        <v>0</v>
      </c>
      <c r="AU125" s="429">
        <v>0</v>
      </c>
      <c r="AV125" s="429">
        <v>0</v>
      </c>
      <c r="AW125" s="429">
        <v>0</v>
      </c>
      <c r="AX125" s="429">
        <v>0</v>
      </c>
      <c r="AY125" s="429">
        <v>0</v>
      </c>
      <c r="AZ125" s="429">
        <v>0</v>
      </c>
      <c r="BA125" s="429">
        <v>0</v>
      </c>
      <c r="BB125" s="429">
        <v>0</v>
      </c>
      <c r="BC125" s="431">
        <v>0</v>
      </c>
      <c r="BD125" s="428">
        <v>0</v>
      </c>
      <c r="BE125" s="429">
        <v>0</v>
      </c>
      <c r="BF125" s="429">
        <v>0</v>
      </c>
      <c r="BG125" s="429">
        <v>0</v>
      </c>
      <c r="BH125" s="429">
        <v>0</v>
      </c>
      <c r="BI125" s="429">
        <v>0</v>
      </c>
      <c r="BJ125" s="429">
        <v>0</v>
      </c>
      <c r="BK125" s="429">
        <v>0</v>
      </c>
      <c r="BL125" s="429">
        <v>0</v>
      </c>
      <c r="BM125" s="429">
        <v>0</v>
      </c>
      <c r="BN125" s="429">
        <v>0</v>
      </c>
      <c r="BO125" s="429">
        <v>0</v>
      </c>
      <c r="BP125" s="431">
        <v>0</v>
      </c>
      <c r="BQ125" s="428">
        <v>0</v>
      </c>
      <c r="BR125" s="429">
        <v>0</v>
      </c>
      <c r="BS125" s="429">
        <v>0</v>
      </c>
      <c r="BT125" s="429">
        <v>0</v>
      </c>
      <c r="BU125" s="429">
        <v>0</v>
      </c>
      <c r="BV125" s="429">
        <v>0</v>
      </c>
      <c r="BW125" s="429">
        <v>0</v>
      </c>
      <c r="BX125" s="429">
        <v>0</v>
      </c>
      <c r="BY125" s="429">
        <v>0</v>
      </c>
      <c r="BZ125" s="429">
        <v>0</v>
      </c>
      <c r="CA125" s="429">
        <v>0</v>
      </c>
      <c r="CB125" s="429">
        <v>0</v>
      </c>
      <c r="CC125" s="431">
        <v>0</v>
      </c>
    </row>
    <row r="126" spans="1:81">
      <c r="A126" s="445"/>
      <c r="B126" s="445"/>
      <c r="C126" s="446"/>
      <c r="D126" s="447"/>
      <c r="E126" s="447"/>
      <c r="F126" s="447"/>
      <c r="G126" s="447"/>
      <c r="H126" s="447"/>
      <c r="I126" s="447"/>
      <c r="J126" s="447"/>
      <c r="K126" s="447"/>
      <c r="L126" s="447"/>
      <c r="M126" s="447"/>
      <c r="N126" s="447"/>
      <c r="O126" s="448"/>
      <c r="P126" s="449"/>
      <c r="Q126" s="447"/>
      <c r="R126" s="447"/>
      <c r="S126" s="447"/>
      <c r="T126" s="447"/>
      <c r="U126" s="447"/>
      <c r="V126" s="447"/>
      <c r="W126" s="447"/>
      <c r="X126" s="447"/>
      <c r="Y126" s="447"/>
      <c r="Z126" s="447"/>
      <c r="AA126" s="447"/>
      <c r="AB126" s="448"/>
      <c r="AC126" s="449"/>
      <c r="AD126" s="447"/>
      <c r="AE126" s="447"/>
      <c r="AF126" s="447"/>
      <c r="AG126" s="447"/>
      <c r="AH126" s="447"/>
      <c r="AI126" s="447"/>
      <c r="AJ126" s="447"/>
      <c r="AK126" s="447"/>
      <c r="AL126" s="447"/>
      <c r="AM126" s="447"/>
      <c r="AN126" s="447"/>
      <c r="AO126" s="448"/>
      <c r="AQ126" s="450"/>
      <c r="AR126" s="451"/>
      <c r="AS126" s="451"/>
      <c r="AT126" s="451"/>
      <c r="AU126" s="451"/>
      <c r="AV126" s="451"/>
      <c r="AW126" s="451"/>
      <c r="AX126" s="451"/>
      <c r="AY126" s="451"/>
      <c r="AZ126" s="451"/>
      <c r="BA126" s="451"/>
      <c r="BB126" s="451"/>
      <c r="BC126" s="452"/>
      <c r="BD126" s="453"/>
      <c r="BE126" s="451"/>
      <c r="BF126" s="451"/>
      <c r="BG126" s="451"/>
      <c r="BH126" s="451"/>
      <c r="BI126" s="451"/>
      <c r="BJ126" s="451"/>
      <c r="BK126" s="451"/>
      <c r="BL126" s="451"/>
      <c r="BM126" s="451"/>
      <c r="BN126" s="451"/>
      <c r="BO126" s="451"/>
      <c r="BP126" s="452"/>
      <c r="BQ126" s="453"/>
      <c r="BR126" s="451"/>
      <c r="BS126" s="451"/>
      <c r="BT126" s="451"/>
      <c r="BU126" s="451"/>
      <c r="BV126" s="451"/>
      <c r="BW126" s="451"/>
      <c r="BX126" s="451"/>
      <c r="BY126" s="451"/>
      <c r="BZ126" s="451"/>
      <c r="CA126" s="451"/>
      <c r="CB126" s="451"/>
      <c r="CC126" s="452"/>
    </row>
    <row r="127" spans="1:81">
      <c r="B127" s="456" t="s">
        <v>194</v>
      </c>
      <c r="C127" s="436"/>
      <c r="D127" s="437"/>
      <c r="E127" s="437"/>
      <c r="F127" s="437"/>
      <c r="G127" s="437"/>
      <c r="H127" s="437"/>
      <c r="I127" s="437"/>
      <c r="J127" s="437"/>
      <c r="K127" s="437"/>
      <c r="L127" s="437"/>
      <c r="M127" s="437"/>
      <c r="N127" s="437"/>
      <c r="O127" s="438"/>
      <c r="P127" s="439"/>
      <c r="Q127" s="437"/>
      <c r="R127" s="437"/>
      <c r="S127" s="437"/>
      <c r="T127" s="437"/>
      <c r="U127" s="437"/>
      <c r="V127" s="437"/>
      <c r="W127" s="437"/>
      <c r="X127" s="437"/>
      <c r="Y127" s="437"/>
      <c r="Z127" s="437"/>
      <c r="AA127" s="437"/>
      <c r="AB127" s="438"/>
      <c r="AC127" s="439"/>
      <c r="AD127" s="437"/>
      <c r="AE127" s="437"/>
      <c r="AF127" s="437"/>
      <c r="AG127" s="437"/>
      <c r="AH127" s="437"/>
      <c r="AI127" s="437"/>
      <c r="AJ127" s="437"/>
      <c r="AK127" s="437"/>
      <c r="AL127" s="437"/>
      <c r="AM127" s="437"/>
      <c r="AN127" s="437"/>
      <c r="AO127" s="438"/>
      <c r="AQ127" s="428"/>
      <c r="AR127" s="429"/>
      <c r="AS127" s="429"/>
      <c r="AT127" s="429"/>
      <c r="AU127" s="429"/>
      <c r="AV127" s="429"/>
      <c r="AW127" s="429"/>
      <c r="AX127" s="429"/>
      <c r="AY127" s="429"/>
      <c r="AZ127" s="429"/>
      <c r="BA127" s="429"/>
      <c r="BB127" s="429"/>
      <c r="BC127" s="431"/>
      <c r="BD127" s="428"/>
      <c r="BE127" s="429"/>
      <c r="BF127" s="429"/>
      <c r="BG127" s="429"/>
      <c r="BH127" s="429"/>
      <c r="BI127" s="429"/>
      <c r="BJ127" s="429"/>
      <c r="BK127" s="429"/>
      <c r="BL127" s="429"/>
      <c r="BM127" s="429"/>
      <c r="BN127" s="429"/>
      <c r="BO127" s="429"/>
      <c r="BP127" s="431"/>
      <c r="BQ127" s="428"/>
      <c r="BR127" s="429"/>
      <c r="BS127" s="429"/>
      <c r="BT127" s="429"/>
      <c r="BU127" s="429"/>
      <c r="BV127" s="429"/>
      <c r="BW127" s="429"/>
      <c r="BX127" s="429"/>
      <c r="BY127" s="429"/>
      <c r="BZ127" s="429"/>
      <c r="CA127" s="429"/>
      <c r="CB127" s="429"/>
      <c r="CC127" s="431"/>
    </row>
    <row r="128" spans="1:81">
      <c r="A128" s="420" t="s">
        <v>194</v>
      </c>
      <c r="B128" s="420" t="s">
        <v>175</v>
      </c>
      <c r="C128" s="436">
        <f t="shared" si="40"/>
        <v>2068.6451612903224</v>
      </c>
      <c r="D128" s="437">
        <f t="shared" si="41"/>
        <v>1981.9193548387098</v>
      </c>
      <c r="E128" s="437">
        <f t="shared" si="42"/>
        <v>1828.5588235294117</v>
      </c>
      <c r="F128" s="437">
        <f t="shared" si="43"/>
        <v>1945.090909090909</v>
      </c>
      <c r="G128" s="437">
        <f t="shared" si="44"/>
        <v>1411.1940298507463</v>
      </c>
      <c r="H128" s="437">
        <f t="shared" si="45"/>
        <v>903.19178082191786</v>
      </c>
      <c r="I128" s="437">
        <f t="shared" si="46"/>
        <v>970.35135135135135</v>
      </c>
      <c r="J128" s="437">
        <f t="shared" si="47"/>
        <v>802.88059701492534</v>
      </c>
      <c r="K128" s="437">
        <f t="shared" si="48"/>
        <v>740.52777777777783</v>
      </c>
      <c r="L128" s="437">
        <f t="shared" si="49"/>
        <v>902.97222222222217</v>
      </c>
      <c r="M128" s="437">
        <f t="shared" si="50"/>
        <v>1483.5833333333333</v>
      </c>
      <c r="N128" s="437">
        <f t="shared" si="51"/>
        <v>1761.0714285714287</v>
      </c>
      <c r="O128" s="438">
        <f t="shared" si="52"/>
        <v>1379.830303030303</v>
      </c>
      <c r="P128" s="439">
        <f t="shared" si="53"/>
        <v>2222.9852941176468</v>
      </c>
      <c r="Q128" s="437">
        <f t="shared" si="54"/>
        <v>2036.6712328767123</v>
      </c>
      <c r="R128" s="437">
        <f t="shared" si="55"/>
        <v>1992.925</v>
      </c>
      <c r="S128" s="437">
        <f t="shared" si="56"/>
        <v>1793.0422535211267</v>
      </c>
      <c r="T128" s="437">
        <f t="shared" si="57"/>
        <v>1493.8591549295775</v>
      </c>
      <c r="U128" s="437">
        <f t="shared" si="58"/>
        <v>1257.4647887323943</v>
      </c>
      <c r="V128" s="437">
        <f t="shared" si="59"/>
        <v>949.15942028985512</v>
      </c>
      <c r="W128" s="437">
        <f t="shared" si="60"/>
        <v>809.35294117647061</v>
      </c>
      <c r="X128" s="437">
        <f t="shared" si="61"/>
        <v>774.25333333333333</v>
      </c>
      <c r="Y128" s="437">
        <f t="shared" si="62"/>
        <v>1109.7042253521126</v>
      </c>
      <c r="Z128" s="437">
        <f t="shared" si="63"/>
        <v>1208.2083333333333</v>
      </c>
      <c r="AA128" s="437">
        <f t="shared" si="64"/>
        <v>1940.7183098591549</v>
      </c>
      <c r="AB128" s="438">
        <f t="shared" si="65"/>
        <v>1469.8744186046511</v>
      </c>
      <c r="AC128" s="439">
        <f t="shared" si="66"/>
        <v>2489.1267605633802</v>
      </c>
      <c r="AD128" s="437">
        <f t="shared" si="67"/>
        <v>2435.3380281690143</v>
      </c>
      <c r="AE128" s="437">
        <f t="shared" si="68"/>
        <v>2303.8732394366198</v>
      </c>
      <c r="AF128" s="437">
        <f t="shared" si="69"/>
        <v>1848.0422535211267</v>
      </c>
      <c r="AG128" s="437">
        <f t="shared" si="70"/>
        <v>1827.5138888888889</v>
      </c>
      <c r="AH128" s="437">
        <f t="shared" si="71"/>
        <v>1568.5857142857142</v>
      </c>
      <c r="AI128" s="437">
        <f t="shared" si="72"/>
        <v>1054.4027777777778</v>
      </c>
      <c r="AJ128" s="437">
        <f t="shared" si="73"/>
        <v>777.78260869565213</v>
      </c>
      <c r="AK128" s="437">
        <f t="shared" si="74"/>
        <v>837.90666666666664</v>
      </c>
      <c r="AL128" s="437">
        <f t="shared" si="75"/>
        <v>1074.8873239436621</v>
      </c>
      <c r="AM128" s="437">
        <f t="shared" si="76"/>
        <v>1666.96</v>
      </c>
      <c r="AN128" s="437">
        <f t="shared" si="77"/>
        <v>1915.6527777777778</v>
      </c>
      <c r="AO128" s="438">
        <f t="shared" si="78"/>
        <v>1648.253488372093</v>
      </c>
      <c r="AQ128" s="428">
        <v>2068.6451612903224</v>
      </c>
      <c r="AR128" s="429">
        <v>1981.9193548387098</v>
      </c>
      <c r="AS128" s="429">
        <v>1828.5588235294117</v>
      </c>
      <c r="AT128" s="429">
        <v>1945.090909090909</v>
      </c>
      <c r="AU128" s="429">
        <v>1411.1940298507463</v>
      </c>
      <c r="AV128" s="429">
        <v>903.19178082191786</v>
      </c>
      <c r="AW128" s="429">
        <v>970.35135135135135</v>
      </c>
      <c r="AX128" s="429">
        <v>802.88059701492534</v>
      </c>
      <c r="AY128" s="429">
        <v>740.52777777777783</v>
      </c>
      <c r="AZ128" s="429">
        <v>902.97222222222217</v>
      </c>
      <c r="BA128" s="429">
        <v>1483.5833333333333</v>
      </c>
      <c r="BB128" s="429">
        <v>1761.0714285714287</v>
      </c>
      <c r="BC128" s="431">
        <v>1379.830303030303</v>
      </c>
      <c r="BD128" s="428">
        <v>2222.9852941176468</v>
      </c>
      <c r="BE128" s="429">
        <v>2036.6712328767123</v>
      </c>
      <c r="BF128" s="429">
        <v>1992.925</v>
      </c>
      <c r="BG128" s="429">
        <v>1793.0422535211267</v>
      </c>
      <c r="BH128" s="429">
        <v>1493.8591549295775</v>
      </c>
      <c r="BI128" s="429">
        <v>1257.4647887323943</v>
      </c>
      <c r="BJ128" s="429">
        <v>949.15942028985512</v>
      </c>
      <c r="BK128" s="429">
        <v>809.35294117647061</v>
      </c>
      <c r="BL128" s="429">
        <v>774.25333333333333</v>
      </c>
      <c r="BM128" s="429">
        <v>1109.7042253521126</v>
      </c>
      <c r="BN128" s="429">
        <v>1208.2083333333333</v>
      </c>
      <c r="BO128" s="429">
        <v>1940.7183098591549</v>
      </c>
      <c r="BP128" s="431">
        <v>1469.8744186046511</v>
      </c>
      <c r="BQ128" s="428">
        <v>2489.1267605633802</v>
      </c>
      <c r="BR128" s="429">
        <v>2435.3380281690143</v>
      </c>
      <c r="BS128" s="429">
        <v>2303.8732394366198</v>
      </c>
      <c r="BT128" s="429">
        <v>1848.0422535211267</v>
      </c>
      <c r="BU128" s="429">
        <v>1827.5138888888889</v>
      </c>
      <c r="BV128" s="429">
        <v>1568.5857142857142</v>
      </c>
      <c r="BW128" s="429">
        <v>1054.4027777777778</v>
      </c>
      <c r="BX128" s="429">
        <v>777.78260869565213</v>
      </c>
      <c r="BY128" s="429">
        <v>837.90666666666664</v>
      </c>
      <c r="BZ128" s="429">
        <v>1074.8873239436621</v>
      </c>
      <c r="CA128" s="429">
        <v>1666.96</v>
      </c>
      <c r="CB128" s="429">
        <v>1915.6527777777778</v>
      </c>
      <c r="CC128" s="431">
        <v>1648.253488372093</v>
      </c>
    </row>
    <row r="129" spans="1:81">
      <c r="A129" s="420" t="s">
        <v>194</v>
      </c>
      <c r="B129" s="420" t="s">
        <v>176</v>
      </c>
      <c r="C129" s="436">
        <f t="shared" si="40"/>
        <v>0</v>
      </c>
      <c r="D129" s="437">
        <f t="shared" si="41"/>
        <v>0</v>
      </c>
      <c r="E129" s="437">
        <f t="shared" si="42"/>
        <v>0</v>
      </c>
      <c r="F129" s="437">
        <f t="shared" si="43"/>
        <v>0</v>
      </c>
      <c r="G129" s="437">
        <f t="shared" si="44"/>
        <v>0</v>
      </c>
      <c r="H129" s="437">
        <f t="shared" si="45"/>
        <v>0</v>
      </c>
      <c r="I129" s="437">
        <f t="shared" si="46"/>
        <v>0</v>
      </c>
      <c r="J129" s="437">
        <f t="shared" si="47"/>
        <v>0</v>
      </c>
      <c r="K129" s="437">
        <f t="shared" si="48"/>
        <v>0</v>
      </c>
      <c r="L129" s="437">
        <f t="shared" si="49"/>
        <v>0</v>
      </c>
      <c r="M129" s="437">
        <f t="shared" si="50"/>
        <v>0</v>
      </c>
      <c r="N129" s="437">
        <f t="shared" si="51"/>
        <v>0</v>
      </c>
      <c r="O129" s="438">
        <f t="shared" si="52"/>
        <v>0</v>
      </c>
      <c r="P129" s="439">
        <f t="shared" si="53"/>
        <v>0</v>
      </c>
      <c r="Q129" s="437">
        <f t="shared" si="54"/>
        <v>0</v>
      </c>
      <c r="R129" s="437">
        <f t="shared" si="55"/>
        <v>0</v>
      </c>
      <c r="S129" s="437">
        <f t="shared" si="56"/>
        <v>0</v>
      </c>
      <c r="T129" s="437">
        <f t="shared" si="57"/>
        <v>0</v>
      </c>
      <c r="U129" s="437">
        <f t="shared" si="58"/>
        <v>0</v>
      </c>
      <c r="V129" s="437">
        <f t="shared" si="59"/>
        <v>0</v>
      </c>
      <c r="W129" s="437">
        <f t="shared" si="60"/>
        <v>0</v>
      </c>
      <c r="X129" s="437">
        <f t="shared" si="61"/>
        <v>0</v>
      </c>
      <c r="Y129" s="437">
        <f t="shared" si="62"/>
        <v>0</v>
      </c>
      <c r="Z129" s="437">
        <f t="shared" si="63"/>
        <v>0</v>
      </c>
      <c r="AA129" s="437">
        <f t="shared" si="64"/>
        <v>0</v>
      </c>
      <c r="AB129" s="438">
        <f t="shared" si="65"/>
        <v>0</v>
      </c>
      <c r="AC129" s="439">
        <f t="shared" si="66"/>
        <v>0</v>
      </c>
      <c r="AD129" s="437">
        <f t="shared" si="67"/>
        <v>0</v>
      </c>
      <c r="AE129" s="437">
        <f t="shared" si="68"/>
        <v>0</v>
      </c>
      <c r="AF129" s="437">
        <f t="shared" si="69"/>
        <v>0</v>
      </c>
      <c r="AG129" s="437">
        <f t="shared" si="70"/>
        <v>0</v>
      </c>
      <c r="AH129" s="437">
        <f t="shared" si="71"/>
        <v>0</v>
      </c>
      <c r="AI129" s="437">
        <f t="shared" si="72"/>
        <v>0</v>
      </c>
      <c r="AJ129" s="437">
        <f t="shared" si="73"/>
        <v>0</v>
      </c>
      <c r="AK129" s="437">
        <f t="shared" si="74"/>
        <v>0</v>
      </c>
      <c r="AL129" s="437">
        <f t="shared" si="75"/>
        <v>0</v>
      </c>
      <c r="AM129" s="437">
        <f t="shared" si="76"/>
        <v>0</v>
      </c>
      <c r="AN129" s="437">
        <f t="shared" si="77"/>
        <v>0</v>
      </c>
      <c r="AO129" s="438">
        <f t="shared" si="78"/>
        <v>0</v>
      </c>
      <c r="AQ129" s="428">
        <v>0</v>
      </c>
      <c r="AR129" s="429">
        <v>0</v>
      </c>
      <c r="AS129" s="429">
        <v>0</v>
      </c>
      <c r="AT129" s="429">
        <v>0</v>
      </c>
      <c r="AU129" s="429">
        <v>0</v>
      </c>
      <c r="AV129" s="429">
        <v>0</v>
      </c>
      <c r="AW129" s="429">
        <v>0</v>
      </c>
      <c r="AX129" s="429">
        <v>0</v>
      </c>
      <c r="AY129" s="429">
        <v>0</v>
      </c>
      <c r="AZ129" s="429">
        <v>0</v>
      </c>
      <c r="BA129" s="429">
        <v>0</v>
      </c>
      <c r="BB129" s="429">
        <v>0</v>
      </c>
      <c r="BC129" s="431">
        <v>0</v>
      </c>
      <c r="BD129" s="428">
        <v>0</v>
      </c>
      <c r="BE129" s="429">
        <v>0</v>
      </c>
      <c r="BF129" s="429">
        <v>0</v>
      </c>
      <c r="BG129" s="429">
        <v>0</v>
      </c>
      <c r="BH129" s="429">
        <v>0</v>
      </c>
      <c r="BI129" s="429">
        <v>0</v>
      </c>
      <c r="BJ129" s="429">
        <v>0</v>
      </c>
      <c r="BK129" s="429">
        <v>0</v>
      </c>
      <c r="BL129" s="429">
        <v>0</v>
      </c>
      <c r="BM129" s="429">
        <v>0</v>
      </c>
      <c r="BN129" s="429">
        <v>0</v>
      </c>
      <c r="BO129" s="429">
        <v>0</v>
      </c>
      <c r="BP129" s="431">
        <v>0</v>
      </c>
      <c r="BQ129" s="428">
        <v>0</v>
      </c>
      <c r="BR129" s="429">
        <v>0</v>
      </c>
      <c r="BS129" s="429">
        <v>0</v>
      </c>
      <c r="BT129" s="429">
        <v>0</v>
      </c>
      <c r="BU129" s="429">
        <v>0</v>
      </c>
      <c r="BV129" s="429">
        <v>0</v>
      </c>
      <c r="BW129" s="429">
        <v>0</v>
      </c>
      <c r="BX129" s="429">
        <v>0</v>
      </c>
      <c r="BY129" s="429">
        <v>0</v>
      </c>
      <c r="BZ129" s="429">
        <v>0</v>
      </c>
      <c r="CA129" s="429">
        <v>0</v>
      </c>
      <c r="CB129" s="429">
        <v>0</v>
      </c>
      <c r="CC129" s="431">
        <v>0</v>
      </c>
    </row>
    <row r="130" spans="1:81">
      <c r="A130" s="420" t="s">
        <v>194</v>
      </c>
      <c r="B130" s="420" t="s">
        <v>177</v>
      </c>
      <c r="C130" s="436">
        <f t="shared" si="40"/>
        <v>2999.8571428571427</v>
      </c>
      <c r="D130" s="437">
        <f t="shared" si="41"/>
        <v>3123.2857142857142</v>
      </c>
      <c r="E130" s="437">
        <f t="shared" si="42"/>
        <v>2891.2857142857142</v>
      </c>
      <c r="F130" s="437">
        <f t="shared" si="43"/>
        <v>3674.4285714285716</v>
      </c>
      <c r="G130" s="437">
        <f t="shared" si="44"/>
        <v>2036.2857142857142</v>
      </c>
      <c r="H130" s="437">
        <f t="shared" si="45"/>
        <v>1404.8888888888889</v>
      </c>
      <c r="I130" s="437">
        <f t="shared" si="46"/>
        <v>1190.5</v>
      </c>
      <c r="J130" s="437">
        <f t="shared" si="47"/>
        <v>989.25</v>
      </c>
      <c r="K130" s="437">
        <f t="shared" si="48"/>
        <v>1215.25</v>
      </c>
      <c r="L130" s="437">
        <f t="shared" si="49"/>
        <v>1147</v>
      </c>
      <c r="M130" s="437">
        <f t="shared" si="50"/>
        <v>2109.875</v>
      </c>
      <c r="N130" s="437">
        <f t="shared" si="51"/>
        <v>2381.25</v>
      </c>
      <c r="O130" s="438">
        <f t="shared" si="52"/>
        <v>2033.6774193548388</v>
      </c>
      <c r="P130" s="439">
        <f t="shared" si="53"/>
        <v>3537.5</v>
      </c>
      <c r="Q130" s="437">
        <f t="shared" si="54"/>
        <v>3235.625</v>
      </c>
      <c r="R130" s="437">
        <f t="shared" si="55"/>
        <v>3365.2222222222222</v>
      </c>
      <c r="S130" s="437">
        <f t="shared" si="56"/>
        <v>2522.7142857142858</v>
      </c>
      <c r="T130" s="437">
        <f t="shared" si="57"/>
        <v>2023.7142857142858</v>
      </c>
      <c r="U130" s="437">
        <f t="shared" si="58"/>
        <v>1622.1428571428571</v>
      </c>
      <c r="V130" s="437">
        <f t="shared" si="59"/>
        <v>2386.6666666666665</v>
      </c>
      <c r="W130" s="437">
        <f t="shared" si="60"/>
        <v>866</v>
      </c>
      <c r="X130" s="437">
        <f t="shared" si="61"/>
        <v>1564.625</v>
      </c>
      <c r="Y130" s="437">
        <f t="shared" si="62"/>
        <v>1873.5714285714287</v>
      </c>
      <c r="Z130" s="437">
        <f t="shared" si="63"/>
        <v>1366.2857142857142</v>
      </c>
      <c r="AA130" s="437">
        <f t="shared" si="64"/>
        <v>2725.5714285714284</v>
      </c>
      <c r="AB130" s="438">
        <f t="shared" si="65"/>
        <v>2267.1222222222223</v>
      </c>
      <c r="AC130" s="439">
        <f t="shared" si="66"/>
        <v>4284</v>
      </c>
      <c r="AD130" s="437">
        <f t="shared" si="67"/>
        <v>3604.5714285714284</v>
      </c>
      <c r="AE130" s="437">
        <f t="shared" si="68"/>
        <v>4524.4285714285716</v>
      </c>
      <c r="AF130" s="437">
        <f t="shared" si="69"/>
        <v>3844.2857142857142</v>
      </c>
      <c r="AG130" s="437">
        <f t="shared" si="70"/>
        <v>3061.7142857142858</v>
      </c>
      <c r="AH130" s="437">
        <f t="shared" si="71"/>
        <v>2816.1428571428573</v>
      </c>
      <c r="AI130" s="437">
        <f t="shared" si="72"/>
        <v>2113.5714285714284</v>
      </c>
      <c r="AJ130" s="437">
        <f t="shared" si="73"/>
        <v>688.71428571428567</v>
      </c>
      <c r="AK130" s="437">
        <f t="shared" si="74"/>
        <v>1807</v>
      </c>
      <c r="AL130" s="437">
        <f t="shared" si="75"/>
        <v>1407.5714285714287</v>
      </c>
      <c r="AM130" s="437">
        <f t="shared" si="76"/>
        <v>2680.8571428571427</v>
      </c>
      <c r="AN130" s="437">
        <f t="shared" si="77"/>
        <v>3073.4285714285716</v>
      </c>
      <c r="AO130" s="438">
        <f t="shared" si="78"/>
        <v>2825.5238095238096</v>
      </c>
      <c r="AQ130" s="428">
        <v>2999.8571428571427</v>
      </c>
      <c r="AR130" s="429">
        <v>3123.2857142857142</v>
      </c>
      <c r="AS130" s="429">
        <v>2891.2857142857142</v>
      </c>
      <c r="AT130" s="429">
        <v>3674.4285714285716</v>
      </c>
      <c r="AU130" s="429">
        <v>2036.2857142857142</v>
      </c>
      <c r="AV130" s="429">
        <v>1404.8888888888889</v>
      </c>
      <c r="AW130" s="429">
        <v>1190.5</v>
      </c>
      <c r="AX130" s="429">
        <v>989.25</v>
      </c>
      <c r="AY130" s="429">
        <v>1215.25</v>
      </c>
      <c r="AZ130" s="429">
        <v>1147</v>
      </c>
      <c r="BA130" s="429">
        <v>2109.875</v>
      </c>
      <c r="BB130" s="429">
        <v>2381.25</v>
      </c>
      <c r="BC130" s="431">
        <v>2033.6774193548388</v>
      </c>
      <c r="BD130" s="428">
        <v>3537.5</v>
      </c>
      <c r="BE130" s="429">
        <v>3235.625</v>
      </c>
      <c r="BF130" s="429">
        <v>3365.2222222222222</v>
      </c>
      <c r="BG130" s="429">
        <v>2522.7142857142858</v>
      </c>
      <c r="BH130" s="429">
        <v>2023.7142857142858</v>
      </c>
      <c r="BI130" s="429">
        <v>1622.1428571428571</v>
      </c>
      <c r="BJ130" s="429">
        <v>2386.6666666666665</v>
      </c>
      <c r="BK130" s="429">
        <v>866</v>
      </c>
      <c r="BL130" s="429">
        <v>1564.625</v>
      </c>
      <c r="BM130" s="429">
        <v>1873.5714285714287</v>
      </c>
      <c r="BN130" s="429">
        <v>1366.2857142857142</v>
      </c>
      <c r="BO130" s="429">
        <v>2725.5714285714284</v>
      </c>
      <c r="BP130" s="431">
        <v>2267.1222222222223</v>
      </c>
      <c r="BQ130" s="428">
        <v>4284</v>
      </c>
      <c r="BR130" s="429">
        <v>3604.5714285714284</v>
      </c>
      <c r="BS130" s="429">
        <v>4524.4285714285716</v>
      </c>
      <c r="BT130" s="429">
        <v>3844.2857142857142</v>
      </c>
      <c r="BU130" s="429">
        <v>3061.7142857142858</v>
      </c>
      <c r="BV130" s="429">
        <v>2816.1428571428573</v>
      </c>
      <c r="BW130" s="429">
        <v>2113.5714285714284</v>
      </c>
      <c r="BX130" s="429">
        <v>688.71428571428567</v>
      </c>
      <c r="BY130" s="429">
        <v>1807</v>
      </c>
      <c r="BZ130" s="429">
        <v>1407.5714285714287</v>
      </c>
      <c r="CA130" s="429">
        <v>2680.8571428571427</v>
      </c>
      <c r="CB130" s="429">
        <v>3073.4285714285716</v>
      </c>
      <c r="CC130" s="431">
        <v>2825.5238095238096</v>
      </c>
    </row>
    <row r="131" spans="1:81">
      <c r="A131" s="420" t="s">
        <v>194</v>
      </c>
      <c r="B131" s="420" t="s">
        <v>178</v>
      </c>
      <c r="C131" s="436">
        <f t="shared" si="40"/>
        <v>4250</v>
      </c>
      <c r="D131" s="437">
        <f t="shared" si="41"/>
        <v>3570</v>
      </c>
      <c r="E131" s="437">
        <f t="shared" si="42"/>
        <v>3730</v>
      </c>
      <c r="F131" s="437">
        <f t="shared" si="43"/>
        <v>3650</v>
      </c>
      <c r="G131" s="437">
        <f t="shared" si="44"/>
        <v>4050</v>
      </c>
      <c r="H131" s="437">
        <f t="shared" si="45"/>
        <v>3710</v>
      </c>
      <c r="I131" s="437">
        <f t="shared" si="46"/>
        <v>3140</v>
      </c>
      <c r="J131" s="437">
        <f t="shared" si="47"/>
        <v>4130</v>
      </c>
      <c r="K131" s="437">
        <f t="shared" si="48"/>
        <v>4680</v>
      </c>
      <c r="L131" s="437">
        <f t="shared" si="49"/>
        <v>4030</v>
      </c>
      <c r="M131" s="437">
        <f t="shared" si="50"/>
        <v>5210</v>
      </c>
      <c r="N131" s="437">
        <f t="shared" si="51"/>
        <v>4320</v>
      </c>
      <c r="O131" s="438">
        <f t="shared" si="52"/>
        <v>4039.1666666666665</v>
      </c>
      <c r="P131" s="439">
        <f t="shared" si="53"/>
        <v>4950</v>
      </c>
      <c r="Q131" s="437">
        <f t="shared" si="54"/>
        <v>4110</v>
      </c>
      <c r="R131" s="437">
        <f t="shared" si="55"/>
        <v>3510</v>
      </c>
      <c r="S131" s="437">
        <f t="shared" si="56"/>
        <v>3930</v>
      </c>
      <c r="T131" s="437">
        <f t="shared" si="57"/>
        <v>3650</v>
      </c>
      <c r="U131" s="437">
        <f t="shared" si="58"/>
        <v>3220</v>
      </c>
      <c r="V131" s="437">
        <f t="shared" si="59"/>
        <v>3690</v>
      </c>
      <c r="W131" s="437">
        <f t="shared" si="60"/>
        <v>4120</v>
      </c>
      <c r="X131" s="437">
        <f t="shared" si="61"/>
        <v>3630</v>
      </c>
      <c r="Y131" s="437">
        <f t="shared" si="62"/>
        <v>3430</v>
      </c>
      <c r="Z131" s="437">
        <f t="shared" si="63"/>
        <v>3790</v>
      </c>
      <c r="AA131" s="437">
        <f t="shared" si="64"/>
        <v>3760</v>
      </c>
      <c r="AB131" s="438">
        <f t="shared" si="65"/>
        <v>3815.8333333333335</v>
      </c>
      <c r="AC131" s="439">
        <f t="shared" si="66"/>
        <v>4840</v>
      </c>
      <c r="AD131" s="437">
        <f t="shared" si="67"/>
        <v>3960</v>
      </c>
      <c r="AE131" s="437">
        <f t="shared" si="68"/>
        <v>3600</v>
      </c>
      <c r="AF131" s="437">
        <f t="shared" si="69"/>
        <v>3590</v>
      </c>
      <c r="AG131" s="437">
        <f t="shared" si="70"/>
        <v>3780</v>
      </c>
      <c r="AH131" s="437">
        <f t="shared" si="71"/>
        <v>3960</v>
      </c>
      <c r="AI131" s="437">
        <f t="shared" si="72"/>
        <v>3650</v>
      </c>
      <c r="AJ131" s="437">
        <f t="shared" si="73"/>
        <v>3570</v>
      </c>
      <c r="AK131" s="437">
        <f t="shared" si="74"/>
        <v>3750</v>
      </c>
      <c r="AL131" s="437">
        <f t="shared" si="75"/>
        <v>3360</v>
      </c>
      <c r="AM131" s="437">
        <f t="shared" si="76"/>
        <v>210</v>
      </c>
      <c r="AN131" s="437">
        <f t="shared" si="77"/>
        <v>7750</v>
      </c>
      <c r="AO131" s="438">
        <f t="shared" si="78"/>
        <v>3835</v>
      </c>
      <c r="AQ131" s="428">
        <v>4250</v>
      </c>
      <c r="AR131" s="429">
        <v>3570</v>
      </c>
      <c r="AS131" s="429">
        <v>3730</v>
      </c>
      <c r="AT131" s="429">
        <v>3650</v>
      </c>
      <c r="AU131" s="429">
        <v>4050</v>
      </c>
      <c r="AV131" s="429">
        <v>3710</v>
      </c>
      <c r="AW131" s="429">
        <v>3140</v>
      </c>
      <c r="AX131" s="429">
        <v>4130</v>
      </c>
      <c r="AY131" s="429">
        <v>4680</v>
      </c>
      <c r="AZ131" s="429">
        <v>4030</v>
      </c>
      <c r="BA131" s="429">
        <v>5210</v>
      </c>
      <c r="BB131" s="429">
        <v>4320</v>
      </c>
      <c r="BC131" s="431">
        <v>4039.1666666666665</v>
      </c>
      <c r="BD131" s="428">
        <v>4950</v>
      </c>
      <c r="BE131" s="429">
        <v>4110</v>
      </c>
      <c r="BF131" s="429">
        <v>3510</v>
      </c>
      <c r="BG131" s="429">
        <v>3930</v>
      </c>
      <c r="BH131" s="429">
        <v>3650</v>
      </c>
      <c r="BI131" s="429">
        <v>3220</v>
      </c>
      <c r="BJ131" s="429">
        <v>3690</v>
      </c>
      <c r="BK131" s="429">
        <v>4120</v>
      </c>
      <c r="BL131" s="429">
        <v>3630</v>
      </c>
      <c r="BM131" s="429">
        <v>3430</v>
      </c>
      <c r="BN131" s="429">
        <v>3790</v>
      </c>
      <c r="BO131" s="429">
        <v>3760</v>
      </c>
      <c r="BP131" s="431">
        <v>3815.8333333333335</v>
      </c>
      <c r="BQ131" s="428">
        <v>4840</v>
      </c>
      <c r="BR131" s="429">
        <v>3960</v>
      </c>
      <c r="BS131" s="429">
        <v>3600</v>
      </c>
      <c r="BT131" s="429">
        <v>3590</v>
      </c>
      <c r="BU131" s="429">
        <v>3780</v>
      </c>
      <c r="BV131" s="429">
        <v>3960</v>
      </c>
      <c r="BW131" s="429">
        <v>3650</v>
      </c>
      <c r="BX131" s="429">
        <v>3570</v>
      </c>
      <c r="BY131" s="429">
        <v>3750</v>
      </c>
      <c r="BZ131" s="429">
        <v>3360</v>
      </c>
      <c r="CA131" s="429">
        <v>210</v>
      </c>
      <c r="CB131" s="429">
        <v>7750</v>
      </c>
      <c r="CC131" s="431">
        <v>3835</v>
      </c>
    </row>
    <row r="132" spans="1:81">
      <c r="A132" s="420" t="s">
        <v>194</v>
      </c>
      <c r="B132" s="420" t="s">
        <v>179</v>
      </c>
      <c r="C132" s="436">
        <f t="shared" si="40"/>
        <v>0</v>
      </c>
      <c r="D132" s="437">
        <f t="shared" si="41"/>
        <v>0</v>
      </c>
      <c r="E132" s="437">
        <f t="shared" si="42"/>
        <v>0</v>
      </c>
      <c r="F132" s="437">
        <f t="shared" si="43"/>
        <v>0</v>
      </c>
      <c r="G132" s="437">
        <f t="shared" si="44"/>
        <v>0</v>
      </c>
      <c r="H132" s="437">
        <f t="shared" si="45"/>
        <v>0</v>
      </c>
      <c r="I132" s="437">
        <f t="shared" si="46"/>
        <v>0</v>
      </c>
      <c r="J132" s="437">
        <f t="shared" si="47"/>
        <v>0</v>
      </c>
      <c r="K132" s="437">
        <f t="shared" si="48"/>
        <v>0</v>
      </c>
      <c r="L132" s="437">
        <f t="shared" si="49"/>
        <v>0</v>
      </c>
      <c r="M132" s="437">
        <f t="shared" si="50"/>
        <v>0</v>
      </c>
      <c r="N132" s="437">
        <f t="shared" si="51"/>
        <v>0</v>
      </c>
      <c r="O132" s="438">
        <f t="shared" si="52"/>
        <v>0</v>
      </c>
      <c r="P132" s="439">
        <f t="shared" si="53"/>
        <v>0</v>
      </c>
      <c r="Q132" s="437">
        <f t="shared" si="54"/>
        <v>0</v>
      </c>
      <c r="R132" s="437">
        <f t="shared" si="55"/>
        <v>0</v>
      </c>
      <c r="S132" s="437">
        <f t="shared" si="56"/>
        <v>0</v>
      </c>
      <c r="T132" s="437">
        <f t="shared" si="57"/>
        <v>0</v>
      </c>
      <c r="U132" s="437">
        <f t="shared" si="58"/>
        <v>0</v>
      </c>
      <c r="V132" s="437">
        <f t="shared" si="59"/>
        <v>0</v>
      </c>
      <c r="W132" s="437">
        <f t="shared" si="60"/>
        <v>0</v>
      </c>
      <c r="X132" s="437">
        <f t="shared" si="61"/>
        <v>0</v>
      </c>
      <c r="Y132" s="437">
        <f t="shared" si="62"/>
        <v>0</v>
      </c>
      <c r="Z132" s="437">
        <f t="shared" si="63"/>
        <v>0</v>
      </c>
      <c r="AA132" s="437">
        <f t="shared" si="64"/>
        <v>0</v>
      </c>
      <c r="AB132" s="438">
        <f t="shared" si="65"/>
        <v>0</v>
      </c>
      <c r="AC132" s="439">
        <f t="shared" si="66"/>
        <v>0</v>
      </c>
      <c r="AD132" s="437">
        <f t="shared" si="67"/>
        <v>0</v>
      </c>
      <c r="AE132" s="437">
        <f t="shared" si="68"/>
        <v>0</v>
      </c>
      <c r="AF132" s="437">
        <f t="shared" si="69"/>
        <v>0</v>
      </c>
      <c r="AG132" s="437">
        <f t="shared" si="70"/>
        <v>0</v>
      </c>
      <c r="AH132" s="437">
        <f t="shared" si="71"/>
        <v>0</v>
      </c>
      <c r="AI132" s="437">
        <f t="shared" si="72"/>
        <v>0</v>
      </c>
      <c r="AJ132" s="437">
        <f t="shared" si="73"/>
        <v>0</v>
      </c>
      <c r="AK132" s="437">
        <f t="shared" si="74"/>
        <v>0</v>
      </c>
      <c r="AL132" s="437">
        <f t="shared" si="75"/>
        <v>0</v>
      </c>
      <c r="AM132" s="437">
        <f t="shared" si="76"/>
        <v>0</v>
      </c>
      <c r="AN132" s="437">
        <f t="shared" si="77"/>
        <v>0</v>
      </c>
      <c r="AO132" s="438">
        <f t="shared" si="78"/>
        <v>0</v>
      </c>
      <c r="AQ132" s="428">
        <v>0</v>
      </c>
      <c r="AR132" s="429">
        <v>0</v>
      </c>
      <c r="AS132" s="429">
        <v>0</v>
      </c>
      <c r="AT132" s="429">
        <v>0</v>
      </c>
      <c r="AU132" s="429">
        <v>0</v>
      </c>
      <c r="AV132" s="429">
        <v>0</v>
      </c>
      <c r="AW132" s="429">
        <v>0</v>
      </c>
      <c r="AX132" s="429">
        <v>0</v>
      </c>
      <c r="AY132" s="429">
        <v>0</v>
      </c>
      <c r="AZ132" s="429">
        <v>0</v>
      </c>
      <c r="BA132" s="429">
        <v>0</v>
      </c>
      <c r="BB132" s="429">
        <v>0</v>
      </c>
      <c r="BC132" s="431">
        <v>0</v>
      </c>
      <c r="BD132" s="428">
        <v>0</v>
      </c>
      <c r="BE132" s="429">
        <v>0</v>
      </c>
      <c r="BF132" s="429">
        <v>0</v>
      </c>
      <c r="BG132" s="429">
        <v>0</v>
      </c>
      <c r="BH132" s="429">
        <v>0</v>
      </c>
      <c r="BI132" s="429">
        <v>0</v>
      </c>
      <c r="BJ132" s="429">
        <v>0</v>
      </c>
      <c r="BK132" s="429">
        <v>0</v>
      </c>
      <c r="BL132" s="429">
        <v>0</v>
      </c>
      <c r="BM132" s="429">
        <v>0</v>
      </c>
      <c r="BN132" s="429">
        <v>0</v>
      </c>
      <c r="BO132" s="429">
        <v>0</v>
      </c>
      <c r="BP132" s="431">
        <v>0</v>
      </c>
      <c r="BQ132" s="428">
        <v>0</v>
      </c>
      <c r="BR132" s="429">
        <v>0</v>
      </c>
      <c r="BS132" s="429">
        <v>0</v>
      </c>
      <c r="BT132" s="429">
        <v>0</v>
      </c>
      <c r="BU132" s="429">
        <v>0</v>
      </c>
      <c r="BV132" s="429">
        <v>0</v>
      </c>
      <c r="BW132" s="429">
        <v>0</v>
      </c>
      <c r="BX132" s="429">
        <v>0</v>
      </c>
      <c r="BY132" s="429">
        <v>0</v>
      </c>
      <c r="BZ132" s="429">
        <v>0</v>
      </c>
      <c r="CA132" s="429">
        <v>0</v>
      </c>
      <c r="CB132" s="429">
        <v>0</v>
      </c>
      <c r="CC132" s="431">
        <v>0</v>
      </c>
    </row>
    <row r="133" spans="1:81">
      <c r="A133" s="420" t="s">
        <v>194</v>
      </c>
      <c r="B133" s="420" t="s">
        <v>180</v>
      </c>
      <c r="C133" s="436">
        <f t="shared" si="40"/>
        <v>548.16666666666663</v>
      </c>
      <c r="D133" s="437">
        <f t="shared" si="41"/>
        <v>591.83333333333337</v>
      </c>
      <c r="E133" s="437">
        <f t="shared" si="42"/>
        <v>549.5</v>
      </c>
      <c r="F133" s="437">
        <f t="shared" si="43"/>
        <v>442.83333333333331</v>
      </c>
      <c r="G133" s="437">
        <f t="shared" si="44"/>
        <v>334.83333333333331</v>
      </c>
      <c r="H133" s="437">
        <f t="shared" si="45"/>
        <v>334.16666666666669</v>
      </c>
      <c r="I133" s="437">
        <f t="shared" si="46"/>
        <v>247</v>
      </c>
      <c r="J133" s="437">
        <f t="shared" si="47"/>
        <v>285.5</v>
      </c>
      <c r="K133" s="437">
        <f t="shared" si="48"/>
        <v>358.5</v>
      </c>
      <c r="L133" s="437">
        <f t="shared" si="49"/>
        <v>346</v>
      </c>
      <c r="M133" s="437">
        <f t="shared" si="50"/>
        <v>305.33333333333331</v>
      </c>
      <c r="N133" s="437">
        <f t="shared" si="51"/>
        <v>309.83333333333331</v>
      </c>
      <c r="O133" s="438">
        <f t="shared" si="52"/>
        <v>387.79166666666669</v>
      </c>
      <c r="P133" s="439">
        <f t="shared" si="53"/>
        <v>482.83333333333331</v>
      </c>
      <c r="Q133" s="437">
        <f t="shared" si="54"/>
        <v>342.4</v>
      </c>
      <c r="R133" s="437">
        <f t="shared" si="55"/>
        <v>576.25</v>
      </c>
      <c r="S133" s="437">
        <f t="shared" si="56"/>
        <v>437.75</v>
      </c>
      <c r="T133" s="437">
        <f t="shared" si="57"/>
        <v>419.25</v>
      </c>
      <c r="U133" s="437">
        <f t="shared" si="58"/>
        <v>390.75</v>
      </c>
      <c r="V133" s="437">
        <f t="shared" si="59"/>
        <v>476.5</v>
      </c>
      <c r="W133" s="437">
        <f t="shared" si="60"/>
        <v>349.25</v>
      </c>
      <c r="X133" s="437">
        <f t="shared" si="61"/>
        <v>334</v>
      </c>
      <c r="Y133" s="437">
        <f t="shared" si="62"/>
        <v>440.5</v>
      </c>
      <c r="Z133" s="437">
        <f t="shared" si="63"/>
        <v>266.25</v>
      </c>
      <c r="AA133" s="437">
        <f t="shared" si="64"/>
        <v>455.5</v>
      </c>
      <c r="AB133" s="438">
        <f t="shared" si="65"/>
        <v>415.54901960784315</v>
      </c>
      <c r="AC133" s="439">
        <f t="shared" si="66"/>
        <v>404</v>
      </c>
      <c r="AD133" s="437">
        <f t="shared" si="67"/>
        <v>302.75</v>
      </c>
      <c r="AE133" s="437">
        <f t="shared" si="68"/>
        <v>363</v>
      </c>
      <c r="AF133" s="437">
        <f t="shared" si="69"/>
        <v>262</v>
      </c>
      <c r="AG133" s="437">
        <f t="shared" si="70"/>
        <v>267.25</v>
      </c>
      <c r="AH133" s="437">
        <f t="shared" si="71"/>
        <v>280.25</v>
      </c>
      <c r="AI133" s="437">
        <f t="shared" si="72"/>
        <v>235</v>
      </c>
      <c r="AJ133" s="437">
        <f t="shared" si="73"/>
        <v>189.25</v>
      </c>
      <c r="AK133" s="437">
        <f t="shared" si="74"/>
        <v>208.25</v>
      </c>
      <c r="AL133" s="437">
        <f t="shared" si="75"/>
        <v>212</v>
      </c>
      <c r="AM133" s="437">
        <f t="shared" si="76"/>
        <v>309.25</v>
      </c>
      <c r="AN133" s="437">
        <f t="shared" si="77"/>
        <v>307</v>
      </c>
      <c r="AO133" s="438">
        <f t="shared" si="78"/>
        <v>278.33333333333331</v>
      </c>
      <c r="AQ133" s="428">
        <v>548.16666666666663</v>
      </c>
      <c r="AR133" s="429">
        <v>591.83333333333337</v>
      </c>
      <c r="AS133" s="429">
        <v>549.5</v>
      </c>
      <c r="AT133" s="429">
        <v>442.83333333333331</v>
      </c>
      <c r="AU133" s="429">
        <v>334.83333333333331</v>
      </c>
      <c r="AV133" s="429">
        <v>334.16666666666669</v>
      </c>
      <c r="AW133" s="429">
        <v>247</v>
      </c>
      <c r="AX133" s="429">
        <v>285.5</v>
      </c>
      <c r="AY133" s="429">
        <v>358.5</v>
      </c>
      <c r="AZ133" s="429">
        <v>346</v>
      </c>
      <c r="BA133" s="429">
        <v>305.33333333333331</v>
      </c>
      <c r="BB133" s="429">
        <v>309.83333333333331</v>
      </c>
      <c r="BC133" s="431">
        <v>387.79166666666669</v>
      </c>
      <c r="BD133" s="428">
        <v>482.83333333333331</v>
      </c>
      <c r="BE133" s="429">
        <v>342.4</v>
      </c>
      <c r="BF133" s="429">
        <v>576.25</v>
      </c>
      <c r="BG133" s="429">
        <v>437.75</v>
      </c>
      <c r="BH133" s="429">
        <v>419.25</v>
      </c>
      <c r="BI133" s="429">
        <v>390.75</v>
      </c>
      <c r="BJ133" s="429">
        <v>476.5</v>
      </c>
      <c r="BK133" s="429">
        <v>349.25</v>
      </c>
      <c r="BL133" s="429">
        <v>334</v>
      </c>
      <c r="BM133" s="429">
        <v>440.5</v>
      </c>
      <c r="BN133" s="429">
        <v>266.25</v>
      </c>
      <c r="BO133" s="429">
        <v>455.5</v>
      </c>
      <c r="BP133" s="431">
        <v>415.54901960784315</v>
      </c>
      <c r="BQ133" s="428">
        <v>404</v>
      </c>
      <c r="BR133" s="429">
        <v>302.75</v>
      </c>
      <c r="BS133" s="429">
        <v>363</v>
      </c>
      <c r="BT133" s="429">
        <v>262</v>
      </c>
      <c r="BU133" s="429">
        <v>267.25</v>
      </c>
      <c r="BV133" s="429">
        <v>280.25</v>
      </c>
      <c r="BW133" s="429">
        <v>235</v>
      </c>
      <c r="BX133" s="429">
        <v>189.25</v>
      </c>
      <c r="BY133" s="429">
        <v>208.25</v>
      </c>
      <c r="BZ133" s="429">
        <v>212</v>
      </c>
      <c r="CA133" s="429">
        <v>309.25</v>
      </c>
      <c r="CB133" s="429">
        <v>307</v>
      </c>
      <c r="CC133" s="431">
        <v>278.33333333333331</v>
      </c>
    </row>
    <row r="134" spans="1:81">
      <c r="A134" s="420" t="s">
        <v>194</v>
      </c>
      <c r="B134" s="420" t="s">
        <v>181</v>
      </c>
      <c r="C134" s="436">
        <f t="shared" si="40"/>
        <v>0</v>
      </c>
      <c r="D134" s="437">
        <f t="shared" si="41"/>
        <v>0</v>
      </c>
      <c r="E134" s="437">
        <f t="shared" si="42"/>
        <v>0</v>
      </c>
      <c r="F134" s="437">
        <f t="shared" si="43"/>
        <v>0</v>
      </c>
      <c r="G134" s="437">
        <f t="shared" si="44"/>
        <v>0</v>
      </c>
      <c r="H134" s="437">
        <f t="shared" si="45"/>
        <v>0</v>
      </c>
      <c r="I134" s="437">
        <f t="shared" si="46"/>
        <v>0</v>
      </c>
      <c r="J134" s="437">
        <f t="shared" si="47"/>
        <v>0</v>
      </c>
      <c r="K134" s="437">
        <f t="shared" si="48"/>
        <v>0</v>
      </c>
      <c r="L134" s="437">
        <f t="shared" si="49"/>
        <v>0</v>
      </c>
      <c r="M134" s="437">
        <f t="shared" si="50"/>
        <v>0</v>
      </c>
      <c r="N134" s="437">
        <f t="shared" si="51"/>
        <v>0</v>
      </c>
      <c r="O134" s="438">
        <f t="shared" si="52"/>
        <v>0</v>
      </c>
      <c r="P134" s="439">
        <f t="shared" si="53"/>
        <v>0</v>
      </c>
      <c r="Q134" s="437">
        <f t="shared" si="54"/>
        <v>0</v>
      </c>
      <c r="R134" s="437">
        <f t="shared" si="55"/>
        <v>0</v>
      </c>
      <c r="S134" s="437">
        <f t="shared" si="56"/>
        <v>0</v>
      </c>
      <c r="T134" s="437">
        <f t="shared" si="57"/>
        <v>0</v>
      </c>
      <c r="U134" s="437">
        <f t="shared" si="58"/>
        <v>0</v>
      </c>
      <c r="V134" s="437">
        <f t="shared" si="59"/>
        <v>0</v>
      </c>
      <c r="W134" s="437">
        <f t="shared" si="60"/>
        <v>0</v>
      </c>
      <c r="X134" s="437">
        <f t="shared" si="61"/>
        <v>0</v>
      </c>
      <c r="Y134" s="437">
        <f t="shared" si="62"/>
        <v>0</v>
      </c>
      <c r="Z134" s="437">
        <f t="shared" si="63"/>
        <v>0</v>
      </c>
      <c r="AA134" s="437">
        <f t="shared" si="64"/>
        <v>0</v>
      </c>
      <c r="AB134" s="438">
        <f t="shared" si="65"/>
        <v>0</v>
      </c>
      <c r="AC134" s="439">
        <f t="shared" si="66"/>
        <v>0</v>
      </c>
      <c r="AD134" s="437">
        <f t="shared" si="67"/>
        <v>0</v>
      </c>
      <c r="AE134" s="437">
        <f t="shared" si="68"/>
        <v>0</v>
      </c>
      <c r="AF134" s="437">
        <f t="shared" si="69"/>
        <v>0</v>
      </c>
      <c r="AG134" s="437">
        <f t="shared" si="70"/>
        <v>0</v>
      </c>
      <c r="AH134" s="437">
        <f t="shared" si="71"/>
        <v>0</v>
      </c>
      <c r="AI134" s="437">
        <f t="shared" si="72"/>
        <v>0</v>
      </c>
      <c r="AJ134" s="437">
        <f t="shared" si="73"/>
        <v>0</v>
      </c>
      <c r="AK134" s="437">
        <f t="shared" si="74"/>
        <v>0</v>
      </c>
      <c r="AL134" s="437">
        <f t="shared" si="75"/>
        <v>0</v>
      </c>
      <c r="AM134" s="437">
        <f t="shared" si="76"/>
        <v>0</v>
      </c>
      <c r="AN134" s="437">
        <f t="shared" si="77"/>
        <v>0</v>
      </c>
      <c r="AO134" s="438">
        <f t="shared" si="78"/>
        <v>0</v>
      </c>
      <c r="AQ134" s="428">
        <v>0</v>
      </c>
      <c r="AR134" s="429">
        <v>0</v>
      </c>
      <c r="AS134" s="429">
        <v>0</v>
      </c>
      <c r="AT134" s="429">
        <v>0</v>
      </c>
      <c r="AU134" s="429">
        <v>0</v>
      </c>
      <c r="AV134" s="429">
        <v>0</v>
      </c>
      <c r="AW134" s="429">
        <v>0</v>
      </c>
      <c r="AX134" s="429">
        <v>0</v>
      </c>
      <c r="AY134" s="429">
        <v>0</v>
      </c>
      <c r="AZ134" s="429">
        <v>0</v>
      </c>
      <c r="BA134" s="429">
        <v>0</v>
      </c>
      <c r="BB134" s="429">
        <v>0</v>
      </c>
      <c r="BC134" s="431">
        <v>0</v>
      </c>
      <c r="BD134" s="428">
        <v>0</v>
      </c>
      <c r="BE134" s="429">
        <v>0</v>
      </c>
      <c r="BF134" s="429">
        <v>0</v>
      </c>
      <c r="BG134" s="429">
        <v>0</v>
      </c>
      <c r="BH134" s="429">
        <v>0</v>
      </c>
      <c r="BI134" s="429">
        <v>0</v>
      </c>
      <c r="BJ134" s="429">
        <v>0</v>
      </c>
      <c r="BK134" s="429">
        <v>0</v>
      </c>
      <c r="BL134" s="429">
        <v>0</v>
      </c>
      <c r="BM134" s="429">
        <v>0</v>
      </c>
      <c r="BN134" s="429">
        <v>0</v>
      </c>
      <c r="BO134" s="429">
        <v>0</v>
      </c>
      <c r="BP134" s="431">
        <v>0</v>
      </c>
      <c r="BQ134" s="428">
        <v>0</v>
      </c>
      <c r="BR134" s="429">
        <v>0</v>
      </c>
      <c r="BS134" s="429">
        <v>0</v>
      </c>
      <c r="BT134" s="429">
        <v>0</v>
      </c>
      <c r="BU134" s="429">
        <v>0</v>
      </c>
      <c r="BV134" s="429">
        <v>0</v>
      </c>
      <c r="BW134" s="429">
        <v>0</v>
      </c>
      <c r="BX134" s="429">
        <v>0</v>
      </c>
      <c r="BY134" s="429">
        <v>0</v>
      </c>
      <c r="BZ134" s="429">
        <v>0</v>
      </c>
      <c r="CA134" s="429">
        <v>0</v>
      </c>
      <c r="CB134" s="429">
        <v>0</v>
      </c>
      <c r="CC134" s="431">
        <v>0</v>
      </c>
    </row>
    <row r="135" spans="1:81">
      <c r="A135" s="420" t="s">
        <v>194</v>
      </c>
      <c r="B135" s="420" t="s">
        <v>182</v>
      </c>
      <c r="C135" s="436">
        <f t="shared" si="40"/>
        <v>5602.416666666667</v>
      </c>
      <c r="D135" s="437">
        <f t="shared" si="41"/>
        <v>5248.666666666667</v>
      </c>
      <c r="E135" s="437">
        <f t="shared" si="42"/>
        <v>4936.333333333333</v>
      </c>
      <c r="F135" s="437">
        <f t="shared" si="43"/>
        <v>5302.833333333333</v>
      </c>
      <c r="G135" s="437">
        <f t="shared" si="44"/>
        <v>3966.25</v>
      </c>
      <c r="H135" s="437">
        <f t="shared" si="45"/>
        <v>3537.4166666666665</v>
      </c>
      <c r="I135" s="437">
        <f t="shared" si="46"/>
        <v>2755.6666666666665</v>
      </c>
      <c r="J135" s="437">
        <f t="shared" si="47"/>
        <v>2489</v>
      </c>
      <c r="K135" s="437">
        <f t="shared" si="48"/>
        <v>2785.25</v>
      </c>
      <c r="L135" s="437">
        <f t="shared" si="49"/>
        <v>2723.7692307692309</v>
      </c>
      <c r="M135" s="437">
        <f t="shared" si="50"/>
        <v>4987.416666666667</v>
      </c>
      <c r="N135" s="437">
        <f t="shared" si="51"/>
        <v>4532.6153846153848</v>
      </c>
      <c r="O135" s="438">
        <f t="shared" si="52"/>
        <v>4066.2191780821918</v>
      </c>
      <c r="P135" s="439">
        <f t="shared" si="53"/>
        <v>8320.5</v>
      </c>
      <c r="Q135" s="437">
        <f t="shared" si="54"/>
        <v>5283.6923076923076</v>
      </c>
      <c r="R135" s="437">
        <f t="shared" si="55"/>
        <v>4999.7692307692305</v>
      </c>
      <c r="S135" s="437">
        <f t="shared" si="56"/>
        <v>4403.2307692307695</v>
      </c>
      <c r="T135" s="437">
        <f t="shared" si="57"/>
        <v>4412.3076923076924</v>
      </c>
      <c r="U135" s="437">
        <f t="shared" si="58"/>
        <v>1751.9411764705883</v>
      </c>
      <c r="V135" s="437">
        <f t="shared" si="59"/>
        <v>3291.8461538461538</v>
      </c>
      <c r="W135" s="437">
        <f t="shared" si="60"/>
        <v>3193.6923076923076</v>
      </c>
      <c r="X135" s="437">
        <f t="shared" si="61"/>
        <v>3477</v>
      </c>
      <c r="Y135" s="437">
        <f t="shared" si="62"/>
        <v>4052.9166666666665</v>
      </c>
      <c r="Z135" s="437">
        <f t="shared" si="63"/>
        <v>3932.5333333333333</v>
      </c>
      <c r="AA135" s="437">
        <f t="shared" si="64"/>
        <v>5032.3846153846152</v>
      </c>
      <c r="AB135" s="438">
        <f t="shared" si="65"/>
        <v>4252.9562500000002</v>
      </c>
      <c r="AC135" s="439">
        <f t="shared" si="66"/>
        <v>6738.3846153846152</v>
      </c>
      <c r="AD135" s="437">
        <f t="shared" si="67"/>
        <v>5743.7692307692305</v>
      </c>
      <c r="AE135" s="437">
        <f t="shared" si="68"/>
        <v>6081.9230769230771</v>
      </c>
      <c r="AF135" s="437">
        <f t="shared" si="69"/>
        <v>5664.6153846153848</v>
      </c>
      <c r="AG135" s="437">
        <f t="shared" si="70"/>
        <v>4569</v>
      </c>
      <c r="AH135" s="437">
        <f t="shared" si="71"/>
        <v>5096.3076923076924</v>
      </c>
      <c r="AI135" s="437">
        <f t="shared" si="72"/>
        <v>4469.5</v>
      </c>
      <c r="AJ135" s="437">
        <f t="shared" si="73"/>
        <v>3319.0833333333335</v>
      </c>
      <c r="AK135" s="437">
        <f t="shared" si="74"/>
        <v>1780.3333333333333</v>
      </c>
      <c r="AL135" s="437">
        <f t="shared" si="75"/>
        <v>3753.75</v>
      </c>
      <c r="AM135" s="437">
        <f t="shared" si="76"/>
        <v>6264.5</v>
      </c>
      <c r="AN135" s="437">
        <f t="shared" si="77"/>
        <v>7138.833333333333</v>
      </c>
      <c r="AO135" s="438">
        <f t="shared" si="78"/>
        <v>4946.4012738853507</v>
      </c>
      <c r="AQ135" s="428">
        <v>5602.416666666667</v>
      </c>
      <c r="AR135" s="429">
        <v>5248.666666666667</v>
      </c>
      <c r="AS135" s="429">
        <v>4936.333333333333</v>
      </c>
      <c r="AT135" s="429">
        <v>5302.833333333333</v>
      </c>
      <c r="AU135" s="429">
        <v>3966.25</v>
      </c>
      <c r="AV135" s="429">
        <v>3537.4166666666665</v>
      </c>
      <c r="AW135" s="429">
        <v>2755.6666666666665</v>
      </c>
      <c r="AX135" s="429">
        <v>2489</v>
      </c>
      <c r="AY135" s="429">
        <v>2785.25</v>
      </c>
      <c r="AZ135" s="429">
        <v>2723.7692307692309</v>
      </c>
      <c r="BA135" s="429">
        <v>4987.416666666667</v>
      </c>
      <c r="BB135" s="429">
        <v>4532.6153846153848</v>
      </c>
      <c r="BC135" s="431">
        <v>4066.2191780821918</v>
      </c>
      <c r="BD135" s="428">
        <v>8320.5</v>
      </c>
      <c r="BE135" s="429">
        <v>5283.6923076923076</v>
      </c>
      <c r="BF135" s="429">
        <v>4999.7692307692305</v>
      </c>
      <c r="BG135" s="429">
        <v>4403.2307692307695</v>
      </c>
      <c r="BH135" s="429">
        <v>4412.3076923076924</v>
      </c>
      <c r="BI135" s="429">
        <v>1751.9411764705883</v>
      </c>
      <c r="BJ135" s="429">
        <v>3291.8461538461538</v>
      </c>
      <c r="BK135" s="429">
        <v>3193.6923076923076</v>
      </c>
      <c r="BL135" s="429">
        <v>3477</v>
      </c>
      <c r="BM135" s="429">
        <v>4052.9166666666665</v>
      </c>
      <c r="BN135" s="429">
        <v>3932.5333333333333</v>
      </c>
      <c r="BO135" s="429">
        <v>5032.3846153846152</v>
      </c>
      <c r="BP135" s="431">
        <v>4252.9562500000002</v>
      </c>
      <c r="BQ135" s="428">
        <v>6738.3846153846152</v>
      </c>
      <c r="BR135" s="429">
        <v>5743.7692307692305</v>
      </c>
      <c r="BS135" s="429">
        <v>6081.9230769230771</v>
      </c>
      <c r="BT135" s="429">
        <v>5664.6153846153848</v>
      </c>
      <c r="BU135" s="429">
        <v>4569</v>
      </c>
      <c r="BV135" s="429">
        <v>5096.3076923076924</v>
      </c>
      <c r="BW135" s="429">
        <v>4469.5</v>
      </c>
      <c r="BX135" s="429">
        <v>3319.0833333333335</v>
      </c>
      <c r="BY135" s="429">
        <v>1780.3333333333333</v>
      </c>
      <c r="BZ135" s="429">
        <v>3753.75</v>
      </c>
      <c r="CA135" s="429">
        <v>6264.5</v>
      </c>
      <c r="CB135" s="429">
        <v>7138.833333333333</v>
      </c>
      <c r="CC135" s="431">
        <v>4946.4012738853507</v>
      </c>
    </row>
    <row r="136" spans="1:81">
      <c r="A136" s="420" t="s">
        <v>194</v>
      </c>
      <c r="B136" s="420" t="s">
        <v>183</v>
      </c>
      <c r="C136" s="436">
        <f t="shared" ref="C136:C199" si="79">IF(AQ136&lt;0,0,AQ136)</f>
        <v>0</v>
      </c>
      <c r="D136" s="437">
        <f t="shared" ref="D136:D199" si="80">IF(AR136&lt;0,0,AR136)</f>
        <v>0</v>
      </c>
      <c r="E136" s="437">
        <f t="shared" ref="E136:E199" si="81">IF(AS136&lt;0,0,AS136)</f>
        <v>0</v>
      </c>
      <c r="F136" s="437">
        <f t="shared" ref="F136:F199" si="82">IF(AT136&lt;0,0,AT136)</f>
        <v>0</v>
      </c>
      <c r="G136" s="437">
        <f t="shared" ref="G136:G199" si="83">IF(AU136&lt;0,0,AU136)</f>
        <v>0</v>
      </c>
      <c r="H136" s="437">
        <f t="shared" ref="H136:H199" si="84">IF(AV136&lt;0,0,AV136)</f>
        <v>0</v>
      </c>
      <c r="I136" s="437">
        <f t="shared" ref="I136:I199" si="85">IF(AW136&lt;0,0,AW136)</f>
        <v>0</v>
      </c>
      <c r="J136" s="437">
        <f t="shared" ref="J136:J199" si="86">IF(AX136&lt;0,0,AX136)</f>
        <v>0</v>
      </c>
      <c r="K136" s="437">
        <f t="shared" ref="K136:K199" si="87">IF(AY136&lt;0,0,AY136)</f>
        <v>0</v>
      </c>
      <c r="L136" s="437">
        <f t="shared" ref="L136:L199" si="88">IF(AZ136&lt;0,0,AZ136)</f>
        <v>0</v>
      </c>
      <c r="M136" s="437">
        <f t="shared" ref="M136:M199" si="89">IF(BA136&lt;0,0,BA136)</f>
        <v>0</v>
      </c>
      <c r="N136" s="437">
        <f t="shared" ref="N136:N199" si="90">IF(BB136&lt;0,0,BB136)</f>
        <v>0</v>
      </c>
      <c r="O136" s="438">
        <f t="shared" ref="O136:O199" si="91">IF(BC136&lt;0,0,BC136)</f>
        <v>0</v>
      </c>
      <c r="P136" s="439">
        <f t="shared" ref="P136:P199" si="92">IF(BD136&lt;0,0,BD136)</f>
        <v>0</v>
      </c>
      <c r="Q136" s="437">
        <f t="shared" ref="Q136:Q199" si="93">IF(BE136&lt;0,0,BE136)</f>
        <v>0</v>
      </c>
      <c r="R136" s="437">
        <f t="shared" ref="R136:R199" si="94">IF(BF136&lt;0,0,BF136)</f>
        <v>0</v>
      </c>
      <c r="S136" s="437">
        <f t="shared" ref="S136:S199" si="95">IF(BG136&lt;0,0,BG136)</f>
        <v>0</v>
      </c>
      <c r="T136" s="437">
        <f t="shared" ref="T136:T199" si="96">IF(BH136&lt;0,0,BH136)</f>
        <v>0</v>
      </c>
      <c r="U136" s="437">
        <f t="shared" ref="U136:U199" si="97">IF(BI136&lt;0,0,BI136)</f>
        <v>0</v>
      </c>
      <c r="V136" s="437">
        <f t="shared" ref="V136:V199" si="98">IF(BJ136&lt;0,0,BJ136)</f>
        <v>0</v>
      </c>
      <c r="W136" s="437">
        <f t="shared" ref="W136:W199" si="99">IF(BK136&lt;0,0,BK136)</f>
        <v>0</v>
      </c>
      <c r="X136" s="437">
        <f t="shared" ref="X136:X199" si="100">IF(BL136&lt;0,0,BL136)</f>
        <v>0</v>
      </c>
      <c r="Y136" s="437">
        <f t="shared" ref="Y136:Y199" si="101">IF(BM136&lt;0,0,BM136)</f>
        <v>0</v>
      </c>
      <c r="Z136" s="437">
        <f t="shared" ref="Z136:Z199" si="102">IF(BN136&lt;0,0,BN136)</f>
        <v>0</v>
      </c>
      <c r="AA136" s="437">
        <f t="shared" ref="AA136:AA199" si="103">IF(BO136&lt;0,0,BO136)</f>
        <v>0</v>
      </c>
      <c r="AB136" s="438">
        <f t="shared" ref="AB136:AB199" si="104">IF(BP136&lt;0,0,BP136)</f>
        <v>0</v>
      </c>
      <c r="AC136" s="439">
        <f t="shared" ref="AC136:AC199" si="105">IF(BQ136&lt;0,0,BQ136)</f>
        <v>0</v>
      </c>
      <c r="AD136" s="437">
        <f t="shared" ref="AD136:AD199" si="106">IF(BR136&lt;0,0,BR136)</f>
        <v>0</v>
      </c>
      <c r="AE136" s="437">
        <f t="shared" ref="AE136:AE199" si="107">IF(BS136&lt;0,0,BS136)</f>
        <v>0</v>
      </c>
      <c r="AF136" s="437">
        <f t="shared" ref="AF136:AF199" si="108">IF(BT136&lt;0,0,BT136)</f>
        <v>0</v>
      </c>
      <c r="AG136" s="437">
        <f t="shared" ref="AG136:AG199" si="109">IF(BU136&lt;0,0,BU136)</f>
        <v>0</v>
      </c>
      <c r="AH136" s="437">
        <f t="shared" ref="AH136:AH199" si="110">IF(BV136&lt;0,0,BV136)</f>
        <v>0</v>
      </c>
      <c r="AI136" s="437">
        <f t="shared" ref="AI136:AI199" si="111">IF(BW136&lt;0,0,BW136)</f>
        <v>0</v>
      </c>
      <c r="AJ136" s="437">
        <f t="shared" ref="AJ136:AJ199" si="112">IF(BX136&lt;0,0,BX136)</f>
        <v>0</v>
      </c>
      <c r="AK136" s="437">
        <f t="shared" ref="AK136:AK199" si="113">IF(BY136&lt;0,0,BY136)</f>
        <v>0</v>
      </c>
      <c r="AL136" s="437">
        <f t="shared" ref="AL136:AL199" si="114">IF(BZ136&lt;0,0,BZ136)</f>
        <v>0</v>
      </c>
      <c r="AM136" s="437">
        <f t="shared" ref="AM136:AM199" si="115">IF(CA136&lt;0,0,CA136)</f>
        <v>0</v>
      </c>
      <c r="AN136" s="437">
        <f t="shared" ref="AN136:AN199" si="116">IF(CB136&lt;0,0,CB136)</f>
        <v>0</v>
      </c>
      <c r="AO136" s="438">
        <f t="shared" ref="AO136:AO199" si="117">IF(CC136&lt;0,0,CC136)</f>
        <v>0</v>
      </c>
      <c r="AQ136" s="428">
        <v>0</v>
      </c>
      <c r="AR136" s="429">
        <v>0</v>
      </c>
      <c r="AS136" s="429">
        <v>0</v>
      </c>
      <c r="AT136" s="429">
        <v>0</v>
      </c>
      <c r="AU136" s="429">
        <v>0</v>
      </c>
      <c r="AV136" s="429">
        <v>0</v>
      </c>
      <c r="AW136" s="429">
        <v>0</v>
      </c>
      <c r="AX136" s="429">
        <v>0</v>
      </c>
      <c r="AY136" s="429">
        <v>0</v>
      </c>
      <c r="AZ136" s="429">
        <v>0</v>
      </c>
      <c r="BA136" s="429">
        <v>0</v>
      </c>
      <c r="BB136" s="429">
        <v>0</v>
      </c>
      <c r="BC136" s="431">
        <v>0</v>
      </c>
      <c r="BD136" s="428">
        <v>0</v>
      </c>
      <c r="BE136" s="429">
        <v>0</v>
      </c>
      <c r="BF136" s="429">
        <v>0</v>
      </c>
      <c r="BG136" s="429">
        <v>0</v>
      </c>
      <c r="BH136" s="429">
        <v>0</v>
      </c>
      <c r="BI136" s="429">
        <v>0</v>
      </c>
      <c r="BJ136" s="429">
        <v>0</v>
      </c>
      <c r="BK136" s="429">
        <v>0</v>
      </c>
      <c r="BL136" s="429">
        <v>0</v>
      </c>
      <c r="BM136" s="429">
        <v>0</v>
      </c>
      <c r="BN136" s="429">
        <v>0</v>
      </c>
      <c r="BO136" s="429">
        <v>0</v>
      </c>
      <c r="BP136" s="431">
        <v>0</v>
      </c>
      <c r="BQ136" s="428">
        <v>0</v>
      </c>
      <c r="BR136" s="429">
        <v>0</v>
      </c>
      <c r="BS136" s="429">
        <v>0</v>
      </c>
      <c r="BT136" s="429">
        <v>0</v>
      </c>
      <c r="BU136" s="429">
        <v>0</v>
      </c>
      <c r="BV136" s="429">
        <v>0</v>
      </c>
      <c r="BW136" s="429">
        <v>0</v>
      </c>
      <c r="BX136" s="429">
        <v>0</v>
      </c>
      <c r="BY136" s="429">
        <v>0</v>
      </c>
      <c r="BZ136" s="429">
        <v>0</v>
      </c>
      <c r="CA136" s="429">
        <v>0</v>
      </c>
      <c r="CB136" s="429">
        <v>0</v>
      </c>
      <c r="CC136" s="431">
        <v>0</v>
      </c>
    </row>
    <row r="137" spans="1:81">
      <c r="A137" s="445"/>
      <c r="B137" s="445"/>
      <c r="C137" s="446"/>
      <c r="D137" s="447"/>
      <c r="E137" s="447"/>
      <c r="F137" s="447"/>
      <c r="G137" s="447"/>
      <c r="H137" s="447"/>
      <c r="I137" s="447"/>
      <c r="J137" s="447"/>
      <c r="K137" s="447"/>
      <c r="L137" s="447"/>
      <c r="M137" s="447"/>
      <c r="N137" s="447"/>
      <c r="O137" s="448"/>
      <c r="P137" s="449"/>
      <c r="Q137" s="447"/>
      <c r="R137" s="447"/>
      <c r="S137" s="447"/>
      <c r="T137" s="447"/>
      <c r="U137" s="447"/>
      <c r="V137" s="447"/>
      <c r="W137" s="447"/>
      <c r="X137" s="447"/>
      <c r="Y137" s="447"/>
      <c r="Z137" s="447"/>
      <c r="AA137" s="447"/>
      <c r="AB137" s="448"/>
      <c r="AC137" s="449"/>
      <c r="AD137" s="447"/>
      <c r="AE137" s="447"/>
      <c r="AF137" s="447"/>
      <c r="AG137" s="447"/>
      <c r="AH137" s="447"/>
      <c r="AI137" s="447"/>
      <c r="AJ137" s="447"/>
      <c r="AK137" s="447"/>
      <c r="AL137" s="447"/>
      <c r="AM137" s="447"/>
      <c r="AN137" s="447"/>
      <c r="AO137" s="448"/>
      <c r="AQ137" s="450"/>
      <c r="AR137" s="451"/>
      <c r="AS137" s="451"/>
      <c r="AT137" s="451"/>
      <c r="AU137" s="451"/>
      <c r="AV137" s="451"/>
      <c r="AW137" s="451"/>
      <c r="AX137" s="451"/>
      <c r="AY137" s="451"/>
      <c r="AZ137" s="451"/>
      <c r="BA137" s="451"/>
      <c r="BB137" s="451"/>
      <c r="BC137" s="452"/>
      <c r="BD137" s="453"/>
      <c r="BE137" s="451"/>
      <c r="BF137" s="451"/>
      <c r="BG137" s="451"/>
      <c r="BH137" s="451"/>
      <c r="BI137" s="451"/>
      <c r="BJ137" s="451"/>
      <c r="BK137" s="451"/>
      <c r="BL137" s="451"/>
      <c r="BM137" s="451"/>
      <c r="BN137" s="451"/>
      <c r="BO137" s="451"/>
      <c r="BP137" s="452"/>
      <c r="BQ137" s="453"/>
      <c r="BR137" s="451"/>
      <c r="BS137" s="451"/>
      <c r="BT137" s="451"/>
      <c r="BU137" s="451"/>
      <c r="BV137" s="451"/>
      <c r="BW137" s="451"/>
      <c r="BX137" s="451"/>
      <c r="BY137" s="451"/>
      <c r="BZ137" s="451"/>
      <c r="CA137" s="451"/>
      <c r="CB137" s="451"/>
      <c r="CC137" s="452"/>
    </row>
    <row r="138" spans="1:81">
      <c r="B138" s="456" t="s">
        <v>195</v>
      </c>
      <c r="C138" s="436"/>
      <c r="D138" s="437"/>
      <c r="E138" s="437"/>
      <c r="F138" s="437"/>
      <c r="G138" s="437"/>
      <c r="H138" s="437"/>
      <c r="I138" s="437"/>
      <c r="J138" s="437"/>
      <c r="K138" s="437"/>
      <c r="L138" s="437"/>
      <c r="M138" s="437"/>
      <c r="N138" s="437"/>
      <c r="O138" s="438"/>
      <c r="P138" s="439"/>
      <c r="Q138" s="437"/>
      <c r="R138" s="437"/>
      <c r="S138" s="437"/>
      <c r="T138" s="437"/>
      <c r="U138" s="437"/>
      <c r="V138" s="437"/>
      <c r="W138" s="437"/>
      <c r="X138" s="437"/>
      <c r="Y138" s="437"/>
      <c r="Z138" s="437"/>
      <c r="AA138" s="437"/>
      <c r="AB138" s="438"/>
      <c r="AC138" s="439"/>
      <c r="AD138" s="437"/>
      <c r="AE138" s="437"/>
      <c r="AF138" s="437"/>
      <c r="AG138" s="437"/>
      <c r="AH138" s="437"/>
      <c r="AI138" s="437"/>
      <c r="AJ138" s="437"/>
      <c r="AK138" s="437"/>
      <c r="AL138" s="437"/>
      <c r="AM138" s="437"/>
      <c r="AN138" s="437"/>
      <c r="AO138" s="438"/>
      <c r="AQ138" s="428"/>
      <c r="AR138" s="429"/>
      <c r="AS138" s="429"/>
      <c r="AT138" s="429"/>
      <c r="AU138" s="429"/>
      <c r="AV138" s="429"/>
      <c r="AW138" s="429"/>
      <c r="AX138" s="429"/>
      <c r="AY138" s="429"/>
      <c r="AZ138" s="429"/>
      <c r="BA138" s="429"/>
      <c r="BB138" s="429"/>
      <c r="BC138" s="431"/>
      <c r="BD138" s="428"/>
      <c r="BE138" s="429"/>
      <c r="BF138" s="429"/>
      <c r="BG138" s="429"/>
      <c r="BH138" s="429"/>
      <c r="BI138" s="429"/>
      <c r="BJ138" s="429"/>
      <c r="BK138" s="429"/>
      <c r="BL138" s="429"/>
      <c r="BM138" s="429"/>
      <c r="BN138" s="429"/>
      <c r="BO138" s="429"/>
      <c r="BP138" s="431"/>
      <c r="BQ138" s="428"/>
      <c r="BR138" s="429"/>
      <c r="BS138" s="429"/>
      <c r="BT138" s="429"/>
      <c r="BU138" s="429"/>
      <c r="BV138" s="429"/>
      <c r="BW138" s="429"/>
      <c r="BX138" s="429"/>
      <c r="BY138" s="429"/>
      <c r="BZ138" s="429"/>
      <c r="CA138" s="429"/>
      <c r="CB138" s="429"/>
      <c r="CC138" s="431"/>
    </row>
    <row r="139" spans="1:81">
      <c r="A139" s="420" t="s">
        <v>195</v>
      </c>
      <c r="B139" s="420" t="s">
        <v>175</v>
      </c>
      <c r="C139" s="436">
        <f t="shared" si="79"/>
        <v>2140.3333333333335</v>
      </c>
      <c r="D139" s="437">
        <f t="shared" si="80"/>
        <v>2012.5</v>
      </c>
      <c r="E139" s="437">
        <f t="shared" si="81"/>
        <v>1585.5</v>
      </c>
      <c r="F139" s="437">
        <f t="shared" si="82"/>
        <v>1571.3333333333333</v>
      </c>
      <c r="G139" s="437">
        <f t="shared" si="83"/>
        <v>1317.1666666666667</v>
      </c>
      <c r="H139" s="437">
        <f t="shared" si="84"/>
        <v>1198.1666666666667</v>
      </c>
      <c r="I139" s="437">
        <f t="shared" si="85"/>
        <v>959.83333333333337</v>
      </c>
      <c r="J139" s="437">
        <f t="shared" si="86"/>
        <v>854.16666666666663</v>
      </c>
      <c r="K139" s="437">
        <f t="shared" si="87"/>
        <v>829.5</v>
      </c>
      <c r="L139" s="437">
        <f t="shared" si="88"/>
        <v>1029.6666666666667</v>
      </c>
      <c r="M139" s="437">
        <f t="shared" si="89"/>
        <v>2116.6666666666665</v>
      </c>
      <c r="N139" s="437">
        <f t="shared" si="90"/>
        <v>2279.8333333333335</v>
      </c>
      <c r="O139" s="438">
        <f t="shared" si="91"/>
        <v>1491.2222222222222</v>
      </c>
      <c r="P139" s="439">
        <f t="shared" si="92"/>
        <v>2552.1666666666665</v>
      </c>
      <c r="Q139" s="437">
        <f t="shared" si="93"/>
        <v>2343.3333333333335</v>
      </c>
      <c r="R139" s="437">
        <f t="shared" si="94"/>
        <v>1363.1666666666667</v>
      </c>
      <c r="S139" s="437">
        <f t="shared" si="95"/>
        <v>1402.75</v>
      </c>
      <c r="T139" s="437">
        <f t="shared" si="96"/>
        <v>2380.6666666666665</v>
      </c>
      <c r="U139" s="437">
        <f t="shared" si="97"/>
        <v>1229.3333333333333</v>
      </c>
      <c r="V139" s="437">
        <f t="shared" si="98"/>
        <v>1203.3333333333333</v>
      </c>
      <c r="W139" s="437">
        <f t="shared" si="99"/>
        <v>726</v>
      </c>
      <c r="X139" s="437">
        <f t="shared" si="100"/>
        <v>975.66666666666663</v>
      </c>
      <c r="Y139" s="437">
        <f t="shared" si="101"/>
        <v>938.5</v>
      </c>
      <c r="Z139" s="437">
        <f t="shared" si="102"/>
        <v>1402.8333333333333</v>
      </c>
      <c r="AA139" s="437">
        <f t="shared" si="103"/>
        <v>1657.5</v>
      </c>
      <c r="AB139" s="438">
        <f t="shared" si="104"/>
        <v>1511.581081081081</v>
      </c>
      <c r="AC139" s="439">
        <f t="shared" si="105"/>
        <v>2304.6666666666665</v>
      </c>
      <c r="AD139" s="437">
        <f t="shared" si="106"/>
        <v>1975.6666666666667</v>
      </c>
      <c r="AE139" s="437">
        <f t="shared" si="107"/>
        <v>1766.3333333333333</v>
      </c>
      <c r="AF139" s="437">
        <f t="shared" si="108"/>
        <v>2122.6</v>
      </c>
      <c r="AG139" s="437">
        <f t="shared" si="109"/>
        <v>1433.6</v>
      </c>
      <c r="AH139" s="437">
        <f t="shared" si="110"/>
        <v>999.5</v>
      </c>
      <c r="AI139" s="437">
        <f t="shared" si="111"/>
        <v>751.83333333333337</v>
      </c>
      <c r="AJ139" s="437">
        <f t="shared" si="112"/>
        <v>863.5</v>
      </c>
      <c r="AK139" s="437">
        <f t="shared" si="113"/>
        <v>865.33333333333337</v>
      </c>
      <c r="AL139" s="437">
        <f t="shared" si="114"/>
        <v>1152.5</v>
      </c>
      <c r="AM139" s="437">
        <f t="shared" si="115"/>
        <v>1614.3333333333333</v>
      </c>
      <c r="AN139" s="437">
        <f t="shared" si="116"/>
        <v>1774.1666666666667</v>
      </c>
      <c r="AO139" s="438">
        <f t="shared" si="117"/>
        <v>1459.8285714285714</v>
      </c>
      <c r="AQ139" s="428">
        <v>2140.3333333333335</v>
      </c>
      <c r="AR139" s="429">
        <v>2012.5</v>
      </c>
      <c r="AS139" s="429">
        <v>1585.5</v>
      </c>
      <c r="AT139" s="429">
        <v>1571.3333333333333</v>
      </c>
      <c r="AU139" s="429">
        <v>1317.1666666666667</v>
      </c>
      <c r="AV139" s="429">
        <v>1198.1666666666667</v>
      </c>
      <c r="AW139" s="429">
        <v>959.83333333333337</v>
      </c>
      <c r="AX139" s="429">
        <v>854.16666666666663</v>
      </c>
      <c r="AY139" s="429">
        <v>829.5</v>
      </c>
      <c r="AZ139" s="429">
        <v>1029.6666666666667</v>
      </c>
      <c r="BA139" s="429">
        <v>2116.6666666666665</v>
      </c>
      <c r="BB139" s="429">
        <v>2279.8333333333335</v>
      </c>
      <c r="BC139" s="431">
        <v>1491.2222222222222</v>
      </c>
      <c r="BD139" s="428">
        <v>2552.1666666666665</v>
      </c>
      <c r="BE139" s="429">
        <v>2343.3333333333335</v>
      </c>
      <c r="BF139" s="429">
        <v>1363.1666666666667</v>
      </c>
      <c r="BG139" s="429">
        <v>1402.75</v>
      </c>
      <c r="BH139" s="429">
        <v>2380.6666666666665</v>
      </c>
      <c r="BI139" s="429">
        <v>1229.3333333333333</v>
      </c>
      <c r="BJ139" s="429">
        <v>1203.3333333333333</v>
      </c>
      <c r="BK139" s="429">
        <v>726</v>
      </c>
      <c r="BL139" s="429">
        <v>975.66666666666663</v>
      </c>
      <c r="BM139" s="429">
        <v>938.5</v>
      </c>
      <c r="BN139" s="429">
        <v>1402.8333333333333</v>
      </c>
      <c r="BO139" s="429">
        <v>1657.5</v>
      </c>
      <c r="BP139" s="431">
        <v>1511.581081081081</v>
      </c>
      <c r="BQ139" s="428">
        <v>2304.6666666666665</v>
      </c>
      <c r="BR139" s="429">
        <v>1975.6666666666667</v>
      </c>
      <c r="BS139" s="429">
        <v>1766.3333333333333</v>
      </c>
      <c r="BT139" s="429">
        <v>2122.6</v>
      </c>
      <c r="BU139" s="429">
        <v>1433.6</v>
      </c>
      <c r="BV139" s="429">
        <v>999.5</v>
      </c>
      <c r="BW139" s="429">
        <v>751.83333333333337</v>
      </c>
      <c r="BX139" s="429">
        <v>863.5</v>
      </c>
      <c r="BY139" s="429">
        <v>865.33333333333337</v>
      </c>
      <c r="BZ139" s="429">
        <v>1152.5</v>
      </c>
      <c r="CA139" s="429">
        <v>1614.3333333333333</v>
      </c>
      <c r="CB139" s="429">
        <v>1774.1666666666667</v>
      </c>
      <c r="CC139" s="431">
        <v>1459.8285714285714</v>
      </c>
    </row>
    <row r="140" spans="1:81">
      <c r="A140" s="420" t="s">
        <v>195</v>
      </c>
      <c r="B140" s="420" t="s">
        <v>176</v>
      </c>
      <c r="C140" s="436">
        <f t="shared" si="79"/>
        <v>758</v>
      </c>
      <c r="D140" s="437">
        <f t="shared" si="80"/>
        <v>0</v>
      </c>
      <c r="E140" s="437">
        <f t="shared" si="81"/>
        <v>0</v>
      </c>
      <c r="F140" s="437">
        <f t="shared" si="82"/>
        <v>1242.7777777777778</v>
      </c>
      <c r="G140" s="499">
        <f>IF(AU140&lt;0,0,AU140)*0</f>
        <v>0</v>
      </c>
      <c r="H140" s="499">
        <f>IF(AV140&lt;0,0,AV140)*0</f>
        <v>0</v>
      </c>
      <c r="I140" s="500">
        <f t="shared" si="85"/>
        <v>1040</v>
      </c>
      <c r="J140" s="499">
        <f>IF(AX140&lt;0,0,AX140)*0</f>
        <v>0</v>
      </c>
      <c r="K140" s="500">
        <f t="shared" si="87"/>
        <v>0</v>
      </c>
      <c r="L140" s="500">
        <f t="shared" si="88"/>
        <v>714.10526315789468</v>
      </c>
      <c r="M140" s="500">
        <f t="shared" si="89"/>
        <v>0</v>
      </c>
      <c r="N140" s="500">
        <f t="shared" si="90"/>
        <v>0</v>
      </c>
      <c r="O140" s="501">
        <f t="shared" si="91"/>
        <v>742.2166666666667</v>
      </c>
      <c r="P140" s="436">
        <f t="shared" si="92"/>
        <v>702.90909090909088</v>
      </c>
      <c r="Q140" s="500">
        <f t="shared" si="93"/>
        <v>0</v>
      </c>
      <c r="R140" s="500">
        <f t="shared" si="94"/>
        <v>0</v>
      </c>
      <c r="S140" s="500">
        <f t="shared" si="95"/>
        <v>297.57142857142856</v>
      </c>
      <c r="T140" s="500">
        <f t="shared" si="96"/>
        <v>0</v>
      </c>
      <c r="U140" s="499">
        <f>IF(BI140&lt;0,0,BI140)*0</f>
        <v>0</v>
      </c>
      <c r="V140" s="500">
        <f t="shared" si="98"/>
        <v>758.57142857142856</v>
      </c>
      <c r="W140" s="499">
        <f>IF(BK140&lt;0,0,BK140)*0</f>
        <v>0</v>
      </c>
      <c r="X140" s="499">
        <f>IF(BL140&lt;0,0,BL140)*0</f>
        <v>0</v>
      </c>
      <c r="Y140" s="500">
        <f t="shared" si="101"/>
        <v>470.55555555555554</v>
      </c>
      <c r="Z140" s="500">
        <f t="shared" si="102"/>
        <v>0</v>
      </c>
      <c r="AA140" s="499">
        <f>IF(BO140&lt;0,0,BO140)*0</f>
        <v>0</v>
      </c>
      <c r="AB140" s="501">
        <f t="shared" si="104"/>
        <v>530.9636363636364</v>
      </c>
      <c r="AC140" s="436">
        <f t="shared" si="105"/>
        <v>0</v>
      </c>
      <c r="AD140" s="499">
        <f>IF(BR140&lt;0,0,BR140)*0</f>
        <v>0</v>
      </c>
      <c r="AE140" s="499">
        <f>IF(BS140&lt;0,0,BS140)*0</f>
        <v>0</v>
      </c>
      <c r="AF140" s="504">
        <f>IF(BT140&lt;0,0,BT140)*0+432</f>
        <v>432</v>
      </c>
      <c r="AG140" s="437">
        <f t="shared" si="109"/>
        <v>0</v>
      </c>
      <c r="AH140" s="437">
        <f t="shared" si="110"/>
        <v>0</v>
      </c>
      <c r="AI140" s="437">
        <f t="shared" si="111"/>
        <v>834.35714285714289</v>
      </c>
      <c r="AJ140" s="437">
        <f t="shared" si="112"/>
        <v>0</v>
      </c>
      <c r="AK140" s="437">
        <f t="shared" si="113"/>
        <v>0</v>
      </c>
      <c r="AL140" s="437">
        <f t="shared" si="114"/>
        <v>652.5454545454545</v>
      </c>
      <c r="AM140" s="437">
        <f t="shared" si="115"/>
        <v>0</v>
      </c>
      <c r="AN140" s="437">
        <f t="shared" si="116"/>
        <v>0</v>
      </c>
      <c r="AO140" s="438">
        <f t="shared" si="117"/>
        <v>605.28947368421052</v>
      </c>
      <c r="AQ140" s="428">
        <v>758</v>
      </c>
      <c r="AR140" s="429">
        <v>0</v>
      </c>
      <c r="AS140" s="429">
        <v>0</v>
      </c>
      <c r="AT140" s="429">
        <v>1242.7777777777778</v>
      </c>
      <c r="AU140" s="429">
        <v>15</v>
      </c>
      <c r="AV140" s="429">
        <v>17</v>
      </c>
      <c r="AW140" s="429">
        <v>1040</v>
      </c>
      <c r="AX140" s="429">
        <v>21</v>
      </c>
      <c r="AY140" s="429">
        <v>-2202.5</v>
      </c>
      <c r="AZ140" s="429">
        <v>714.10526315789468</v>
      </c>
      <c r="BA140" s="429">
        <v>0</v>
      </c>
      <c r="BB140" s="429">
        <v>0</v>
      </c>
      <c r="BC140" s="431">
        <v>742.2166666666667</v>
      </c>
      <c r="BD140" s="428">
        <v>702.90909090909088</v>
      </c>
      <c r="BE140" s="429">
        <v>0</v>
      </c>
      <c r="BF140" s="429">
        <v>0</v>
      </c>
      <c r="BG140" s="429">
        <v>297.57142857142856</v>
      </c>
      <c r="BH140" s="429">
        <v>-2</v>
      </c>
      <c r="BI140" s="429">
        <v>11</v>
      </c>
      <c r="BJ140" s="429">
        <v>758.57142857142856</v>
      </c>
      <c r="BK140" s="429">
        <v>21</v>
      </c>
      <c r="BL140" s="429">
        <v>29</v>
      </c>
      <c r="BM140" s="429">
        <v>470.55555555555554</v>
      </c>
      <c r="BN140" s="429">
        <v>0</v>
      </c>
      <c r="BO140" s="429">
        <v>239</v>
      </c>
      <c r="BP140" s="431">
        <v>530.9636363636364</v>
      </c>
      <c r="BQ140" s="428">
        <v>0</v>
      </c>
      <c r="BR140" s="429">
        <v>189</v>
      </c>
      <c r="BS140" s="429">
        <v>107</v>
      </c>
      <c r="BT140" s="429">
        <v>706.42857142857144</v>
      </c>
      <c r="BU140" s="429">
        <v>-274.75</v>
      </c>
      <c r="BV140" s="429">
        <v>0</v>
      </c>
      <c r="BW140" s="429">
        <v>834.35714285714289</v>
      </c>
      <c r="BX140" s="429">
        <v>0</v>
      </c>
      <c r="BY140" s="429">
        <v>0</v>
      </c>
      <c r="BZ140" s="429">
        <v>652.5454545454545</v>
      </c>
      <c r="CA140" s="429">
        <v>0</v>
      </c>
      <c r="CB140" s="429">
        <v>0</v>
      </c>
      <c r="CC140" s="431">
        <v>605.28947368421052</v>
      </c>
    </row>
    <row r="141" spans="1:81">
      <c r="A141" s="420" t="s">
        <v>195</v>
      </c>
      <c r="B141" s="420" t="s">
        <v>177</v>
      </c>
      <c r="C141" s="436">
        <f t="shared" si="79"/>
        <v>1619.8</v>
      </c>
      <c r="D141" s="437">
        <f t="shared" si="80"/>
        <v>1645.2</v>
      </c>
      <c r="E141" s="437">
        <f t="shared" si="81"/>
        <v>1263.5999999999999</v>
      </c>
      <c r="F141" s="437">
        <f t="shared" si="82"/>
        <v>1359.8</v>
      </c>
      <c r="G141" s="500">
        <f t="shared" si="83"/>
        <v>1047.5999999999999</v>
      </c>
      <c r="H141" s="500">
        <f t="shared" si="84"/>
        <v>1161.5999999999999</v>
      </c>
      <c r="I141" s="500">
        <f t="shared" si="85"/>
        <v>1043.2</v>
      </c>
      <c r="J141" s="500">
        <f t="shared" si="86"/>
        <v>1162.5999999999999</v>
      </c>
      <c r="K141" s="500">
        <f t="shared" si="87"/>
        <v>1131.4000000000001</v>
      </c>
      <c r="L141" s="500">
        <f t="shared" si="88"/>
        <v>1044.2</v>
      </c>
      <c r="M141" s="500">
        <f t="shared" si="89"/>
        <v>1273.8</v>
      </c>
      <c r="N141" s="500">
        <f t="shared" si="90"/>
        <v>1598.8</v>
      </c>
      <c r="O141" s="501">
        <f t="shared" si="91"/>
        <v>1279.3</v>
      </c>
      <c r="P141" s="436">
        <f t="shared" si="92"/>
        <v>1959</v>
      </c>
      <c r="Q141" s="500">
        <f t="shared" si="93"/>
        <v>1703.6</v>
      </c>
      <c r="R141" s="500">
        <f t="shared" si="94"/>
        <v>1269.2</v>
      </c>
      <c r="S141" s="500">
        <f t="shared" si="95"/>
        <v>1480.8</v>
      </c>
      <c r="T141" s="500">
        <f t="shared" si="96"/>
        <v>1811.8</v>
      </c>
      <c r="U141" s="500">
        <f t="shared" si="97"/>
        <v>1241.5999999999999</v>
      </c>
      <c r="V141" s="500">
        <f t="shared" si="98"/>
        <v>1600.8</v>
      </c>
      <c r="W141" s="500">
        <f t="shared" si="99"/>
        <v>1816</v>
      </c>
      <c r="X141" s="500">
        <f t="shared" si="100"/>
        <v>1791.8</v>
      </c>
      <c r="Y141" s="500">
        <f t="shared" si="101"/>
        <v>1368.2</v>
      </c>
      <c r="Z141" s="500">
        <f t="shared" si="102"/>
        <v>1458.8</v>
      </c>
      <c r="AA141" s="500">
        <f t="shared" si="103"/>
        <v>1650.6</v>
      </c>
      <c r="AB141" s="501">
        <f t="shared" si="104"/>
        <v>1596.0166666666667</v>
      </c>
      <c r="AC141" s="436">
        <f t="shared" si="105"/>
        <v>2546.4</v>
      </c>
      <c r="AD141" s="500">
        <f t="shared" si="106"/>
        <v>2194</v>
      </c>
      <c r="AE141" s="500">
        <f t="shared" si="107"/>
        <v>2155</v>
      </c>
      <c r="AF141" s="437">
        <f t="shared" si="108"/>
        <v>2435.8000000000002</v>
      </c>
      <c r="AG141" s="437">
        <f t="shared" si="109"/>
        <v>1761.6</v>
      </c>
      <c r="AH141" s="437">
        <f t="shared" si="110"/>
        <v>1438.2</v>
      </c>
      <c r="AI141" s="437">
        <f t="shared" si="111"/>
        <v>1006.4</v>
      </c>
      <c r="AJ141" s="437">
        <f t="shared" si="112"/>
        <v>1548</v>
      </c>
      <c r="AK141" s="437">
        <f t="shared" si="113"/>
        <v>1044.8</v>
      </c>
      <c r="AL141" s="437">
        <f t="shared" si="114"/>
        <v>1330.4</v>
      </c>
      <c r="AM141" s="437">
        <f t="shared" si="115"/>
        <v>1331.6</v>
      </c>
      <c r="AN141" s="437">
        <f t="shared" si="116"/>
        <v>1380.4</v>
      </c>
      <c r="AO141" s="438">
        <f t="shared" si="117"/>
        <v>1681.05</v>
      </c>
      <c r="AQ141" s="428">
        <v>1619.8</v>
      </c>
      <c r="AR141" s="429">
        <v>1645.2</v>
      </c>
      <c r="AS141" s="429">
        <v>1263.5999999999999</v>
      </c>
      <c r="AT141" s="429">
        <v>1359.8</v>
      </c>
      <c r="AU141" s="429">
        <v>1047.5999999999999</v>
      </c>
      <c r="AV141" s="429">
        <v>1161.5999999999999</v>
      </c>
      <c r="AW141" s="429">
        <v>1043.2</v>
      </c>
      <c r="AX141" s="429">
        <v>1162.5999999999999</v>
      </c>
      <c r="AY141" s="429">
        <v>1131.4000000000001</v>
      </c>
      <c r="AZ141" s="429">
        <v>1044.2</v>
      </c>
      <c r="BA141" s="429">
        <v>1273.8</v>
      </c>
      <c r="BB141" s="429">
        <v>1598.8</v>
      </c>
      <c r="BC141" s="431">
        <v>1279.3</v>
      </c>
      <c r="BD141" s="428">
        <v>1959</v>
      </c>
      <c r="BE141" s="429">
        <v>1703.6</v>
      </c>
      <c r="BF141" s="429">
        <v>1269.2</v>
      </c>
      <c r="BG141" s="429">
        <v>1480.8</v>
      </c>
      <c r="BH141" s="429">
        <v>1811.8</v>
      </c>
      <c r="BI141" s="429">
        <v>1241.5999999999999</v>
      </c>
      <c r="BJ141" s="429">
        <v>1600.8</v>
      </c>
      <c r="BK141" s="429">
        <v>1816</v>
      </c>
      <c r="BL141" s="429">
        <v>1791.8</v>
      </c>
      <c r="BM141" s="429">
        <v>1368.2</v>
      </c>
      <c r="BN141" s="429">
        <v>1458.8</v>
      </c>
      <c r="BO141" s="429">
        <v>1650.6</v>
      </c>
      <c r="BP141" s="431">
        <v>1596.0166666666667</v>
      </c>
      <c r="BQ141" s="428">
        <v>2546.4</v>
      </c>
      <c r="BR141" s="429">
        <v>2194</v>
      </c>
      <c r="BS141" s="429">
        <v>2155</v>
      </c>
      <c r="BT141" s="429">
        <v>2435.8000000000002</v>
      </c>
      <c r="BU141" s="429">
        <v>1761.6</v>
      </c>
      <c r="BV141" s="429">
        <v>1438.2</v>
      </c>
      <c r="BW141" s="429">
        <v>1006.4</v>
      </c>
      <c r="BX141" s="429">
        <v>1548</v>
      </c>
      <c r="BY141" s="429">
        <v>1044.8</v>
      </c>
      <c r="BZ141" s="429">
        <v>1330.4</v>
      </c>
      <c r="CA141" s="429">
        <v>1331.6</v>
      </c>
      <c r="CB141" s="429">
        <v>1380.4</v>
      </c>
      <c r="CC141" s="431">
        <v>1681.05</v>
      </c>
    </row>
    <row r="142" spans="1:81">
      <c r="A142" s="420" t="s">
        <v>195</v>
      </c>
      <c r="B142" s="420" t="s">
        <v>178</v>
      </c>
      <c r="C142" s="436">
        <f t="shared" si="79"/>
        <v>0</v>
      </c>
      <c r="D142" s="437">
        <f t="shared" si="80"/>
        <v>0</v>
      </c>
      <c r="E142" s="437">
        <f t="shared" si="81"/>
        <v>0</v>
      </c>
      <c r="F142" s="437">
        <f t="shared" si="82"/>
        <v>0</v>
      </c>
      <c r="G142" s="500">
        <f t="shared" si="83"/>
        <v>0</v>
      </c>
      <c r="H142" s="500">
        <f t="shared" si="84"/>
        <v>0</v>
      </c>
      <c r="I142" s="500">
        <f t="shared" si="85"/>
        <v>0</v>
      </c>
      <c r="J142" s="500">
        <f t="shared" si="86"/>
        <v>0</v>
      </c>
      <c r="K142" s="500">
        <f t="shared" si="87"/>
        <v>0</v>
      </c>
      <c r="L142" s="500">
        <f t="shared" si="88"/>
        <v>0</v>
      </c>
      <c r="M142" s="500">
        <f t="shared" si="89"/>
        <v>0</v>
      </c>
      <c r="N142" s="500">
        <f t="shared" si="90"/>
        <v>0</v>
      </c>
      <c r="O142" s="501">
        <f t="shared" si="91"/>
        <v>0</v>
      </c>
      <c r="P142" s="436">
        <f t="shared" si="92"/>
        <v>0</v>
      </c>
      <c r="Q142" s="500">
        <f t="shared" si="93"/>
        <v>0</v>
      </c>
      <c r="R142" s="500">
        <f t="shared" si="94"/>
        <v>0</v>
      </c>
      <c r="S142" s="500">
        <f t="shared" si="95"/>
        <v>0</v>
      </c>
      <c r="T142" s="500">
        <f t="shared" si="96"/>
        <v>0</v>
      </c>
      <c r="U142" s="500">
        <f t="shared" si="97"/>
        <v>0</v>
      </c>
      <c r="V142" s="500">
        <f t="shared" si="98"/>
        <v>0</v>
      </c>
      <c r="W142" s="500">
        <f t="shared" si="99"/>
        <v>0</v>
      </c>
      <c r="X142" s="500">
        <f t="shared" si="100"/>
        <v>0</v>
      </c>
      <c r="Y142" s="500">
        <f t="shared" si="101"/>
        <v>0</v>
      </c>
      <c r="Z142" s="500">
        <f t="shared" si="102"/>
        <v>0</v>
      </c>
      <c r="AA142" s="500">
        <f t="shared" si="103"/>
        <v>0</v>
      </c>
      <c r="AB142" s="501">
        <f t="shared" si="104"/>
        <v>0</v>
      </c>
      <c r="AC142" s="436">
        <f t="shared" si="105"/>
        <v>0</v>
      </c>
      <c r="AD142" s="500">
        <f t="shared" si="106"/>
        <v>0</v>
      </c>
      <c r="AE142" s="500">
        <f t="shared" si="107"/>
        <v>0</v>
      </c>
      <c r="AF142" s="437">
        <f t="shared" si="108"/>
        <v>0</v>
      </c>
      <c r="AG142" s="437">
        <f t="shared" si="109"/>
        <v>0</v>
      </c>
      <c r="AH142" s="437">
        <f t="shared" si="110"/>
        <v>0</v>
      </c>
      <c r="AI142" s="437">
        <f t="shared" si="111"/>
        <v>0</v>
      </c>
      <c r="AJ142" s="437">
        <f t="shared" si="112"/>
        <v>0</v>
      </c>
      <c r="AK142" s="437">
        <f t="shared" si="113"/>
        <v>0</v>
      </c>
      <c r="AL142" s="437">
        <f t="shared" si="114"/>
        <v>0</v>
      </c>
      <c r="AM142" s="437">
        <f t="shared" si="115"/>
        <v>0</v>
      </c>
      <c r="AN142" s="437">
        <f t="shared" si="116"/>
        <v>0</v>
      </c>
      <c r="AO142" s="438">
        <f t="shared" si="117"/>
        <v>0</v>
      </c>
      <c r="AQ142" s="428">
        <v>0</v>
      </c>
      <c r="AR142" s="429">
        <v>0</v>
      </c>
      <c r="AS142" s="429">
        <v>0</v>
      </c>
      <c r="AT142" s="429">
        <v>0</v>
      </c>
      <c r="AU142" s="429">
        <v>0</v>
      </c>
      <c r="AV142" s="429">
        <v>0</v>
      </c>
      <c r="AW142" s="429">
        <v>0</v>
      </c>
      <c r="AX142" s="429">
        <v>0</v>
      </c>
      <c r="AY142" s="429">
        <v>0</v>
      </c>
      <c r="AZ142" s="429">
        <v>0</v>
      </c>
      <c r="BA142" s="429">
        <v>0</v>
      </c>
      <c r="BB142" s="429">
        <v>0</v>
      </c>
      <c r="BC142" s="431">
        <v>0</v>
      </c>
      <c r="BD142" s="428">
        <v>0</v>
      </c>
      <c r="BE142" s="429">
        <v>0</v>
      </c>
      <c r="BF142" s="429">
        <v>0</v>
      </c>
      <c r="BG142" s="429">
        <v>0</v>
      </c>
      <c r="BH142" s="429">
        <v>0</v>
      </c>
      <c r="BI142" s="429">
        <v>0</v>
      </c>
      <c r="BJ142" s="429">
        <v>0</v>
      </c>
      <c r="BK142" s="429">
        <v>0</v>
      </c>
      <c r="BL142" s="429">
        <v>0</v>
      </c>
      <c r="BM142" s="429">
        <v>0</v>
      </c>
      <c r="BN142" s="429">
        <v>0</v>
      </c>
      <c r="BO142" s="429">
        <v>0</v>
      </c>
      <c r="BP142" s="431">
        <v>0</v>
      </c>
      <c r="BQ142" s="428">
        <v>0</v>
      </c>
      <c r="BR142" s="429">
        <v>0</v>
      </c>
      <c r="BS142" s="429">
        <v>0</v>
      </c>
      <c r="BT142" s="429">
        <v>0</v>
      </c>
      <c r="BU142" s="429">
        <v>0</v>
      </c>
      <c r="BV142" s="429">
        <v>0</v>
      </c>
      <c r="BW142" s="429">
        <v>0</v>
      </c>
      <c r="BX142" s="429">
        <v>0</v>
      </c>
      <c r="BY142" s="429">
        <v>0</v>
      </c>
      <c r="BZ142" s="429">
        <v>0</v>
      </c>
      <c r="CA142" s="429">
        <v>0</v>
      </c>
      <c r="CB142" s="429">
        <v>0</v>
      </c>
      <c r="CC142" s="431">
        <v>0</v>
      </c>
    </row>
    <row r="143" spans="1:81">
      <c r="A143" s="420" t="s">
        <v>195</v>
      </c>
      <c r="B143" s="420" t="s">
        <v>179</v>
      </c>
      <c r="C143" s="436">
        <f t="shared" si="79"/>
        <v>0</v>
      </c>
      <c r="D143" s="437">
        <f t="shared" si="80"/>
        <v>0</v>
      </c>
      <c r="E143" s="437">
        <f t="shared" si="81"/>
        <v>0</v>
      </c>
      <c r="F143" s="437">
        <f t="shared" si="82"/>
        <v>0</v>
      </c>
      <c r="G143" s="500">
        <f t="shared" si="83"/>
        <v>0</v>
      </c>
      <c r="H143" s="500">
        <f t="shared" si="84"/>
        <v>0</v>
      </c>
      <c r="I143" s="500">
        <f t="shared" si="85"/>
        <v>0</v>
      </c>
      <c r="J143" s="500">
        <f t="shared" si="86"/>
        <v>0</v>
      </c>
      <c r="K143" s="500">
        <f t="shared" si="87"/>
        <v>0</v>
      </c>
      <c r="L143" s="500">
        <f t="shared" si="88"/>
        <v>0</v>
      </c>
      <c r="M143" s="500">
        <f t="shared" si="89"/>
        <v>0</v>
      </c>
      <c r="N143" s="500">
        <f t="shared" si="90"/>
        <v>0</v>
      </c>
      <c r="O143" s="501">
        <f t="shared" si="91"/>
        <v>0</v>
      </c>
      <c r="P143" s="436">
        <f t="shared" si="92"/>
        <v>0</v>
      </c>
      <c r="Q143" s="500">
        <f t="shared" si="93"/>
        <v>0</v>
      </c>
      <c r="R143" s="500">
        <f t="shared" si="94"/>
        <v>0</v>
      </c>
      <c r="S143" s="500">
        <f t="shared" si="95"/>
        <v>0</v>
      </c>
      <c r="T143" s="500">
        <f t="shared" si="96"/>
        <v>0</v>
      </c>
      <c r="U143" s="500">
        <f t="shared" si="97"/>
        <v>0</v>
      </c>
      <c r="V143" s="500">
        <f t="shared" si="98"/>
        <v>0</v>
      </c>
      <c r="W143" s="500">
        <f t="shared" si="99"/>
        <v>0</v>
      </c>
      <c r="X143" s="500">
        <f t="shared" si="100"/>
        <v>0</v>
      </c>
      <c r="Y143" s="500">
        <f t="shared" si="101"/>
        <v>0</v>
      </c>
      <c r="Z143" s="500">
        <f t="shared" si="102"/>
        <v>0</v>
      </c>
      <c r="AA143" s="500">
        <f t="shared" si="103"/>
        <v>0</v>
      </c>
      <c r="AB143" s="501">
        <f t="shared" si="104"/>
        <v>0</v>
      </c>
      <c r="AC143" s="436">
        <f t="shared" si="105"/>
        <v>0</v>
      </c>
      <c r="AD143" s="500">
        <f t="shared" si="106"/>
        <v>0</v>
      </c>
      <c r="AE143" s="500">
        <f t="shared" si="107"/>
        <v>0</v>
      </c>
      <c r="AF143" s="437">
        <f t="shared" si="108"/>
        <v>0</v>
      </c>
      <c r="AG143" s="437">
        <f t="shared" si="109"/>
        <v>0</v>
      </c>
      <c r="AH143" s="437">
        <f t="shared" si="110"/>
        <v>0</v>
      </c>
      <c r="AI143" s="437">
        <f t="shared" si="111"/>
        <v>0</v>
      </c>
      <c r="AJ143" s="437">
        <f t="shared" si="112"/>
        <v>0</v>
      </c>
      <c r="AK143" s="437">
        <f t="shared" si="113"/>
        <v>0</v>
      </c>
      <c r="AL143" s="437">
        <f t="shared" si="114"/>
        <v>0</v>
      </c>
      <c r="AM143" s="437">
        <f t="shared" si="115"/>
        <v>0</v>
      </c>
      <c r="AN143" s="437">
        <f t="shared" si="116"/>
        <v>0</v>
      </c>
      <c r="AO143" s="438">
        <f t="shared" si="117"/>
        <v>0</v>
      </c>
      <c r="AQ143" s="428">
        <v>0</v>
      </c>
      <c r="AR143" s="429">
        <v>0</v>
      </c>
      <c r="AS143" s="429">
        <v>0</v>
      </c>
      <c r="AT143" s="429">
        <v>0</v>
      </c>
      <c r="AU143" s="429">
        <v>0</v>
      </c>
      <c r="AV143" s="429">
        <v>0</v>
      </c>
      <c r="AW143" s="429">
        <v>0</v>
      </c>
      <c r="AX143" s="429">
        <v>0</v>
      </c>
      <c r="AY143" s="429">
        <v>0</v>
      </c>
      <c r="AZ143" s="429">
        <v>0</v>
      </c>
      <c r="BA143" s="429">
        <v>0</v>
      </c>
      <c r="BB143" s="429">
        <v>0</v>
      </c>
      <c r="BC143" s="431">
        <v>0</v>
      </c>
      <c r="BD143" s="428">
        <v>0</v>
      </c>
      <c r="BE143" s="429">
        <v>0</v>
      </c>
      <c r="BF143" s="429">
        <v>0</v>
      </c>
      <c r="BG143" s="429">
        <v>0</v>
      </c>
      <c r="BH143" s="429">
        <v>0</v>
      </c>
      <c r="BI143" s="429">
        <v>0</v>
      </c>
      <c r="BJ143" s="429">
        <v>0</v>
      </c>
      <c r="BK143" s="429">
        <v>0</v>
      </c>
      <c r="BL143" s="429">
        <v>0</v>
      </c>
      <c r="BM143" s="429">
        <v>0</v>
      </c>
      <c r="BN143" s="429">
        <v>0</v>
      </c>
      <c r="BO143" s="429">
        <v>0</v>
      </c>
      <c r="BP143" s="431">
        <v>0</v>
      </c>
      <c r="BQ143" s="428">
        <v>0</v>
      </c>
      <c r="BR143" s="429">
        <v>0</v>
      </c>
      <c r="BS143" s="429">
        <v>0</v>
      </c>
      <c r="BT143" s="429">
        <v>0</v>
      </c>
      <c r="BU143" s="429">
        <v>0</v>
      </c>
      <c r="BV143" s="429">
        <v>0</v>
      </c>
      <c r="BW143" s="429">
        <v>0</v>
      </c>
      <c r="BX143" s="429">
        <v>0</v>
      </c>
      <c r="BY143" s="429">
        <v>0</v>
      </c>
      <c r="BZ143" s="429">
        <v>0</v>
      </c>
      <c r="CA143" s="429">
        <v>0</v>
      </c>
      <c r="CB143" s="429">
        <v>0</v>
      </c>
      <c r="CC143" s="431">
        <v>0</v>
      </c>
    </row>
    <row r="144" spans="1:81">
      <c r="A144" s="420" t="s">
        <v>195</v>
      </c>
      <c r="B144" s="420" t="s">
        <v>180</v>
      </c>
      <c r="C144" s="436">
        <f t="shared" si="79"/>
        <v>0</v>
      </c>
      <c r="D144" s="437">
        <f t="shared" si="80"/>
        <v>0</v>
      </c>
      <c r="E144" s="437">
        <f t="shared" si="81"/>
        <v>0</v>
      </c>
      <c r="F144" s="437">
        <f t="shared" si="82"/>
        <v>0</v>
      </c>
      <c r="G144" s="500">
        <f t="shared" si="83"/>
        <v>0</v>
      </c>
      <c r="H144" s="500">
        <f t="shared" si="84"/>
        <v>0</v>
      </c>
      <c r="I144" s="500">
        <f t="shared" si="85"/>
        <v>0</v>
      </c>
      <c r="J144" s="500">
        <f t="shared" si="86"/>
        <v>0</v>
      </c>
      <c r="K144" s="500">
        <f t="shared" si="87"/>
        <v>0</v>
      </c>
      <c r="L144" s="500">
        <f t="shared" si="88"/>
        <v>0</v>
      </c>
      <c r="M144" s="500">
        <f t="shared" si="89"/>
        <v>0</v>
      </c>
      <c r="N144" s="500">
        <f t="shared" si="90"/>
        <v>0</v>
      </c>
      <c r="O144" s="501">
        <f t="shared" si="91"/>
        <v>0</v>
      </c>
      <c r="P144" s="436">
        <f t="shared" si="92"/>
        <v>0</v>
      </c>
      <c r="Q144" s="500">
        <f t="shared" si="93"/>
        <v>0</v>
      </c>
      <c r="R144" s="500">
        <f t="shared" si="94"/>
        <v>0</v>
      </c>
      <c r="S144" s="500">
        <f t="shared" si="95"/>
        <v>0</v>
      </c>
      <c r="T144" s="500">
        <f t="shared" si="96"/>
        <v>0</v>
      </c>
      <c r="U144" s="500">
        <f t="shared" si="97"/>
        <v>0</v>
      </c>
      <c r="V144" s="500">
        <f t="shared" si="98"/>
        <v>0</v>
      </c>
      <c r="W144" s="500">
        <f t="shared" si="99"/>
        <v>0</v>
      </c>
      <c r="X144" s="500">
        <f t="shared" si="100"/>
        <v>0</v>
      </c>
      <c r="Y144" s="500">
        <f t="shared" si="101"/>
        <v>0</v>
      </c>
      <c r="Z144" s="500">
        <f t="shared" si="102"/>
        <v>0</v>
      </c>
      <c r="AA144" s="500">
        <f t="shared" si="103"/>
        <v>0</v>
      </c>
      <c r="AB144" s="501">
        <f t="shared" si="104"/>
        <v>0</v>
      </c>
      <c r="AC144" s="436">
        <f t="shared" si="105"/>
        <v>0</v>
      </c>
      <c r="AD144" s="500">
        <f t="shared" si="106"/>
        <v>0</v>
      </c>
      <c r="AE144" s="500">
        <f t="shared" si="107"/>
        <v>0</v>
      </c>
      <c r="AF144" s="437">
        <f t="shared" si="108"/>
        <v>0</v>
      </c>
      <c r="AG144" s="437">
        <f t="shared" si="109"/>
        <v>0</v>
      </c>
      <c r="AH144" s="437">
        <f t="shared" si="110"/>
        <v>0</v>
      </c>
      <c r="AI144" s="437">
        <f t="shared" si="111"/>
        <v>0</v>
      </c>
      <c r="AJ144" s="437">
        <f t="shared" si="112"/>
        <v>0</v>
      </c>
      <c r="AK144" s="437">
        <f t="shared" si="113"/>
        <v>0</v>
      </c>
      <c r="AL144" s="437">
        <f t="shared" si="114"/>
        <v>0</v>
      </c>
      <c r="AM144" s="437">
        <f t="shared" si="115"/>
        <v>0</v>
      </c>
      <c r="AN144" s="437">
        <f t="shared" si="116"/>
        <v>0</v>
      </c>
      <c r="AO144" s="438">
        <f t="shared" si="117"/>
        <v>0</v>
      </c>
      <c r="AQ144" s="428">
        <v>0</v>
      </c>
      <c r="AR144" s="429">
        <v>0</v>
      </c>
      <c r="AS144" s="429">
        <v>0</v>
      </c>
      <c r="AT144" s="429">
        <v>0</v>
      </c>
      <c r="AU144" s="429">
        <v>0</v>
      </c>
      <c r="AV144" s="429">
        <v>0</v>
      </c>
      <c r="AW144" s="429">
        <v>0</v>
      </c>
      <c r="AX144" s="429">
        <v>0</v>
      </c>
      <c r="AY144" s="429">
        <v>0</v>
      </c>
      <c r="AZ144" s="429">
        <v>0</v>
      </c>
      <c r="BA144" s="429">
        <v>0</v>
      </c>
      <c r="BB144" s="429">
        <v>0</v>
      </c>
      <c r="BC144" s="431">
        <v>0</v>
      </c>
      <c r="BD144" s="428">
        <v>0</v>
      </c>
      <c r="BE144" s="429">
        <v>0</v>
      </c>
      <c r="BF144" s="429">
        <v>0</v>
      </c>
      <c r="BG144" s="429">
        <v>0</v>
      </c>
      <c r="BH144" s="429">
        <v>0</v>
      </c>
      <c r="BI144" s="429">
        <v>0</v>
      </c>
      <c r="BJ144" s="429">
        <v>0</v>
      </c>
      <c r="BK144" s="429">
        <v>0</v>
      </c>
      <c r="BL144" s="429">
        <v>0</v>
      </c>
      <c r="BM144" s="429">
        <v>0</v>
      </c>
      <c r="BN144" s="429">
        <v>0</v>
      </c>
      <c r="BO144" s="429">
        <v>0</v>
      </c>
      <c r="BP144" s="431">
        <v>0</v>
      </c>
      <c r="BQ144" s="428">
        <v>0</v>
      </c>
      <c r="BR144" s="429">
        <v>0</v>
      </c>
      <c r="BS144" s="429">
        <v>0</v>
      </c>
      <c r="BT144" s="429">
        <v>0</v>
      </c>
      <c r="BU144" s="429">
        <v>0</v>
      </c>
      <c r="BV144" s="429">
        <v>0</v>
      </c>
      <c r="BW144" s="429">
        <v>0</v>
      </c>
      <c r="BX144" s="429">
        <v>0</v>
      </c>
      <c r="BY144" s="429">
        <v>0</v>
      </c>
      <c r="BZ144" s="429">
        <v>0</v>
      </c>
      <c r="CA144" s="429">
        <v>0</v>
      </c>
      <c r="CB144" s="429">
        <v>0</v>
      </c>
      <c r="CC144" s="431">
        <v>0</v>
      </c>
    </row>
    <row r="145" spans="1:81">
      <c r="A145" s="420" t="s">
        <v>195</v>
      </c>
      <c r="B145" s="420" t="s">
        <v>181</v>
      </c>
      <c r="C145" s="436">
        <f t="shared" si="79"/>
        <v>0</v>
      </c>
      <c r="D145" s="437">
        <f t="shared" si="80"/>
        <v>0</v>
      </c>
      <c r="E145" s="437">
        <f t="shared" si="81"/>
        <v>0</v>
      </c>
      <c r="F145" s="437">
        <f t="shared" si="82"/>
        <v>0</v>
      </c>
      <c r="G145" s="500">
        <f t="shared" si="83"/>
        <v>0</v>
      </c>
      <c r="H145" s="500">
        <f t="shared" si="84"/>
        <v>0</v>
      </c>
      <c r="I145" s="500">
        <f t="shared" si="85"/>
        <v>0</v>
      </c>
      <c r="J145" s="500">
        <f t="shared" si="86"/>
        <v>0</v>
      </c>
      <c r="K145" s="500">
        <f t="shared" si="87"/>
        <v>0</v>
      </c>
      <c r="L145" s="500">
        <f t="shared" si="88"/>
        <v>0</v>
      </c>
      <c r="M145" s="500">
        <f t="shared" si="89"/>
        <v>0</v>
      </c>
      <c r="N145" s="500">
        <f t="shared" si="90"/>
        <v>0</v>
      </c>
      <c r="O145" s="501">
        <f t="shared" si="91"/>
        <v>0</v>
      </c>
      <c r="P145" s="436">
        <f t="shared" si="92"/>
        <v>0</v>
      </c>
      <c r="Q145" s="500">
        <f t="shared" si="93"/>
        <v>0</v>
      </c>
      <c r="R145" s="500">
        <f t="shared" si="94"/>
        <v>0</v>
      </c>
      <c r="S145" s="500">
        <f t="shared" si="95"/>
        <v>0</v>
      </c>
      <c r="T145" s="500">
        <f t="shared" si="96"/>
        <v>0</v>
      </c>
      <c r="U145" s="500">
        <f t="shared" si="97"/>
        <v>0</v>
      </c>
      <c r="V145" s="500">
        <f t="shared" si="98"/>
        <v>0</v>
      </c>
      <c r="W145" s="500">
        <f t="shared" si="99"/>
        <v>0</v>
      </c>
      <c r="X145" s="500">
        <f t="shared" si="100"/>
        <v>0</v>
      </c>
      <c r="Y145" s="500">
        <f t="shared" si="101"/>
        <v>0</v>
      </c>
      <c r="Z145" s="500">
        <f t="shared" si="102"/>
        <v>0</v>
      </c>
      <c r="AA145" s="500">
        <f t="shared" si="103"/>
        <v>0</v>
      </c>
      <c r="AB145" s="501">
        <f t="shared" si="104"/>
        <v>0</v>
      </c>
      <c r="AC145" s="436">
        <f t="shared" si="105"/>
        <v>0</v>
      </c>
      <c r="AD145" s="500">
        <f t="shared" si="106"/>
        <v>0</v>
      </c>
      <c r="AE145" s="500">
        <f t="shared" si="107"/>
        <v>0</v>
      </c>
      <c r="AF145" s="437">
        <f t="shared" si="108"/>
        <v>0</v>
      </c>
      <c r="AG145" s="437">
        <f t="shared" si="109"/>
        <v>0</v>
      </c>
      <c r="AH145" s="437">
        <f t="shared" si="110"/>
        <v>0</v>
      </c>
      <c r="AI145" s="437">
        <f t="shared" si="111"/>
        <v>0</v>
      </c>
      <c r="AJ145" s="437">
        <f t="shared" si="112"/>
        <v>0</v>
      </c>
      <c r="AK145" s="437">
        <f t="shared" si="113"/>
        <v>0</v>
      </c>
      <c r="AL145" s="437">
        <f t="shared" si="114"/>
        <v>0</v>
      </c>
      <c r="AM145" s="437">
        <f t="shared" si="115"/>
        <v>0</v>
      </c>
      <c r="AN145" s="437">
        <f t="shared" si="116"/>
        <v>0</v>
      </c>
      <c r="AO145" s="438">
        <f t="shared" si="117"/>
        <v>0</v>
      </c>
      <c r="AQ145" s="428">
        <v>0</v>
      </c>
      <c r="AR145" s="429">
        <v>0</v>
      </c>
      <c r="AS145" s="429">
        <v>0</v>
      </c>
      <c r="AT145" s="429">
        <v>0</v>
      </c>
      <c r="AU145" s="429">
        <v>0</v>
      </c>
      <c r="AV145" s="429">
        <v>0</v>
      </c>
      <c r="AW145" s="429">
        <v>0</v>
      </c>
      <c r="AX145" s="429">
        <v>0</v>
      </c>
      <c r="AY145" s="429">
        <v>0</v>
      </c>
      <c r="AZ145" s="429">
        <v>0</v>
      </c>
      <c r="BA145" s="429">
        <v>0</v>
      </c>
      <c r="BB145" s="429">
        <v>0</v>
      </c>
      <c r="BC145" s="431">
        <v>0</v>
      </c>
      <c r="BD145" s="428">
        <v>0</v>
      </c>
      <c r="BE145" s="429">
        <v>0</v>
      </c>
      <c r="BF145" s="429">
        <v>0</v>
      </c>
      <c r="BG145" s="429">
        <v>0</v>
      </c>
      <c r="BH145" s="429">
        <v>0</v>
      </c>
      <c r="BI145" s="429">
        <v>0</v>
      </c>
      <c r="BJ145" s="429">
        <v>0</v>
      </c>
      <c r="BK145" s="429">
        <v>0</v>
      </c>
      <c r="BL145" s="429">
        <v>0</v>
      </c>
      <c r="BM145" s="429">
        <v>0</v>
      </c>
      <c r="BN145" s="429">
        <v>0</v>
      </c>
      <c r="BO145" s="429">
        <v>0</v>
      </c>
      <c r="BP145" s="431">
        <v>0</v>
      </c>
      <c r="BQ145" s="428">
        <v>0</v>
      </c>
      <c r="BR145" s="429">
        <v>0</v>
      </c>
      <c r="BS145" s="429">
        <v>0</v>
      </c>
      <c r="BT145" s="429">
        <v>0</v>
      </c>
      <c r="BU145" s="429">
        <v>0</v>
      </c>
      <c r="BV145" s="429">
        <v>0</v>
      </c>
      <c r="BW145" s="429">
        <v>0</v>
      </c>
      <c r="BX145" s="429">
        <v>0</v>
      </c>
      <c r="BY145" s="429">
        <v>0</v>
      </c>
      <c r="BZ145" s="429">
        <v>0</v>
      </c>
      <c r="CA145" s="429">
        <v>0</v>
      </c>
      <c r="CB145" s="429">
        <v>0</v>
      </c>
      <c r="CC145" s="431">
        <v>0</v>
      </c>
    </row>
    <row r="146" spans="1:81">
      <c r="A146" s="420" t="s">
        <v>195</v>
      </c>
      <c r="B146" s="420" t="s">
        <v>182</v>
      </c>
      <c r="C146" s="436">
        <f t="shared" si="79"/>
        <v>0</v>
      </c>
      <c r="D146" s="437">
        <f t="shared" si="80"/>
        <v>0</v>
      </c>
      <c r="E146" s="437">
        <f t="shared" si="81"/>
        <v>0</v>
      </c>
      <c r="F146" s="437">
        <f t="shared" si="82"/>
        <v>0</v>
      </c>
      <c r="G146" s="500">
        <f t="shared" si="83"/>
        <v>0</v>
      </c>
      <c r="H146" s="500">
        <f t="shared" si="84"/>
        <v>0</v>
      </c>
      <c r="I146" s="500">
        <f t="shared" si="85"/>
        <v>0</v>
      </c>
      <c r="J146" s="500">
        <f t="shared" si="86"/>
        <v>0</v>
      </c>
      <c r="K146" s="500">
        <f t="shared" si="87"/>
        <v>0</v>
      </c>
      <c r="L146" s="500">
        <f t="shared" si="88"/>
        <v>0</v>
      </c>
      <c r="M146" s="500">
        <f t="shared" si="89"/>
        <v>0</v>
      </c>
      <c r="N146" s="500">
        <f t="shared" si="90"/>
        <v>0</v>
      </c>
      <c r="O146" s="501">
        <f t="shared" si="91"/>
        <v>0</v>
      </c>
      <c r="P146" s="436">
        <f t="shared" si="92"/>
        <v>0</v>
      </c>
      <c r="Q146" s="500">
        <f t="shared" si="93"/>
        <v>0</v>
      </c>
      <c r="R146" s="500">
        <f t="shared" si="94"/>
        <v>0</v>
      </c>
      <c r="S146" s="500">
        <f t="shared" si="95"/>
        <v>0</v>
      </c>
      <c r="T146" s="500">
        <f t="shared" si="96"/>
        <v>0</v>
      </c>
      <c r="U146" s="500">
        <f t="shared" si="97"/>
        <v>0</v>
      </c>
      <c r="V146" s="500">
        <f t="shared" si="98"/>
        <v>0</v>
      </c>
      <c r="W146" s="500">
        <f t="shared" si="99"/>
        <v>0</v>
      </c>
      <c r="X146" s="500">
        <f t="shared" si="100"/>
        <v>0</v>
      </c>
      <c r="Y146" s="500">
        <f t="shared" si="101"/>
        <v>0</v>
      </c>
      <c r="Z146" s="500">
        <f t="shared" si="102"/>
        <v>0</v>
      </c>
      <c r="AA146" s="500">
        <f t="shared" si="103"/>
        <v>0</v>
      </c>
      <c r="AB146" s="501">
        <f t="shared" si="104"/>
        <v>0</v>
      </c>
      <c r="AC146" s="436">
        <f t="shared" si="105"/>
        <v>0</v>
      </c>
      <c r="AD146" s="500">
        <f t="shared" si="106"/>
        <v>0</v>
      </c>
      <c r="AE146" s="500">
        <f t="shared" si="107"/>
        <v>0</v>
      </c>
      <c r="AF146" s="437">
        <f t="shared" si="108"/>
        <v>0</v>
      </c>
      <c r="AG146" s="437">
        <f t="shared" si="109"/>
        <v>0</v>
      </c>
      <c r="AH146" s="437">
        <f t="shared" si="110"/>
        <v>0</v>
      </c>
      <c r="AI146" s="437">
        <f t="shared" si="111"/>
        <v>0</v>
      </c>
      <c r="AJ146" s="437">
        <f t="shared" si="112"/>
        <v>0</v>
      </c>
      <c r="AK146" s="437">
        <f t="shared" si="113"/>
        <v>0</v>
      </c>
      <c r="AL146" s="437">
        <f t="shared" si="114"/>
        <v>0</v>
      </c>
      <c r="AM146" s="437">
        <f t="shared" si="115"/>
        <v>0</v>
      </c>
      <c r="AN146" s="437">
        <f t="shared" si="116"/>
        <v>0</v>
      </c>
      <c r="AO146" s="438">
        <f t="shared" si="117"/>
        <v>0</v>
      </c>
      <c r="AQ146" s="428">
        <v>0</v>
      </c>
      <c r="AR146" s="429">
        <v>0</v>
      </c>
      <c r="AS146" s="429">
        <v>0</v>
      </c>
      <c r="AT146" s="429">
        <v>0</v>
      </c>
      <c r="AU146" s="429">
        <v>0</v>
      </c>
      <c r="AV146" s="429">
        <v>0</v>
      </c>
      <c r="AW146" s="429">
        <v>0</v>
      </c>
      <c r="AX146" s="429">
        <v>0</v>
      </c>
      <c r="AY146" s="429">
        <v>0</v>
      </c>
      <c r="AZ146" s="429">
        <v>0</v>
      </c>
      <c r="BA146" s="429">
        <v>0</v>
      </c>
      <c r="BB146" s="429">
        <v>0</v>
      </c>
      <c r="BC146" s="431">
        <v>0</v>
      </c>
      <c r="BD146" s="428">
        <v>0</v>
      </c>
      <c r="BE146" s="429">
        <v>0</v>
      </c>
      <c r="BF146" s="429">
        <v>0</v>
      </c>
      <c r="BG146" s="429">
        <v>0</v>
      </c>
      <c r="BH146" s="429">
        <v>0</v>
      </c>
      <c r="BI146" s="429">
        <v>0</v>
      </c>
      <c r="BJ146" s="429">
        <v>0</v>
      </c>
      <c r="BK146" s="429">
        <v>0</v>
      </c>
      <c r="BL146" s="429">
        <v>0</v>
      </c>
      <c r="BM146" s="429">
        <v>0</v>
      </c>
      <c r="BN146" s="429">
        <v>0</v>
      </c>
      <c r="BO146" s="429">
        <v>0</v>
      </c>
      <c r="BP146" s="431">
        <v>0</v>
      </c>
      <c r="BQ146" s="428">
        <v>0</v>
      </c>
      <c r="BR146" s="429">
        <v>0</v>
      </c>
      <c r="BS146" s="429">
        <v>0</v>
      </c>
      <c r="BT146" s="429">
        <v>0</v>
      </c>
      <c r="BU146" s="429">
        <v>0</v>
      </c>
      <c r="BV146" s="429">
        <v>0</v>
      </c>
      <c r="BW146" s="429">
        <v>0</v>
      </c>
      <c r="BX146" s="429">
        <v>0</v>
      </c>
      <c r="BY146" s="429">
        <v>0</v>
      </c>
      <c r="BZ146" s="429">
        <v>0</v>
      </c>
      <c r="CA146" s="429">
        <v>0</v>
      </c>
      <c r="CB146" s="429">
        <v>0</v>
      </c>
      <c r="CC146" s="431">
        <v>0</v>
      </c>
    </row>
    <row r="147" spans="1:81">
      <c r="A147" s="420" t="s">
        <v>195</v>
      </c>
      <c r="B147" s="420" t="s">
        <v>183</v>
      </c>
      <c r="C147" s="436">
        <f t="shared" si="79"/>
        <v>0</v>
      </c>
      <c r="D147" s="437">
        <f t="shared" si="80"/>
        <v>0</v>
      </c>
      <c r="E147" s="437">
        <f t="shared" si="81"/>
        <v>0</v>
      </c>
      <c r="F147" s="437">
        <f t="shared" si="82"/>
        <v>0</v>
      </c>
      <c r="G147" s="500">
        <f t="shared" si="83"/>
        <v>0</v>
      </c>
      <c r="H147" s="500">
        <f t="shared" si="84"/>
        <v>0</v>
      </c>
      <c r="I147" s="500">
        <f t="shared" si="85"/>
        <v>0</v>
      </c>
      <c r="J147" s="500">
        <f t="shared" si="86"/>
        <v>0</v>
      </c>
      <c r="K147" s="500">
        <f t="shared" si="87"/>
        <v>0</v>
      </c>
      <c r="L147" s="500">
        <f t="shared" si="88"/>
        <v>0</v>
      </c>
      <c r="M147" s="500">
        <f t="shared" si="89"/>
        <v>0</v>
      </c>
      <c r="N147" s="500">
        <f t="shared" si="90"/>
        <v>0</v>
      </c>
      <c r="O147" s="501">
        <f t="shared" si="91"/>
        <v>0</v>
      </c>
      <c r="P147" s="436">
        <f t="shared" si="92"/>
        <v>0</v>
      </c>
      <c r="Q147" s="500">
        <f t="shared" si="93"/>
        <v>0</v>
      </c>
      <c r="R147" s="500">
        <f t="shared" si="94"/>
        <v>0</v>
      </c>
      <c r="S147" s="500">
        <f t="shared" si="95"/>
        <v>0</v>
      </c>
      <c r="T147" s="500">
        <f t="shared" si="96"/>
        <v>0</v>
      </c>
      <c r="U147" s="500">
        <f t="shared" si="97"/>
        <v>0</v>
      </c>
      <c r="V147" s="500">
        <f t="shared" si="98"/>
        <v>0</v>
      </c>
      <c r="W147" s="500">
        <f t="shared" si="99"/>
        <v>0</v>
      </c>
      <c r="X147" s="500">
        <f t="shared" si="100"/>
        <v>0</v>
      </c>
      <c r="Y147" s="500">
        <f t="shared" si="101"/>
        <v>0</v>
      </c>
      <c r="Z147" s="500">
        <f t="shared" si="102"/>
        <v>0</v>
      </c>
      <c r="AA147" s="500">
        <f t="shared" si="103"/>
        <v>0</v>
      </c>
      <c r="AB147" s="501">
        <f t="shared" si="104"/>
        <v>0</v>
      </c>
      <c r="AC147" s="436">
        <f t="shared" si="105"/>
        <v>0</v>
      </c>
      <c r="AD147" s="500">
        <f t="shared" si="106"/>
        <v>0</v>
      </c>
      <c r="AE147" s="500">
        <f t="shared" si="107"/>
        <v>0</v>
      </c>
      <c r="AF147" s="437">
        <f t="shared" si="108"/>
        <v>0</v>
      </c>
      <c r="AG147" s="437">
        <f t="shared" si="109"/>
        <v>0</v>
      </c>
      <c r="AH147" s="437">
        <f t="shared" si="110"/>
        <v>0</v>
      </c>
      <c r="AI147" s="437">
        <f t="shared" si="111"/>
        <v>0</v>
      </c>
      <c r="AJ147" s="437">
        <f t="shared" si="112"/>
        <v>0</v>
      </c>
      <c r="AK147" s="437">
        <f t="shared" si="113"/>
        <v>0</v>
      </c>
      <c r="AL147" s="437">
        <f t="shared" si="114"/>
        <v>0</v>
      </c>
      <c r="AM147" s="437">
        <f t="shared" si="115"/>
        <v>0</v>
      </c>
      <c r="AN147" s="437">
        <f t="shared" si="116"/>
        <v>0</v>
      </c>
      <c r="AO147" s="438">
        <f t="shared" si="117"/>
        <v>0</v>
      </c>
      <c r="AQ147" s="428">
        <v>0</v>
      </c>
      <c r="AR147" s="429">
        <v>0</v>
      </c>
      <c r="AS147" s="429">
        <v>0</v>
      </c>
      <c r="AT147" s="429">
        <v>0</v>
      </c>
      <c r="AU147" s="429">
        <v>0</v>
      </c>
      <c r="AV147" s="429">
        <v>0</v>
      </c>
      <c r="AW147" s="429">
        <v>0</v>
      </c>
      <c r="AX147" s="429">
        <v>0</v>
      </c>
      <c r="AY147" s="429">
        <v>0</v>
      </c>
      <c r="AZ147" s="429">
        <v>0</v>
      </c>
      <c r="BA147" s="429">
        <v>0</v>
      </c>
      <c r="BB147" s="429">
        <v>0</v>
      </c>
      <c r="BC147" s="431">
        <v>0</v>
      </c>
      <c r="BD147" s="428">
        <v>0</v>
      </c>
      <c r="BE147" s="429">
        <v>0</v>
      </c>
      <c r="BF147" s="429">
        <v>0</v>
      </c>
      <c r="BG147" s="429">
        <v>0</v>
      </c>
      <c r="BH147" s="429">
        <v>0</v>
      </c>
      <c r="BI147" s="429">
        <v>0</v>
      </c>
      <c r="BJ147" s="429">
        <v>0</v>
      </c>
      <c r="BK147" s="429">
        <v>0</v>
      </c>
      <c r="BL147" s="429">
        <v>0</v>
      </c>
      <c r="BM147" s="429">
        <v>0</v>
      </c>
      <c r="BN147" s="429">
        <v>0</v>
      </c>
      <c r="BO147" s="429">
        <v>0</v>
      </c>
      <c r="BP147" s="431">
        <v>0</v>
      </c>
      <c r="BQ147" s="428">
        <v>0</v>
      </c>
      <c r="BR147" s="429">
        <v>0</v>
      </c>
      <c r="BS147" s="429">
        <v>0</v>
      </c>
      <c r="BT147" s="429">
        <v>0</v>
      </c>
      <c r="BU147" s="429">
        <v>0</v>
      </c>
      <c r="BV147" s="429">
        <v>0</v>
      </c>
      <c r="BW147" s="429">
        <v>0</v>
      </c>
      <c r="BX147" s="429">
        <v>0</v>
      </c>
      <c r="BY147" s="429">
        <v>0</v>
      </c>
      <c r="BZ147" s="429">
        <v>0</v>
      </c>
      <c r="CA147" s="429">
        <v>0</v>
      </c>
      <c r="CB147" s="429">
        <v>0</v>
      </c>
      <c r="CC147" s="431">
        <v>0</v>
      </c>
    </row>
    <row r="148" spans="1:81">
      <c r="A148" s="445"/>
      <c r="B148" s="445"/>
      <c r="C148" s="446"/>
      <c r="D148" s="447"/>
      <c r="E148" s="447"/>
      <c r="F148" s="447"/>
      <c r="G148" s="502"/>
      <c r="H148" s="502"/>
      <c r="I148" s="502"/>
      <c r="J148" s="502"/>
      <c r="K148" s="502"/>
      <c r="L148" s="502"/>
      <c r="M148" s="502"/>
      <c r="N148" s="502"/>
      <c r="O148" s="503"/>
      <c r="P148" s="446"/>
      <c r="Q148" s="502"/>
      <c r="R148" s="502"/>
      <c r="S148" s="502"/>
      <c r="T148" s="502"/>
      <c r="U148" s="502"/>
      <c r="V148" s="502"/>
      <c r="W148" s="502"/>
      <c r="X148" s="502"/>
      <c r="Y148" s="502"/>
      <c r="Z148" s="502"/>
      <c r="AA148" s="502"/>
      <c r="AB148" s="503"/>
      <c r="AC148" s="446"/>
      <c r="AD148" s="502"/>
      <c r="AE148" s="502"/>
      <c r="AF148" s="447"/>
      <c r="AG148" s="447"/>
      <c r="AH148" s="447"/>
      <c r="AI148" s="447"/>
      <c r="AJ148" s="447"/>
      <c r="AK148" s="447"/>
      <c r="AL148" s="447"/>
      <c r="AM148" s="447"/>
      <c r="AN148" s="447"/>
      <c r="AO148" s="448"/>
      <c r="AQ148" s="450"/>
      <c r="AR148" s="451"/>
      <c r="AS148" s="451"/>
      <c r="AT148" s="451"/>
      <c r="AU148" s="451"/>
      <c r="AV148" s="451"/>
      <c r="AW148" s="451"/>
      <c r="AX148" s="451"/>
      <c r="AY148" s="451"/>
      <c r="AZ148" s="451"/>
      <c r="BA148" s="451"/>
      <c r="BB148" s="451"/>
      <c r="BC148" s="452"/>
      <c r="BD148" s="453"/>
      <c r="BE148" s="451"/>
      <c r="BF148" s="451"/>
      <c r="BG148" s="451"/>
      <c r="BH148" s="451"/>
      <c r="BI148" s="451"/>
      <c r="BJ148" s="451"/>
      <c r="BK148" s="451"/>
      <c r="BL148" s="451"/>
      <c r="BM148" s="451"/>
      <c r="BN148" s="451"/>
      <c r="BO148" s="451"/>
      <c r="BP148" s="452"/>
      <c r="BQ148" s="453"/>
      <c r="BR148" s="451"/>
      <c r="BS148" s="451"/>
      <c r="BT148" s="451"/>
      <c r="BU148" s="451"/>
      <c r="BV148" s="451"/>
      <c r="BW148" s="451"/>
      <c r="BX148" s="451"/>
      <c r="BY148" s="451"/>
      <c r="BZ148" s="451"/>
      <c r="CA148" s="451"/>
      <c r="CB148" s="451"/>
      <c r="CC148" s="452"/>
    </row>
    <row r="149" spans="1:81">
      <c r="B149" s="456" t="s">
        <v>196</v>
      </c>
      <c r="C149" s="436"/>
      <c r="D149" s="437"/>
      <c r="E149" s="437"/>
      <c r="F149" s="437"/>
      <c r="G149" s="500"/>
      <c r="H149" s="500"/>
      <c r="I149" s="500"/>
      <c r="J149" s="500"/>
      <c r="K149" s="500"/>
      <c r="L149" s="500"/>
      <c r="M149" s="500"/>
      <c r="N149" s="500"/>
      <c r="O149" s="501"/>
      <c r="P149" s="436"/>
      <c r="Q149" s="500"/>
      <c r="R149" s="500"/>
      <c r="S149" s="500"/>
      <c r="T149" s="500"/>
      <c r="U149" s="500"/>
      <c r="V149" s="500"/>
      <c r="W149" s="500"/>
      <c r="X149" s="500"/>
      <c r="Y149" s="500"/>
      <c r="Z149" s="500"/>
      <c r="AA149" s="500"/>
      <c r="AB149" s="501"/>
      <c r="AC149" s="436"/>
      <c r="AD149" s="500"/>
      <c r="AE149" s="500"/>
      <c r="AF149" s="437"/>
      <c r="AG149" s="437"/>
      <c r="AH149" s="437"/>
      <c r="AI149" s="437"/>
      <c r="AJ149" s="437"/>
      <c r="AK149" s="437"/>
      <c r="AL149" s="437"/>
      <c r="AM149" s="437"/>
      <c r="AN149" s="437"/>
      <c r="AO149" s="438"/>
      <c r="AQ149" s="428"/>
      <c r="AR149" s="429"/>
      <c r="AS149" s="429"/>
      <c r="AT149" s="429"/>
      <c r="AU149" s="429"/>
      <c r="AV149" s="429"/>
      <c r="AW149" s="429"/>
      <c r="AX149" s="429"/>
      <c r="AY149" s="429"/>
      <c r="AZ149" s="429"/>
      <c r="BA149" s="429"/>
      <c r="BB149" s="429"/>
      <c r="BC149" s="431"/>
      <c r="BD149" s="428"/>
      <c r="BE149" s="429"/>
      <c r="BF149" s="429"/>
      <c r="BG149" s="429"/>
      <c r="BH149" s="429"/>
      <c r="BI149" s="429"/>
      <c r="BJ149" s="429"/>
      <c r="BK149" s="429"/>
      <c r="BL149" s="429"/>
      <c r="BM149" s="429"/>
      <c r="BN149" s="429"/>
      <c r="BO149" s="429"/>
      <c r="BP149" s="431"/>
      <c r="BQ149" s="428"/>
      <c r="BR149" s="429"/>
      <c r="BS149" s="429"/>
      <c r="BT149" s="429"/>
      <c r="BU149" s="429"/>
      <c r="BV149" s="429"/>
      <c r="BW149" s="429"/>
      <c r="BX149" s="429"/>
      <c r="BY149" s="429"/>
      <c r="BZ149" s="429"/>
      <c r="CA149" s="429"/>
      <c r="CB149" s="429"/>
      <c r="CC149" s="431"/>
    </row>
    <row r="150" spans="1:81">
      <c r="A150" s="420" t="s">
        <v>196</v>
      </c>
      <c r="B150" s="420" t="s">
        <v>175</v>
      </c>
      <c r="C150" s="436">
        <f t="shared" si="79"/>
        <v>0</v>
      </c>
      <c r="D150" s="437">
        <f t="shared" si="80"/>
        <v>0</v>
      </c>
      <c r="E150" s="437">
        <f t="shared" si="81"/>
        <v>0</v>
      </c>
      <c r="F150" s="437">
        <f t="shared" si="82"/>
        <v>0</v>
      </c>
      <c r="G150" s="500">
        <f t="shared" si="83"/>
        <v>0</v>
      </c>
      <c r="H150" s="500">
        <f t="shared" si="84"/>
        <v>0</v>
      </c>
      <c r="I150" s="500">
        <f t="shared" si="85"/>
        <v>0</v>
      </c>
      <c r="J150" s="500">
        <f t="shared" si="86"/>
        <v>0</v>
      </c>
      <c r="K150" s="500">
        <f t="shared" si="87"/>
        <v>0</v>
      </c>
      <c r="L150" s="500">
        <f t="shared" si="88"/>
        <v>0</v>
      </c>
      <c r="M150" s="500">
        <f t="shared" si="89"/>
        <v>0</v>
      </c>
      <c r="N150" s="500">
        <f t="shared" si="90"/>
        <v>0</v>
      </c>
      <c r="O150" s="501">
        <f t="shared" si="91"/>
        <v>0</v>
      </c>
      <c r="P150" s="436">
        <f t="shared" si="92"/>
        <v>0</v>
      </c>
      <c r="Q150" s="500">
        <f t="shared" si="93"/>
        <v>0</v>
      </c>
      <c r="R150" s="500">
        <f t="shared" si="94"/>
        <v>0</v>
      </c>
      <c r="S150" s="500">
        <f t="shared" si="95"/>
        <v>0</v>
      </c>
      <c r="T150" s="500">
        <f t="shared" si="96"/>
        <v>0</v>
      </c>
      <c r="U150" s="500">
        <f t="shared" si="97"/>
        <v>0</v>
      </c>
      <c r="V150" s="500">
        <f t="shared" si="98"/>
        <v>0</v>
      </c>
      <c r="W150" s="500">
        <f t="shared" si="99"/>
        <v>0</v>
      </c>
      <c r="X150" s="499">
        <f>IF(BL150&lt;0,0,BL150)*0</f>
        <v>0</v>
      </c>
      <c r="Y150" s="499">
        <f t="shared" ref="Y150:AB150" si="118">IF(BM150&lt;0,0,BM150)*0</f>
        <v>0</v>
      </c>
      <c r="Z150" s="499">
        <f t="shared" si="118"/>
        <v>0</v>
      </c>
      <c r="AA150" s="499">
        <f t="shared" si="118"/>
        <v>0</v>
      </c>
      <c r="AB150" s="499">
        <f t="shared" si="118"/>
        <v>0</v>
      </c>
      <c r="AC150" s="436">
        <f t="shared" si="105"/>
        <v>1948.0795180722891</v>
      </c>
      <c r="AD150" s="500">
        <f t="shared" si="106"/>
        <v>1917.8408304498271</v>
      </c>
      <c r="AE150" s="500">
        <f t="shared" si="107"/>
        <v>1606.6998223801065</v>
      </c>
      <c r="AF150" s="437">
        <f t="shared" si="108"/>
        <v>1453.8588235294117</v>
      </c>
      <c r="AG150" s="437">
        <f t="shared" si="109"/>
        <v>1285.3636363636363</v>
      </c>
      <c r="AH150" s="437">
        <f t="shared" si="110"/>
        <v>962.80787037037032</v>
      </c>
      <c r="AI150" s="437">
        <f t="shared" si="111"/>
        <v>791.67614879649886</v>
      </c>
      <c r="AJ150" s="437">
        <f t="shared" si="112"/>
        <v>971.55275229357801</v>
      </c>
      <c r="AK150" s="437">
        <f t="shared" si="113"/>
        <v>1008.2933333333333</v>
      </c>
      <c r="AL150" s="437">
        <f t="shared" si="114"/>
        <v>976.23479729729729</v>
      </c>
      <c r="AM150" s="437">
        <f t="shared" si="115"/>
        <v>989.18240343347634</v>
      </c>
      <c r="AN150" s="437">
        <f t="shared" si="116"/>
        <v>1342.3827956989248</v>
      </c>
      <c r="AO150" s="438">
        <f t="shared" si="117"/>
        <v>1253.2746251660656</v>
      </c>
      <c r="AQ150" s="428">
        <v>0</v>
      </c>
      <c r="AR150" s="429">
        <v>0</v>
      </c>
      <c r="AS150" s="429">
        <v>0</v>
      </c>
      <c r="AT150" s="429">
        <v>0</v>
      </c>
      <c r="AU150" s="429">
        <v>0</v>
      </c>
      <c r="AV150" s="429">
        <v>0</v>
      </c>
      <c r="AW150" s="429">
        <v>0</v>
      </c>
      <c r="AX150" s="429">
        <v>0</v>
      </c>
      <c r="AY150" s="429">
        <v>0</v>
      </c>
      <c r="AZ150" s="429">
        <v>0</v>
      </c>
      <c r="BA150" s="429">
        <v>0</v>
      </c>
      <c r="BB150" s="429">
        <v>0</v>
      </c>
      <c r="BC150" s="431">
        <v>0</v>
      </c>
      <c r="BD150" s="428">
        <v>0</v>
      </c>
      <c r="BE150" s="429">
        <v>0</v>
      </c>
      <c r="BF150" s="429">
        <v>0</v>
      </c>
      <c r="BG150" s="429">
        <v>0</v>
      </c>
      <c r="BH150" s="429">
        <v>0</v>
      </c>
      <c r="BI150" s="429">
        <v>0</v>
      </c>
      <c r="BJ150" s="429">
        <v>0</v>
      </c>
      <c r="BK150" s="429">
        <v>0</v>
      </c>
      <c r="BL150" s="429">
        <v>933.03703703703707</v>
      </c>
      <c r="BM150" s="429">
        <v>1095.0550239234449</v>
      </c>
      <c r="BN150" s="429">
        <v>1031.0456521739131</v>
      </c>
      <c r="BO150" s="429">
        <v>1296.4429530201342</v>
      </c>
      <c r="BP150" s="431">
        <v>1108.579081632653</v>
      </c>
      <c r="BQ150" s="428">
        <v>1948.0795180722891</v>
      </c>
      <c r="BR150" s="429">
        <v>1917.8408304498271</v>
      </c>
      <c r="BS150" s="429">
        <v>1606.6998223801065</v>
      </c>
      <c r="BT150" s="429">
        <v>1453.8588235294117</v>
      </c>
      <c r="BU150" s="429">
        <v>1285.3636363636363</v>
      </c>
      <c r="BV150" s="429">
        <v>962.80787037037032</v>
      </c>
      <c r="BW150" s="429">
        <v>791.67614879649886</v>
      </c>
      <c r="BX150" s="429">
        <v>971.55275229357801</v>
      </c>
      <c r="BY150" s="429">
        <v>1008.2933333333333</v>
      </c>
      <c r="BZ150" s="429">
        <v>976.23479729729729</v>
      </c>
      <c r="CA150" s="429">
        <v>989.18240343347634</v>
      </c>
      <c r="CB150" s="429">
        <v>1342.3827956989248</v>
      </c>
      <c r="CC150" s="431">
        <v>1253.2746251660656</v>
      </c>
    </row>
    <row r="151" spans="1:81">
      <c r="A151" s="420" t="s">
        <v>196</v>
      </c>
      <c r="B151" s="420" t="s">
        <v>176</v>
      </c>
      <c r="C151" s="436">
        <f t="shared" si="79"/>
        <v>0</v>
      </c>
      <c r="D151" s="437">
        <f t="shared" si="80"/>
        <v>0</v>
      </c>
      <c r="E151" s="437">
        <f t="shared" si="81"/>
        <v>0</v>
      </c>
      <c r="F151" s="437">
        <f t="shared" si="82"/>
        <v>0</v>
      </c>
      <c r="G151" s="500">
        <f t="shared" si="83"/>
        <v>0</v>
      </c>
      <c r="H151" s="500">
        <f t="shared" si="84"/>
        <v>0</v>
      </c>
      <c r="I151" s="500">
        <f t="shared" si="85"/>
        <v>0</v>
      </c>
      <c r="J151" s="500">
        <f t="shared" si="86"/>
        <v>0</v>
      </c>
      <c r="K151" s="500">
        <f t="shared" si="87"/>
        <v>0</v>
      </c>
      <c r="L151" s="500">
        <f t="shared" si="88"/>
        <v>0</v>
      </c>
      <c r="M151" s="500">
        <f t="shared" si="89"/>
        <v>0</v>
      </c>
      <c r="N151" s="500">
        <f t="shared" si="90"/>
        <v>0</v>
      </c>
      <c r="O151" s="501">
        <f t="shared" si="91"/>
        <v>0</v>
      </c>
      <c r="P151" s="436">
        <f t="shared" si="92"/>
        <v>0</v>
      </c>
      <c r="Q151" s="500">
        <f t="shared" si="93"/>
        <v>0</v>
      </c>
      <c r="R151" s="500">
        <f t="shared" si="94"/>
        <v>0</v>
      </c>
      <c r="S151" s="500">
        <f t="shared" si="95"/>
        <v>0</v>
      </c>
      <c r="T151" s="500">
        <f t="shared" si="96"/>
        <v>0</v>
      </c>
      <c r="U151" s="500">
        <f t="shared" si="97"/>
        <v>0</v>
      </c>
      <c r="V151" s="500">
        <f t="shared" si="98"/>
        <v>0</v>
      </c>
      <c r="W151" s="500">
        <f t="shared" si="99"/>
        <v>0</v>
      </c>
      <c r="X151" s="500">
        <f t="shared" si="100"/>
        <v>0</v>
      </c>
      <c r="Y151" s="500">
        <f t="shared" si="101"/>
        <v>0</v>
      </c>
      <c r="Z151" s="500">
        <f t="shared" si="102"/>
        <v>0</v>
      </c>
      <c r="AA151" s="500">
        <f t="shared" si="103"/>
        <v>0</v>
      </c>
      <c r="AB151" s="501">
        <f t="shared" si="104"/>
        <v>0</v>
      </c>
      <c r="AC151" s="436">
        <f t="shared" si="105"/>
        <v>0</v>
      </c>
      <c r="AD151" s="500">
        <f t="shared" si="106"/>
        <v>0</v>
      </c>
      <c r="AE151" s="500">
        <f t="shared" si="107"/>
        <v>0</v>
      </c>
      <c r="AF151" s="437">
        <f t="shared" si="108"/>
        <v>0</v>
      </c>
      <c r="AG151" s="437">
        <f t="shared" si="109"/>
        <v>0</v>
      </c>
      <c r="AH151" s="437">
        <f t="shared" si="110"/>
        <v>0</v>
      </c>
      <c r="AI151" s="437">
        <f t="shared" si="111"/>
        <v>0</v>
      </c>
      <c r="AJ151" s="437">
        <f t="shared" si="112"/>
        <v>0</v>
      </c>
      <c r="AK151" s="437">
        <f t="shared" si="113"/>
        <v>0</v>
      </c>
      <c r="AL151" s="437">
        <f t="shared" si="114"/>
        <v>0</v>
      </c>
      <c r="AM151" s="437">
        <f t="shared" si="115"/>
        <v>0</v>
      </c>
      <c r="AN151" s="437">
        <f t="shared" si="116"/>
        <v>0</v>
      </c>
      <c r="AO151" s="438">
        <f t="shared" si="117"/>
        <v>0</v>
      </c>
      <c r="AQ151" s="428">
        <v>0</v>
      </c>
      <c r="AR151" s="429">
        <v>0</v>
      </c>
      <c r="AS151" s="429">
        <v>0</v>
      </c>
      <c r="AT151" s="429">
        <v>0</v>
      </c>
      <c r="AU151" s="429">
        <v>0</v>
      </c>
      <c r="AV151" s="429">
        <v>0</v>
      </c>
      <c r="AW151" s="429">
        <v>0</v>
      </c>
      <c r="AX151" s="429">
        <v>0</v>
      </c>
      <c r="AY151" s="429">
        <v>0</v>
      </c>
      <c r="AZ151" s="429">
        <v>0</v>
      </c>
      <c r="BA151" s="429">
        <v>0</v>
      </c>
      <c r="BB151" s="429">
        <v>0</v>
      </c>
      <c r="BC151" s="431">
        <v>0</v>
      </c>
      <c r="BD151" s="428">
        <v>0</v>
      </c>
      <c r="BE151" s="429">
        <v>0</v>
      </c>
      <c r="BF151" s="429">
        <v>0</v>
      </c>
      <c r="BG151" s="429">
        <v>0</v>
      </c>
      <c r="BH151" s="429">
        <v>0</v>
      </c>
      <c r="BI151" s="429">
        <v>0</v>
      </c>
      <c r="BJ151" s="429">
        <v>0</v>
      </c>
      <c r="BK151" s="429">
        <v>0</v>
      </c>
      <c r="BL151" s="429">
        <v>0</v>
      </c>
      <c r="BM151" s="429">
        <v>0</v>
      </c>
      <c r="BN151" s="429">
        <v>0</v>
      </c>
      <c r="BO151" s="429">
        <v>0</v>
      </c>
      <c r="BP151" s="431">
        <v>0</v>
      </c>
      <c r="BQ151" s="428">
        <v>0</v>
      </c>
      <c r="BR151" s="429">
        <v>0</v>
      </c>
      <c r="BS151" s="429">
        <v>0</v>
      </c>
      <c r="BT151" s="429">
        <v>0</v>
      </c>
      <c r="BU151" s="429">
        <v>0</v>
      </c>
      <c r="BV151" s="429">
        <v>0</v>
      </c>
      <c r="BW151" s="429">
        <v>0</v>
      </c>
      <c r="BX151" s="429">
        <v>0</v>
      </c>
      <c r="BY151" s="429">
        <v>0</v>
      </c>
      <c r="BZ151" s="429">
        <v>0</v>
      </c>
      <c r="CA151" s="429">
        <v>0</v>
      </c>
      <c r="CB151" s="429">
        <v>0</v>
      </c>
      <c r="CC151" s="431">
        <v>0</v>
      </c>
    </row>
    <row r="152" spans="1:81">
      <c r="A152" s="420" t="s">
        <v>196</v>
      </c>
      <c r="B152" s="420" t="s">
        <v>177</v>
      </c>
      <c r="C152" s="436">
        <f t="shared" si="79"/>
        <v>0</v>
      </c>
      <c r="D152" s="437">
        <f t="shared" si="80"/>
        <v>0</v>
      </c>
      <c r="E152" s="437">
        <f t="shared" si="81"/>
        <v>0</v>
      </c>
      <c r="F152" s="437">
        <f t="shared" si="82"/>
        <v>0</v>
      </c>
      <c r="G152" s="500">
        <f t="shared" si="83"/>
        <v>0</v>
      </c>
      <c r="H152" s="500">
        <f t="shared" si="84"/>
        <v>0</v>
      </c>
      <c r="I152" s="500">
        <f t="shared" si="85"/>
        <v>0</v>
      </c>
      <c r="J152" s="500">
        <f t="shared" si="86"/>
        <v>0</v>
      </c>
      <c r="K152" s="500">
        <f t="shared" si="87"/>
        <v>0</v>
      </c>
      <c r="L152" s="500">
        <f t="shared" si="88"/>
        <v>0</v>
      </c>
      <c r="M152" s="500">
        <f t="shared" si="89"/>
        <v>0</v>
      </c>
      <c r="N152" s="500">
        <f t="shared" si="90"/>
        <v>0</v>
      </c>
      <c r="O152" s="501">
        <f t="shared" si="91"/>
        <v>0</v>
      </c>
      <c r="P152" s="436">
        <f t="shared" si="92"/>
        <v>0</v>
      </c>
      <c r="Q152" s="500">
        <f t="shared" si="93"/>
        <v>0</v>
      </c>
      <c r="R152" s="500">
        <f t="shared" si="94"/>
        <v>0</v>
      </c>
      <c r="S152" s="500">
        <f t="shared" si="95"/>
        <v>0</v>
      </c>
      <c r="T152" s="500">
        <f t="shared" si="96"/>
        <v>0</v>
      </c>
      <c r="U152" s="500">
        <f t="shared" si="97"/>
        <v>0</v>
      </c>
      <c r="V152" s="500">
        <f t="shared" si="98"/>
        <v>0</v>
      </c>
      <c r="W152" s="500">
        <f t="shared" si="99"/>
        <v>0</v>
      </c>
      <c r="X152" s="499">
        <f>IF(BL152&lt;0,0,BL152)*0</f>
        <v>0</v>
      </c>
      <c r="Y152" s="499">
        <f t="shared" ref="Y152" si="119">IF(BM152&lt;0,0,BM152)*0</f>
        <v>0</v>
      </c>
      <c r="Z152" s="499">
        <f t="shared" ref="Z152" si="120">IF(BN152&lt;0,0,BN152)*0</f>
        <v>0</v>
      </c>
      <c r="AA152" s="499">
        <f t="shared" ref="AA152" si="121">IF(BO152&lt;0,0,BO152)*0</f>
        <v>0</v>
      </c>
      <c r="AB152" s="499">
        <f t="shared" ref="AB152" si="122">IF(BP152&lt;0,0,BP152)*0</f>
        <v>0</v>
      </c>
      <c r="AC152" s="436">
        <f t="shared" si="105"/>
        <v>4044.625</v>
      </c>
      <c r="AD152" s="500">
        <f t="shared" si="106"/>
        <v>3637</v>
      </c>
      <c r="AE152" s="500">
        <f t="shared" si="107"/>
        <v>2348.2222222222222</v>
      </c>
      <c r="AF152" s="437">
        <f t="shared" si="108"/>
        <v>1924.4444444444443</v>
      </c>
      <c r="AG152" s="437">
        <f t="shared" si="109"/>
        <v>1549.75</v>
      </c>
      <c r="AH152" s="437">
        <f t="shared" si="110"/>
        <v>1005</v>
      </c>
      <c r="AI152" s="437">
        <f t="shared" si="111"/>
        <v>722.375</v>
      </c>
      <c r="AJ152" s="437">
        <f t="shared" si="112"/>
        <v>608.375</v>
      </c>
      <c r="AK152" s="437">
        <f t="shared" si="113"/>
        <v>3740.3333333333335</v>
      </c>
      <c r="AL152" s="437">
        <f t="shared" si="114"/>
        <v>2067.7222222222222</v>
      </c>
      <c r="AM152" s="437">
        <f t="shared" si="115"/>
        <v>3396.4</v>
      </c>
      <c r="AN152" s="437">
        <f t="shared" si="116"/>
        <v>3178.3</v>
      </c>
      <c r="AO152" s="438">
        <f t="shared" si="117"/>
        <v>2209.6605504587155</v>
      </c>
      <c r="AQ152" s="428">
        <v>0</v>
      </c>
      <c r="AR152" s="429">
        <v>0</v>
      </c>
      <c r="AS152" s="429">
        <v>0</v>
      </c>
      <c r="AT152" s="429">
        <v>0</v>
      </c>
      <c r="AU152" s="429">
        <v>0</v>
      </c>
      <c r="AV152" s="429">
        <v>0</v>
      </c>
      <c r="AW152" s="429">
        <v>0</v>
      </c>
      <c r="AX152" s="429">
        <v>0</v>
      </c>
      <c r="AY152" s="429">
        <v>0</v>
      </c>
      <c r="AZ152" s="429">
        <v>0</v>
      </c>
      <c r="BA152" s="429">
        <v>0</v>
      </c>
      <c r="BB152" s="429">
        <v>0</v>
      </c>
      <c r="BC152" s="431">
        <v>0</v>
      </c>
      <c r="BD152" s="428">
        <v>0</v>
      </c>
      <c r="BE152" s="429">
        <v>0</v>
      </c>
      <c r="BF152" s="429">
        <v>0</v>
      </c>
      <c r="BG152" s="429">
        <v>0</v>
      </c>
      <c r="BH152" s="429">
        <v>0</v>
      </c>
      <c r="BI152" s="429">
        <v>0</v>
      </c>
      <c r="BJ152" s="429">
        <v>0</v>
      </c>
      <c r="BK152" s="429">
        <v>0</v>
      </c>
      <c r="BL152" s="429">
        <v>1415</v>
      </c>
      <c r="BM152" s="429">
        <v>1858.6666666666667</v>
      </c>
      <c r="BN152" s="429">
        <v>1123.3076923076924</v>
      </c>
      <c r="BO152" s="429">
        <v>2633.75</v>
      </c>
      <c r="BP152" s="431">
        <v>1676.2121212121212</v>
      </c>
      <c r="BQ152" s="428">
        <v>4044.625</v>
      </c>
      <c r="BR152" s="429">
        <v>3637</v>
      </c>
      <c r="BS152" s="429">
        <v>2348.2222222222222</v>
      </c>
      <c r="BT152" s="429">
        <v>1924.4444444444443</v>
      </c>
      <c r="BU152" s="429">
        <v>1549.75</v>
      </c>
      <c r="BV152" s="429">
        <v>1005</v>
      </c>
      <c r="BW152" s="429">
        <v>722.375</v>
      </c>
      <c r="BX152" s="429">
        <v>608.375</v>
      </c>
      <c r="BY152" s="429">
        <v>3740.3333333333335</v>
      </c>
      <c r="BZ152" s="429">
        <v>2067.7222222222222</v>
      </c>
      <c r="CA152" s="429">
        <v>3396.4</v>
      </c>
      <c r="CB152" s="429">
        <v>3178.3</v>
      </c>
      <c r="CC152" s="431">
        <v>2209.6605504587155</v>
      </c>
    </row>
    <row r="153" spans="1:81">
      <c r="A153" s="420" t="s">
        <v>196</v>
      </c>
      <c r="B153" s="420" t="s">
        <v>178</v>
      </c>
      <c r="C153" s="436">
        <f t="shared" si="79"/>
        <v>0</v>
      </c>
      <c r="D153" s="437">
        <f t="shared" si="80"/>
        <v>0</v>
      </c>
      <c r="E153" s="437">
        <f t="shared" si="81"/>
        <v>0</v>
      </c>
      <c r="F153" s="437">
        <f t="shared" si="82"/>
        <v>0</v>
      </c>
      <c r="G153" s="500">
        <f t="shared" si="83"/>
        <v>0</v>
      </c>
      <c r="H153" s="500">
        <f t="shared" si="84"/>
        <v>0</v>
      </c>
      <c r="I153" s="500">
        <f t="shared" si="85"/>
        <v>0</v>
      </c>
      <c r="J153" s="500">
        <f t="shared" si="86"/>
        <v>0</v>
      </c>
      <c r="K153" s="500">
        <f t="shared" si="87"/>
        <v>0</v>
      </c>
      <c r="L153" s="500">
        <f t="shared" si="88"/>
        <v>0</v>
      </c>
      <c r="M153" s="500">
        <f t="shared" si="89"/>
        <v>0</v>
      </c>
      <c r="N153" s="500">
        <f t="shared" si="90"/>
        <v>0</v>
      </c>
      <c r="O153" s="501">
        <f t="shared" si="91"/>
        <v>0</v>
      </c>
      <c r="P153" s="436">
        <f t="shared" si="92"/>
        <v>0</v>
      </c>
      <c r="Q153" s="500">
        <f t="shared" si="93"/>
        <v>0</v>
      </c>
      <c r="R153" s="500">
        <f t="shared" si="94"/>
        <v>0</v>
      </c>
      <c r="S153" s="500">
        <f t="shared" si="95"/>
        <v>0</v>
      </c>
      <c r="T153" s="500">
        <f t="shared" si="96"/>
        <v>0</v>
      </c>
      <c r="U153" s="500">
        <f t="shared" si="97"/>
        <v>0</v>
      </c>
      <c r="V153" s="500">
        <f t="shared" si="98"/>
        <v>0</v>
      </c>
      <c r="W153" s="500">
        <f t="shared" si="99"/>
        <v>0</v>
      </c>
      <c r="X153" s="500">
        <f t="shared" si="100"/>
        <v>0</v>
      </c>
      <c r="Y153" s="499">
        <f t="shared" ref="Y153" si="123">IF(BM153&lt;0,0,BM153)*0</f>
        <v>0</v>
      </c>
      <c r="Z153" s="499">
        <f t="shared" ref="Z153" si="124">IF(BN153&lt;0,0,BN153)*0</f>
        <v>0</v>
      </c>
      <c r="AA153" s="499">
        <f t="shared" ref="AA153" si="125">IF(BO153&lt;0,0,BO153)*0</f>
        <v>0</v>
      </c>
      <c r="AB153" s="499">
        <f t="shared" ref="AB153" si="126">IF(BP153&lt;0,0,BP153)*0</f>
        <v>0</v>
      </c>
      <c r="AC153" s="436">
        <f t="shared" si="105"/>
        <v>24200</v>
      </c>
      <c r="AD153" s="500">
        <f t="shared" si="106"/>
        <v>13066.666666666666</v>
      </c>
      <c r="AE153" s="500">
        <f t="shared" si="107"/>
        <v>29440</v>
      </c>
      <c r="AF153" s="437">
        <f t="shared" si="108"/>
        <v>16002.5</v>
      </c>
      <c r="AG153" s="437">
        <f t="shared" si="109"/>
        <v>14340.75</v>
      </c>
      <c r="AH153" s="437">
        <f t="shared" si="110"/>
        <v>14537.25</v>
      </c>
      <c r="AI153" s="437">
        <f t="shared" si="111"/>
        <v>12356.25</v>
      </c>
      <c r="AJ153" s="437">
        <f t="shared" si="112"/>
        <v>7052.1428571428569</v>
      </c>
      <c r="AK153" s="437">
        <f t="shared" si="113"/>
        <v>7346.375</v>
      </c>
      <c r="AL153" s="437">
        <f t="shared" si="114"/>
        <v>5448.8571428571431</v>
      </c>
      <c r="AM153" s="437">
        <f t="shared" si="115"/>
        <v>12657.25</v>
      </c>
      <c r="AN153" s="437">
        <f t="shared" si="116"/>
        <v>11900.75</v>
      </c>
      <c r="AO153" s="438">
        <f t="shared" si="117"/>
        <v>12342.127272727274</v>
      </c>
      <c r="AQ153" s="428">
        <v>0</v>
      </c>
      <c r="AR153" s="429">
        <v>0</v>
      </c>
      <c r="AS153" s="429">
        <v>0</v>
      </c>
      <c r="AT153" s="429">
        <v>0</v>
      </c>
      <c r="AU153" s="429">
        <v>0</v>
      </c>
      <c r="AV153" s="429">
        <v>0</v>
      </c>
      <c r="AW153" s="429">
        <v>0</v>
      </c>
      <c r="AX153" s="429">
        <v>0</v>
      </c>
      <c r="AY153" s="429">
        <v>0</v>
      </c>
      <c r="AZ153" s="429">
        <v>0</v>
      </c>
      <c r="BA153" s="429">
        <v>0</v>
      </c>
      <c r="BB153" s="429">
        <v>0</v>
      </c>
      <c r="BC153" s="431">
        <v>0</v>
      </c>
      <c r="BD153" s="428">
        <v>0</v>
      </c>
      <c r="BE153" s="429">
        <v>0</v>
      </c>
      <c r="BF153" s="429">
        <v>0</v>
      </c>
      <c r="BG153" s="429">
        <v>0</v>
      </c>
      <c r="BH153" s="429">
        <v>0</v>
      </c>
      <c r="BI153" s="429">
        <v>0</v>
      </c>
      <c r="BJ153" s="429">
        <v>0</v>
      </c>
      <c r="BK153" s="429">
        <v>0</v>
      </c>
      <c r="BL153" s="429">
        <v>0</v>
      </c>
      <c r="BM153" s="429">
        <v>57</v>
      </c>
      <c r="BN153" s="429">
        <v>28475.375</v>
      </c>
      <c r="BO153" s="429">
        <v>20670</v>
      </c>
      <c r="BP153" s="431">
        <v>24472.727272727272</v>
      </c>
      <c r="BQ153" s="428">
        <v>24200</v>
      </c>
      <c r="BR153" s="429">
        <v>13066.666666666666</v>
      </c>
      <c r="BS153" s="429">
        <v>29440</v>
      </c>
      <c r="BT153" s="429">
        <v>16002.5</v>
      </c>
      <c r="BU153" s="429">
        <v>14340.75</v>
      </c>
      <c r="BV153" s="429">
        <v>14537.25</v>
      </c>
      <c r="BW153" s="429">
        <v>12356.25</v>
      </c>
      <c r="BX153" s="429">
        <v>7052.1428571428569</v>
      </c>
      <c r="BY153" s="429">
        <v>7346.375</v>
      </c>
      <c r="BZ153" s="429">
        <v>5448.8571428571431</v>
      </c>
      <c r="CA153" s="429">
        <v>12657.25</v>
      </c>
      <c r="CB153" s="429">
        <v>11900.75</v>
      </c>
      <c r="CC153" s="431">
        <v>12342.127272727274</v>
      </c>
    </row>
    <row r="154" spans="1:81">
      <c r="A154" s="420" t="s">
        <v>196</v>
      </c>
      <c r="B154" s="420" t="s">
        <v>179</v>
      </c>
      <c r="C154" s="436">
        <f t="shared" si="79"/>
        <v>0</v>
      </c>
      <c r="D154" s="437">
        <f t="shared" si="80"/>
        <v>0</v>
      </c>
      <c r="E154" s="437">
        <f t="shared" si="81"/>
        <v>0</v>
      </c>
      <c r="F154" s="437">
        <f t="shared" si="82"/>
        <v>0</v>
      </c>
      <c r="G154" s="500">
        <f t="shared" si="83"/>
        <v>0</v>
      </c>
      <c r="H154" s="500">
        <f t="shared" si="84"/>
        <v>0</v>
      </c>
      <c r="I154" s="500">
        <f t="shared" si="85"/>
        <v>0</v>
      </c>
      <c r="J154" s="500">
        <f t="shared" si="86"/>
        <v>0</v>
      </c>
      <c r="K154" s="500">
        <f t="shared" si="87"/>
        <v>0</v>
      </c>
      <c r="L154" s="500">
        <f t="shared" si="88"/>
        <v>0</v>
      </c>
      <c r="M154" s="500">
        <f t="shared" si="89"/>
        <v>0</v>
      </c>
      <c r="N154" s="500">
        <f t="shared" si="90"/>
        <v>0</v>
      </c>
      <c r="O154" s="501">
        <f t="shared" si="91"/>
        <v>0</v>
      </c>
      <c r="P154" s="436">
        <f t="shared" si="92"/>
        <v>0</v>
      </c>
      <c r="Q154" s="500">
        <f t="shared" si="93"/>
        <v>0</v>
      </c>
      <c r="R154" s="500">
        <f t="shared" si="94"/>
        <v>0</v>
      </c>
      <c r="S154" s="500">
        <f t="shared" si="95"/>
        <v>0</v>
      </c>
      <c r="T154" s="500">
        <f t="shared" si="96"/>
        <v>0</v>
      </c>
      <c r="U154" s="500">
        <f t="shared" si="97"/>
        <v>0</v>
      </c>
      <c r="V154" s="500">
        <f t="shared" si="98"/>
        <v>0</v>
      </c>
      <c r="W154" s="500">
        <f t="shared" si="99"/>
        <v>0</v>
      </c>
      <c r="X154" s="500">
        <f t="shared" si="100"/>
        <v>0</v>
      </c>
      <c r="Y154" s="500">
        <f t="shared" si="101"/>
        <v>0</v>
      </c>
      <c r="Z154" s="500">
        <f t="shared" si="102"/>
        <v>0</v>
      </c>
      <c r="AA154" s="500">
        <f t="shared" si="103"/>
        <v>0</v>
      </c>
      <c r="AB154" s="501">
        <f t="shared" si="104"/>
        <v>0</v>
      </c>
      <c r="AC154" s="436">
        <f t="shared" si="105"/>
        <v>0</v>
      </c>
      <c r="AD154" s="500">
        <f t="shared" si="106"/>
        <v>0</v>
      </c>
      <c r="AE154" s="500">
        <f t="shared" si="107"/>
        <v>0</v>
      </c>
      <c r="AF154" s="437">
        <f t="shared" si="108"/>
        <v>0</v>
      </c>
      <c r="AG154" s="437">
        <f t="shared" si="109"/>
        <v>0</v>
      </c>
      <c r="AH154" s="437">
        <f t="shared" si="110"/>
        <v>0</v>
      </c>
      <c r="AI154" s="437">
        <f t="shared" si="111"/>
        <v>0</v>
      </c>
      <c r="AJ154" s="437">
        <f t="shared" si="112"/>
        <v>0</v>
      </c>
      <c r="AK154" s="437">
        <f t="shared" si="113"/>
        <v>0</v>
      </c>
      <c r="AL154" s="437">
        <f t="shared" si="114"/>
        <v>0</v>
      </c>
      <c r="AM154" s="437">
        <f t="shared" si="115"/>
        <v>0</v>
      </c>
      <c r="AN154" s="437">
        <f t="shared" si="116"/>
        <v>0</v>
      </c>
      <c r="AO154" s="438">
        <f t="shared" si="117"/>
        <v>0</v>
      </c>
      <c r="AQ154" s="428">
        <v>0</v>
      </c>
      <c r="AR154" s="429">
        <v>0</v>
      </c>
      <c r="AS154" s="429">
        <v>0</v>
      </c>
      <c r="AT154" s="429">
        <v>0</v>
      </c>
      <c r="AU154" s="429">
        <v>0</v>
      </c>
      <c r="AV154" s="429">
        <v>0</v>
      </c>
      <c r="AW154" s="429">
        <v>0</v>
      </c>
      <c r="AX154" s="429">
        <v>0</v>
      </c>
      <c r="AY154" s="429">
        <v>0</v>
      </c>
      <c r="AZ154" s="429">
        <v>0</v>
      </c>
      <c r="BA154" s="429">
        <v>0</v>
      </c>
      <c r="BB154" s="429">
        <v>0</v>
      </c>
      <c r="BC154" s="431">
        <v>0</v>
      </c>
      <c r="BD154" s="428">
        <v>0</v>
      </c>
      <c r="BE154" s="429">
        <v>0</v>
      </c>
      <c r="BF154" s="429">
        <v>0</v>
      </c>
      <c r="BG154" s="429">
        <v>0</v>
      </c>
      <c r="BH154" s="429">
        <v>0</v>
      </c>
      <c r="BI154" s="429">
        <v>0</v>
      </c>
      <c r="BJ154" s="429">
        <v>0</v>
      </c>
      <c r="BK154" s="429">
        <v>0</v>
      </c>
      <c r="BL154" s="429">
        <v>0</v>
      </c>
      <c r="BM154" s="429">
        <v>0</v>
      </c>
      <c r="BN154" s="429">
        <v>0</v>
      </c>
      <c r="BO154" s="429">
        <v>0</v>
      </c>
      <c r="BP154" s="431">
        <v>0</v>
      </c>
      <c r="BQ154" s="428">
        <v>0</v>
      </c>
      <c r="BR154" s="429">
        <v>0</v>
      </c>
      <c r="BS154" s="429">
        <v>0</v>
      </c>
      <c r="BT154" s="429">
        <v>0</v>
      </c>
      <c r="BU154" s="429">
        <v>0</v>
      </c>
      <c r="BV154" s="429">
        <v>0</v>
      </c>
      <c r="BW154" s="429">
        <v>0</v>
      </c>
      <c r="BX154" s="429">
        <v>0</v>
      </c>
      <c r="BY154" s="429">
        <v>0</v>
      </c>
      <c r="BZ154" s="429">
        <v>0</v>
      </c>
      <c r="CA154" s="429">
        <v>0</v>
      </c>
      <c r="CB154" s="429">
        <v>0</v>
      </c>
      <c r="CC154" s="431">
        <v>0</v>
      </c>
    </row>
    <row r="155" spans="1:81">
      <c r="A155" s="420" t="s">
        <v>196</v>
      </c>
      <c r="B155" s="420" t="s">
        <v>180</v>
      </c>
      <c r="C155" s="436">
        <f t="shared" si="79"/>
        <v>0</v>
      </c>
      <c r="D155" s="437">
        <f t="shared" si="80"/>
        <v>0</v>
      </c>
      <c r="E155" s="437">
        <f t="shared" si="81"/>
        <v>0</v>
      </c>
      <c r="F155" s="437">
        <f t="shared" si="82"/>
        <v>0</v>
      </c>
      <c r="G155" s="500">
        <f t="shared" si="83"/>
        <v>0</v>
      </c>
      <c r="H155" s="500">
        <f t="shared" si="84"/>
        <v>0</v>
      </c>
      <c r="I155" s="500">
        <f t="shared" si="85"/>
        <v>0</v>
      </c>
      <c r="J155" s="500">
        <f t="shared" si="86"/>
        <v>0</v>
      </c>
      <c r="K155" s="500">
        <f t="shared" si="87"/>
        <v>0</v>
      </c>
      <c r="L155" s="500">
        <f t="shared" si="88"/>
        <v>0</v>
      </c>
      <c r="M155" s="500">
        <f t="shared" si="89"/>
        <v>0</v>
      </c>
      <c r="N155" s="500">
        <f t="shared" si="90"/>
        <v>0</v>
      </c>
      <c r="O155" s="501">
        <f t="shared" si="91"/>
        <v>0</v>
      </c>
      <c r="P155" s="436">
        <f t="shared" si="92"/>
        <v>0</v>
      </c>
      <c r="Q155" s="500">
        <f t="shared" si="93"/>
        <v>0</v>
      </c>
      <c r="R155" s="500">
        <f t="shared" si="94"/>
        <v>0</v>
      </c>
      <c r="S155" s="500">
        <f t="shared" si="95"/>
        <v>0</v>
      </c>
      <c r="T155" s="500">
        <f t="shared" si="96"/>
        <v>0</v>
      </c>
      <c r="U155" s="500">
        <f t="shared" si="97"/>
        <v>0</v>
      </c>
      <c r="V155" s="500">
        <f t="shared" si="98"/>
        <v>0</v>
      </c>
      <c r="W155" s="500">
        <f t="shared" si="99"/>
        <v>0</v>
      </c>
      <c r="X155" s="500">
        <f t="shared" si="100"/>
        <v>0</v>
      </c>
      <c r="Y155" s="500">
        <f t="shared" si="101"/>
        <v>0</v>
      </c>
      <c r="Z155" s="500">
        <f t="shared" si="102"/>
        <v>0</v>
      </c>
      <c r="AA155" s="500">
        <f t="shared" si="103"/>
        <v>0</v>
      </c>
      <c r="AB155" s="501">
        <f t="shared" si="104"/>
        <v>0</v>
      </c>
      <c r="AC155" s="436">
        <f t="shared" si="105"/>
        <v>0</v>
      </c>
      <c r="AD155" s="500">
        <f t="shared" si="106"/>
        <v>0</v>
      </c>
      <c r="AE155" s="500">
        <f t="shared" si="107"/>
        <v>0</v>
      </c>
      <c r="AF155" s="437">
        <f t="shared" si="108"/>
        <v>0</v>
      </c>
      <c r="AG155" s="437">
        <f t="shared" si="109"/>
        <v>0</v>
      </c>
      <c r="AH155" s="437">
        <f t="shared" si="110"/>
        <v>0</v>
      </c>
      <c r="AI155" s="437">
        <f t="shared" si="111"/>
        <v>0</v>
      </c>
      <c r="AJ155" s="437">
        <f t="shared" si="112"/>
        <v>0</v>
      </c>
      <c r="AK155" s="437">
        <f t="shared" si="113"/>
        <v>0</v>
      </c>
      <c r="AL155" s="437">
        <f t="shared" si="114"/>
        <v>0</v>
      </c>
      <c r="AM155" s="437">
        <f t="shared" si="115"/>
        <v>0</v>
      </c>
      <c r="AN155" s="437">
        <f t="shared" si="116"/>
        <v>0</v>
      </c>
      <c r="AO155" s="438">
        <f t="shared" si="117"/>
        <v>0</v>
      </c>
      <c r="AQ155" s="428">
        <v>0</v>
      </c>
      <c r="AR155" s="429">
        <v>0</v>
      </c>
      <c r="AS155" s="429">
        <v>0</v>
      </c>
      <c r="AT155" s="429">
        <v>0</v>
      </c>
      <c r="AU155" s="429">
        <v>0</v>
      </c>
      <c r="AV155" s="429">
        <v>0</v>
      </c>
      <c r="AW155" s="429">
        <v>0</v>
      </c>
      <c r="AX155" s="429">
        <v>0</v>
      </c>
      <c r="AY155" s="429">
        <v>0</v>
      </c>
      <c r="AZ155" s="429">
        <v>0</v>
      </c>
      <c r="BA155" s="429">
        <v>0</v>
      </c>
      <c r="BB155" s="429">
        <v>0</v>
      </c>
      <c r="BC155" s="431">
        <v>0</v>
      </c>
      <c r="BD155" s="428">
        <v>0</v>
      </c>
      <c r="BE155" s="429">
        <v>0</v>
      </c>
      <c r="BF155" s="429">
        <v>0</v>
      </c>
      <c r="BG155" s="429">
        <v>0</v>
      </c>
      <c r="BH155" s="429">
        <v>0</v>
      </c>
      <c r="BI155" s="429">
        <v>0</v>
      </c>
      <c r="BJ155" s="429">
        <v>0</v>
      </c>
      <c r="BK155" s="429">
        <v>0</v>
      </c>
      <c r="BL155" s="429">
        <v>0</v>
      </c>
      <c r="BM155" s="429">
        <v>0</v>
      </c>
      <c r="BN155" s="429">
        <v>0</v>
      </c>
      <c r="BO155" s="429">
        <v>0</v>
      </c>
      <c r="BP155" s="431">
        <v>0</v>
      </c>
      <c r="BQ155" s="428">
        <v>0</v>
      </c>
      <c r="BR155" s="429">
        <v>0</v>
      </c>
      <c r="BS155" s="429">
        <v>0</v>
      </c>
      <c r="BT155" s="429">
        <v>0</v>
      </c>
      <c r="BU155" s="429">
        <v>0</v>
      </c>
      <c r="BV155" s="429">
        <v>0</v>
      </c>
      <c r="BW155" s="429">
        <v>0</v>
      </c>
      <c r="BX155" s="429">
        <v>0</v>
      </c>
      <c r="BY155" s="429">
        <v>0</v>
      </c>
      <c r="BZ155" s="429">
        <v>0</v>
      </c>
      <c r="CA155" s="429">
        <v>0</v>
      </c>
      <c r="CB155" s="429">
        <v>0</v>
      </c>
      <c r="CC155" s="431">
        <v>0</v>
      </c>
    </row>
    <row r="156" spans="1:81">
      <c r="A156" s="420" t="s">
        <v>196</v>
      </c>
      <c r="B156" s="420" t="s">
        <v>181</v>
      </c>
      <c r="C156" s="436">
        <f t="shared" si="79"/>
        <v>0</v>
      </c>
      <c r="D156" s="437">
        <f t="shared" si="80"/>
        <v>0</v>
      </c>
      <c r="E156" s="437">
        <f t="shared" si="81"/>
        <v>0</v>
      </c>
      <c r="F156" s="437">
        <f t="shared" si="82"/>
        <v>0</v>
      </c>
      <c r="G156" s="500">
        <f t="shared" si="83"/>
        <v>0</v>
      </c>
      <c r="H156" s="500">
        <f t="shared" si="84"/>
        <v>0</v>
      </c>
      <c r="I156" s="500">
        <f t="shared" si="85"/>
        <v>0</v>
      </c>
      <c r="J156" s="500">
        <f t="shared" si="86"/>
        <v>0</v>
      </c>
      <c r="K156" s="500">
        <f t="shared" si="87"/>
        <v>0</v>
      </c>
      <c r="L156" s="500">
        <f t="shared" si="88"/>
        <v>0</v>
      </c>
      <c r="M156" s="500">
        <f t="shared" si="89"/>
        <v>0</v>
      </c>
      <c r="N156" s="500">
        <f t="shared" si="90"/>
        <v>0</v>
      </c>
      <c r="O156" s="501">
        <f t="shared" si="91"/>
        <v>0</v>
      </c>
      <c r="P156" s="436">
        <f t="shared" si="92"/>
        <v>0</v>
      </c>
      <c r="Q156" s="500">
        <f t="shared" si="93"/>
        <v>0</v>
      </c>
      <c r="R156" s="500">
        <f t="shared" si="94"/>
        <v>0</v>
      </c>
      <c r="S156" s="500">
        <f t="shared" si="95"/>
        <v>0</v>
      </c>
      <c r="T156" s="500">
        <f t="shared" si="96"/>
        <v>0</v>
      </c>
      <c r="U156" s="500">
        <f t="shared" si="97"/>
        <v>0</v>
      </c>
      <c r="V156" s="500">
        <f t="shared" si="98"/>
        <v>0</v>
      </c>
      <c r="W156" s="500">
        <f t="shared" si="99"/>
        <v>0</v>
      </c>
      <c r="X156" s="500">
        <f t="shared" si="100"/>
        <v>0</v>
      </c>
      <c r="Y156" s="500">
        <f t="shared" si="101"/>
        <v>0</v>
      </c>
      <c r="Z156" s="500">
        <f t="shared" si="102"/>
        <v>0</v>
      </c>
      <c r="AA156" s="500">
        <f t="shared" si="103"/>
        <v>0</v>
      </c>
      <c r="AB156" s="501">
        <f t="shared" si="104"/>
        <v>0</v>
      </c>
      <c r="AC156" s="436">
        <f t="shared" si="105"/>
        <v>0</v>
      </c>
      <c r="AD156" s="500">
        <f t="shared" si="106"/>
        <v>0</v>
      </c>
      <c r="AE156" s="500">
        <f t="shared" si="107"/>
        <v>0</v>
      </c>
      <c r="AF156" s="437">
        <f t="shared" si="108"/>
        <v>0</v>
      </c>
      <c r="AG156" s="437">
        <f t="shared" si="109"/>
        <v>0</v>
      </c>
      <c r="AH156" s="437">
        <f t="shared" si="110"/>
        <v>0</v>
      </c>
      <c r="AI156" s="437">
        <f t="shared" si="111"/>
        <v>0</v>
      </c>
      <c r="AJ156" s="437">
        <f t="shared" si="112"/>
        <v>0</v>
      </c>
      <c r="AK156" s="437">
        <f t="shared" si="113"/>
        <v>0</v>
      </c>
      <c r="AL156" s="437">
        <f t="shared" si="114"/>
        <v>0</v>
      </c>
      <c r="AM156" s="437">
        <f t="shared" si="115"/>
        <v>0</v>
      </c>
      <c r="AN156" s="437">
        <f t="shared" si="116"/>
        <v>0</v>
      </c>
      <c r="AO156" s="438">
        <f t="shared" si="117"/>
        <v>0</v>
      </c>
      <c r="AQ156" s="428">
        <v>0</v>
      </c>
      <c r="AR156" s="429">
        <v>0</v>
      </c>
      <c r="AS156" s="429">
        <v>0</v>
      </c>
      <c r="AT156" s="429">
        <v>0</v>
      </c>
      <c r="AU156" s="429">
        <v>0</v>
      </c>
      <c r="AV156" s="429">
        <v>0</v>
      </c>
      <c r="AW156" s="429">
        <v>0</v>
      </c>
      <c r="AX156" s="429">
        <v>0</v>
      </c>
      <c r="AY156" s="429">
        <v>0</v>
      </c>
      <c r="AZ156" s="429">
        <v>0</v>
      </c>
      <c r="BA156" s="429">
        <v>0</v>
      </c>
      <c r="BB156" s="429">
        <v>0</v>
      </c>
      <c r="BC156" s="431">
        <v>0</v>
      </c>
      <c r="BD156" s="428">
        <v>0</v>
      </c>
      <c r="BE156" s="429">
        <v>0</v>
      </c>
      <c r="BF156" s="429">
        <v>0</v>
      </c>
      <c r="BG156" s="429">
        <v>0</v>
      </c>
      <c r="BH156" s="429">
        <v>0</v>
      </c>
      <c r="BI156" s="429">
        <v>0</v>
      </c>
      <c r="BJ156" s="429">
        <v>0</v>
      </c>
      <c r="BK156" s="429">
        <v>0</v>
      </c>
      <c r="BL156" s="429">
        <v>0</v>
      </c>
      <c r="BM156" s="429">
        <v>0</v>
      </c>
      <c r="BN156" s="429">
        <v>0</v>
      </c>
      <c r="BO156" s="429">
        <v>0</v>
      </c>
      <c r="BP156" s="431">
        <v>0</v>
      </c>
      <c r="BQ156" s="428">
        <v>0</v>
      </c>
      <c r="BR156" s="429">
        <v>0</v>
      </c>
      <c r="BS156" s="429">
        <v>0</v>
      </c>
      <c r="BT156" s="429">
        <v>0</v>
      </c>
      <c r="BU156" s="429">
        <v>0</v>
      </c>
      <c r="BV156" s="429">
        <v>0</v>
      </c>
      <c r="BW156" s="429">
        <v>0</v>
      </c>
      <c r="BX156" s="429">
        <v>0</v>
      </c>
      <c r="BY156" s="429">
        <v>0</v>
      </c>
      <c r="BZ156" s="429">
        <v>0</v>
      </c>
      <c r="CA156" s="429">
        <v>0</v>
      </c>
      <c r="CB156" s="429">
        <v>0</v>
      </c>
      <c r="CC156" s="431">
        <v>0</v>
      </c>
    </row>
    <row r="157" spans="1:81">
      <c r="A157" s="420" t="s">
        <v>196</v>
      </c>
      <c r="B157" s="420" t="s">
        <v>182</v>
      </c>
      <c r="C157" s="436">
        <f t="shared" si="79"/>
        <v>0</v>
      </c>
      <c r="D157" s="437">
        <f t="shared" si="80"/>
        <v>0</v>
      </c>
      <c r="E157" s="437">
        <f t="shared" si="81"/>
        <v>0</v>
      </c>
      <c r="F157" s="437">
        <f t="shared" si="82"/>
        <v>0</v>
      </c>
      <c r="G157" s="500">
        <f t="shared" si="83"/>
        <v>0</v>
      </c>
      <c r="H157" s="500">
        <f t="shared" si="84"/>
        <v>0</v>
      </c>
      <c r="I157" s="500">
        <f t="shared" si="85"/>
        <v>0</v>
      </c>
      <c r="J157" s="500">
        <f t="shared" si="86"/>
        <v>0</v>
      </c>
      <c r="K157" s="500">
        <f t="shared" si="87"/>
        <v>0</v>
      </c>
      <c r="L157" s="500">
        <f t="shared" si="88"/>
        <v>0</v>
      </c>
      <c r="M157" s="500">
        <f t="shared" si="89"/>
        <v>0</v>
      </c>
      <c r="N157" s="500">
        <f t="shared" si="90"/>
        <v>0</v>
      </c>
      <c r="O157" s="501">
        <f t="shared" si="91"/>
        <v>0</v>
      </c>
      <c r="P157" s="436">
        <f t="shared" si="92"/>
        <v>0</v>
      </c>
      <c r="Q157" s="500">
        <f t="shared" si="93"/>
        <v>0</v>
      </c>
      <c r="R157" s="500">
        <f t="shared" si="94"/>
        <v>0</v>
      </c>
      <c r="S157" s="500">
        <f t="shared" si="95"/>
        <v>0</v>
      </c>
      <c r="T157" s="500">
        <f t="shared" si="96"/>
        <v>0</v>
      </c>
      <c r="U157" s="500">
        <f t="shared" si="97"/>
        <v>0</v>
      </c>
      <c r="V157" s="500">
        <f t="shared" si="98"/>
        <v>0</v>
      </c>
      <c r="W157" s="500">
        <f t="shared" si="99"/>
        <v>0</v>
      </c>
      <c r="X157" s="500">
        <f t="shared" si="100"/>
        <v>0</v>
      </c>
      <c r="Y157" s="500">
        <f t="shared" si="101"/>
        <v>0</v>
      </c>
      <c r="Z157" s="500">
        <f t="shared" si="102"/>
        <v>0</v>
      </c>
      <c r="AA157" s="500">
        <f t="shared" si="103"/>
        <v>0</v>
      </c>
      <c r="AB157" s="501">
        <f t="shared" si="104"/>
        <v>0</v>
      </c>
      <c r="AC157" s="436">
        <f t="shared" si="105"/>
        <v>0</v>
      </c>
      <c r="AD157" s="500">
        <f t="shared" si="106"/>
        <v>0</v>
      </c>
      <c r="AE157" s="500">
        <f t="shared" si="107"/>
        <v>0</v>
      </c>
      <c r="AF157" s="437">
        <f t="shared" si="108"/>
        <v>0</v>
      </c>
      <c r="AG157" s="437">
        <f t="shared" si="109"/>
        <v>0</v>
      </c>
      <c r="AH157" s="437">
        <f t="shared" si="110"/>
        <v>0</v>
      </c>
      <c r="AI157" s="437">
        <f t="shared" si="111"/>
        <v>0</v>
      </c>
      <c r="AJ157" s="437">
        <f t="shared" si="112"/>
        <v>0</v>
      </c>
      <c r="AK157" s="437">
        <f t="shared" si="113"/>
        <v>0</v>
      </c>
      <c r="AL157" s="437">
        <f t="shared" si="114"/>
        <v>0</v>
      </c>
      <c r="AM157" s="437">
        <f t="shared" si="115"/>
        <v>0</v>
      </c>
      <c r="AN157" s="437">
        <f t="shared" si="116"/>
        <v>0</v>
      </c>
      <c r="AO157" s="438">
        <f t="shared" si="117"/>
        <v>0</v>
      </c>
      <c r="AQ157" s="428">
        <v>0</v>
      </c>
      <c r="AR157" s="429">
        <v>0</v>
      </c>
      <c r="AS157" s="429">
        <v>0</v>
      </c>
      <c r="AT157" s="429">
        <v>0</v>
      </c>
      <c r="AU157" s="429">
        <v>0</v>
      </c>
      <c r="AV157" s="429">
        <v>0</v>
      </c>
      <c r="AW157" s="429">
        <v>0</v>
      </c>
      <c r="AX157" s="429">
        <v>0</v>
      </c>
      <c r="AY157" s="429">
        <v>0</v>
      </c>
      <c r="AZ157" s="429">
        <v>0</v>
      </c>
      <c r="BA157" s="429">
        <v>0</v>
      </c>
      <c r="BB157" s="429">
        <v>0</v>
      </c>
      <c r="BC157" s="431">
        <v>0</v>
      </c>
      <c r="BD157" s="428">
        <v>0</v>
      </c>
      <c r="BE157" s="429">
        <v>0</v>
      </c>
      <c r="BF157" s="429">
        <v>0</v>
      </c>
      <c r="BG157" s="429">
        <v>0</v>
      </c>
      <c r="BH157" s="429">
        <v>0</v>
      </c>
      <c r="BI157" s="429">
        <v>0</v>
      </c>
      <c r="BJ157" s="429">
        <v>0</v>
      </c>
      <c r="BK157" s="429">
        <v>0</v>
      </c>
      <c r="BL157" s="429">
        <v>0</v>
      </c>
      <c r="BM157" s="429">
        <v>0</v>
      </c>
      <c r="BN157" s="429">
        <v>0</v>
      </c>
      <c r="BO157" s="429">
        <v>0</v>
      </c>
      <c r="BP157" s="431">
        <v>0</v>
      </c>
      <c r="BQ157" s="428">
        <v>0</v>
      </c>
      <c r="BR157" s="429">
        <v>0</v>
      </c>
      <c r="BS157" s="429">
        <v>0</v>
      </c>
      <c r="BT157" s="429">
        <v>0</v>
      </c>
      <c r="BU157" s="429">
        <v>0</v>
      </c>
      <c r="BV157" s="429">
        <v>0</v>
      </c>
      <c r="BW157" s="429">
        <v>0</v>
      </c>
      <c r="BX157" s="429">
        <v>0</v>
      </c>
      <c r="BY157" s="429">
        <v>0</v>
      </c>
      <c r="BZ157" s="429">
        <v>0</v>
      </c>
      <c r="CA157" s="429">
        <v>0</v>
      </c>
      <c r="CB157" s="429">
        <v>0</v>
      </c>
      <c r="CC157" s="431">
        <v>0</v>
      </c>
    </row>
    <row r="158" spans="1:81">
      <c r="A158" s="420" t="s">
        <v>196</v>
      </c>
      <c r="B158" s="420" t="s">
        <v>183</v>
      </c>
      <c r="C158" s="436">
        <f t="shared" si="79"/>
        <v>0</v>
      </c>
      <c r="D158" s="437">
        <f t="shared" si="80"/>
        <v>0</v>
      </c>
      <c r="E158" s="437">
        <f t="shared" si="81"/>
        <v>0</v>
      </c>
      <c r="F158" s="437">
        <f t="shared" si="82"/>
        <v>0</v>
      </c>
      <c r="G158" s="500">
        <f t="shared" si="83"/>
        <v>0</v>
      </c>
      <c r="H158" s="500">
        <f t="shared" si="84"/>
        <v>0</v>
      </c>
      <c r="I158" s="500">
        <f t="shared" si="85"/>
        <v>0</v>
      </c>
      <c r="J158" s="500">
        <f t="shared" si="86"/>
        <v>0</v>
      </c>
      <c r="K158" s="500">
        <f t="shared" si="87"/>
        <v>0</v>
      </c>
      <c r="L158" s="500">
        <f t="shared" si="88"/>
        <v>0</v>
      </c>
      <c r="M158" s="500">
        <f t="shared" si="89"/>
        <v>0</v>
      </c>
      <c r="N158" s="500">
        <f t="shared" si="90"/>
        <v>0</v>
      </c>
      <c r="O158" s="501">
        <f t="shared" si="91"/>
        <v>0</v>
      </c>
      <c r="P158" s="436">
        <f t="shared" si="92"/>
        <v>0</v>
      </c>
      <c r="Q158" s="500">
        <f t="shared" si="93"/>
        <v>0</v>
      </c>
      <c r="R158" s="500">
        <f t="shared" si="94"/>
        <v>0</v>
      </c>
      <c r="S158" s="500">
        <f t="shared" si="95"/>
        <v>0</v>
      </c>
      <c r="T158" s="500">
        <f t="shared" si="96"/>
        <v>0</v>
      </c>
      <c r="U158" s="500">
        <f t="shared" si="97"/>
        <v>0</v>
      </c>
      <c r="V158" s="500">
        <f t="shared" si="98"/>
        <v>0</v>
      </c>
      <c r="W158" s="500">
        <f t="shared" si="99"/>
        <v>0</v>
      </c>
      <c r="X158" s="500">
        <f t="shared" si="100"/>
        <v>0</v>
      </c>
      <c r="Y158" s="499">
        <f t="shared" ref="Y158" si="127">IF(BM158&lt;0,0,BM158)*0</f>
        <v>0</v>
      </c>
      <c r="Z158" s="499">
        <f t="shared" ref="Z158" si="128">IF(BN158&lt;0,0,BN158)*0</f>
        <v>0</v>
      </c>
      <c r="AA158" s="499">
        <f t="shared" ref="AA158" si="129">IF(BO158&lt;0,0,BO158)*0</f>
        <v>0</v>
      </c>
      <c r="AB158" s="499">
        <f t="shared" ref="AB158" si="130">IF(BP158&lt;0,0,BP158)*0</f>
        <v>0</v>
      </c>
      <c r="AC158" s="436">
        <f t="shared" si="105"/>
        <v>3199.5522388059703</v>
      </c>
      <c r="AD158" s="500">
        <f t="shared" si="106"/>
        <v>4962.1369863013697</v>
      </c>
      <c r="AE158" s="500">
        <f t="shared" si="107"/>
        <v>3843.5270270270271</v>
      </c>
      <c r="AF158" s="437">
        <f t="shared" si="108"/>
        <v>3380.4810126582279</v>
      </c>
      <c r="AG158" s="437">
        <f t="shared" si="109"/>
        <v>2941</v>
      </c>
      <c r="AH158" s="437">
        <f t="shared" si="110"/>
        <v>2595.4520547945203</v>
      </c>
      <c r="AI158" s="437">
        <f t="shared" si="111"/>
        <v>1342.4285714285713</v>
      </c>
      <c r="AJ158" s="437">
        <f t="shared" si="112"/>
        <v>1429.661971830986</v>
      </c>
      <c r="AK158" s="437">
        <f t="shared" si="113"/>
        <v>2877.2602739726026</v>
      </c>
      <c r="AL158" s="437">
        <f t="shared" si="114"/>
        <v>3473.2133333333331</v>
      </c>
      <c r="AM158" s="437">
        <f t="shared" si="115"/>
        <v>2698.7534246575342</v>
      </c>
      <c r="AN158" s="437">
        <f t="shared" si="116"/>
        <v>2332.7631578947367</v>
      </c>
      <c r="AO158" s="438">
        <f t="shared" si="117"/>
        <v>2920.7338618346544</v>
      </c>
      <c r="AQ158" s="428">
        <v>0</v>
      </c>
      <c r="AR158" s="429">
        <v>0</v>
      </c>
      <c r="AS158" s="429">
        <v>0</v>
      </c>
      <c r="AT158" s="429">
        <v>0</v>
      </c>
      <c r="AU158" s="429">
        <v>0</v>
      </c>
      <c r="AV158" s="429">
        <v>0</v>
      </c>
      <c r="AW158" s="429">
        <v>0</v>
      </c>
      <c r="AX158" s="429">
        <v>0</v>
      </c>
      <c r="AY158" s="429">
        <v>0</v>
      </c>
      <c r="AZ158" s="429">
        <v>0</v>
      </c>
      <c r="BA158" s="429">
        <v>0</v>
      </c>
      <c r="BB158" s="429">
        <v>0</v>
      </c>
      <c r="BC158" s="431">
        <v>0</v>
      </c>
      <c r="BD158" s="428">
        <v>0</v>
      </c>
      <c r="BE158" s="429">
        <v>0</v>
      </c>
      <c r="BF158" s="429">
        <v>0</v>
      </c>
      <c r="BG158" s="429">
        <v>0</v>
      </c>
      <c r="BH158" s="429">
        <v>0</v>
      </c>
      <c r="BI158" s="429">
        <v>0</v>
      </c>
      <c r="BJ158" s="429">
        <v>0</v>
      </c>
      <c r="BK158" s="429">
        <v>0</v>
      </c>
      <c r="BL158" s="429">
        <v>0</v>
      </c>
      <c r="BM158" s="429">
        <v>1263.032786885246</v>
      </c>
      <c r="BN158" s="429">
        <v>2057.15</v>
      </c>
      <c r="BO158" s="429">
        <v>5329.7922077922076</v>
      </c>
      <c r="BP158" s="431">
        <v>2990.8761467889908</v>
      </c>
      <c r="BQ158" s="428">
        <v>3199.5522388059703</v>
      </c>
      <c r="BR158" s="429">
        <v>4962.1369863013697</v>
      </c>
      <c r="BS158" s="429">
        <v>3843.5270270270271</v>
      </c>
      <c r="BT158" s="429">
        <v>3380.4810126582279</v>
      </c>
      <c r="BU158" s="429">
        <v>2941</v>
      </c>
      <c r="BV158" s="429">
        <v>2595.4520547945203</v>
      </c>
      <c r="BW158" s="429">
        <v>1342.4285714285713</v>
      </c>
      <c r="BX158" s="429">
        <v>1429.661971830986</v>
      </c>
      <c r="BY158" s="429">
        <v>2877.2602739726026</v>
      </c>
      <c r="BZ158" s="429">
        <v>3473.2133333333331</v>
      </c>
      <c r="CA158" s="429">
        <v>2698.7534246575342</v>
      </c>
      <c r="CB158" s="429">
        <v>2332.7631578947367</v>
      </c>
      <c r="CC158" s="431">
        <v>2920.7338618346544</v>
      </c>
    </row>
    <row r="159" spans="1:81">
      <c r="A159" s="445"/>
      <c r="B159" s="445"/>
      <c r="C159" s="446"/>
      <c r="D159" s="447"/>
      <c r="E159" s="447"/>
      <c r="F159" s="447"/>
      <c r="G159" s="502"/>
      <c r="H159" s="502"/>
      <c r="I159" s="502"/>
      <c r="J159" s="502"/>
      <c r="K159" s="502"/>
      <c r="L159" s="502"/>
      <c r="M159" s="502"/>
      <c r="N159" s="502"/>
      <c r="O159" s="503"/>
      <c r="P159" s="446"/>
      <c r="Q159" s="502"/>
      <c r="R159" s="502"/>
      <c r="S159" s="502"/>
      <c r="T159" s="502"/>
      <c r="U159" s="502"/>
      <c r="V159" s="502"/>
      <c r="W159" s="502"/>
      <c r="X159" s="502"/>
      <c r="Y159" s="502"/>
      <c r="Z159" s="502"/>
      <c r="AA159" s="502"/>
      <c r="AB159" s="503"/>
      <c r="AC159" s="446"/>
      <c r="AD159" s="502"/>
      <c r="AE159" s="502"/>
      <c r="AF159" s="447"/>
      <c r="AG159" s="447"/>
      <c r="AH159" s="447"/>
      <c r="AI159" s="447"/>
      <c r="AJ159" s="447"/>
      <c r="AK159" s="447"/>
      <c r="AL159" s="447"/>
      <c r="AM159" s="447"/>
      <c r="AN159" s="447"/>
      <c r="AO159" s="448"/>
      <c r="AQ159" s="450"/>
      <c r="AR159" s="451"/>
      <c r="AS159" s="451"/>
      <c r="AT159" s="451"/>
      <c r="AU159" s="451"/>
      <c r="AV159" s="451"/>
      <c r="AW159" s="451"/>
      <c r="AX159" s="451"/>
      <c r="AY159" s="451"/>
      <c r="AZ159" s="451"/>
      <c r="BA159" s="451"/>
      <c r="BB159" s="451"/>
      <c r="BC159" s="452"/>
      <c r="BD159" s="453"/>
      <c r="BE159" s="451"/>
      <c r="BF159" s="451"/>
      <c r="BG159" s="451"/>
      <c r="BH159" s="451"/>
      <c r="BI159" s="451"/>
      <c r="BJ159" s="451"/>
      <c r="BK159" s="451"/>
      <c r="BL159" s="451"/>
      <c r="BM159" s="451"/>
      <c r="BN159" s="451"/>
      <c r="BO159" s="451"/>
      <c r="BP159" s="452"/>
      <c r="BQ159" s="453"/>
      <c r="BR159" s="451"/>
      <c r="BS159" s="451"/>
      <c r="BT159" s="451"/>
      <c r="BU159" s="451"/>
      <c r="BV159" s="451"/>
      <c r="BW159" s="451"/>
      <c r="BX159" s="451"/>
      <c r="BY159" s="451"/>
      <c r="BZ159" s="451"/>
      <c r="CA159" s="451"/>
      <c r="CB159" s="451"/>
      <c r="CC159" s="452"/>
    </row>
    <row r="160" spans="1:81">
      <c r="B160" s="456" t="s">
        <v>197</v>
      </c>
      <c r="C160" s="436"/>
      <c r="D160" s="437"/>
      <c r="E160" s="437"/>
      <c r="F160" s="437"/>
      <c r="G160" s="437"/>
      <c r="H160" s="437"/>
      <c r="I160" s="437"/>
      <c r="J160" s="437"/>
      <c r="K160" s="437"/>
      <c r="L160" s="437"/>
      <c r="M160" s="437"/>
      <c r="N160" s="437"/>
      <c r="O160" s="438"/>
      <c r="P160" s="439"/>
      <c r="Q160" s="437"/>
      <c r="R160" s="437"/>
      <c r="S160" s="437"/>
      <c r="T160" s="437"/>
      <c r="U160" s="437"/>
      <c r="V160" s="437"/>
      <c r="W160" s="437"/>
      <c r="X160" s="437"/>
      <c r="Y160" s="437"/>
      <c r="Z160" s="437"/>
      <c r="AA160" s="437"/>
      <c r="AB160" s="438"/>
      <c r="AC160" s="439"/>
      <c r="AD160" s="437"/>
      <c r="AE160" s="437"/>
      <c r="AF160" s="437"/>
      <c r="AG160" s="437"/>
      <c r="AH160" s="437"/>
      <c r="AI160" s="437"/>
      <c r="AJ160" s="437"/>
      <c r="AK160" s="437"/>
      <c r="AL160" s="437"/>
      <c r="AM160" s="437"/>
      <c r="AN160" s="437"/>
      <c r="AO160" s="438"/>
      <c r="AQ160" s="428"/>
      <c r="AR160" s="429"/>
      <c r="AS160" s="429"/>
      <c r="AT160" s="429"/>
      <c r="AU160" s="429"/>
      <c r="AV160" s="429"/>
      <c r="AW160" s="429"/>
      <c r="AX160" s="429"/>
      <c r="AY160" s="429"/>
      <c r="AZ160" s="429"/>
      <c r="BA160" s="429"/>
      <c r="BB160" s="429"/>
      <c r="BC160" s="431"/>
      <c r="BD160" s="428"/>
      <c r="BE160" s="429"/>
      <c r="BF160" s="429"/>
      <c r="BG160" s="429"/>
      <c r="BH160" s="429"/>
      <c r="BI160" s="429"/>
      <c r="BJ160" s="429"/>
      <c r="BK160" s="429"/>
      <c r="BL160" s="429"/>
      <c r="BM160" s="429"/>
      <c r="BN160" s="429"/>
      <c r="BO160" s="429"/>
      <c r="BP160" s="431"/>
      <c r="BQ160" s="428"/>
      <c r="BR160" s="429"/>
      <c r="BS160" s="429"/>
      <c r="BT160" s="429"/>
      <c r="BU160" s="429"/>
      <c r="BV160" s="429"/>
      <c r="BW160" s="429"/>
      <c r="BX160" s="429"/>
      <c r="BY160" s="429"/>
      <c r="BZ160" s="429"/>
      <c r="CA160" s="429"/>
      <c r="CB160" s="429"/>
      <c r="CC160" s="431"/>
    </row>
    <row r="161" spans="1:81">
      <c r="A161" s="420" t="s">
        <v>197</v>
      </c>
      <c r="B161" s="420" t="s">
        <v>175</v>
      </c>
      <c r="C161" s="436">
        <f t="shared" si="79"/>
        <v>1681.4565217391305</v>
      </c>
      <c r="D161" s="437">
        <f t="shared" si="80"/>
        <v>1699.0139860139859</v>
      </c>
      <c r="E161" s="437">
        <f t="shared" si="81"/>
        <v>1719.4861111111111</v>
      </c>
      <c r="F161" s="437">
        <f t="shared" si="82"/>
        <v>1128.0734463276835</v>
      </c>
      <c r="G161" s="437">
        <f t="shared" si="83"/>
        <v>1383.9662162162163</v>
      </c>
      <c r="H161" s="437">
        <f t="shared" si="84"/>
        <v>1374.7083333333333</v>
      </c>
      <c r="I161" s="437">
        <f t="shared" si="85"/>
        <v>932.51428571428573</v>
      </c>
      <c r="J161" s="437">
        <f t="shared" si="86"/>
        <v>966.30597014925377</v>
      </c>
      <c r="K161" s="437">
        <f t="shared" si="87"/>
        <v>318.77777777777777</v>
      </c>
      <c r="L161" s="437">
        <f t="shared" si="88"/>
        <v>1095.0567375886526</v>
      </c>
      <c r="M161" s="437">
        <f t="shared" si="89"/>
        <v>1462.4166666666667</v>
      </c>
      <c r="N161" s="437">
        <f t="shared" si="90"/>
        <v>695.66666666666663</v>
      </c>
      <c r="O161" s="438">
        <f t="shared" si="91"/>
        <v>1315.7527440785673</v>
      </c>
      <c r="P161" s="439">
        <f t="shared" si="92"/>
        <v>1644.5357142857142</v>
      </c>
      <c r="Q161" s="437">
        <f t="shared" si="93"/>
        <v>1976.8</v>
      </c>
      <c r="R161" s="437">
        <f t="shared" si="94"/>
        <v>1738.4429530201342</v>
      </c>
      <c r="S161" s="437">
        <f t="shared" si="95"/>
        <v>1471.3092105263158</v>
      </c>
      <c r="T161" s="437">
        <f t="shared" si="96"/>
        <v>1552.1517241379311</v>
      </c>
      <c r="U161" s="437">
        <f t="shared" si="97"/>
        <v>1275.952380952381</v>
      </c>
      <c r="V161" s="437">
        <f t="shared" si="98"/>
        <v>1028.0999999999999</v>
      </c>
      <c r="W161" s="437">
        <f t="shared" si="99"/>
        <v>1051.0555555555557</v>
      </c>
      <c r="X161" s="437">
        <f t="shared" si="100"/>
        <v>881</v>
      </c>
      <c r="Y161" s="437">
        <f t="shared" si="101"/>
        <v>983.67346938775506</v>
      </c>
      <c r="Z161" s="437">
        <f t="shared" si="102"/>
        <v>1534.2397260273972</v>
      </c>
      <c r="AA161" s="437">
        <f t="shared" si="103"/>
        <v>1503.8571428571429</v>
      </c>
      <c r="AB161" s="438">
        <f t="shared" si="104"/>
        <v>1385.679180887372</v>
      </c>
      <c r="AC161" s="439">
        <f t="shared" si="105"/>
        <v>2175.7702702702704</v>
      </c>
      <c r="AD161" s="437">
        <f t="shared" si="106"/>
        <v>1800.8243243243244</v>
      </c>
      <c r="AE161" s="437">
        <f t="shared" si="107"/>
        <v>1956.1879194630872</v>
      </c>
      <c r="AF161" s="437">
        <f t="shared" si="108"/>
        <v>1984.2617449664428</v>
      </c>
      <c r="AG161" s="437">
        <f t="shared" si="109"/>
        <v>1664.3133333333333</v>
      </c>
      <c r="AH161" s="437">
        <f t="shared" si="110"/>
        <v>1574.5394736842106</v>
      </c>
      <c r="AI161" s="437">
        <f t="shared" si="111"/>
        <v>1182.5677419354838</v>
      </c>
      <c r="AJ161" s="437">
        <f t="shared" si="112"/>
        <v>1073.6081081081081</v>
      </c>
      <c r="AK161" s="437">
        <f t="shared" si="113"/>
        <v>857.81366459627327</v>
      </c>
      <c r="AL161" s="437">
        <f t="shared" si="114"/>
        <v>1231.9597315436242</v>
      </c>
      <c r="AM161" s="437">
        <f t="shared" si="115"/>
        <v>1524.36</v>
      </c>
      <c r="AN161" s="437">
        <f t="shared" si="116"/>
        <v>1724.418918918919</v>
      </c>
      <c r="AO161" s="438">
        <f t="shared" si="117"/>
        <v>1556.3752075262867</v>
      </c>
      <c r="AQ161" s="428">
        <v>1681.4565217391305</v>
      </c>
      <c r="AR161" s="429">
        <v>1699.0139860139859</v>
      </c>
      <c r="AS161" s="429">
        <v>1719.4861111111111</v>
      </c>
      <c r="AT161" s="429">
        <v>1128.0734463276835</v>
      </c>
      <c r="AU161" s="429">
        <v>1383.9662162162163</v>
      </c>
      <c r="AV161" s="429">
        <v>1374.7083333333333</v>
      </c>
      <c r="AW161" s="429">
        <v>932.51428571428573</v>
      </c>
      <c r="AX161" s="429">
        <v>966.30597014925377</v>
      </c>
      <c r="AY161" s="429">
        <v>318.77777777777777</v>
      </c>
      <c r="AZ161" s="429">
        <v>1095.0567375886526</v>
      </c>
      <c r="BA161" s="429">
        <v>1462.4166666666667</v>
      </c>
      <c r="BB161" s="429">
        <v>695.66666666666663</v>
      </c>
      <c r="BC161" s="431">
        <v>1315.7527440785673</v>
      </c>
      <c r="BD161" s="428">
        <v>1644.5357142857142</v>
      </c>
      <c r="BE161" s="429">
        <v>1976.8</v>
      </c>
      <c r="BF161" s="429">
        <v>1738.4429530201342</v>
      </c>
      <c r="BG161" s="429">
        <v>1471.3092105263158</v>
      </c>
      <c r="BH161" s="429">
        <v>1552.1517241379311</v>
      </c>
      <c r="BI161" s="429">
        <v>1275.952380952381</v>
      </c>
      <c r="BJ161" s="429">
        <v>1028.0999999999999</v>
      </c>
      <c r="BK161" s="429">
        <v>1051.0555555555557</v>
      </c>
      <c r="BL161" s="429">
        <v>881</v>
      </c>
      <c r="BM161" s="429">
        <v>983.67346938775506</v>
      </c>
      <c r="BN161" s="429">
        <v>1534.2397260273972</v>
      </c>
      <c r="BO161" s="429">
        <v>1503.8571428571429</v>
      </c>
      <c r="BP161" s="431">
        <v>1385.679180887372</v>
      </c>
      <c r="BQ161" s="428">
        <v>2175.7702702702704</v>
      </c>
      <c r="BR161" s="429">
        <v>1800.8243243243244</v>
      </c>
      <c r="BS161" s="429">
        <v>1956.1879194630872</v>
      </c>
      <c r="BT161" s="429">
        <v>1984.2617449664428</v>
      </c>
      <c r="BU161" s="429">
        <v>1664.3133333333333</v>
      </c>
      <c r="BV161" s="429">
        <v>1574.5394736842106</v>
      </c>
      <c r="BW161" s="429">
        <v>1182.5677419354838</v>
      </c>
      <c r="BX161" s="429">
        <v>1073.6081081081081</v>
      </c>
      <c r="BY161" s="429">
        <v>857.81366459627327</v>
      </c>
      <c r="BZ161" s="429">
        <v>1231.9597315436242</v>
      </c>
      <c r="CA161" s="429">
        <v>1524.36</v>
      </c>
      <c r="CB161" s="429">
        <v>1724.418918918919</v>
      </c>
      <c r="CC161" s="431">
        <v>1556.3752075262867</v>
      </c>
    </row>
    <row r="162" spans="1:81">
      <c r="A162" s="420" t="s">
        <v>197</v>
      </c>
      <c r="B162" s="420" t="s">
        <v>176</v>
      </c>
      <c r="C162" s="436">
        <f t="shared" si="79"/>
        <v>0</v>
      </c>
      <c r="D162" s="437">
        <f t="shared" si="80"/>
        <v>0</v>
      </c>
      <c r="E162" s="437">
        <f t="shared" si="81"/>
        <v>0</v>
      </c>
      <c r="F162" s="437">
        <f t="shared" si="82"/>
        <v>0</v>
      </c>
      <c r="G162" s="437">
        <f t="shared" si="83"/>
        <v>0</v>
      </c>
      <c r="H162" s="437">
        <f t="shared" si="84"/>
        <v>0</v>
      </c>
      <c r="I162" s="437">
        <f t="shared" si="85"/>
        <v>0</v>
      </c>
      <c r="J162" s="437">
        <f t="shared" si="86"/>
        <v>0</v>
      </c>
      <c r="K162" s="437">
        <f t="shared" si="87"/>
        <v>0</v>
      </c>
      <c r="L162" s="437">
        <f t="shared" si="88"/>
        <v>0</v>
      </c>
      <c r="M162" s="437">
        <f t="shared" si="89"/>
        <v>0</v>
      </c>
      <c r="N162" s="437">
        <f t="shared" si="90"/>
        <v>0</v>
      </c>
      <c r="O162" s="438">
        <f t="shared" si="91"/>
        <v>0</v>
      </c>
      <c r="P162" s="439">
        <f t="shared" si="92"/>
        <v>0</v>
      </c>
      <c r="Q162" s="437">
        <f t="shared" si="93"/>
        <v>0</v>
      </c>
      <c r="R162" s="437">
        <f t="shared" si="94"/>
        <v>0</v>
      </c>
      <c r="S162" s="437">
        <f t="shared" si="95"/>
        <v>0</v>
      </c>
      <c r="T162" s="437">
        <f t="shared" si="96"/>
        <v>0</v>
      </c>
      <c r="U162" s="437">
        <f t="shared" si="97"/>
        <v>0</v>
      </c>
      <c r="V162" s="437">
        <f t="shared" si="98"/>
        <v>0</v>
      </c>
      <c r="W162" s="437">
        <f t="shared" si="99"/>
        <v>0</v>
      </c>
      <c r="X162" s="437">
        <f t="shared" si="100"/>
        <v>0</v>
      </c>
      <c r="Y162" s="437">
        <f t="shared" si="101"/>
        <v>0</v>
      </c>
      <c r="Z162" s="437">
        <f t="shared" si="102"/>
        <v>0</v>
      </c>
      <c r="AA162" s="437">
        <f t="shared" si="103"/>
        <v>0</v>
      </c>
      <c r="AB162" s="438">
        <f t="shared" si="104"/>
        <v>0</v>
      </c>
      <c r="AC162" s="439">
        <f t="shared" si="105"/>
        <v>0</v>
      </c>
      <c r="AD162" s="437">
        <f t="shared" si="106"/>
        <v>0</v>
      </c>
      <c r="AE162" s="437">
        <f t="shared" si="107"/>
        <v>0</v>
      </c>
      <c r="AF162" s="437">
        <f t="shared" si="108"/>
        <v>0</v>
      </c>
      <c r="AG162" s="437">
        <f t="shared" si="109"/>
        <v>0</v>
      </c>
      <c r="AH162" s="437">
        <f t="shared" si="110"/>
        <v>0</v>
      </c>
      <c r="AI162" s="437">
        <f t="shared" si="111"/>
        <v>0</v>
      </c>
      <c r="AJ162" s="437">
        <f t="shared" si="112"/>
        <v>0</v>
      </c>
      <c r="AK162" s="437">
        <f t="shared" si="113"/>
        <v>0</v>
      </c>
      <c r="AL162" s="437">
        <f t="shared" si="114"/>
        <v>0</v>
      </c>
      <c r="AM162" s="437">
        <f t="shared" si="115"/>
        <v>0</v>
      </c>
      <c r="AN162" s="437">
        <f t="shared" si="116"/>
        <v>0</v>
      </c>
      <c r="AO162" s="438">
        <f t="shared" si="117"/>
        <v>0</v>
      </c>
      <c r="AQ162" s="428">
        <v>0</v>
      </c>
      <c r="AR162" s="429">
        <v>0</v>
      </c>
      <c r="AS162" s="429">
        <v>0</v>
      </c>
      <c r="AT162" s="429">
        <v>0</v>
      </c>
      <c r="AU162" s="429">
        <v>0</v>
      </c>
      <c r="AV162" s="429">
        <v>0</v>
      </c>
      <c r="AW162" s="429">
        <v>0</v>
      </c>
      <c r="AX162" s="429">
        <v>0</v>
      </c>
      <c r="AY162" s="429">
        <v>0</v>
      </c>
      <c r="AZ162" s="429">
        <v>0</v>
      </c>
      <c r="BA162" s="429">
        <v>0</v>
      </c>
      <c r="BB162" s="429">
        <v>0</v>
      </c>
      <c r="BC162" s="431">
        <v>0</v>
      </c>
      <c r="BD162" s="428">
        <v>0</v>
      </c>
      <c r="BE162" s="429">
        <v>0</v>
      </c>
      <c r="BF162" s="429">
        <v>0</v>
      </c>
      <c r="BG162" s="429">
        <v>0</v>
      </c>
      <c r="BH162" s="429">
        <v>0</v>
      </c>
      <c r="BI162" s="429">
        <v>0</v>
      </c>
      <c r="BJ162" s="429">
        <v>0</v>
      </c>
      <c r="BK162" s="429">
        <v>0</v>
      </c>
      <c r="BL162" s="429">
        <v>0</v>
      </c>
      <c r="BM162" s="429">
        <v>0</v>
      </c>
      <c r="BN162" s="429">
        <v>0</v>
      </c>
      <c r="BO162" s="429">
        <v>0</v>
      </c>
      <c r="BP162" s="431">
        <v>0</v>
      </c>
      <c r="BQ162" s="428">
        <v>0</v>
      </c>
      <c r="BR162" s="429">
        <v>0</v>
      </c>
      <c r="BS162" s="429">
        <v>0</v>
      </c>
      <c r="BT162" s="429">
        <v>0</v>
      </c>
      <c r="BU162" s="429">
        <v>0</v>
      </c>
      <c r="BV162" s="429">
        <v>0</v>
      </c>
      <c r="BW162" s="429">
        <v>0</v>
      </c>
      <c r="BX162" s="429">
        <v>0</v>
      </c>
      <c r="BY162" s="429">
        <v>0</v>
      </c>
      <c r="BZ162" s="429">
        <v>0</v>
      </c>
      <c r="CA162" s="429">
        <v>0</v>
      </c>
      <c r="CB162" s="429">
        <v>0</v>
      </c>
      <c r="CC162" s="431">
        <v>0</v>
      </c>
    </row>
    <row r="163" spans="1:81">
      <c r="A163" s="420" t="s">
        <v>197</v>
      </c>
      <c r="B163" s="420" t="s">
        <v>177</v>
      </c>
      <c r="C163" s="436">
        <f t="shared" si="79"/>
        <v>1483.6</v>
      </c>
      <c r="D163" s="437">
        <f t="shared" si="80"/>
        <v>1958.5333333333333</v>
      </c>
      <c r="E163" s="437">
        <f t="shared" si="81"/>
        <v>2162.8000000000002</v>
      </c>
      <c r="F163" s="437">
        <f t="shared" si="82"/>
        <v>1610.3333333333333</v>
      </c>
      <c r="G163" s="437">
        <f t="shared" si="83"/>
        <v>1334.4</v>
      </c>
      <c r="H163" s="437">
        <f t="shared" si="84"/>
        <v>831.8</v>
      </c>
      <c r="I163" s="437">
        <f t="shared" si="85"/>
        <v>559.20000000000005</v>
      </c>
      <c r="J163" s="437">
        <f t="shared" si="86"/>
        <v>602.4666666666667</v>
      </c>
      <c r="K163" s="437">
        <f t="shared" si="87"/>
        <v>0</v>
      </c>
      <c r="L163" s="437">
        <f t="shared" si="88"/>
        <v>757.93333333333328</v>
      </c>
      <c r="M163" s="437">
        <f t="shared" si="89"/>
        <v>1029.2</v>
      </c>
      <c r="N163" s="437">
        <f t="shared" si="90"/>
        <v>0</v>
      </c>
      <c r="O163" s="438">
        <f t="shared" si="91"/>
        <v>1163.4944444444445</v>
      </c>
      <c r="P163" s="439">
        <f t="shared" si="92"/>
        <v>1535.2857142857142</v>
      </c>
      <c r="Q163" s="437">
        <f t="shared" si="93"/>
        <v>1874.4375</v>
      </c>
      <c r="R163" s="437">
        <f t="shared" si="94"/>
        <v>2016.5</v>
      </c>
      <c r="S163" s="437">
        <f t="shared" si="95"/>
        <v>1616.6875</v>
      </c>
      <c r="T163" s="437">
        <f t="shared" si="96"/>
        <v>1197.375</v>
      </c>
      <c r="U163" s="437">
        <f t="shared" si="97"/>
        <v>992.5</v>
      </c>
      <c r="V163" s="437">
        <f t="shared" si="98"/>
        <v>718.94117647058829</v>
      </c>
      <c r="W163" s="437">
        <f t="shared" si="99"/>
        <v>978.75</v>
      </c>
      <c r="X163" s="437">
        <f t="shared" si="100"/>
        <v>932.5625</v>
      </c>
      <c r="Y163" s="437">
        <f t="shared" si="101"/>
        <v>879.88235294117646</v>
      </c>
      <c r="Z163" s="437">
        <f t="shared" si="102"/>
        <v>1389.6875</v>
      </c>
      <c r="AA163" s="437">
        <f t="shared" si="103"/>
        <v>2045.4375</v>
      </c>
      <c r="AB163" s="438">
        <f t="shared" si="104"/>
        <v>1340.5052083333333</v>
      </c>
      <c r="AC163" s="439">
        <f t="shared" si="105"/>
        <v>2414.125</v>
      </c>
      <c r="AD163" s="437">
        <f t="shared" si="106"/>
        <v>1998.7647058823529</v>
      </c>
      <c r="AE163" s="437">
        <f t="shared" si="107"/>
        <v>2070.8666666666668</v>
      </c>
      <c r="AF163" s="437">
        <f t="shared" si="108"/>
        <v>1737.9375</v>
      </c>
      <c r="AG163" s="437">
        <f t="shared" si="109"/>
        <v>957.6875</v>
      </c>
      <c r="AH163" s="437">
        <f t="shared" si="110"/>
        <v>1049.75</v>
      </c>
      <c r="AI163" s="437">
        <f t="shared" si="111"/>
        <v>930.6</v>
      </c>
      <c r="AJ163" s="437">
        <f t="shared" si="112"/>
        <v>903.2</v>
      </c>
      <c r="AK163" s="437">
        <f t="shared" si="113"/>
        <v>1005.3333333333334</v>
      </c>
      <c r="AL163" s="437">
        <f t="shared" si="114"/>
        <v>1025.625</v>
      </c>
      <c r="AM163" s="437">
        <f t="shared" si="115"/>
        <v>1506.75</v>
      </c>
      <c r="AN163" s="437">
        <f t="shared" si="116"/>
        <v>1295.1333333333334</v>
      </c>
      <c r="AO163" s="438">
        <f t="shared" si="117"/>
        <v>1415.563829787234</v>
      </c>
      <c r="AQ163" s="428">
        <v>1483.6</v>
      </c>
      <c r="AR163" s="429">
        <v>1958.5333333333333</v>
      </c>
      <c r="AS163" s="429">
        <v>2162.8000000000002</v>
      </c>
      <c r="AT163" s="429">
        <v>1610.3333333333333</v>
      </c>
      <c r="AU163" s="429">
        <v>1334.4</v>
      </c>
      <c r="AV163" s="429">
        <v>831.8</v>
      </c>
      <c r="AW163" s="429">
        <v>559.20000000000005</v>
      </c>
      <c r="AX163" s="429">
        <v>602.4666666666667</v>
      </c>
      <c r="AY163" s="429">
        <v>0</v>
      </c>
      <c r="AZ163" s="429">
        <v>757.93333333333328</v>
      </c>
      <c r="BA163" s="429">
        <v>1029.2</v>
      </c>
      <c r="BB163" s="429">
        <v>0</v>
      </c>
      <c r="BC163" s="431">
        <v>1163.4944444444445</v>
      </c>
      <c r="BD163" s="428">
        <v>1535.2857142857142</v>
      </c>
      <c r="BE163" s="429">
        <v>1874.4375</v>
      </c>
      <c r="BF163" s="429">
        <v>2016.5</v>
      </c>
      <c r="BG163" s="429">
        <v>1616.6875</v>
      </c>
      <c r="BH163" s="429">
        <v>1197.375</v>
      </c>
      <c r="BI163" s="429">
        <v>992.5</v>
      </c>
      <c r="BJ163" s="429">
        <v>718.94117647058829</v>
      </c>
      <c r="BK163" s="429">
        <v>978.75</v>
      </c>
      <c r="BL163" s="429">
        <v>932.5625</v>
      </c>
      <c r="BM163" s="429">
        <v>879.88235294117646</v>
      </c>
      <c r="BN163" s="429">
        <v>1389.6875</v>
      </c>
      <c r="BO163" s="429">
        <v>2045.4375</v>
      </c>
      <c r="BP163" s="431">
        <v>1340.5052083333333</v>
      </c>
      <c r="BQ163" s="428">
        <v>2414.125</v>
      </c>
      <c r="BR163" s="429">
        <v>1998.7647058823529</v>
      </c>
      <c r="BS163" s="429">
        <v>2070.8666666666668</v>
      </c>
      <c r="BT163" s="429">
        <v>1737.9375</v>
      </c>
      <c r="BU163" s="429">
        <v>957.6875</v>
      </c>
      <c r="BV163" s="429">
        <v>1049.75</v>
      </c>
      <c r="BW163" s="429">
        <v>930.6</v>
      </c>
      <c r="BX163" s="429">
        <v>903.2</v>
      </c>
      <c r="BY163" s="429">
        <v>1005.3333333333334</v>
      </c>
      <c r="BZ163" s="429">
        <v>1025.625</v>
      </c>
      <c r="CA163" s="429">
        <v>1506.75</v>
      </c>
      <c r="CB163" s="429">
        <v>1295.1333333333334</v>
      </c>
      <c r="CC163" s="431">
        <v>1415.563829787234</v>
      </c>
    </row>
    <row r="164" spans="1:81">
      <c r="A164" s="420" t="s">
        <v>197</v>
      </c>
      <c r="B164" s="420" t="s">
        <v>178</v>
      </c>
      <c r="C164" s="436">
        <f t="shared" si="79"/>
        <v>11595</v>
      </c>
      <c r="D164" s="437">
        <f t="shared" si="80"/>
        <v>11455</v>
      </c>
      <c r="E164" s="437">
        <f t="shared" si="81"/>
        <v>12545</v>
      </c>
      <c r="F164" s="437">
        <f t="shared" si="82"/>
        <v>10990</v>
      </c>
      <c r="G164" s="437">
        <f t="shared" si="83"/>
        <v>11540</v>
      </c>
      <c r="H164" s="437">
        <f t="shared" si="84"/>
        <v>13645</v>
      </c>
      <c r="I164" s="437">
        <f t="shared" si="85"/>
        <v>10825</v>
      </c>
      <c r="J164" s="437">
        <f t="shared" si="86"/>
        <v>11910</v>
      </c>
      <c r="K164" s="437">
        <f t="shared" si="87"/>
        <v>0</v>
      </c>
      <c r="L164" s="437">
        <f t="shared" si="88"/>
        <v>10610</v>
      </c>
      <c r="M164" s="437">
        <f t="shared" si="89"/>
        <v>11077.5</v>
      </c>
      <c r="N164" s="437">
        <f t="shared" si="90"/>
        <v>0</v>
      </c>
      <c r="O164" s="438">
        <f t="shared" si="91"/>
        <v>11598.333333333334</v>
      </c>
      <c r="P164" s="439">
        <f t="shared" si="92"/>
        <v>11310</v>
      </c>
      <c r="Q164" s="437">
        <f t="shared" si="93"/>
        <v>11770</v>
      </c>
      <c r="R164" s="437">
        <f t="shared" si="94"/>
        <v>10850</v>
      </c>
      <c r="S164" s="437">
        <f t="shared" si="95"/>
        <v>10590</v>
      </c>
      <c r="T164" s="437">
        <f t="shared" si="96"/>
        <v>11140</v>
      </c>
      <c r="U164" s="437">
        <f t="shared" si="97"/>
        <v>10270</v>
      </c>
      <c r="V164" s="437">
        <f t="shared" si="98"/>
        <v>7842</v>
      </c>
      <c r="W164" s="437">
        <f t="shared" si="99"/>
        <v>10890</v>
      </c>
      <c r="X164" s="437">
        <f t="shared" si="100"/>
        <v>11786.666666666666</v>
      </c>
      <c r="Y164" s="437">
        <f t="shared" si="101"/>
        <v>11556.666666666666</v>
      </c>
      <c r="Z164" s="437">
        <f t="shared" si="102"/>
        <v>16420</v>
      </c>
      <c r="AA164" s="437">
        <f t="shared" si="103"/>
        <v>19590</v>
      </c>
      <c r="AB164" s="438">
        <f t="shared" si="104"/>
        <v>11931.25</v>
      </c>
      <c r="AC164" s="439">
        <f t="shared" si="105"/>
        <v>22810</v>
      </c>
      <c r="AD164" s="437">
        <f t="shared" si="106"/>
        <v>15002</v>
      </c>
      <c r="AE164" s="437">
        <f t="shared" si="107"/>
        <v>20873.333333333332</v>
      </c>
      <c r="AF164" s="437">
        <f t="shared" si="108"/>
        <v>17705</v>
      </c>
      <c r="AG164" s="437">
        <f t="shared" si="109"/>
        <v>11700</v>
      </c>
      <c r="AH164" s="437">
        <f t="shared" si="110"/>
        <v>11030</v>
      </c>
      <c r="AI164" s="437">
        <f t="shared" si="111"/>
        <v>9747.5</v>
      </c>
      <c r="AJ164" s="437">
        <f t="shared" si="112"/>
        <v>8180</v>
      </c>
      <c r="AK164" s="437">
        <f t="shared" si="113"/>
        <v>8547.5</v>
      </c>
      <c r="AL164" s="437">
        <f t="shared" si="114"/>
        <v>9220</v>
      </c>
      <c r="AM164" s="437">
        <f t="shared" si="115"/>
        <v>12967.5</v>
      </c>
      <c r="AN164" s="437">
        <f t="shared" si="116"/>
        <v>15560</v>
      </c>
      <c r="AO164" s="438">
        <f t="shared" si="117"/>
        <v>13291.276595744681</v>
      </c>
      <c r="AQ164" s="428">
        <v>11595</v>
      </c>
      <c r="AR164" s="429">
        <v>11455</v>
      </c>
      <c r="AS164" s="429">
        <v>12545</v>
      </c>
      <c r="AT164" s="429">
        <v>10990</v>
      </c>
      <c r="AU164" s="429">
        <v>11540</v>
      </c>
      <c r="AV164" s="429">
        <v>13645</v>
      </c>
      <c r="AW164" s="429">
        <v>10825</v>
      </c>
      <c r="AX164" s="429">
        <v>11910</v>
      </c>
      <c r="AY164" s="429">
        <v>0</v>
      </c>
      <c r="AZ164" s="429">
        <v>10610</v>
      </c>
      <c r="BA164" s="429">
        <v>11077.5</v>
      </c>
      <c r="BB164" s="429">
        <v>0</v>
      </c>
      <c r="BC164" s="431">
        <v>11598.333333333334</v>
      </c>
      <c r="BD164" s="428">
        <v>11310</v>
      </c>
      <c r="BE164" s="429">
        <v>11770</v>
      </c>
      <c r="BF164" s="429">
        <v>10850</v>
      </c>
      <c r="BG164" s="429">
        <v>10590</v>
      </c>
      <c r="BH164" s="429">
        <v>11140</v>
      </c>
      <c r="BI164" s="429">
        <v>10270</v>
      </c>
      <c r="BJ164" s="429">
        <v>7842</v>
      </c>
      <c r="BK164" s="429">
        <v>10890</v>
      </c>
      <c r="BL164" s="429">
        <v>11786.666666666666</v>
      </c>
      <c r="BM164" s="429">
        <v>11556.666666666666</v>
      </c>
      <c r="BN164" s="429">
        <v>16420</v>
      </c>
      <c r="BO164" s="429">
        <v>19590</v>
      </c>
      <c r="BP164" s="431">
        <v>11931.25</v>
      </c>
      <c r="BQ164" s="428">
        <v>22810</v>
      </c>
      <c r="BR164" s="429">
        <v>15002</v>
      </c>
      <c r="BS164" s="429">
        <v>20873.333333333332</v>
      </c>
      <c r="BT164" s="429">
        <v>17705</v>
      </c>
      <c r="BU164" s="429">
        <v>11700</v>
      </c>
      <c r="BV164" s="429">
        <v>11030</v>
      </c>
      <c r="BW164" s="429">
        <v>9747.5</v>
      </c>
      <c r="BX164" s="429">
        <v>8180</v>
      </c>
      <c r="BY164" s="429">
        <v>8547.5</v>
      </c>
      <c r="BZ164" s="429">
        <v>9220</v>
      </c>
      <c r="CA164" s="429">
        <v>12967.5</v>
      </c>
      <c r="CB164" s="429">
        <v>15560</v>
      </c>
      <c r="CC164" s="431">
        <v>13291.276595744681</v>
      </c>
    </row>
    <row r="165" spans="1:81">
      <c r="A165" s="420" t="s">
        <v>197</v>
      </c>
      <c r="B165" s="420" t="s">
        <v>179</v>
      </c>
      <c r="C165" s="436">
        <f t="shared" si="79"/>
        <v>0</v>
      </c>
      <c r="D165" s="437">
        <f t="shared" si="80"/>
        <v>0</v>
      </c>
      <c r="E165" s="437">
        <f t="shared" si="81"/>
        <v>0</v>
      </c>
      <c r="F165" s="437">
        <f t="shared" si="82"/>
        <v>0</v>
      </c>
      <c r="G165" s="437">
        <f t="shared" si="83"/>
        <v>0</v>
      </c>
      <c r="H165" s="437">
        <f t="shared" si="84"/>
        <v>0</v>
      </c>
      <c r="I165" s="437">
        <f t="shared" si="85"/>
        <v>0</v>
      </c>
      <c r="J165" s="437">
        <f t="shared" si="86"/>
        <v>0</v>
      </c>
      <c r="K165" s="437">
        <f t="shared" si="87"/>
        <v>0</v>
      </c>
      <c r="L165" s="437">
        <f t="shared" si="88"/>
        <v>0</v>
      </c>
      <c r="M165" s="437">
        <f t="shared" si="89"/>
        <v>0</v>
      </c>
      <c r="N165" s="437">
        <f t="shared" si="90"/>
        <v>0</v>
      </c>
      <c r="O165" s="438">
        <f t="shared" si="91"/>
        <v>0</v>
      </c>
      <c r="P165" s="439">
        <f t="shared" si="92"/>
        <v>0</v>
      </c>
      <c r="Q165" s="437">
        <f t="shared" si="93"/>
        <v>0</v>
      </c>
      <c r="R165" s="437">
        <f t="shared" si="94"/>
        <v>0</v>
      </c>
      <c r="S165" s="437">
        <f t="shared" si="95"/>
        <v>0</v>
      </c>
      <c r="T165" s="437">
        <f t="shared" si="96"/>
        <v>0</v>
      </c>
      <c r="U165" s="437">
        <f t="shared" si="97"/>
        <v>0</v>
      </c>
      <c r="V165" s="437">
        <f t="shared" si="98"/>
        <v>0</v>
      </c>
      <c r="W165" s="437">
        <f t="shared" si="99"/>
        <v>0</v>
      </c>
      <c r="X165" s="437">
        <f t="shared" si="100"/>
        <v>0</v>
      </c>
      <c r="Y165" s="437">
        <f t="shared" si="101"/>
        <v>0</v>
      </c>
      <c r="Z165" s="437">
        <f t="shared" si="102"/>
        <v>0</v>
      </c>
      <c r="AA165" s="437">
        <f t="shared" si="103"/>
        <v>0</v>
      </c>
      <c r="AB165" s="438">
        <f t="shared" si="104"/>
        <v>0</v>
      </c>
      <c r="AC165" s="439">
        <f t="shared" si="105"/>
        <v>0</v>
      </c>
      <c r="AD165" s="437">
        <f t="shared" si="106"/>
        <v>0</v>
      </c>
      <c r="AE165" s="437">
        <f t="shared" si="107"/>
        <v>0</v>
      </c>
      <c r="AF165" s="437">
        <f t="shared" si="108"/>
        <v>0</v>
      </c>
      <c r="AG165" s="437">
        <f t="shared" si="109"/>
        <v>0</v>
      </c>
      <c r="AH165" s="437">
        <f t="shared" si="110"/>
        <v>0</v>
      </c>
      <c r="AI165" s="437">
        <f t="shared" si="111"/>
        <v>0</v>
      </c>
      <c r="AJ165" s="437">
        <f t="shared" si="112"/>
        <v>0</v>
      </c>
      <c r="AK165" s="437">
        <f t="shared" si="113"/>
        <v>0</v>
      </c>
      <c r="AL165" s="437">
        <f t="shared" si="114"/>
        <v>0</v>
      </c>
      <c r="AM165" s="437">
        <f t="shared" si="115"/>
        <v>0</v>
      </c>
      <c r="AN165" s="437">
        <f t="shared" si="116"/>
        <v>0</v>
      </c>
      <c r="AO165" s="438">
        <f t="shared" si="117"/>
        <v>0</v>
      </c>
      <c r="AQ165" s="428">
        <v>0</v>
      </c>
      <c r="AR165" s="429">
        <v>0</v>
      </c>
      <c r="AS165" s="429">
        <v>0</v>
      </c>
      <c r="AT165" s="429">
        <v>0</v>
      </c>
      <c r="AU165" s="429">
        <v>0</v>
      </c>
      <c r="AV165" s="429">
        <v>0</v>
      </c>
      <c r="AW165" s="429">
        <v>0</v>
      </c>
      <c r="AX165" s="429">
        <v>0</v>
      </c>
      <c r="AY165" s="429">
        <v>0</v>
      </c>
      <c r="AZ165" s="429">
        <v>0</v>
      </c>
      <c r="BA165" s="429">
        <v>0</v>
      </c>
      <c r="BB165" s="429">
        <v>0</v>
      </c>
      <c r="BC165" s="431">
        <v>0</v>
      </c>
      <c r="BD165" s="428">
        <v>0</v>
      </c>
      <c r="BE165" s="429">
        <v>0</v>
      </c>
      <c r="BF165" s="429">
        <v>0</v>
      </c>
      <c r="BG165" s="429">
        <v>0</v>
      </c>
      <c r="BH165" s="429">
        <v>0</v>
      </c>
      <c r="BI165" s="429">
        <v>0</v>
      </c>
      <c r="BJ165" s="429">
        <v>0</v>
      </c>
      <c r="BK165" s="429">
        <v>0</v>
      </c>
      <c r="BL165" s="429">
        <v>0</v>
      </c>
      <c r="BM165" s="429">
        <v>0</v>
      </c>
      <c r="BN165" s="429">
        <v>0</v>
      </c>
      <c r="BO165" s="429">
        <v>0</v>
      </c>
      <c r="BP165" s="431">
        <v>0</v>
      </c>
      <c r="BQ165" s="428">
        <v>0</v>
      </c>
      <c r="BR165" s="429">
        <v>0</v>
      </c>
      <c r="BS165" s="429">
        <v>0</v>
      </c>
      <c r="BT165" s="429">
        <v>0</v>
      </c>
      <c r="BU165" s="429">
        <v>0</v>
      </c>
      <c r="BV165" s="429">
        <v>0</v>
      </c>
      <c r="BW165" s="429">
        <v>0</v>
      </c>
      <c r="BX165" s="429">
        <v>0</v>
      </c>
      <c r="BY165" s="429">
        <v>0</v>
      </c>
      <c r="BZ165" s="429">
        <v>0</v>
      </c>
      <c r="CA165" s="429">
        <v>0</v>
      </c>
      <c r="CB165" s="429">
        <v>0</v>
      </c>
      <c r="CC165" s="431">
        <v>0</v>
      </c>
    </row>
    <row r="166" spans="1:81">
      <c r="A166" s="420" t="s">
        <v>197</v>
      </c>
      <c r="B166" s="420" t="s">
        <v>180</v>
      </c>
      <c r="C166" s="436">
        <f t="shared" si="79"/>
        <v>2679.2</v>
      </c>
      <c r="D166" s="437">
        <f t="shared" si="80"/>
        <v>2861.4</v>
      </c>
      <c r="E166" s="437">
        <f t="shared" si="81"/>
        <v>2954.2</v>
      </c>
      <c r="F166" s="437">
        <f t="shared" si="82"/>
        <v>2313.1999999999998</v>
      </c>
      <c r="G166" s="437">
        <f t="shared" si="83"/>
        <v>2312</v>
      </c>
      <c r="H166" s="437">
        <f t="shared" si="84"/>
        <v>2199.4</v>
      </c>
      <c r="I166" s="437">
        <f t="shared" si="85"/>
        <v>1104.8</v>
      </c>
      <c r="J166" s="437">
        <f t="shared" si="86"/>
        <v>1002.4</v>
      </c>
      <c r="K166" s="437">
        <f t="shared" si="87"/>
        <v>0</v>
      </c>
      <c r="L166" s="437">
        <f t="shared" si="88"/>
        <v>1423.6</v>
      </c>
      <c r="M166" s="437">
        <f t="shared" si="89"/>
        <v>1984.7777777777778</v>
      </c>
      <c r="N166" s="437">
        <f t="shared" si="90"/>
        <v>4441</v>
      </c>
      <c r="O166" s="438">
        <f t="shared" si="91"/>
        <v>2026.1166666666666</v>
      </c>
      <c r="P166" s="439">
        <f t="shared" si="92"/>
        <v>2184</v>
      </c>
      <c r="Q166" s="437">
        <f t="shared" si="93"/>
        <v>2485.4</v>
      </c>
      <c r="R166" s="437">
        <f t="shared" si="94"/>
        <v>2288.6</v>
      </c>
      <c r="S166" s="437">
        <f t="shared" si="95"/>
        <v>2122.6</v>
      </c>
      <c r="T166" s="437">
        <f t="shared" si="96"/>
        <v>1946.2</v>
      </c>
      <c r="U166" s="437">
        <f t="shared" si="97"/>
        <v>425.375</v>
      </c>
      <c r="V166" s="437">
        <f t="shared" si="98"/>
        <v>823.16666666666663</v>
      </c>
      <c r="W166" s="437">
        <f t="shared" si="99"/>
        <v>833.25</v>
      </c>
      <c r="X166" s="437">
        <f t="shared" si="100"/>
        <v>917.25</v>
      </c>
      <c r="Y166" s="437">
        <f t="shared" si="101"/>
        <v>1327.5</v>
      </c>
      <c r="Z166" s="437">
        <f t="shared" si="102"/>
        <v>2177</v>
      </c>
      <c r="AA166" s="437">
        <f t="shared" si="103"/>
        <v>2636</v>
      </c>
      <c r="AB166" s="438">
        <f t="shared" si="104"/>
        <v>1610.8474576271187</v>
      </c>
      <c r="AC166" s="439">
        <f t="shared" si="105"/>
        <v>3394.75</v>
      </c>
      <c r="AD166" s="437">
        <f t="shared" si="106"/>
        <v>2653.75</v>
      </c>
      <c r="AE166" s="437">
        <f t="shared" si="107"/>
        <v>2946.5</v>
      </c>
      <c r="AF166" s="437">
        <f t="shared" si="108"/>
        <v>2833</v>
      </c>
      <c r="AG166" s="437">
        <f t="shared" si="109"/>
        <v>2109.75</v>
      </c>
      <c r="AH166" s="437">
        <f t="shared" si="110"/>
        <v>1832.5</v>
      </c>
      <c r="AI166" s="437">
        <f t="shared" si="111"/>
        <v>1202</v>
      </c>
      <c r="AJ166" s="437">
        <f t="shared" si="112"/>
        <v>793.75</v>
      </c>
      <c r="AK166" s="437">
        <f t="shared" si="113"/>
        <v>877.25</v>
      </c>
      <c r="AL166" s="437">
        <f t="shared" si="114"/>
        <v>1503.25</v>
      </c>
      <c r="AM166" s="437">
        <f t="shared" si="115"/>
        <v>2124.75</v>
      </c>
      <c r="AN166" s="437">
        <f t="shared" si="116"/>
        <v>2402.75</v>
      </c>
      <c r="AO166" s="438">
        <f t="shared" si="117"/>
        <v>2056.1666666666665</v>
      </c>
      <c r="AQ166" s="428">
        <v>2679.2</v>
      </c>
      <c r="AR166" s="429">
        <v>2861.4</v>
      </c>
      <c r="AS166" s="429">
        <v>2954.2</v>
      </c>
      <c r="AT166" s="429">
        <v>2313.1999999999998</v>
      </c>
      <c r="AU166" s="429">
        <v>2312</v>
      </c>
      <c r="AV166" s="429">
        <v>2199.4</v>
      </c>
      <c r="AW166" s="429">
        <v>1104.8</v>
      </c>
      <c r="AX166" s="429">
        <v>1002.4</v>
      </c>
      <c r="AY166" s="429">
        <v>0</v>
      </c>
      <c r="AZ166" s="429">
        <v>1423.6</v>
      </c>
      <c r="BA166" s="429">
        <v>1984.7777777777778</v>
      </c>
      <c r="BB166" s="429">
        <v>4441</v>
      </c>
      <c r="BC166" s="431">
        <v>2026.1166666666666</v>
      </c>
      <c r="BD166" s="428">
        <v>2184</v>
      </c>
      <c r="BE166" s="429">
        <v>2485.4</v>
      </c>
      <c r="BF166" s="429">
        <v>2288.6</v>
      </c>
      <c r="BG166" s="429">
        <v>2122.6</v>
      </c>
      <c r="BH166" s="429">
        <v>1946.2</v>
      </c>
      <c r="BI166" s="429">
        <v>425.375</v>
      </c>
      <c r="BJ166" s="429">
        <v>823.16666666666663</v>
      </c>
      <c r="BK166" s="429">
        <v>833.25</v>
      </c>
      <c r="BL166" s="429">
        <v>917.25</v>
      </c>
      <c r="BM166" s="429">
        <v>1327.5</v>
      </c>
      <c r="BN166" s="429">
        <v>2177</v>
      </c>
      <c r="BO166" s="429">
        <v>2636</v>
      </c>
      <c r="BP166" s="431">
        <v>1610.8474576271187</v>
      </c>
      <c r="BQ166" s="428">
        <v>3394.75</v>
      </c>
      <c r="BR166" s="429">
        <v>2653.75</v>
      </c>
      <c r="BS166" s="429">
        <v>2946.5</v>
      </c>
      <c r="BT166" s="429">
        <v>2833</v>
      </c>
      <c r="BU166" s="429">
        <v>2109.75</v>
      </c>
      <c r="BV166" s="429">
        <v>1832.5</v>
      </c>
      <c r="BW166" s="429">
        <v>1202</v>
      </c>
      <c r="BX166" s="429">
        <v>793.75</v>
      </c>
      <c r="BY166" s="429">
        <v>877.25</v>
      </c>
      <c r="BZ166" s="429">
        <v>1503.25</v>
      </c>
      <c r="CA166" s="429">
        <v>2124.75</v>
      </c>
      <c r="CB166" s="429">
        <v>2402.75</v>
      </c>
      <c r="CC166" s="431">
        <v>2056.1666666666665</v>
      </c>
    </row>
    <row r="167" spans="1:81">
      <c r="A167" s="420" t="s">
        <v>197</v>
      </c>
      <c r="B167" s="420" t="s">
        <v>181</v>
      </c>
      <c r="C167" s="436">
        <f t="shared" si="79"/>
        <v>0</v>
      </c>
      <c r="D167" s="437">
        <f t="shared" si="80"/>
        <v>0</v>
      </c>
      <c r="E167" s="437">
        <f t="shared" si="81"/>
        <v>0</v>
      </c>
      <c r="F167" s="437">
        <f t="shared" si="82"/>
        <v>0</v>
      </c>
      <c r="G167" s="437">
        <f t="shared" si="83"/>
        <v>0</v>
      </c>
      <c r="H167" s="437">
        <f t="shared" si="84"/>
        <v>0</v>
      </c>
      <c r="I167" s="437">
        <f t="shared" si="85"/>
        <v>0</v>
      </c>
      <c r="J167" s="437">
        <f t="shared" si="86"/>
        <v>0</v>
      </c>
      <c r="K167" s="437">
        <f t="shared" si="87"/>
        <v>0</v>
      </c>
      <c r="L167" s="437">
        <f t="shared" si="88"/>
        <v>0</v>
      </c>
      <c r="M167" s="437">
        <f t="shared" si="89"/>
        <v>0</v>
      </c>
      <c r="N167" s="437">
        <f t="shared" si="90"/>
        <v>0</v>
      </c>
      <c r="O167" s="438">
        <f t="shared" si="91"/>
        <v>0</v>
      </c>
      <c r="P167" s="439">
        <f t="shared" si="92"/>
        <v>0</v>
      </c>
      <c r="Q167" s="437">
        <f t="shared" si="93"/>
        <v>0</v>
      </c>
      <c r="R167" s="437">
        <f t="shared" si="94"/>
        <v>0</v>
      </c>
      <c r="S167" s="437">
        <f t="shared" si="95"/>
        <v>0</v>
      </c>
      <c r="T167" s="437">
        <f t="shared" si="96"/>
        <v>0</v>
      </c>
      <c r="U167" s="437">
        <f t="shared" si="97"/>
        <v>0</v>
      </c>
      <c r="V167" s="437">
        <f t="shared" si="98"/>
        <v>0</v>
      </c>
      <c r="W167" s="437">
        <f t="shared" si="99"/>
        <v>0</v>
      </c>
      <c r="X167" s="437">
        <f t="shared" si="100"/>
        <v>0</v>
      </c>
      <c r="Y167" s="437">
        <f t="shared" si="101"/>
        <v>0</v>
      </c>
      <c r="Z167" s="437">
        <f t="shared" si="102"/>
        <v>0</v>
      </c>
      <c r="AA167" s="437">
        <f t="shared" si="103"/>
        <v>0</v>
      </c>
      <c r="AB167" s="438">
        <f t="shared" si="104"/>
        <v>0</v>
      </c>
      <c r="AC167" s="439">
        <f t="shared" si="105"/>
        <v>0</v>
      </c>
      <c r="AD167" s="437">
        <f t="shared" si="106"/>
        <v>0</v>
      </c>
      <c r="AE167" s="437">
        <f t="shared" si="107"/>
        <v>0</v>
      </c>
      <c r="AF167" s="437">
        <f t="shared" si="108"/>
        <v>0</v>
      </c>
      <c r="AG167" s="437">
        <f t="shared" si="109"/>
        <v>0</v>
      </c>
      <c r="AH167" s="437">
        <f t="shared" si="110"/>
        <v>0</v>
      </c>
      <c r="AI167" s="437">
        <f t="shared" si="111"/>
        <v>0</v>
      </c>
      <c r="AJ167" s="437">
        <f t="shared" si="112"/>
        <v>0</v>
      </c>
      <c r="AK167" s="437">
        <f t="shared" si="113"/>
        <v>0</v>
      </c>
      <c r="AL167" s="437">
        <f t="shared" si="114"/>
        <v>0</v>
      </c>
      <c r="AM167" s="437">
        <f t="shared" si="115"/>
        <v>0</v>
      </c>
      <c r="AN167" s="437">
        <f t="shared" si="116"/>
        <v>0</v>
      </c>
      <c r="AO167" s="438">
        <f t="shared" si="117"/>
        <v>0</v>
      </c>
      <c r="AQ167" s="428">
        <v>0</v>
      </c>
      <c r="AR167" s="429">
        <v>0</v>
      </c>
      <c r="AS167" s="429">
        <v>0</v>
      </c>
      <c r="AT167" s="429">
        <v>0</v>
      </c>
      <c r="AU167" s="429">
        <v>0</v>
      </c>
      <c r="AV167" s="429">
        <v>0</v>
      </c>
      <c r="AW167" s="429">
        <v>0</v>
      </c>
      <c r="AX167" s="429">
        <v>0</v>
      </c>
      <c r="AY167" s="429">
        <v>0</v>
      </c>
      <c r="AZ167" s="429">
        <v>0</v>
      </c>
      <c r="BA167" s="429">
        <v>0</v>
      </c>
      <c r="BB167" s="429">
        <v>0</v>
      </c>
      <c r="BC167" s="431">
        <v>0</v>
      </c>
      <c r="BD167" s="428">
        <v>0</v>
      </c>
      <c r="BE167" s="429">
        <v>0</v>
      </c>
      <c r="BF167" s="429">
        <v>0</v>
      </c>
      <c r="BG167" s="429">
        <v>0</v>
      </c>
      <c r="BH167" s="429">
        <v>0</v>
      </c>
      <c r="BI167" s="429">
        <v>0</v>
      </c>
      <c r="BJ167" s="429">
        <v>0</v>
      </c>
      <c r="BK167" s="429">
        <v>0</v>
      </c>
      <c r="BL167" s="429">
        <v>0</v>
      </c>
      <c r="BM167" s="429">
        <v>0</v>
      </c>
      <c r="BN167" s="429">
        <v>0</v>
      </c>
      <c r="BO167" s="429">
        <v>0</v>
      </c>
      <c r="BP167" s="431">
        <v>0</v>
      </c>
      <c r="BQ167" s="428">
        <v>0</v>
      </c>
      <c r="BR167" s="429">
        <v>0</v>
      </c>
      <c r="BS167" s="429">
        <v>0</v>
      </c>
      <c r="BT167" s="429">
        <v>0</v>
      </c>
      <c r="BU167" s="429">
        <v>0</v>
      </c>
      <c r="BV167" s="429">
        <v>0</v>
      </c>
      <c r="BW167" s="429">
        <v>0</v>
      </c>
      <c r="BX167" s="429">
        <v>0</v>
      </c>
      <c r="BY167" s="429">
        <v>0</v>
      </c>
      <c r="BZ167" s="429">
        <v>0</v>
      </c>
      <c r="CA167" s="429">
        <v>0</v>
      </c>
      <c r="CB167" s="429">
        <v>0</v>
      </c>
      <c r="CC167" s="431">
        <v>0</v>
      </c>
    </row>
    <row r="168" spans="1:81">
      <c r="A168" s="420" t="s">
        <v>197</v>
      </c>
      <c r="B168" s="420" t="s">
        <v>182</v>
      </c>
      <c r="C168" s="436">
        <f t="shared" si="79"/>
        <v>4465.6153846153848</v>
      </c>
      <c r="D168" s="437">
        <f t="shared" si="80"/>
        <v>4426.2307692307695</v>
      </c>
      <c r="E168" s="437">
        <f t="shared" si="81"/>
        <v>4819.6153846153848</v>
      </c>
      <c r="F168" s="437">
        <f t="shared" si="82"/>
        <v>3753.7692307692309</v>
      </c>
      <c r="G168" s="437">
        <f t="shared" si="83"/>
        <v>3750.3846153846152</v>
      </c>
      <c r="H168" s="437">
        <f t="shared" si="84"/>
        <v>3906.2307692307691</v>
      </c>
      <c r="I168" s="437">
        <f t="shared" si="85"/>
        <v>2671.5384615384614</v>
      </c>
      <c r="J168" s="437">
        <f t="shared" si="86"/>
        <v>2726.1538461538462</v>
      </c>
      <c r="K168" s="437">
        <f t="shared" si="87"/>
        <v>0</v>
      </c>
      <c r="L168" s="437">
        <f t="shared" si="88"/>
        <v>2947.5384615384614</v>
      </c>
      <c r="M168" s="437">
        <f t="shared" si="89"/>
        <v>3983.2692307692309</v>
      </c>
      <c r="N168" s="437">
        <f t="shared" si="90"/>
        <v>0</v>
      </c>
      <c r="O168" s="438">
        <f t="shared" si="91"/>
        <v>3679.9807692307691</v>
      </c>
      <c r="P168" s="439">
        <f t="shared" si="92"/>
        <v>4309.0769230769229</v>
      </c>
      <c r="Q168" s="437">
        <f t="shared" si="93"/>
        <v>4825.6153846153848</v>
      </c>
      <c r="R168" s="437">
        <f t="shared" si="94"/>
        <v>4390.9230769230771</v>
      </c>
      <c r="S168" s="437">
        <f t="shared" si="95"/>
        <v>4205.6923076923076</v>
      </c>
      <c r="T168" s="437">
        <f t="shared" si="96"/>
        <v>3875.8461538461538</v>
      </c>
      <c r="U168" s="437">
        <f t="shared" si="97"/>
        <v>3268.7692307692309</v>
      </c>
      <c r="V168" s="437">
        <f t="shared" si="98"/>
        <v>2895.8461538461538</v>
      </c>
      <c r="W168" s="437">
        <f t="shared" si="99"/>
        <v>3691.4615384615386</v>
      </c>
      <c r="X168" s="437">
        <f t="shared" si="100"/>
        <v>2922.9230769230771</v>
      </c>
      <c r="Y168" s="437">
        <f t="shared" si="101"/>
        <v>2321.6428571428573</v>
      </c>
      <c r="Z168" s="437">
        <f t="shared" si="102"/>
        <v>3971.2307692307691</v>
      </c>
      <c r="AA168" s="437">
        <f t="shared" si="103"/>
        <v>4035.7692307692309</v>
      </c>
      <c r="AB168" s="438">
        <f t="shared" si="104"/>
        <v>3717.2866242038217</v>
      </c>
      <c r="AC168" s="439">
        <f t="shared" si="105"/>
        <v>5088.7692307692305</v>
      </c>
      <c r="AD168" s="437">
        <f t="shared" si="106"/>
        <v>3126</v>
      </c>
      <c r="AE168" s="437">
        <f t="shared" si="107"/>
        <v>3796.6470588235293</v>
      </c>
      <c r="AF168" s="437">
        <f t="shared" si="108"/>
        <v>3650.4705882352941</v>
      </c>
      <c r="AG168" s="437">
        <f t="shared" si="109"/>
        <v>2681.3529411764707</v>
      </c>
      <c r="AH168" s="437">
        <f t="shared" si="110"/>
        <v>2518.705882352941</v>
      </c>
      <c r="AI168" s="437">
        <f t="shared" si="111"/>
        <v>2516.8235294117649</v>
      </c>
      <c r="AJ168" s="437">
        <f t="shared" si="112"/>
        <v>2495.6470588235293</v>
      </c>
      <c r="AK168" s="437">
        <f t="shared" si="113"/>
        <v>2962.6666666666665</v>
      </c>
      <c r="AL168" s="437">
        <f t="shared" si="114"/>
        <v>2945.8</v>
      </c>
      <c r="AM168" s="437">
        <f t="shared" si="115"/>
        <v>3153.8666666666668</v>
      </c>
      <c r="AN168" s="437">
        <f t="shared" si="116"/>
        <v>4081.8461538461538</v>
      </c>
      <c r="AO168" s="438">
        <f t="shared" si="117"/>
        <v>3202.6789473684212</v>
      </c>
      <c r="AQ168" s="428">
        <v>4465.6153846153848</v>
      </c>
      <c r="AR168" s="429">
        <v>4426.2307692307695</v>
      </c>
      <c r="AS168" s="429">
        <v>4819.6153846153848</v>
      </c>
      <c r="AT168" s="429">
        <v>3753.7692307692309</v>
      </c>
      <c r="AU168" s="429">
        <v>3750.3846153846152</v>
      </c>
      <c r="AV168" s="429">
        <v>3906.2307692307691</v>
      </c>
      <c r="AW168" s="429">
        <v>2671.5384615384614</v>
      </c>
      <c r="AX168" s="429">
        <v>2726.1538461538462</v>
      </c>
      <c r="AY168" s="429">
        <v>0</v>
      </c>
      <c r="AZ168" s="429">
        <v>2947.5384615384614</v>
      </c>
      <c r="BA168" s="429">
        <v>3983.2692307692309</v>
      </c>
      <c r="BB168" s="429">
        <v>0</v>
      </c>
      <c r="BC168" s="431">
        <v>3679.9807692307691</v>
      </c>
      <c r="BD168" s="428">
        <v>4309.0769230769229</v>
      </c>
      <c r="BE168" s="429">
        <v>4825.6153846153848</v>
      </c>
      <c r="BF168" s="429">
        <v>4390.9230769230771</v>
      </c>
      <c r="BG168" s="429">
        <v>4205.6923076923076</v>
      </c>
      <c r="BH168" s="429">
        <v>3875.8461538461538</v>
      </c>
      <c r="BI168" s="429">
        <v>3268.7692307692309</v>
      </c>
      <c r="BJ168" s="429">
        <v>2895.8461538461538</v>
      </c>
      <c r="BK168" s="429">
        <v>3691.4615384615386</v>
      </c>
      <c r="BL168" s="429">
        <v>2922.9230769230771</v>
      </c>
      <c r="BM168" s="429">
        <v>2321.6428571428573</v>
      </c>
      <c r="BN168" s="429">
        <v>3971.2307692307691</v>
      </c>
      <c r="BO168" s="429">
        <v>4035.7692307692309</v>
      </c>
      <c r="BP168" s="431">
        <v>3717.2866242038217</v>
      </c>
      <c r="BQ168" s="428">
        <v>5088.7692307692305</v>
      </c>
      <c r="BR168" s="429">
        <v>3126</v>
      </c>
      <c r="BS168" s="429">
        <v>3796.6470588235293</v>
      </c>
      <c r="BT168" s="429">
        <v>3650.4705882352941</v>
      </c>
      <c r="BU168" s="429">
        <v>2681.3529411764707</v>
      </c>
      <c r="BV168" s="429">
        <v>2518.705882352941</v>
      </c>
      <c r="BW168" s="429">
        <v>2516.8235294117649</v>
      </c>
      <c r="BX168" s="429">
        <v>2495.6470588235293</v>
      </c>
      <c r="BY168" s="429">
        <v>2962.6666666666665</v>
      </c>
      <c r="BZ168" s="429">
        <v>2945.8</v>
      </c>
      <c r="CA168" s="429">
        <v>3153.8666666666668</v>
      </c>
      <c r="CB168" s="429">
        <v>4081.8461538461538</v>
      </c>
      <c r="CC168" s="431">
        <v>3202.6789473684212</v>
      </c>
    </row>
    <row r="169" spans="1:81">
      <c r="A169" s="420" t="s">
        <v>197</v>
      </c>
      <c r="B169" s="420" t="s">
        <v>183</v>
      </c>
      <c r="C169" s="436">
        <f t="shared" si="79"/>
        <v>0</v>
      </c>
      <c r="D169" s="437">
        <f t="shared" si="80"/>
        <v>0</v>
      </c>
      <c r="E169" s="437">
        <f t="shared" si="81"/>
        <v>0</v>
      </c>
      <c r="F169" s="437">
        <f t="shared" si="82"/>
        <v>0</v>
      </c>
      <c r="G169" s="437">
        <f t="shared" si="83"/>
        <v>0</v>
      </c>
      <c r="H169" s="437">
        <f t="shared" si="84"/>
        <v>0</v>
      </c>
      <c r="I169" s="437">
        <f t="shared" si="85"/>
        <v>0</v>
      </c>
      <c r="J169" s="437">
        <f t="shared" si="86"/>
        <v>0</v>
      </c>
      <c r="K169" s="437">
        <f t="shared" si="87"/>
        <v>0</v>
      </c>
      <c r="L169" s="437">
        <f t="shared" si="88"/>
        <v>0</v>
      </c>
      <c r="M169" s="437">
        <f t="shared" si="89"/>
        <v>0</v>
      </c>
      <c r="N169" s="437">
        <f t="shared" si="90"/>
        <v>0</v>
      </c>
      <c r="O169" s="438">
        <f t="shared" si="91"/>
        <v>0</v>
      </c>
      <c r="P169" s="439">
        <f t="shared" si="92"/>
        <v>0</v>
      </c>
      <c r="Q169" s="437">
        <f t="shared" si="93"/>
        <v>0</v>
      </c>
      <c r="R169" s="437">
        <f t="shared" si="94"/>
        <v>0</v>
      </c>
      <c r="S169" s="437">
        <f t="shared" si="95"/>
        <v>0</v>
      </c>
      <c r="T169" s="437">
        <f t="shared" si="96"/>
        <v>0</v>
      </c>
      <c r="U169" s="437">
        <f t="shared" si="97"/>
        <v>0</v>
      </c>
      <c r="V169" s="437">
        <f t="shared" si="98"/>
        <v>0</v>
      </c>
      <c r="W169" s="437">
        <f t="shared" si="99"/>
        <v>0</v>
      </c>
      <c r="X169" s="437">
        <f t="shared" si="100"/>
        <v>0</v>
      </c>
      <c r="Y169" s="437">
        <f t="shared" si="101"/>
        <v>0</v>
      </c>
      <c r="Z169" s="437">
        <f t="shared" si="102"/>
        <v>0</v>
      </c>
      <c r="AA169" s="437">
        <f t="shared" si="103"/>
        <v>0</v>
      </c>
      <c r="AB169" s="438">
        <f t="shared" si="104"/>
        <v>0</v>
      </c>
      <c r="AC169" s="439">
        <f t="shared" si="105"/>
        <v>0</v>
      </c>
      <c r="AD169" s="437">
        <f t="shared" si="106"/>
        <v>0</v>
      </c>
      <c r="AE169" s="437">
        <f t="shared" si="107"/>
        <v>0</v>
      </c>
      <c r="AF169" s="437">
        <f t="shared" si="108"/>
        <v>0</v>
      </c>
      <c r="AG169" s="437">
        <f t="shared" si="109"/>
        <v>0</v>
      </c>
      <c r="AH169" s="437">
        <f t="shared" si="110"/>
        <v>0</v>
      </c>
      <c r="AI169" s="437">
        <f t="shared" si="111"/>
        <v>0</v>
      </c>
      <c r="AJ169" s="437">
        <f t="shared" si="112"/>
        <v>0</v>
      </c>
      <c r="AK169" s="437">
        <f t="shared" si="113"/>
        <v>0</v>
      </c>
      <c r="AL169" s="437">
        <f t="shared" si="114"/>
        <v>0</v>
      </c>
      <c r="AM169" s="437">
        <f t="shared" si="115"/>
        <v>0</v>
      </c>
      <c r="AN169" s="437">
        <f t="shared" si="116"/>
        <v>0</v>
      </c>
      <c r="AO169" s="438">
        <f t="shared" si="117"/>
        <v>0</v>
      </c>
      <c r="AQ169" s="428">
        <v>0</v>
      </c>
      <c r="AR169" s="429">
        <v>0</v>
      </c>
      <c r="AS169" s="429">
        <v>0</v>
      </c>
      <c r="AT169" s="429">
        <v>0</v>
      </c>
      <c r="AU169" s="429">
        <v>0</v>
      </c>
      <c r="AV169" s="429">
        <v>0</v>
      </c>
      <c r="AW169" s="429">
        <v>0</v>
      </c>
      <c r="AX169" s="429">
        <v>0</v>
      </c>
      <c r="AY169" s="429">
        <v>0</v>
      </c>
      <c r="AZ169" s="429">
        <v>0</v>
      </c>
      <c r="BA169" s="429">
        <v>0</v>
      </c>
      <c r="BB169" s="429">
        <v>0</v>
      </c>
      <c r="BC169" s="431">
        <v>0</v>
      </c>
      <c r="BD169" s="428">
        <v>0</v>
      </c>
      <c r="BE169" s="429">
        <v>0</v>
      </c>
      <c r="BF169" s="429">
        <v>0</v>
      </c>
      <c r="BG169" s="429">
        <v>0</v>
      </c>
      <c r="BH169" s="429">
        <v>0</v>
      </c>
      <c r="BI169" s="429">
        <v>0</v>
      </c>
      <c r="BJ169" s="429">
        <v>0</v>
      </c>
      <c r="BK169" s="429">
        <v>0</v>
      </c>
      <c r="BL169" s="429">
        <v>0</v>
      </c>
      <c r="BM169" s="429">
        <v>0</v>
      </c>
      <c r="BN169" s="429">
        <v>0</v>
      </c>
      <c r="BO169" s="429">
        <v>0</v>
      </c>
      <c r="BP169" s="431">
        <v>0</v>
      </c>
      <c r="BQ169" s="428">
        <v>0</v>
      </c>
      <c r="BR169" s="429">
        <v>0</v>
      </c>
      <c r="BS169" s="429">
        <v>0</v>
      </c>
      <c r="BT169" s="429">
        <v>0</v>
      </c>
      <c r="BU169" s="429">
        <v>0</v>
      </c>
      <c r="BV169" s="429">
        <v>0</v>
      </c>
      <c r="BW169" s="429">
        <v>0</v>
      </c>
      <c r="BX169" s="429">
        <v>0</v>
      </c>
      <c r="BY169" s="429">
        <v>0</v>
      </c>
      <c r="BZ169" s="429">
        <v>0</v>
      </c>
      <c r="CA169" s="429">
        <v>0</v>
      </c>
      <c r="CB169" s="429">
        <v>0</v>
      </c>
      <c r="CC169" s="431">
        <v>0</v>
      </c>
    </row>
    <row r="170" spans="1:81">
      <c r="A170" s="445"/>
      <c r="B170" s="445"/>
      <c r="C170" s="446"/>
      <c r="D170" s="447"/>
      <c r="E170" s="447"/>
      <c r="F170" s="447"/>
      <c r="G170" s="447"/>
      <c r="H170" s="447"/>
      <c r="I170" s="447"/>
      <c r="J170" s="447"/>
      <c r="K170" s="447"/>
      <c r="L170" s="447"/>
      <c r="M170" s="447"/>
      <c r="N170" s="447"/>
      <c r="O170" s="448"/>
      <c r="P170" s="449"/>
      <c r="Q170" s="447"/>
      <c r="R170" s="447"/>
      <c r="S170" s="447"/>
      <c r="T170" s="447"/>
      <c r="U170" s="447"/>
      <c r="V170" s="447"/>
      <c r="W170" s="447"/>
      <c r="X170" s="447"/>
      <c r="Y170" s="447"/>
      <c r="Z170" s="447"/>
      <c r="AA170" s="447"/>
      <c r="AB170" s="448"/>
      <c r="AC170" s="449"/>
      <c r="AD170" s="447"/>
      <c r="AE170" s="447"/>
      <c r="AF170" s="447"/>
      <c r="AG170" s="447"/>
      <c r="AH170" s="447"/>
      <c r="AI170" s="447"/>
      <c r="AJ170" s="447"/>
      <c r="AK170" s="447"/>
      <c r="AL170" s="447"/>
      <c r="AM170" s="447"/>
      <c r="AN170" s="447"/>
      <c r="AO170" s="448"/>
      <c r="AQ170" s="450"/>
      <c r="AR170" s="451"/>
      <c r="AS170" s="451"/>
      <c r="AT170" s="451"/>
      <c r="AU170" s="451"/>
      <c r="AV170" s="451"/>
      <c r="AW170" s="451"/>
      <c r="AX170" s="451"/>
      <c r="AY170" s="451"/>
      <c r="AZ170" s="451"/>
      <c r="BA170" s="451"/>
      <c r="BB170" s="451"/>
      <c r="BC170" s="452"/>
      <c r="BD170" s="453"/>
      <c r="BE170" s="451"/>
      <c r="BF170" s="451"/>
      <c r="BG170" s="451"/>
      <c r="BH170" s="451"/>
      <c r="BI170" s="451"/>
      <c r="BJ170" s="451"/>
      <c r="BK170" s="451"/>
      <c r="BL170" s="451"/>
      <c r="BM170" s="451"/>
      <c r="BN170" s="451"/>
      <c r="BO170" s="451"/>
      <c r="BP170" s="452"/>
      <c r="BQ170" s="453"/>
      <c r="BR170" s="451"/>
      <c r="BS170" s="451"/>
      <c r="BT170" s="451"/>
      <c r="BU170" s="451"/>
      <c r="BV170" s="451"/>
      <c r="BW170" s="451"/>
      <c r="BX170" s="451"/>
      <c r="BY170" s="451"/>
      <c r="BZ170" s="451"/>
      <c r="CA170" s="451"/>
      <c r="CB170" s="451"/>
      <c r="CC170" s="452"/>
    </row>
    <row r="171" spans="1:81">
      <c r="B171" s="456" t="s">
        <v>198</v>
      </c>
      <c r="C171" s="436"/>
      <c r="D171" s="437"/>
      <c r="E171" s="437"/>
      <c r="F171" s="437"/>
      <c r="G171" s="437"/>
      <c r="H171" s="437"/>
      <c r="I171" s="437"/>
      <c r="J171" s="437"/>
      <c r="K171" s="437"/>
      <c r="L171" s="437"/>
      <c r="M171" s="437"/>
      <c r="N171" s="437"/>
      <c r="O171" s="438"/>
      <c r="P171" s="439"/>
      <c r="Q171" s="437"/>
      <c r="R171" s="437"/>
      <c r="S171" s="437"/>
      <c r="T171" s="437"/>
      <c r="U171" s="437"/>
      <c r="V171" s="437"/>
      <c r="W171" s="437"/>
      <c r="X171" s="437"/>
      <c r="Y171" s="437"/>
      <c r="Z171" s="437"/>
      <c r="AA171" s="437"/>
      <c r="AB171" s="438"/>
      <c r="AC171" s="439"/>
      <c r="AD171" s="437"/>
      <c r="AE171" s="437"/>
      <c r="AF171" s="437"/>
      <c r="AG171" s="437"/>
      <c r="AH171" s="437"/>
      <c r="AI171" s="437"/>
      <c r="AJ171" s="437"/>
      <c r="AK171" s="437"/>
      <c r="AL171" s="437"/>
      <c r="AM171" s="437"/>
      <c r="AN171" s="437"/>
      <c r="AO171" s="438"/>
      <c r="AQ171" s="428"/>
      <c r="AR171" s="429"/>
      <c r="AS171" s="429"/>
      <c r="AT171" s="429"/>
      <c r="AU171" s="429"/>
      <c r="AV171" s="429"/>
      <c r="AW171" s="429"/>
      <c r="AX171" s="429"/>
      <c r="AY171" s="429"/>
      <c r="AZ171" s="429"/>
      <c r="BA171" s="429"/>
      <c r="BB171" s="429"/>
      <c r="BC171" s="431"/>
      <c r="BD171" s="428"/>
      <c r="BE171" s="429"/>
      <c r="BF171" s="429"/>
      <c r="BG171" s="429"/>
      <c r="BH171" s="429"/>
      <c r="BI171" s="429"/>
      <c r="BJ171" s="429"/>
      <c r="BK171" s="429"/>
      <c r="BL171" s="429"/>
      <c r="BM171" s="429"/>
      <c r="BN171" s="429"/>
      <c r="BO171" s="429"/>
      <c r="BP171" s="431"/>
      <c r="BQ171" s="428"/>
      <c r="BR171" s="429"/>
      <c r="BS171" s="429"/>
      <c r="BT171" s="429"/>
      <c r="BU171" s="429"/>
      <c r="BV171" s="429"/>
      <c r="BW171" s="429"/>
      <c r="BX171" s="429"/>
      <c r="BY171" s="429"/>
      <c r="BZ171" s="429"/>
      <c r="CA171" s="429"/>
      <c r="CB171" s="429"/>
      <c r="CC171" s="431"/>
    </row>
    <row r="172" spans="1:81">
      <c r="A172" s="420" t="s">
        <v>198</v>
      </c>
      <c r="B172" s="420" t="s">
        <v>175</v>
      </c>
      <c r="C172" s="436">
        <f t="shared" si="79"/>
        <v>2338.6423841059604</v>
      </c>
      <c r="D172" s="437">
        <f t="shared" si="80"/>
        <v>2313.4398249452952</v>
      </c>
      <c r="E172" s="437">
        <f t="shared" si="81"/>
        <v>2160.0837004405284</v>
      </c>
      <c r="F172" s="437">
        <f t="shared" si="82"/>
        <v>1979.0765864332604</v>
      </c>
      <c r="G172" s="437">
        <f t="shared" si="83"/>
        <v>1586.6745689655172</v>
      </c>
      <c r="H172" s="437">
        <f t="shared" si="84"/>
        <v>1275.7260869565218</v>
      </c>
      <c r="I172" s="437">
        <f t="shared" si="85"/>
        <v>1076.4021978021979</v>
      </c>
      <c r="J172" s="437">
        <f t="shared" si="86"/>
        <v>1218.6960352422907</v>
      </c>
      <c r="K172" s="437">
        <f t="shared" si="87"/>
        <v>905.12910284463896</v>
      </c>
      <c r="L172" s="437">
        <f t="shared" si="88"/>
        <v>1442.1995661605206</v>
      </c>
      <c r="M172" s="437">
        <f t="shared" si="89"/>
        <v>1679.0525164113785</v>
      </c>
      <c r="N172" s="437">
        <f t="shared" si="90"/>
        <v>1791.4569536423842</v>
      </c>
      <c r="O172" s="438">
        <f t="shared" si="91"/>
        <v>1646.3371032469902</v>
      </c>
      <c r="P172" s="439">
        <f t="shared" si="92"/>
        <v>2601.6828193832598</v>
      </c>
      <c r="Q172" s="437">
        <f t="shared" si="93"/>
        <v>2347.0835164835166</v>
      </c>
      <c r="R172" s="437">
        <f t="shared" si="94"/>
        <v>2261.320879120879</v>
      </c>
      <c r="S172" s="437">
        <f t="shared" si="95"/>
        <v>1765.0042735042734</v>
      </c>
      <c r="T172" s="437">
        <f t="shared" si="96"/>
        <v>1626.0258620689656</v>
      </c>
      <c r="U172" s="437">
        <f t="shared" si="97"/>
        <v>1340.7098765432099</v>
      </c>
      <c r="V172" s="437">
        <f t="shared" si="98"/>
        <v>1008.9179265658747</v>
      </c>
      <c r="W172" s="437">
        <f t="shared" si="99"/>
        <v>1059.4323144104803</v>
      </c>
      <c r="X172" s="437">
        <f t="shared" si="100"/>
        <v>1062.7034632034631</v>
      </c>
      <c r="Y172" s="437">
        <f t="shared" si="101"/>
        <v>1245.7969762419007</v>
      </c>
      <c r="Z172" s="437">
        <f t="shared" si="102"/>
        <v>1735.5031185031185</v>
      </c>
      <c r="AA172" s="437">
        <f t="shared" si="103"/>
        <v>1850.7098121085594</v>
      </c>
      <c r="AB172" s="438">
        <f t="shared" si="104"/>
        <v>1655.5941302791696</v>
      </c>
      <c r="AC172" s="439">
        <f t="shared" si="105"/>
        <v>2708.6540880503144</v>
      </c>
      <c r="AD172" s="437">
        <f t="shared" si="106"/>
        <v>2246.171189979123</v>
      </c>
      <c r="AE172" s="437">
        <f t="shared" si="107"/>
        <v>1927.9978991596638</v>
      </c>
      <c r="AF172" s="437">
        <f t="shared" si="108"/>
        <v>2059.8149688149688</v>
      </c>
      <c r="AG172" s="437">
        <f t="shared" si="109"/>
        <v>1829.1152263374486</v>
      </c>
      <c r="AH172" s="437">
        <f t="shared" si="110"/>
        <v>1371.6260162601627</v>
      </c>
      <c r="AI172" s="437">
        <f t="shared" si="111"/>
        <v>1110.7102615694164</v>
      </c>
      <c r="AJ172" s="437">
        <f t="shared" si="112"/>
        <v>1094.2564102564102</v>
      </c>
      <c r="AK172" s="437">
        <f t="shared" si="113"/>
        <v>1091.6201834862386</v>
      </c>
      <c r="AL172" s="437">
        <f t="shared" si="114"/>
        <v>1320.9648760330579</v>
      </c>
      <c r="AM172" s="437">
        <f t="shared" si="115"/>
        <v>1664.6814671814673</v>
      </c>
      <c r="AN172" s="437">
        <f t="shared" si="116"/>
        <v>1595.5469314079423</v>
      </c>
      <c r="AO172" s="438">
        <f t="shared" si="117"/>
        <v>1655.6972981987992</v>
      </c>
      <c r="AQ172" s="428">
        <v>2338.6423841059604</v>
      </c>
      <c r="AR172" s="429">
        <v>2313.4398249452952</v>
      </c>
      <c r="AS172" s="429">
        <v>2160.0837004405284</v>
      </c>
      <c r="AT172" s="429">
        <v>1979.0765864332604</v>
      </c>
      <c r="AU172" s="429">
        <v>1586.6745689655172</v>
      </c>
      <c r="AV172" s="429">
        <v>1275.7260869565218</v>
      </c>
      <c r="AW172" s="429">
        <v>1076.4021978021979</v>
      </c>
      <c r="AX172" s="429">
        <v>1218.6960352422907</v>
      </c>
      <c r="AY172" s="429">
        <v>905.12910284463896</v>
      </c>
      <c r="AZ172" s="429">
        <v>1442.1995661605206</v>
      </c>
      <c r="BA172" s="429">
        <v>1679.0525164113785</v>
      </c>
      <c r="BB172" s="429">
        <v>1791.4569536423842</v>
      </c>
      <c r="BC172" s="431">
        <v>1646.3371032469902</v>
      </c>
      <c r="BD172" s="428">
        <v>2601.6828193832598</v>
      </c>
      <c r="BE172" s="429">
        <v>2347.0835164835166</v>
      </c>
      <c r="BF172" s="429">
        <v>2261.320879120879</v>
      </c>
      <c r="BG172" s="429">
        <v>1765.0042735042734</v>
      </c>
      <c r="BH172" s="429">
        <v>1626.0258620689656</v>
      </c>
      <c r="BI172" s="429">
        <v>1340.7098765432099</v>
      </c>
      <c r="BJ172" s="429">
        <v>1008.9179265658747</v>
      </c>
      <c r="BK172" s="429">
        <v>1059.4323144104803</v>
      </c>
      <c r="BL172" s="429">
        <v>1062.7034632034631</v>
      </c>
      <c r="BM172" s="429">
        <v>1245.7969762419007</v>
      </c>
      <c r="BN172" s="429">
        <v>1735.5031185031185</v>
      </c>
      <c r="BO172" s="429">
        <v>1850.7098121085594</v>
      </c>
      <c r="BP172" s="431">
        <v>1655.5941302791696</v>
      </c>
      <c r="BQ172" s="428">
        <v>2708.6540880503144</v>
      </c>
      <c r="BR172" s="429">
        <v>2246.171189979123</v>
      </c>
      <c r="BS172" s="429">
        <v>1927.9978991596638</v>
      </c>
      <c r="BT172" s="429">
        <v>2059.8149688149688</v>
      </c>
      <c r="BU172" s="429">
        <v>1829.1152263374486</v>
      </c>
      <c r="BV172" s="429">
        <v>1371.6260162601627</v>
      </c>
      <c r="BW172" s="429">
        <v>1110.7102615694164</v>
      </c>
      <c r="BX172" s="429">
        <v>1094.2564102564102</v>
      </c>
      <c r="BY172" s="429">
        <v>1091.6201834862386</v>
      </c>
      <c r="BZ172" s="429">
        <v>1320.9648760330579</v>
      </c>
      <c r="CA172" s="429">
        <v>1664.6814671814673</v>
      </c>
      <c r="CB172" s="429">
        <v>1595.5469314079423</v>
      </c>
      <c r="CC172" s="431">
        <v>1655.6972981987992</v>
      </c>
    </row>
    <row r="173" spans="1:81">
      <c r="A173" s="420" t="s">
        <v>198</v>
      </c>
      <c r="B173" s="420" t="s">
        <v>176</v>
      </c>
      <c r="C173" s="436">
        <f t="shared" si="79"/>
        <v>0</v>
      </c>
      <c r="D173" s="437">
        <f t="shared" si="80"/>
        <v>0</v>
      </c>
      <c r="E173" s="437">
        <f t="shared" si="81"/>
        <v>0</v>
      </c>
      <c r="F173" s="437">
        <f t="shared" si="82"/>
        <v>0</v>
      </c>
      <c r="G173" s="437">
        <f t="shared" si="83"/>
        <v>0</v>
      </c>
      <c r="H173" s="437">
        <f t="shared" si="84"/>
        <v>0</v>
      </c>
      <c r="I173" s="437">
        <f t="shared" si="85"/>
        <v>0</v>
      </c>
      <c r="J173" s="437">
        <f t="shared" si="86"/>
        <v>0</v>
      </c>
      <c r="K173" s="437">
        <f t="shared" si="87"/>
        <v>0</v>
      </c>
      <c r="L173" s="437">
        <f t="shared" si="88"/>
        <v>0</v>
      </c>
      <c r="M173" s="437">
        <f t="shared" si="89"/>
        <v>0</v>
      </c>
      <c r="N173" s="437">
        <f t="shared" si="90"/>
        <v>0</v>
      </c>
      <c r="O173" s="438">
        <f t="shared" si="91"/>
        <v>0</v>
      </c>
      <c r="P173" s="439">
        <f t="shared" si="92"/>
        <v>0</v>
      </c>
      <c r="Q173" s="437">
        <f t="shared" si="93"/>
        <v>0</v>
      </c>
      <c r="R173" s="437">
        <f t="shared" si="94"/>
        <v>0</v>
      </c>
      <c r="S173" s="437">
        <f t="shared" si="95"/>
        <v>0</v>
      </c>
      <c r="T173" s="437">
        <f t="shared" si="96"/>
        <v>0</v>
      </c>
      <c r="U173" s="437">
        <f t="shared" si="97"/>
        <v>0</v>
      </c>
      <c r="V173" s="437">
        <f t="shared" si="98"/>
        <v>0</v>
      </c>
      <c r="W173" s="437">
        <f t="shared" si="99"/>
        <v>0</v>
      </c>
      <c r="X173" s="437">
        <f t="shared" si="100"/>
        <v>0</v>
      </c>
      <c r="Y173" s="437">
        <f t="shared" si="101"/>
        <v>0</v>
      </c>
      <c r="Z173" s="437">
        <f t="shared" si="102"/>
        <v>0</v>
      </c>
      <c r="AA173" s="437">
        <f t="shared" si="103"/>
        <v>0</v>
      </c>
      <c r="AB173" s="438">
        <f t="shared" si="104"/>
        <v>0</v>
      </c>
      <c r="AC173" s="439">
        <f t="shared" si="105"/>
        <v>0</v>
      </c>
      <c r="AD173" s="437">
        <f t="shared" si="106"/>
        <v>0</v>
      </c>
      <c r="AE173" s="437">
        <f t="shared" si="107"/>
        <v>0</v>
      </c>
      <c r="AF173" s="437">
        <f t="shared" si="108"/>
        <v>0</v>
      </c>
      <c r="AG173" s="437">
        <f t="shared" si="109"/>
        <v>0</v>
      </c>
      <c r="AH173" s="437">
        <f t="shared" si="110"/>
        <v>0</v>
      </c>
      <c r="AI173" s="437">
        <f t="shared" si="111"/>
        <v>0</v>
      </c>
      <c r="AJ173" s="437">
        <f t="shared" si="112"/>
        <v>0</v>
      </c>
      <c r="AK173" s="437">
        <f t="shared" si="113"/>
        <v>0</v>
      </c>
      <c r="AL173" s="437">
        <f t="shared" si="114"/>
        <v>0</v>
      </c>
      <c r="AM173" s="437">
        <f t="shared" si="115"/>
        <v>0</v>
      </c>
      <c r="AN173" s="437">
        <f t="shared" si="116"/>
        <v>0</v>
      </c>
      <c r="AO173" s="438">
        <f t="shared" si="117"/>
        <v>0</v>
      </c>
      <c r="AQ173" s="428">
        <v>0</v>
      </c>
      <c r="AR173" s="429">
        <v>0</v>
      </c>
      <c r="AS173" s="429">
        <v>0</v>
      </c>
      <c r="AT173" s="429">
        <v>0</v>
      </c>
      <c r="AU173" s="429">
        <v>0</v>
      </c>
      <c r="AV173" s="429">
        <v>0</v>
      </c>
      <c r="AW173" s="429">
        <v>0</v>
      </c>
      <c r="AX173" s="429">
        <v>0</v>
      </c>
      <c r="AY173" s="429">
        <v>0</v>
      </c>
      <c r="AZ173" s="429">
        <v>0</v>
      </c>
      <c r="BA173" s="429">
        <v>0</v>
      </c>
      <c r="BB173" s="429">
        <v>0</v>
      </c>
      <c r="BC173" s="431">
        <v>0</v>
      </c>
      <c r="BD173" s="428">
        <v>0</v>
      </c>
      <c r="BE173" s="429">
        <v>0</v>
      </c>
      <c r="BF173" s="429">
        <v>0</v>
      </c>
      <c r="BG173" s="429">
        <v>0</v>
      </c>
      <c r="BH173" s="429">
        <v>0</v>
      </c>
      <c r="BI173" s="429">
        <v>0</v>
      </c>
      <c r="BJ173" s="429">
        <v>0</v>
      </c>
      <c r="BK173" s="429">
        <v>0</v>
      </c>
      <c r="BL173" s="429">
        <v>0</v>
      </c>
      <c r="BM173" s="429">
        <v>0</v>
      </c>
      <c r="BN173" s="429">
        <v>0</v>
      </c>
      <c r="BO173" s="429">
        <v>0</v>
      </c>
      <c r="BP173" s="431">
        <v>0</v>
      </c>
      <c r="BQ173" s="428">
        <v>0</v>
      </c>
      <c r="BR173" s="429">
        <v>0</v>
      </c>
      <c r="BS173" s="429">
        <v>0</v>
      </c>
      <c r="BT173" s="429">
        <v>0</v>
      </c>
      <c r="BU173" s="429">
        <v>0</v>
      </c>
      <c r="BV173" s="429">
        <v>0</v>
      </c>
      <c r="BW173" s="429">
        <v>0</v>
      </c>
      <c r="BX173" s="429">
        <v>0</v>
      </c>
      <c r="BY173" s="429">
        <v>0</v>
      </c>
      <c r="BZ173" s="429">
        <v>0</v>
      </c>
      <c r="CA173" s="429">
        <v>0</v>
      </c>
      <c r="CB173" s="429">
        <v>0</v>
      </c>
      <c r="CC173" s="431">
        <v>0</v>
      </c>
    </row>
    <row r="174" spans="1:81">
      <c r="A174" s="420" t="s">
        <v>198</v>
      </c>
      <c r="B174" s="420" t="s">
        <v>177</v>
      </c>
      <c r="C174" s="436">
        <f t="shared" si="79"/>
        <v>4048.1666666666665</v>
      </c>
      <c r="D174" s="437">
        <f t="shared" si="80"/>
        <v>3921.3666666666668</v>
      </c>
      <c r="E174" s="437">
        <f t="shared" si="81"/>
        <v>3791.6451612903224</v>
      </c>
      <c r="F174" s="437">
        <f t="shared" si="82"/>
        <v>3498.3548387096776</v>
      </c>
      <c r="G174" s="437">
        <f t="shared" si="83"/>
        <v>2511.9375</v>
      </c>
      <c r="H174" s="437">
        <f t="shared" si="84"/>
        <v>2384.78125</v>
      </c>
      <c r="I174" s="437">
        <f t="shared" si="85"/>
        <v>2274.84375</v>
      </c>
      <c r="J174" s="437">
        <f t="shared" si="86"/>
        <v>2649.75</v>
      </c>
      <c r="K174" s="437">
        <f t="shared" si="87"/>
        <v>1433.5277777777778</v>
      </c>
      <c r="L174" s="437">
        <f t="shared" si="88"/>
        <v>2428.6129032258063</v>
      </c>
      <c r="M174" s="437">
        <f t="shared" si="89"/>
        <v>2872.2666666666669</v>
      </c>
      <c r="N174" s="437">
        <f t="shared" si="90"/>
        <v>3314.2</v>
      </c>
      <c r="O174" s="438">
        <f t="shared" si="91"/>
        <v>2896.1432360742706</v>
      </c>
      <c r="P174" s="439">
        <f t="shared" si="92"/>
        <v>4479.2413793103451</v>
      </c>
      <c r="Q174" s="437">
        <f t="shared" si="93"/>
        <v>4590.4333333333334</v>
      </c>
      <c r="R174" s="437">
        <f t="shared" si="94"/>
        <v>4278.2333333333336</v>
      </c>
      <c r="S174" s="437">
        <f t="shared" si="95"/>
        <v>3060.9666666666667</v>
      </c>
      <c r="T174" s="437">
        <f t="shared" si="96"/>
        <v>2652.34375</v>
      </c>
      <c r="U174" s="437">
        <f t="shared" si="97"/>
        <v>2735</v>
      </c>
      <c r="V174" s="437">
        <f t="shared" si="98"/>
        <v>2307.9</v>
      </c>
      <c r="W174" s="437">
        <f t="shared" si="99"/>
        <v>2491.6</v>
      </c>
      <c r="X174" s="437">
        <f t="shared" si="100"/>
        <v>2300.5</v>
      </c>
      <c r="Y174" s="437">
        <f t="shared" si="101"/>
        <v>2446.0666666666666</v>
      </c>
      <c r="Z174" s="437">
        <f t="shared" si="102"/>
        <v>3200.4</v>
      </c>
      <c r="AA174" s="437">
        <f t="shared" si="103"/>
        <v>3452.0645161290322</v>
      </c>
      <c r="AB174" s="438">
        <f t="shared" si="104"/>
        <v>3160.5524861878453</v>
      </c>
      <c r="AC174" s="439">
        <f t="shared" si="105"/>
        <v>4847.4516129032254</v>
      </c>
      <c r="AD174" s="437">
        <f t="shared" si="106"/>
        <v>3980.75</v>
      </c>
      <c r="AE174" s="437">
        <f t="shared" si="107"/>
        <v>3111.46875</v>
      </c>
      <c r="AF174" s="437">
        <f t="shared" si="108"/>
        <v>3322.1724137931033</v>
      </c>
      <c r="AG174" s="437">
        <f t="shared" si="109"/>
        <v>2820.3333333333335</v>
      </c>
      <c r="AH174" s="437">
        <f t="shared" si="110"/>
        <v>2610.1333333333332</v>
      </c>
      <c r="AI174" s="437">
        <f t="shared" si="111"/>
        <v>2198.242424242424</v>
      </c>
      <c r="AJ174" s="437">
        <f t="shared" si="112"/>
        <v>2885.56</v>
      </c>
      <c r="AK174" s="437">
        <f t="shared" si="113"/>
        <v>2325.8235294117649</v>
      </c>
      <c r="AL174" s="437">
        <f t="shared" si="114"/>
        <v>2627.3548387096776</v>
      </c>
      <c r="AM174" s="437">
        <f t="shared" si="115"/>
        <v>3166.7666666666669</v>
      </c>
      <c r="AN174" s="437">
        <f t="shared" si="116"/>
        <v>2458.0882352941176</v>
      </c>
      <c r="AO174" s="438">
        <f t="shared" si="117"/>
        <v>3019.579514824798</v>
      </c>
      <c r="AQ174" s="428">
        <v>4048.1666666666665</v>
      </c>
      <c r="AR174" s="429">
        <v>3921.3666666666668</v>
      </c>
      <c r="AS174" s="429">
        <v>3791.6451612903224</v>
      </c>
      <c r="AT174" s="429">
        <v>3498.3548387096776</v>
      </c>
      <c r="AU174" s="429">
        <v>2511.9375</v>
      </c>
      <c r="AV174" s="429">
        <v>2384.78125</v>
      </c>
      <c r="AW174" s="429">
        <v>2274.84375</v>
      </c>
      <c r="AX174" s="429">
        <v>2649.75</v>
      </c>
      <c r="AY174" s="429">
        <v>1433.5277777777778</v>
      </c>
      <c r="AZ174" s="429">
        <v>2428.6129032258063</v>
      </c>
      <c r="BA174" s="429">
        <v>2872.2666666666669</v>
      </c>
      <c r="BB174" s="429">
        <v>3314.2</v>
      </c>
      <c r="BC174" s="431">
        <v>2896.1432360742706</v>
      </c>
      <c r="BD174" s="428">
        <v>4479.2413793103451</v>
      </c>
      <c r="BE174" s="429">
        <v>4590.4333333333334</v>
      </c>
      <c r="BF174" s="429">
        <v>4278.2333333333336</v>
      </c>
      <c r="BG174" s="429">
        <v>3060.9666666666667</v>
      </c>
      <c r="BH174" s="429">
        <v>2652.34375</v>
      </c>
      <c r="BI174" s="429">
        <v>2735</v>
      </c>
      <c r="BJ174" s="429">
        <v>2307.9</v>
      </c>
      <c r="BK174" s="429">
        <v>2491.6</v>
      </c>
      <c r="BL174" s="429">
        <v>2300.5</v>
      </c>
      <c r="BM174" s="429">
        <v>2446.0666666666666</v>
      </c>
      <c r="BN174" s="429">
        <v>3200.4</v>
      </c>
      <c r="BO174" s="429">
        <v>3452.0645161290322</v>
      </c>
      <c r="BP174" s="431">
        <v>3160.5524861878453</v>
      </c>
      <c r="BQ174" s="428">
        <v>4847.4516129032254</v>
      </c>
      <c r="BR174" s="429">
        <v>3980.75</v>
      </c>
      <c r="BS174" s="429">
        <v>3111.46875</v>
      </c>
      <c r="BT174" s="429">
        <v>3322.1724137931033</v>
      </c>
      <c r="BU174" s="429">
        <v>2820.3333333333335</v>
      </c>
      <c r="BV174" s="429">
        <v>2610.1333333333332</v>
      </c>
      <c r="BW174" s="429">
        <v>2198.242424242424</v>
      </c>
      <c r="BX174" s="429">
        <v>2885.56</v>
      </c>
      <c r="BY174" s="429">
        <v>2325.8235294117649</v>
      </c>
      <c r="BZ174" s="429">
        <v>2627.3548387096776</v>
      </c>
      <c r="CA174" s="429">
        <v>3166.7666666666669</v>
      </c>
      <c r="CB174" s="429">
        <v>2458.0882352941176</v>
      </c>
      <c r="CC174" s="431">
        <v>3019.579514824798</v>
      </c>
    </row>
    <row r="175" spans="1:81">
      <c r="A175" s="420" t="s">
        <v>198</v>
      </c>
      <c r="B175" s="420" t="s">
        <v>178</v>
      </c>
      <c r="C175" s="436">
        <f t="shared" si="79"/>
        <v>20282.5</v>
      </c>
      <c r="D175" s="437">
        <f t="shared" si="80"/>
        <v>19415</v>
      </c>
      <c r="E175" s="437">
        <f t="shared" si="81"/>
        <v>21780</v>
      </c>
      <c r="F175" s="437">
        <f t="shared" si="82"/>
        <v>12963.333333333334</v>
      </c>
      <c r="G175" s="437">
        <f t="shared" si="83"/>
        <v>18286</v>
      </c>
      <c r="H175" s="437">
        <f t="shared" si="84"/>
        <v>11017.5</v>
      </c>
      <c r="I175" s="437">
        <f t="shared" si="85"/>
        <v>19855</v>
      </c>
      <c r="J175" s="437">
        <f t="shared" si="86"/>
        <v>20512.5</v>
      </c>
      <c r="K175" s="437">
        <f t="shared" si="87"/>
        <v>12305</v>
      </c>
      <c r="L175" s="437">
        <f t="shared" si="88"/>
        <v>14772.5</v>
      </c>
      <c r="M175" s="437">
        <f t="shared" si="89"/>
        <v>16250</v>
      </c>
      <c r="N175" s="437">
        <f t="shared" si="90"/>
        <v>16322.5</v>
      </c>
      <c r="O175" s="438">
        <f t="shared" si="91"/>
        <v>17091.041666666668</v>
      </c>
      <c r="P175" s="439">
        <f t="shared" si="92"/>
        <v>14802.5</v>
      </c>
      <c r="Q175" s="437">
        <f t="shared" si="93"/>
        <v>44822.5</v>
      </c>
      <c r="R175" s="437">
        <f t="shared" si="94"/>
        <v>27532.5</v>
      </c>
      <c r="S175" s="437">
        <f t="shared" si="95"/>
        <v>22665</v>
      </c>
      <c r="T175" s="437">
        <f t="shared" si="96"/>
        <v>11682</v>
      </c>
      <c r="U175" s="437">
        <f t="shared" si="97"/>
        <v>22362.5</v>
      </c>
      <c r="V175" s="437">
        <f t="shared" si="98"/>
        <v>12092.5</v>
      </c>
      <c r="W175" s="437">
        <f t="shared" si="99"/>
        <v>15635</v>
      </c>
      <c r="X175" s="437">
        <f t="shared" si="100"/>
        <v>13170</v>
      </c>
      <c r="Y175" s="437">
        <f t="shared" si="101"/>
        <v>16227.5</v>
      </c>
      <c r="Z175" s="437">
        <f t="shared" si="102"/>
        <v>18510</v>
      </c>
      <c r="AA175" s="437">
        <f t="shared" si="103"/>
        <v>19237.5</v>
      </c>
      <c r="AB175" s="438">
        <f t="shared" si="104"/>
        <v>19727.34693877551</v>
      </c>
      <c r="AC175" s="439">
        <f t="shared" si="105"/>
        <v>27715</v>
      </c>
      <c r="AD175" s="437">
        <f t="shared" si="106"/>
        <v>19282.5</v>
      </c>
      <c r="AE175" s="437">
        <f t="shared" si="107"/>
        <v>21705</v>
      </c>
      <c r="AF175" s="437">
        <f t="shared" si="108"/>
        <v>19610</v>
      </c>
      <c r="AG175" s="437">
        <f t="shared" si="109"/>
        <v>13920</v>
      </c>
      <c r="AH175" s="437">
        <f t="shared" si="110"/>
        <v>20010</v>
      </c>
      <c r="AI175" s="437">
        <f t="shared" si="111"/>
        <v>10032.5</v>
      </c>
      <c r="AJ175" s="437">
        <f t="shared" si="112"/>
        <v>15955</v>
      </c>
      <c r="AK175" s="437">
        <f t="shared" si="113"/>
        <v>30862.5</v>
      </c>
      <c r="AL175" s="437">
        <f t="shared" si="114"/>
        <v>9130</v>
      </c>
      <c r="AM175" s="437">
        <f t="shared" si="115"/>
        <v>18872.5</v>
      </c>
      <c r="AN175" s="437">
        <f t="shared" si="116"/>
        <v>19927.5</v>
      </c>
      <c r="AO175" s="438">
        <f t="shared" si="117"/>
        <v>18342.745098039217</v>
      </c>
      <c r="AQ175" s="428">
        <v>20282.5</v>
      </c>
      <c r="AR175" s="429">
        <v>19415</v>
      </c>
      <c r="AS175" s="429">
        <v>21780</v>
      </c>
      <c r="AT175" s="429">
        <v>12963.333333333334</v>
      </c>
      <c r="AU175" s="429">
        <v>18286</v>
      </c>
      <c r="AV175" s="429">
        <v>11017.5</v>
      </c>
      <c r="AW175" s="429">
        <v>19855</v>
      </c>
      <c r="AX175" s="429">
        <v>20512.5</v>
      </c>
      <c r="AY175" s="429">
        <v>12305</v>
      </c>
      <c r="AZ175" s="429">
        <v>14772.5</v>
      </c>
      <c r="BA175" s="429">
        <v>16250</v>
      </c>
      <c r="BB175" s="429">
        <v>16322.5</v>
      </c>
      <c r="BC175" s="431">
        <v>17091.041666666668</v>
      </c>
      <c r="BD175" s="428">
        <v>14802.5</v>
      </c>
      <c r="BE175" s="429">
        <v>44822.5</v>
      </c>
      <c r="BF175" s="429">
        <v>27532.5</v>
      </c>
      <c r="BG175" s="429">
        <v>22665</v>
      </c>
      <c r="BH175" s="429">
        <v>11682</v>
      </c>
      <c r="BI175" s="429">
        <v>22362.5</v>
      </c>
      <c r="BJ175" s="429">
        <v>12092.5</v>
      </c>
      <c r="BK175" s="429">
        <v>15635</v>
      </c>
      <c r="BL175" s="429">
        <v>13170</v>
      </c>
      <c r="BM175" s="429">
        <v>16227.5</v>
      </c>
      <c r="BN175" s="429">
        <v>18510</v>
      </c>
      <c r="BO175" s="429">
        <v>19237.5</v>
      </c>
      <c r="BP175" s="431">
        <v>19727.34693877551</v>
      </c>
      <c r="BQ175" s="428">
        <v>27715</v>
      </c>
      <c r="BR175" s="429">
        <v>19282.5</v>
      </c>
      <c r="BS175" s="429">
        <v>21705</v>
      </c>
      <c r="BT175" s="429">
        <v>19610</v>
      </c>
      <c r="BU175" s="429">
        <v>13920</v>
      </c>
      <c r="BV175" s="429">
        <v>20010</v>
      </c>
      <c r="BW175" s="429">
        <v>10032.5</v>
      </c>
      <c r="BX175" s="429">
        <v>15955</v>
      </c>
      <c r="BY175" s="429">
        <v>30862.5</v>
      </c>
      <c r="BZ175" s="429">
        <v>9130</v>
      </c>
      <c r="CA175" s="429">
        <v>18872.5</v>
      </c>
      <c r="CB175" s="429">
        <v>19927.5</v>
      </c>
      <c r="CC175" s="431">
        <v>18342.745098039217</v>
      </c>
    </row>
    <row r="176" spans="1:81">
      <c r="A176" s="420" t="s">
        <v>198</v>
      </c>
      <c r="B176" s="420" t="s">
        <v>179</v>
      </c>
      <c r="C176" s="436">
        <f t="shared" si="79"/>
        <v>0</v>
      </c>
      <c r="D176" s="437">
        <f t="shared" si="80"/>
        <v>0</v>
      </c>
      <c r="E176" s="437">
        <f t="shared" si="81"/>
        <v>0</v>
      </c>
      <c r="F176" s="437">
        <f t="shared" si="82"/>
        <v>0</v>
      </c>
      <c r="G176" s="437">
        <f t="shared" si="83"/>
        <v>0</v>
      </c>
      <c r="H176" s="437">
        <f t="shared" si="84"/>
        <v>0</v>
      </c>
      <c r="I176" s="437">
        <f t="shared" si="85"/>
        <v>0</v>
      </c>
      <c r="J176" s="437">
        <f t="shared" si="86"/>
        <v>0</v>
      </c>
      <c r="K176" s="437">
        <f t="shared" si="87"/>
        <v>0</v>
      </c>
      <c r="L176" s="437">
        <f t="shared" si="88"/>
        <v>0</v>
      </c>
      <c r="M176" s="437">
        <f t="shared" si="89"/>
        <v>0</v>
      </c>
      <c r="N176" s="437">
        <f t="shared" si="90"/>
        <v>0</v>
      </c>
      <c r="O176" s="438">
        <f t="shared" si="91"/>
        <v>0</v>
      </c>
      <c r="P176" s="439">
        <f t="shared" si="92"/>
        <v>0</v>
      </c>
      <c r="Q176" s="437">
        <f t="shared" si="93"/>
        <v>0</v>
      </c>
      <c r="R176" s="437">
        <f t="shared" si="94"/>
        <v>0</v>
      </c>
      <c r="S176" s="437">
        <f t="shared" si="95"/>
        <v>0</v>
      </c>
      <c r="T176" s="437">
        <f t="shared" si="96"/>
        <v>0</v>
      </c>
      <c r="U176" s="437">
        <f t="shared" si="97"/>
        <v>0</v>
      </c>
      <c r="V176" s="437">
        <f t="shared" si="98"/>
        <v>0</v>
      </c>
      <c r="W176" s="437">
        <f t="shared" si="99"/>
        <v>0</v>
      </c>
      <c r="X176" s="437">
        <f t="shared" si="100"/>
        <v>0</v>
      </c>
      <c r="Y176" s="437">
        <f t="shared" si="101"/>
        <v>0</v>
      </c>
      <c r="Z176" s="437">
        <f t="shared" si="102"/>
        <v>0</v>
      </c>
      <c r="AA176" s="437">
        <f t="shared" si="103"/>
        <v>0</v>
      </c>
      <c r="AB176" s="438">
        <f t="shared" si="104"/>
        <v>0</v>
      </c>
      <c r="AC176" s="439">
        <f t="shared" si="105"/>
        <v>0</v>
      </c>
      <c r="AD176" s="437">
        <f t="shared" si="106"/>
        <v>0</v>
      </c>
      <c r="AE176" s="437">
        <f t="shared" si="107"/>
        <v>0</v>
      </c>
      <c r="AF176" s="437">
        <f t="shared" si="108"/>
        <v>0</v>
      </c>
      <c r="AG176" s="437">
        <f t="shared" si="109"/>
        <v>0</v>
      </c>
      <c r="AH176" s="437">
        <f t="shared" si="110"/>
        <v>0</v>
      </c>
      <c r="AI176" s="437">
        <f t="shared" si="111"/>
        <v>0</v>
      </c>
      <c r="AJ176" s="437">
        <f t="shared" si="112"/>
        <v>0</v>
      </c>
      <c r="AK176" s="437">
        <f t="shared" si="113"/>
        <v>0</v>
      </c>
      <c r="AL176" s="437">
        <f t="shared" si="114"/>
        <v>0</v>
      </c>
      <c r="AM176" s="437">
        <f t="shared" si="115"/>
        <v>0</v>
      </c>
      <c r="AN176" s="437">
        <f t="shared" si="116"/>
        <v>0</v>
      </c>
      <c r="AO176" s="438">
        <f t="shared" si="117"/>
        <v>0</v>
      </c>
      <c r="AQ176" s="428">
        <v>0</v>
      </c>
      <c r="AR176" s="429">
        <v>0</v>
      </c>
      <c r="AS176" s="429">
        <v>0</v>
      </c>
      <c r="AT176" s="429">
        <v>0</v>
      </c>
      <c r="AU176" s="429">
        <v>0</v>
      </c>
      <c r="AV176" s="429">
        <v>0</v>
      </c>
      <c r="AW176" s="429">
        <v>0</v>
      </c>
      <c r="AX176" s="429">
        <v>0</v>
      </c>
      <c r="AY176" s="429">
        <v>0</v>
      </c>
      <c r="AZ176" s="429">
        <v>0</v>
      </c>
      <c r="BA176" s="429">
        <v>0</v>
      </c>
      <c r="BB176" s="429">
        <v>0</v>
      </c>
      <c r="BC176" s="431">
        <v>0</v>
      </c>
      <c r="BD176" s="428">
        <v>0</v>
      </c>
      <c r="BE176" s="429">
        <v>0</v>
      </c>
      <c r="BF176" s="429">
        <v>0</v>
      </c>
      <c r="BG176" s="429">
        <v>0</v>
      </c>
      <c r="BH176" s="429">
        <v>0</v>
      </c>
      <c r="BI176" s="429">
        <v>0</v>
      </c>
      <c r="BJ176" s="429">
        <v>0</v>
      </c>
      <c r="BK176" s="429">
        <v>0</v>
      </c>
      <c r="BL176" s="429">
        <v>0</v>
      </c>
      <c r="BM176" s="429">
        <v>0</v>
      </c>
      <c r="BN176" s="429">
        <v>0</v>
      </c>
      <c r="BO176" s="429">
        <v>0</v>
      </c>
      <c r="BP176" s="431">
        <v>0</v>
      </c>
      <c r="BQ176" s="428">
        <v>0</v>
      </c>
      <c r="BR176" s="429">
        <v>0</v>
      </c>
      <c r="BS176" s="429">
        <v>0</v>
      </c>
      <c r="BT176" s="429">
        <v>0</v>
      </c>
      <c r="BU176" s="429">
        <v>0</v>
      </c>
      <c r="BV176" s="429">
        <v>0</v>
      </c>
      <c r="BW176" s="429">
        <v>0</v>
      </c>
      <c r="BX176" s="429">
        <v>0</v>
      </c>
      <c r="BY176" s="429">
        <v>0</v>
      </c>
      <c r="BZ176" s="429">
        <v>0</v>
      </c>
      <c r="CA176" s="429">
        <v>0</v>
      </c>
      <c r="CB176" s="429">
        <v>0</v>
      </c>
      <c r="CC176" s="431">
        <v>0</v>
      </c>
    </row>
    <row r="177" spans="1:81">
      <c r="A177" s="420" t="s">
        <v>198</v>
      </c>
      <c r="B177" s="420" t="s">
        <v>180</v>
      </c>
      <c r="C177" s="436">
        <f t="shared" si="79"/>
        <v>1228.1052631578948</v>
      </c>
      <c r="D177" s="437">
        <f t="shared" si="80"/>
        <v>1189.421052631579</v>
      </c>
      <c r="E177" s="437">
        <f t="shared" si="81"/>
        <v>1010.0526315789474</v>
      </c>
      <c r="F177" s="437">
        <f t="shared" si="82"/>
        <v>1046.578947368421</v>
      </c>
      <c r="G177" s="437">
        <f t="shared" si="83"/>
        <v>982.68421052631584</v>
      </c>
      <c r="H177" s="437">
        <f t="shared" si="84"/>
        <v>826.52631578947364</v>
      </c>
      <c r="I177" s="437">
        <f t="shared" si="85"/>
        <v>838.89473684210532</v>
      </c>
      <c r="J177" s="437">
        <f t="shared" si="86"/>
        <v>845.2</v>
      </c>
      <c r="K177" s="437">
        <f t="shared" si="87"/>
        <v>569.66666666666663</v>
      </c>
      <c r="L177" s="437">
        <f t="shared" si="88"/>
        <v>1221.1111111111111</v>
      </c>
      <c r="M177" s="437">
        <f t="shared" si="89"/>
        <v>1174.4444444444443</v>
      </c>
      <c r="N177" s="437">
        <f t="shared" si="90"/>
        <v>1051</v>
      </c>
      <c r="O177" s="438">
        <f t="shared" si="91"/>
        <v>997.86222222222227</v>
      </c>
      <c r="P177" s="439">
        <f t="shared" si="92"/>
        <v>1447.2222222222222</v>
      </c>
      <c r="Q177" s="437">
        <f t="shared" si="93"/>
        <v>1489.1111111111111</v>
      </c>
      <c r="R177" s="437">
        <f t="shared" si="94"/>
        <v>1303.5</v>
      </c>
      <c r="S177" s="437">
        <f t="shared" si="95"/>
        <v>1126.6111111111111</v>
      </c>
      <c r="T177" s="437">
        <f t="shared" si="96"/>
        <v>1086.7222222222222</v>
      </c>
      <c r="U177" s="437">
        <f t="shared" si="97"/>
        <v>933</v>
      </c>
      <c r="V177" s="437">
        <f t="shared" si="98"/>
        <v>675.9545454545455</v>
      </c>
      <c r="W177" s="437">
        <f t="shared" si="99"/>
        <v>591</v>
      </c>
      <c r="X177" s="437">
        <f t="shared" si="100"/>
        <v>748.36842105263156</v>
      </c>
      <c r="Y177" s="437">
        <f t="shared" si="101"/>
        <v>878.10526315789468</v>
      </c>
      <c r="Z177" s="437">
        <f t="shared" si="102"/>
        <v>910.10526315789468</v>
      </c>
      <c r="AA177" s="437">
        <f t="shared" si="103"/>
        <v>1107.8499999999999</v>
      </c>
      <c r="AB177" s="438">
        <f t="shared" si="104"/>
        <v>1015.0575221238938</v>
      </c>
      <c r="AC177" s="439">
        <f t="shared" si="105"/>
        <v>1538.25</v>
      </c>
      <c r="AD177" s="437">
        <f t="shared" si="106"/>
        <v>1460.05</v>
      </c>
      <c r="AE177" s="437">
        <f t="shared" si="107"/>
        <v>1295.3</v>
      </c>
      <c r="AF177" s="437">
        <f t="shared" si="108"/>
        <v>1228.75</v>
      </c>
      <c r="AG177" s="437">
        <f t="shared" si="109"/>
        <v>926.0526315789474</v>
      </c>
      <c r="AH177" s="437">
        <f t="shared" si="110"/>
        <v>1153.95</v>
      </c>
      <c r="AI177" s="437">
        <f t="shared" si="111"/>
        <v>1129.9565217391305</v>
      </c>
      <c r="AJ177" s="437">
        <f t="shared" si="112"/>
        <v>373.76190476190476</v>
      </c>
      <c r="AK177" s="437">
        <f t="shared" si="113"/>
        <v>1024.96</v>
      </c>
      <c r="AL177" s="437">
        <f t="shared" si="114"/>
        <v>1007.8</v>
      </c>
      <c r="AM177" s="437">
        <f t="shared" si="115"/>
        <v>1043.6111111111111</v>
      </c>
      <c r="AN177" s="437">
        <f t="shared" si="116"/>
        <v>2795.4285714285716</v>
      </c>
      <c r="AO177" s="438">
        <f t="shared" si="117"/>
        <v>1247.8866396761134</v>
      </c>
      <c r="AQ177" s="428">
        <v>1228.1052631578948</v>
      </c>
      <c r="AR177" s="429">
        <v>1189.421052631579</v>
      </c>
      <c r="AS177" s="429">
        <v>1010.0526315789474</v>
      </c>
      <c r="AT177" s="429">
        <v>1046.578947368421</v>
      </c>
      <c r="AU177" s="429">
        <v>982.68421052631584</v>
      </c>
      <c r="AV177" s="429">
        <v>826.52631578947364</v>
      </c>
      <c r="AW177" s="429">
        <v>838.89473684210532</v>
      </c>
      <c r="AX177" s="429">
        <v>845.2</v>
      </c>
      <c r="AY177" s="429">
        <v>569.66666666666663</v>
      </c>
      <c r="AZ177" s="429">
        <v>1221.1111111111111</v>
      </c>
      <c r="BA177" s="429">
        <v>1174.4444444444443</v>
      </c>
      <c r="BB177" s="429">
        <v>1051</v>
      </c>
      <c r="BC177" s="431">
        <v>997.86222222222227</v>
      </c>
      <c r="BD177" s="428">
        <v>1447.2222222222222</v>
      </c>
      <c r="BE177" s="429">
        <v>1489.1111111111111</v>
      </c>
      <c r="BF177" s="429">
        <v>1303.5</v>
      </c>
      <c r="BG177" s="429">
        <v>1126.6111111111111</v>
      </c>
      <c r="BH177" s="429">
        <v>1086.7222222222222</v>
      </c>
      <c r="BI177" s="429">
        <v>933</v>
      </c>
      <c r="BJ177" s="429">
        <v>675.9545454545455</v>
      </c>
      <c r="BK177" s="429">
        <v>591</v>
      </c>
      <c r="BL177" s="429">
        <v>748.36842105263156</v>
      </c>
      <c r="BM177" s="429">
        <v>878.10526315789468</v>
      </c>
      <c r="BN177" s="429">
        <v>910.10526315789468</v>
      </c>
      <c r="BO177" s="429">
        <v>1107.8499999999999</v>
      </c>
      <c r="BP177" s="431">
        <v>1015.0575221238938</v>
      </c>
      <c r="BQ177" s="428">
        <v>1538.25</v>
      </c>
      <c r="BR177" s="429">
        <v>1460.05</v>
      </c>
      <c r="BS177" s="429">
        <v>1295.3</v>
      </c>
      <c r="BT177" s="429">
        <v>1228.75</v>
      </c>
      <c r="BU177" s="429">
        <v>926.0526315789474</v>
      </c>
      <c r="BV177" s="429">
        <v>1153.95</v>
      </c>
      <c r="BW177" s="429">
        <v>1129.9565217391305</v>
      </c>
      <c r="BX177" s="429">
        <v>373.76190476190476</v>
      </c>
      <c r="BY177" s="429">
        <v>1024.96</v>
      </c>
      <c r="BZ177" s="429">
        <v>1007.8</v>
      </c>
      <c r="CA177" s="429">
        <v>1043.6111111111111</v>
      </c>
      <c r="CB177" s="429">
        <v>2795.4285714285716</v>
      </c>
      <c r="CC177" s="431">
        <v>1247.8866396761134</v>
      </c>
    </row>
    <row r="178" spans="1:81">
      <c r="A178" s="420" t="s">
        <v>198</v>
      </c>
      <c r="B178" s="420" t="s">
        <v>181</v>
      </c>
      <c r="C178" s="436">
        <f t="shared" si="79"/>
        <v>0</v>
      </c>
      <c r="D178" s="437">
        <f t="shared" si="80"/>
        <v>0</v>
      </c>
      <c r="E178" s="437">
        <f t="shared" si="81"/>
        <v>0</v>
      </c>
      <c r="F178" s="437">
        <f t="shared" si="82"/>
        <v>0</v>
      </c>
      <c r="G178" s="437">
        <f t="shared" si="83"/>
        <v>0</v>
      </c>
      <c r="H178" s="437">
        <f t="shared" si="84"/>
        <v>0</v>
      </c>
      <c r="I178" s="437">
        <f t="shared" si="85"/>
        <v>0</v>
      </c>
      <c r="J178" s="437">
        <f t="shared" si="86"/>
        <v>0</v>
      </c>
      <c r="K178" s="437">
        <f t="shared" si="87"/>
        <v>0</v>
      </c>
      <c r="L178" s="437">
        <f t="shared" si="88"/>
        <v>0</v>
      </c>
      <c r="M178" s="437">
        <f t="shared" si="89"/>
        <v>0</v>
      </c>
      <c r="N178" s="437">
        <f t="shared" si="90"/>
        <v>0</v>
      </c>
      <c r="O178" s="438">
        <f t="shared" si="91"/>
        <v>0</v>
      </c>
      <c r="P178" s="439">
        <f t="shared" si="92"/>
        <v>0</v>
      </c>
      <c r="Q178" s="437">
        <f t="shared" si="93"/>
        <v>0</v>
      </c>
      <c r="R178" s="437">
        <f t="shared" si="94"/>
        <v>0</v>
      </c>
      <c r="S178" s="437">
        <f t="shared" si="95"/>
        <v>0</v>
      </c>
      <c r="T178" s="437">
        <f t="shared" si="96"/>
        <v>0</v>
      </c>
      <c r="U178" s="437">
        <f t="shared" si="97"/>
        <v>0</v>
      </c>
      <c r="V178" s="437">
        <f t="shared" si="98"/>
        <v>0</v>
      </c>
      <c r="W178" s="437">
        <f t="shared" si="99"/>
        <v>0</v>
      </c>
      <c r="X178" s="437">
        <f t="shared" si="100"/>
        <v>0</v>
      </c>
      <c r="Y178" s="437">
        <f t="shared" si="101"/>
        <v>0</v>
      </c>
      <c r="Z178" s="437">
        <f t="shared" si="102"/>
        <v>0</v>
      </c>
      <c r="AA178" s="437">
        <f t="shared" si="103"/>
        <v>0</v>
      </c>
      <c r="AB178" s="438">
        <f t="shared" si="104"/>
        <v>0</v>
      </c>
      <c r="AC178" s="439">
        <f t="shared" si="105"/>
        <v>0</v>
      </c>
      <c r="AD178" s="437">
        <f t="shared" si="106"/>
        <v>0</v>
      </c>
      <c r="AE178" s="437">
        <f t="shared" si="107"/>
        <v>0</v>
      </c>
      <c r="AF178" s="437">
        <f t="shared" si="108"/>
        <v>0</v>
      </c>
      <c r="AG178" s="437">
        <f t="shared" si="109"/>
        <v>0</v>
      </c>
      <c r="AH178" s="437">
        <f t="shared" si="110"/>
        <v>0</v>
      </c>
      <c r="AI178" s="437">
        <f t="shared" si="111"/>
        <v>0</v>
      </c>
      <c r="AJ178" s="437">
        <f t="shared" si="112"/>
        <v>0</v>
      </c>
      <c r="AK178" s="437">
        <f t="shared" si="113"/>
        <v>0</v>
      </c>
      <c r="AL178" s="437">
        <f t="shared" si="114"/>
        <v>0</v>
      </c>
      <c r="AM178" s="437">
        <f t="shared" si="115"/>
        <v>0</v>
      </c>
      <c r="AN178" s="437">
        <f t="shared" si="116"/>
        <v>0</v>
      </c>
      <c r="AO178" s="438">
        <f t="shared" si="117"/>
        <v>0</v>
      </c>
      <c r="AQ178" s="428">
        <v>0</v>
      </c>
      <c r="AR178" s="429">
        <v>0</v>
      </c>
      <c r="AS178" s="429">
        <v>0</v>
      </c>
      <c r="AT178" s="429">
        <v>0</v>
      </c>
      <c r="AU178" s="429">
        <v>0</v>
      </c>
      <c r="AV178" s="429">
        <v>0</v>
      </c>
      <c r="AW178" s="429">
        <v>0</v>
      </c>
      <c r="AX178" s="429">
        <v>0</v>
      </c>
      <c r="AY178" s="429">
        <v>0</v>
      </c>
      <c r="AZ178" s="429">
        <v>0</v>
      </c>
      <c r="BA178" s="429">
        <v>0</v>
      </c>
      <c r="BB178" s="429">
        <v>0</v>
      </c>
      <c r="BC178" s="431">
        <v>0</v>
      </c>
      <c r="BD178" s="428">
        <v>0</v>
      </c>
      <c r="BE178" s="429">
        <v>0</v>
      </c>
      <c r="BF178" s="429">
        <v>0</v>
      </c>
      <c r="BG178" s="429">
        <v>0</v>
      </c>
      <c r="BH178" s="429">
        <v>0</v>
      </c>
      <c r="BI178" s="429">
        <v>0</v>
      </c>
      <c r="BJ178" s="429">
        <v>0</v>
      </c>
      <c r="BK178" s="429">
        <v>0</v>
      </c>
      <c r="BL178" s="429">
        <v>0</v>
      </c>
      <c r="BM178" s="429">
        <v>0</v>
      </c>
      <c r="BN178" s="429">
        <v>0</v>
      </c>
      <c r="BO178" s="429">
        <v>0</v>
      </c>
      <c r="BP178" s="431">
        <v>0</v>
      </c>
      <c r="BQ178" s="428">
        <v>0</v>
      </c>
      <c r="BR178" s="429">
        <v>0</v>
      </c>
      <c r="BS178" s="429">
        <v>0</v>
      </c>
      <c r="BT178" s="429">
        <v>0</v>
      </c>
      <c r="BU178" s="429">
        <v>0</v>
      </c>
      <c r="BV178" s="429">
        <v>0</v>
      </c>
      <c r="BW178" s="429">
        <v>0</v>
      </c>
      <c r="BX178" s="429">
        <v>0</v>
      </c>
      <c r="BY178" s="429">
        <v>0</v>
      </c>
      <c r="BZ178" s="429">
        <v>0</v>
      </c>
      <c r="CA178" s="429">
        <v>0</v>
      </c>
      <c r="CB178" s="429">
        <v>0</v>
      </c>
      <c r="CC178" s="431">
        <v>0</v>
      </c>
    </row>
    <row r="179" spans="1:81">
      <c r="A179" s="420" t="s">
        <v>198</v>
      </c>
      <c r="B179" s="420" t="s">
        <v>182</v>
      </c>
      <c r="C179" s="436">
        <f t="shared" si="79"/>
        <v>7773.478260869565</v>
      </c>
      <c r="D179" s="437">
        <f t="shared" si="80"/>
        <v>8074.260869565217</v>
      </c>
      <c r="E179" s="437">
        <f t="shared" si="81"/>
        <v>7010.739130434783</v>
      </c>
      <c r="F179" s="437">
        <f t="shared" si="82"/>
        <v>7471.782608695652</v>
      </c>
      <c r="G179" s="437">
        <f t="shared" si="83"/>
        <v>6754.913043478261</v>
      </c>
      <c r="H179" s="437">
        <f t="shared" si="84"/>
        <v>3056.4761904761904</v>
      </c>
      <c r="I179" s="437">
        <f t="shared" si="85"/>
        <v>7652.84</v>
      </c>
      <c r="J179" s="437">
        <f t="shared" si="86"/>
        <v>6916.04347826087</v>
      </c>
      <c r="K179" s="437">
        <f t="shared" si="87"/>
        <v>4109.478260869565</v>
      </c>
      <c r="L179" s="437">
        <f t="shared" si="88"/>
        <v>6278.4</v>
      </c>
      <c r="M179" s="437">
        <f t="shared" si="89"/>
        <v>7791.416666666667</v>
      </c>
      <c r="N179" s="437">
        <f t="shared" si="90"/>
        <v>7390.666666666667</v>
      </c>
      <c r="O179" s="438">
        <f t="shared" si="91"/>
        <v>6726.3678571428572</v>
      </c>
      <c r="P179" s="439">
        <f t="shared" si="92"/>
        <v>9768.375</v>
      </c>
      <c r="Q179" s="437">
        <f t="shared" si="93"/>
        <v>8550.9166666666661</v>
      </c>
      <c r="R179" s="437">
        <f t="shared" si="94"/>
        <v>8536.4166666666661</v>
      </c>
      <c r="S179" s="437">
        <f t="shared" si="95"/>
        <v>7008.625</v>
      </c>
      <c r="T179" s="437">
        <f t="shared" si="96"/>
        <v>6897.083333333333</v>
      </c>
      <c r="U179" s="437">
        <f t="shared" si="97"/>
        <v>5707.375</v>
      </c>
      <c r="V179" s="437">
        <f t="shared" si="98"/>
        <v>4774.125</v>
      </c>
      <c r="W179" s="437">
        <f t="shared" si="99"/>
        <v>2655.36</v>
      </c>
      <c r="X179" s="437">
        <f t="shared" si="100"/>
        <v>5393.521739130435</v>
      </c>
      <c r="Y179" s="437">
        <f t="shared" si="101"/>
        <v>5991.347826086957</v>
      </c>
      <c r="Z179" s="437">
        <f t="shared" si="102"/>
        <v>6753.391304347826</v>
      </c>
      <c r="AA179" s="437">
        <f t="shared" si="103"/>
        <v>6519.913043478261</v>
      </c>
      <c r="AB179" s="438">
        <f t="shared" si="104"/>
        <v>6538.0771929824559</v>
      </c>
      <c r="AC179" s="439">
        <f t="shared" si="105"/>
        <v>7991.869565217391</v>
      </c>
      <c r="AD179" s="437">
        <f t="shared" si="106"/>
        <v>7238.304347826087</v>
      </c>
      <c r="AE179" s="437">
        <f t="shared" si="107"/>
        <v>6007.695652173913</v>
      </c>
      <c r="AF179" s="437">
        <f t="shared" si="108"/>
        <v>5948.695652173913</v>
      </c>
      <c r="AG179" s="437">
        <f t="shared" si="109"/>
        <v>6209.304347826087</v>
      </c>
      <c r="AH179" s="437">
        <f t="shared" si="110"/>
        <v>4893.086956521739</v>
      </c>
      <c r="AI179" s="437">
        <f t="shared" si="111"/>
        <v>3742.8695652173915</v>
      </c>
      <c r="AJ179" s="437">
        <f t="shared" si="112"/>
        <v>4699.818181818182</v>
      </c>
      <c r="AK179" s="437">
        <f t="shared" si="113"/>
        <v>5489.333333333333</v>
      </c>
      <c r="AL179" s="437">
        <f t="shared" si="114"/>
        <v>4242.086956521739</v>
      </c>
      <c r="AM179" s="437">
        <f t="shared" si="115"/>
        <v>6697.090909090909</v>
      </c>
      <c r="AN179" s="437">
        <f t="shared" si="116"/>
        <v>6473.708333333333</v>
      </c>
      <c r="AO179" s="438">
        <f t="shared" si="117"/>
        <v>5804.873188405797</v>
      </c>
      <c r="AQ179" s="428">
        <v>7773.478260869565</v>
      </c>
      <c r="AR179" s="429">
        <v>8074.260869565217</v>
      </c>
      <c r="AS179" s="429">
        <v>7010.739130434783</v>
      </c>
      <c r="AT179" s="429">
        <v>7471.782608695652</v>
      </c>
      <c r="AU179" s="429">
        <v>6754.913043478261</v>
      </c>
      <c r="AV179" s="429">
        <v>3056.4761904761904</v>
      </c>
      <c r="AW179" s="429">
        <v>7652.84</v>
      </c>
      <c r="AX179" s="429">
        <v>6916.04347826087</v>
      </c>
      <c r="AY179" s="429">
        <v>4109.478260869565</v>
      </c>
      <c r="AZ179" s="429">
        <v>6278.4</v>
      </c>
      <c r="BA179" s="429">
        <v>7791.416666666667</v>
      </c>
      <c r="BB179" s="429">
        <v>7390.666666666667</v>
      </c>
      <c r="BC179" s="431">
        <v>6726.3678571428572</v>
      </c>
      <c r="BD179" s="428">
        <v>9768.375</v>
      </c>
      <c r="BE179" s="429">
        <v>8550.9166666666661</v>
      </c>
      <c r="BF179" s="429">
        <v>8536.4166666666661</v>
      </c>
      <c r="BG179" s="429">
        <v>7008.625</v>
      </c>
      <c r="BH179" s="429">
        <v>6897.083333333333</v>
      </c>
      <c r="BI179" s="429">
        <v>5707.375</v>
      </c>
      <c r="BJ179" s="429">
        <v>4774.125</v>
      </c>
      <c r="BK179" s="429">
        <v>2655.36</v>
      </c>
      <c r="BL179" s="429">
        <v>5393.521739130435</v>
      </c>
      <c r="BM179" s="429">
        <v>5991.347826086957</v>
      </c>
      <c r="BN179" s="429">
        <v>6753.391304347826</v>
      </c>
      <c r="BO179" s="429">
        <v>6519.913043478261</v>
      </c>
      <c r="BP179" s="431">
        <v>6538.0771929824559</v>
      </c>
      <c r="BQ179" s="428">
        <v>7991.869565217391</v>
      </c>
      <c r="BR179" s="429">
        <v>7238.304347826087</v>
      </c>
      <c r="BS179" s="429">
        <v>6007.695652173913</v>
      </c>
      <c r="BT179" s="429">
        <v>5948.695652173913</v>
      </c>
      <c r="BU179" s="429">
        <v>6209.304347826087</v>
      </c>
      <c r="BV179" s="429">
        <v>4893.086956521739</v>
      </c>
      <c r="BW179" s="429">
        <v>3742.8695652173915</v>
      </c>
      <c r="BX179" s="429">
        <v>4699.818181818182</v>
      </c>
      <c r="BY179" s="429">
        <v>5489.333333333333</v>
      </c>
      <c r="BZ179" s="429">
        <v>4242.086956521739</v>
      </c>
      <c r="CA179" s="429">
        <v>6697.090909090909</v>
      </c>
      <c r="CB179" s="429">
        <v>6473.708333333333</v>
      </c>
      <c r="CC179" s="431">
        <v>5804.873188405797</v>
      </c>
    </row>
    <row r="180" spans="1:81">
      <c r="A180" s="420" t="s">
        <v>198</v>
      </c>
      <c r="B180" s="420" t="s">
        <v>183</v>
      </c>
      <c r="C180" s="436">
        <f t="shared" si="79"/>
        <v>0</v>
      </c>
      <c r="D180" s="437">
        <f t="shared" si="80"/>
        <v>0</v>
      </c>
      <c r="E180" s="437">
        <f t="shared" si="81"/>
        <v>0</v>
      </c>
      <c r="F180" s="437">
        <f t="shared" si="82"/>
        <v>0</v>
      </c>
      <c r="G180" s="437">
        <f t="shared" si="83"/>
        <v>0</v>
      </c>
      <c r="H180" s="437">
        <f t="shared" si="84"/>
        <v>0</v>
      </c>
      <c r="I180" s="437">
        <f t="shared" si="85"/>
        <v>0</v>
      </c>
      <c r="J180" s="437">
        <f t="shared" si="86"/>
        <v>0</v>
      </c>
      <c r="K180" s="437">
        <f t="shared" si="87"/>
        <v>0</v>
      </c>
      <c r="L180" s="437">
        <f t="shared" si="88"/>
        <v>0</v>
      </c>
      <c r="M180" s="437">
        <f t="shared" si="89"/>
        <v>0</v>
      </c>
      <c r="N180" s="437">
        <f t="shared" si="90"/>
        <v>0</v>
      </c>
      <c r="O180" s="438">
        <f t="shared" si="91"/>
        <v>0</v>
      </c>
      <c r="P180" s="439">
        <f t="shared" si="92"/>
        <v>0</v>
      </c>
      <c r="Q180" s="437">
        <f t="shared" si="93"/>
        <v>0</v>
      </c>
      <c r="R180" s="437">
        <f t="shared" si="94"/>
        <v>0</v>
      </c>
      <c r="S180" s="437">
        <f t="shared" si="95"/>
        <v>0</v>
      </c>
      <c r="T180" s="437">
        <f t="shared" si="96"/>
        <v>0</v>
      </c>
      <c r="U180" s="437">
        <f t="shared" si="97"/>
        <v>0</v>
      </c>
      <c r="V180" s="437">
        <f t="shared" si="98"/>
        <v>0</v>
      </c>
      <c r="W180" s="437">
        <f t="shared" si="99"/>
        <v>0</v>
      </c>
      <c r="X180" s="437">
        <f t="shared" si="100"/>
        <v>0</v>
      </c>
      <c r="Y180" s="437">
        <f t="shared" si="101"/>
        <v>0</v>
      </c>
      <c r="Z180" s="437">
        <f t="shared" si="102"/>
        <v>0</v>
      </c>
      <c r="AA180" s="437">
        <f t="shared" si="103"/>
        <v>0</v>
      </c>
      <c r="AB180" s="438">
        <f t="shared" si="104"/>
        <v>0</v>
      </c>
      <c r="AC180" s="439">
        <f t="shared" si="105"/>
        <v>0</v>
      </c>
      <c r="AD180" s="437">
        <f t="shared" si="106"/>
        <v>0</v>
      </c>
      <c r="AE180" s="437">
        <f t="shared" si="107"/>
        <v>0</v>
      </c>
      <c r="AF180" s="437">
        <f t="shared" si="108"/>
        <v>0</v>
      </c>
      <c r="AG180" s="437">
        <f t="shared" si="109"/>
        <v>0</v>
      </c>
      <c r="AH180" s="437">
        <f t="shared" si="110"/>
        <v>0</v>
      </c>
      <c r="AI180" s="437">
        <f t="shared" si="111"/>
        <v>0</v>
      </c>
      <c r="AJ180" s="437">
        <f t="shared" si="112"/>
        <v>0</v>
      </c>
      <c r="AK180" s="437">
        <f t="shared" si="113"/>
        <v>0</v>
      </c>
      <c r="AL180" s="437">
        <f t="shared" si="114"/>
        <v>0</v>
      </c>
      <c r="AM180" s="437">
        <f t="shared" si="115"/>
        <v>0</v>
      </c>
      <c r="AN180" s="437">
        <f t="shared" si="116"/>
        <v>0</v>
      </c>
      <c r="AO180" s="438">
        <f t="shared" si="117"/>
        <v>0</v>
      </c>
      <c r="AQ180" s="428">
        <v>0</v>
      </c>
      <c r="AR180" s="429">
        <v>0</v>
      </c>
      <c r="AS180" s="429">
        <v>0</v>
      </c>
      <c r="AT180" s="429">
        <v>0</v>
      </c>
      <c r="AU180" s="429">
        <v>0</v>
      </c>
      <c r="AV180" s="429">
        <v>0</v>
      </c>
      <c r="AW180" s="429">
        <v>0</v>
      </c>
      <c r="AX180" s="429">
        <v>0</v>
      </c>
      <c r="AY180" s="429">
        <v>0</v>
      </c>
      <c r="AZ180" s="429">
        <v>0</v>
      </c>
      <c r="BA180" s="429">
        <v>0</v>
      </c>
      <c r="BB180" s="429">
        <v>0</v>
      </c>
      <c r="BC180" s="431">
        <v>0</v>
      </c>
      <c r="BD180" s="428">
        <v>0</v>
      </c>
      <c r="BE180" s="429">
        <v>0</v>
      </c>
      <c r="BF180" s="429">
        <v>0</v>
      </c>
      <c r="BG180" s="429">
        <v>0</v>
      </c>
      <c r="BH180" s="429">
        <v>0</v>
      </c>
      <c r="BI180" s="429">
        <v>0</v>
      </c>
      <c r="BJ180" s="429">
        <v>0</v>
      </c>
      <c r="BK180" s="429">
        <v>0</v>
      </c>
      <c r="BL180" s="429">
        <v>0</v>
      </c>
      <c r="BM180" s="429">
        <v>0</v>
      </c>
      <c r="BN180" s="429">
        <v>0</v>
      </c>
      <c r="BO180" s="429">
        <v>0</v>
      </c>
      <c r="BP180" s="431">
        <v>0</v>
      </c>
      <c r="BQ180" s="428">
        <v>0</v>
      </c>
      <c r="BR180" s="429">
        <v>0</v>
      </c>
      <c r="BS180" s="429">
        <v>0</v>
      </c>
      <c r="BT180" s="429">
        <v>0</v>
      </c>
      <c r="BU180" s="429">
        <v>0</v>
      </c>
      <c r="BV180" s="429">
        <v>0</v>
      </c>
      <c r="BW180" s="429">
        <v>0</v>
      </c>
      <c r="BX180" s="429">
        <v>0</v>
      </c>
      <c r="BY180" s="429">
        <v>0</v>
      </c>
      <c r="BZ180" s="429">
        <v>0</v>
      </c>
      <c r="CA180" s="429">
        <v>0</v>
      </c>
      <c r="CB180" s="429">
        <v>0</v>
      </c>
      <c r="CC180" s="431">
        <v>0</v>
      </c>
    </row>
    <row r="181" spans="1:81">
      <c r="A181" s="445"/>
      <c r="B181" s="445"/>
      <c r="C181" s="446"/>
      <c r="D181" s="447"/>
      <c r="E181" s="447"/>
      <c r="F181" s="447"/>
      <c r="G181" s="447"/>
      <c r="H181" s="447"/>
      <c r="I181" s="447"/>
      <c r="J181" s="447"/>
      <c r="K181" s="447"/>
      <c r="L181" s="447"/>
      <c r="M181" s="447"/>
      <c r="N181" s="447"/>
      <c r="O181" s="448"/>
      <c r="P181" s="449"/>
      <c r="Q181" s="447"/>
      <c r="R181" s="447"/>
      <c r="S181" s="447"/>
      <c r="T181" s="447"/>
      <c r="U181" s="447"/>
      <c r="V181" s="447"/>
      <c r="W181" s="447"/>
      <c r="X181" s="447"/>
      <c r="Y181" s="447"/>
      <c r="Z181" s="447"/>
      <c r="AA181" s="447"/>
      <c r="AB181" s="448"/>
      <c r="AC181" s="449"/>
      <c r="AD181" s="447"/>
      <c r="AE181" s="447"/>
      <c r="AF181" s="447"/>
      <c r="AG181" s="447"/>
      <c r="AH181" s="447"/>
      <c r="AI181" s="447"/>
      <c r="AJ181" s="447"/>
      <c r="AK181" s="447"/>
      <c r="AL181" s="447"/>
      <c r="AM181" s="447"/>
      <c r="AN181" s="447"/>
      <c r="AO181" s="448"/>
      <c r="AQ181" s="450"/>
      <c r="AR181" s="451"/>
      <c r="AS181" s="451"/>
      <c r="AT181" s="451"/>
      <c r="AU181" s="451"/>
      <c r="AV181" s="451"/>
      <c r="AW181" s="451"/>
      <c r="AX181" s="451"/>
      <c r="AY181" s="451"/>
      <c r="AZ181" s="451"/>
      <c r="BA181" s="451"/>
      <c r="BB181" s="451"/>
      <c r="BC181" s="452"/>
      <c r="BD181" s="453"/>
      <c r="BE181" s="451"/>
      <c r="BF181" s="451"/>
      <c r="BG181" s="451"/>
      <c r="BH181" s="451"/>
      <c r="BI181" s="451"/>
      <c r="BJ181" s="451"/>
      <c r="BK181" s="451"/>
      <c r="BL181" s="451"/>
      <c r="BM181" s="451"/>
      <c r="BN181" s="451"/>
      <c r="BO181" s="451"/>
      <c r="BP181" s="452"/>
      <c r="BQ181" s="453"/>
      <c r="BR181" s="451"/>
      <c r="BS181" s="451"/>
      <c r="BT181" s="451"/>
      <c r="BU181" s="451"/>
      <c r="BV181" s="451"/>
      <c r="BW181" s="451"/>
      <c r="BX181" s="451"/>
      <c r="BY181" s="451"/>
      <c r="BZ181" s="451"/>
      <c r="CA181" s="451"/>
      <c r="CB181" s="451"/>
      <c r="CC181" s="452"/>
    </row>
    <row r="182" spans="1:81">
      <c r="B182" s="456" t="s">
        <v>199</v>
      </c>
      <c r="C182" s="436"/>
      <c r="D182" s="437"/>
      <c r="E182" s="437"/>
      <c r="F182" s="437"/>
      <c r="G182" s="437"/>
      <c r="H182" s="437"/>
      <c r="I182" s="437"/>
      <c r="J182" s="437"/>
      <c r="K182" s="437"/>
      <c r="L182" s="437"/>
      <c r="M182" s="437"/>
      <c r="N182" s="437"/>
      <c r="O182" s="438"/>
      <c r="P182" s="439"/>
      <c r="Q182" s="437"/>
      <c r="R182" s="437"/>
      <c r="S182" s="437"/>
      <c r="T182" s="437"/>
      <c r="U182" s="437"/>
      <c r="V182" s="437"/>
      <c r="W182" s="437"/>
      <c r="X182" s="437"/>
      <c r="Y182" s="437"/>
      <c r="Z182" s="437"/>
      <c r="AA182" s="437"/>
      <c r="AB182" s="438"/>
      <c r="AC182" s="439"/>
      <c r="AD182" s="437"/>
      <c r="AE182" s="437"/>
      <c r="AF182" s="437"/>
      <c r="AG182" s="437"/>
      <c r="AH182" s="437"/>
      <c r="AI182" s="437"/>
      <c r="AJ182" s="437"/>
      <c r="AK182" s="437"/>
      <c r="AL182" s="437"/>
      <c r="AM182" s="437"/>
      <c r="AN182" s="437"/>
      <c r="AO182" s="438"/>
      <c r="AQ182" s="428"/>
      <c r="AR182" s="429"/>
      <c r="AS182" s="429"/>
      <c r="AT182" s="429"/>
      <c r="AU182" s="429"/>
      <c r="AV182" s="429"/>
      <c r="AW182" s="429"/>
      <c r="AX182" s="429"/>
      <c r="AY182" s="429"/>
      <c r="AZ182" s="429"/>
      <c r="BA182" s="429"/>
      <c r="BB182" s="429"/>
      <c r="BC182" s="431"/>
      <c r="BD182" s="428"/>
      <c r="BE182" s="429"/>
      <c r="BF182" s="429"/>
      <c r="BG182" s="429"/>
      <c r="BH182" s="429"/>
      <c r="BI182" s="429"/>
      <c r="BJ182" s="429"/>
      <c r="BK182" s="429"/>
      <c r="BL182" s="429"/>
      <c r="BM182" s="429"/>
      <c r="BN182" s="429"/>
      <c r="BO182" s="429"/>
      <c r="BP182" s="431"/>
      <c r="BQ182" s="428"/>
      <c r="BR182" s="429"/>
      <c r="BS182" s="429"/>
      <c r="BT182" s="429"/>
      <c r="BU182" s="429"/>
      <c r="BV182" s="429"/>
      <c r="BW182" s="429"/>
      <c r="BX182" s="429"/>
      <c r="BY182" s="429"/>
      <c r="BZ182" s="429"/>
      <c r="CA182" s="429"/>
      <c r="CB182" s="429"/>
      <c r="CC182" s="431"/>
    </row>
    <row r="183" spans="1:81">
      <c r="A183" s="420" t="s">
        <v>199</v>
      </c>
      <c r="B183" s="420" t="s">
        <v>175</v>
      </c>
      <c r="C183" s="436">
        <f t="shared" si="79"/>
        <v>1141.2162162162163</v>
      </c>
      <c r="D183" s="437">
        <f t="shared" si="80"/>
        <v>871.76315789473688</v>
      </c>
      <c r="E183" s="437">
        <f t="shared" si="81"/>
        <v>875.97222222222217</v>
      </c>
      <c r="F183" s="437">
        <f t="shared" si="82"/>
        <v>809.55555555555554</v>
      </c>
      <c r="G183" s="437">
        <f t="shared" si="83"/>
        <v>659.48571428571427</v>
      </c>
      <c r="H183" s="437">
        <f t="shared" si="84"/>
        <v>652.94285714285718</v>
      </c>
      <c r="I183" s="437">
        <f t="shared" si="85"/>
        <v>677.2285714285714</v>
      </c>
      <c r="J183" s="437">
        <f t="shared" si="86"/>
        <v>708.14285714285711</v>
      </c>
      <c r="K183" s="437">
        <f t="shared" si="87"/>
        <v>711.08571428571429</v>
      </c>
      <c r="L183" s="437">
        <f t="shared" si="88"/>
        <v>713.02702702702697</v>
      </c>
      <c r="M183" s="437">
        <f t="shared" si="89"/>
        <v>767.64864864864865</v>
      </c>
      <c r="N183" s="437">
        <f t="shared" si="90"/>
        <v>870.38888888888891</v>
      </c>
      <c r="O183" s="438">
        <f t="shared" si="91"/>
        <v>790.41898148148152</v>
      </c>
      <c r="P183" s="439">
        <f t="shared" si="92"/>
        <v>1131.75</v>
      </c>
      <c r="Q183" s="437">
        <f t="shared" si="93"/>
        <v>1239.9722222222222</v>
      </c>
      <c r="R183" s="437">
        <f t="shared" si="94"/>
        <v>988.24324324324323</v>
      </c>
      <c r="S183" s="437">
        <f t="shared" si="95"/>
        <v>780.21621621621625</v>
      </c>
      <c r="T183" s="437">
        <f t="shared" si="96"/>
        <v>742.69444444444446</v>
      </c>
      <c r="U183" s="437">
        <f t="shared" si="97"/>
        <v>818.63888888888891</v>
      </c>
      <c r="V183" s="437">
        <f t="shared" si="98"/>
        <v>626.08333333333337</v>
      </c>
      <c r="W183" s="437">
        <f t="shared" si="99"/>
        <v>678.28571428571433</v>
      </c>
      <c r="X183" s="437">
        <f t="shared" si="100"/>
        <v>614.16216216216219</v>
      </c>
      <c r="Y183" s="437">
        <f t="shared" si="101"/>
        <v>609.25</v>
      </c>
      <c r="Z183" s="437">
        <f t="shared" si="102"/>
        <v>857.10810810810813</v>
      </c>
      <c r="AA183" s="437">
        <f t="shared" si="103"/>
        <v>845.08333333333337</v>
      </c>
      <c r="AB183" s="438">
        <f t="shared" si="104"/>
        <v>827.80459770114942</v>
      </c>
      <c r="AC183" s="439">
        <f t="shared" si="105"/>
        <v>1105.6756756756756</v>
      </c>
      <c r="AD183" s="437">
        <f t="shared" si="106"/>
        <v>778.48648648648646</v>
      </c>
      <c r="AE183" s="437">
        <f t="shared" si="107"/>
        <v>837.08108108108104</v>
      </c>
      <c r="AF183" s="437">
        <f t="shared" si="108"/>
        <v>834.34210526315792</v>
      </c>
      <c r="AG183" s="437">
        <f t="shared" si="109"/>
        <v>729.48717948717945</v>
      </c>
      <c r="AH183" s="437">
        <f t="shared" si="110"/>
        <v>746.81578947368416</v>
      </c>
      <c r="AI183" s="437">
        <f t="shared" si="111"/>
        <v>770.57894736842104</v>
      </c>
      <c r="AJ183" s="437">
        <f t="shared" si="112"/>
        <v>609.625</v>
      </c>
      <c r="AK183" s="437">
        <f t="shared" si="113"/>
        <v>686.68421052631584</v>
      </c>
      <c r="AL183" s="437">
        <f t="shared" si="114"/>
        <v>851.21052631578948</v>
      </c>
      <c r="AM183" s="437">
        <f t="shared" si="115"/>
        <v>748.92105263157896</v>
      </c>
      <c r="AN183" s="437">
        <f t="shared" si="116"/>
        <v>803.9</v>
      </c>
      <c r="AO183" s="438">
        <f t="shared" si="117"/>
        <v>790.26637554585147</v>
      </c>
      <c r="AQ183" s="428">
        <v>1141.2162162162163</v>
      </c>
      <c r="AR183" s="429">
        <v>871.76315789473688</v>
      </c>
      <c r="AS183" s="429">
        <v>875.97222222222217</v>
      </c>
      <c r="AT183" s="429">
        <v>809.55555555555554</v>
      </c>
      <c r="AU183" s="429">
        <v>659.48571428571427</v>
      </c>
      <c r="AV183" s="429">
        <v>652.94285714285718</v>
      </c>
      <c r="AW183" s="429">
        <v>677.2285714285714</v>
      </c>
      <c r="AX183" s="429">
        <v>708.14285714285711</v>
      </c>
      <c r="AY183" s="429">
        <v>711.08571428571429</v>
      </c>
      <c r="AZ183" s="429">
        <v>713.02702702702697</v>
      </c>
      <c r="BA183" s="429">
        <v>767.64864864864865</v>
      </c>
      <c r="BB183" s="429">
        <v>870.38888888888891</v>
      </c>
      <c r="BC183" s="431">
        <v>790.41898148148152</v>
      </c>
      <c r="BD183" s="428">
        <v>1131.75</v>
      </c>
      <c r="BE183" s="429">
        <v>1239.9722222222222</v>
      </c>
      <c r="BF183" s="429">
        <v>988.24324324324323</v>
      </c>
      <c r="BG183" s="429">
        <v>780.21621621621625</v>
      </c>
      <c r="BH183" s="429">
        <v>742.69444444444446</v>
      </c>
      <c r="BI183" s="429">
        <v>818.63888888888891</v>
      </c>
      <c r="BJ183" s="429">
        <v>626.08333333333337</v>
      </c>
      <c r="BK183" s="429">
        <v>678.28571428571433</v>
      </c>
      <c r="BL183" s="429">
        <v>614.16216216216219</v>
      </c>
      <c r="BM183" s="429">
        <v>609.25</v>
      </c>
      <c r="BN183" s="429">
        <v>857.10810810810813</v>
      </c>
      <c r="BO183" s="429">
        <v>845.08333333333337</v>
      </c>
      <c r="BP183" s="431">
        <v>827.80459770114942</v>
      </c>
      <c r="BQ183" s="428">
        <v>1105.6756756756756</v>
      </c>
      <c r="BR183" s="429">
        <v>778.48648648648646</v>
      </c>
      <c r="BS183" s="429">
        <v>837.08108108108104</v>
      </c>
      <c r="BT183" s="429">
        <v>834.34210526315792</v>
      </c>
      <c r="BU183" s="429">
        <v>729.48717948717945</v>
      </c>
      <c r="BV183" s="429">
        <v>746.81578947368416</v>
      </c>
      <c r="BW183" s="429">
        <v>770.57894736842104</v>
      </c>
      <c r="BX183" s="429">
        <v>609.625</v>
      </c>
      <c r="BY183" s="429">
        <v>686.68421052631584</v>
      </c>
      <c r="BZ183" s="429">
        <v>851.21052631578948</v>
      </c>
      <c r="CA183" s="429">
        <v>748.92105263157896</v>
      </c>
      <c r="CB183" s="429">
        <v>803.9</v>
      </c>
      <c r="CC183" s="431">
        <v>790.26637554585147</v>
      </c>
    </row>
    <row r="184" spans="1:81">
      <c r="A184" s="420" t="s">
        <v>199</v>
      </c>
      <c r="B184" s="420" t="s">
        <v>176</v>
      </c>
      <c r="C184" s="436">
        <f t="shared" si="79"/>
        <v>588.31578947368416</v>
      </c>
      <c r="D184" s="437">
        <f t="shared" si="80"/>
        <v>0</v>
      </c>
      <c r="E184" s="437">
        <f t="shared" si="81"/>
        <v>0</v>
      </c>
      <c r="F184" s="437">
        <f t="shared" si="82"/>
        <v>664.07692307692309</v>
      </c>
      <c r="G184" s="437">
        <f t="shared" si="83"/>
        <v>0</v>
      </c>
      <c r="H184" s="437">
        <f t="shared" si="84"/>
        <v>0</v>
      </c>
      <c r="I184" s="437">
        <f t="shared" si="85"/>
        <v>429.94444444444446</v>
      </c>
      <c r="J184" s="437">
        <f t="shared" si="86"/>
        <v>0</v>
      </c>
      <c r="K184" s="437">
        <f t="shared" si="87"/>
        <v>0</v>
      </c>
      <c r="L184" s="437">
        <f t="shared" si="88"/>
        <v>582.19047619047615</v>
      </c>
      <c r="M184" s="499">
        <f>IF(BA184&lt;0,0,BA184)*0</f>
        <v>0</v>
      </c>
      <c r="N184" s="500">
        <f t="shared" si="90"/>
        <v>0</v>
      </c>
      <c r="O184" s="501">
        <f t="shared" si="91"/>
        <v>531.50666666666666</v>
      </c>
      <c r="P184" s="436">
        <f t="shared" si="92"/>
        <v>713.70588235294122</v>
      </c>
      <c r="Q184" s="500">
        <f t="shared" si="93"/>
        <v>0</v>
      </c>
      <c r="R184" s="500">
        <f t="shared" si="94"/>
        <v>0</v>
      </c>
      <c r="S184" s="500">
        <f t="shared" si="95"/>
        <v>653.5</v>
      </c>
      <c r="T184" s="500">
        <f t="shared" si="96"/>
        <v>0</v>
      </c>
      <c r="U184" s="500">
        <f t="shared" si="97"/>
        <v>0</v>
      </c>
      <c r="V184" s="500">
        <f t="shared" si="98"/>
        <v>439.94117647058823</v>
      </c>
      <c r="W184" s="499">
        <f>IF(BK184&lt;0,0,BK184)*0</f>
        <v>0</v>
      </c>
      <c r="X184" s="499">
        <f>IF(BL184&lt;0,0,BL184)*0</f>
        <v>0</v>
      </c>
      <c r="Y184" s="500">
        <f t="shared" si="101"/>
        <v>628.31578947368416</v>
      </c>
      <c r="Z184" s="499">
        <f>IF(BN184&lt;0,0,BN184)*0</f>
        <v>0</v>
      </c>
      <c r="AA184" s="500">
        <f t="shared" si="103"/>
        <v>0</v>
      </c>
      <c r="AB184" s="501">
        <f t="shared" si="104"/>
        <v>608.71428571428567</v>
      </c>
      <c r="AC184" s="436">
        <f t="shared" si="105"/>
        <v>601.875</v>
      </c>
      <c r="AD184" s="500">
        <f t="shared" si="106"/>
        <v>0</v>
      </c>
      <c r="AE184" s="500">
        <f t="shared" si="107"/>
        <v>0</v>
      </c>
      <c r="AF184" s="500">
        <f t="shared" si="108"/>
        <v>719.78571428571433</v>
      </c>
      <c r="AG184" s="437">
        <f t="shared" si="109"/>
        <v>0</v>
      </c>
      <c r="AH184" s="437">
        <f t="shared" si="110"/>
        <v>0</v>
      </c>
      <c r="AI184" s="437">
        <f t="shared" si="111"/>
        <v>602.25</v>
      </c>
      <c r="AJ184" s="437">
        <f t="shared" si="112"/>
        <v>0</v>
      </c>
      <c r="AK184" s="437">
        <f t="shared" si="113"/>
        <v>0</v>
      </c>
      <c r="AL184" s="437">
        <f t="shared" si="114"/>
        <v>651.64705882352939</v>
      </c>
      <c r="AM184" s="437">
        <f t="shared" si="115"/>
        <v>0</v>
      </c>
      <c r="AN184" s="437">
        <f t="shared" si="116"/>
        <v>0</v>
      </c>
      <c r="AO184" s="438">
        <f t="shared" si="117"/>
        <v>641.60317460317458</v>
      </c>
      <c r="AQ184" s="428">
        <v>588.31578947368416</v>
      </c>
      <c r="AR184" s="429">
        <v>0</v>
      </c>
      <c r="AS184" s="429">
        <v>0</v>
      </c>
      <c r="AT184" s="429">
        <v>664.07692307692309</v>
      </c>
      <c r="AU184" s="429">
        <v>-77</v>
      </c>
      <c r="AV184" s="429">
        <v>0</v>
      </c>
      <c r="AW184" s="429">
        <v>429.94444444444446</v>
      </c>
      <c r="AX184" s="429">
        <v>0</v>
      </c>
      <c r="AY184" s="429">
        <v>0</v>
      </c>
      <c r="AZ184" s="429">
        <v>582.19047619047615</v>
      </c>
      <c r="BA184" s="429">
        <v>120.5</v>
      </c>
      <c r="BB184" s="429">
        <v>0</v>
      </c>
      <c r="BC184" s="431">
        <v>531.50666666666666</v>
      </c>
      <c r="BD184" s="428">
        <v>713.70588235294122</v>
      </c>
      <c r="BE184" s="429">
        <v>0</v>
      </c>
      <c r="BF184" s="429">
        <v>0</v>
      </c>
      <c r="BG184" s="429">
        <v>653.5</v>
      </c>
      <c r="BH184" s="429">
        <v>0</v>
      </c>
      <c r="BI184" s="429">
        <v>0</v>
      </c>
      <c r="BJ184" s="429">
        <v>439.94117647058823</v>
      </c>
      <c r="BK184" s="429">
        <v>1068</v>
      </c>
      <c r="BL184" s="429">
        <v>619</v>
      </c>
      <c r="BM184" s="429">
        <v>628.31578947368416</v>
      </c>
      <c r="BN184" s="429">
        <v>224</v>
      </c>
      <c r="BO184" s="429">
        <v>0</v>
      </c>
      <c r="BP184" s="431">
        <v>608.71428571428567</v>
      </c>
      <c r="BQ184" s="428">
        <v>601.875</v>
      </c>
      <c r="BR184" s="429">
        <v>0</v>
      </c>
      <c r="BS184" s="429">
        <v>0</v>
      </c>
      <c r="BT184" s="429">
        <v>719.78571428571433</v>
      </c>
      <c r="BU184" s="429">
        <v>0</v>
      </c>
      <c r="BV184" s="429">
        <v>0</v>
      </c>
      <c r="BW184" s="429">
        <v>602.25</v>
      </c>
      <c r="BX184" s="429">
        <v>0</v>
      </c>
      <c r="BY184" s="429">
        <v>0</v>
      </c>
      <c r="BZ184" s="429">
        <v>651.64705882352939</v>
      </c>
      <c r="CA184" s="429">
        <v>0</v>
      </c>
      <c r="CB184" s="429">
        <v>0</v>
      </c>
      <c r="CC184" s="431">
        <v>641.60317460317458</v>
      </c>
    </row>
    <row r="185" spans="1:81">
      <c r="A185" s="420" t="s">
        <v>199</v>
      </c>
      <c r="B185" s="420" t="s">
        <v>177</v>
      </c>
      <c r="C185" s="436">
        <f t="shared" si="79"/>
        <v>2252</v>
      </c>
      <c r="D185" s="437">
        <f t="shared" si="80"/>
        <v>1800.4444444444443</v>
      </c>
      <c r="E185" s="437">
        <f t="shared" si="81"/>
        <v>1634.2222222222222</v>
      </c>
      <c r="F185" s="437">
        <f t="shared" si="82"/>
        <v>1511.2222222222222</v>
      </c>
      <c r="G185" s="437">
        <f t="shared" si="83"/>
        <v>1021.7777777777778</v>
      </c>
      <c r="H185" s="437">
        <f t="shared" si="84"/>
        <v>723.11111111111109</v>
      </c>
      <c r="I185" s="437">
        <f t="shared" si="85"/>
        <v>647.33333333333337</v>
      </c>
      <c r="J185" s="437">
        <f t="shared" si="86"/>
        <v>634.33333333333337</v>
      </c>
      <c r="K185" s="437">
        <f t="shared" si="87"/>
        <v>603.11111111111109</v>
      </c>
      <c r="L185" s="437">
        <f t="shared" si="88"/>
        <v>663.22222222222217</v>
      </c>
      <c r="M185" s="500">
        <f t="shared" si="89"/>
        <v>823</v>
      </c>
      <c r="N185" s="500">
        <f t="shared" si="90"/>
        <v>1251.8888888888889</v>
      </c>
      <c r="O185" s="501">
        <f t="shared" si="91"/>
        <v>1130.4722222222222</v>
      </c>
      <c r="P185" s="436">
        <f t="shared" si="92"/>
        <v>1709.75</v>
      </c>
      <c r="Q185" s="500">
        <f t="shared" si="93"/>
        <v>2186.7777777777778</v>
      </c>
      <c r="R185" s="500">
        <f t="shared" si="94"/>
        <v>1624.8888888888889</v>
      </c>
      <c r="S185" s="500">
        <f t="shared" si="95"/>
        <v>1055.5555555555557</v>
      </c>
      <c r="T185" s="500">
        <f t="shared" si="96"/>
        <v>842.55555555555554</v>
      </c>
      <c r="U185" s="500">
        <f t="shared" si="97"/>
        <v>725.33333333333337</v>
      </c>
      <c r="V185" s="500">
        <f t="shared" si="98"/>
        <v>641.125</v>
      </c>
      <c r="W185" s="500">
        <f t="shared" si="99"/>
        <v>552.88888888888891</v>
      </c>
      <c r="X185" s="500">
        <f t="shared" si="100"/>
        <v>649.25</v>
      </c>
      <c r="Y185" s="500">
        <f t="shared" si="101"/>
        <v>539.77777777777783</v>
      </c>
      <c r="Z185" s="500">
        <f t="shared" si="102"/>
        <v>1131.875</v>
      </c>
      <c r="AA185" s="500">
        <f t="shared" si="103"/>
        <v>1459.5</v>
      </c>
      <c r="AB185" s="501">
        <f t="shared" si="104"/>
        <v>1092.0582524271845</v>
      </c>
      <c r="AC185" s="436">
        <f t="shared" si="105"/>
        <v>2035.75</v>
      </c>
      <c r="AD185" s="500">
        <f t="shared" si="106"/>
        <v>1722</v>
      </c>
      <c r="AE185" s="500">
        <f t="shared" si="107"/>
        <v>1891.8571428571429</v>
      </c>
      <c r="AF185" s="500">
        <f t="shared" si="108"/>
        <v>1372.7142857142858</v>
      </c>
      <c r="AG185" s="437">
        <f t="shared" si="109"/>
        <v>968</v>
      </c>
      <c r="AH185" s="437">
        <f t="shared" si="110"/>
        <v>838.625</v>
      </c>
      <c r="AI185" s="437">
        <f t="shared" si="111"/>
        <v>787.625</v>
      </c>
      <c r="AJ185" s="437">
        <f t="shared" si="112"/>
        <v>732</v>
      </c>
      <c r="AK185" s="437">
        <f t="shared" si="113"/>
        <v>611.66666666666663</v>
      </c>
      <c r="AL185" s="437">
        <f t="shared" si="114"/>
        <v>723.66666666666663</v>
      </c>
      <c r="AM185" s="437">
        <f t="shared" si="115"/>
        <v>1092.5714285714287</v>
      </c>
      <c r="AN185" s="437">
        <f t="shared" si="116"/>
        <v>1185.5</v>
      </c>
      <c r="AO185" s="438">
        <f t="shared" si="117"/>
        <v>1137.7872340425531</v>
      </c>
      <c r="AQ185" s="428">
        <v>2252</v>
      </c>
      <c r="AR185" s="429">
        <v>1800.4444444444443</v>
      </c>
      <c r="AS185" s="429">
        <v>1634.2222222222222</v>
      </c>
      <c r="AT185" s="429">
        <v>1511.2222222222222</v>
      </c>
      <c r="AU185" s="429">
        <v>1021.7777777777778</v>
      </c>
      <c r="AV185" s="429">
        <v>723.11111111111109</v>
      </c>
      <c r="AW185" s="429">
        <v>647.33333333333337</v>
      </c>
      <c r="AX185" s="429">
        <v>634.33333333333337</v>
      </c>
      <c r="AY185" s="429">
        <v>603.11111111111109</v>
      </c>
      <c r="AZ185" s="429">
        <v>663.22222222222217</v>
      </c>
      <c r="BA185" s="429">
        <v>823</v>
      </c>
      <c r="BB185" s="429">
        <v>1251.8888888888889</v>
      </c>
      <c r="BC185" s="431">
        <v>1130.4722222222222</v>
      </c>
      <c r="BD185" s="428">
        <v>1709.75</v>
      </c>
      <c r="BE185" s="429">
        <v>2186.7777777777778</v>
      </c>
      <c r="BF185" s="429">
        <v>1624.8888888888889</v>
      </c>
      <c r="BG185" s="429">
        <v>1055.5555555555557</v>
      </c>
      <c r="BH185" s="429">
        <v>842.55555555555554</v>
      </c>
      <c r="BI185" s="429">
        <v>725.33333333333337</v>
      </c>
      <c r="BJ185" s="429">
        <v>641.125</v>
      </c>
      <c r="BK185" s="429">
        <v>552.88888888888891</v>
      </c>
      <c r="BL185" s="429">
        <v>649.25</v>
      </c>
      <c r="BM185" s="429">
        <v>539.77777777777783</v>
      </c>
      <c r="BN185" s="429">
        <v>1131.875</v>
      </c>
      <c r="BO185" s="429">
        <v>1459.5</v>
      </c>
      <c r="BP185" s="431">
        <v>1092.0582524271845</v>
      </c>
      <c r="BQ185" s="428">
        <v>2035.75</v>
      </c>
      <c r="BR185" s="429">
        <v>1722</v>
      </c>
      <c r="BS185" s="429">
        <v>1891.8571428571429</v>
      </c>
      <c r="BT185" s="429">
        <v>1372.7142857142858</v>
      </c>
      <c r="BU185" s="429">
        <v>968</v>
      </c>
      <c r="BV185" s="429">
        <v>838.625</v>
      </c>
      <c r="BW185" s="429">
        <v>787.625</v>
      </c>
      <c r="BX185" s="429">
        <v>732</v>
      </c>
      <c r="BY185" s="429">
        <v>611.66666666666663</v>
      </c>
      <c r="BZ185" s="429">
        <v>723.66666666666663</v>
      </c>
      <c r="CA185" s="429">
        <v>1092.5714285714287</v>
      </c>
      <c r="CB185" s="429">
        <v>1185.5</v>
      </c>
      <c r="CC185" s="431">
        <v>1137.7872340425531</v>
      </c>
    </row>
    <row r="186" spans="1:81">
      <c r="A186" s="420" t="s">
        <v>199</v>
      </c>
      <c r="B186" s="420" t="s">
        <v>178</v>
      </c>
      <c r="C186" s="436">
        <f t="shared" si="79"/>
        <v>0</v>
      </c>
      <c r="D186" s="437">
        <f t="shared" si="80"/>
        <v>0</v>
      </c>
      <c r="E186" s="437">
        <f t="shared" si="81"/>
        <v>0</v>
      </c>
      <c r="F186" s="437">
        <f t="shared" si="82"/>
        <v>0</v>
      </c>
      <c r="G186" s="437">
        <f t="shared" si="83"/>
        <v>0</v>
      </c>
      <c r="H186" s="437">
        <f t="shared" si="84"/>
        <v>0</v>
      </c>
      <c r="I186" s="437">
        <f t="shared" si="85"/>
        <v>0</v>
      </c>
      <c r="J186" s="437">
        <f t="shared" si="86"/>
        <v>0</v>
      </c>
      <c r="K186" s="437">
        <f t="shared" si="87"/>
        <v>0</v>
      </c>
      <c r="L186" s="437">
        <f t="shared" si="88"/>
        <v>0</v>
      </c>
      <c r="M186" s="500">
        <f t="shared" si="89"/>
        <v>0</v>
      </c>
      <c r="N186" s="500">
        <f t="shared" si="90"/>
        <v>0</v>
      </c>
      <c r="O186" s="501">
        <f t="shared" si="91"/>
        <v>0</v>
      </c>
      <c r="P186" s="436">
        <f t="shared" si="92"/>
        <v>0</v>
      </c>
      <c r="Q186" s="500">
        <f t="shared" si="93"/>
        <v>0</v>
      </c>
      <c r="R186" s="500">
        <f t="shared" si="94"/>
        <v>0</v>
      </c>
      <c r="S186" s="500">
        <f t="shared" si="95"/>
        <v>0</v>
      </c>
      <c r="T186" s="500">
        <f t="shared" si="96"/>
        <v>0</v>
      </c>
      <c r="U186" s="500">
        <f t="shared" si="97"/>
        <v>0</v>
      </c>
      <c r="V186" s="500">
        <f t="shared" si="98"/>
        <v>0</v>
      </c>
      <c r="W186" s="500">
        <f t="shared" si="99"/>
        <v>0</v>
      </c>
      <c r="X186" s="500">
        <f t="shared" si="100"/>
        <v>0</v>
      </c>
      <c r="Y186" s="500">
        <f t="shared" si="101"/>
        <v>0</v>
      </c>
      <c r="Z186" s="500">
        <f t="shared" si="102"/>
        <v>0</v>
      </c>
      <c r="AA186" s="500">
        <f t="shared" si="103"/>
        <v>0</v>
      </c>
      <c r="AB186" s="501">
        <f t="shared" si="104"/>
        <v>0</v>
      </c>
      <c r="AC186" s="436">
        <f t="shared" si="105"/>
        <v>0</v>
      </c>
      <c r="AD186" s="500">
        <f t="shared" si="106"/>
        <v>0</v>
      </c>
      <c r="AE186" s="500">
        <f t="shared" si="107"/>
        <v>0</v>
      </c>
      <c r="AF186" s="500">
        <f t="shared" si="108"/>
        <v>0</v>
      </c>
      <c r="AG186" s="437">
        <f t="shared" si="109"/>
        <v>0</v>
      </c>
      <c r="AH186" s="437">
        <f t="shared" si="110"/>
        <v>0</v>
      </c>
      <c r="AI186" s="437">
        <f t="shared" si="111"/>
        <v>0</v>
      </c>
      <c r="AJ186" s="437">
        <f t="shared" si="112"/>
        <v>0</v>
      </c>
      <c r="AK186" s="437">
        <f t="shared" si="113"/>
        <v>0</v>
      </c>
      <c r="AL186" s="437">
        <f t="shared" si="114"/>
        <v>0</v>
      </c>
      <c r="AM186" s="437">
        <f t="shared" si="115"/>
        <v>0</v>
      </c>
      <c r="AN186" s="437">
        <f t="shared" si="116"/>
        <v>0</v>
      </c>
      <c r="AO186" s="438">
        <f t="shared" si="117"/>
        <v>0</v>
      </c>
      <c r="AQ186" s="428">
        <v>0</v>
      </c>
      <c r="AR186" s="429">
        <v>0</v>
      </c>
      <c r="AS186" s="429">
        <v>0</v>
      </c>
      <c r="AT186" s="429">
        <v>0</v>
      </c>
      <c r="AU186" s="429">
        <v>0</v>
      </c>
      <c r="AV186" s="429">
        <v>0</v>
      </c>
      <c r="AW186" s="429">
        <v>0</v>
      </c>
      <c r="AX186" s="429">
        <v>0</v>
      </c>
      <c r="AY186" s="429">
        <v>0</v>
      </c>
      <c r="AZ186" s="429">
        <v>0</v>
      </c>
      <c r="BA186" s="429">
        <v>0</v>
      </c>
      <c r="BB186" s="429">
        <v>0</v>
      </c>
      <c r="BC186" s="431">
        <v>0</v>
      </c>
      <c r="BD186" s="428">
        <v>0</v>
      </c>
      <c r="BE186" s="429">
        <v>0</v>
      </c>
      <c r="BF186" s="429">
        <v>0</v>
      </c>
      <c r="BG186" s="429">
        <v>0</v>
      </c>
      <c r="BH186" s="429">
        <v>0</v>
      </c>
      <c r="BI186" s="429">
        <v>0</v>
      </c>
      <c r="BJ186" s="429">
        <v>0</v>
      </c>
      <c r="BK186" s="429">
        <v>0</v>
      </c>
      <c r="BL186" s="429">
        <v>0</v>
      </c>
      <c r="BM186" s="429">
        <v>0</v>
      </c>
      <c r="BN186" s="429">
        <v>0</v>
      </c>
      <c r="BO186" s="429">
        <v>0</v>
      </c>
      <c r="BP186" s="431">
        <v>0</v>
      </c>
      <c r="BQ186" s="428">
        <v>0</v>
      </c>
      <c r="BR186" s="429">
        <v>0</v>
      </c>
      <c r="BS186" s="429">
        <v>0</v>
      </c>
      <c r="BT186" s="429">
        <v>0</v>
      </c>
      <c r="BU186" s="429">
        <v>0</v>
      </c>
      <c r="BV186" s="429">
        <v>0</v>
      </c>
      <c r="BW186" s="429">
        <v>0</v>
      </c>
      <c r="BX186" s="429">
        <v>0</v>
      </c>
      <c r="BY186" s="429">
        <v>0</v>
      </c>
      <c r="BZ186" s="429">
        <v>0</v>
      </c>
      <c r="CA186" s="429">
        <v>0</v>
      </c>
      <c r="CB186" s="429">
        <v>0</v>
      </c>
      <c r="CC186" s="431">
        <v>0</v>
      </c>
    </row>
    <row r="187" spans="1:81">
      <c r="A187" s="420" t="s">
        <v>199</v>
      </c>
      <c r="B187" s="420" t="s">
        <v>179</v>
      </c>
      <c r="C187" s="436">
        <f t="shared" si="79"/>
        <v>0</v>
      </c>
      <c r="D187" s="437">
        <f t="shared" si="80"/>
        <v>0</v>
      </c>
      <c r="E187" s="437">
        <f t="shared" si="81"/>
        <v>0</v>
      </c>
      <c r="F187" s="437">
        <f t="shared" si="82"/>
        <v>0</v>
      </c>
      <c r="G187" s="437">
        <f t="shared" si="83"/>
        <v>0</v>
      </c>
      <c r="H187" s="437">
        <f t="shared" si="84"/>
        <v>0</v>
      </c>
      <c r="I187" s="437">
        <f t="shared" si="85"/>
        <v>0</v>
      </c>
      <c r="J187" s="437">
        <f t="shared" si="86"/>
        <v>0</v>
      </c>
      <c r="K187" s="437">
        <f t="shared" si="87"/>
        <v>0</v>
      </c>
      <c r="L187" s="437">
        <f t="shared" si="88"/>
        <v>0</v>
      </c>
      <c r="M187" s="437">
        <f t="shared" si="89"/>
        <v>0</v>
      </c>
      <c r="N187" s="437">
        <f t="shared" si="90"/>
        <v>0</v>
      </c>
      <c r="O187" s="438">
        <f t="shared" si="91"/>
        <v>0</v>
      </c>
      <c r="P187" s="439">
        <f t="shared" si="92"/>
        <v>0</v>
      </c>
      <c r="Q187" s="437">
        <f t="shared" si="93"/>
        <v>0</v>
      </c>
      <c r="R187" s="437">
        <f t="shared" si="94"/>
        <v>0</v>
      </c>
      <c r="S187" s="437">
        <f t="shared" si="95"/>
        <v>0</v>
      </c>
      <c r="T187" s="437">
        <f t="shared" si="96"/>
        <v>0</v>
      </c>
      <c r="U187" s="437">
        <f t="shared" si="97"/>
        <v>0</v>
      </c>
      <c r="V187" s="437">
        <f t="shared" si="98"/>
        <v>0</v>
      </c>
      <c r="W187" s="437">
        <f t="shared" si="99"/>
        <v>0</v>
      </c>
      <c r="X187" s="437">
        <f t="shared" si="100"/>
        <v>0</v>
      </c>
      <c r="Y187" s="437">
        <f t="shared" si="101"/>
        <v>0</v>
      </c>
      <c r="Z187" s="437">
        <f t="shared" si="102"/>
        <v>0</v>
      </c>
      <c r="AA187" s="437">
        <f t="shared" si="103"/>
        <v>0</v>
      </c>
      <c r="AB187" s="438">
        <f t="shared" si="104"/>
        <v>0</v>
      </c>
      <c r="AC187" s="439">
        <f t="shared" si="105"/>
        <v>0</v>
      </c>
      <c r="AD187" s="437">
        <f t="shared" si="106"/>
        <v>0</v>
      </c>
      <c r="AE187" s="437">
        <f t="shared" si="107"/>
        <v>0</v>
      </c>
      <c r="AF187" s="437">
        <f t="shared" si="108"/>
        <v>0</v>
      </c>
      <c r="AG187" s="437">
        <f t="shared" si="109"/>
        <v>0</v>
      </c>
      <c r="AH187" s="437">
        <f t="shared" si="110"/>
        <v>0</v>
      </c>
      <c r="AI187" s="437">
        <f t="shared" si="111"/>
        <v>0</v>
      </c>
      <c r="AJ187" s="437">
        <f t="shared" si="112"/>
        <v>0</v>
      </c>
      <c r="AK187" s="437">
        <f t="shared" si="113"/>
        <v>0</v>
      </c>
      <c r="AL187" s="437">
        <f t="shared" si="114"/>
        <v>0</v>
      </c>
      <c r="AM187" s="437">
        <f t="shared" si="115"/>
        <v>0</v>
      </c>
      <c r="AN187" s="437">
        <f t="shared" si="116"/>
        <v>0</v>
      </c>
      <c r="AO187" s="438">
        <f t="shared" si="117"/>
        <v>0</v>
      </c>
      <c r="AQ187" s="428">
        <v>0</v>
      </c>
      <c r="AR187" s="429">
        <v>0</v>
      </c>
      <c r="AS187" s="429">
        <v>0</v>
      </c>
      <c r="AT187" s="429">
        <v>0</v>
      </c>
      <c r="AU187" s="429">
        <v>0</v>
      </c>
      <c r="AV187" s="429">
        <v>0</v>
      </c>
      <c r="AW187" s="429">
        <v>0</v>
      </c>
      <c r="AX187" s="429">
        <v>0</v>
      </c>
      <c r="AY187" s="429">
        <v>0</v>
      </c>
      <c r="AZ187" s="429">
        <v>0</v>
      </c>
      <c r="BA187" s="429">
        <v>0</v>
      </c>
      <c r="BB187" s="429">
        <v>0</v>
      </c>
      <c r="BC187" s="431">
        <v>0</v>
      </c>
      <c r="BD187" s="428">
        <v>0</v>
      </c>
      <c r="BE187" s="429">
        <v>0</v>
      </c>
      <c r="BF187" s="429">
        <v>0</v>
      </c>
      <c r="BG187" s="429">
        <v>0</v>
      </c>
      <c r="BH187" s="429">
        <v>0</v>
      </c>
      <c r="BI187" s="429">
        <v>0</v>
      </c>
      <c r="BJ187" s="429">
        <v>0</v>
      </c>
      <c r="BK187" s="429">
        <v>0</v>
      </c>
      <c r="BL187" s="429">
        <v>0</v>
      </c>
      <c r="BM187" s="429">
        <v>0</v>
      </c>
      <c r="BN187" s="429">
        <v>0</v>
      </c>
      <c r="BO187" s="429">
        <v>0</v>
      </c>
      <c r="BP187" s="431">
        <v>0</v>
      </c>
      <c r="BQ187" s="428">
        <v>0</v>
      </c>
      <c r="BR187" s="429">
        <v>0</v>
      </c>
      <c r="BS187" s="429">
        <v>0</v>
      </c>
      <c r="BT187" s="429">
        <v>0</v>
      </c>
      <c r="BU187" s="429">
        <v>0</v>
      </c>
      <c r="BV187" s="429">
        <v>0</v>
      </c>
      <c r="BW187" s="429">
        <v>0</v>
      </c>
      <c r="BX187" s="429">
        <v>0</v>
      </c>
      <c r="BY187" s="429">
        <v>0</v>
      </c>
      <c r="BZ187" s="429">
        <v>0</v>
      </c>
      <c r="CA187" s="429">
        <v>0</v>
      </c>
      <c r="CB187" s="429">
        <v>0</v>
      </c>
      <c r="CC187" s="431">
        <v>0</v>
      </c>
    </row>
    <row r="188" spans="1:81">
      <c r="A188" s="420" t="s">
        <v>199</v>
      </c>
      <c r="B188" s="420" t="s">
        <v>180</v>
      </c>
      <c r="C188" s="436">
        <f t="shared" si="79"/>
        <v>0</v>
      </c>
      <c r="D188" s="437">
        <f t="shared" si="80"/>
        <v>0</v>
      </c>
      <c r="E188" s="437">
        <f t="shared" si="81"/>
        <v>0</v>
      </c>
      <c r="F188" s="437">
        <f t="shared" si="82"/>
        <v>0</v>
      </c>
      <c r="G188" s="437">
        <f t="shared" si="83"/>
        <v>0</v>
      </c>
      <c r="H188" s="437">
        <f t="shared" si="84"/>
        <v>0</v>
      </c>
      <c r="I188" s="437">
        <f t="shared" si="85"/>
        <v>0</v>
      </c>
      <c r="J188" s="437">
        <f t="shared" si="86"/>
        <v>0</v>
      </c>
      <c r="K188" s="437">
        <f t="shared" si="87"/>
        <v>0</v>
      </c>
      <c r="L188" s="437">
        <f t="shared" si="88"/>
        <v>0</v>
      </c>
      <c r="M188" s="437">
        <f t="shared" si="89"/>
        <v>0</v>
      </c>
      <c r="N188" s="437">
        <f t="shared" si="90"/>
        <v>0</v>
      </c>
      <c r="O188" s="438">
        <f t="shared" si="91"/>
        <v>0</v>
      </c>
      <c r="P188" s="439">
        <f t="shared" si="92"/>
        <v>0</v>
      </c>
      <c r="Q188" s="437">
        <f t="shared" si="93"/>
        <v>0</v>
      </c>
      <c r="R188" s="437">
        <f t="shared" si="94"/>
        <v>0</v>
      </c>
      <c r="S188" s="437">
        <f t="shared" si="95"/>
        <v>0</v>
      </c>
      <c r="T188" s="437">
        <f t="shared" si="96"/>
        <v>0</v>
      </c>
      <c r="U188" s="437">
        <f t="shared" si="97"/>
        <v>0</v>
      </c>
      <c r="V188" s="437">
        <f t="shared" si="98"/>
        <v>0</v>
      </c>
      <c r="W188" s="437">
        <f t="shared" si="99"/>
        <v>0</v>
      </c>
      <c r="X188" s="437">
        <f t="shared" si="100"/>
        <v>0</v>
      </c>
      <c r="Y188" s="437">
        <f t="shared" si="101"/>
        <v>0</v>
      </c>
      <c r="Z188" s="437">
        <f t="shared" si="102"/>
        <v>0</v>
      </c>
      <c r="AA188" s="437">
        <f t="shared" si="103"/>
        <v>0</v>
      </c>
      <c r="AB188" s="438">
        <f t="shared" si="104"/>
        <v>0</v>
      </c>
      <c r="AC188" s="439">
        <f t="shared" si="105"/>
        <v>0</v>
      </c>
      <c r="AD188" s="437">
        <f t="shared" si="106"/>
        <v>0</v>
      </c>
      <c r="AE188" s="437">
        <f t="shared" si="107"/>
        <v>0</v>
      </c>
      <c r="AF188" s="437">
        <f t="shared" si="108"/>
        <v>0</v>
      </c>
      <c r="AG188" s="437">
        <f t="shared" si="109"/>
        <v>0</v>
      </c>
      <c r="AH188" s="437">
        <f t="shared" si="110"/>
        <v>0</v>
      </c>
      <c r="AI188" s="437">
        <f t="shared" si="111"/>
        <v>0</v>
      </c>
      <c r="AJ188" s="437">
        <f t="shared" si="112"/>
        <v>0</v>
      </c>
      <c r="AK188" s="437">
        <f t="shared" si="113"/>
        <v>0</v>
      </c>
      <c r="AL188" s="437">
        <f t="shared" si="114"/>
        <v>0</v>
      </c>
      <c r="AM188" s="437">
        <f t="shared" si="115"/>
        <v>0</v>
      </c>
      <c r="AN188" s="437">
        <f t="shared" si="116"/>
        <v>0</v>
      </c>
      <c r="AO188" s="438">
        <f t="shared" si="117"/>
        <v>0</v>
      </c>
      <c r="AQ188" s="428">
        <v>0</v>
      </c>
      <c r="AR188" s="429">
        <v>0</v>
      </c>
      <c r="AS188" s="429">
        <v>0</v>
      </c>
      <c r="AT188" s="429">
        <v>0</v>
      </c>
      <c r="AU188" s="429">
        <v>0</v>
      </c>
      <c r="AV188" s="429">
        <v>0</v>
      </c>
      <c r="AW188" s="429">
        <v>0</v>
      </c>
      <c r="AX188" s="429">
        <v>0</v>
      </c>
      <c r="AY188" s="429">
        <v>0</v>
      </c>
      <c r="AZ188" s="429">
        <v>0</v>
      </c>
      <c r="BA188" s="429">
        <v>0</v>
      </c>
      <c r="BB188" s="429">
        <v>0</v>
      </c>
      <c r="BC188" s="431">
        <v>0</v>
      </c>
      <c r="BD188" s="428">
        <v>0</v>
      </c>
      <c r="BE188" s="429">
        <v>0</v>
      </c>
      <c r="BF188" s="429">
        <v>0</v>
      </c>
      <c r="BG188" s="429">
        <v>0</v>
      </c>
      <c r="BH188" s="429">
        <v>0</v>
      </c>
      <c r="BI188" s="429">
        <v>0</v>
      </c>
      <c r="BJ188" s="429">
        <v>0</v>
      </c>
      <c r="BK188" s="429">
        <v>0</v>
      </c>
      <c r="BL188" s="429">
        <v>0</v>
      </c>
      <c r="BM188" s="429">
        <v>0</v>
      </c>
      <c r="BN188" s="429">
        <v>0</v>
      </c>
      <c r="BO188" s="429">
        <v>0</v>
      </c>
      <c r="BP188" s="431">
        <v>0</v>
      </c>
      <c r="BQ188" s="428">
        <v>0</v>
      </c>
      <c r="BR188" s="429">
        <v>0</v>
      </c>
      <c r="BS188" s="429">
        <v>0</v>
      </c>
      <c r="BT188" s="429">
        <v>0</v>
      </c>
      <c r="BU188" s="429">
        <v>0</v>
      </c>
      <c r="BV188" s="429">
        <v>0</v>
      </c>
      <c r="BW188" s="429">
        <v>0</v>
      </c>
      <c r="BX188" s="429">
        <v>0</v>
      </c>
      <c r="BY188" s="429">
        <v>0</v>
      </c>
      <c r="BZ188" s="429">
        <v>0</v>
      </c>
      <c r="CA188" s="429">
        <v>0</v>
      </c>
      <c r="CB188" s="429">
        <v>0</v>
      </c>
      <c r="CC188" s="431">
        <v>0</v>
      </c>
    </row>
    <row r="189" spans="1:81">
      <c r="A189" s="420" t="s">
        <v>199</v>
      </c>
      <c r="B189" s="420" t="s">
        <v>181</v>
      </c>
      <c r="C189" s="436">
        <f t="shared" si="79"/>
        <v>0</v>
      </c>
      <c r="D189" s="437">
        <f t="shared" si="80"/>
        <v>0</v>
      </c>
      <c r="E189" s="437">
        <f t="shared" si="81"/>
        <v>0</v>
      </c>
      <c r="F189" s="437">
        <f t="shared" si="82"/>
        <v>0</v>
      </c>
      <c r="G189" s="437">
        <f t="shared" si="83"/>
        <v>0</v>
      </c>
      <c r="H189" s="437">
        <f t="shared" si="84"/>
        <v>0</v>
      </c>
      <c r="I189" s="437">
        <f t="shared" si="85"/>
        <v>0</v>
      </c>
      <c r="J189" s="437">
        <f t="shared" si="86"/>
        <v>0</v>
      </c>
      <c r="K189" s="437">
        <f t="shared" si="87"/>
        <v>0</v>
      </c>
      <c r="L189" s="437">
        <f t="shared" si="88"/>
        <v>0</v>
      </c>
      <c r="M189" s="437">
        <f t="shared" si="89"/>
        <v>0</v>
      </c>
      <c r="N189" s="437">
        <f t="shared" si="90"/>
        <v>0</v>
      </c>
      <c r="O189" s="438">
        <f t="shared" si="91"/>
        <v>0</v>
      </c>
      <c r="P189" s="439">
        <f t="shared" si="92"/>
        <v>0</v>
      </c>
      <c r="Q189" s="437">
        <f t="shared" si="93"/>
        <v>0</v>
      </c>
      <c r="R189" s="437">
        <f t="shared" si="94"/>
        <v>0</v>
      </c>
      <c r="S189" s="437">
        <f t="shared" si="95"/>
        <v>0</v>
      </c>
      <c r="T189" s="437">
        <f t="shared" si="96"/>
        <v>0</v>
      </c>
      <c r="U189" s="437">
        <f t="shared" si="97"/>
        <v>0</v>
      </c>
      <c r="V189" s="437">
        <f t="shared" si="98"/>
        <v>0</v>
      </c>
      <c r="W189" s="437">
        <f t="shared" si="99"/>
        <v>0</v>
      </c>
      <c r="X189" s="437">
        <f t="shared" si="100"/>
        <v>0</v>
      </c>
      <c r="Y189" s="437">
        <f t="shared" si="101"/>
        <v>0</v>
      </c>
      <c r="Z189" s="437">
        <f t="shared" si="102"/>
        <v>0</v>
      </c>
      <c r="AA189" s="437">
        <f t="shared" si="103"/>
        <v>0</v>
      </c>
      <c r="AB189" s="438">
        <f t="shared" si="104"/>
        <v>0</v>
      </c>
      <c r="AC189" s="439">
        <f t="shared" si="105"/>
        <v>0</v>
      </c>
      <c r="AD189" s="437">
        <f t="shared" si="106"/>
        <v>0</v>
      </c>
      <c r="AE189" s="437">
        <f t="shared" si="107"/>
        <v>0</v>
      </c>
      <c r="AF189" s="437">
        <f t="shared" si="108"/>
        <v>0</v>
      </c>
      <c r="AG189" s="437">
        <f t="shared" si="109"/>
        <v>0</v>
      </c>
      <c r="AH189" s="437">
        <f t="shared" si="110"/>
        <v>0</v>
      </c>
      <c r="AI189" s="437">
        <f t="shared" si="111"/>
        <v>0</v>
      </c>
      <c r="AJ189" s="437">
        <f t="shared" si="112"/>
        <v>0</v>
      </c>
      <c r="AK189" s="437">
        <f t="shared" si="113"/>
        <v>0</v>
      </c>
      <c r="AL189" s="437">
        <f t="shared" si="114"/>
        <v>0</v>
      </c>
      <c r="AM189" s="437">
        <f t="shared" si="115"/>
        <v>0</v>
      </c>
      <c r="AN189" s="437">
        <f t="shared" si="116"/>
        <v>0</v>
      </c>
      <c r="AO189" s="438">
        <f t="shared" si="117"/>
        <v>0</v>
      </c>
      <c r="AQ189" s="428">
        <v>0</v>
      </c>
      <c r="AR189" s="429">
        <v>0</v>
      </c>
      <c r="AS189" s="429">
        <v>0</v>
      </c>
      <c r="AT189" s="429">
        <v>0</v>
      </c>
      <c r="AU189" s="429">
        <v>0</v>
      </c>
      <c r="AV189" s="429">
        <v>0</v>
      </c>
      <c r="AW189" s="429">
        <v>0</v>
      </c>
      <c r="AX189" s="429">
        <v>0</v>
      </c>
      <c r="AY189" s="429">
        <v>0</v>
      </c>
      <c r="AZ189" s="429">
        <v>0</v>
      </c>
      <c r="BA189" s="429">
        <v>0</v>
      </c>
      <c r="BB189" s="429">
        <v>0</v>
      </c>
      <c r="BC189" s="431">
        <v>0</v>
      </c>
      <c r="BD189" s="428">
        <v>0</v>
      </c>
      <c r="BE189" s="429">
        <v>0</v>
      </c>
      <c r="BF189" s="429">
        <v>0</v>
      </c>
      <c r="BG189" s="429">
        <v>0</v>
      </c>
      <c r="BH189" s="429">
        <v>0</v>
      </c>
      <c r="BI189" s="429">
        <v>0</v>
      </c>
      <c r="BJ189" s="429">
        <v>0</v>
      </c>
      <c r="BK189" s="429">
        <v>0</v>
      </c>
      <c r="BL189" s="429">
        <v>0</v>
      </c>
      <c r="BM189" s="429">
        <v>0</v>
      </c>
      <c r="BN189" s="429">
        <v>0</v>
      </c>
      <c r="BO189" s="429">
        <v>0</v>
      </c>
      <c r="BP189" s="431">
        <v>0</v>
      </c>
      <c r="BQ189" s="428">
        <v>0</v>
      </c>
      <c r="BR189" s="429">
        <v>0</v>
      </c>
      <c r="BS189" s="429">
        <v>0</v>
      </c>
      <c r="BT189" s="429">
        <v>0</v>
      </c>
      <c r="BU189" s="429">
        <v>0</v>
      </c>
      <c r="BV189" s="429">
        <v>0</v>
      </c>
      <c r="BW189" s="429">
        <v>0</v>
      </c>
      <c r="BX189" s="429">
        <v>0</v>
      </c>
      <c r="BY189" s="429">
        <v>0</v>
      </c>
      <c r="BZ189" s="429">
        <v>0</v>
      </c>
      <c r="CA189" s="429">
        <v>0</v>
      </c>
      <c r="CB189" s="429">
        <v>0</v>
      </c>
      <c r="CC189" s="431">
        <v>0</v>
      </c>
    </row>
    <row r="190" spans="1:81">
      <c r="A190" s="420" t="s">
        <v>199</v>
      </c>
      <c r="B190" s="420" t="s">
        <v>182</v>
      </c>
      <c r="C190" s="436">
        <f t="shared" si="79"/>
        <v>0</v>
      </c>
      <c r="D190" s="437">
        <f t="shared" si="80"/>
        <v>0</v>
      </c>
      <c r="E190" s="437">
        <f t="shared" si="81"/>
        <v>0</v>
      </c>
      <c r="F190" s="437">
        <f t="shared" si="82"/>
        <v>0</v>
      </c>
      <c r="G190" s="437">
        <f t="shared" si="83"/>
        <v>0</v>
      </c>
      <c r="H190" s="437">
        <f t="shared" si="84"/>
        <v>0</v>
      </c>
      <c r="I190" s="437">
        <f t="shared" si="85"/>
        <v>0</v>
      </c>
      <c r="J190" s="437">
        <f t="shared" si="86"/>
        <v>0</v>
      </c>
      <c r="K190" s="437">
        <f t="shared" si="87"/>
        <v>0</v>
      </c>
      <c r="L190" s="437">
        <f t="shared" si="88"/>
        <v>0</v>
      </c>
      <c r="M190" s="437">
        <f t="shared" si="89"/>
        <v>0</v>
      </c>
      <c r="N190" s="437">
        <f t="shared" si="90"/>
        <v>0</v>
      </c>
      <c r="O190" s="438">
        <f t="shared" si="91"/>
        <v>0</v>
      </c>
      <c r="P190" s="439">
        <f t="shared" si="92"/>
        <v>0</v>
      </c>
      <c r="Q190" s="437">
        <f t="shared" si="93"/>
        <v>0</v>
      </c>
      <c r="R190" s="437">
        <f t="shared" si="94"/>
        <v>0</v>
      </c>
      <c r="S190" s="437">
        <f t="shared" si="95"/>
        <v>0</v>
      </c>
      <c r="T190" s="437">
        <f t="shared" si="96"/>
        <v>0</v>
      </c>
      <c r="U190" s="437">
        <f t="shared" si="97"/>
        <v>0</v>
      </c>
      <c r="V190" s="437">
        <f t="shared" si="98"/>
        <v>0</v>
      </c>
      <c r="W190" s="437">
        <f t="shared" si="99"/>
        <v>0</v>
      </c>
      <c r="X190" s="437">
        <f t="shared" si="100"/>
        <v>0</v>
      </c>
      <c r="Y190" s="437">
        <f t="shared" si="101"/>
        <v>0</v>
      </c>
      <c r="Z190" s="437">
        <f t="shared" si="102"/>
        <v>0</v>
      </c>
      <c r="AA190" s="437">
        <f t="shared" si="103"/>
        <v>0</v>
      </c>
      <c r="AB190" s="438">
        <f t="shared" si="104"/>
        <v>0</v>
      </c>
      <c r="AC190" s="439">
        <f t="shared" si="105"/>
        <v>0</v>
      </c>
      <c r="AD190" s="437">
        <f t="shared" si="106"/>
        <v>0</v>
      </c>
      <c r="AE190" s="437">
        <f t="shared" si="107"/>
        <v>0</v>
      </c>
      <c r="AF190" s="437">
        <f t="shared" si="108"/>
        <v>0</v>
      </c>
      <c r="AG190" s="437">
        <f t="shared" si="109"/>
        <v>0</v>
      </c>
      <c r="AH190" s="437">
        <f t="shared" si="110"/>
        <v>0</v>
      </c>
      <c r="AI190" s="437">
        <f t="shared" si="111"/>
        <v>0</v>
      </c>
      <c r="AJ190" s="437">
        <f t="shared" si="112"/>
        <v>0</v>
      </c>
      <c r="AK190" s="437">
        <f t="shared" si="113"/>
        <v>0</v>
      </c>
      <c r="AL190" s="437">
        <f t="shared" si="114"/>
        <v>0</v>
      </c>
      <c r="AM190" s="437">
        <f t="shared" si="115"/>
        <v>0</v>
      </c>
      <c r="AN190" s="437">
        <f t="shared" si="116"/>
        <v>0</v>
      </c>
      <c r="AO190" s="438">
        <f t="shared" si="117"/>
        <v>0</v>
      </c>
      <c r="AQ190" s="428">
        <v>0</v>
      </c>
      <c r="AR190" s="429">
        <v>0</v>
      </c>
      <c r="AS190" s="429">
        <v>0</v>
      </c>
      <c r="AT190" s="429">
        <v>0</v>
      </c>
      <c r="AU190" s="429">
        <v>0</v>
      </c>
      <c r="AV190" s="429">
        <v>0</v>
      </c>
      <c r="AW190" s="429">
        <v>0</v>
      </c>
      <c r="AX190" s="429">
        <v>0</v>
      </c>
      <c r="AY190" s="429">
        <v>0</v>
      </c>
      <c r="AZ190" s="429">
        <v>0</v>
      </c>
      <c r="BA190" s="429">
        <v>0</v>
      </c>
      <c r="BB190" s="429">
        <v>0</v>
      </c>
      <c r="BC190" s="431">
        <v>0</v>
      </c>
      <c r="BD190" s="428">
        <v>0</v>
      </c>
      <c r="BE190" s="429">
        <v>0</v>
      </c>
      <c r="BF190" s="429">
        <v>0</v>
      </c>
      <c r="BG190" s="429">
        <v>0</v>
      </c>
      <c r="BH190" s="429">
        <v>0</v>
      </c>
      <c r="BI190" s="429">
        <v>0</v>
      </c>
      <c r="BJ190" s="429">
        <v>0</v>
      </c>
      <c r="BK190" s="429">
        <v>0</v>
      </c>
      <c r="BL190" s="429">
        <v>0</v>
      </c>
      <c r="BM190" s="429">
        <v>0</v>
      </c>
      <c r="BN190" s="429">
        <v>0</v>
      </c>
      <c r="BO190" s="429">
        <v>0</v>
      </c>
      <c r="BP190" s="431">
        <v>0</v>
      </c>
      <c r="BQ190" s="428">
        <v>0</v>
      </c>
      <c r="BR190" s="429">
        <v>0</v>
      </c>
      <c r="BS190" s="429">
        <v>0</v>
      </c>
      <c r="BT190" s="429">
        <v>0</v>
      </c>
      <c r="BU190" s="429">
        <v>0</v>
      </c>
      <c r="BV190" s="429">
        <v>0</v>
      </c>
      <c r="BW190" s="429">
        <v>0</v>
      </c>
      <c r="BX190" s="429">
        <v>0</v>
      </c>
      <c r="BY190" s="429">
        <v>0</v>
      </c>
      <c r="BZ190" s="429">
        <v>0</v>
      </c>
      <c r="CA190" s="429">
        <v>0</v>
      </c>
      <c r="CB190" s="429">
        <v>0</v>
      </c>
      <c r="CC190" s="431">
        <v>0</v>
      </c>
    </row>
    <row r="191" spans="1:81">
      <c r="A191" s="420" t="s">
        <v>199</v>
      </c>
      <c r="B191" s="420" t="s">
        <v>183</v>
      </c>
      <c r="C191" s="436">
        <f t="shared" si="79"/>
        <v>0</v>
      </c>
      <c r="D191" s="437">
        <f t="shared" si="80"/>
        <v>0</v>
      </c>
      <c r="E191" s="437">
        <f t="shared" si="81"/>
        <v>0</v>
      </c>
      <c r="F191" s="437">
        <f t="shared" si="82"/>
        <v>0</v>
      </c>
      <c r="G191" s="437">
        <f t="shared" si="83"/>
        <v>0</v>
      </c>
      <c r="H191" s="437">
        <f t="shared" si="84"/>
        <v>0</v>
      </c>
      <c r="I191" s="437">
        <f t="shared" si="85"/>
        <v>0</v>
      </c>
      <c r="J191" s="437">
        <f t="shared" si="86"/>
        <v>0</v>
      </c>
      <c r="K191" s="437">
        <f t="shared" si="87"/>
        <v>0</v>
      </c>
      <c r="L191" s="437">
        <f t="shared" si="88"/>
        <v>0</v>
      </c>
      <c r="M191" s="437">
        <f t="shared" si="89"/>
        <v>0</v>
      </c>
      <c r="N191" s="437">
        <f t="shared" si="90"/>
        <v>0</v>
      </c>
      <c r="O191" s="438">
        <f t="shared" si="91"/>
        <v>0</v>
      </c>
      <c r="P191" s="439">
        <f t="shared" si="92"/>
        <v>0</v>
      </c>
      <c r="Q191" s="437">
        <f t="shared" si="93"/>
        <v>0</v>
      </c>
      <c r="R191" s="437">
        <f t="shared" si="94"/>
        <v>0</v>
      </c>
      <c r="S191" s="437">
        <f t="shared" si="95"/>
        <v>0</v>
      </c>
      <c r="T191" s="437">
        <f t="shared" si="96"/>
        <v>0</v>
      </c>
      <c r="U191" s="437">
        <f t="shared" si="97"/>
        <v>0</v>
      </c>
      <c r="V191" s="437">
        <f t="shared" si="98"/>
        <v>0</v>
      </c>
      <c r="W191" s="437">
        <f t="shared" si="99"/>
        <v>0</v>
      </c>
      <c r="X191" s="437">
        <f t="shared" si="100"/>
        <v>0</v>
      </c>
      <c r="Y191" s="437">
        <f t="shared" si="101"/>
        <v>0</v>
      </c>
      <c r="Z191" s="437">
        <f t="shared" si="102"/>
        <v>0</v>
      </c>
      <c r="AA191" s="437">
        <f t="shared" si="103"/>
        <v>0</v>
      </c>
      <c r="AB191" s="438">
        <f t="shared" si="104"/>
        <v>0</v>
      </c>
      <c r="AC191" s="439">
        <f t="shared" si="105"/>
        <v>0</v>
      </c>
      <c r="AD191" s="437">
        <f t="shared" si="106"/>
        <v>0</v>
      </c>
      <c r="AE191" s="437">
        <f t="shared" si="107"/>
        <v>0</v>
      </c>
      <c r="AF191" s="437">
        <f t="shared" si="108"/>
        <v>0</v>
      </c>
      <c r="AG191" s="437">
        <f t="shared" si="109"/>
        <v>0</v>
      </c>
      <c r="AH191" s="437">
        <f t="shared" si="110"/>
        <v>0</v>
      </c>
      <c r="AI191" s="437">
        <f t="shared" si="111"/>
        <v>0</v>
      </c>
      <c r="AJ191" s="437">
        <f t="shared" si="112"/>
        <v>0</v>
      </c>
      <c r="AK191" s="437">
        <f t="shared" si="113"/>
        <v>0</v>
      </c>
      <c r="AL191" s="437">
        <f t="shared" si="114"/>
        <v>0</v>
      </c>
      <c r="AM191" s="437">
        <f t="shared" si="115"/>
        <v>0</v>
      </c>
      <c r="AN191" s="437">
        <f t="shared" si="116"/>
        <v>0</v>
      </c>
      <c r="AO191" s="438">
        <f t="shared" si="117"/>
        <v>0</v>
      </c>
      <c r="AQ191" s="428">
        <v>0</v>
      </c>
      <c r="AR191" s="429">
        <v>0</v>
      </c>
      <c r="AS191" s="429">
        <v>0</v>
      </c>
      <c r="AT191" s="429">
        <v>0</v>
      </c>
      <c r="AU191" s="429">
        <v>0</v>
      </c>
      <c r="AV191" s="429">
        <v>0</v>
      </c>
      <c r="AW191" s="429">
        <v>0</v>
      </c>
      <c r="AX191" s="429">
        <v>0</v>
      </c>
      <c r="AY191" s="429">
        <v>0</v>
      </c>
      <c r="AZ191" s="429">
        <v>0</v>
      </c>
      <c r="BA191" s="429">
        <v>0</v>
      </c>
      <c r="BB191" s="429">
        <v>0</v>
      </c>
      <c r="BC191" s="431">
        <v>0</v>
      </c>
      <c r="BD191" s="428">
        <v>0</v>
      </c>
      <c r="BE191" s="429">
        <v>0</v>
      </c>
      <c r="BF191" s="429">
        <v>0</v>
      </c>
      <c r="BG191" s="429">
        <v>0</v>
      </c>
      <c r="BH191" s="429">
        <v>0</v>
      </c>
      <c r="BI191" s="429">
        <v>0</v>
      </c>
      <c r="BJ191" s="429">
        <v>0</v>
      </c>
      <c r="BK191" s="429">
        <v>0</v>
      </c>
      <c r="BL191" s="429">
        <v>0</v>
      </c>
      <c r="BM191" s="429">
        <v>0</v>
      </c>
      <c r="BN191" s="429">
        <v>0</v>
      </c>
      <c r="BO191" s="429">
        <v>0</v>
      </c>
      <c r="BP191" s="431">
        <v>0</v>
      </c>
      <c r="BQ191" s="428">
        <v>0</v>
      </c>
      <c r="BR191" s="429">
        <v>0</v>
      </c>
      <c r="BS191" s="429">
        <v>0</v>
      </c>
      <c r="BT191" s="429">
        <v>0</v>
      </c>
      <c r="BU191" s="429">
        <v>0</v>
      </c>
      <c r="BV191" s="429">
        <v>0</v>
      </c>
      <c r="BW191" s="429">
        <v>0</v>
      </c>
      <c r="BX191" s="429">
        <v>0</v>
      </c>
      <c r="BY191" s="429">
        <v>0</v>
      </c>
      <c r="BZ191" s="429">
        <v>0</v>
      </c>
      <c r="CA191" s="429">
        <v>0</v>
      </c>
      <c r="CB191" s="429">
        <v>0</v>
      </c>
      <c r="CC191" s="431">
        <v>0</v>
      </c>
    </row>
    <row r="192" spans="1:81">
      <c r="A192" s="445"/>
      <c r="B192" s="445"/>
      <c r="C192" s="446"/>
      <c r="D192" s="447"/>
      <c r="E192" s="447"/>
      <c r="F192" s="447"/>
      <c r="G192" s="447"/>
      <c r="H192" s="447"/>
      <c r="I192" s="447"/>
      <c r="J192" s="447"/>
      <c r="K192" s="447"/>
      <c r="L192" s="447"/>
      <c r="M192" s="447"/>
      <c r="N192" s="447"/>
      <c r="O192" s="448"/>
      <c r="P192" s="449"/>
      <c r="Q192" s="447"/>
      <c r="R192" s="447"/>
      <c r="S192" s="447"/>
      <c r="T192" s="447"/>
      <c r="U192" s="447"/>
      <c r="V192" s="447"/>
      <c r="W192" s="447"/>
      <c r="X192" s="447"/>
      <c r="Y192" s="447"/>
      <c r="Z192" s="447"/>
      <c r="AA192" s="447"/>
      <c r="AB192" s="448"/>
      <c r="AC192" s="449"/>
      <c r="AD192" s="447"/>
      <c r="AE192" s="447"/>
      <c r="AF192" s="447"/>
      <c r="AG192" s="447"/>
      <c r="AH192" s="447"/>
      <c r="AI192" s="447"/>
      <c r="AJ192" s="447"/>
      <c r="AK192" s="447"/>
      <c r="AL192" s="447"/>
      <c r="AM192" s="447"/>
      <c r="AN192" s="447"/>
      <c r="AO192" s="448"/>
      <c r="AQ192" s="450"/>
      <c r="AR192" s="451"/>
      <c r="AS192" s="451"/>
      <c r="AT192" s="451"/>
      <c r="AU192" s="451"/>
      <c r="AV192" s="451"/>
      <c r="AW192" s="451"/>
      <c r="AX192" s="451"/>
      <c r="AY192" s="451"/>
      <c r="AZ192" s="451"/>
      <c r="BA192" s="451"/>
      <c r="BB192" s="451"/>
      <c r="BC192" s="452"/>
      <c r="BD192" s="453"/>
      <c r="BE192" s="451"/>
      <c r="BF192" s="451"/>
      <c r="BG192" s="451"/>
      <c r="BH192" s="451"/>
      <c r="BI192" s="451"/>
      <c r="BJ192" s="451"/>
      <c r="BK192" s="451"/>
      <c r="BL192" s="451"/>
      <c r="BM192" s="451"/>
      <c r="BN192" s="451"/>
      <c r="BO192" s="451"/>
      <c r="BP192" s="452"/>
      <c r="BQ192" s="453"/>
      <c r="BR192" s="451"/>
      <c r="BS192" s="451"/>
      <c r="BT192" s="451"/>
      <c r="BU192" s="451"/>
      <c r="BV192" s="451"/>
      <c r="BW192" s="451"/>
      <c r="BX192" s="451"/>
      <c r="BY192" s="451"/>
      <c r="BZ192" s="451"/>
      <c r="CA192" s="451"/>
      <c r="CB192" s="451"/>
      <c r="CC192" s="452"/>
    </row>
    <row r="193" spans="1:81">
      <c r="B193" s="456" t="s">
        <v>200</v>
      </c>
      <c r="C193" s="436"/>
      <c r="D193" s="437"/>
      <c r="E193" s="437"/>
      <c r="F193" s="437"/>
      <c r="G193" s="437"/>
      <c r="H193" s="437"/>
      <c r="I193" s="437"/>
      <c r="J193" s="437"/>
      <c r="K193" s="437"/>
      <c r="L193" s="437"/>
      <c r="M193" s="437"/>
      <c r="N193" s="437"/>
      <c r="O193" s="438"/>
      <c r="P193" s="439"/>
      <c r="Q193" s="437"/>
      <c r="R193" s="437"/>
      <c r="S193" s="437"/>
      <c r="T193" s="437"/>
      <c r="U193" s="437"/>
      <c r="V193" s="437"/>
      <c r="W193" s="437"/>
      <c r="X193" s="437"/>
      <c r="Y193" s="437"/>
      <c r="Z193" s="437"/>
      <c r="AA193" s="437"/>
      <c r="AB193" s="438"/>
      <c r="AC193" s="439"/>
      <c r="AD193" s="437"/>
      <c r="AE193" s="437"/>
      <c r="AF193" s="437"/>
      <c r="AG193" s="437"/>
      <c r="AH193" s="437"/>
      <c r="AI193" s="437"/>
      <c r="AJ193" s="437"/>
      <c r="AK193" s="437"/>
      <c r="AL193" s="437"/>
      <c r="AM193" s="437"/>
      <c r="AN193" s="437"/>
      <c r="AO193" s="438"/>
      <c r="AQ193" s="428"/>
      <c r="AR193" s="429"/>
      <c r="AS193" s="429"/>
      <c r="AT193" s="429"/>
      <c r="AU193" s="429"/>
      <c r="AV193" s="429"/>
      <c r="AW193" s="429"/>
      <c r="AX193" s="429"/>
      <c r="AY193" s="429"/>
      <c r="AZ193" s="429"/>
      <c r="BA193" s="429"/>
      <c r="BB193" s="429"/>
      <c r="BC193" s="431"/>
      <c r="BD193" s="428"/>
      <c r="BE193" s="429"/>
      <c r="BF193" s="429"/>
      <c r="BG193" s="429"/>
      <c r="BH193" s="429"/>
      <c r="BI193" s="429"/>
      <c r="BJ193" s="429"/>
      <c r="BK193" s="429"/>
      <c r="BL193" s="429"/>
      <c r="BM193" s="429"/>
      <c r="BN193" s="429"/>
      <c r="BO193" s="429"/>
      <c r="BP193" s="431"/>
      <c r="BQ193" s="428"/>
      <c r="BR193" s="429"/>
      <c r="BS193" s="429"/>
      <c r="BT193" s="429"/>
      <c r="BU193" s="429"/>
      <c r="BV193" s="429"/>
      <c r="BW193" s="429"/>
      <c r="BX193" s="429"/>
      <c r="BY193" s="429"/>
      <c r="BZ193" s="429"/>
      <c r="CA193" s="429"/>
      <c r="CB193" s="429"/>
      <c r="CC193" s="431"/>
    </row>
    <row r="194" spans="1:81">
      <c r="A194" s="420" t="s">
        <v>200</v>
      </c>
      <c r="B194" s="420" t="s">
        <v>175</v>
      </c>
      <c r="C194" s="436">
        <f t="shared" si="79"/>
        <v>1947.5344827586207</v>
      </c>
      <c r="D194" s="437">
        <f t="shared" si="80"/>
        <v>1892.0086206896551</v>
      </c>
      <c r="E194" s="437">
        <f t="shared" si="81"/>
        <v>1563.4117647058824</v>
      </c>
      <c r="F194" s="437">
        <f t="shared" si="82"/>
        <v>1743.9557522123894</v>
      </c>
      <c r="G194" s="437">
        <f t="shared" si="83"/>
        <v>1539.2105263157894</v>
      </c>
      <c r="H194" s="437">
        <f t="shared" si="84"/>
        <v>934.95614035087715</v>
      </c>
      <c r="I194" s="437">
        <f t="shared" si="85"/>
        <v>966.6194690265487</v>
      </c>
      <c r="J194" s="437">
        <f t="shared" si="86"/>
        <v>957.86725663716811</v>
      </c>
      <c r="K194" s="437">
        <f t="shared" si="87"/>
        <v>847.38260869565215</v>
      </c>
      <c r="L194" s="437">
        <f t="shared" si="88"/>
        <v>1299.655172413793</v>
      </c>
      <c r="M194" s="437">
        <f t="shared" si="89"/>
        <v>1107.4655172413793</v>
      </c>
      <c r="N194" s="437">
        <f t="shared" si="90"/>
        <v>1599.7672413793102</v>
      </c>
      <c r="O194" s="438">
        <f t="shared" si="91"/>
        <v>1368.7690079652425</v>
      </c>
      <c r="P194" s="439">
        <f t="shared" si="92"/>
        <v>2050.8706896551726</v>
      </c>
      <c r="Q194" s="437">
        <f t="shared" si="93"/>
        <v>1896.9756097560976</v>
      </c>
      <c r="R194" s="437">
        <f t="shared" si="94"/>
        <v>1891.8559322033898</v>
      </c>
      <c r="S194" s="437">
        <f t="shared" si="95"/>
        <v>1571.6147540983607</v>
      </c>
      <c r="T194" s="437">
        <f t="shared" si="96"/>
        <v>1521.8376068376069</v>
      </c>
      <c r="U194" s="437">
        <f t="shared" si="97"/>
        <v>1190.542372881356</v>
      </c>
      <c r="V194" s="437">
        <f t="shared" si="98"/>
        <v>739.89655172413791</v>
      </c>
      <c r="W194" s="437">
        <f t="shared" si="99"/>
        <v>813.65</v>
      </c>
      <c r="X194" s="437">
        <f t="shared" si="100"/>
        <v>761.41880341880346</v>
      </c>
      <c r="Y194" s="437">
        <f t="shared" si="101"/>
        <v>981.18965517241384</v>
      </c>
      <c r="Z194" s="437">
        <f t="shared" si="102"/>
        <v>1304.7166666666667</v>
      </c>
      <c r="AA194" s="437">
        <f t="shared" si="103"/>
        <v>1646.175</v>
      </c>
      <c r="AB194" s="438">
        <f t="shared" si="104"/>
        <v>1366.9859451862262</v>
      </c>
      <c r="AC194" s="439">
        <f t="shared" si="105"/>
        <v>2352.6</v>
      </c>
      <c r="AD194" s="437">
        <f t="shared" si="106"/>
        <v>1798.388429752066</v>
      </c>
      <c r="AE194" s="437">
        <f t="shared" si="107"/>
        <v>2229.0487804878048</v>
      </c>
      <c r="AF194" s="437">
        <f t="shared" si="108"/>
        <v>1759.7983193277312</v>
      </c>
      <c r="AG194" s="437">
        <f t="shared" si="109"/>
        <v>1627.90756302521</v>
      </c>
      <c r="AH194" s="437">
        <f t="shared" si="110"/>
        <v>1115.9083333333333</v>
      </c>
      <c r="AI194" s="437">
        <f t="shared" si="111"/>
        <v>1046.6610169491526</v>
      </c>
      <c r="AJ194" s="437">
        <f t="shared" si="112"/>
        <v>1144.0588235294117</v>
      </c>
      <c r="AK194" s="437">
        <f t="shared" si="113"/>
        <v>542.2066115702479</v>
      </c>
      <c r="AL194" s="437">
        <f t="shared" si="114"/>
        <v>1179.6942148760331</v>
      </c>
      <c r="AM194" s="437">
        <f t="shared" si="115"/>
        <v>1443.1166666666666</v>
      </c>
      <c r="AN194" s="437">
        <f t="shared" si="116"/>
        <v>1593.9166666666667</v>
      </c>
      <c r="AO194" s="438">
        <f t="shared" si="117"/>
        <v>1487.5634975711312</v>
      </c>
      <c r="AQ194" s="428">
        <v>1947.5344827586207</v>
      </c>
      <c r="AR194" s="429">
        <v>1892.0086206896551</v>
      </c>
      <c r="AS194" s="429">
        <v>1563.4117647058824</v>
      </c>
      <c r="AT194" s="429">
        <v>1743.9557522123894</v>
      </c>
      <c r="AU194" s="429">
        <v>1539.2105263157894</v>
      </c>
      <c r="AV194" s="429">
        <v>934.95614035087715</v>
      </c>
      <c r="AW194" s="429">
        <v>966.6194690265487</v>
      </c>
      <c r="AX194" s="429">
        <v>957.86725663716811</v>
      </c>
      <c r="AY194" s="429">
        <v>847.38260869565215</v>
      </c>
      <c r="AZ194" s="429">
        <v>1299.655172413793</v>
      </c>
      <c r="BA194" s="429">
        <v>1107.4655172413793</v>
      </c>
      <c r="BB194" s="429">
        <v>1599.7672413793102</v>
      </c>
      <c r="BC194" s="431">
        <v>1368.7690079652425</v>
      </c>
      <c r="BD194" s="428">
        <v>2050.8706896551726</v>
      </c>
      <c r="BE194" s="429">
        <v>1896.9756097560976</v>
      </c>
      <c r="BF194" s="429">
        <v>1891.8559322033898</v>
      </c>
      <c r="BG194" s="429">
        <v>1571.6147540983607</v>
      </c>
      <c r="BH194" s="429">
        <v>1521.8376068376069</v>
      </c>
      <c r="BI194" s="429">
        <v>1190.542372881356</v>
      </c>
      <c r="BJ194" s="429">
        <v>739.89655172413791</v>
      </c>
      <c r="BK194" s="429">
        <v>813.65</v>
      </c>
      <c r="BL194" s="429">
        <v>761.41880341880346</v>
      </c>
      <c r="BM194" s="429">
        <v>981.18965517241384</v>
      </c>
      <c r="BN194" s="429">
        <v>1304.7166666666667</v>
      </c>
      <c r="BO194" s="429">
        <v>1646.175</v>
      </c>
      <c r="BP194" s="431">
        <v>1366.9859451862262</v>
      </c>
      <c r="BQ194" s="428">
        <v>2352.6</v>
      </c>
      <c r="BR194" s="429">
        <v>1798.388429752066</v>
      </c>
      <c r="BS194" s="429">
        <v>2229.0487804878048</v>
      </c>
      <c r="BT194" s="429">
        <v>1759.7983193277312</v>
      </c>
      <c r="BU194" s="429">
        <v>1627.90756302521</v>
      </c>
      <c r="BV194" s="429">
        <v>1115.9083333333333</v>
      </c>
      <c r="BW194" s="429">
        <v>1046.6610169491526</v>
      </c>
      <c r="BX194" s="429">
        <v>1144.0588235294117</v>
      </c>
      <c r="BY194" s="429">
        <v>542.2066115702479</v>
      </c>
      <c r="BZ194" s="429">
        <v>1179.6942148760331</v>
      </c>
      <c r="CA194" s="429">
        <v>1443.1166666666666</v>
      </c>
      <c r="CB194" s="429">
        <v>1593.9166666666667</v>
      </c>
      <c r="CC194" s="431">
        <v>1487.5634975711312</v>
      </c>
    </row>
    <row r="195" spans="1:81">
      <c r="A195" s="420" t="s">
        <v>200</v>
      </c>
      <c r="B195" s="420" t="s">
        <v>176</v>
      </c>
      <c r="C195" s="436">
        <f t="shared" si="79"/>
        <v>0</v>
      </c>
      <c r="D195" s="437">
        <f t="shared" si="80"/>
        <v>0</v>
      </c>
      <c r="E195" s="437">
        <f t="shared" si="81"/>
        <v>0</v>
      </c>
      <c r="F195" s="437">
        <f t="shared" si="82"/>
        <v>0</v>
      </c>
      <c r="G195" s="437">
        <f t="shared" si="83"/>
        <v>0</v>
      </c>
      <c r="H195" s="437">
        <f t="shared" si="84"/>
        <v>0</v>
      </c>
      <c r="I195" s="437">
        <f t="shared" si="85"/>
        <v>0</v>
      </c>
      <c r="J195" s="437">
        <f t="shared" si="86"/>
        <v>0</v>
      </c>
      <c r="K195" s="437">
        <f t="shared" si="87"/>
        <v>0</v>
      </c>
      <c r="L195" s="437">
        <f t="shared" si="88"/>
        <v>0</v>
      </c>
      <c r="M195" s="437">
        <f t="shared" si="89"/>
        <v>0</v>
      </c>
      <c r="N195" s="437">
        <f t="shared" si="90"/>
        <v>0</v>
      </c>
      <c r="O195" s="438">
        <f t="shared" si="91"/>
        <v>0</v>
      </c>
      <c r="P195" s="439">
        <f t="shared" si="92"/>
        <v>0</v>
      </c>
      <c r="Q195" s="437">
        <f t="shared" si="93"/>
        <v>0</v>
      </c>
      <c r="R195" s="437">
        <f t="shared" si="94"/>
        <v>0</v>
      </c>
      <c r="S195" s="437">
        <f t="shared" si="95"/>
        <v>0</v>
      </c>
      <c r="T195" s="437">
        <f t="shared" si="96"/>
        <v>0</v>
      </c>
      <c r="U195" s="437">
        <f t="shared" si="97"/>
        <v>0</v>
      </c>
      <c r="V195" s="437">
        <f t="shared" si="98"/>
        <v>0</v>
      </c>
      <c r="W195" s="437">
        <f t="shared" si="99"/>
        <v>0</v>
      </c>
      <c r="X195" s="437">
        <f t="shared" si="100"/>
        <v>0</v>
      </c>
      <c r="Y195" s="437">
        <f t="shared" si="101"/>
        <v>0</v>
      </c>
      <c r="Z195" s="437">
        <f t="shared" si="102"/>
        <v>0</v>
      </c>
      <c r="AA195" s="437">
        <f t="shared" si="103"/>
        <v>0</v>
      </c>
      <c r="AB195" s="438">
        <f t="shared" si="104"/>
        <v>0</v>
      </c>
      <c r="AC195" s="439">
        <f t="shared" si="105"/>
        <v>0</v>
      </c>
      <c r="AD195" s="437">
        <f t="shared" si="106"/>
        <v>0</v>
      </c>
      <c r="AE195" s="437">
        <f t="shared" si="107"/>
        <v>0</v>
      </c>
      <c r="AF195" s="437">
        <f t="shared" si="108"/>
        <v>0</v>
      </c>
      <c r="AG195" s="437">
        <f t="shared" si="109"/>
        <v>0</v>
      </c>
      <c r="AH195" s="437">
        <f t="shared" si="110"/>
        <v>0</v>
      </c>
      <c r="AI195" s="437">
        <f t="shared" si="111"/>
        <v>0</v>
      </c>
      <c r="AJ195" s="437">
        <f t="shared" si="112"/>
        <v>0</v>
      </c>
      <c r="AK195" s="437">
        <f t="shared" si="113"/>
        <v>0</v>
      </c>
      <c r="AL195" s="437">
        <f t="shared" si="114"/>
        <v>0</v>
      </c>
      <c r="AM195" s="437">
        <f t="shared" si="115"/>
        <v>0</v>
      </c>
      <c r="AN195" s="437">
        <f t="shared" si="116"/>
        <v>0</v>
      </c>
      <c r="AO195" s="438">
        <f t="shared" si="117"/>
        <v>0</v>
      </c>
      <c r="AQ195" s="428">
        <v>0</v>
      </c>
      <c r="AR195" s="429">
        <v>0</v>
      </c>
      <c r="AS195" s="429">
        <v>0</v>
      </c>
      <c r="AT195" s="429">
        <v>0</v>
      </c>
      <c r="AU195" s="429">
        <v>0</v>
      </c>
      <c r="AV195" s="429">
        <v>0</v>
      </c>
      <c r="AW195" s="429">
        <v>0</v>
      </c>
      <c r="AX195" s="429">
        <v>0</v>
      </c>
      <c r="AY195" s="429">
        <v>0</v>
      </c>
      <c r="AZ195" s="429">
        <v>0</v>
      </c>
      <c r="BA195" s="429">
        <v>0</v>
      </c>
      <c r="BB195" s="429">
        <v>0</v>
      </c>
      <c r="BC195" s="431">
        <v>0</v>
      </c>
      <c r="BD195" s="428">
        <v>0</v>
      </c>
      <c r="BE195" s="429">
        <v>0</v>
      </c>
      <c r="BF195" s="429">
        <v>0</v>
      </c>
      <c r="BG195" s="429">
        <v>0</v>
      </c>
      <c r="BH195" s="429">
        <v>0</v>
      </c>
      <c r="BI195" s="429">
        <v>0</v>
      </c>
      <c r="BJ195" s="429">
        <v>0</v>
      </c>
      <c r="BK195" s="429">
        <v>0</v>
      </c>
      <c r="BL195" s="429">
        <v>0</v>
      </c>
      <c r="BM195" s="429">
        <v>0</v>
      </c>
      <c r="BN195" s="429">
        <v>0</v>
      </c>
      <c r="BO195" s="429">
        <v>0</v>
      </c>
      <c r="BP195" s="431">
        <v>0</v>
      </c>
      <c r="BQ195" s="428">
        <v>0</v>
      </c>
      <c r="BR195" s="429">
        <v>0</v>
      </c>
      <c r="BS195" s="429">
        <v>0</v>
      </c>
      <c r="BT195" s="429">
        <v>0</v>
      </c>
      <c r="BU195" s="429">
        <v>0</v>
      </c>
      <c r="BV195" s="429">
        <v>0</v>
      </c>
      <c r="BW195" s="429">
        <v>0</v>
      </c>
      <c r="BX195" s="429">
        <v>0</v>
      </c>
      <c r="BY195" s="429">
        <v>0</v>
      </c>
      <c r="BZ195" s="429">
        <v>0</v>
      </c>
      <c r="CA195" s="429">
        <v>0</v>
      </c>
      <c r="CB195" s="429">
        <v>0</v>
      </c>
      <c r="CC195" s="431">
        <v>0</v>
      </c>
    </row>
    <row r="196" spans="1:81">
      <c r="A196" s="420" t="s">
        <v>200</v>
      </c>
      <c r="B196" s="420" t="s">
        <v>177</v>
      </c>
      <c r="C196" s="436">
        <f t="shared" si="79"/>
        <v>2265.5</v>
      </c>
      <c r="D196" s="437">
        <f t="shared" si="80"/>
        <v>2308</v>
      </c>
      <c r="E196" s="437">
        <f t="shared" si="81"/>
        <v>2159.5</v>
      </c>
      <c r="F196" s="437">
        <f t="shared" si="82"/>
        <v>1884.125</v>
      </c>
      <c r="G196" s="437">
        <f t="shared" si="83"/>
        <v>1625.25</v>
      </c>
      <c r="H196" s="437">
        <f t="shared" si="84"/>
        <v>672.125</v>
      </c>
      <c r="I196" s="437">
        <f t="shared" si="85"/>
        <v>938.875</v>
      </c>
      <c r="J196" s="437">
        <f t="shared" si="86"/>
        <v>1126.875</v>
      </c>
      <c r="K196" s="437">
        <f t="shared" si="87"/>
        <v>732.11111111111109</v>
      </c>
      <c r="L196" s="437">
        <f t="shared" si="88"/>
        <v>823.11111111111109</v>
      </c>
      <c r="M196" s="437">
        <f t="shared" si="89"/>
        <v>787.5</v>
      </c>
      <c r="N196" s="437">
        <f t="shared" si="90"/>
        <v>1161.7777777777778</v>
      </c>
      <c r="O196" s="438">
        <f t="shared" si="91"/>
        <v>1359.5454545454545</v>
      </c>
      <c r="P196" s="439">
        <f t="shared" si="92"/>
        <v>1807</v>
      </c>
      <c r="Q196" s="437">
        <f t="shared" si="93"/>
        <v>1549.8</v>
      </c>
      <c r="R196" s="437">
        <f t="shared" si="94"/>
        <v>1755</v>
      </c>
      <c r="S196" s="437">
        <f t="shared" si="95"/>
        <v>1179.3333333333333</v>
      </c>
      <c r="T196" s="437">
        <f t="shared" si="96"/>
        <v>1192.5</v>
      </c>
      <c r="U196" s="437">
        <f t="shared" si="97"/>
        <v>693.22222222222217</v>
      </c>
      <c r="V196" s="437">
        <f t="shared" si="98"/>
        <v>566.66666666666663</v>
      </c>
      <c r="W196" s="437">
        <f t="shared" si="99"/>
        <v>851.3</v>
      </c>
      <c r="X196" s="437">
        <f t="shared" si="100"/>
        <v>544</v>
      </c>
      <c r="Y196" s="437">
        <f t="shared" si="101"/>
        <v>701.9</v>
      </c>
      <c r="Z196" s="437">
        <f t="shared" si="102"/>
        <v>1334.3</v>
      </c>
      <c r="AA196" s="437">
        <f t="shared" si="103"/>
        <v>1480.8</v>
      </c>
      <c r="AB196" s="438">
        <f t="shared" si="104"/>
        <v>1140.1666666666667</v>
      </c>
      <c r="AC196" s="439">
        <f t="shared" si="105"/>
        <v>2216.1</v>
      </c>
      <c r="AD196" s="437">
        <f t="shared" si="106"/>
        <v>1593.2</v>
      </c>
      <c r="AE196" s="437">
        <f t="shared" si="107"/>
        <v>2196.1999999999998</v>
      </c>
      <c r="AF196" s="437">
        <f t="shared" si="108"/>
        <v>1789</v>
      </c>
      <c r="AG196" s="437">
        <f t="shared" si="109"/>
        <v>3252.8888888888887</v>
      </c>
      <c r="AH196" s="437">
        <f t="shared" si="110"/>
        <v>2210.4</v>
      </c>
      <c r="AI196" s="437">
        <f t="shared" si="111"/>
        <v>8903.6</v>
      </c>
      <c r="AJ196" s="437">
        <f t="shared" si="112"/>
        <v>1177.3</v>
      </c>
      <c r="AK196" s="437">
        <f t="shared" si="113"/>
        <v>653.20000000000005</v>
      </c>
      <c r="AL196" s="437">
        <f t="shared" si="114"/>
        <v>1062.2</v>
      </c>
      <c r="AM196" s="437">
        <f t="shared" si="115"/>
        <v>1314.8</v>
      </c>
      <c r="AN196" s="437">
        <f t="shared" si="116"/>
        <v>1489.7</v>
      </c>
      <c r="AO196" s="438">
        <f t="shared" si="117"/>
        <v>2313.7226890756301</v>
      </c>
      <c r="AQ196" s="428">
        <v>2265.5</v>
      </c>
      <c r="AR196" s="429">
        <v>2308</v>
      </c>
      <c r="AS196" s="429">
        <v>2159.5</v>
      </c>
      <c r="AT196" s="429">
        <v>1884.125</v>
      </c>
      <c r="AU196" s="429">
        <v>1625.25</v>
      </c>
      <c r="AV196" s="429">
        <v>672.125</v>
      </c>
      <c r="AW196" s="429">
        <v>938.875</v>
      </c>
      <c r="AX196" s="429">
        <v>1126.875</v>
      </c>
      <c r="AY196" s="429">
        <v>732.11111111111109</v>
      </c>
      <c r="AZ196" s="429">
        <v>823.11111111111109</v>
      </c>
      <c r="BA196" s="429">
        <v>787.5</v>
      </c>
      <c r="BB196" s="429">
        <v>1161.7777777777778</v>
      </c>
      <c r="BC196" s="431">
        <v>1359.5454545454545</v>
      </c>
      <c r="BD196" s="428">
        <v>1807</v>
      </c>
      <c r="BE196" s="429">
        <v>1549.8</v>
      </c>
      <c r="BF196" s="429">
        <v>1755</v>
      </c>
      <c r="BG196" s="429">
        <v>1179.3333333333333</v>
      </c>
      <c r="BH196" s="429">
        <v>1192.5</v>
      </c>
      <c r="BI196" s="429">
        <v>693.22222222222217</v>
      </c>
      <c r="BJ196" s="429">
        <v>566.66666666666663</v>
      </c>
      <c r="BK196" s="429">
        <v>851.3</v>
      </c>
      <c r="BL196" s="429">
        <v>544</v>
      </c>
      <c r="BM196" s="429">
        <v>701.9</v>
      </c>
      <c r="BN196" s="429">
        <v>1334.3</v>
      </c>
      <c r="BO196" s="429">
        <v>1480.8</v>
      </c>
      <c r="BP196" s="431">
        <v>1140.1666666666667</v>
      </c>
      <c r="BQ196" s="428">
        <v>2216.1</v>
      </c>
      <c r="BR196" s="429">
        <v>1593.2</v>
      </c>
      <c r="BS196" s="429">
        <v>2196.1999999999998</v>
      </c>
      <c r="BT196" s="429">
        <v>1789</v>
      </c>
      <c r="BU196" s="429">
        <v>3252.8888888888887</v>
      </c>
      <c r="BV196" s="429">
        <v>2210.4</v>
      </c>
      <c r="BW196" s="429">
        <v>8903.6</v>
      </c>
      <c r="BX196" s="429">
        <v>1177.3</v>
      </c>
      <c r="BY196" s="429">
        <v>653.20000000000005</v>
      </c>
      <c r="BZ196" s="429">
        <v>1062.2</v>
      </c>
      <c r="CA196" s="429">
        <v>1314.8</v>
      </c>
      <c r="CB196" s="429">
        <v>1489.7</v>
      </c>
      <c r="CC196" s="431">
        <v>2313.7226890756301</v>
      </c>
    </row>
    <row r="197" spans="1:81">
      <c r="A197" s="420" t="s">
        <v>200</v>
      </c>
      <c r="B197" s="420" t="s">
        <v>178</v>
      </c>
      <c r="C197" s="436">
        <f t="shared" si="79"/>
        <v>11000</v>
      </c>
      <c r="D197" s="437">
        <f t="shared" si="80"/>
        <v>11800</v>
      </c>
      <c r="E197" s="437">
        <f t="shared" si="81"/>
        <v>12120</v>
      </c>
      <c r="F197" s="437">
        <f t="shared" si="82"/>
        <v>9200</v>
      </c>
      <c r="G197" s="437">
        <f t="shared" si="83"/>
        <v>9080</v>
      </c>
      <c r="H197" s="437">
        <f t="shared" si="84"/>
        <v>6840</v>
      </c>
      <c r="I197" s="437">
        <f t="shared" si="85"/>
        <v>9360</v>
      </c>
      <c r="J197" s="437">
        <f t="shared" si="86"/>
        <v>9040</v>
      </c>
      <c r="K197" s="437">
        <f t="shared" si="87"/>
        <v>7840</v>
      </c>
      <c r="L197" s="437">
        <f t="shared" si="88"/>
        <v>9200</v>
      </c>
      <c r="M197" s="437">
        <f t="shared" si="89"/>
        <v>7200</v>
      </c>
      <c r="N197" s="437">
        <f t="shared" si="90"/>
        <v>8640</v>
      </c>
      <c r="O197" s="438">
        <f t="shared" si="91"/>
        <v>9276.6666666666661</v>
      </c>
      <c r="P197" s="439">
        <f t="shared" si="92"/>
        <v>10640</v>
      </c>
      <c r="Q197" s="437">
        <f t="shared" si="93"/>
        <v>13600</v>
      </c>
      <c r="R197" s="437">
        <f t="shared" si="94"/>
        <v>10680</v>
      </c>
      <c r="S197" s="437">
        <f t="shared" si="95"/>
        <v>8880</v>
      </c>
      <c r="T197" s="437">
        <f t="shared" si="96"/>
        <v>9600</v>
      </c>
      <c r="U197" s="437">
        <f t="shared" si="97"/>
        <v>9400</v>
      </c>
      <c r="V197" s="437">
        <f t="shared" si="98"/>
        <v>7200</v>
      </c>
      <c r="W197" s="437">
        <f t="shared" si="99"/>
        <v>8160</v>
      </c>
      <c r="X197" s="437">
        <f t="shared" si="100"/>
        <v>6600</v>
      </c>
      <c r="Y197" s="437">
        <f t="shared" si="101"/>
        <v>7160</v>
      </c>
      <c r="Z197" s="437">
        <f t="shared" si="102"/>
        <v>7880</v>
      </c>
      <c r="AA197" s="437">
        <f t="shared" si="103"/>
        <v>6880</v>
      </c>
      <c r="AB197" s="438">
        <f t="shared" si="104"/>
        <v>8890</v>
      </c>
      <c r="AC197" s="439">
        <f t="shared" si="105"/>
        <v>10160</v>
      </c>
      <c r="AD197" s="437">
        <f t="shared" si="106"/>
        <v>9840</v>
      </c>
      <c r="AE197" s="437">
        <f t="shared" si="107"/>
        <v>9800</v>
      </c>
      <c r="AF197" s="437">
        <f t="shared" si="108"/>
        <v>5960</v>
      </c>
      <c r="AG197" s="437">
        <f t="shared" si="109"/>
        <v>9200</v>
      </c>
      <c r="AH197" s="437">
        <f t="shared" si="110"/>
        <v>6160</v>
      </c>
      <c r="AI197" s="437">
        <f t="shared" si="111"/>
        <v>6800</v>
      </c>
      <c r="AJ197" s="437">
        <f t="shared" si="112"/>
        <v>8280</v>
      </c>
      <c r="AK197" s="437">
        <f t="shared" si="113"/>
        <v>4040</v>
      </c>
      <c r="AL197" s="437">
        <f t="shared" si="114"/>
        <v>6240</v>
      </c>
      <c r="AM197" s="437">
        <f t="shared" si="115"/>
        <v>5800</v>
      </c>
      <c r="AN197" s="437">
        <f t="shared" si="116"/>
        <v>3280</v>
      </c>
      <c r="AO197" s="438">
        <f t="shared" si="117"/>
        <v>7130</v>
      </c>
      <c r="AQ197" s="428">
        <v>11000</v>
      </c>
      <c r="AR197" s="429">
        <v>11800</v>
      </c>
      <c r="AS197" s="429">
        <v>12120</v>
      </c>
      <c r="AT197" s="429">
        <v>9200</v>
      </c>
      <c r="AU197" s="429">
        <v>9080</v>
      </c>
      <c r="AV197" s="429">
        <v>6840</v>
      </c>
      <c r="AW197" s="429">
        <v>9360</v>
      </c>
      <c r="AX197" s="429">
        <v>9040</v>
      </c>
      <c r="AY197" s="429">
        <v>7840</v>
      </c>
      <c r="AZ197" s="429">
        <v>9200</v>
      </c>
      <c r="BA197" s="429">
        <v>7200</v>
      </c>
      <c r="BB197" s="429">
        <v>8640</v>
      </c>
      <c r="BC197" s="431">
        <v>9276.6666666666661</v>
      </c>
      <c r="BD197" s="428">
        <v>10640</v>
      </c>
      <c r="BE197" s="429">
        <v>13600</v>
      </c>
      <c r="BF197" s="429">
        <v>10680</v>
      </c>
      <c r="BG197" s="429">
        <v>8880</v>
      </c>
      <c r="BH197" s="429">
        <v>9600</v>
      </c>
      <c r="BI197" s="429">
        <v>9400</v>
      </c>
      <c r="BJ197" s="429">
        <v>7200</v>
      </c>
      <c r="BK197" s="429">
        <v>8160</v>
      </c>
      <c r="BL197" s="429">
        <v>6600</v>
      </c>
      <c r="BM197" s="429">
        <v>7160</v>
      </c>
      <c r="BN197" s="429">
        <v>7880</v>
      </c>
      <c r="BO197" s="429">
        <v>6880</v>
      </c>
      <c r="BP197" s="431">
        <v>8890</v>
      </c>
      <c r="BQ197" s="428">
        <v>10160</v>
      </c>
      <c r="BR197" s="429">
        <v>9840</v>
      </c>
      <c r="BS197" s="429">
        <v>9800</v>
      </c>
      <c r="BT197" s="429">
        <v>5960</v>
      </c>
      <c r="BU197" s="429">
        <v>9200</v>
      </c>
      <c r="BV197" s="429">
        <v>6160</v>
      </c>
      <c r="BW197" s="429">
        <v>6800</v>
      </c>
      <c r="BX197" s="429">
        <v>8280</v>
      </c>
      <c r="BY197" s="429">
        <v>4040</v>
      </c>
      <c r="BZ197" s="429">
        <v>6240</v>
      </c>
      <c r="CA197" s="429">
        <v>5800</v>
      </c>
      <c r="CB197" s="429">
        <v>3280</v>
      </c>
      <c r="CC197" s="431">
        <v>7130</v>
      </c>
    </row>
    <row r="198" spans="1:81">
      <c r="A198" s="420" t="s">
        <v>200</v>
      </c>
      <c r="B198" s="420" t="s">
        <v>179</v>
      </c>
      <c r="C198" s="436">
        <f t="shared" si="79"/>
        <v>0</v>
      </c>
      <c r="D198" s="437">
        <f t="shared" si="80"/>
        <v>0</v>
      </c>
      <c r="E198" s="437">
        <f t="shared" si="81"/>
        <v>0</v>
      </c>
      <c r="F198" s="437">
        <f t="shared" si="82"/>
        <v>0</v>
      </c>
      <c r="G198" s="437">
        <f t="shared" si="83"/>
        <v>0</v>
      </c>
      <c r="H198" s="437">
        <f t="shared" si="84"/>
        <v>0</v>
      </c>
      <c r="I198" s="437">
        <f t="shared" si="85"/>
        <v>0</v>
      </c>
      <c r="J198" s="437">
        <f t="shared" si="86"/>
        <v>0</v>
      </c>
      <c r="K198" s="437">
        <f t="shared" si="87"/>
        <v>0</v>
      </c>
      <c r="L198" s="437">
        <f t="shared" si="88"/>
        <v>0</v>
      </c>
      <c r="M198" s="437">
        <f t="shared" si="89"/>
        <v>0</v>
      </c>
      <c r="N198" s="437">
        <f t="shared" si="90"/>
        <v>0</v>
      </c>
      <c r="O198" s="438">
        <f t="shared" si="91"/>
        <v>0</v>
      </c>
      <c r="P198" s="439">
        <f t="shared" si="92"/>
        <v>0</v>
      </c>
      <c r="Q198" s="437">
        <f t="shared" si="93"/>
        <v>0</v>
      </c>
      <c r="R198" s="437">
        <f t="shared" si="94"/>
        <v>0</v>
      </c>
      <c r="S198" s="437">
        <f t="shared" si="95"/>
        <v>0</v>
      </c>
      <c r="T198" s="437">
        <f t="shared" si="96"/>
        <v>0</v>
      </c>
      <c r="U198" s="437">
        <f t="shared" si="97"/>
        <v>0</v>
      </c>
      <c r="V198" s="437">
        <f t="shared" si="98"/>
        <v>0</v>
      </c>
      <c r="W198" s="437">
        <f t="shared" si="99"/>
        <v>0</v>
      </c>
      <c r="X198" s="437">
        <f t="shared" si="100"/>
        <v>0</v>
      </c>
      <c r="Y198" s="437">
        <f t="shared" si="101"/>
        <v>0</v>
      </c>
      <c r="Z198" s="437">
        <f t="shared" si="102"/>
        <v>0</v>
      </c>
      <c r="AA198" s="437">
        <f t="shared" si="103"/>
        <v>0</v>
      </c>
      <c r="AB198" s="438">
        <f t="shared" si="104"/>
        <v>0</v>
      </c>
      <c r="AC198" s="439">
        <f t="shared" si="105"/>
        <v>0</v>
      </c>
      <c r="AD198" s="437">
        <f t="shared" si="106"/>
        <v>0</v>
      </c>
      <c r="AE198" s="437">
        <f t="shared" si="107"/>
        <v>0</v>
      </c>
      <c r="AF198" s="437">
        <f t="shared" si="108"/>
        <v>0</v>
      </c>
      <c r="AG198" s="437">
        <f t="shared" si="109"/>
        <v>0</v>
      </c>
      <c r="AH198" s="437">
        <f t="shared" si="110"/>
        <v>0</v>
      </c>
      <c r="AI198" s="437">
        <f t="shared" si="111"/>
        <v>0</v>
      </c>
      <c r="AJ198" s="437">
        <f t="shared" si="112"/>
        <v>0</v>
      </c>
      <c r="AK198" s="437">
        <f t="shared" si="113"/>
        <v>0</v>
      </c>
      <c r="AL198" s="437">
        <f t="shared" si="114"/>
        <v>0</v>
      </c>
      <c r="AM198" s="437">
        <f t="shared" si="115"/>
        <v>0</v>
      </c>
      <c r="AN198" s="437">
        <f t="shared" si="116"/>
        <v>0</v>
      </c>
      <c r="AO198" s="438">
        <f t="shared" si="117"/>
        <v>0</v>
      </c>
      <c r="AQ198" s="428">
        <v>0</v>
      </c>
      <c r="AR198" s="429">
        <v>0</v>
      </c>
      <c r="AS198" s="429">
        <v>0</v>
      </c>
      <c r="AT198" s="429">
        <v>0</v>
      </c>
      <c r="AU198" s="429">
        <v>0</v>
      </c>
      <c r="AV198" s="429">
        <v>0</v>
      </c>
      <c r="AW198" s="429">
        <v>0</v>
      </c>
      <c r="AX198" s="429">
        <v>0</v>
      </c>
      <c r="AY198" s="429">
        <v>0</v>
      </c>
      <c r="AZ198" s="429">
        <v>0</v>
      </c>
      <c r="BA198" s="429">
        <v>0</v>
      </c>
      <c r="BB198" s="429">
        <v>0</v>
      </c>
      <c r="BC198" s="431">
        <v>0</v>
      </c>
      <c r="BD198" s="428">
        <v>0</v>
      </c>
      <c r="BE198" s="429">
        <v>0</v>
      </c>
      <c r="BF198" s="429">
        <v>0</v>
      </c>
      <c r="BG198" s="429">
        <v>0</v>
      </c>
      <c r="BH198" s="429">
        <v>0</v>
      </c>
      <c r="BI198" s="429">
        <v>0</v>
      </c>
      <c r="BJ198" s="429">
        <v>0</v>
      </c>
      <c r="BK198" s="429">
        <v>0</v>
      </c>
      <c r="BL198" s="429">
        <v>0</v>
      </c>
      <c r="BM198" s="429">
        <v>0</v>
      </c>
      <c r="BN198" s="429">
        <v>0</v>
      </c>
      <c r="BO198" s="429">
        <v>0</v>
      </c>
      <c r="BP198" s="431">
        <v>0</v>
      </c>
      <c r="BQ198" s="428">
        <v>0</v>
      </c>
      <c r="BR198" s="429">
        <v>0</v>
      </c>
      <c r="BS198" s="429">
        <v>0</v>
      </c>
      <c r="BT198" s="429">
        <v>0</v>
      </c>
      <c r="BU198" s="429">
        <v>0</v>
      </c>
      <c r="BV198" s="429">
        <v>0</v>
      </c>
      <c r="BW198" s="429">
        <v>0</v>
      </c>
      <c r="BX198" s="429">
        <v>0</v>
      </c>
      <c r="BY198" s="429">
        <v>0</v>
      </c>
      <c r="BZ198" s="429">
        <v>0</v>
      </c>
      <c r="CA198" s="429">
        <v>0</v>
      </c>
      <c r="CB198" s="429">
        <v>0</v>
      </c>
      <c r="CC198" s="431">
        <v>0</v>
      </c>
    </row>
    <row r="199" spans="1:81">
      <c r="A199" s="420" t="s">
        <v>200</v>
      </c>
      <c r="B199" s="420" t="s">
        <v>180</v>
      </c>
      <c r="C199" s="436">
        <f t="shared" si="79"/>
        <v>611.20000000000005</v>
      </c>
      <c r="D199" s="437">
        <f t="shared" si="80"/>
        <v>587</v>
      </c>
      <c r="E199" s="437">
        <f t="shared" si="81"/>
        <v>614.75</v>
      </c>
      <c r="F199" s="437">
        <f t="shared" si="82"/>
        <v>580</v>
      </c>
      <c r="G199" s="437">
        <f t="shared" si="83"/>
        <v>659.75</v>
      </c>
      <c r="H199" s="437">
        <f t="shared" si="84"/>
        <v>417.75</v>
      </c>
      <c r="I199" s="437">
        <f t="shared" si="85"/>
        <v>651.20000000000005</v>
      </c>
      <c r="J199" s="437">
        <f t="shared" si="86"/>
        <v>461</v>
      </c>
      <c r="K199" s="437">
        <f t="shared" si="87"/>
        <v>365.2</v>
      </c>
      <c r="L199" s="437">
        <f t="shared" si="88"/>
        <v>512</v>
      </c>
      <c r="M199" s="437">
        <f t="shared" si="89"/>
        <v>404.6</v>
      </c>
      <c r="N199" s="437">
        <f t="shared" si="90"/>
        <v>436.4</v>
      </c>
      <c r="O199" s="438">
        <f t="shared" si="91"/>
        <v>522</v>
      </c>
      <c r="P199" s="439">
        <f t="shared" si="92"/>
        <v>459</v>
      </c>
      <c r="Q199" s="437">
        <f t="shared" si="93"/>
        <v>427.2</v>
      </c>
      <c r="R199" s="437">
        <f t="shared" si="94"/>
        <v>389.2</v>
      </c>
      <c r="S199" s="437">
        <f t="shared" si="95"/>
        <v>408.6</v>
      </c>
      <c r="T199" s="437">
        <f t="shared" si="96"/>
        <v>471.2</v>
      </c>
      <c r="U199" s="437">
        <f t="shared" si="97"/>
        <v>368.4</v>
      </c>
      <c r="V199" s="437">
        <f t="shared" si="98"/>
        <v>236</v>
      </c>
      <c r="W199" s="437">
        <f t="shared" si="99"/>
        <v>356.6</v>
      </c>
      <c r="X199" s="437">
        <f t="shared" si="100"/>
        <v>313</v>
      </c>
      <c r="Y199" s="437">
        <f t="shared" si="101"/>
        <v>341.8</v>
      </c>
      <c r="Z199" s="437">
        <f t="shared" si="102"/>
        <v>446.2</v>
      </c>
      <c r="AA199" s="437">
        <f t="shared" si="103"/>
        <v>456.6</v>
      </c>
      <c r="AB199" s="438">
        <f t="shared" si="104"/>
        <v>389.48333333333335</v>
      </c>
      <c r="AC199" s="439">
        <f t="shared" si="105"/>
        <v>483.8</v>
      </c>
      <c r="AD199" s="437">
        <f t="shared" si="106"/>
        <v>481.2</v>
      </c>
      <c r="AE199" s="437">
        <f t="shared" si="107"/>
        <v>956.6</v>
      </c>
      <c r="AF199" s="437">
        <f t="shared" si="108"/>
        <v>866</v>
      </c>
      <c r="AG199" s="437">
        <f t="shared" si="109"/>
        <v>686.6</v>
      </c>
      <c r="AH199" s="437">
        <f t="shared" si="110"/>
        <v>339.2</v>
      </c>
      <c r="AI199" s="437">
        <f t="shared" si="111"/>
        <v>454</v>
      </c>
      <c r="AJ199" s="437">
        <f t="shared" si="112"/>
        <v>667.4</v>
      </c>
      <c r="AK199" s="437">
        <f t="shared" si="113"/>
        <v>362</v>
      </c>
      <c r="AL199" s="437">
        <f t="shared" si="114"/>
        <v>639.6</v>
      </c>
      <c r="AM199" s="437">
        <f t="shared" si="115"/>
        <v>601.79999999999995</v>
      </c>
      <c r="AN199" s="437">
        <f t="shared" si="116"/>
        <v>679.4</v>
      </c>
      <c r="AO199" s="438">
        <f t="shared" si="117"/>
        <v>601.4666666666667</v>
      </c>
      <c r="AQ199" s="428">
        <v>611.20000000000005</v>
      </c>
      <c r="AR199" s="429">
        <v>587</v>
      </c>
      <c r="AS199" s="429">
        <v>614.75</v>
      </c>
      <c r="AT199" s="429">
        <v>580</v>
      </c>
      <c r="AU199" s="429">
        <v>659.75</v>
      </c>
      <c r="AV199" s="429">
        <v>417.75</v>
      </c>
      <c r="AW199" s="429">
        <v>651.20000000000005</v>
      </c>
      <c r="AX199" s="429">
        <v>461</v>
      </c>
      <c r="AY199" s="429">
        <v>365.2</v>
      </c>
      <c r="AZ199" s="429">
        <v>512</v>
      </c>
      <c r="BA199" s="429">
        <v>404.6</v>
      </c>
      <c r="BB199" s="429">
        <v>436.4</v>
      </c>
      <c r="BC199" s="431">
        <v>522</v>
      </c>
      <c r="BD199" s="428">
        <v>459</v>
      </c>
      <c r="BE199" s="429">
        <v>427.2</v>
      </c>
      <c r="BF199" s="429">
        <v>389.2</v>
      </c>
      <c r="BG199" s="429">
        <v>408.6</v>
      </c>
      <c r="BH199" s="429">
        <v>471.2</v>
      </c>
      <c r="BI199" s="429">
        <v>368.4</v>
      </c>
      <c r="BJ199" s="429">
        <v>236</v>
      </c>
      <c r="BK199" s="429">
        <v>356.6</v>
      </c>
      <c r="BL199" s="429">
        <v>313</v>
      </c>
      <c r="BM199" s="429">
        <v>341.8</v>
      </c>
      <c r="BN199" s="429">
        <v>446.2</v>
      </c>
      <c r="BO199" s="429">
        <v>456.6</v>
      </c>
      <c r="BP199" s="431">
        <v>389.48333333333335</v>
      </c>
      <c r="BQ199" s="428">
        <v>483.8</v>
      </c>
      <c r="BR199" s="429">
        <v>481.2</v>
      </c>
      <c r="BS199" s="429">
        <v>956.6</v>
      </c>
      <c r="BT199" s="429">
        <v>866</v>
      </c>
      <c r="BU199" s="429">
        <v>686.6</v>
      </c>
      <c r="BV199" s="429">
        <v>339.2</v>
      </c>
      <c r="BW199" s="429">
        <v>454</v>
      </c>
      <c r="BX199" s="429">
        <v>667.4</v>
      </c>
      <c r="BY199" s="429">
        <v>362</v>
      </c>
      <c r="BZ199" s="429">
        <v>639.6</v>
      </c>
      <c r="CA199" s="429">
        <v>601.79999999999995</v>
      </c>
      <c r="CB199" s="429">
        <v>679.4</v>
      </c>
      <c r="CC199" s="431">
        <v>601.4666666666667</v>
      </c>
    </row>
    <row r="200" spans="1:81">
      <c r="A200" s="420" t="s">
        <v>200</v>
      </c>
      <c r="B200" s="420" t="s">
        <v>181</v>
      </c>
      <c r="C200" s="436">
        <f t="shared" ref="C200:C224" si="131">IF(AQ200&lt;0,0,AQ200)</f>
        <v>0</v>
      </c>
      <c r="D200" s="437">
        <f t="shared" ref="D200:D224" si="132">IF(AR200&lt;0,0,AR200)</f>
        <v>0</v>
      </c>
      <c r="E200" s="437">
        <f t="shared" ref="E200:E224" si="133">IF(AS200&lt;0,0,AS200)</f>
        <v>0</v>
      </c>
      <c r="F200" s="437">
        <f t="shared" ref="F200:F224" si="134">IF(AT200&lt;0,0,AT200)</f>
        <v>0</v>
      </c>
      <c r="G200" s="437">
        <f t="shared" ref="G200:G224" si="135">IF(AU200&lt;0,0,AU200)</f>
        <v>0</v>
      </c>
      <c r="H200" s="437">
        <f t="shared" ref="H200:H224" si="136">IF(AV200&lt;0,0,AV200)</f>
        <v>0</v>
      </c>
      <c r="I200" s="437">
        <f t="shared" ref="I200:I224" si="137">IF(AW200&lt;0,0,AW200)</f>
        <v>0</v>
      </c>
      <c r="J200" s="437">
        <f t="shared" ref="J200:J224" si="138">IF(AX200&lt;0,0,AX200)</f>
        <v>0</v>
      </c>
      <c r="K200" s="437">
        <f t="shared" ref="K200:K224" si="139">IF(AY200&lt;0,0,AY200)</f>
        <v>0</v>
      </c>
      <c r="L200" s="437">
        <f t="shared" ref="L200:L224" si="140">IF(AZ200&lt;0,0,AZ200)</f>
        <v>0</v>
      </c>
      <c r="M200" s="437">
        <f t="shared" ref="M200:M224" si="141">IF(BA200&lt;0,0,BA200)</f>
        <v>0</v>
      </c>
      <c r="N200" s="437">
        <f t="shared" ref="N200:N224" si="142">IF(BB200&lt;0,0,BB200)</f>
        <v>0</v>
      </c>
      <c r="O200" s="438">
        <f t="shared" ref="O200:O224" si="143">IF(BC200&lt;0,0,BC200)</f>
        <v>0</v>
      </c>
      <c r="P200" s="439">
        <f t="shared" ref="P200:P224" si="144">IF(BD200&lt;0,0,BD200)</f>
        <v>0</v>
      </c>
      <c r="Q200" s="437">
        <f t="shared" ref="Q200:Q224" si="145">IF(BE200&lt;0,0,BE200)</f>
        <v>0</v>
      </c>
      <c r="R200" s="437">
        <f t="shared" ref="R200:R224" si="146">IF(BF200&lt;0,0,BF200)</f>
        <v>0</v>
      </c>
      <c r="S200" s="437">
        <f t="shared" ref="S200:S224" si="147">IF(BG200&lt;0,0,BG200)</f>
        <v>0</v>
      </c>
      <c r="T200" s="437">
        <f t="shared" ref="T200:T224" si="148">IF(BH200&lt;0,0,BH200)</f>
        <v>0</v>
      </c>
      <c r="U200" s="437">
        <f t="shared" ref="U200:U224" si="149">IF(BI200&lt;0,0,BI200)</f>
        <v>0</v>
      </c>
      <c r="V200" s="437">
        <f t="shared" ref="V200:V224" si="150">IF(BJ200&lt;0,0,BJ200)</f>
        <v>0</v>
      </c>
      <c r="W200" s="437">
        <f t="shared" ref="W200:W224" si="151">IF(BK200&lt;0,0,BK200)</f>
        <v>0</v>
      </c>
      <c r="X200" s="437">
        <f t="shared" ref="X200:X224" si="152">IF(BL200&lt;0,0,BL200)</f>
        <v>0</v>
      </c>
      <c r="Y200" s="437">
        <f t="shared" ref="Y200:Y224" si="153">IF(BM200&lt;0,0,BM200)</f>
        <v>0</v>
      </c>
      <c r="Z200" s="437">
        <f t="shared" ref="Z200:Z224" si="154">IF(BN200&lt;0,0,BN200)</f>
        <v>0</v>
      </c>
      <c r="AA200" s="437">
        <f t="shared" ref="AA200:AA224" si="155">IF(BO200&lt;0,0,BO200)</f>
        <v>0</v>
      </c>
      <c r="AB200" s="438">
        <f t="shared" ref="AB200:AB224" si="156">IF(BP200&lt;0,0,BP200)</f>
        <v>0</v>
      </c>
      <c r="AC200" s="439">
        <f t="shared" ref="AC200:AC224" si="157">IF(BQ200&lt;0,0,BQ200)</f>
        <v>0</v>
      </c>
      <c r="AD200" s="437">
        <f t="shared" ref="AD200:AD224" si="158">IF(BR200&lt;0,0,BR200)</f>
        <v>0</v>
      </c>
      <c r="AE200" s="437">
        <f t="shared" ref="AE200:AE224" si="159">IF(BS200&lt;0,0,BS200)</f>
        <v>0</v>
      </c>
      <c r="AF200" s="437">
        <f t="shared" ref="AF200:AF224" si="160">IF(BT200&lt;0,0,BT200)</f>
        <v>0</v>
      </c>
      <c r="AG200" s="437">
        <f t="shared" ref="AG200:AG224" si="161">IF(BU200&lt;0,0,BU200)</f>
        <v>0</v>
      </c>
      <c r="AH200" s="437">
        <f t="shared" ref="AH200:AH224" si="162">IF(BV200&lt;0,0,BV200)</f>
        <v>0</v>
      </c>
      <c r="AI200" s="437">
        <f t="shared" ref="AI200:AI224" si="163">IF(BW200&lt;0,0,BW200)</f>
        <v>0</v>
      </c>
      <c r="AJ200" s="437">
        <f t="shared" ref="AJ200:AJ224" si="164">IF(BX200&lt;0,0,BX200)</f>
        <v>0</v>
      </c>
      <c r="AK200" s="437">
        <f t="shared" ref="AK200:AK224" si="165">IF(BY200&lt;0,0,BY200)</f>
        <v>0</v>
      </c>
      <c r="AL200" s="437">
        <f t="shared" ref="AL200:AL224" si="166">IF(BZ200&lt;0,0,BZ200)</f>
        <v>0</v>
      </c>
      <c r="AM200" s="437">
        <f t="shared" ref="AM200:AM224" si="167">IF(CA200&lt;0,0,CA200)</f>
        <v>0</v>
      </c>
      <c r="AN200" s="437">
        <f t="shared" ref="AN200:AN224" si="168">IF(CB200&lt;0,0,CB200)</f>
        <v>0</v>
      </c>
      <c r="AO200" s="438">
        <f t="shared" ref="AO200:AO224" si="169">IF(CC200&lt;0,0,CC200)</f>
        <v>0</v>
      </c>
      <c r="AQ200" s="428">
        <v>0</v>
      </c>
      <c r="AR200" s="429">
        <v>0</v>
      </c>
      <c r="AS200" s="429">
        <v>0</v>
      </c>
      <c r="AT200" s="429">
        <v>0</v>
      </c>
      <c r="AU200" s="429">
        <v>0</v>
      </c>
      <c r="AV200" s="429">
        <v>0</v>
      </c>
      <c r="AW200" s="429">
        <v>0</v>
      </c>
      <c r="AX200" s="429">
        <v>0</v>
      </c>
      <c r="AY200" s="429">
        <v>0</v>
      </c>
      <c r="AZ200" s="429">
        <v>0</v>
      </c>
      <c r="BA200" s="429">
        <v>0</v>
      </c>
      <c r="BB200" s="429">
        <v>0</v>
      </c>
      <c r="BC200" s="431">
        <v>0</v>
      </c>
      <c r="BD200" s="428">
        <v>0</v>
      </c>
      <c r="BE200" s="429">
        <v>0</v>
      </c>
      <c r="BF200" s="429">
        <v>0</v>
      </c>
      <c r="BG200" s="429">
        <v>0</v>
      </c>
      <c r="BH200" s="429">
        <v>0</v>
      </c>
      <c r="BI200" s="429">
        <v>0</v>
      </c>
      <c r="BJ200" s="429">
        <v>0</v>
      </c>
      <c r="BK200" s="429">
        <v>0</v>
      </c>
      <c r="BL200" s="429">
        <v>0</v>
      </c>
      <c r="BM200" s="429">
        <v>0</v>
      </c>
      <c r="BN200" s="429">
        <v>0</v>
      </c>
      <c r="BO200" s="429">
        <v>0</v>
      </c>
      <c r="BP200" s="431">
        <v>0</v>
      </c>
      <c r="BQ200" s="428">
        <v>0</v>
      </c>
      <c r="BR200" s="429">
        <v>0</v>
      </c>
      <c r="BS200" s="429">
        <v>0</v>
      </c>
      <c r="BT200" s="429">
        <v>0</v>
      </c>
      <c r="BU200" s="429">
        <v>0</v>
      </c>
      <c r="BV200" s="429">
        <v>0</v>
      </c>
      <c r="BW200" s="429">
        <v>0</v>
      </c>
      <c r="BX200" s="429">
        <v>0</v>
      </c>
      <c r="BY200" s="429">
        <v>0</v>
      </c>
      <c r="BZ200" s="429">
        <v>0</v>
      </c>
      <c r="CA200" s="429">
        <v>0</v>
      </c>
      <c r="CB200" s="429">
        <v>0</v>
      </c>
      <c r="CC200" s="431">
        <v>0</v>
      </c>
    </row>
    <row r="201" spans="1:81">
      <c r="A201" s="420" t="s">
        <v>200</v>
      </c>
      <c r="B201" s="420" t="s">
        <v>182</v>
      </c>
      <c r="C201" s="436">
        <f t="shared" si="131"/>
        <v>5429.833333333333</v>
      </c>
      <c r="D201" s="437">
        <f t="shared" si="132"/>
        <v>4710</v>
      </c>
      <c r="E201" s="437">
        <f t="shared" si="133"/>
        <v>4357.6153846153848</v>
      </c>
      <c r="F201" s="437">
        <f t="shared" si="134"/>
        <v>4023.9166666666665</v>
      </c>
      <c r="G201" s="437">
        <f t="shared" si="135"/>
        <v>4708.416666666667</v>
      </c>
      <c r="H201" s="437">
        <f t="shared" si="136"/>
        <v>2088.3333333333335</v>
      </c>
      <c r="I201" s="437">
        <f t="shared" si="137"/>
        <v>2116.6666666666665</v>
      </c>
      <c r="J201" s="437">
        <f t="shared" si="138"/>
        <v>1395.4615384615386</v>
      </c>
      <c r="K201" s="437">
        <f t="shared" si="139"/>
        <v>0</v>
      </c>
      <c r="L201" s="437">
        <f t="shared" si="140"/>
        <v>2531.2777777777778</v>
      </c>
      <c r="M201" s="437">
        <f t="shared" si="141"/>
        <v>2316.8461538461538</v>
      </c>
      <c r="N201" s="437">
        <f t="shared" si="142"/>
        <v>3312.3846153846152</v>
      </c>
      <c r="O201" s="438">
        <f t="shared" si="143"/>
        <v>2670.6835443037976</v>
      </c>
      <c r="P201" s="439">
        <f t="shared" si="144"/>
        <v>4396.5384615384619</v>
      </c>
      <c r="Q201" s="437">
        <f t="shared" si="145"/>
        <v>4396.9230769230771</v>
      </c>
      <c r="R201" s="437">
        <f t="shared" si="146"/>
        <v>3948.2307692307691</v>
      </c>
      <c r="S201" s="437">
        <f t="shared" si="147"/>
        <v>3761</v>
      </c>
      <c r="T201" s="437">
        <f t="shared" si="148"/>
        <v>3477.2142857142858</v>
      </c>
      <c r="U201" s="437">
        <f t="shared" si="149"/>
        <v>2160.7692307692309</v>
      </c>
      <c r="V201" s="437">
        <f t="shared" si="150"/>
        <v>1371.9230769230769</v>
      </c>
      <c r="W201" s="437">
        <f t="shared" si="151"/>
        <v>1732.3333333333333</v>
      </c>
      <c r="X201" s="437">
        <f t="shared" si="152"/>
        <v>1438</v>
      </c>
      <c r="Y201" s="437">
        <f t="shared" si="153"/>
        <v>2028.0833333333333</v>
      </c>
      <c r="Z201" s="437">
        <f t="shared" si="154"/>
        <v>2476.9230769230771</v>
      </c>
      <c r="AA201" s="437">
        <f t="shared" si="155"/>
        <v>2825</v>
      </c>
      <c r="AB201" s="438">
        <f t="shared" si="156"/>
        <v>2856.503184713376</v>
      </c>
      <c r="AC201" s="439">
        <f t="shared" si="157"/>
        <v>4079.2307692307691</v>
      </c>
      <c r="AD201" s="437">
        <f t="shared" si="158"/>
        <v>2945</v>
      </c>
      <c r="AE201" s="437">
        <f t="shared" si="159"/>
        <v>3775.6153846153848</v>
      </c>
      <c r="AF201" s="437">
        <f t="shared" si="160"/>
        <v>3100.0769230769229</v>
      </c>
      <c r="AG201" s="437">
        <f t="shared" si="161"/>
        <v>2931.6153846153848</v>
      </c>
      <c r="AH201" s="437">
        <f t="shared" si="162"/>
        <v>2093.3333333333335</v>
      </c>
      <c r="AI201" s="437">
        <f t="shared" si="163"/>
        <v>1747.3333333333333</v>
      </c>
      <c r="AJ201" s="437">
        <f t="shared" si="164"/>
        <v>2095.5</v>
      </c>
      <c r="AK201" s="437">
        <f t="shared" si="165"/>
        <v>2032</v>
      </c>
      <c r="AL201" s="437">
        <f t="shared" si="166"/>
        <v>2236.6666666666665</v>
      </c>
      <c r="AM201" s="437">
        <f t="shared" si="167"/>
        <v>1826.0588235294117</v>
      </c>
      <c r="AN201" s="437">
        <f t="shared" si="168"/>
        <v>3269.625</v>
      </c>
      <c r="AO201" s="438">
        <f t="shared" si="169"/>
        <v>2671.679012345679</v>
      </c>
      <c r="AQ201" s="428">
        <v>5429.833333333333</v>
      </c>
      <c r="AR201" s="429">
        <v>4710</v>
      </c>
      <c r="AS201" s="429">
        <v>4357.6153846153848</v>
      </c>
      <c r="AT201" s="429">
        <v>4023.9166666666665</v>
      </c>
      <c r="AU201" s="429">
        <v>4708.416666666667</v>
      </c>
      <c r="AV201" s="429">
        <v>2088.3333333333335</v>
      </c>
      <c r="AW201" s="429">
        <v>2116.6666666666665</v>
      </c>
      <c r="AX201" s="429">
        <v>1395.4615384615386</v>
      </c>
      <c r="AY201" s="429">
        <v>-3546.7333333333331</v>
      </c>
      <c r="AZ201" s="429">
        <v>2531.2777777777778</v>
      </c>
      <c r="BA201" s="429">
        <v>2316.8461538461538</v>
      </c>
      <c r="BB201" s="429">
        <v>3312.3846153846152</v>
      </c>
      <c r="BC201" s="431">
        <v>2670.6835443037976</v>
      </c>
      <c r="BD201" s="428">
        <v>4396.5384615384619</v>
      </c>
      <c r="BE201" s="429">
        <v>4396.9230769230771</v>
      </c>
      <c r="BF201" s="429">
        <v>3948.2307692307691</v>
      </c>
      <c r="BG201" s="429">
        <v>3761</v>
      </c>
      <c r="BH201" s="429">
        <v>3477.2142857142858</v>
      </c>
      <c r="BI201" s="429">
        <v>2160.7692307692309</v>
      </c>
      <c r="BJ201" s="429">
        <v>1371.9230769230769</v>
      </c>
      <c r="BK201" s="429">
        <v>1732.3333333333333</v>
      </c>
      <c r="BL201" s="429">
        <v>1438</v>
      </c>
      <c r="BM201" s="429">
        <v>2028.0833333333333</v>
      </c>
      <c r="BN201" s="429">
        <v>2476.9230769230771</v>
      </c>
      <c r="BO201" s="429">
        <v>2825</v>
      </c>
      <c r="BP201" s="431">
        <v>2856.503184713376</v>
      </c>
      <c r="BQ201" s="428">
        <v>4079.2307692307691</v>
      </c>
      <c r="BR201" s="429">
        <v>2945</v>
      </c>
      <c r="BS201" s="429">
        <v>3775.6153846153848</v>
      </c>
      <c r="BT201" s="429">
        <v>3100.0769230769229</v>
      </c>
      <c r="BU201" s="429">
        <v>2931.6153846153848</v>
      </c>
      <c r="BV201" s="429">
        <v>2093.3333333333335</v>
      </c>
      <c r="BW201" s="429">
        <v>1747.3333333333333</v>
      </c>
      <c r="BX201" s="429">
        <v>2095.5</v>
      </c>
      <c r="BY201" s="429">
        <v>2032</v>
      </c>
      <c r="BZ201" s="429">
        <v>2236.6666666666665</v>
      </c>
      <c r="CA201" s="429">
        <v>1826.0588235294117</v>
      </c>
      <c r="CB201" s="429">
        <v>3269.625</v>
      </c>
      <c r="CC201" s="431">
        <v>2671.679012345679</v>
      </c>
    </row>
    <row r="202" spans="1:81">
      <c r="A202" s="420" t="s">
        <v>200</v>
      </c>
      <c r="B202" s="420" t="s">
        <v>183</v>
      </c>
      <c r="C202" s="436">
        <f t="shared" si="131"/>
        <v>0</v>
      </c>
      <c r="D202" s="437">
        <f t="shared" si="132"/>
        <v>0</v>
      </c>
      <c r="E202" s="437">
        <f t="shared" si="133"/>
        <v>0</v>
      </c>
      <c r="F202" s="437">
        <f t="shared" si="134"/>
        <v>0</v>
      </c>
      <c r="G202" s="437">
        <f t="shared" si="135"/>
        <v>0</v>
      </c>
      <c r="H202" s="437">
        <f t="shared" si="136"/>
        <v>0</v>
      </c>
      <c r="I202" s="437">
        <f t="shared" si="137"/>
        <v>0</v>
      </c>
      <c r="J202" s="437">
        <f t="shared" si="138"/>
        <v>0</v>
      </c>
      <c r="K202" s="437">
        <f t="shared" si="139"/>
        <v>0</v>
      </c>
      <c r="L202" s="437">
        <f t="shared" si="140"/>
        <v>0</v>
      </c>
      <c r="M202" s="437">
        <f t="shared" si="141"/>
        <v>0</v>
      </c>
      <c r="N202" s="437">
        <f t="shared" si="142"/>
        <v>0</v>
      </c>
      <c r="O202" s="438">
        <f t="shared" si="143"/>
        <v>0</v>
      </c>
      <c r="P202" s="439">
        <f t="shared" si="144"/>
        <v>0</v>
      </c>
      <c r="Q202" s="437">
        <f t="shared" si="145"/>
        <v>0</v>
      </c>
      <c r="R202" s="437">
        <f t="shared" si="146"/>
        <v>0</v>
      </c>
      <c r="S202" s="437">
        <f t="shared" si="147"/>
        <v>0</v>
      </c>
      <c r="T202" s="437">
        <f t="shared" si="148"/>
        <v>0</v>
      </c>
      <c r="U202" s="437">
        <f t="shared" si="149"/>
        <v>0</v>
      </c>
      <c r="V202" s="437">
        <f t="shared" si="150"/>
        <v>0</v>
      </c>
      <c r="W202" s="437">
        <f t="shared" si="151"/>
        <v>0</v>
      </c>
      <c r="X202" s="437">
        <f t="shared" si="152"/>
        <v>0</v>
      </c>
      <c r="Y202" s="437">
        <f t="shared" si="153"/>
        <v>0</v>
      </c>
      <c r="Z202" s="437">
        <f t="shared" si="154"/>
        <v>0</v>
      </c>
      <c r="AA202" s="437">
        <f t="shared" si="155"/>
        <v>0</v>
      </c>
      <c r="AB202" s="438">
        <f t="shared" si="156"/>
        <v>0</v>
      </c>
      <c r="AC202" s="439">
        <f t="shared" si="157"/>
        <v>0</v>
      </c>
      <c r="AD202" s="437">
        <f t="shared" si="158"/>
        <v>0</v>
      </c>
      <c r="AE202" s="437">
        <f t="shared" si="159"/>
        <v>0</v>
      </c>
      <c r="AF202" s="437">
        <f t="shared" si="160"/>
        <v>0</v>
      </c>
      <c r="AG202" s="437">
        <f t="shared" si="161"/>
        <v>0</v>
      </c>
      <c r="AH202" s="437">
        <f t="shared" si="162"/>
        <v>0</v>
      </c>
      <c r="AI202" s="437">
        <f t="shared" si="163"/>
        <v>0</v>
      </c>
      <c r="AJ202" s="437">
        <f t="shared" si="164"/>
        <v>0</v>
      </c>
      <c r="AK202" s="437">
        <f t="shared" si="165"/>
        <v>0</v>
      </c>
      <c r="AL202" s="437">
        <f t="shared" si="166"/>
        <v>0</v>
      </c>
      <c r="AM202" s="437">
        <f t="shared" si="167"/>
        <v>0</v>
      </c>
      <c r="AN202" s="437">
        <f t="shared" si="168"/>
        <v>0</v>
      </c>
      <c r="AO202" s="438">
        <f t="shared" si="169"/>
        <v>0</v>
      </c>
      <c r="AQ202" s="428">
        <v>0</v>
      </c>
      <c r="AR202" s="429">
        <v>0</v>
      </c>
      <c r="AS202" s="429">
        <v>0</v>
      </c>
      <c r="AT202" s="429">
        <v>0</v>
      </c>
      <c r="AU202" s="429">
        <v>0</v>
      </c>
      <c r="AV202" s="429">
        <v>0</v>
      </c>
      <c r="AW202" s="429">
        <v>0</v>
      </c>
      <c r="AX202" s="429">
        <v>0</v>
      </c>
      <c r="AY202" s="429">
        <v>0</v>
      </c>
      <c r="AZ202" s="429">
        <v>0</v>
      </c>
      <c r="BA202" s="429">
        <v>0</v>
      </c>
      <c r="BB202" s="429">
        <v>0</v>
      </c>
      <c r="BC202" s="431">
        <v>0</v>
      </c>
      <c r="BD202" s="428">
        <v>0</v>
      </c>
      <c r="BE202" s="429">
        <v>0</v>
      </c>
      <c r="BF202" s="429">
        <v>0</v>
      </c>
      <c r="BG202" s="429">
        <v>0</v>
      </c>
      <c r="BH202" s="429">
        <v>0</v>
      </c>
      <c r="BI202" s="429">
        <v>0</v>
      </c>
      <c r="BJ202" s="429">
        <v>0</v>
      </c>
      <c r="BK202" s="429">
        <v>0</v>
      </c>
      <c r="BL202" s="429">
        <v>0</v>
      </c>
      <c r="BM202" s="429">
        <v>0</v>
      </c>
      <c r="BN202" s="429">
        <v>0</v>
      </c>
      <c r="BO202" s="429">
        <v>0</v>
      </c>
      <c r="BP202" s="431">
        <v>0</v>
      </c>
      <c r="BQ202" s="428">
        <v>0</v>
      </c>
      <c r="BR202" s="429">
        <v>0</v>
      </c>
      <c r="BS202" s="429">
        <v>0</v>
      </c>
      <c r="BT202" s="429">
        <v>0</v>
      </c>
      <c r="BU202" s="429">
        <v>0</v>
      </c>
      <c r="BV202" s="429">
        <v>0</v>
      </c>
      <c r="BW202" s="429">
        <v>0</v>
      </c>
      <c r="BX202" s="429">
        <v>0</v>
      </c>
      <c r="BY202" s="429">
        <v>0</v>
      </c>
      <c r="BZ202" s="429">
        <v>0</v>
      </c>
      <c r="CA202" s="429">
        <v>0</v>
      </c>
      <c r="CB202" s="429">
        <v>0</v>
      </c>
      <c r="CC202" s="431">
        <v>0</v>
      </c>
    </row>
    <row r="203" spans="1:81">
      <c r="A203" s="445"/>
      <c r="B203" s="445"/>
      <c r="C203" s="446"/>
      <c r="D203" s="447"/>
      <c r="E203" s="447"/>
      <c r="F203" s="447"/>
      <c r="G203" s="447"/>
      <c r="H203" s="447"/>
      <c r="I203" s="447"/>
      <c r="J203" s="447"/>
      <c r="K203" s="447"/>
      <c r="L203" s="447"/>
      <c r="M203" s="447"/>
      <c r="N203" s="447"/>
      <c r="O203" s="448"/>
      <c r="P203" s="449"/>
      <c r="Q203" s="447"/>
      <c r="R203" s="447"/>
      <c r="S203" s="447"/>
      <c r="T203" s="447"/>
      <c r="U203" s="447"/>
      <c r="V203" s="447"/>
      <c r="W203" s="447"/>
      <c r="X203" s="447"/>
      <c r="Y203" s="447"/>
      <c r="Z203" s="447"/>
      <c r="AA203" s="447"/>
      <c r="AB203" s="448"/>
      <c r="AC203" s="449"/>
      <c r="AD203" s="447"/>
      <c r="AE203" s="447"/>
      <c r="AF203" s="447"/>
      <c r="AG203" s="447"/>
      <c r="AH203" s="447"/>
      <c r="AI203" s="447"/>
      <c r="AJ203" s="447"/>
      <c r="AK203" s="447"/>
      <c r="AL203" s="447"/>
      <c r="AM203" s="447"/>
      <c r="AN203" s="447"/>
      <c r="AO203" s="448"/>
      <c r="AQ203" s="450"/>
      <c r="AR203" s="451"/>
      <c r="AS203" s="451"/>
      <c r="AT203" s="451"/>
      <c r="AU203" s="451"/>
      <c r="AV203" s="451"/>
      <c r="AW203" s="451"/>
      <c r="AX203" s="451"/>
      <c r="AY203" s="451"/>
      <c r="AZ203" s="451"/>
      <c r="BA203" s="451"/>
      <c r="BB203" s="451"/>
      <c r="BC203" s="452"/>
      <c r="BD203" s="453"/>
      <c r="BE203" s="451"/>
      <c r="BF203" s="451"/>
      <c r="BG203" s="451"/>
      <c r="BH203" s="451"/>
      <c r="BI203" s="451"/>
      <c r="BJ203" s="451"/>
      <c r="BK203" s="451"/>
      <c r="BL203" s="451"/>
      <c r="BM203" s="451"/>
      <c r="BN203" s="451"/>
      <c r="BO203" s="451"/>
      <c r="BP203" s="452"/>
      <c r="BQ203" s="453"/>
      <c r="BR203" s="451"/>
      <c r="BS203" s="451"/>
      <c r="BT203" s="451"/>
      <c r="BU203" s="451"/>
      <c r="BV203" s="451"/>
      <c r="BW203" s="451"/>
      <c r="BX203" s="451"/>
      <c r="BY203" s="451"/>
      <c r="BZ203" s="451"/>
      <c r="CA203" s="451"/>
      <c r="CB203" s="451"/>
      <c r="CC203" s="452"/>
    </row>
    <row r="204" spans="1:81">
      <c r="B204" s="456" t="s">
        <v>201</v>
      </c>
      <c r="C204" s="436"/>
      <c r="D204" s="437"/>
      <c r="E204" s="437"/>
      <c r="F204" s="437"/>
      <c r="G204" s="437"/>
      <c r="H204" s="437"/>
      <c r="I204" s="437"/>
      <c r="J204" s="437"/>
      <c r="K204" s="437"/>
      <c r="L204" s="437"/>
      <c r="M204" s="437"/>
      <c r="N204" s="437"/>
      <c r="O204" s="438"/>
      <c r="P204" s="439"/>
      <c r="Q204" s="437"/>
      <c r="R204" s="437"/>
      <c r="S204" s="437"/>
      <c r="T204" s="437"/>
      <c r="U204" s="437"/>
      <c r="V204" s="437"/>
      <c r="W204" s="437"/>
      <c r="X204" s="437"/>
      <c r="Y204" s="437"/>
      <c r="Z204" s="437"/>
      <c r="AA204" s="437"/>
      <c r="AB204" s="438"/>
      <c r="AC204" s="439"/>
      <c r="AD204" s="437"/>
      <c r="AE204" s="437"/>
      <c r="AF204" s="437"/>
      <c r="AG204" s="437"/>
      <c r="AH204" s="437"/>
      <c r="AI204" s="437"/>
      <c r="AJ204" s="437"/>
      <c r="AK204" s="437"/>
      <c r="AL204" s="437"/>
      <c r="AM204" s="437"/>
      <c r="AN204" s="437"/>
      <c r="AO204" s="438"/>
      <c r="AQ204" s="428"/>
      <c r="AR204" s="429"/>
      <c r="AS204" s="429"/>
      <c r="AT204" s="429"/>
      <c r="AU204" s="429"/>
      <c r="AV204" s="429"/>
      <c r="AW204" s="429"/>
      <c r="AX204" s="429"/>
      <c r="AY204" s="429"/>
      <c r="AZ204" s="429"/>
      <c r="BA204" s="429"/>
      <c r="BB204" s="429"/>
      <c r="BC204" s="431"/>
      <c r="BD204" s="428"/>
      <c r="BE204" s="429"/>
      <c r="BF204" s="429"/>
      <c r="BG204" s="429"/>
      <c r="BH204" s="429"/>
      <c r="BI204" s="429"/>
      <c r="BJ204" s="429"/>
      <c r="BK204" s="429"/>
      <c r="BL204" s="429"/>
      <c r="BM204" s="429"/>
      <c r="BN204" s="429"/>
      <c r="BO204" s="429"/>
      <c r="BP204" s="431"/>
      <c r="BQ204" s="428"/>
      <c r="BR204" s="429"/>
      <c r="BS204" s="429"/>
      <c r="BT204" s="429"/>
      <c r="BU204" s="429"/>
      <c r="BV204" s="429"/>
      <c r="BW204" s="429"/>
      <c r="BX204" s="429"/>
      <c r="BY204" s="429"/>
      <c r="BZ204" s="429"/>
      <c r="CA204" s="429"/>
      <c r="CB204" s="429"/>
      <c r="CC204" s="431"/>
    </row>
    <row r="205" spans="1:81">
      <c r="A205" s="420" t="s">
        <v>201</v>
      </c>
      <c r="B205" s="420" t="s">
        <v>175</v>
      </c>
      <c r="C205" s="436">
        <f t="shared" si="131"/>
        <v>1635.7</v>
      </c>
      <c r="D205" s="437">
        <f t="shared" si="132"/>
        <v>1368.0887096774193</v>
      </c>
      <c r="E205" s="437">
        <f t="shared" si="133"/>
        <v>1417.0846774193549</v>
      </c>
      <c r="F205" s="437">
        <f t="shared" si="134"/>
        <v>1348.4736842105262</v>
      </c>
      <c r="G205" s="437">
        <f t="shared" si="135"/>
        <v>1255.2073170731708</v>
      </c>
      <c r="H205" s="437">
        <f t="shared" si="136"/>
        <v>1172.9243027888447</v>
      </c>
      <c r="I205" s="437">
        <f t="shared" si="137"/>
        <v>877.34241245136184</v>
      </c>
      <c r="J205" s="437">
        <f t="shared" si="138"/>
        <v>800.91532258064512</v>
      </c>
      <c r="K205" s="437">
        <f t="shared" si="139"/>
        <v>848.16205533596838</v>
      </c>
      <c r="L205" s="437">
        <f t="shared" si="140"/>
        <v>1016.7480314960629</v>
      </c>
      <c r="M205" s="437">
        <f t="shared" si="141"/>
        <v>1170</v>
      </c>
      <c r="N205" s="437">
        <f t="shared" si="142"/>
        <v>1205.03125</v>
      </c>
      <c r="O205" s="438">
        <f t="shared" si="143"/>
        <v>1174.8080371969445</v>
      </c>
      <c r="P205" s="439">
        <f t="shared" si="144"/>
        <v>1676</v>
      </c>
      <c r="Q205" s="437">
        <f t="shared" si="145"/>
        <v>1575.2316602316603</v>
      </c>
      <c r="R205" s="437">
        <f t="shared" si="146"/>
        <v>1433.2230769230769</v>
      </c>
      <c r="S205" s="437">
        <f t="shared" si="147"/>
        <v>1319.6574803149606</v>
      </c>
      <c r="T205" s="437">
        <f t="shared" si="148"/>
        <v>1412.15625</v>
      </c>
      <c r="U205" s="437">
        <f t="shared" si="149"/>
        <v>1114.1803921568628</v>
      </c>
      <c r="V205" s="437">
        <f t="shared" si="150"/>
        <v>920.07086614173227</v>
      </c>
      <c r="W205" s="437">
        <f t="shared" si="151"/>
        <v>895.9341085271318</v>
      </c>
      <c r="X205" s="437">
        <f t="shared" si="152"/>
        <v>860.15953307392999</v>
      </c>
      <c r="Y205" s="437">
        <f t="shared" si="153"/>
        <v>939.8650793650794</v>
      </c>
      <c r="Z205" s="437">
        <f t="shared" si="154"/>
        <v>1236.9209486166008</v>
      </c>
      <c r="AA205" s="437">
        <f t="shared" si="155"/>
        <v>1211.8253968253969</v>
      </c>
      <c r="AB205" s="438">
        <f t="shared" si="156"/>
        <v>1216.9334420880914</v>
      </c>
      <c r="AC205" s="439">
        <f t="shared" si="157"/>
        <v>1912.30078125</v>
      </c>
      <c r="AD205" s="437">
        <f t="shared" si="158"/>
        <v>1093.2529182879377</v>
      </c>
      <c r="AE205" s="437">
        <f t="shared" si="159"/>
        <v>1657.7054263565892</v>
      </c>
      <c r="AF205" s="437">
        <f t="shared" si="160"/>
        <v>1368.7923076923078</v>
      </c>
      <c r="AG205" s="437">
        <f t="shared" si="161"/>
        <v>1387.0733590733591</v>
      </c>
      <c r="AH205" s="437">
        <f t="shared" si="162"/>
        <v>1190.2118959107806</v>
      </c>
      <c r="AI205" s="437">
        <f t="shared" si="163"/>
        <v>979.43018867924525</v>
      </c>
      <c r="AJ205" s="437">
        <f t="shared" si="164"/>
        <v>946.70992366412213</v>
      </c>
      <c r="AK205" s="437">
        <f t="shared" si="165"/>
        <v>944.29844961240315</v>
      </c>
      <c r="AL205" s="437">
        <f t="shared" si="166"/>
        <v>1027.295719844358</v>
      </c>
      <c r="AM205" s="437">
        <f t="shared" si="167"/>
        <v>1442.2093023255813</v>
      </c>
      <c r="AN205" s="437">
        <f t="shared" si="168"/>
        <v>1311.5494071146245</v>
      </c>
      <c r="AO205" s="438">
        <f t="shared" si="169"/>
        <v>1270.1320694087403</v>
      </c>
      <c r="AQ205" s="428">
        <v>1635.7</v>
      </c>
      <c r="AR205" s="429">
        <v>1368.0887096774193</v>
      </c>
      <c r="AS205" s="429">
        <v>1417.0846774193549</v>
      </c>
      <c r="AT205" s="429">
        <v>1348.4736842105262</v>
      </c>
      <c r="AU205" s="429">
        <v>1255.2073170731708</v>
      </c>
      <c r="AV205" s="429">
        <v>1172.9243027888447</v>
      </c>
      <c r="AW205" s="429">
        <v>877.34241245136184</v>
      </c>
      <c r="AX205" s="429">
        <v>800.91532258064512</v>
      </c>
      <c r="AY205" s="429">
        <v>848.16205533596838</v>
      </c>
      <c r="AZ205" s="429">
        <v>1016.7480314960629</v>
      </c>
      <c r="BA205" s="429">
        <v>1170</v>
      </c>
      <c r="BB205" s="429">
        <v>1205.03125</v>
      </c>
      <c r="BC205" s="431">
        <v>1174.8080371969445</v>
      </c>
      <c r="BD205" s="428">
        <v>1676</v>
      </c>
      <c r="BE205" s="429">
        <v>1575.2316602316603</v>
      </c>
      <c r="BF205" s="429">
        <v>1433.2230769230769</v>
      </c>
      <c r="BG205" s="429">
        <v>1319.6574803149606</v>
      </c>
      <c r="BH205" s="429">
        <v>1412.15625</v>
      </c>
      <c r="BI205" s="429">
        <v>1114.1803921568628</v>
      </c>
      <c r="BJ205" s="429">
        <v>920.07086614173227</v>
      </c>
      <c r="BK205" s="429">
        <v>895.9341085271318</v>
      </c>
      <c r="BL205" s="429">
        <v>860.15953307392999</v>
      </c>
      <c r="BM205" s="429">
        <v>939.8650793650794</v>
      </c>
      <c r="BN205" s="429">
        <v>1236.9209486166008</v>
      </c>
      <c r="BO205" s="429">
        <v>1211.8253968253969</v>
      </c>
      <c r="BP205" s="431">
        <v>1216.9334420880914</v>
      </c>
      <c r="BQ205" s="428">
        <v>1912.30078125</v>
      </c>
      <c r="BR205" s="429">
        <v>1093.2529182879377</v>
      </c>
      <c r="BS205" s="429">
        <v>1657.7054263565892</v>
      </c>
      <c r="BT205" s="429">
        <v>1368.7923076923078</v>
      </c>
      <c r="BU205" s="429">
        <v>1387.0733590733591</v>
      </c>
      <c r="BV205" s="429">
        <v>1190.2118959107806</v>
      </c>
      <c r="BW205" s="429">
        <v>979.43018867924525</v>
      </c>
      <c r="BX205" s="429">
        <v>946.70992366412213</v>
      </c>
      <c r="BY205" s="429">
        <v>944.29844961240315</v>
      </c>
      <c r="BZ205" s="429">
        <v>1027.295719844358</v>
      </c>
      <c r="CA205" s="429">
        <v>1442.2093023255813</v>
      </c>
      <c r="CB205" s="429">
        <v>1311.5494071146245</v>
      </c>
      <c r="CC205" s="431">
        <v>1270.1320694087403</v>
      </c>
    </row>
    <row r="206" spans="1:81">
      <c r="A206" s="420" t="s">
        <v>201</v>
      </c>
      <c r="B206" s="420" t="s">
        <v>176</v>
      </c>
      <c r="C206" s="436">
        <f t="shared" si="131"/>
        <v>0</v>
      </c>
      <c r="D206" s="437">
        <f t="shared" si="132"/>
        <v>0</v>
      </c>
      <c r="E206" s="437">
        <f t="shared" si="133"/>
        <v>0</v>
      </c>
      <c r="F206" s="437">
        <f t="shared" si="134"/>
        <v>0</v>
      </c>
      <c r="G206" s="437">
        <f t="shared" si="135"/>
        <v>0</v>
      </c>
      <c r="H206" s="437">
        <f t="shared" si="136"/>
        <v>0</v>
      </c>
      <c r="I206" s="437">
        <f t="shared" si="137"/>
        <v>0</v>
      </c>
      <c r="J206" s="437">
        <f t="shared" si="138"/>
        <v>0</v>
      </c>
      <c r="K206" s="437">
        <f t="shared" si="139"/>
        <v>0</v>
      </c>
      <c r="L206" s="437">
        <f t="shared" si="140"/>
        <v>0</v>
      </c>
      <c r="M206" s="437">
        <f t="shared" si="141"/>
        <v>0</v>
      </c>
      <c r="N206" s="437">
        <f t="shared" si="142"/>
        <v>0</v>
      </c>
      <c r="O206" s="438">
        <f t="shared" si="143"/>
        <v>0</v>
      </c>
      <c r="P206" s="439">
        <f t="shared" si="144"/>
        <v>0</v>
      </c>
      <c r="Q206" s="437">
        <f t="shared" si="145"/>
        <v>0</v>
      </c>
      <c r="R206" s="437">
        <f t="shared" si="146"/>
        <v>0</v>
      </c>
      <c r="S206" s="437">
        <f t="shared" si="147"/>
        <v>0</v>
      </c>
      <c r="T206" s="437">
        <f t="shared" si="148"/>
        <v>0</v>
      </c>
      <c r="U206" s="437">
        <f t="shared" si="149"/>
        <v>0</v>
      </c>
      <c r="V206" s="437">
        <f t="shared" si="150"/>
        <v>0</v>
      </c>
      <c r="W206" s="437">
        <f t="shared" si="151"/>
        <v>0</v>
      </c>
      <c r="X206" s="437">
        <f t="shared" si="152"/>
        <v>0</v>
      </c>
      <c r="Y206" s="437">
        <f t="shared" si="153"/>
        <v>0</v>
      </c>
      <c r="Z206" s="437">
        <f t="shared" si="154"/>
        <v>0</v>
      </c>
      <c r="AA206" s="437">
        <f t="shared" si="155"/>
        <v>0</v>
      </c>
      <c r="AB206" s="438">
        <f t="shared" si="156"/>
        <v>0</v>
      </c>
      <c r="AC206" s="439">
        <f t="shared" si="157"/>
        <v>0</v>
      </c>
      <c r="AD206" s="437">
        <f t="shared" si="158"/>
        <v>0</v>
      </c>
      <c r="AE206" s="437">
        <f t="shared" si="159"/>
        <v>0</v>
      </c>
      <c r="AF206" s="437">
        <f t="shared" si="160"/>
        <v>0</v>
      </c>
      <c r="AG206" s="437">
        <f t="shared" si="161"/>
        <v>0</v>
      </c>
      <c r="AH206" s="437">
        <f t="shared" si="162"/>
        <v>0</v>
      </c>
      <c r="AI206" s="437">
        <f t="shared" si="163"/>
        <v>0</v>
      </c>
      <c r="AJ206" s="437">
        <f t="shared" si="164"/>
        <v>0</v>
      </c>
      <c r="AK206" s="437">
        <f t="shared" si="165"/>
        <v>0</v>
      </c>
      <c r="AL206" s="437">
        <f t="shared" si="166"/>
        <v>0</v>
      </c>
      <c r="AM206" s="437">
        <f t="shared" si="167"/>
        <v>0</v>
      </c>
      <c r="AN206" s="437">
        <f t="shared" si="168"/>
        <v>0</v>
      </c>
      <c r="AO206" s="438">
        <f t="shared" si="169"/>
        <v>0</v>
      </c>
      <c r="AQ206" s="428">
        <v>0</v>
      </c>
      <c r="AR206" s="429">
        <v>0</v>
      </c>
      <c r="AS206" s="429">
        <v>0</v>
      </c>
      <c r="AT206" s="429">
        <v>0</v>
      </c>
      <c r="AU206" s="429">
        <v>0</v>
      </c>
      <c r="AV206" s="429">
        <v>0</v>
      </c>
      <c r="AW206" s="429">
        <v>0</v>
      </c>
      <c r="AX206" s="429">
        <v>0</v>
      </c>
      <c r="AY206" s="429">
        <v>0</v>
      </c>
      <c r="AZ206" s="429">
        <v>0</v>
      </c>
      <c r="BA206" s="429">
        <v>0</v>
      </c>
      <c r="BB206" s="429">
        <v>0</v>
      </c>
      <c r="BC206" s="431">
        <v>0</v>
      </c>
      <c r="BD206" s="428">
        <v>0</v>
      </c>
      <c r="BE206" s="429">
        <v>0</v>
      </c>
      <c r="BF206" s="429">
        <v>0</v>
      </c>
      <c r="BG206" s="429">
        <v>0</v>
      </c>
      <c r="BH206" s="429">
        <v>0</v>
      </c>
      <c r="BI206" s="429">
        <v>0</v>
      </c>
      <c r="BJ206" s="429">
        <v>0</v>
      </c>
      <c r="BK206" s="429">
        <v>0</v>
      </c>
      <c r="BL206" s="429">
        <v>0</v>
      </c>
      <c r="BM206" s="429">
        <v>0</v>
      </c>
      <c r="BN206" s="429">
        <v>0</v>
      </c>
      <c r="BO206" s="429">
        <v>0</v>
      </c>
      <c r="BP206" s="431">
        <v>0</v>
      </c>
      <c r="BQ206" s="428">
        <v>0</v>
      </c>
      <c r="BR206" s="429">
        <v>0</v>
      </c>
      <c r="BS206" s="429">
        <v>0</v>
      </c>
      <c r="BT206" s="429">
        <v>0</v>
      </c>
      <c r="BU206" s="429">
        <v>0</v>
      </c>
      <c r="BV206" s="429">
        <v>0</v>
      </c>
      <c r="BW206" s="429">
        <v>0</v>
      </c>
      <c r="BX206" s="429">
        <v>0</v>
      </c>
      <c r="BY206" s="429">
        <v>0</v>
      </c>
      <c r="BZ206" s="429">
        <v>0</v>
      </c>
      <c r="CA206" s="429">
        <v>0</v>
      </c>
      <c r="CB206" s="429">
        <v>0</v>
      </c>
      <c r="CC206" s="431">
        <v>0</v>
      </c>
    </row>
    <row r="207" spans="1:81">
      <c r="A207" s="420" t="s">
        <v>201</v>
      </c>
      <c r="B207" s="420" t="s">
        <v>177</v>
      </c>
      <c r="C207" s="436">
        <f t="shared" si="131"/>
        <v>2312.2800000000002</v>
      </c>
      <c r="D207" s="437">
        <f t="shared" si="132"/>
        <v>2013.92</v>
      </c>
      <c r="E207" s="437">
        <f t="shared" si="133"/>
        <v>2037.4615384615386</v>
      </c>
      <c r="F207" s="437">
        <f t="shared" si="134"/>
        <v>1768.5384615384614</v>
      </c>
      <c r="G207" s="437">
        <f t="shared" si="135"/>
        <v>1524.5925925925926</v>
      </c>
      <c r="H207" s="437">
        <f t="shared" si="136"/>
        <v>1434.68</v>
      </c>
      <c r="I207" s="437">
        <f t="shared" si="137"/>
        <v>1481.9583333333333</v>
      </c>
      <c r="J207" s="437">
        <f t="shared" si="138"/>
        <v>1311.4583333333333</v>
      </c>
      <c r="K207" s="437">
        <f t="shared" si="139"/>
        <v>1269.0416666666667</v>
      </c>
      <c r="L207" s="437">
        <f t="shared" si="140"/>
        <v>1392.8076923076924</v>
      </c>
      <c r="M207" s="437">
        <f t="shared" si="141"/>
        <v>1613.6521739130435</v>
      </c>
      <c r="N207" s="437">
        <f t="shared" si="142"/>
        <v>1746.4583333333333</v>
      </c>
      <c r="O207" s="438">
        <f t="shared" si="143"/>
        <v>1661.8160535117056</v>
      </c>
      <c r="P207" s="439">
        <f t="shared" si="144"/>
        <v>2302.7916666666665</v>
      </c>
      <c r="Q207" s="437">
        <f t="shared" si="145"/>
        <v>2281.5833333333335</v>
      </c>
      <c r="R207" s="437">
        <f t="shared" si="146"/>
        <v>2071.1666666666665</v>
      </c>
      <c r="S207" s="437">
        <f t="shared" si="147"/>
        <v>1781.7916666666667</v>
      </c>
      <c r="T207" s="437">
        <f t="shared" si="148"/>
        <v>1708.125</v>
      </c>
      <c r="U207" s="437">
        <f t="shared" si="149"/>
        <v>1326.8333333333333</v>
      </c>
      <c r="V207" s="437">
        <f t="shared" si="150"/>
        <v>1274.6400000000001</v>
      </c>
      <c r="W207" s="437">
        <f t="shared" si="151"/>
        <v>1401.48</v>
      </c>
      <c r="X207" s="437">
        <f t="shared" si="152"/>
        <v>1165.3599999999999</v>
      </c>
      <c r="Y207" s="437">
        <f t="shared" si="153"/>
        <v>1233.1666666666667</v>
      </c>
      <c r="Z207" s="437">
        <f t="shared" si="154"/>
        <v>1481.6666666666667</v>
      </c>
      <c r="AA207" s="437">
        <f t="shared" si="155"/>
        <v>1569.9259259259259</v>
      </c>
      <c r="AB207" s="438">
        <f t="shared" si="156"/>
        <v>1627.4781144781145</v>
      </c>
      <c r="AC207" s="439">
        <f t="shared" si="157"/>
        <v>2495.4230769230771</v>
      </c>
      <c r="AD207" s="437">
        <f t="shared" si="158"/>
        <v>1329.5357142857142</v>
      </c>
      <c r="AE207" s="437">
        <f t="shared" si="159"/>
        <v>2386.0833333333335</v>
      </c>
      <c r="AF207" s="437">
        <f t="shared" si="160"/>
        <v>1641.2916666666667</v>
      </c>
      <c r="AG207" s="437">
        <f t="shared" si="161"/>
        <v>1566.9166666666667</v>
      </c>
      <c r="AH207" s="437">
        <f t="shared" si="162"/>
        <v>1248.9583333333333</v>
      </c>
      <c r="AI207" s="437">
        <f t="shared" si="163"/>
        <v>1229.8333333333333</v>
      </c>
      <c r="AJ207" s="437">
        <f t="shared" si="164"/>
        <v>1438.5416666666667</v>
      </c>
      <c r="AK207" s="437">
        <f t="shared" si="165"/>
        <v>1404.8695652173913</v>
      </c>
      <c r="AL207" s="437">
        <f t="shared" si="166"/>
        <v>1183.4583333333333</v>
      </c>
      <c r="AM207" s="437">
        <f t="shared" si="167"/>
        <v>1624.0833333333333</v>
      </c>
      <c r="AN207" s="437">
        <f t="shared" si="168"/>
        <v>1510.9166666666667</v>
      </c>
      <c r="AO207" s="438">
        <f t="shared" si="169"/>
        <v>1591.6109215017066</v>
      </c>
      <c r="AQ207" s="428">
        <v>2312.2800000000002</v>
      </c>
      <c r="AR207" s="429">
        <v>2013.92</v>
      </c>
      <c r="AS207" s="429">
        <v>2037.4615384615386</v>
      </c>
      <c r="AT207" s="429">
        <v>1768.5384615384614</v>
      </c>
      <c r="AU207" s="429">
        <v>1524.5925925925926</v>
      </c>
      <c r="AV207" s="429">
        <v>1434.68</v>
      </c>
      <c r="AW207" s="429">
        <v>1481.9583333333333</v>
      </c>
      <c r="AX207" s="429">
        <v>1311.4583333333333</v>
      </c>
      <c r="AY207" s="429">
        <v>1269.0416666666667</v>
      </c>
      <c r="AZ207" s="429">
        <v>1392.8076923076924</v>
      </c>
      <c r="BA207" s="429">
        <v>1613.6521739130435</v>
      </c>
      <c r="BB207" s="429">
        <v>1746.4583333333333</v>
      </c>
      <c r="BC207" s="431">
        <v>1661.8160535117056</v>
      </c>
      <c r="BD207" s="428">
        <v>2302.7916666666665</v>
      </c>
      <c r="BE207" s="429">
        <v>2281.5833333333335</v>
      </c>
      <c r="BF207" s="429">
        <v>2071.1666666666665</v>
      </c>
      <c r="BG207" s="429">
        <v>1781.7916666666667</v>
      </c>
      <c r="BH207" s="429">
        <v>1708.125</v>
      </c>
      <c r="BI207" s="429">
        <v>1326.8333333333333</v>
      </c>
      <c r="BJ207" s="429">
        <v>1274.6400000000001</v>
      </c>
      <c r="BK207" s="429">
        <v>1401.48</v>
      </c>
      <c r="BL207" s="429">
        <v>1165.3599999999999</v>
      </c>
      <c r="BM207" s="429">
        <v>1233.1666666666667</v>
      </c>
      <c r="BN207" s="429">
        <v>1481.6666666666667</v>
      </c>
      <c r="BO207" s="429">
        <v>1569.9259259259259</v>
      </c>
      <c r="BP207" s="431">
        <v>1627.4781144781145</v>
      </c>
      <c r="BQ207" s="428">
        <v>2495.4230769230771</v>
      </c>
      <c r="BR207" s="429">
        <v>1329.5357142857142</v>
      </c>
      <c r="BS207" s="429">
        <v>2386.0833333333335</v>
      </c>
      <c r="BT207" s="429">
        <v>1641.2916666666667</v>
      </c>
      <c r="BU207" s="429">
        <v>1566.9166666666667</v>
      </c>
      <c r="BV207" s="429">
        <v>1248.9583333333333</v>
      </c>
      <c r="BW207" s="429">
        <v>1229.8333333333333</v>
      </c>
      <c r="BX207" s="429">
        <v>1438.5416666666667</v>
      </c>
      <c r="BY207" s="429">
        <v>1404.8695652173913</v>
      </c>
      <c r="BZ207" s="429">
        <v>1183.4583333333333</v>
      </c>
      <c r="CA207" s="429">
        <v>1624.0833333333333</v>
      </c>
      <c r="CB207" s="429">
        <v>1510.9166666666667</v>
      </c>
      <c r="CC207" s="431">
        <v>1591.6109215017066</v>
      </c>
    </row>
    <row r="208" spans="1:81">
      <c r="A208" s="420" t="s">
        <v>201</v>
      </c>
      <c r="B208" s="420" t="s">
        <v>178</v>
      </c>
      <c r="C208" s="436">
        <f t="shared" si="131"/>
        <v>11640</v>
      </c>
      <c r="D208" s="437">
        <f t="shared" si="132"/>
        <v>9120</v>
      </c>
      <c r="E208" s="437">
        <f t="shared" si="133"/>
        <v>10720</v>
      </c>
      <c r="F208" s="437">
        <f t="shared" si="134"/>
        <v>7080</v>
      </c>
      <c r="G208" s="437">
        <f t="shared" si="135"/>
        <v>6000</v>
      </c>
      <c r="H208" s="437">
        <f t="shared" si="136"/>
        <v>5760</v>
      </c>
      <c r="I208" s="437">
        <f t="shared" si="137"/>
        <v>6640</v>
      </c>
      <c r="J208" s="437">
        <f t="shared" si="138"/>
        <v>5520</v>
      </c>
      <c r="K208" s="437">
        <f t="shared" si="139"/>
        <v>6640</v>
      </c>
      <c r="L208" s="437">
        <f t="shared" si="140"/>
        <v>4800</v>
      </c>
      <c r="M208" s="437">
        <f t="shared" si="141"/>
        <v>7080</v>
      </c>
      <c r="N208" s="437">
        <f t="shared" si="142"/>
        <v>7040</v>
      </c>
      <c r="O208" s="438">
        <f t="shared" si="143"/>
        <v>7336.666666666667</v>
      </c>
      <c r="P208" s="439">
        <f t="shared" si="144"/>
        <v>12120</v>
      </c>
      <c r="Q208" s="437">
        <f t="shared" si="145"/>
        <v>12640</v>
      </c>
      <c r="R208" s="437">
        <f t="shared" si="146"/>
        <v>10800</v>
      </c>
      <c r="S208" s="437">
        <f t="shared" si="147"/>
        <v>8640</v>
      </c>
      <c r="T208" s="437">
        <f t="shared" si="148"/>
        <v>8920</v>
      </c>
      <c r="U208" s="437">
        <f t="shared" si="149"/>
        <v>7520</v>
      </c>
      <c r="V208" s="437">
        <f t="shared" si="150"/>
        <v>7240</v>
      </c>
      <c r="W208" s="437">
        <f t="shared" si="151"/>
        <v>6840</v>
      </c>
      <c r="X208" s="437">
        <f t="shared" si="152"/>
        <v>5800</v>
      </c>
      <c r="Y208" s="437">
        <f t="shared" si="153"/>
        <v>5960</v>
      </c>
      <c r="Z208" s="437">
        <f t="shared" si="154"/>
        <v>5840</v>
      </c>
      <c r="AA208" s="437">
        <f t="shared" si="155"/>
        <v>4600</v>
      </c>
      <c r="AB208" s="438">
        <f t="shared" si="156"/>
        <v>7904.6153846153848</v>
      </c>
      <c r="AC208" s="439">
        <f t="shared" si="157"/>
        <v>5700</v>
      </c>
      <c r="AD208" s="437">
        <f t="shared" si="158"/>
        <v>5000</v>
      </c>
      <c r="AE208" s="437">
        <f t="shared" si="159"/>
        <v>6939.4</v>
      </c>
      <c r="AF208" s="437">
        <f t="shared" si="160"/>
        <v>6536</v>
      </c>
      <c r="AG208" s="437">
        <f t="shared" si="161"/>
        <v>4635</v>
      </c>
      <c r="AH208" s="437">
        <f t="shared" si="162"/>
        <v>3629.6666666666665</v>
      </c>
      <c r="AI208" s="437">
        <f t="shared" si="163"/>
        <v>3599</v>
      </c>
      <c r="AJ208" s="437">
        <f t="shared" si="164"/>
        <v>4821</v>
      </c>
      <c r="AK208" s="437">
        <f t="shared" si="165"/>
        <v>3631.25</v>
      </c>
      <c r="AL208" s="437">
        <f t="shared" si="166"/>
        <v>3193.5</v>
      </c>
      <c r="AM208" s="437">
        <f t="shared" si="167"/>
        <v>4953</v>
      </c>
      <c r="AN208" s="437">
        <f t="shared" si="168"/>
        <v>5926.25</v>
      </c>
      <c r="AO208" s="438">
        <f t="shared" si="169"/>
        <v>4891.4473684210525</v>
      </c>
      <c r="AQ208" s="428">
        <v>11640</v>
      </c>
      <c r="AR208" s="429">
        <v>9120</v>
      </c>
      <c r="AS208" s="429">
        <v>10720</v>
      </c>
      <c r="AT208" s="429">
        <v>7080</v>
      </c>
      <c r="AU208" s="429">
        <v>6000</v>
      </c>
      <c r="AV208" s="429">
        <v>5760</v>
      </c>
      <c r="AW208" s="429">
        <v>6640</v>
      </c>
      <c r="AX208" s="429">
        <v>5520</v>
      </c>
      <c r="AY208" s="429">
        <v>6640</v>
      </c>
      <c r="AZ208" s="429">
        <v>4800</v>
      </c>
      <c r="BA208" s="429">
        <v>7080</v>
      </c>
      <c r="BB208" s="429">
        <v>7040</v>
      </c>
      <c r="BC208" s="431">
        <v>7336.666666666667</v>
      </c>
      <c r="BD208" s="428">
        <v>12120</v>
      </c>
      <c r="BE208" s="429">
        <v>12640</v>
      </c>
      <c r="BF208" s="429">
        <v>10800</v>
      </c>
      <c r="BG208" s="429">
        <v>8640</v>
      </c>
      <c r="BH208" s="429">
        <v>8920</v>
      </c>
      <c r="BI208" s="429">
        <v>7520</v>
      </c>
      <c r="BJ208" s="429">
        <v>7240</v>
      </c>
      <c r="BK208" s="429">
        <v>6840</v>
      </c>
      <c r="BL208" s="429">
        <v>5800</v>
      </c>
      <c r="BM208" s="429">
        <v>5960</v>
      </c>
      <c r="BN208" s="429">
        <v>5840</v>
      </c>
      <c r="BO208" s="429">
        <v>4600</v>
      </c>
      <c r="BP208" s="431">
        <v>7904.6153846153848</v>
      </c>
      <c r="BQ208" s="428">
        <v>5700</v>
      </c>
      <c r="BR208" s="429">
        <v>5000</v>
      </c>
      <c r="BS208" s="429">
        <v>6939.4</v>
      </c>
      <c r="BT208" s="429">
        <v>6536</v>
      </c>
      <c r="BU208" s="429">
        <v>4635</v>
      </c>
      <c r="BV208" s="429">
        <v>3629.6666666666665</v>
      </c>
      <c r="BW208" s="429">
        <v>3599</v>
      </c>
      <c r="BX208" s="429">
        <v>4821</v>
      </c>
      <c r="BY208" s="429">
        <v>3631.25</v>
      </c>
      <c r="BZ208" s="429">
        <v>3193.5</v>
      </c>
      <c r="CA208" s="429">
        <v>4953</v>
      </c>
      <c r="CB208" s="429">
        <v>5926.25</v>
      </c>
      <c r="CC208" s="431">
        <v>4891.4473684210525</v>
      </c>
    </row>
    <row r="209" spans="1:81">
      <c r="A209" s="420" t="s">
        <v>201</v>
      </c>
      <c r="B209" s="420" t="s">
        <v>179</v>
      </c>
      <c r="C209" s="436">
        <f t="shared" si="131"/>
        <v>0</v>
      </c>
      <c r="D209" s="437">
        <f t="shared" si="132"/>
        <v>0</v>
      </c>
      <c r="E209" s="437">
        <f t="shared" si="133"/>
        <v>0</v>
      </c>
      <c r="F209" s="437">
        <f t="shared" si="134"/>
        <v>0</v>
      </c>
      <c r="G209" s="437">
        <f t="shared" si="135"/>
        <v>0</v>
      </c>
      <c r="H209" s="437">
        <f t="shared" si="136"/>
        <v>0</v>
      </c>
      <c r="I209" s="437">
        <f t="shared" si="137"/>
        <v>0</v>
      </c>
      <c r="J209" s="437">
        <f t="shared" si="138"/>
        <v>0</v>
      </c>
      <c r="K209" s="437">
        <f t="shared" si="139"/>
        <v>0</v>
      </c>
      <c r="L209" s="437">
        <f t="shared" si="140"/>
        <v>0</v>
      </c>
      <c r="M209" s="437">
        <f t="shared" si="141"/>
        <v>0</v>
      </c>
      <c r="N209" s="437">
        <f t="shared" si="142"/>
        <v>0</v>
      </c>
      <c r="O209" s="438">
        <f t="shared" si="143"/>
        <v>0</v>
      </c>
      <c r="P209" s="439">
        <f t="shared" si="144"/>
        <v>0</v>
      </c>
      <c r="Q209" s="437">
        <f t="shared" si="145"/>
        <v>0</v>
      </c>
      <c r="R209" s="437">
        <f t="shared" si="146"/>
        <v>0</v>
      </c>
      <c r="S209" s="437">
        <f t="shared" si="147"/>
        <v>0</v>
      </c>
      <c r="T209" s="437">
        <f t="shared" si="148"/>
        <v>0</v>
      </c>
      <c r="U209" s="437">
        <f t="shared" si="149"/>
        <v>0</v>
      </c>
      <c r="V209" s="437">
        <f t="shared" si="150"/>
        <v>0</v>
      </c>
      <c r="W209" s="437">
        <f t="shared" si="151"/>
        <v>0</v>
      </c>
      <c r="X209" s="437">
        <f t="shared" si="152"/>
        <v>0</v>
      </c>
      <c r="Y209" s="437">
        <f t="shared" si="153"/>
        <v>0</v>
      </c>
      <c r="Z209" s="437">
        <f t="shared" si="154"/>
        <v>0</v>
      </c>
      <c r="AA209" s="437">
        <f t="shared" si="155"/>
        <v>0</v>
      </c>
      <c r="AB209" s="438">
        <f t="shared" si="156"/>
        <v>0</v>
      </c>
      <c r="AC209" s="439">
        <f t="shared" si="157"/>
        <v>0</v>
      </c>
      <c r="AD209" s="437">
        <f t="shared" si="158"/>
        <v>0</v>
      </c>
      <c r="AE209" s="437">
        <f t="shared" si="159"/>
        <v>0</v>
      </c>
      <c r="AF209" s="437">
        <f t="shared" si="160"/>
        <v>0</v>
      </c>
      <c r="AG209" s="437">
        <f t="shared" si="161"/>
        <v>0</v>
      </c>
      <c r="AH209" s="437">
        <f t="shared" si="162"/>
        <v>0</v>
      </c>
      <c r="AI209" s="437">
        <f t="shared" si="163"/>
        <v>0</v>
      </c>
      <c r="AJ209" s="437">
        <f t="shared" si="164"/>
        <v>0</v>
      </c>
      <c r="AK209" s="437">
        <f t="shared" si="165"/>
        <v>0</v>
      </c>
      <c r="AL209" s="437">
        <f t="shared" si="166"/>
        <v>0</v>
      </c>
      <c r="AM209" s="437">
        <f t="shared" si="167"/>
        <v>0</v>
      </c>
      <c r="AN209" s="437">
        <f t="shared" si="168"/>
        <v>0</v>
      </c>
      <c r="AO209" s="438">
        <f t="shared" si="169"/>
        <v>0</v>
      </c>
      <c r="AQ209" s="428">
        <v>0</v>
      </c>
      <c r="AR209" s="429">
        <v>0</v>
      </c>
      <c r="AS209" s="429">
        <v>0</v>
      </c>
      <c r="AT209" s="429">
        <v>0</v>
      </c>
      <c r="AU209" s="429">
        <v>0</v>
      </c>
      <c r="AV209" s="429">
        <v>0</v>
      </c>
      <c r="AW209" s="429">
        <v>0</v>
      </c>
      <c r="AX209" s="429">
        <v>0</v>
      </c>
      <c r="AY209" s="429">
        <v>0</v>
      </c>
      <c r="AZ209" s="429">
        <v>0</v>
      </c>
      <c r="BA209" s="429">
        <v>0</v>
      </c>
      <c r="BB209" s="429">
        <v>0</v>
      </c>
      <c r="BC209" s="431">
        <v>0</v>
      </c>
      <c r="BD209" s="428">
        <v>0</v>
      </c>
      <c r="BE209" s="429">
        <v>0</v>
      </c>
      <c r="BF209" s="429">
        <v>0</v>
      </c>
      <c r="BG209" s="429">
        <v>0</v>
      </c>
      <c r="BH209" s="429">
        <v>0</v>
      </c>
      <c r="BI209" s="429">
        <v>0</v>
      </c>
      <c r="BJ209" s="429">
        <v>0</v>
      </c>
      <c r="BK209" s="429">
        <v>0</v>
      </c>
      <c r="BL209" s="429">
        <v>0</v>
      </c>
      <c r="BM209" s="429">
        <v>0</v>
      </c>
      <c r="BN209" s="429">
        <v>0</v>
      </c>
      <c r="BO209" s="429">
        <v>0</v>
      </c>
      <c r="BP209" s="431">
        <v>0</v>
      </c>
      <c r="BQ209" s="428">
        <v>0</v>
      </c>
      <c r="BR209" s="429">
        <v>0</v>
      </c>
      <c r="BS209" s="429">
        <v>0</v>
      </c>
      <c r="BT209" s="429">
        <v>0</v>
      </c>
      <c r="BU209" s="429">
        <v>0</v>
      </c>
      <c r="BV209" s="429">
        <v>0</v>
      </c>
      <c r="BW209" s="429">
        <v>0</v>
      </c>
      <c r="BX209" s="429">
        <v>0</v>
      </c>
      <c r="BY209" s="429">
        <v>0</v>
      </c>
      <c r="BZ209" s="429">
        <v>0</v>
      </c>
      <c r="CA209" s="429">
        <v>0</v>
      </c>
      <c r="CB209" s="429">
        <v>0</v>
      </c>
      <c r="CC209" s="431">
        <v>0</v>
      </c>
    </row>
    <row r="210" spans="1:81">
      <c r="A210" s="420" t="s">
        <v>201</v>
      </c>
      <c r="B210" s="420" t="s">
        <v>180</v>
      </c>
      <c r="C210" s="436">
        <f t="shared" si="131"/>
        <v>835.875</v>
      </c>
      <c r="D210" s="437">
        <f t="shared" si="132"/>
        <v>911</v>
      </c>
      <c r="E210" s="437">
        <f t="shared" si="133"/>
        <v>907.125</v>
      </c>
      <c r="F210" s="437">
        <f t="shared" si="134"/>
        <v>823.625</v>
      </c>
      <c r="G210" s="437">
        <f t="shared" si="135"/>
        <v>843.375</v>
      </c>
      <c r="H210" s="437">
        <f t="shared" si="136"/>
        <v>894.875</v>
      </c>
      <c r="I210" s="437">
        <f t="shared" si="137"/>
        <v>676.75</v>
      </c>
      <c r="J210" s="437">
        <f t="shared" si="138"/>
        <v>648</v>
      </c>
      <c r="K210" s="437">
        <f t="shared" si="139"/>
        <v>615.125</v>
      </c>
      <c r="L210" s="437">
        <f t="shared" si="140"/>
        <v>644.5</v>
      </c>
      <c r="M210" s="437">
        <f t="shared" si="141"/>
        <v>734.25</v>
      </c>
      <c r="N210" s="437">
        <f t="shared" si="142"/>
        <v>715.25</v>
      </c>
      <c r="O210" s="438">
        <f t="shared" si="143"/>
        <v>770.8125</v>
      </c>
      <c r="P210" s="439">
        <f t="shared" si="144"/>
        <v>1057.5</v>
      </c>
      <c r="Q210" s="437">
        <f t="shared" si="145"/>
        <v>1271.25</v>
      </c>
      <c r="R210" s="437">
        <f t="shared" si="146"/>
        <v>976.25</v>
      </c>
      <c r="S210" s="437">
        <f t="shared" si="147"/>
        <v>841.125</v>
      </c>
      <c r="T210" s="437">
        <f t="shared" si="148"/>
        <v>859.125</v>
      </c>
      <c r="U210" s="437">
        <f t="shared" si="149"/>
        <v>633.125</v>
      </c>
      <c r="V210" s="437">
        <f t="shared" si="150"/>
        <v>611.55555555555554</v>
      </c>
      <c r="W210" s="437">
        <f t="shared" si="151"/>
        <v>631.625</v>
      </c>
      <c r="X210" s="437">
        <f t="shared" si="152"/>
        <v>447.7</v>
      </c>
      <c r="Y210" s="437">
        <f t="shared" si="153"/>
        <v>611.5</v>
      </c>
      <c r="Z210" s="437">
        <f t="shared" si="154"/>
        <v>678.25</v>
      </c>
      <c r="AA210" s="437">
        <f t="shared" si="155"/>
        <v>674.5</v>
      </c>
      <c r="AB210" s="438">
        <f t="shared" si="156"/>
        <v>766.21212121212125</v>
      </c>
      <c r="AC210" s="439">
        <f t="shared" si="157"/>
        <v>910.75</v>
      </c>
      <c r="AD210" s="437">
        <f t="shared" si="158"/>
        <v>623.75</v>
      </c>
      <c r="AE210" s="437">
        <f t="shared" si="159"/>
        <v>791.75</v>
      </c>
      <c r="AF210" s="437">
        <f t="shared" si="160"/>
        <v>591.125</v>
      </c>
      <c r="AG210" s="437">
        <f t="shared" si="161"/>
        <v>651.625</v>
      </c>
      <c r="AH210" s="437">
        <f t="shared" si="162"/>
        <v>617.25</v>
      </c>
      <c r="AI210" s="437">
        <f t="shared" si="163"/>
        <v>649.625</v>
      </c>
      <c r="AJ210" s="437">
        <f t="shared" si="164"/>
        <v>681.85714285714289</v>
      </c>
      <c r="AK210" s="437">
        <f t="shared" si="165"/>
        <v>475.75</v>
      </c>
      <c r="AL210" s="437">
        <f t="shared" si="166"/>
        <v>501</v>
      </c>
      <c r="AM210" s="437">
        <f t="shared" si="167"/>
        <v>637.25</v>
      </c>
      <c r="AN210" s="437">
        <f t="shared" si="168"/>
        <v>527.625</v>
      </c>
      <c r="AO210" s="438">
        <f t="shared" si="169"/>
        <v>637.82105263157894</v>
      </c>
      <c r="AQ210" s="428">
        <v>835.875</v>
      </c>
      <c r="AR210" s="429">
        <v>911</v>
      </c>
      <c r="AS210" s="429">
        <v>907.125</v>
      </c>
      <c r="AT210" s="429">
        <v>823.625</v>
      </c>
      <c r="AU210" s="429">
        <v>843.375</v>
      </c>
      <c r="AV210" s="429">
        <v>894.875</v>
      </c>
      <c r="AW210" s="429">
        <v>676.75</v>
      </c>
      <c r="AX210" s="429">
        <v>648</v>
      </c>
      <c r="AY210" s="429">
        <v>615.125</v>
      </c>
      <c r="AZ210" s="429">
        <v>644.5</v>
      </c>
      <c r="BA210" s="429">
        <v>734.25</v>
      </c>
      <c r="BB210" s="429">
        <v>715.25</v>
      </c>
      <c r="BC210" s="431">
        <v>770.8125</v>
      </c>
      <c r="BD210" s="428">
        <v>1057.5</v>
      </c>
      <c r="BE210" s="429">
        <v>1271.25</v>
      </c>
      <c r="BF210" s="429">
        <v>976.25</v>
      </c>
      <c r="BG210" s="429">
        <v>841.125</v>
      </c>
      <c r="BH210" s="429">
        <v>859.125</v>
      </c>
      <c r="BI210" s="429">
        <v>633.125</v>
      </c>
      <c r="BJ210" s="429">
        <v>611.55555555555554</v>
      </c>
      <c r="BK210" s="429">
        <v>631.625</v>
      </c>
      <c r="BL210" s="429">
        <v>447.7</v>
      </c>
      <c r="BM210" s="429">
        <v>611.5</v>
      </c>
      <c r="BN210" s="429">
        <v>678.25</v>
      </c>
      <c r="BO210" s="429">
        <v>674.5</v>
      </c>
      <c r="BP210" s="431">
        <v>766.21212121212125</v>
      </c>
      <c r="BQ210" s="428">
        <v>910.75</v>
      </c>
      <c r="BR210" s="429">
        <v>623.75</v>
      </c>
      <c r="BS210" s="429">
        <v>791.75</v>
      </c>
      <c r="BT210" s="429">
        <v>591.125</v>
      </c>
      <c r="BU210" s="429">
        <v>651.625</v>
      </c>
      <c r="BV210" s="429">
        <v>617.25</v>
      </c>
      <c r="BW210" s="429">
        <v>649.625</v>
      </c>
      <c r="BX210" s="429">
        <v>681.85714285714289</v>
      </c>
      <c r="BY210" s="429">
        <v>475.75</v>
      </c>
      <c r="BZ210" s="429">
        <v>501</v>
      </c>
      <c r="CA210" s="429">
        <v>637.25</v>
      </c>
      <c r="CB210" s="429">
        <v>527.625</v>
      </c>
      <c r="CC210" s="431">
        <v>637.82105263157894</v>
      </c>
    </row>
    <row r="211" spans="1:81">
      <c r="A211" s="420" t="s">
        <v>201</v>
      </c>
      <c r="B211" s="420" t="s">
        <v>181</v>
      </c>
      <c r="C211" s="436">
        <f t="shared" si="131"/>
        <v>0</v>
      </c>
      <c r="D211" s="437">
        <f t="shared" si="132"/>
        <v>0</v>
      </c>
      <c r="E211" s="437">
        <f t="shared" si="133"/>
        <v>0</v>
      </c>
      <c r="F211" s="437">
        <f t="shared" si="134"/>
        <v>0</v>
      </c>
      <c r="G211" s="437">
        <f t="shared" si="135"/>
        <v>0</v>
      </c>
      <c r="H211" s="437">
        <f t="shared" si="136"/>
        <v>0</v>
      </c>
      <c r="I211" s="437">
        <f t="shared" si="137"/>
        <v>0</v>
      </c>
      <c r="J211" s="437">
        <f t="shared" si="138"/>
        <v>0</v>
      </c>
      <c r="K211" s="437">
        <f t="shared" si="139"/>
        <v>0</v>
      </c>
      <c r="L211" s="437">
        <f t="shared" si="140"/>
        <v>0</v>
      </c>
      <c r="M211" s="437">
        <f t="shared" si="141"/>
        <v>0</v>
      </c>
      <c r="N211" s="437">
        <f t="shared" si="142"/>
        <v>0</v>
      </c>
      <c r="O211" s="438">
        <f t="shared" si="143"/>
        <v>0</v>
      </c>
      <c r="P211" s="439">
        <f t="shared" si="144"/>
        <v>0</v>
      </c>
      <c r="Q211" s="437">
        <f t="shared" si="145"/>
        <v>0</v>
      </c>
      <c r="R211" s="437">
        <f t="shared" si="146"/>
        <v>0</v>
      </c>
      <c r="S211" s="437">
        <f t="shared" si="147"/>
        <v>0</v>
      </c>
      <c r="T211" s="437">
        <f t="shared" si="148"/>
        <v>0</v>
      </c>
      <c r="U211" s="437">
        <f t="shared" si="149"/>
        <v>0</v>
      </c>
      <c r="V211" s="437">
        <f t="shared" si="150"/>
        <v>0</v>
      </c>
      <c r="W211" s="437">
        <f t="shared" si="151"/>
        <v>0</v>
      </c>
      <c r="X211" s="437">
        <f t="shared" si="152"/>
        <v>0</v>
      </c>
      <c r="Y211" s="437">
        <f t="shared" si="153"/>
        <v>0</v>
      </c>
      <c r="Z211" s="437">
        <f t="shared" si="154"/>
        <v>0</v>
      </c>
      <c r="AA211" s="437">
        <f t="shared" si="155"/>
        <v>0</v>
      </c>
      <c r="AB211" s="438">
        <f t="shared" si="156"/>
        <v>0</v>
      </c>
      <c r="AC211" s="439">
        <f t="shared" si="157"/>
        <v>0</v>
      </c>
      <c r="AD211" s="437">
        <f t="shared" si="158"/>
        <v>0</v>
      </c>
      <c r="AE211" s="437">
        <f t="shared" si="159"/>
        <v>0</v>
      </c>
      <c r="AF211" s="437">
        <f t="shared" si="160"/>
        <v>0</v>
      </c>
      <c r="AG211" s="437">
        <f t="shared" si="161"/>
        <v>0</v>
      </c>
      <c r="AH211" s="437">
        <f t="shared" si="162"/>
        <v>0</v>
      </c>
      <c r="AI211" s="437">
        <f t="shared" si="163"/>
        <v>0</v>
      </c>
      <c r="AJ211" s="437">
        <f t="shared" si="164"/>
        <v>0</v>
      </c>
      <c r="AK211" s="437">
        <f t="shared" si="165"/>
        <v>0</v>
      </c>
      <c r="AL211" s="437">
        <f t="shared" si="166"/>
        <v>0</v>
      </c>
      <c r="AM211" s="437">
        <f t="shared" si="167"/>
        <v>0</v>
      </c>
      <c r="AN211" s="437">
        <f t="shared" si="168"/>
        <v>0</v>
      </c>
      <c r="AO211" s="438">
        <f t="shared" si="169"/>
        <v>0</v>
      </c>
      <c r="AQ211" s="428">
        <v>0</v>
      </c>
      <c r="AR211" s="429">
        <v>0</v>
      </c>
      <c r="AS211" s="429">
        <v>0</v>
      </c>
      <c r="AT211" s="429">
        <v>0</v>
      </c>
      <c r="AU211" s="429">
        <v>0</v>
      </c>
      <c r="AV211" s="429">
        <v>0</v>
      </c>
      <c r="AW211" s="429">
        <v>0</v>
      </c>
      <c r="AX211" s="429">
        <v>0</v>
      </c>
      <c r="AY211" s="429">
        <v>0</v>
      </c>
      <c r="AZ211" s="429">
        <v>0</v>
      </c>
      <c r="BA211" s="429">
        <v>0</v>
      </c>
      <c r="BB211" s="429">
        <v>0</v>
      </c>
      <c r="BC211" s="431">
        <v>0</v>
      </c>
      <c r="BD211" s="428">
        <v>0</v>
      </c>
      <c r="BE211" s="429">
        <v>0</v>
      </c>
      <c r="BF211" s="429">
        <v>0</v>
      </c>
      <c r="BG211" s="429">
        <v>0</v>
      </c>
      <c r="BH211" s="429">
        <v>0</v>
      </c>
      <c r="BI211" s="429">
        <v>0</v>
      </c>
      <c r="BJ211" s="429">
        <v>0</v>
      </c>
      <c r="BK211" s="429">
        <v>0</v>
      </c>
      <c r="BL211" s="429">
        <v>0</v>
      </c>
      <c r="BM211" s="429">
        <v>0</v>
      </c>
      <c r="BN211" s="429">
        <v>0</v>
      </c>
      <c r="BO211" s="429">
        <v>0</v>
      </c>
      <c r="BP211" s="431">
        <v>0</v>
      </c>
      <c r="BQ211" s="428">
        <v>0</v>
      </c>
      <c r="BR211" s="429">
        <v>0</v>
      </c>
      <c r="BS211" s="429">
        <v>0</v>
      </c>
      <c r="BT211" s="429">
        <v>0</v>
      </c>
      <c r="BU211" s="429">
        <v>0</v>
      </c>
      <c r="BV211" s="429">
        <v>0</v>
      </c>
      <c r="BW211" s="429">
        <v>0</v>
      </c>
      <c r="BX211" s="429">
        <v>0</v>
      </c>
      <c r="BY211" s="429">
        <v>0</v>
      </c>
      <c r="BZ211" s="429">
        <v>0</v>
      </c>
      <c r="CA211" s="429">
        <v>0</v>
      </c>
      <c r="CB211" s="429">
        <v>0</v>
      </c>
      <c r="CC211" s="431">
        <v>0</v>
      </c>
    </row>
    <row r="212" spans="1:81">
      <c r="A212" s="420" t="s">
        <v>201</v>
      </c>
      <c r="B212" s="420" t="s">
        <v>182</v>
      </c>
      <c r="C212" s="436">
        <f t="shared" si="131"/>
        <v>3171.818181818182</v>
      </c>
      <c r="D212" s="437">
        <f t="shared" si="132"/>
        <v>2774.2727272727275</v>
      </c>
      <c r="E212" s="437">
        <f t="shared" si="133"/>
        <v>2809.9545454545455</v>
      </c>
      <c r="F212" s="437">
        <f t="shared" si="134"/>
        <v>2187.9523809523807</v>
      </c>
      <c r="G212" s="437">
        <f t="shared" si="135"/>
        <v>2007.4285714285713</v>
      </c>
      <c r="H212" s="437">
        <f t="shared" si="136"/>
        <v>2213.65</v>
      </c>
      <c r="I212" s="437">
        <f t="shared" si="137"/>
        <v>1875.1904761904761</v>
      </c>
      <c r="J212" s="437">
        <f t="shared" si="138"/>
        <v>3118.1153846153848</v>
      </c>
      <c r="K212" s="437">
        <f t="shared" si="139"/>
        <v>2220.2727272727275</v>
      </c>
      <c r="L212" s="437">
        <f t="shared" si="140"/>
        <v>1994</v>
      </c>
      <c r="M212" s="437">
        <f t="shared" si="141"/>
        <v>1729</v>
      </c>
      <c r="N212" s="437">
        <f t="shared" si="142"/>
        <v>3330.875</v>
      </c>
      <c r="O212" s="438">
        <f t="shared" si="143"/>
        <v>2477.871212121212</v>
      </c>
      <c r="P212" s="439">
        <f t="shared" si="144"/>
        <v>3357</v>
      </c>
      <c r="Q212" s="437">
        <f t="shared" si="145"/>
        <v>2873.0454545454545</v>
      </c>
      <c r="R212" s="437">
        <f t="shared" si="146"/>
        <v>2657.2272727272725</v>
      </c>
      <c r="S212" s="437">
        <f t="shared" si="147"/>
        <v>2366.7272727272725</v>
      </c>
      <c r="T212" s="437">
        <f t="shared" si="148"/>
        <v>2554.7272727272725</v>
      </c>
      <c r="U212" s="437">
        <f t="shared" si="149"/>
        <v>2027.1818181818182</v>
      </c>
      <c r="V212" s="437">
        <f t="shared" si="150"/>
        <v>1710.304347826087</v>
      </c>
      <c r="W212" s="437">
        <f t="shared" si="151"/>
        <v>1883.5217391304348</v>
      </c>
      <c r="X212" s="437">
        <f t="shared" si="152"/>
        <v>1752.9565217391305</v>
      </c>
      <c r="Y212" s="437">
        <f t="shared" si="153"/>
        <v>2005.1304347826087</v>
      </c>
      <c r="Z212" s="437">
        <f t="shared" si="154"/>
        <v>2578.7727272727275</v>
      </c>
      <c r="AA212" s="437">
        <f t="shared" si="155"/>
        <v>2740.1739130434785</v>
      </c>
      <c r="AB212" s="438">
        <f t="shared" si="156"/>
        <v>2368.9256505576209</v>
      </c>
      <c r="AC212" s="439">
        <f t="shared" si="157"/>
        <v>3589.0434782608695</v>
      </c>
      <c r="AD212" s="437">
        <f t="shared" si="158"/>
        <v>2290.913043478261</v>
      </c>
      <c r="AE212" s="437">
        <f t="shared" si="159"/>
        <v>2902.16</v>
      </c>
      <c r="AF212" s="437">
        <f t="shared" si="160"/>
        <v>2300.1999999999998</v>
      </c>
      <c r="AG212" s="437">
        <f t="shared" si="161"/>
        <v>2327.08</v>
      </c>
      <c r="AH212" s="437">
        <f t="shared" si="162"/>
        <v>2044.12</v>
      </c>
      <c r="AI212" s="437">
        <f t="shared" si="163"/>
        <v>1767.84</v>
      </c>
      <c r="AJ212" s="437">
        <f t="shared" si="164"/>
        <v>1796.2</v>
      </c>
      <c r="AK212" s="437">
        <f t="shared" si="165"/>
        <v>1787.12</v>
      </c>
      <c r="AL212" s="437">
        <f t="shared" si="166"/>
        <v>1829.2</v>
      </c>
      <c r="AM212" s="437">
        <f t="shared" si="167"/>
        <v>2611.16</v>
      </c>
      <c r="AN212" s="437">
        <f t="shared" si="168"/>
        <v>2079.08</v>
      </c>
      <c r="AO212" s="438">
        <f t="shared" si="169"/>
        <v>2268.0506756756758</v>
      </c>
      <c r="AQ212" s="428">
        <v>3171.818181818182</v>
      </c>
      <c r="AR212" s="429">
        <v>2774.2727272727275</v>
      </c>
      <c r="AS212" s="429">
        <v>2809.9545454545455</v>
      </c>
      <c r="AT212" s="429">
        <v>2187.9523809523807</v>
      </c>
      <c r="AU212" s="429">
        <v>2007.4285714285713</v>
      </c>
      <c r="AV212" s="429">
        <v>2213.65</v>
      </c>
      <c r="AW212" s="429">
        <v>1875.1904761904761</v>
      </c>
      <c r="AX212" s="429">
        <v>3118.1153846153848</v>
      </c>
      <c r="AY212" s="429">
        <v>2220.2727272727275</v>
      </c>
      <c r="AZ212" s="429">
        <v>1994</v>
      </c>
      <c r="BA212" s="429">
        <v>1729</v>
      </c>
      <c r="BB212" s="429">
        <v>3330.875</v>
      </c>
      <c r="BC212" s="431">
        <v>2477.871212121212</v>
      </c>
      <c r="BD212" s="428">
        <v>3357</v>
      </c>
      <c r="BE212" s="429">
        <v>2873.0454545454545</v>
      </c>
      <c r="BF212" s="429">
        <v>2657.2272727272725</v>
      </c>
      <c r="BG212" s="429">
        <v>2366.7272727272725</v>
      </c>
      <c r="BH212" s="429">
        <v>2554.7272727272725</v>
      </c>
      <c r="BI212" s="429">
        <v>2027.1818181818182</v>
      </c>
      <c r="BJ212" s="429">
        <v>1710.304347826087</v>
      </c>
      <c r="BK212" s="429">
        <v>1883.5217391304348</v>
      </c>
      <c r="BL212" s="429">
        <v>1752.9565217391305</v>
      </c>
      <c r="BM212" s="429">
        <v>2005.1304347826087</v>
      </c>
      <c r="BN212" s="429">
        <v>2578.7727272727275</v>
      </c>
      <c r="BO212" s="429">
        <v>2740.1739130434785</v>
      </c>
      <c r="BP212" s="431">
        <v>2368.9256505576209</v>
      </c>
      <c r="BQ212" s="428">
        <v>3589.0434782608695</v>
      </c>
      <c r="BR212" s="429">
        <v>2290.913043478261</v>
      </c>
      <c r="BS212" s="429">
        <v>2902.16</v>
      </c>
      <c r="BT212" s="429">
        <v>2300.1999999999998</v>
      </c>
      <c r="BU212" s="429">
        <v>2327.08</v>
      </c>
      <c r="BV212" s="429">
        <v>2044.12</v>
      </c>
      <c r="BW212" s="429">
        <v>1767.84</v>
      </c>
      <c r="BX212" s="429">
        <v>1796.2</v>
      </c>
      <c r="BY212" s="429">
        <v>1787.12</v>
      </c>
      <c r="BZ212" s="429">
        <v>1829.2</v>
      </c>
      <c r="CA212" s="429">
        <v>2611.16</v>
      </c>
      <c r="CB212" s="429">
        <v>2079.08</v>
      </c>
      <c r="CC212" s="431">
        <v>2268.0506756756758</v>
      </c>
    </row>
    <row r="213" spans="1:81">
      <c r="A213" s="420" t="s">
        <v>201</v>
      </c>
      <c r="B213" s="420" t="s">
        <v>183</v>
      </c>
      <c r="C213" s="436">
        <f t="shared" si="131"/>
        <v>0</v>
      </c>
      <c r="D213" s="437">
        <f t="shared" si="132"/>
        <v>0</v>
      </c>
      <c r="E213" s="437">
        <f t="shared" si="133"/>
        <v>0</v>
      </c>
      <c r="F213" s="437">
        <f t="shared" si="134"/>
        <v>0</v>
      </c>
      <c r="G213" s="437">
        <f t="shared" si="135"/>
        <v>0</v>
      </c>
      <c r="H213" s="437">
        <f t="shared" si="136"/>
        <v>0</v>
      </c>
      <c r="I213" s="437">
        <f t="shared" si="137"/>
        <v>0</v>
      </c>
      <c r="J213" s="437">
        <f t="shared" si="138"/>
        <v>0</v>
      </c>
      <c r="K213" s="437">
        <f t="shared" si="139"/>
        <v>0</v>
      </c>
      <c r="L213" s="437">
        <f t="shared" si="140"/>
        <v>0</v>
      </c>
      <c r="M213" s="437">
        <f t="shared" si="141"/>
        <v>0</v>
      </c>
      <c r="N213" s="437">
        <f t="shared" si="142"/>
        <v>0</v>
      </c>
      <c r="O213" s="438">
        <f t="shared" si="143"/>
        <v>0</v>
      </c>
      <c r="P213" s="439">
        <f t="shared" si="144"/>
        <v>0</v>
      </c>
      <c r="Q213" s="437">
        <f t="shared" si="145"/>
        <v>0</v>
      </c>
      <c r="R213" s="437">
        <f t="shared" si="146"/>
        <v>0</v>
      </c>
      <c r="S213" s="437">
        <f t="shared" si="147"/>
        <v>0</v>
      </c>
      <c r="T213" s="437">
        <f t="shared" si="148"/>
        <v>0</v>
      </c>
      <c r="U213" s="437">
        <f t="shared" si="149"/>
        <v>0</v>
      </c>
      <c r="V213" s="437">
        <f t="shared" si="150"/>
        <v>0</v>
      </c>
      <c r="W213" s="437">
        <f t="shared" si="151"/>
        <v>0</v>
      </c>
      <c r="X213" s="437">
        <f t="shared" si="152"/>
        <v>0</v>
      </c>
      <c r="Y213" s="437">
        <f t="shared" si="153"/>
        <v>0</v>
      </c>
      <c r="Z213" s="437">
        <f t="shared" si="154"/>
        <v>0</v>
      </c>
      <c r="AA213" s="437">
        <f t="shared" si="155"/>
        <v>0</v>
      </c>
      <c r="AB213" s="438">
        <f t="shared" si="156"/>
        <v>0</v>
      </c>
      <c r="AC213" s="439">
        <f t="shared" si="157"/>
        <v>0</v>
      </c>
      <c r="AD213" s="437">
        <f t="shared" si="158"/>
        <v>0</v>
      </c>
      <c r="AE213" s="437">
        <f t="shared" si="159"/>
        <v>0</v>
      </c>
      <c r="AF213" s="437">
        <f t="shared" si="160"/>
        <v>0</v>
      </c>
      <c r="AG213" s="437">
        <f t="shared" si="161"/>
        <v>0</v>
      </c>
      <c r="AH213" s="437">
        <f t="shared" si="162"/>
        <v>0</v>
      </c>
      <c r="AI213" s="437">
        <f t="shared" si="163"/>
        <v>0</v>
      </c>
      <c r="AJ213" s="437">
        <f t="shared" si="164"/>
        <v>0</v>
      </c>
      <c r="AK213" s="437">
        <f t="shared" si="165"/>
        <v>0</v>
      </c>
      <c r="AL213" s="437">
        <f t="shared" si="166"/>
        <v>0</v>
      </c>
      <c r="AM213" s="437">
        <f t="shared" si="167"/>
        <v>0</v>
      </c>
      <c r="AN213" s="437">
        <f t="shared" si="168"/>
        <v>0</v>
      </c>
      <c r="AO213" s="438">
        <f t="shared" si="169"/>
        <v>0</v>
      </c>
      <c r="AQ213" s="428">
        <v>0</v>
      </c>
      <c r="AR213" s="429">
        <v>0</v>
      </c>
      <c r="AS213" s="429">
        <v>0</v>
      </c>
      <c r="AT213" s="429">
        <v>0</v>
      </c>
      <c r="AU213" s="429">
        <v>0</v>
      </c>
      <c r="AV213" s="429">
        <v>0</v>
      </c>
      <c r="AW213" s="429">
        <v>0</v>
      </c>
      <c r="AX213" s="429">
        <v>0</v>
      </c>
      <c r="AY213" s="429">
        <v>0</v>
      </c>
      <c r="AZ213" s="429">
        <v>0</v>
      </c>
      <c r="BA213" s="429">
        <v>0</v>
      </c>
      <c r="BB213" s="429">
        <v>0</v>
      </c>
      <c r="BC213" s="431">
        <v>0</v>
      </c>
      <c r="BD213" s="428">
        <v>0</v>
      </c>
      <c r="BE213" s="429">
        <v>0</v>
      </c>
      <c r="BF213" s="429">
        <v>0</v>
      </c>
      <c r="BG213" s="429">
        <v>0</v>
      </c>
      <c r="BH213" s="429">
        <v>0</v>
      </c>
      <c r="BI213" s="429">
        <v>0</v>
      </c>
      <c r="BJ213" s="429">
        <v>0</v>
      </c>
      <c r="BK213" s="429">
        <v>0</v>
      </c>
      <c r="BL213" s="429">
        <v>0</v>
      </c>
      <c r="BM213" s="429">
        <v>0</v>
      </c>
      <c r="BN213" s="429">
        <v>0</v>
      </c>
      <c r="BO213" s="429">
        <v>0</v>
      </c>
      <c r="BP213" s="431">
        <v>0</v>
      </c>
      <c r="BQ213" s="428">
        <v>0</v>
      </c>
      <c r="BR213" s="429">
        <v>0</v>
      </c>
      <c r="BS213" s="429">
        <v>0</v>
      </c>
      <c r="BT213" s="429">
        <v>0</v>
      </c>
      <c r="BU213" s="429">
        <v>0</v>
      </c>
      <c r="BV213" s="429">
        <v>0</v>
      </c>
      <c r="BW213" s="429">
        <v>0</v>
      </c>
      <c r="BX213" s="429">
        <v>0</v>
      </c>
      <c r="BY213" s="429">
        <v>0</v>
      </c>
      <c r="BZ213" s="429">
        <v>0</v>
      </c>
      <c r="CA213" s="429">
        <v>0</v>
      </c>
      <c r="CB213" s="429">
        <v>0</v>
      </c>
      <c r="CC213" s="431">
        <v>0</v>
      </c>
    </row>
    <row r="214" spans="1:81">
      <c r="A214" s="445"/>
      <c r="B214" s="445"/>
      <c r="C214" s="446"/>
      <c r="D214" s="447"/>
      <c r="E214" s="447"/>
      <c r="F214" s="447"/>
      <c r="G214" s="447"/>
      <c r="H214" s="447"/>
      <c r="I214" s="447"/>
      <c r="J214" s="447"/>
      <c r="K214" s="447"/>
      <c r="L214" s="447"/>
      <c r="M214" s="447"/>
      <c r="N214" s="447"/>
      <c r="O214" s="448"/>
      <c r="P214" s="449"/>
      <c r="Q214" s="447"/>
      <c r="R214" s="447"/>
      <c r="S214" s="447"/>
      <c r="T214" s="447"/>
      <c r="U214" s="447"/>
      <c r="V214" s="447"/>
      <c r="W214" s="447"/>
      <c r="X214" s="447"/>
      <c r="Y214" s="447"/>
      <c r="Z214" s="447"/>
      <c r="AA214" s="447"/>
      <c r="AB214" s="448"/>
      <c r="AC214" s="449"/>
      <c r="AD214" s="447"/>
      <c r="AE214" s="447"/>
      <c r="AF214" s="447"/>
      <c r="AG214" s="447"/>
      <c r="AH214" s="447"/>
      <c r="AI214" s="447"/>
      <c r="AJ214" s="447"/>
      <c r="AK214" s="447"/>
      <c r="AL214" s="447"/>
      <c r="AM214" s="447"/>
      <c r="AN214" s="447"/>
      <c r="AO214" s="448"/>
      <c r="AQ214" s="450"/>
      <c r="AR214" s="451"/>
      <c r="AS214" s="451"/>
      <c r="AT214" s="451"/>
      <c r="AU214" s="451"/>
      <c r="AV214" s="451"/>
      <c r="AW214" s="451"/>
      <c r="AX214" s="451"/>
      <c r="AY214" s="451"/>
      <c r="AZ214" s="451"/>
      <c r="BA214" s="451"/>
      <c r="BB214" s="451"/>
      <c r="BC214" s="452"/>
      <c r="BD214" s="453"/>
      <c r="BE214" s="451"/>
      <c r="BF214" s="451"/>
      <c r="BG214" s="451"/>
      <c r="BH214" s="451"/>
      <c r="BI214" s="451"/>
      <c r="BJ214" s="451"/>
      <c r="BK214" s="451"/>
      <c r="BL214" s="451"/>
      <c r="BM214" s="451"/>
      <c r="BN214" s="451"/>
      <c r="BO214" s="451"/>
      <c r="BP214" s="452"/>
      <c r="BQ214" s="453"/>
      <c r="BR214" s="451"/>
      <c r="BS214" s="451"/>
      <c r="BT214" s="451"/>
      <c r="BU214" s="451"/>
      <c r="BV214" s="451"/>
      <c r="BW214" s="451"/>
      <c r="BX214" s="451"/>
      <c r="BY214" s="451"/>
      <c r="BZ214" s="451"/>
      <c r="CA214" s="451"/>
      <c r="CB214" s="451"/>
      <c r="CC214" s="452"/>
    </row>
    <row r="215" spans="1:81">
      <c r="B215" s="456" t="s">
        <v>202</v>
      </c>
      <c r="C215" s="436"/>
      <c r="D215" s="437"/>
      <c r="E215" s="437"/>
      <c r="F215" s="437"/>
      <c r="G215" s="437"/>
      <c r="H215" s="437"/>
      <c r="I215" s="437"/>
      <c r="J215" s="437"/>
      <c r="K215" s="437"/>
      <c r="L215" s="437"/>
      <c r="M215" s="437"/>
      <c r="N215" s="437"/>
      <c r="O215" s="438"/>
      <c r="P215" s="439"/>
      <c r="Q215" s="437"/>
      <c r="R215" s="437"/>
      <c r="S215" s="437"/>
      <c r="T215" s="437"/>
      <c r="U215" s="437"/>
      <c r="V215" s="437"/>
      <c r="W215" s="437"/>
      <c r="X215" s="437"/>
      <c r="Y215" s="437"/>
      <c r="Z215" s="437"/>
      <c r="AA215" s="437"/>
      <c r="AB215" s="438"/>
      <c r="AC215" s="439"/>
      <c r="AD215" s="437"/>
      <c r="AE215" s="437"/>
      <c r="AF215" s="437"/>
      <c r="AG215" s="437"/>
      <c r="AH215" s="437"/>
      <c r="AI215" s="437"/>
      <c r="AJ215" s="437"/>
      <c r="AK215" s="437"/>
      <c r="AL215" s="437"/>
      <c r="AM215" s="437"/>
      <c r="AN215" s="437"/>
      <c r="AO215" s="438"/>
      <c r="AQ215" s="428"/>
      <c r="AR215" s="429"/>
      <c r="AS215" s="429"/>
      <c r="AT215" s="429"/>
      <c r="AU215" s="429"/>
      <c r="AV215" s="429"/>
      <c r="AW215" s="429"/>
      <c r="AX215" s="429"/>
      <c r="AY215" s="429"/>
      <c r="AZ215" s="429"/>
      <c r="BA215" s="429"/>
      <c r="BB215" s="429"/>
      <c r="BC215" s="431"/>
      <c r="BD215" s="428"/>
      <c r="BE215" s="429"/>
      <c r="BF215" s="429"/>
      <c r="BG215" s="429"/>
      <c r="BH215" s="429"/>
      <c r="BI215" s="429"/>
      <c r="BJ215" s="429"/>
      <c r="BK215" s="429"/>
      <c r="BL215" s="429"/>
      <c r="BM215" s="429"/>
      <c r="BN215" s="429"/>
      <c r="BO215" s="429"/>
      <c r="BP215" s="431"/>
      <c r="BQ215" s="428"/>
      <c r="BR215" s="429"/>
      <c r="BS215" s="429"/>
      <c r="BT215" s="429"/>
      <c r="BU215" s="429"/>
      <c r="BV215" s="429"/>
      <c r="BW215" s="429"/>
      <c r="BX215" s="429"/>
      <c r="BY215" s="429"/>
      <c r="BZ215" s="429"/>
      <c r="CA215" s="429"/>
      <c r="CB215" s="429"/>
      <c r="CC215" s="431"/>
    </row>
    <row r="216" spans="1:81">
      <c r="A216" s="420" t="s">
        <v>202</v>
      </c>
      <c r="B216" s="420" t="s">
        <v>175</v>
      </c>
      <c r="C216" s="436">
        <f t="shared" si="131"/>
        <v>1677.0193548387097</v>
      </c>
      <c r="D216" s="437">
        <f t="shared" si="132"/>
        <v>1250.6410256410256</v>
      </c>
      <c r="E216" s="437">
        <f t="shared" si="133"/>
        <v>1324.6730769230769</v>
      </c>
      <c r="F216" s="437">
        <f t="shared" si="134"/>
        <v>1302.0625</v>
      </c>
      <c r="G216" s="437">
        <f t="shared" si="135"/>
        <v>1066.2574850299402</v>
      </c>
      <c r="H216" s="437">
        <f t="shared" si="136"/>
        <v>854.5512820512821</v>
      </c>
      <c r="I216" s="437">
        <f t="shared" si="137"/>
        <v>859.62337662337666</v>
      </c>
      <c r="J216" s="437">
        <f t="shared" si="138"/>
        <v>922.27096774193546</v>
      </c>
      <c r="K216" s="437">
        <f t="shared" si="139"/>
        <v>909.63461538461536</v>
      </c>
      <c r="L216" s="437">
        <f t="shared" si="140"/>
        <v>1179.9294871794871</v>
      </c>
      <c r="M216" s="437">
        <f t="shared" si="141"/>
        <v>1084.9096385542168</v>
      </c>
      <c r="N216" s="437">
        <f t="shared" si="142"/>
        <v>1545.1337209302326</v>
      </c>
      <c r="O216" s="438">
        <f t="shared" si="143"/>
        <v>1167.394447354636</v>
      </c>
      <c r="P216" s="439">
        <f t="shared" si="144"/>
        <v>1802.5117647058823</v>
      </c>
      <c r="Q216" s="437">
        <f t="shared" si="145"/>
        <v>1628.5397727272727</v>
      </c>
      <c r="R216" s="437">
        <f t="shared" si="146"/>
        <v>1059.0258620689656</v>
      </c>
      <c r="S216" s="437">
        <f t="shared" si="147"/>
        <v>1299.7247191011236</v>
      </c>
      <c r="T216" s="437">
        <f t="shared" si="148"/>
        <v>1062.7189189189189</v>
      </c>
      <c r="U216" s="437">
        <f t="shared" si="149"/>
        <v>948.755</v>
      </c>
      <c r="V216" s="437">
        <f t="shared" si="150"/>
        <v>942.36627906976742</v>
      </c>
      <c r="W216" s="437">
        <f t="shared" si="151"/>
        <v>804.04093567251459</v>
      </c>
      <c r="X216" s="437">
        <f t="shared" si="152"/>
        <v>1067.04</v>
      </c>
      <c r="Y216" s="437">
        <f t="shared" si="153"/>
        <v>1036.5801104972375</v>
      </c>
      <c r="Z216" s="437">
        <f t="shared" si="154"/>
        <v>1206.9144385026739</v>
      </c>
      <c r="AA216" s="437">
        <f t="shared" si="155"/>
        <v>1279.7087912087911</v>
      </c>
      <c r="AB216" s="438">
        <f t="shared" si="156"/>
        <v>1172.0144861928475</v>
      </c>
      <c r="AC216" s="439">
        <f t="shared" si="157"/>
        <v>1926.7298850574712</v>
      </c>
      <c r="AD216" s="437">
        <f t="shared" si="158"/>
        <v>1448.370786516854</v>
      </c>
      <c r="AE216" s="437">
        <f t="shared" si="159"/>
        <v>1269.9116022099447</v>
      </c>
      <c r="AF216" s="437">
        <f t="shared" si="160"/>
        <v>1221.3956043956043</v>
      </c>
      <c r="AG216" s="437">
        <f t="shared" si="161"/>
        <v>1473.0683229813665</v>
      </c>
      <c r="AH216" s="437">
        <f t="shared" si="162"/>
        <v>1117.2712765957447</v>
      </c>
      <c r="AI216" s="437">
        <f t="shared" si="163"/>
        <v>874.65909090909088</v>
      </c>
      <c r="AJ216" s="437">
        <f t="shared" si="164"/>
        <v>1121.5398773006134</v>
      </c>
      <c r="AK216" s="437">
        <f t="shared" si="165"/>
        <v>937.46798029556646</v>
      </c>
      <c r="AL216" s="437">
        <f t="shared" si="166"/>
        <v>1222.758064516129</v>
      </c>
      <c r="AM216" s="437">
        <f t="shared" si="167"/>
        <v>1406.4101123595506</v>
      </c>
      <c r="AN216" s="437">
        <f t="shared" si="168"/>
        <v>1164.5405405405406</v>
      </c>
      <c r="AO216" s="438">
        <f t="shared" si="169"/>
        <v>1258.7893271461717</v>
      </c>
      <c r="AQ216" s="428">
        <v>1677.0193548387097</v>
      </c>
      <c r="AR216" s="429">
        <v>1250.6410256410256</v>
      </c>
      <c r="AS216" s="429">
        <v>1324.6730769230769</v>
      </c>
      <c r="AT216" s="429">
        <v>1302.0625</v>
      </c>
      <c r="AU216" s="429">
        <v>1066.2574850299402</v>
      </c>
      <c r="AV216" s="429">
        <v>854.5512820512821</v>
      </c>
      <c r="AW216" s="429">
        <v>859.62337662337666</v>
      </c>
      <c r="AX216" s="429">
        <v>922.27096774193546</v>
      </c>
      <c r="AY216" s="429">
        <v>909.63461538461536</v>
      </c>
      <c r="AZ216" s="429">
        <v>1179.9294871794871</v>
      </c>
      <c r="BA216" s="429">
        <v>1084.9096385542168</v>
      </c>
      <c r="BB216" s="429">
        <v>1545.1337209302326</v>
      </c>
      <c r="BC216" s="431">
        <v>1167.394447354636</v>
      </c>
      <c r="BD216" s="428">
        <v>1802.5117647058823</v>
      </c>
      <c r="BE216" s="429">
        <v>1628.5397727272727</v>
      </c>
      <c r="BF216" s="429">
        <v>1059.0258620689656</v>
      </c>
      <c r="BG216" s="429">
        <v>1299.7247191011236</v>
      </c>
      <c r="BH216" s="429">
        <v>1062.7189189189189</v>
      </c>
      <c r="BI216" s="429">
        <v>948.755</v>
      </c>
      <c r="BJ216" s="429">
        <v>942.36627906976742</v>
      </c>
      <c r="BK216" s="429">
        <v>804.04093567251459</v>
      </c>
      <c r="BL216" s="429">
        <v>1067.04</v>
      </c>
      <c r="BM216" s="429">
        <v>1036.5801104972375</v>
      </c>
      <c r="BN216" s="429">
        <v>1206.9144385026739</v>
      </c>
      <c r="BO216" s="429">
        <v>1279.7087912087911</v>
      </c>
      <c r="BP216" s="431">
        <v>1172.0144861928475</v>
      </c>
      <c r="BQ216" s="428">
        <v>1926.7298850574712</v>
      </c>
      <c r="BR216" s="429">
        <v>1448.370786516854</v>
      </c>
      <c r="BS216" s="429">
        <v>1269.9116022099447</v>
      </c>
      <c r="BT216" s="429">
        <v>1221.3956043956043</v>
      </c>
      <c r="BU216" s="429">
        <v>1473.0683229813665</v>
      </c>
      <c r="BV216" s="429">
        <v>1117.2712765957447</v>
      </c>
      <c r="BW216" s="429">
        <v>874.65909090909088</v>
      </c>
      <c r="BX216" s="429">
        <v>1121.5398773006134</v>
      </c>
      <c r="BY216" s="429">
        <v>937.46798029556646</v>
      </c>
      <c r="BZ216" s="429">
        <v>1222.758064516129</v>
      </c>
      <c r="CA216" s="429">
        <v>1406.4101123595506</v>
      </c>
      <c r="CB216" s="429">
        <v>1164.5405405405406</v>
      </c>
      <c r="CC216" s="431">
        <v>1258.7893271461717</v>
      </c>
    </row>
    <row r="217" spans="1:81">
      <c r="A217" s="420" t="s">
        <v>202</v>
      </c>
      <c r="B217" s="420" t="s">
        <v>176</v>
      </c>
      <c r="C217" s="436">
        <f t="shared" si="131"/>
        <v>0</v>
      </c>
      <c r="D217" s="437">
        <f t="shared" si="132"/>
        <v>0</v>
      </c>
      <c r="E217" s="437">
        <f t="shared" si="133"/>
        <v>0</v>
      </c>
      <c r="F217" s="437">
        <f t="shared" si="134"/>
        <v>0</v>
      </c>
      <c r="G217" s="437">
        <f t="shared" si="135"/>
        <v>0</v>
      </c>
      <c r="H217" s="437">
        <f t="shared" si="136"/>
        <v>0</v>
      </c>
      <c r="I217" s="437">
        <f t="shared" si="137"/>
        <v>0</v>
      </c>
      <c r="J217" s="437">
        <f t="shared" si="138"/>
        <v>0</v>
      </c>
      <c r="K217" s="437">
        <f t="shared" si="139"/>
        <v>0</v>
      </c>
      <c r="L217" s="437">
        <f t="shared" si="140"/>
        <v>0</v>
      </c>
      <c r="M217" s="437">
        <f t="shared" si="141"/>
        <v>0</v>
      </c>
      <c r="N217" s="437">
        <f t="shared" si="142"/>
        <v>0</v>
      </c>
      <c r="O217" s="438">
        <f t="shared" si="143"/>
        <v>0</v>
      </c>
      <c r="P217" s="439">
        <f t="shared" si="144"/>
        <v>0</v>
      </c>
      <c r="Q217" s="437">
        <f t="shared" si="145"/>
        <v>0</v>
      </c>
      <c r="R217" s="437">
        <f t="shared" si="146"/>
        <v>0</v>
      </c>
      <c r="S217" s="437">
        <f t="shared" si="147"/>
        <v>0</v>
      </c>
      <c r="T217" s="437">
        <f t="shared" si="148"/>
        <v>0</v>
      </c>
      <c r="U217" s="437">
        <f t="shared" si="149"/>
        <v>0</v>
      </c>
      <c r="V217" s="437">
        <f t="shared" si="150"/>
        <v>0</v>
      </c>
      <c r="W217" s="437">
        <f t="shared" si="151"/>
        <v>0</v>
      </c>
      <c r="X217" s="437">
        <f t="shared" si="152"/>
        <v>0</v>
      </c>
      <c r="Y217" s="437">
        <f t="shared" si="153"/>
        <v>0</v>
      </c>
      <c r="Z217" s="437">
        <f t="shared" si="154"/>
        <v>0</v>
      </c>
      <c r="AA217" s="437">
        <f t="shared" si="155"/>
        <v>0</v>
      </c>
      <c r="AB217" s="438">
        <f t="shared" si="156"/>
        <v>0</v>
      </c>
      <c r="AC217" s="439">
        <f t="shared" si="157"/>
        <v>0</v>
      </c>
      <c r="AD217" s="437">
        <f t="shared" si="158"/>
        <v>0</v>
      </c>
      <c r="AE217" s="437">
        <f t="shared" si="159"/>
        <v>0</v>
      </c>
      <c r="AF217" s="437">
        <f t="shared" si="160"/>
        <v>0</v>
      </c>
      <c r="AG217" s="437">
        <f t="shared" si="161"/>
        <v>0</v>
      </c>
      <c r="AH217" s="437">
        <f t="shared" si="162"/>
        <v>0</v>
      </c>
      <c r="AI217" s="437">
        <f t="shared" si="163"/>
        <v>0</v>
      </c>
      <c r="AJ217" s="437">
        <f t="shared" si="164"/>
        <v>0</v>
      </c>
      <c r="AK217" s="437">
        <f t="shared" si="165"/>
        <v>0</v>
      </c>
      <c r="AL217" s="437">
        <f t="shared" si="166"/>
        <v>0</v>
      </c>
      <c r="AM217" s="437">
        <f t="shared" si="167"/>
        <v>0</v>
      </c>
      <c r="AN217" s="437">
        <f t="shared" si="168"/>
        <v>0</v>
      </c>
      <c r="AO217" s="438">
        <f t="shared" si="169"/>
        <v>0</v>
      </c>
      <c r="AQ217" s="428">
        <v>0</v>
      </c>
      <c r="AR217" s="429">
        <v>0</v>
      </c>
      <c r="AS217" s="429">
        <v>0</v>
      </c>
      <c r="AT217" s="429">
        <v>0</v>
      </c>
      <c r="AU217" s="429">
        <v>0</v>
      </c>
      <c r="AV217" s="429">
        <v>0</v>
      </c>
      <c r="AW217" s="429">
        <v>0</v>
      </c>
      <c r="AX217" s="429">
        <v>0</v>
      </c>
      <c r="AY217" s="429">
        <v>0</v>
      </c>
      <c r="AZ217" s="429">
        <v>0</v>
      </c>
      <c r="BA217" s="429">
        <v>0</v>
      </c>
      <c r="BB217" s="429">
        <v>0</v>
      </c>
      <c r="BC217" s="431">
        <v>0</v>
      </c>
      <c r="BD217" s="428">
        <v>0</v>
      </c>
      <c r="BE217" s="429">
        <v>0</v>
      </c>
      <c r="BF217" s="429">
        <v>0</v>
      </c>
      <c r="BG217" s="429">
        <v>0</v>
      </c>
      <c r="BH217" s="429">
        <v>0</v>
      </c>
      <c r="BI217" s="429">
        <v>0</v>
      </c>
      <c r="BJ217" s="429">
        <v>0</v>
      </c>
      <c r="BK217" s="429">
        <v>0</v>
      </c>
      <c r="BL217" s="429">
        <v>0</v>
      </c>
      <c r="BM217" s="429">
        <v>0</v>
      </c>
      <c r="BN217" s="429">
        <v>0</v>
      </c>
      <c r="BO217" s="429">
        <v>0</v>
      </c>
      <c r="BP217" s="431">
        <v>0</v>
      </c>
      <c r="BQ217" s="428">
        <v>0</v>
      </c>
      <c r="BR217" s="429">
        <v>0</v>
      </c>
      <c r="BS217" s="429">
        <v>0</v>
      </c>
      <c r="BT217" s="429">
        <v>0</v>
      </c>
      <c r="BU217" s="429">
        <v>0</v>
      </c>
      <c r="BV217" s="429">
        <v>0</v>
      </c>
      <c r="BW217" s="429">
        <v>0</v>
      </c>
      <c r="BX217" s="429">
        <v>0</v>
      </c>
      <c r="BY217" s="429">
        <v>0</v>
      </c>
      <c r="BZ217" s="429">
        <v>0</v>
      </c>
      <c r="CA217" s="429">
        <v>0</v>
      </c>
      <c r="CB217" s="429">
        <v>0</v>
      </c>
      <c r="CC217" s="431">
        <v>0</v>
      </c>
    </row>
    <row r="218" spans="1:81">
      <c r="A218" s="420" t="s">
        <v>202</v>
      </c>
      <c r="B218" s="420" t="s">
        <v>177</v>
      </c>
      <c r="C218" s="436">
        <f t="shared" si="131"/>
        <v>2430.909090909091</v>
      </c>
      <c r="D218" s="437">
        <f t="shared" si="132"/>
        <v>1750.5454545454545</v>
      </c>
      <c r="E218" s="437">
        <f t="shared" si="133"/>
        <v>1955.8181818181818</v>
      </c>
      <c r="F218" s="437">
        <f t="shared" si="134"/>
        <v>1774.6363636363637</v>
      </c>
      <c r="G218" s="437">
        <f t="shared" si="135"/>
        <v>1536.8181818181818</v>
      </c>
      <c r="H218" s="437">
        <f t="shared" si="136"/>
        <v>1129.6363636363637</v>
      </c>
      <c r="I218" s="437">
        <f t="shared" si="137"/>
        <v>1258.5454545454545</v>
      </c>
      <c r="J218" s="437">
        <f t="shared" si="138"/>
        <v>1202.2727272727273</v>
      </c>
      <c r="K218" s="437">
        <f t="shared" si="139"/>
        <v>1472</v>
      </c>
      <c r="L218" s="437">
        <f t="shared" si="140"/>
        <v>1618.4545454545455</v>
      </c>
      <c r="M218" s="437">
        <f t="shared" si="141"/>
        <v>1677.5454545454545</v>
      </c>
      <c r="N218" s="437">
        <f t="shared" si="142"/>
        <v>2036.8181818181818</v>
      </c>
      <c r="O218" s="438">
        <f t="shared" si="143"/>
        <v>1653.6666666666667</v>
      </c>
      <c r="P218" s="439">
        <f t="shared" si="144"/>
        <v>2766.909090909091</v>
      </c>
      <c r="Q218" s="437">
        <f t="shared" si="145"/>
        <v>2493.181818181818</v>
      </c>
      <c r="R218" s="437">
        <f t="shared" si="146"/>
        <v>2010.3636363636363</v>
      </c>
      <c r="S218" s="437">
        <f t="shared" si="147"/>
        <v>1884.1818181818182</v>
      </c>
      <c r="T218" s="437">
        <f t="shared" si="148"/>
        <v>1769.4545454545455</v>
      </c>
      <c r="U218" s="437">
        <f t="shared" si="149"/>
        <v>1581.5454545454545</v>
      </c>
      <c r="V218" s="437">
        <f t="shared" si="150"/>
        <v>1566.7272727272727</v>
      </c>
      <c r="W218" s="437">
        <f t="shared" si="151"/>
        <v>1314.6363636363637</v>
      </c>
      <c r="X218" s="437">
        <f t="shared" si="152"/>
        <v>1507.8181818181818</v>
      </c>
      <c r="Y218" s="437">
        <f t="shared" si="153"/>
        <v>1334.090909090909</v>
      </c>
      <c r="Z218" s="437">
        <f t="shared" si="154"/>
        <v>1659.3636363636363</v>
      </c>
      <c r="AA218" s="437">
        <f t="shared" si="155"/>
        <v>1807.7272727272727</v>
      </c>
      <c r="AB218" s="438">
        <f t="shared" si="156"/>
        <v>1808</v>
      </c>
      <c r="AC218" s="439">
        <f t="shared" si="157"/>
        <v>2511.4545454545455</v>
      </c>
      <c r="AD218" s="437">
        <f t="shared" si="158"/>
        <v>1909.1818181818182</v>
      </c>
      <c r="AE218" s="437">
        <f t="shared" si="159"/>
        <v>1735.909090909091</v>
      </c>
      <c r="AF218" s="437">
        <f t="shared" si="160"/>
        <v>1662.090909090909</v>
      </c>
      <c r="AG218" s="437">
        <f t="shared" si="161"/>
        <v>1648.7272727272727</v>
      </c>
      <c r="AH218" s="437">
        <f t="shared" si="162"/>
        <v>1496.7272727272727</v>
      </c>
      <c r="AI218" s="437">
        <f t="shared" si="163"/>
        <v>1377.2727272727273</v>
      </c>
      <c r="AJ218" s="437">
        <f t="shared" si="164"/>
        <v>1682</v>
      </c>
      <c r="AK218" s="437">
        <f t="shared" si="165"/>
        <v>1407.6363636363637</v>
      </c>
      <c r="AL218" s="437">
        <f t="shared" si="166"/>
        <v>1487</v>
      </c>
      <c r="AM218" s="437">
        <f t="shared" si="167"/>
        <v>1977.7272727272727</v>
      </c>
      <c r="AN218" s="437">
        <f t="shared" si="168"/>
        <v>1790.5454545454545</v>
      </c>
      <c r="AO218" s="438">
        <f t="shared" si="169"/>
        <v>1723.8560606060605</v>
      </c>
      <c r="AQ218" s="428">
        <v>2430.909090909091</v>
      </c>
      <c r="AR218" s="429">
        <v>1750.5454545454545</v>
      </c>
      <c r="AS218" s="429">
        <v>1955.8181818181818</v>
      </c>
      <c r="AT218" s="429">
        <v>1774.6363636363637</v>
      </c>
      <c r="AU218" s="429">
        <v>1536.8181818181818</v>
      </c>
      <c r="AV218" s="429">
        <v>1129.6363636363637</v>
      </c>
      <c r="AW218" s="429">
        <v>1258.5454545454545</v>
      </c>
      <c r="AX218" s="429">
        <v>1202.2727272727273</v>
      </c>
      <c r="AY218" s="429">
        <v>1472</v>
      </c>
      <c r="AZ218" s="429">
        <v>1618.4545454545455</v>
      </c>
      <c r="BA218" s="429">
        <v>1677.5454545454545</v>
      </c>
      <c r="BB218" s="429">
        <v>2036.8181818181818</v>
      </c>
      <c r="BC218" s="431">
        <v>1653.6666666666667</v>
      </c>
      <c r="BD218" s="428">
        <v>2766.909090909091</v>
      </c>
      <c r="BE218" s="429">
        <v>2493.181818181818</v>
      </c>
      <c r="BF218" s="429">
        <v>2010.3636363636363</v>
      </c>
      <c r="BG218" s="429">
        <v>1884.1818181818182</v>
      </c>
      <c r="BH218" s="429">
        <v>1769.4545454545455</v>
      </c>
      <c r="BI218" s="429">
        <v>1581.5454545454545</v>
      </c>
      <c r="BJ218" s="429">
        <v>1566.7272727272727</v>
      </c>
      <c r="BK218" s="429">
        <v>1314.6363636363637</v>
      </c>
      <c r="BL218" s="429">
        <v>1507.8181818181818</v>
      </c>
      <c r="BM218" s="429">
        <v>1334.090909090909</v>
      </c>
      <c r="BN218" s="429">
        <v>1659.3636363636363</v>
      </c>
      <c r="BO218" s="429">
        <v>1807.7272727272727</v>
      </c>
      <c r="BP218" s="431">
        <v>1808</v>
      </c>
      <c r="BQ218" s="428">
        <v>2511.4545454545455</v>
      </c>
      <c r="BR218" s="429">
        <v>1909.1818181818182</v>
      </c>
      <c r="BS218" s="429">
        <v>1735.909090909091</v>
      </c>
      <c r="BT218" s="429">
        <v>1662.090909090909</v>
      </c>
      <c r="BU218" s="429">
        <v>1648.7272727272727</v>
      </c>
      <c r="BV218" s="429">
        <v>1496.7272727272727</v>
      </c>
      <c r="BW218" s="429">
        <v>1377.2727272727273</v>
      </c>
      <c r="BX218" s="429">
        <v>1682</v>
      </c>
      <c r="BY218" s="429">
        <v>1407.6363636363637</v>
      </c>
      <c r="BZ218" s="429">
        <v>1487</v>
      </c>
      <c r="CA218" s="429">
        <v>1977.7272727272727</v>
      </c>
      <c r="CB218" s="429">
        <v>1790.5454545454545</v>
      </c>
      <c r="CC218" s="431">
        <v>1723.8560606060605</v>
      </c>
    </row>
    <row r="219" spans="1:81">
      <c r="A219" s="420" t="s">
        <v>202</v>
      </c>
      <c r="B219" s="420" t="s">
        <v>178</v>
      </c>
      <c r="C219" s="436">
        <f t="shared" si="131"/>
        <v>4163.333333333333</v>
      </c>
      <c r="D219" s="437">
        <f t="shared" si="132"/>
        <v>3408.3333333333335</v>
      </c>
      <c r="E219" s="437">
        <f t="shared" si="133"/>
        <v>3123.3333333333335</v>
      </c>
      <c r="F219" s="437">
        <f t="shared" si="134"/>
        <v>4521.666666666667</v>
      </c>
      <c r="G219" s="437">
        <f t="shared" si="135"/>
        <v>3845</v>
      </c>
      <c r="H219" s="437">
        <f t="shared" si="136"/>
        <v>3473.3333333333335</v>
      </c>
      <c r="I219" s="437">
        <f t="shared" si="137"/>
        <v>3555</v>
      </c>
      <c r="J219" s="437">
        <f t="shared" si="138"/>
        <v>4021.6666666666665</v>
      </c>
      <c r="K219" s="437">
        <f t="shared" si="139"/>
        <v>3456.6666666666665</v>
      </c>
      <c r="L219" s="437">
        <f t="shared" si="140"/>
        <v>3738.3333333333335</v>
      </c>
      <c r="M219" s="437">
        <f t="shared" si="141"/>
        <v>3230</v>
      </c>
      <c r="N219" s="437">
        <f t="shared" si="142"/>
        <v>3530</v>
      </c>
      <c r="O219" s="438">
        <f t="shared" si="143"/>
        <v>3672.2222222222222</v>
      </c>
      <c r="P219" s="439">
        <f t="shared" si="144"/>
        <v>4248.333333333333</v>
      </c>
      <c r="Q219" s="437">
        <f t="shared" si="145"/>
        <v>3940</v>
      </c>
      <c r="R219" s="437">
        <f t="shared" si="146"/>
        <v>3225</v>
      </c>
      <c r="S219" s="437">
        <f t="shared" si="147"/>
        <v>3600</v>
      </c>
      <c r="T219" s="437">
        <f t="shared" si="148"/>
        <v>3775</v>
      </c>
      <c r="U219" s="437">
        <f t="shared" si="149"/>
        <v>3623.3333333333335</v>
      </c>
      <c r="V219" s="437">
        <f t="shared" si="150"/>
        <v>3913.3333333333335</v>
      </c>
      <c r="W219" s="437">
        <f t="shared" si="151"/>
        <v>3360</v>
      </c>
      <c r="X219" s="437">
        <f t="shared" si="152"/>
        <v>4235</v>
      </c>
      <c r="Y219" s="437">
        <f t="shared" si="153"/>
        <v>3396.6666666666665</v>
      </c>
      <c r="Z219" s="437">
        <f t="shared" si="154"/>
        <v>3533.3333333333335</v>
      </c>
      <c r="AA219" s="437">
        <f t="shared" si="155"/>
        <v>3443.3333333333335</v>
      </c>
      <c r="AB219" s="438">
        <f t="shared" si="156"/>
        <v>3691.1111111111113</v>
      </c>
      <c r="AC219" s="439">
        <f t="shared" si="157"/>
        <v>4360</v>
      </c>
      <c r="AD219" s="437">
        <f t="shared" si="158"/>
        <v>3998.3333333333335</v>
      </c>
      <c r="AE219" s="437">
        <f t="shared" si="159"/>
        <v>3566.6666666666665</v>
      </c>
      <c r="AF219" s="437">
        <f t="shared" si="160"/>
        <v>3091.6666666666665</v>
      </c>
      <c r="AG219" s="437">
        <f t="shared" si="161"/>
        <v>3526.6666666666665</v>
      </c>
      <c r="AH219" s="437">
        <f t="shared" si="162"/>
        <v>3678.3333333333335</v>
      </c>
      <c r="AI219" s="437">
        <f t="shared" si="163"/>
        <v>3623.3333333333335</v>
      </c>
      <c r="AJ219" s="437">
        <f t="shared" si="164"/>
        <v>5758</v>
      </c>
      <c r="AK219" s="437">
        <f t="shared" si="165"/>
        <v>3281.4285714285716</v>
      </c>
      <c r="AL219" s="437">
        <f t="shared" si="166"/>
        <v>4320</v>
      </c>
      <c r="AM219" s="437">
        <f t="shared" si="167"/>
        <v>3600</v>
      </c>
      <c r="AN219" s="437">
        <f t="shared" si="168"/>
        <v>3095</v>
      </c>
      <c r="AO219" s="438">
        <f t="shared" si="169"/>
        <v>3790.5555555555557</v>
      </c>
      <c r="AQ219" s="428">
        <v>4163.333333333333</v>
      </c>
      <c r="AR219" s="429">
        <v>3408.3333333333335</v>
      </c>
      <c r="AS219" s="429">
        <v>3123.3333333333335</v>
      </c>
      <c r="AT219" s="429">
        <v>4521.666666666667</v>
      </c>
      <c r="AU219" s="429">
        <v>3845</v>
      </c>
      <c r="AV219" s="429">
        <v>3473.3333333333335</v>
      </c>
      <c r="AW219" s="429">
        <v>3555</v>
      </c>
      <c r="AX219" s="429">
        <v>4021.6666666666665</v>
      </c>
      <c r="AY219" s="429">
        <v>3456.6666666666665</v>
      </c>
      <c r="AZ219" s="429">
        <v>3738.3333333333335</v>
      </c>
      <c r="BA219" s="429">
        <v>3230</v>
      </c>
      <c r="BB219" s="429">
        <v>3530</v>
      </c>
      <c r="BC219" s="431">
        <v>3672.2222222222222</v>
      </c>
      <c r="BD219" s="428">
        <v>4248.333333333333</v>
      </c>
      <c r="BE219" s="429">
        <v>3940</v>
      </c>
      <c r="BF219" s="429">
        <v>3225</v>
      </c>
      <c r="BG219" s="429">
        <v>3600</v>
      </c>
      <c r="BH219" s="429">
        <v>3775</v>
      </c>
      <c r="BI219" s="429">
        <v>3623.3333333333335</v>
      </c>
      <c r="BJ219" s="429">
        <v>3913.3333333333335</v>
      </c>
      <c r="BK219" s="429">
        <v>3360</v>
      </c>
      <c r="BL219" s="429">
        <v>4235</v>
      </c>
      <c r="BM219" s="429">
        <v>3396.6666666666665</v>
      </c>
      <c r="BN219" s="429">
        <v>3533.3333333333335</v>
      </c>
      <c r="BO219" s="429">
        <v>3443.3333333333335</v>
      </c>
      <c r="BP219" s="431">
        <v>3691.1111111111113</v>
      </c>
      <c r="BQ219" s="428">
        <v>4360</v>
      </c>
      <c r="BR219" s="429">
        <v>3998.3333333333335</v>
      </c>
      <c r="BS219" s="429">
        <v>3566.6666666666665</v>
      </c>
      <c r="BT219" s="429">
        <v>3091.6666666666665</v>
      </c>
      <c r="BU219" s="429">
        <v>3526.6666666666665</v>
      </c>
      <c r="BV219" s="429">
        <v>3678.3333333333335</v>
      </c>
      <c r="BW219" s="429">
        <v>3623.3333333333335</v>
      </c>
      <c r="BX219" s="429">
        <v>5758</v>
      </c>
      <c r="BY219" s="429">
        <v>3281.4285714285716</v>
      </c>
      <c r="BZ219" s="429">
        <v>4320</v>
      </c>
      <c r="CA219" s="429">
        <v>3600</v>
      </c>
      <c r="CB219" s="429">
        <v>3095</v>
      </c>
      <c r="CC219" s="431">
        <v>3790.5555555555557</v>
      </c>
    </row>
    <row r="220" spans="1:81">
      <c r="A220" s="420" t="s">
        <v>202</v>
      </c>
      <c r="B220" s="420" t="s">
        <v>179</v>
      </c>
      <c r="C220" s="436">
        <f t="shared" si="131"/>
        <v>0</v>
      </c>
      <c r="D220" s="437">
        <f t="shared" si="132"/>
        <v>0</v>
      </c>
      <c r="E220" s="437">
        <f t="shared" si="133"/>
        <v>0</v>
      </c>
      <c r="F220" s="437">
        <f t="shared" si="134"/>
        <v>0</v>
      </c>
      <c r="G220" s="437">
        <f t="shared" si="135"/>
        <v>0</v>
      </c>
      <c r="H220" s="437">
        <f t="shared" si="136"/>
        <v>0</v>
      </c>
      <c r="I220" s="437">
        <f t="shared" si="137"/>
        <v>0</v>
      </c>
      <c r="J220" s="437">
        <f t="shared" si="138"/>
        <v>0</v>
      </c>
      <c r="K220" s="437">
        <f t="shared" si="139"/>
        <v>0</v>
      </c>
      <c r="L220" s="437">
        <f t="shared" si="140"/>
        <v>0</v>
      </c>
      <c r="M220" s="437">
        <f t="shared" si="141"/>
        <v>0</v>
      </c>
      <c r="N220" s="437">
        <f t="shared" si="142"/>
        <v>0</v>
      </c>
      <c r="O220" s="438">
        <f t="shared" si="143"/>
        <v>0</v>
      </c>
      <c r="P220" s="439">
        <f t="shared" si="144"/>
        <v>0</v>
      </c>
      <c r="Q220" s="437">
        <f t="shared" si="145"/>
        <v>0</v>
      </c>
      <c r="R220" s="437">
        <f t="shared" si="146"/>
        <v>0</v>
      </c>
      <c r="S220" s="437">
        <f t="shared" si="147"/>
        <v>0</v>
      </c>
      <c r="T220" s="437">
        <f t="shared" si="148"/>
        <v>0</v>
      </c>
      <c r="U220" s="437">
        <f t="shared" si="149"/>
        <v>0</v>
      </c>
      <c r="V220" s="437">
        <f t="shared" si="150"/>
        <v>0</v>
      </c>
      <c r="W220" s="437">
        <f t="shared" si="151"/>
        <v>0</v>
      </c>
      <c r="X220" s="437">
        <f t="shared" si="152"/>
        <v>0</v>
      </c>
      <c r="Y220" s="437">
        <f t="shared" si="153"/>
        <v>0</v>
      </c>
      <c r="Z220" s="437">
        <f t="shared" si="154"/>
        <v>0</v>
      </c>
      <c r="AA220" s="437">
        <f t="shared" si="155"/>
        <v>0</v>
      </c>
      <c r="AB220" s="438">
        <f t="shared" si="156"/>
        <v>0</v>
      </c>
      <c r="AC220" s="439">
        <f t="shared" si="157"/>
        <v>0</v>
      </c>
      <c r="AD220" s="437">
        <f t="shared" si="158"/>
        <v>0</v>
      </c>
      <c r="AE220" s="437">
        <f t="shared" si="159"/>
        <v>0</v>
      </c>
      <c r="AF220" s="437">
        <f t="shared" si="160"/>
        <v>0</v>
      </c>
      <c r="AG220" s="437">
        <f t="shared" si="161"/>
        <v>0</v>
      </c>
      <c r="AH220" s="437">
        <f t="shared" si="162"/>
        <v>0</v>
      </c>
      <c r="AI220" s="437">
        <f t="shared" si="163"/>
        <v>0</v>
      </c>
      <c r="AJ220" s="437">
        <f t="shared" si="164"/>
        <v>0</v>
      </c>
      <c r="AK220" s="437">
        <f t="shared" si="165"/>
        <v>0</v>
      </c>
      <c r="AL220" s="437">
        <f t="shared" si="166"/>
        <v>0</v>
      </c>
      <c r="AM220" s="437">
        <f t="shared" si="167"/>
        <v>0</v>
      </c>
      <c r="AN220" s="437">
        <f t="shared" si="168"/>
        <v>0</v>
      </c>
      <c r="AO220" s="438">
        <f t="shared" si="169"/>
        <v>0</v>
      </c>
      <c r="AQ220" s="428">
        <v>0</v>
      </c>
      <c r="AR220" s="429">
        <v>0</v>
      </c>
      <c r="AS220" s="429">
        <v>0</v>
      </c>
      <c r="AT220" s="429">
        <v>0</v>
      </c>
      <c r="AU220" s="429">
        <v>0</v>
      </c>
      <c r="AV220" s="429">
        <v>0</v>
      </c>
      <c r="AW220" s="429">
        <v>0</v>
      </c>
      <c r="AX220" s="429">
        <v>0</v>
      </c>
      <c r="AY220" s="429">
        <v>0</v>
      </c>
      <c r="AZ220" s="429">
        <v>0</v>
      </c>
      <c r="BA220" s="429">
        <v>0</v>
      </c>
      <c r="BB220" s="429">
        <v>0</v>
      </c>
      <c r="BC220" s="431">
        <v>0</v>
      </c>
      <c r="BD220" s="428">
        <v>0</v>
      </c>
      <c r="BE220" s="429">
        <v>0</v>
      </c>
      <c r="BF220" s="429">
        <v>0</v>
      </c>
      <c r="BG220" s="429">
        <v>0</v>
      </c>
      <c r="BH220" s="429">
        <v>0</v>
      </c>
      <c r="BI220" s="429">
        <v>0</v>
      </c>
      <c r="BJ220" s="429">
        <v>0</v>
      </c>
      <c r="BK220" s="429">
        <v>0</v>
      </c>
      <c r="BL220" s="429">
        <v>0</v>
      </c>
      <c r="BM220" s="429">
        <v>0</v>
      </c>
      <c r="BN220" s="429">
        <v>0</v>
      </c>
      <c r="BO220" s="429">
        <v>0</v>
      </c>
      <c r="BP220" s="431">
        <v>0</v>
      </c>
      <c r="BQ220" s="428">
        <v>0</v>
      </c>
      <c r="BR220" s="429">
        <v>0</v>
      </c>
      <c r="BS220" s="429">
        <v>0</v>
      </c>
      <c r="BT220" s="429">
        <v>0</v>
      </c>
      <c r="BU220" s="429">
        <v>0</v>
      </c>
      <c r="BV220" s="429">
        <v>0</v>
      </c>
      <c r="BW220" s="429">
        <v>0</v>
      </c>
      <c r="BX220" s="429">
        <v>0</v>
      </c>
      <c r="BY220" s="429">
        <v>0</v>
      </c>
      <c r="BZ220" s="429">
        <v>0</v>
      </c>
      <c r="CA220" s="429">
        <v>0</v>
      </c>
      <c r="CB220" s="429">
        <v>0</v>
      </c>
      <c r="CC220" s="431">
        <v>0</v>
      </c>
    </row>
    <row r="221" spans="1:81">
      <c r="A221" s="420" t="s">
        <v>202</v>
      </c>
      <c r="B221" s="420" t="s">
        <v>180</v>
      </c>
      <c r="C221" s="436">
        <f t="shared" si="131"/>
        <v>630.79999999999995</v>
      </c>
      <c r="D221" s="437">
        <f t="shared" si="132"/>
        <v>616.9</v>
      </c>
      <c r="E221" s="437">
        <f t="shared" si="133"/>
        <v>585.4</v>
      </c>
      <c r="F221" s="437">
        <f t="shared" si="134"/>
        <v>688.8</v>
      </c>
      <c r="G221" s="437">
        <f t="shared" si="135"/>
        <v>697.4</v>
      </c>
      <c r="H221" s="437">
        <f t="shared" si="136"/>
        <v>537</v>
      </c>
      <c r="I221" s="437">
        <f t="shared" si="137"/>
        <v>444.9</v>
      </c>
      <c r="J221" s="437">
        <f t="shared" si="138"/>
        <v>526.5</v>
      </c>
      <c r="K221" s="437">
        <f t="shared" si="139"/>
        <v>439.2</v>
      </c>
      <c r="L221" s="437">
        <f t="shared" si="140"/>
        <v>554.79999999999995</v>
      </c>
      <c r="M221" s="437">
        <f t="shared" si="141"/>
        <v>608.6</v>
      </c>
      <c r="N221" s="437">
        <f t="shared" si="142"/>
        <v>696.5</v>
      </c>
      <c r="O221" s="438">
        <f t="shared" si="143"/>
        <v>585.56666666666672</v>
      </c>
      <c r="P221" s="439">
        <f t="shared" si="144"/>
        <v>649.5</v>
      </c>
      <c r="Q221" s="437">
        <f t="shared" si="145"/>
        <v>707.6</v>
      </c>
      <c r="R221" s="437">
        <f t="shared" si="146"/>
        <v>515.70000000000005</v>
      </c>
      <c r="S221" s="437">
        <f t="shared" si="147"/>
        <v>642.6</v>
      </c>
      <c r="T221" s="437">
        <f t="shared" si="148"/>
        <v>658</v>
      </c>
      <c r="U221" s="437">
        <f t="shared" si="149"/>
        <v>582.29999999999995</v>
      </c>
      <c r="V221" s="437">
        <f t="shared" si="150"/>
        <v>497.8</v>
      </c>
      <c r="W221" s="437">
        <f t="shared" si="151"/>
        <v>490.7</v>
      </c>
      <c r="X221" s="437">
        <f t="shared" si="152"/>
        <v>596.79999999999995</v>
      </c>
      <c r="Y221" s="437">
        <f t="shared" si="153"/>
        <v>536</v>
      </c>
      <c r="Z221" s="437">
        <f t="shared" si="154"/>
        <v>585.4</v>
      </c>
      <c r="AA221" s="437">
        <f t="shared" si="155"/>
        <v>597.29999999999995</v>
      </c>
      <c r="AB221" s="438">
        <f t="shared" si="156"/>
        <v>588.30833333333328</v>
      </c>
      <c r="AC221" s="439">
        <f t="shared" si="157"/>
        <v>723.1</v>
      </c>
      <c r="AD221" s="437">
        <f t="shared" si="158"/>
        <v>650.4</v>
      </c>
      <c r="AE221" s="437">
        <f t="shared" si="159"/>
        <v>505.3</v>
      </c>
      <c r="AF221" s="437">
        <f t="shared" si="160"/>
        <v>464</v>
      </c>
      <c r="AG221" s="437">
        <f t="shared" si="161"/>
        <v>657</v>
      </c>
      <c r="AH221" s="437">
        <f t="shared" si="162"/>
        <v>564.6</v>
      </c>
      <c r="AI221" s="437">
        <f t="shared" si="163"/>
        <v>441.2</v>
      </c>
      <c r="AJ221" s="437">
        <f t="shared" si="164"/>
        <v>582.79999999999995</v>
      </c>
      <c r="AK221" s="437">
        <f t="shared" si="165"/>
        <v>577.4</v>
      </c>
      <c r="AL221" s="437">
        <f t="shared" si="166"/>
        <v>761.3</v>
      </c>
      <c r="AM221" s="437">
        <f t="shared" si="167"/>
        <v>703.5</v>
      </c>
      <c r="AN221" s="437">
        <f t="shared" si="168"/>
        <v>584.5</v>
      </c>
      <c r="AO221" s="438">
        <f t="shared" si="169"/>
        <v>601.25833333333333</v>
      </c>
      <c r="AQ221" s="428">
        <v>630.79999999999995</v>
      </c>
      <c r="AR221" s="429">
        <v>616.9</v>
      </c>
      <c r="AS221" s="429">
        <v>585.4</v>
      </c>
      <c r="AT221" s="429">
        <v>688.8</v>
      </c>
      <c r="AU221" s="429">
        <v>697.4</v>
      </c>
      <c r="AV221" s="429">
        <v>537</v>
      </c>
      <c r="AW221" s="429">
        <v>444.9</v>
      </c>
      <c r="AX221" s="429">
        <v>526.5</v>
      </c>
      <c r="AY221" s="429">
        <v>439.2</v>
      </c>
      <c r="AZ221" s="429">
        <v>554.79999999999995</v>
      </c>
      <c r="BA221" s="429">
        <v>608.6</v>
      </c>
      <c r="BB221" s="429">
        <v>696.5</v>
      </c>
      <c r="BC221" s="431">
        <v>585.56666666666672</v>
      </c>
      <c r="BD221" s="428">
        <v>649.5</v>
      </c>
      <c r="BE221" s="429">
        <v>707.6</v>
      </c>
      <c r="BF221" s="429">
        <v>515.70000000000005</v>
      </c>
      <c r="BG221" s="429">
        <v>642.6</v>
      </c>
      <c r="BH221" s="429">
        <v>658</v>
      </c>
      <c r="BI221" s="429">
        <v>582.29999999999995</v>
      </c>
      <c r="BJ221" s="429">
        <v>497.8</v>
      </c>
      <c r="BK221" s="429">
        <v>490.7</v>
      </c>
      <c r="BL221" s="429">
        <v>596.79999999999995</v>
      </c>
      <c r="BM221" s="429">
        <v>536</v>
      </c>
      <c r="BN221" s="429">
        <v>585.4</v>
      </c>
      <c r="BO221" s="429">
        <v>597.29999999999995</v>
      </c>
      <c r="BP221" s="431">
        <v>588.30833333333328</v>
      </c>
      <c r="BQ221" s="428">
        <v>723.1</v>
      </c>
      <c r="BR221" s="429">
        <v>650.4</v>
      </c>
      <c r="BS221" s="429">
        <v>505.3</v>
      </c>
      <c r="BT221" s="429">
        <v>464</v>
      </c>
      <c r="BU221" s="429">
        <v>657</v>
      </c>
      <c r="BV221" s="429">
        <v>564.6</v>
      </c>
      <c r="BW221" s="429">
        <v>441.2</v>
      </c>
      <c r="BX221" s="429">
        <v>582.79999999999995</v>
      </c>
      <c r="BY221" s="429">
        <v>577.4</v>
      </c>
      <c r="BZ221" s="429">
        <v>761.3</v>
      </c>
      <c r="CA221" s="429">
        <v>703.5</v>
      </c>
      <c r="CB221" s="429">
        <v>584.5</v>
      </c>
      <c r="CC221" s="431">
        <v>601.25833333333333</v>
      </c>
    </row>
    <row r="222" spans="1:81">
      <c r="A222" s="420" t="s">
        <v>202</v>
      </c>
      <c r="B222" s="420" t="s">
        <v>181</v>
      </c>
      <c r="C222" s="436">
        <f t="shared" si="131"/>
        <v>0</v>
      </c>
      <c r="D222" s="437">
        <f t="shared" si="132"/>
        <v>0</v>
      </c>
      <c r="E222" s="437">
        <f t="shared" si="133"/>
        <v>0</v>
      </c>
      <c r="F222" s="437">
        <f t="shared" si="134"/>
        <v>0</v>
      </c>
      <c r="G222" s="437">
        <f t="shared" si="135"/>
        <v>0</v>
      </c>
      <c r="H222" s="437">
        <f t="shared" si="136"/>
        <v>0</v>
      </c>
      <c r="I222" s="437">
        <f t="shared" si="137"/>
        <v>0</v>
      </c>
      <c r="J222" s="437">
        <f t="shared" si="138"/>
        <v>0</v>
      </c>
      <c r="K222" s="437">
        <f t="shared" si="139"/>
        <v>0</v>
      </c>
      <c r="L222" s="437">
        <f t="shared" si="140"/>
        <v>0</v>
      </c>
      <c r="M222" s="437">
        <f t="shared" si="141"/>
        <v>0</v>
      </c>
      <c r="N222" s="437">
        <f t="shared" si="142"/>
        <v>0</v>
      </c>
      <c r="O222" s="438">
        <f t="shared" si="143"/>
        <v>0</v>
      </c>
      <c r="P222" s="439">
        <f t="shared" si="144"/>
        <v>0</v>
      </c>
      <c r="Q222" s="437">
        <f t="shared" si="145"/>
        <v>0</v>
      </c>
      <c r="R222" s="437">
        <f t="shared" si="146"/>
        <v>0</v>
      </c>
      <c r="S222" s="437">
        <f t="shared" si="147"/>
        <v>0</v>
      </c>
      <c r="T222" s="437">
        <f t="shared" si="148"/>
        <v>0</v>
      </c>
      <c r="U222" s="437">
        <f t="shared" si="149"/>
        <v>0</v>
      </c>
      <c r="V222" s="437">
        <f t="shared" si="150"/>
        <v>0</v>
      </c>
      <c r="W222" s="437">
        <f t="shared" si="151"/>
        <v>0</v>
      </c>
      <c r="X222" s="437">
        <f t="shared" si="152"/>
        <v>0</v>
      </c>
      <c r="Y222" s="437">
        <f t="shared" si="153"/>
        <v>0</v>
      </c>
      <c r="Z222" s="437">
        <f t="shared" si="154"/>
        <v>0</v>
      </c>
      <c r="AA222" s="437">
        <f t="shared" si="155"/>
        <v>0</v>
      </c>
      <c r="AB222" s="438">
        <f t="shared" si="156"/>
        <v>0</v>
      </c>
      <c r="AC222" s="439">
        <f t="shared" si="157"/>
        <v>0</v>
      </c>
      <c r="AD222" s="437">
        <f t="shared" si="158"/>
        <v>0</v>
      </c>
      <c r="AE222" s="437">
        <f t="shared" si="159"/>
        <v>0</v>
      </c>
      <c r="AF222" s="437">
        <f t="shared" si="160"/>
        <v>0</v>
      </c>
      <c r="AG222" s="437">
        <f t="shared" si="161"/>
        <v>0</v>
      </c>
      <c r="AH222" s="437">
        <f t="shared" si="162"/>
        <v>0</v>
      </c>
      <c r="AI222" s="437">
        <f t="shared" si="163"/>
        <v>0</v>
      </c>
      <c r="AJ222" s="437">
        <f t="shared" si="164"/>
        <v>0</v>
      </c>
      <c r="AK222" s="437">
        <f t="shared" si="165"/>
        <v>0</v>
      </c>
      <c r="AL222" s="437">
        <f t="shared" si="166"/>
        <v>0</v>
      </c>
      <c r="AM222" s="437">
        <f t="shared" si="167"/>
        <v>0</v>
      </c>
      <c r="AN222" s="437">
        <f t="shared" si="168"/>
        <v>0</v>
      </c>
      <c r="AO222" s="438">
        <f t="shared" si="169"/>
        <v>0</v>
      </c>
      <c r="AQ222" s="428">
        <v>0</v>
      </c>
      <c r="AR222" s="429">
        <v>0</v>
      </c>
      <c r="AS222" s="429">
        <v>0</v>
      </c>
      <c r="AT222" s="429">
        <v>0</v>
      </c>
      <c r="AU222" s="429">
        <v>0</v>
      </c>
      <c r="AV222" s="429">
        <v>0</v>
      </c>
      <c r="AW222" s="429">
        <v>0</v>
      </c>
      <c r="AX222" s="429">
        <v>0</v>
      </c>
      <c r="AY222" s="429">
        <v>0</v>
      </c>
      <c r="AZ222" s="429">
        <v>0</v>
      </c>
      <c r="BA222" s="429">
        <v>0</v>
      </c>
      <c r="BB222" s="429">
        <v>0</v>
      </c>
      <c r="BC222" s="431">
        <v>0</v>
      </c>
      <c r="BD222" s="428">
        <v>0</v>
      </c>
      <c r="BE222" s="429">
        <v>0</v>
      </c>
      <c r="BF222" s="429">
        <v>0</v>
      </c>
      <c r="BG222" s="429">
        <v>0</v>
      </c>
      <c r="BH222" s="429">
        <v>0</v>
      </c>
      <c r="BI222" s="429">
        <v>0</v>
      </c>
      <c r="BJ222" s="429">
        <v>0</v>
      </c>
      <c r="BK222" s="429">
        <v>0</v>
      </c>
      <c r="BL222" s="429">
        <v>0</v>
      </c>
      <c r="BM222" s="429">
        <v>0</v>
      </c>
      <c r="BN222" s="429">
        <v>0</v>
      </c>
      <c r="BO222" s="429">
        <v>0</v>
      </c>
      <c r="BP222" s="431">
        <v>0</v>
      </c>
      <c r="BQ222" s="428">
        <v>0</v>
      </c>
      <c r="BR222" s="429">
        <v>0</v>
      </c>
      <c r="BS222" s="429">
        <v>0</v>
      </c>
      <c r="BT222" s="429">
        <v>0</v>
      </c>
      <c r="BU222" s="429">
        <v>0</v>
      </c>
      <c r="BV222" s="429">
        <v>0</v>
      </c>
      <c r="BW222" s="429">
        <v>0</v>
      </c>
      <c r="BX222" s="429">
        <v>0</v>
      </c>
      <c r="BY222" s="429">
        <v>0</v>
      </c>
      <c r="BZ222" s="429">
        <v>0</v>
      </c>
      <c r="CA222" s="429">
        <v>0</v>
      </c>
      <c r="CB222" s="429">
        <v>0</v>
      </c>
      <c r="CC222" s="431">
        <v>0</v>
      </c>
    </row>
    <row r="223" spans="1:81">
      <c r="A223" s="420" t="s">
        <v>202</v>
      </c>
      <c r="B223" s="420" t="s">
        <v>182</v>
      </c>
      <c r="C223" s="436">
        <f t="shared" si="131"/>
        <v>5322.416666666667</v>
      </c>
      <c r="D223" s="437">
        <f t="shared" si="132"/>
        <v>4108.916666666667</v>
      </c>
      <c r="E223" s="437">
        <f t="shared" si="133"/>
        <v>4574.833333333333</v>
      </c>
      <c r="F223" s="437">
        <f t="shared" si="134"/>
        <v>4600.416666666667</v>
      </c>
      <c r="G223" s="437">
        <f t="shared" si="135"/>
        <v>4206.75</v>
      </c>
      <c r="H223" s="437">
        <f t="shared" si="136"/>
        <v>3574.4166666666665</v>
      </c>
      <c r="I223" s="437">
        <f t="shared" si="137"/>
        <v>3781.25</v>
      </c>
      <c r="J223" s="437">
        <f t="shared" si="138"/>
        <v>3796.5</v>
      </c>
      <c r="K223" s="437">
        <f t="shared" si="139"/>
        <v>3939.5833333333335</v>
      </c>
      <c r="L223" s="437">
        <f t="shared" si="140"/>
        <v>4373.416666666667</v>
      </c>
      <c r="M223" s="437">
        <f t="shared" si="141"/>
        <v>3701</v>
      </c>
      <c r="N223" s="437">
        <f t="shared" si="142"/>
        <v>4998.166666666667</v>
      </c>
      <c r="O223" s="438">
        <f t="shared" si="143"/>
        <v>4248.1388888888887</v>
      </c>
      <c r="P223" s="439">
        <f t="shared" si="144"/>
        <v>5232</v>
      </c>
      <c r="Q223" s="437">
        <f t="shared" si="145"/>
        <v>4679.416666666667</v>
      </c>
      <c r="R223" s="437">
        <f t="shared" si="146"/>
        <v>4225.5</v>
      </c>
      <c r="S223" s="437">
        <f t="shared" si="147"/>
        <v>4331.363636363636</v>
      </c>
      <c r="T223" s="437">
        <f t="shared" si="148"/>
        <v>4280.166666666667</v>
      </c>
      <c r="U223" s="437">
        <f t="shared" si="149"/>
        <v>4071.5833333333335</v>
      </c>
      <c r="V223" s="437">
        <f t="shared" si="150"/>
        <v>4199.3846153846152</v>
      </c>
      <c r="W223" s="437">
        <f t="shared" si="151"/>
        <v>3658.1666666666665</v>
      </c>
      <c r="X223" s="437">
        <f t="shared" si="152"/>
        <v>4783.583333333333</v>
      </c>
      <c r="Y223" s="437">
        <f t="shared" si="153"/>
        <v>3907</v>
      </c>
      <c r="Z223" s="437">
        <f t="shared" si="154"/>
        <v>4193.363636363636</v>
      </c>
      <c r="AA223" s="437">
        <f t="shared" si="155"/>
        <v>4630.9230769230771</v>
      </c>
      <c r="AB223" s="438">
        <f t="shared" si="156"/>
        <v>4351.4930555555557</v>
      </c>
      <c r="AC223" s="439">
        <f t="shared" si="157"/>
        <v>6203.75</v>
      </c>
      <c r="AD223" s="437">
        <f t="shared" si="158"/>
        <v>3597.5</v>
      </c>
      <c r="AE223" s="437">
        <f t="shared" si="159"/>
        <v>4424.333333333333</v>
      </c>
      <c r="AF223" s="437">
        <f t="shared" si="160"/>
        <v>4535</v>
      </c>
      <c r="AG223" s="437">
        <f t="shared" si="161"/>
        <v>2784.4</v>
      </c>
      <c r="AH223" s="437">
        <f t="shared" si="162"/>
        <v>4454.1428571428569</v>
      </c>
      <c r="AI223" s="437">
        <f t="shared" si="163"/>
        <v>3271.25</v>
      </c>
      <c r="AJ223" s="437">
        <f t="shared" si="164"/>
        <v>4323.416666666667</v>
      </c>
      <c r="AK223" s="437">
        <f t="shared" si="165"/>
        <v>4108.583333333333</v>
      </c>
      <c r="AL223" s="437">
        <f t="shared" si="166"/>
        <v>4485.25</v>
      </c>
      <c r="AM223" s="437">
        <f t="shared" si="167"/>
        <v>4057.0833333333335</v>
      </c>
      <c r="AN223" s="437">
        <f t="shared" si="168"/>
        <v>3659.4166666666665</v>
      </c>
      <c r="AO223" s="438">
        <f t="shared" si="169"/>
        <v>4194.8888888888887</v>
      </c>
      <c r="AQ223" s="428">
        <v>5322.416666666667</v>
      </c>
      <c r="AR223" s="429">
        <v>4108.916666666667</v>
      </c>
      <c r="AS223" s="429">
        <v>4574.833333333333</v>
      </c>
      <c r="AT223" s="429">
        <v>4600.416666666667</v>
      </c>
      <c r="AU223" s="429">
        <v>4206.75</v>
      </c>
      <c r="AV223" s="429">
        <v>3574.4166666666665</v>
      </c>
      <c r="AW223" s="429">
        <v>3781.25</v>
      </c>
      <c r="AX223" s="429">
        <v>3796.5</v>
      </c>
      <c r="AY223" s="429">
        <v>3939.5833333333335</v>
      </c>
      <c r="AZ223" s="429">
        <v>4373.416666666667</v>
      </c>
      <c r="BA223" s="429">
        <v>3701</v>
      </c>
      <c r="BB223" s="429">
        <v>4998.166666666667</v>
      </c>
      <c r="BC223" s="431">
        <v>4248.1388888888887</v>
      </c>
      <c r="BD223" s="428">
        <v>5232</v>
      </c>
      <c r="BE223" s="429">
        <v>4679.416666666667</v>
      </c>
      <c r="BF223" s="429">
        <v>4225.5</v>
      </c>
      <c r="BG223" s="429">
        <v>4331.363636363636</v>
      </c>
      <c r="BH223" s="429">
        <v>4280.166666666667</v>
      </c>
      <c r="BI223" s="429">
        <v>4071.5833333333335</v>
      </c>
      <c r="BJ223" s="429">
        <v>4199.3846153846152</v>
      </c>
      <c r="BK223" s="429">
        <v>3658.1666666666665</v>
      </c>
      <c r="BL223" s="429">
        <v>4783.583333333333</v>
      </c>
      <c r="BM223" s="429">
        <v>3907</v>
      </c>
      <c r="BN223" s="429">
        <v>4193.363636363636</v>
      </c>
      <c r="BO223" s="429">
        <v>4630.9230769230771</v>
      </c>
      <c r="BP223" s="431">
        <v>4351.4930555555557</v>
      </c>
      <c r="BQ223" s="428">
        <v>6203.75</v>
      </c>
      <c r="BR223" s="429">
        <v>3597.5</v>
      </c>
      <c r="BS223" s="429">
        <v>4424.333333333333</v>
      </c>
      <c r="BT223" s="429">
        <v>4535</v>
      </c>
      <c r="BU223" s="429">
        <v>2784.4</v>
      </c>
      <c r="BV223" s="429">
        <v>4454.1428571428569</v>
      </c>
      <c r="BW223" s="429">
        <v>3271.25</v>
      </c>
      <c r="BX223" s="429">
        <v>4323.416666666667</v>
      </c>
      <c r="BY223" s="429">
        <v>4108.583333333333</v>
      </c>
      <c r="BZ223" s="429">
        <v>4485.25</v>
      </c>
      <c r="CA223" s="429">
        <v>4057.0833333333335</v>
      </c>
      <c r="CB223" s="429">
        <v>3659.4166666666665</v>
      </c>
      <c r="CC223" s="431">
        <v>4194.8888888888887</v>
      </c>
    </row>
    <row r="224" spans="1:81">
      <c r="A224" s="420" t="s">
        <v>202</v>
      </c>
      <c r="B224" s="420" t="s">
        <v>183</v>
      </c>
      <c r="C224" s="436">
        <f t="shared" si="131"/>
        <v>0</v>
      </c>
      <c r="D224" s="437">
        <f t="shared" si="132"/>
        <v>0</v>
      </c>
      <c r="E224" s="437">
        <f t="shared" si="133"/>
        <v>0</v>
      </c>
      <c r="F224" s="437">
        <f t="shared" si="134"/>
        <v>0</v>
      </c>
      <c r="G224" s="437">
        <f t="shared" si="135"/>
        <v>0</v>
      </c>
      <c r="H224" s="437">
        <f t="shared" si="136"/>
        <v>0</v>
      </c>
      <c r="I224" s="437">
        <f t="shared" si="137"/>
        <v>0</v>
      </c>
      <c r="J224" s="437">
        <f t="shared" si="138"/>
        <v>0</v>
      </c>
      <c r="K224" s="437">
        <f t="shared" si="139"/>
        <v>0</v>
      </c>
      <c r="L224" s="437">
        <f t="shared" si="140"/>
        <v>0</v>
      </c>
      <c r="M224" s="437">
        <f t="shared" si="141"/>
        <v>0</v>
      </c>
      <c r="N224" s="437">
        <f t="shared" si="142"/>
        <v>0</v>
      </c>
      <c r="O224" s="438">
        <f t="shared" si="143"/>
        <v>0</v>
      </c>
      <c r="P224" s="439">
        <f t="shared" si="144"/>
        <v>0</v>
      </c>
      <c r="Q224" s="437">
        <f t="shared" si="145"/>
        <v>0</v>
      </c>
      <c r="R224" s="437">
        <f t="shared" si="146"/>
        <v>0</v>
      </c>
      <c r="S224" s="437">
        <f t="shared" si="147"/>
        <v>0</v>
      </c>
      <c r="T224" s="437">
        <f t="shared" si="148"/>
        <v>0</v>
      </c>
      <c r="U224" s="437">
        <f t="shared" si="149"/>
        <v>0</v>
      </c>
      <c r="V224" s="437">
        <f t="shared" si="150"/>
        <v>0</v>
      </c>
      <c r="W224" s="437">
        <f t="shared" si="151"/>
        <v>0</v>
      </c>
      <c r="X224" s="437">
        <f t="shared" si="152"/>
        <v>0</v>
      </c>
      <c r="Y224" s="437">
        <f t="shared" si="153"/>
        <v>0</v>
      </c>
      <c r="Z224" s="437">
        <f t="shared" si="154"/>
        <v>0</v>
      </c>
      <c r="AA224" s="437">
        <f t="shared" si="155"/>
        <v>0</v>
      </c>
      <c r="AB224" s="438">
        <f t="shared" si="156"/>
        <v>0</v>
      </c>
      <c r="AC224" s="439">
        <f t="shared" si="157"/>
        <v>0</v>
      </c>
      <c r="AD224" s="437">
        <f t="shared" si="158"/>
        <v>0</v>
      </c>
      <c r="AE224" s="437">
        <f t="shared" si="159"/>
        <v>0</v>
      </c>
      <c r="AF224" s="437">
        <f t="shared" si="160"/>
        <v>0</v>
      </c>
      <c r="AG224" s="437">
        <f t="shared" si="161"/>
        <v>0</v>
      </c>
      <c r="AH224" s="437">
        <f t="shared" si="162"/>
        <v>0</v>
      </c>
      <c r="AI224" s="437">
        <f t="shared" si="163"/>
        <v>0</v>
      </c>
      <c r="AJ224" s="437">
        <f t="shared" si="164"/>
        <v>0</v>
      </c>
      <c r="AK224" s="437">
        <f t="shared" si="165"/>
        <v>0</v>
      </c>
      <c r="AL224" s="437">
        <f t="shared" si="166"/>
        <v>0</v>
      </c>
      <c r="AM224" s="437">
        <f t="shared" si="167"/>
        <v>0</v>
      </c>
      <c r="AN224" s="437">
        <f t="shared" si="168"/>
        <v>0</v>
      </c>
      <c r="AO224" s="438">
        <f t="shared" si="169"/>
        <v>0</v>
      </c>
      <c r="AQ224" s="428">
        <v>0</v>
      </c>
      <c r="AR224" s="429">
        <v>0</v>
      </c>
      <c r="AS224" s="429">
        <v>0</v>
      </c>
      <c r="AT224" s="429">
        <v>0</v>
      </c>
      <c r="AU224" s="429">
        <v>0</v>
      </c>
      <c r="AV224" s="429">
        <v>0</v>
      </c>
      <c r="AW224" s="429">
        <v>0</v>
      </c>
      <c r="AX224" s="429">
        <v>0</v>
      </c>
      <c r="AY224" s="429">
        <v>0</v>
      </c>
      <c r="AZ224" s="429">
        <v>0</v>
      </c>
      <c r="BA224" s="429">
        <v>0</v>
      </c>
      <c r="BB224" s="429">
        <v>0</v>
      </c>
      <c r="BC224" s="431">
        <v>0</v>
      </c>
      <c r="BD224" s="428">
        <v>0</v>
      </c>
      <c r="BE224" s="429">
        <v>0</v>
      </c>
      <c r="BF224" s="429">
        <v>0</v>
      </c>
      <c r="BG224" s="429">
        <v>0</v>
      </c>
      <c r="BH224" s="429">
        <v>0</v>
      </c>
      <c r="BI224" s="429">
        <v>0</v>
      </c>
      <c r="BJ224" s="429">
        <v>0</v>
      </c>
      <c r="BK224" s="429">
        <v>0</v>
      </c>
      <c r="BL224" s="429">
        <v>0</v>
      </c>
      <c r="BM224" s="429">
        <v>0</v>
      </c>
      <c r="BN224" s="429">
        <v>0</v>
      </c>
      <c r="BO224" s="429">
        <v>0</v>
      </c>
      <c r="BP224" s="431">
        <v>0</v>
      </c>
      <c r="BQ224" s="428">
        <v>0</v>
      </c>
      <c r="BR224" s="429">
        <v>0</v>
      </c>
      <c r="BS224" s="429">
        <v>0</v>
      </c>
      <c r="BT224" s="429">
        <v>0</v>
      </c>
      <c r="BU224" s="429">
        <v>0</v>
      </c>
      <c r="BV224" s="429">
        <v>0</v>
      </c>
      <c r="BW224" s="429">
        <v>0</v>
      </c>
      <c r="BX224" s="429">
        <v>0</v>
      </c>
      <c r="BY224" s="429">
        <v>0</v>
      </c>
      <c r="BZ224" s="429">
        <v>0</v>
      </c>
      <c r="CA224" s="429">
        <v>0</v>
      </c>
      <c r="CB224" s="429">
        <v>0</v>
      </c>
      <c r="CC224" s="431">
        <v>0</v>
      </c>
    </row>
    <row r="225" spans="1:81">
      <c r="A225" s="445"/>
      <c r="B225" s="445"/>
      <c r="C225" s="446"/>
      <c r="D225" s="447"/>
      <c r="E225" s="447"/>
      <c r="F225" s="447"/>
      <c r="G225" s="447"/>
      <c r="H225" s="447"/>
      <c r="I225" s="447"/>
      <c r="J225" s="447"/>
      <c r="K225" s="447"/>
      <c r="L225" s="447"/>
      <c r="M225" s="447"/>
      <c r="N225" s="447"/>
      <c r="O225" s="448"/>
      <c r="P225" s="449"/>
      <c r="Q225" s="447"/>
      <c r="R225" s="447"/>
      <c r="S225" s="447"/>
      <c r="T225" s="447"/>
      <c r="U225" s="447"/>
      <c r="V225" s="447"/>
      <c r="W225" s="447"/>
      <c r="X225" s="447"/>
      <c r="Y225" s="447"/>
      <c r="Z225" s="447"/>
      <c r="AA225" s="447"/>
      <c r="AB225" s="448"/>
      <c r="AC225" s="449"/>
      <c r="AD225" s="447"/>
      <c r="AE225" s="447"/>
      <c r="AF225" s="447"/>
      <c r="AG225" s="447"/>
      <c r="AH225" s="447"/>
      <c r="AI225" s="447"/>
      <c r="AJ225" s="447"/>
      <c r="AK225" s="447"/>
      <c r="AL225" s="447"/>
      <c r="AM225" s="447"/>
      <c r="AN225" s="447"/>
      <c r="AO225" s="448"/>
      <c r="AQ225" s="450"/>
      <c r="AR225" s="451"/>
      <c r="AS225" s="451"/>
      <c r="AT225" s="451"/>
      <c r="AU225" s="451"/>
      <c r="AV225" s="451"/>
      <c r="AW225" s="451"/>
      <c r="AX225" s="451"/>
      <c r="AY225" s="451"/>
      <c r="AZ225" s="451"/>
      <c r="BA225" s="451"/>
      <c r="BB225" s="451"/>
      <c r="BC225" s="452"/>
      <c r="BD225" s="453"/>
      <c r="BE225" s="451"/>
      <c r="BF225" s="451"/>
      <c r="BG225" s="451"/>
      <c r="BH225" s="451"/>
      <c r="BI225" s="451"/>
      <c r="BJ225" s="451"/>
      <c r="BK225" s="451"/>
      <c r="BL225" s="451"/>
      <c r="BM225" s="451"/>
      <c r="BN225" s="451"/>
      <c r="BO225" s="451"/>
      <c r="BP225" s="452"/>
      <c r="BQ225" s="453"/>
      <c r="BR225" s="451"/>
      <c r="BS225" s="451"/>
      <c r="BT225" s="451"/>
      <c r="BU225" s="451"/>
      <c r="BV225" s="451"/>
      <c r="BW225" s="451"/>
      <c r="BX225" s="451"/>
      <c r="BY225" s="451"/>
      <c r="BZ225" s="451"/>
      <c r="CA225" s="451"/>
      <c r="CB225" s="451"/>
      <c r="CC225" s="452"/>
    </row>
    <row r="226" spans="1:81">
      <c r="B226" s="421"/>
      <c r="C226" s="436"/>
      <c r="D226" s="437"/>
      <c r="E226" s="437"/>
      <c r="F226" s="437"/>
      <c r="G226" s="437"/>
      <c r="H226" s="437"/>
      <c r="I226" s="437"/>
      <c r="J226" s="437"/>
      <c r="K226" s="437"/>
      <c r="L226" s="437"/>
      <c r="M226" s="437"/>
      <c r="N226" s="437"/>
      <c r="O226" s="437"/>
      <c r="P226" s="437"/>
      <c r="Q226" s="437"/>
      <c r="R226" s="437"/>
      <c r="S226" s="437"/>
      <c r="T226" s="437"/>
      <c r="U226" s="437"/>
      <c r="V226" s="437"/>
      <c r="W226" s="437"/>
      <c r="X226" s="437"/>
      <c r="Y226" s="437"/>
      <c r="Z226" s="437"/>
      <c r="AA226" s="437"/>
      <c r="AB226" s="437"/>
      <c r="AC226" s="437"/>
      <c r="AD226" s="437"/>
      <c r="AE226" s="437"/>
      <c r="AF226" s="437"/>
      <c r="AG226" s="437"/>
      <c r="AH226" s="437"/>
      <c r="AI226" s="437"/>
      <c r="AJ226" s="437"/>
      <c r="AK226" s="437"/>
      <c r="AL226" s="437"/>
      <c r="AM226" s="437"/>
      <c r="AN226" s="437"/>
      <c r="AO226" s="437"/>
      <c r="AP226" s="437"/>
      <c r="AQ226" s="437"/>
      <c r="AR226" s="437"/>
    </row>
    <row r="227" spans="1:81">
      <c r="B227" s="421"/>
      <c r="C227" s="436"/>
      <c r="D227" s="437"/>
      <c r="E227" s="437"/>
      <c r="F227" s="437"/>
      <c r="G227" s="437"/>
      <c r="H227" s="437"/>
      <c r="I227" s="437"/>
      <c r="J227" s="437"/>
      <c r="K227" s="437"/>
      <c r="L227" s="437"/>
      <c r="M227" s="437"/>
      <c r="N227" s="437"/>
      <c r="O227" s="437"/>
      <c r="P227" s="437"/>
      <c r="Q227" s="437"/>
      <c r="R227" s="437"/>
      <c r="S227" s="437"/>
      <c r="T227" s="437"/>
      <c r="U227" s="437"/>
      <c r="V227" s="437"/>
      <c r="W227" s="437"/>
      <c r="X227" s="437"/>
      <c r="Y227" s="437"/>
      <c r="Z227" s="437"/>
      <c r="AA227" s="437"/>
      <c r="AB227" s="437"/>
      <c r="AC227" s="437"/>
      <c r="AD227" s="437"/>
      <c r="AE227" s="437"/>
      <c r="AF227" s="437"/>
      <c r="AG227" s="437"/>
      <c r="AH227" s="437"/>
      <c r="AI227" s="437"/>
      <c r="AJ227" s="437"/>
      <c r="AK227" s="437"/>
      <c r="AL227" s="437"/>
      <c r="AM227" s="437"/>
      <c r="AN227" s="437"/>
      <c r="AO227" s="437"/>
      <c r="AP227" s="437"/>
      <c r="AQ227" s="437"/>
      <c r="AR227" s="437"/>
    </row>
    <row r="228" spans="1:81">
      <c r="B228" s="421"/>
      <c r="C228" s="457">
        <f>C4</f>
        <v>2018</v>
      </c>
      <c r="D228" s="433"/>
      <c r="E228" s="433"/>
      <c r="F228" s="433"/>
      <c r="G228" s="433"/>
      <c r="H228" s="433"/>
      <c r="I228" s="433"/>
      <c r="J228" s="433"/>
      <c r="K228" s="433"/>
      <c r="L228" s="433"/>
      <c r="M228" s="433"/>
      <c r="N228" s="433"/>
      <c r="O228" s="440">
        <f>C228</f>
        <v>2018</v>
      </c>
      <c r="P228" s="434">
        <v>2019</v>
      </c>
      <c r="Q228" s="433"/>
      <c r="R228" s="433"/>
      <c r="S228" s="433"/>
      <c r="T228" s="433"/>
      <c r="U228" s="433"/>
      <c r="V228" s="433"/>
      <c r="W228" s="433"/>
      <c r="X228" s="433"/>
      <c r="Y228" s="433"/>
      <c r="Z228" s="433"/>
      <c r="AA228" s="433"/>
      <c r="AB228" s="440">
        <f>P228</f>
        <v>2019</v>
      </c>
      <c r="AC228" s="434">
        <v>2020</v>
      </c>
      <c r="AD228" s="433"/>
      <c r="AE228" s="433"/>
      <c r="AF228" s="433"/>
      <c r="AG228" s="433"/>
      <c r="AH228" s="433"/>
      <c r="AI228" s="433"/>
      <c r="AJ228" s="433"/>
      <c r="AK228" s="433"/>
      <c r="AL228" s="433"/>
      <c r="AM228" s="433"/>
      <c r="AN228" s="433"/>
      <c r="AO228" s="440">
        <f>AC228</f>
        <v>2020</v>
      </c>
      <c r="AP228" s="437"/>
      <c r="AQ228" s="437"/>
      <c r="AR228" s="437"/>
    </row>
    <row r="229" spans="1:81">
      <c r="A229" s="470" t="s">
        <v>203</v>
      </c>
      <c r="B229" s="471"/>
      <c r="C229" s="427" t="s">
        <v>161</v>
      </c>
      <c r="D229" s="422" t="s">
        <v>162</v>
      </c>
      <c r="E229" s="422" t="s">
        <v>163</v>
      </c>
      <c r="F229" s="422" t="s">
        <v>164</v>
      </c>
      <c r="G229" s="422" t="s">
        <v>40</v>
      </c>
      <c r="H229" s="422" t="s">
        <v>165</v>
      </c>
      <c r="I229" s="422" t="s">
        <v>166</v>
      </c>
      <c r="J229" s="422" t="s">
        <v>167</v>
      </c>
      <c r="K229" s="422" t="s">
        <v>168</v>
      </c>
      <c r="L229" s="422" t="s">
        <v>169</v>
      </c>
      <c r="M229" s="422" t="s">
        <v>170</v>
      </c>
      <c r="N229" s="422" t="s">
        <v>171</v>
      </c>
      <c r="O229" s="430" t="s">
        <v>172</v>
      </c>
      <c r="P229" s="427" t="s">
        <v>161</v>
      </c>
      <c r="Q229" s="422" t="s">
        <v>162</v>
      </c>
      <c r="R229" s="422" t="s">
        <v>163</v>
      </c>
      <c r="S229" s="422" t="s">
        <v>164</v>
      </c>
      <c r="T229" s="422" t="s">
        <v>40</v>
      </c>
      <c r="U229" s="422" t="s">
        <v>165</v>
      </c>
      <c r="V229" s="422" t="s">
        <v>166</v>
      </c>
      <c r="W229" s="422" t="s">
        <v>167</v>
      </c>
      <c r="X229" s="422" t="s">
        <v>168</v>
      </c>
      <c r="Y229" s="422" t="s">
        <v>169</v>
      </c>
      <c r="Z229" s="422" t="s">
        <v>170</v>
      </c>
      <c r="AA229" s="422" t="s">
        <v>171</v>
      </c>
      <c r="AB229" s="430" t="s">
        <v>172</v>
      </c>
      <c r="AC229" s="427" t="s">
        <v>161</v>
      </c>
      <c r="AD229" s="422" t="s">
        <v>162</v>
      </c>
      <c r="AE229" s="422" t="s">
        <v>163</v>
      </c>
      <c r="AF229" s="422" t="s">
        <v>164</v>
      </c>
      <c r="AG229" s="422" t="s">
        <v>40</v>
      </c>
      <c r="AH229" s="422" t="s">
        <v>165</v>
      </c>
      <c r="AI229" s="422" t="s">
        <v>166</v>
      </c>
      <c r="AJ229" s="422" t="s">
        <v>167</v>
      </c>
      <c r="AK229" s="422" t="s">
        <v>168</v>
      </c>
      <c r="AL229" s="422" t="s">
        <v>169</v>
      </c>
      <c r="AM229" s="422" t="s">
        <v>170</v>
      </c>
      <c r="AN229" s="422" t="s">
        <v>171</v>
      </c>
      <c r="AO229" s="430" t="s">
        <v>172</v>
      </c>
    </row>
    <row r="230" spans="1:81">
      <c r="B230" s="420" t="s">
        <v>173</v>
      </c>
      <c r="C230" s="476">
        <v>6246.0393873085304</v>
      </c>
      <c r="D230" s="295">
        <f>C230</f>
        <v>6246.0393873085304</v>
      </c>
      <c r="E230" s="295">
        <f t="shared" ref="E230:AN230" si="170">D230</f>
        <v>6246.0393873085304</v>
      </c>
      <c r="F230" s="295">
        <f t="shared" si="170"/>
        <v>6246.0393873085304</v>
      </c>
      <c r="G230" s="295">
        <f t="shared" si="170"/>
        <v>6246.0393873085304</v>
      </c>
      <c r="H230" s="295">
        <f t="shared" si="170"/>
        <v>6246.0393873085304</v>
      </c>
      <c r="I230" s="295">
        <f t="shared" si="170"/>
        <v>6246.0393873085304</v>
      </c>
      <c r="J230" s="295">
        <f t="shared" si="170"/>
        <v>6246.0393873085304</v>
      </c>
      <c r="K230" s="295">
        <f t="shared" si="170"/>
        <v>6246.0393873085304</v>
      </c>
      <c r="L230" s="295">
        <f t="shared" si="170"/>
        <v>6246.0393873085304</v>
      </c>
      <c r="M230" s="295">
        <f t="shared" si="170"/>
        <v>6246.0393873085304</v>
      </c>
      <c r="N230" s="295">
        <f t="shared" si="170"/>
        <v>6246.0393873085304</v>
      </c>
      <c r="O230" s="460">
        <f>AVERAGE(C230:N230)</f>
        <v>6246.0393873085295</v>
      </c>
      <c r="P230" s="461">
        <f>N230</f>
        <v>6246.0393873085304</v>
      </c>
      <c r="Q230" s="295">
        <f t="shared" si="170"/>
        <v>6246.0393873085304</v>
      </c>
      <c r="R230" s="295">
        <f t="shared" si="170"/>
        <v>6246.0393873085304</v>
      </c>
      <c r="S230" s="295">
        <f t="shared" si="170"/>
        <v>6246.0393873085304</v>
      </c>
      <c r="T230" s="295">
        <f t="shared" si="170"/>
        <v>6246.0393873085304</v>
      </c>
      <c r="U230" s="295">
        <f t="shared" si="170"/>
        <v>6246.0393873085304</v>
      </c>
      <c r="V230" s="295">
        <f t="shared" si="170"/>
        <v>6246.0393873085304</v>
      </c>
      <c r="W230" s="295">
        <f t="shared" si="170"/>
        <v>6246.0393873085304</v>
      </c>
      <c r="X230" s="295">
        <f t="shared" si="170"/>
        <v>6246.0393873085304</v>
      </c>
      <c r="Y230" s="295">
        <f t="shared" si="170"/>
        <v>6246.0393873085304</v>
      </c>
      <c r="Z230" s="295">
        <f t="shared" si="170"/>
        <v>6246.0393873085304</v>
      </c>
      <c r="AA230" s="295">
        <f t="shared" si="170"/>
        <v>6246.0393873085304</v>
      </c>
      <c r="AB230" s="460">
        <f>AVERAGE(P230:AA230)</f>
        <v>6246.0393873085295</v>
      </c>
      <c r="AC230" s="461">
        <f>AA230</f>
        <v>6246.0393873085304</v>
      </c>
      <c r="AD230" s="295">
        <f t="shared" si="170"/>
        <v>6246.0393873085304</v>
      </c>
      <c r="AE230" s="295">
        <f t="shared" si="170"/>
        <v>6246.0393873085304</v>
      </c>
      <c r="AF230" s="295">
        <f t="shared" si="170"/>
        <v>6246.0393873085304</v>
      </c>
      <c r="AG230" s="295">
        <f t="shared" si="170"/>
        <v>6246.0393873085304</v>
      </c>
      <c r="AH230" s="295">
        <f t="shared" si="170"/>
        <v>6246.0393873085304</v>
      </c>
      <c r="AI230" s="295">
        <f t="shared" si="170"/>
        <v>6246.0393873085304</v>
      </c>
      <c r="AJ230" s="295">
        <f t="shared" si="170"/>
        <v>6246.0393873085304</v>
      </c>
      <c r="AK230" s="295">
        <f t="shared" si="170"/>
        <v>6246.0393873085304</v>
      </c>
      <c r="AL230" s="295">
        <f t="shared" si="170"/>
        <v>6246.0393873085304</v>
      </c>
      <c r="AM230" s="295">
        <f t="shared" si="170"/>
        <v>6246.0393873085304</v>
      </c>
      <c r="AN230" s="295">
        <f t="shared" si="170"/>
        <v>6246.0393873085304</v>
      </c>
      <c r="AO230" s="461">
        <f>AN230</f>
        <v>6246.0393873085304</v>
      </c>
      <c r="AQ230" s="423"/>
      <c r="AR230" s="423"/>
      <c r="AS230" s="423"/>
      <c r="AT230" s="423"/>
      <c r="AU230" s="423"/>
      <c r="AV230" s="423"/>
      <c r="AW230" s="423"/>
      <c r="AX230" s="423"/>
      <c r="AY230" s="423"/>
      <c r="AZ230" s="423"/>
      <c r="BA230" s="423"/>
      <c r="BB230" s="423"/>
      <c r="BC230" s="423"/>
      <c r="BD230" s="423"/>
      <c r="BE230" s="423"/>
      <c r="BF230" s="423"/>
      <c r="BG230" s="423"/>
      <c r="BH230" s="423"/>
      <c r="BI230" s="423"/>
      <c r="BJ230" s="423"/>
      <c r="BK230" s="423"/>
      <c r="BL230" s="423"/>
      <c r="BM230" s="423"/>
      <c r="BN230" s="423"/>
      <c r="BO230" s="423"/>
      <c r="BP230" s="423"/>
      <c r="BQ230" s="423"/>
      <c r="BR230" s="423"/>
      <c r="BS230" s="423"/>
      <c r="BT230" s="423"/>
      <c r="BU230" s="423"/>
      <c r="BV230" s="423"/>
      <c r="BW230" s="423"/>
      <c r="BX230" s="423"/>
      <c r="BY230" s="423"/>
      <c r="BZ230" s="423"/>
      <c r="CA230" s="423"/>
      <c r="CB230" s="423"/>
      <c r="CC230" s="423"/>
    </row>
    <row r="231" spans="1:81">
      <c r="B231" s="420" t="s">
        <v>184</v>
      </c>
      <c r="C231" s="104"/>
      <c r="D231" s="295">
        <f t="shared" ref="D231:AO246" si="171">C231</f>
        <v>0</v>
      </c>
      <c r="E231" s="295">
        <f t="shared" si="171"/>
        <v>0</v>
      </c>
      <c r="F231" s="295">
        <f t="shared" si="171"/>
        <v>0</v>
      </c>
      <c r="G231" s="295">
        <f t="shared" si="171"/>
        <v>0</v>
      </c>
      <c r="H231" s="295">
        <f t="shared" si="171"/>
        <v>0</v>
      </c>
      <c r="I231" s="295">
        <f t="shared" si="171"/>
        <v>0</v>
      </c>
      <c r="J231" s="295">
        <f t="shared" si="171"/>
        <v>0</v>
      </c>
      <c r="K231" s="295">
        <f t="shared" si="171"/>
        <v>0</v>
      </c>
      <c r="L231" s="295">
        <f t="shared" si="171"/>
        <v>0</v>
      </c>
      <c r="M231" s="295">
        <f t="shared" si="171"/>
        <v>0</v>
      </c>
      <c r="N231" s="295">
        <f t="shared" si="171"/>
        <v>0</v>
      </c>
      <c r="O231" s="462">
        <f t="shared" ref="O231:O249" si="172">AVERAGE(C231:N231)</f>
        <v>0</v>
      </c>
      <c r="P231" s="463">
        <f t="shared" ref="P231:P249" si="173">N231</f>
        <v>0</v>
      </c>
      <c r="Q231" s="295">
        <f t="shared" si="171"/>
        <v>0</v>
      </c>
      <c r="R231" s="295">
        <f t="shared" si="171"/>
        <v>0</v>
      </c>
      <c r="S231" s="295">
        <f t="shared" si="171"/>
        <v>0</v>
      </c>
      <c r="T231" s="295">
        <f t="shared" si="171"/>
        <v>0</v>
      </c>
      <c r="U231" s="295">
        <f t="shared" si="171"/>
        <v>0</v>
      </c>
      <c r="V231" s="295">
        <f t="shared" si="171"/>
        <v>0</v>
      </c>
      <c r="W231" s="295">
        <f t="shared" si="171"/>
        <v>0</v>
      </c>
      <c r="X231" s="295">
        <f t="shared" si="171"/>
        <v>0</v>
      </c>
      <c r="Y231" s="295">
        <f t="shared" si="171"/>
        <v>0</v>
      </c>
      <c r="Z231" s="295">
        <f t="shared" si="171"/>
        <v>0</v>
      </c>
      <c r="AA231" s="295">
        <f t="shared" si="171"/>
        <v>0</v>
      </c>
      <c r="AB231" s="462">
        <f t="shared" ref="AB231:AB249" si="174">AVERAGE(P231:AA231)</f>
        <v>0</v>
      </c>
      <c r="AC231" s="463">
        <f t="shared" ref="AC231:AC249" si="175">AA231</f>
        <v>0</v>
      </c>
      <c r="AD231" s="295">
        <f t="shared" si="171"/>
        <v>0</v>
      </c>
      <c r="AE231" s="295">
        <f t="shared" si="171"/>
        <v>0</v>
      </c>
      <c r="AF231" s="295">
        <f t="shared" si="171"/>
        <v>0</v>
      </c>
      <c r="AG231" s="295">
        <f t="shared" si="171"/>
        <v>0</v>
      </c>
      <c r="AH231" s="295">
        <f t="shared" si="171"/>
        <v>0</v>
      </c>
      <c r="AI231" s="295">
        <f t="shared" si="171"/>
        <v>0</v>
      </c>
      <c r="AJ231" s="295">
        <f t="shared" si="171"/>
        <v>0</v>
      </c>
      <c r="AK231" s="295">
        <f t="shared" si="171"/>
        <v>0</v>
      </c>
      <c r="AL231" s="295">
        <f t="shared" si="171"/>
        <v>0</v>
      </c>
      <c r="AM231" s="295">
        <f t="shared" si="171"/>
        <v>0</v>
      </c>
      <c r="AN231" s="295">
        <f t="shared" si="171"/>
        <v>0</v>
      </c>
      <c r="AO231" s="463">
        <f t="shared" si="171"/>
        <v>0</v>
      </c>
      <c r="AQ231" s="423"/>
      <c r="AR231" s="423"/>
      <c r="AS231" s="423"/>
      <c r="AT231" s="423"/>
      <c r="AU231" s="423"/>
      <c r="AV231" s="423"/>
      <c r="AW231" s="423"/>
      <c r="AX231" s="423"/>
      <c r="AY231" s="423"/>
      <c r="AZ231" s="423"/>
      <c r="BA231" s="423"/>
      <c r="BB231" s="423"/>
      <c r="BC231" s="423"/>
      <c r="BD231" s="423"/>
      <c r="BE231" s="423"/>
      <c r="BF231" s="423"/>
      <c r="BG231" s="423"/>
      <c r="BH231" s="423"/>
      <c r="BI231" s="423"/>
      <c r="BJ231" s="423"/>
      <c r="BK231" s="423"/>
      <c r="BL231" s="423"/>
      <c r="BM231" s="423"/>
      <c r="BN231" s="423"/>
      <c r="BO231" s="423"/>
      <c r="BP231" s="423"/>
      <c r="BQ231" s="423"/>
      <c r="BR231" s="423"/>
      <c r="BS231" s="423"/>
      <c r="BT231" s="423"/>
      <c r="BU231" s="423"/>
      <c r="BV231" s="423"/>
      <c r="BW231" s="423"/>
      <c r="BX231" s="423"/>
      <c r="BY231" s="423"/>
      <c r="BZ231" s="423"/>
      <c r="CA231" s="423"/>
      <c r="CB231" s="423"/>
      <c r="CC231" s="423"/>
    </row>
    <row r="232" spans="1:81">
      <c r="B232" s="420" t="s">
        <v>185</v>
      </c>
      <c r="C232" s="104"/>
      <c r="D232" s="295">
        <f t="shared" ref="D232:AN232" si="176">C232</f>
        <v>0</v>
      </c>
      <c r="E232" s="295">
        <f t="shared" si="176"/>
        <v>0</v>
      </c>
      <c r="F232" s="295">
        <f t="shared" si="176"/>
        <v>0</v>
      </c>
      <c r="G232" s="295">
        <f t="shared" si="176"/>
        <v>0</v>
      </c>
      <c r="H232" s="295">
        <f t="shared" si="176"/>
        <v>0</v>
      </c>
      <c r="I232" s="295">
        <f t="shared" si="176"/>
        <v>0</v>
      </c>
      <c r="J232" s="295">
        <f t="shared" si="176"/>
        <v>0</v>
      </c>
      <c r="K232" s="295">
        <f t="shared" si="176"/>
        <v>0</v>
      </c>
      <c r="L232" s="295">
        <f t="shared" si="176"/>
        <v>0</v>
      </c>
      <c r="M232" s="295">
        <f t="shared" si="176"/>
        <v>0</v>
      </c>
      <c r="N232" s="295">
        <f t="shared" si="176"/>
        <v>0</v>
      </c>
      <c r="O232" s="462">
        <f t="shared" si="172"/>
        <v>0</v>
      </c>
      <c r="P232" s="463">
        <f t="shared" si="173"/>
        <v>0</v>
      </c>
      <c r="Q232" s="295">
        <f t="shared" si="176"/>
        <v>0</v>
      </c>
      <c r="R232" s="295">
        <f t="shared" si="176"/>
        <v>0</v>
      </c>
      <c r="S232" s="295">
        <f t="shared" si="176"/>
        <v>0</v>
      </c>
      <c r="T232" s="295">
        <f t="shared" si="176"/>
        <v>0</v>
      </c>
      <c r="U232" s="295">
        <f t="shared" si="176"/>
        <v>0</v>
      </c>
      <c r="V232" s="295">
        <f t="shared" si="176"/>
        <v>0</v>
      </c>
      <c r="W232" s="295">
        <f t="shared" si="176"/>
        <v>0</v>
      </c>
      <c r="X232" s="295">
        <f t="shared" si="176"/>
        <v>0</v>
      </c>
      <c r="Y232" s="295">
        <f t="shared" si="176"/>
        <v>0</v>
      </c>
      <c r="Z232" s="295">
        <f t="shared" si="176"/>
        <v>0</v>
      </c>
      <c r="AA232" s="295">
        <f t="shared" si="176"/>
        <v>0</v>
      </c>
      <c r="AB232" s="462">
        <f t="shared" si="174"/>
        <v>0</v>
      </c>
      <c r="AC232" s="463">
        <f t="shared" si="175"/>
        <v>0</v>
      </c>
      <c r="AD232" s="295">
        <f t="shared" si="176"/>
        <v>0</v>
      </c>
      <c r="AE232" s="295">
        <f t="shared" si="176"/>
        <v>0</v>
      </c>
      <c r="AF232" s="295">
        <f t="shared" si="176"/>
        <v>0</v>
      </c>
      <c r="AG232" s="295">
        <f t="shared" si="176"/>
        <v>0</v>
      </c>
      <c r="AH232" s="295">
        <f t="shared" si="176"/>
        <v>0</v>
      </c>
      <c r="AI232" s="295">
        <f t="shared" si="176"/>
        <v>0</v>
      </c>
      <c r="AJ232" s="295">
        <f t="shared" si="176"/>
        <v>0</v>
      </c>
      <c r="AK232" s="295">
        <f t="shared" si="176"/>
        <v>0</v>
      </c>
      <c r="AL232" s="295">
        <f t="shared" si="176"/>
        <v>0</v>
      </c>
      <c r="AM232" s="295">
        <f t="shared" si="176"/>
        <v>0</v>
      </c>
      <c r="AN232" s="295">
        <f t="shared" si="176"/>
        <v>0</v>
      </c>
      <c r="AO232" s="463">
        <f t="shared" si="171"/>
        <v>0</v>
      </c>
      <c r="AQ232" s="423"/>
      <c r="AR232" s="423"/>
      <c r="AS232" s="423"/>
      <c r="AT232" s="423"/>
      <c r="AU232" s="423"/>
      <c r="AV232" s="423"/>
      <c r="AW232" s="423"/>
      <c r="AX232" s="423"/>
      <c r="AY232" s="423"/>
      <c r="AZ232" s="423"/>
      <c r="BA232" s="423"/>
      <c r="BB232" s="423"/>
      <c r="BC232" s="423"/>
      <c r="BD232" s="423"/>
      <c r="BE232" s="423"/>
      <c r="BF232" s="423"/>
      <c r="BG232" s="423"/>
      <c r="BH232" s="423"/>
      <c r="BI232" s="423"/>
      <c r="BJ232" s="423"/>
      <c r="BK232" s="423"/>
      <c r="BL232" s="423"/>
      <c r="BM232" s="423"/>
      <c r="BN232" s="423"/>
      <c r="BO232" s="423"/>
      <c r="BP232" s="423"/>
      <c r="BQ232" s="423"/>
      <c r="BR232" s="423"/>
      <c r="BS232" s="423"/>
      <c r="BT232" s="423"/>
      <c r="BU232" s="423"/>
      <c r="BV232" s="423"/>
      <c r="BW232" s="423"/>
      <c r="BX232" s="423"/>
      <c r="BY232" s="423"/>
      <c r="BZ232" s="423"/>
      <c r="CA232" s="423"/>
      <c r="CB232" s="423"/>
      <c r="CC232" s="423"/>
    </row>
    <row r="233" spans="1:81">
      <c r="B233" s="420" t="s">
        <v>186</v>
      </c>
      <c r="C233" s="104"/>
      <c r="D233" s="295">
        <f t="shared" ref="D233:AN233" si="177">C233</f>
        <v>0</v>
      </c>
      <c r="E233" s="295">
        <f t="shared" si="177"/>
        <v>0</v>
      </c>
      <c r="F233" s="295">
        <f t="shared" si="177"/>
        <v>0</v>
      </c>
      <c r="G233" s="295">
        <f t="shared" si="177"/>
        <v>0</v>
      </c>
      <c r="H233" s="295">
        <f t="shared" si="177"/>
        <v>0</v>
      </c>
      <c r="I233" s="295">
        <f t="shared" si="177"/>
        <v>0</v>
      </c>
      <c r="J233" s="295">
        <f t="shared" si="177"/>
        <v>0</v>
      </c>
      <c r="K233" s="295">
        <f t="shared" si="177"/>
        <v>0</v>
      </c>
      <c r="L233" s="295">
        <f t="shared" si="177"/>
        <v>0</v>
      </c>
      <c r="M233" s="295">
        <f t="shared" si="177"/>
        <v>0</v>
      </c>
      <c r="N233" s="295">
        <f t="shared" si="177"/>
        <v>0</v>
      </c>
      <c r="O233" s="462">
        <f t="shared" si="172"/>
        <v>0</v>
      </c>
      <c r="P233" s="463">
        <f t="shared" si="173"/>
        <v>0</v>
      </c>
      <c r="Q233" s="295">
        <f t="shared" si="177"/>
        <v>0</v>
      </c>
      <c r="R233" s="295">
        <f t="shared" si="177"/>
        <v>0</v>
      </c>
      <c r="S233" s="295">
        <f t="shared" si="177"/>
        <v>0</v>
      </c>
      <c r="T233" s="295">
        <f t="shared" si="177"/>
        <v>0</v>
      </c>
      <c r="U233" s="295">
        <f t="shared" si="177"/>
        <v>0</v>
      </c>
      <c r="V233" s="295">
        <f t="shared" si="177"/>
        <v>0</v>
      </c>
      <c r="W233" s="295">
        <f t="shared" si="177"/>
        <v>0</v>
      </c>
      <c r="X233" s="295">
        <f t="shared" si="177"/>
        <v>0</v>
      </c>
      <c r="Y233" s="295">
        <f t="shared" si="177"/>
        <v>0</v>
      </c>
      <c r="Z233" s="295">
        <f t="shared" si="177"/>
        <v>0</v>
      </c>
      <c r="AA233" s="295">
        <f t="shared" si="177"/>
        <v>0</v>
      </c>
      <c r="AB233" s="462">
        <f t="shared" si="174"/>
        <v>0</v>
      </c>
      <c r="AC233" s="463">
        <f t="shared" si="175"/>
        <v>0</v>
      </c>
      <c r="AD233" s="295">
        <f t="shared" si="177"/>
        <v>0</v>
      </c>
      <c r="AE233" s="295">
        <f t="shared" si="177"/>
        <v>0</v>
      </c>
      <c r="AF233" s="295">
        <f t="shared" si="177"/>
        <v>0</v>
      </c>
      <c r="AG233" s="295">
        <f t="shared" si="177"/>
        <v>0</v>
      </c>
      <c r="AH233" s="295">
        <f t="shared" si="177"/>
        <v>0</v>
      </c>
      <c r="AI233" s="295">
        <f t="shared" si="177"/>
        <v>0</v>
      </c>
      <c r="AJ233" s="295">
        <f t="shared" si="177"/>
        <v>0</v>
      </c>
      <c r="AK233" s="295">
        <f t="shared" si="177"/>
        <v>0</v>
      </c>
      <c r="AL233" s="295">
        <f t="shared" si="177"/>
        <v>0</v>
      </c>
      <c r="AM233" s="295">
        <f t="shared" si="177"/>
        <v>0</v>
      </c>
      <c r="AN233" s="295">
        <f t="shared" si="177"/>
        <v>0</v>
      </c>
      <c r="AO233" s="463">
        <f t="shared" si="171"/>
        <v>0</v>
      </c>
      <c r="AQ233" s="423"/>
      <c r="AR233" s="423"/>
      <c r="AS233" s="423"/>
      <c r="AT233" s="423"/>
      <c r="AU233" s="423"/>
      <c r="AV233" s="423"/>
      <c r="AW233" s="423"/>
      <c r="AX233" s="423"/>
      <c r="AY233" s="423"/>
      <c r="AZ233" s="423"/>
      <c r="BA233" s="423"/>
      <c r="BB233" s="423"/>
      <c r="BC233" s="423"/>
      <c r="BD233" s="423"/>
      <c r="BE233" s="423"/>
      <c r="BF233" s="423"/>
      <c r="BG233" s="423"/>
      <c r="BH233" s="423"/>
      <c r="BI233" s="423"/>
      <c r="BJ233" s="423"/>
      <c r="BK233" s="423"/>
      <c r="BL233" s="423"/>
      <c r="BM233" s="423"/>
      <c r="BN233" s="423"/>
      <c r="BO233" s="423"/>
      <c r="BP233" s="423"/>
      <c r="BQ233" s="423"/>
      <c r="BR233" s="423"/>
      <c r="BS233" s="423"/>
      <c r="BT233" s="423"/>
      <c r="BU233" s="423"/>
      <c r="BV233" s="423"/>
      <c r="BW233" s="423"/>
      <c r="BX233" s="423"/>
      <c r="BY233" s="423"/>
      <c r="BZ233" s="423"/>
      <c r="CA233" s="423"/>
      <c r="CB233" s="423"/>
      <c r="CC233" s="423"/>
    </row>
    <row r="234" spans="1:81">
      <c r="B234" s="420" t="s">
        <v>187</v>
      </c>
      <c r="C234" s="104"/>
      <c r="D234" s="295">
        <f t="shared" ref="D234:AN234" si="178">C234</f>
        <v>0</v>
      </c>
      <c r="E234" s="295">
        <f t="shared" si="178"/>
        <v>0</v>
      </c>
      <c r="F234" s="295">
        <f t="shared" si="178"/>
        <v>0</v>
      </c>
      <c r="G234" s="295">
        <f t="shared" si="178"/>
        <v>0</v>
      </c>
      <c r="H234" s="295">
        <f t="shared" si="178"/>
        <v>0</v>
      </c>
      <c r="I234" s="295">
        <f t="shared" si="178"/>
        <v>0</v>
      </c>
      <c r="J234" s="295">
        <f t="shared" si="178"/>
        <v>0</v>
      </c>
      <c r="K234" s="295">
        <f t="shared" si="178"/>
        <v>0</v>
      </c>
      <c r="L234" s="295">
        <f t="shared" si="178"/>
        <v>0</v>
      </c>
      <c r="M234" s="295">
        <f t="shared" si="178"/>
        <v>0</v>
      </c>
      <c r="N234" s="295">
        <f t="shared" si="178"/>
        <v>0</v>
      </c>
      <c r="O234" s="462">
        <f t="shared" si="172"/>
        <v>0</v>
      </c>
      <c r="P234" s="463">
        <f t="shared" si="173"/>
        <v>0</v>
      </c>
      <c r="Q234" s="295">
        <f t="shared" si="178"/>
        <v>0</v>
      </c>
      <c r="R234" s="295">
        <f t="shared" si="178"/>
        <v>0</v>
      </c>
      <c r="S234" s="295">
        <f t="shared" si="178"/>
        <v>0</v>
      </c>
      <c r="T234" s="295">
        <f t="shared" si="178"/>
        <v>0</v>
      </c>
      <c r="U234" s="295">
        <f t="shared" si="178"/>
        <v>0</v>
      </c>
      <c r="V234" s="295">
        <f t="shared" si="178"/>
        <v>0</v>
      </c>
      <c r="W234" s="295">
        <f t="shared" si="178"/>
        <v>0</v>
      </c>
      <c r="X234" s="295">
        <f t="shared" si="178"/>
        <v>0</v>
      </c>
      <c r="Y234" s="295">
        <f t="shared" si="178"/>
        <v>0</v>
      </c>
      <c r="Z234" s="295">
        <f t="shared" si="178"/>
        <v>0</v>
      </c>
      <c r="AA234" s="295">
        <f t="shared" si="178"/>
        <v>0</v>
      </c>
      <c r="AB234" s="462">
        <f t="shared" si="174"/>
        <v>0</v>
      </c>
      <c r="AC234" s="463">
        <f t="shared" si="175"/>
        <v>0</v>
      </c>
      <c r="AD234" s="295">
        <f t="shared" si="178"/>
        <v>0</v>
      </c>
      <c r="AE234" s="295">
        <f t="shared" si="178"/>
        <v>0</v>
      </c>
      <c r="AF234" s="295">
        <f t="shared" si="178"/>
        <v>0</v>
      </c>
      <c r="AG234" s="295">
        <f t="shared" si="178"/>
        <v>0</v>
      </c>
      <c r="AH234" s="295">
        <f t="shared" si="178"/>
        <v>0</v>
      </c>
      <c r="AI234" s="295">
        <f t="shared" si="178"/>
        <v>0</v>
      </c>
      <c r="AJ234" s="295">
        <f t="shared" si="178"/>
        <v>0</v>
      </c>
      <c r="AK234" s="295">
        <f t="shared" si="178"/>
        <v>0</v>
      </c>
      <c r="AL234" s="295">
        <f t="shared" si="178"/>
        <v>0</v>
      </c>
      <c r="AM234" s="295">
        <f t="shared" si="178"/>
        <v>0</v>
      </c>
      <c r="AN234" s="295">
        <f t="shared" si="178"/>
        <v>0</v>
      </c>
      <c r="AO234" s="463">
        <f t="shared" si="171"/>
        <v>0</v>
      </c>
      <c r="AQ234" s="423"/>
      <c r="AR234" s="423"/>
      <c r="AS234" s="423"/>
      <c r="AT234" s="423"/>
      <c r="AU234" s="423"/>
      <c r="AV234" s="423"/>
      <c r="AW234" s="423"/>
      <c r="AX234" s="423"/>
      <c r="AY234" s="423"/>
      <c r="AZ234" s="423"/>
      <c r="BA234" s="423"/>
      <c r="BB234" s="423"/>
      <c r="BC234" s="423"/>
      <c r="BD234" s="423"/>
      <c r="BE234" s="423"/>
      <c r="BF234" s="423"/>
      <c r="BG234" s="423"/>
      <c r="BH234" s="423"/>
      <c r="BI234" s="423"/>
      <c r="BJ234" s="423"/>
      <c r="BK234" s="423"/>
      <c r="BL234" s="423"/>
      <c r="BM234" s="423"/>
      <c r="BN234" s="423"/>
      <c r="BO234" s="423"/>
      <c r="BP234" s="423"/>
      <c r="BQ234" s="423"/>
      <c r="BR234" s="423"/>
      <c r="BS234" s="423"/>
      <c r="BT234" s="423"/>
      <c r="BU234" s="423"/>
      <c r="BV234" s="423"/>
      <c r="BW234" s="423"/>
      <c r="BX234" s="423"/>
      <c r="BY234" s="423"/>
      <c r="BZ234" s="423"/>
      <c r="CA234" s="423"/>
      <c r="CB234" s="423"/>
      <c r="CC234" s="423"/>
    </row>
    <row r="235" spans="1:81">
      <c r="B235" s="420" t="s">
        <v>188</v>
      </c>
      <c r="C235" s="104"/>
      <c r="D235" s="295">
        <f t="shared" ref="D235:AN235" si="179">C235</f>
        <v>0</v>
      </c>
      <c r="E235" s="295">
        <f t="shared" si="179"/>
        <v>0</v>
      </c>
      <c r="F235" s="295">
        <f t="shared" si="179"/>
        <v>0</v>
      </c>
      <c r="G235" s="295">
        <f t="shared" si="179"/>
        <v>0</v>
      </c>
      <c r="H235" s="295">
        <f t="shared" si="179"/>
        <v>0</v>
      </c>
      <c r="I235" s="295">
        <f t="shared" si="179"/>
        <v>0</v>
      </c>
      <c r="J235" s="295">
        <f t="shared" si="179"/>
        <v>0</v>
      </c>
      <c r="K235" s="295">
        <f t="shared" si="179"/>
        <v>0</v>
      </c>
      <c r="L235" s="295">
        <f t="shared" si="179"/>
        <v>0</v>
      </c>
      <c r="M235" s="295">
        <f t="shared" si="179"/>
        <v>0</v>
      </c>
      <c r="N235" s="295">
        <f t="shared" si="179"/>
        <v>0</v>
      </c>
      <c r="O235" s="462">
        <f t="shared" si="172"/>
        <v>0</v>
      </c>
      <c r="P235" s="463">
        <f t="shared" si="173"/>
        <v>0</v>
      </c>
      <c r="Q235" s="295">
        <f t="shared" si="179"/>
        <v>0</v>
      </c>
      <c r="R235" s="295">
        <f t="shared" si="179"/>
        <v>0</v>
      </c>
      <c r="S235" s="295">
        <f t="shared" si="179"/>
        <v>0</v>
      </c>
      <c r="T235" s="295">
        <f t="shared" si="179"/>
        <v>0</v>
      </c>
      <c r="U235" s="295">
        <f t="shared" si="179"/>
        <v>0</v>
      </c>
      <c r="V235" s="295">
        <f t="shared" si="179"/>
        <v>0</v>
      </c>
      <c r="W235" s="295">
        <f t="shared" si="179"/>
        <v>0</v>
      </c>
      <c r="X235" s="295">
        <f t="shared" si="179"/>
        <v>0</v>
      </c>
      <c r="Y235" s="295">
        <f t="shared" si="179"/>
        <v>0</v>
      </c>
      <c r="Z235" s="295">
        <f t="shared" si="179"/>
        <v>0</v>
      </c>
      <c r="AA235" s="295">
        <f t="shared" si="179"/>
        <v>0</v>
      </c>
      <c r="AB235" s="462">
        <f t="shared" si="174"/>
        <v>0</v>
      </c>
      <c r="AC235" s="472">
        <v>224</v>
      </c>
      <c r="AD235" s="295">
        <f t="shared" si="179"/>
        <v>224</v>
      </c>
      <c r="AE235" s="295">
        <f t="shared" si="179"/>
        <v>224</v>
      </c>
      <c r="AF235" s="295">
        <f t="shared" si="179"/>
        <v>224</v>
      </c>
      <c r="AG235" s="295">
        <f t="shared" si="179"/>
        <v>224</v>
      </c>
      <c r="AH235" s="295">
        <f t="shared" si="179"/>
        <v>224</v>
      </c>
      <c r="AI235" s="295">
        <f t="shared" si="179"/>
        <v>224</v>
      </c>
      <c r="AJ235" s="295">
        <f t="shared" si="179"/>
        <v>224</v>
      </c>
      <c r="AK235" s="295">
        <f t="shared" si="179"/>
        <v>224</v>
      </c>
      <c r="AL235" s="295">
        <f t="shared" si="179"/>
        <v>224</v>
      </c>
      <c r="AM235" s="295">
        <f t="shared" si="179"/>
        <v>224</v>
      </c>
      <c r="AN235" s="295">
        <f t="shared" si="179"/>
        <v>224</v>
      </c>
      <c r="AO235" s="463">
        <f t="shared" si="171"/>
        <v>224</v>
      </c>
      <c r="AQ235" s="423"/>
      <c r="AR235" s="423"/>
      <c r="AS235" s="423"/>
      <c r="AT235" s="423"/>
      <c r="AU235" s="423"/>
      <c r="AV235" s="423"/>
      <c r="AW235" s="423"/>
      <c r="AX235" s="423"/>
      <c r="AY235" s="423"/>
      <c r="AZ235" s="423"/>
      <c r="BA235" s="423"/>
      <c r="BB235" s="423"/>
      <c r="BC235" s="423"/>
      <c r="BD235" s="423"/>
      <c r="BE235" s="423"/>
      <c r="BF235" s="423"/>
      <c r="BG235" s="423"/>
      <c r="BH235" s="423"/>
      <c r="BI235" s="423"/>
      <c r="BJ235" s="423"/>
      <c r="BK235" s="423"/>
      <c r="BL235" s="423"/>
      <c r="BM235" s="423"/>
      <c r="BN235" s="423"/>
      <c r="BO235" s="423"/>
      <c r="BP235" s="423"/>
      <c r="BQ235" s="423"/>
      <c r="BR235" s="423"/>
      <c r="BS235" s="423"/>
      <c r="BT235" s="423"/>
      <c r="BU235" s="423"/>
      <c r="BV235" s="423"/>
      <c r="BW235" s="423"/>
      <c r="BX235" s="423"/>
      <c r="BY235" s="423"/>
      <c r="BZ235" s="423"/>
      <c r="CA235" s="423"/>
      <c r="CB235" s="423"/>
      <c r="CC235" s="423"/>
    </row>
    <row r="236" spans="1:81">
      <c r="B236" s="420" t="s">
        <v>189</v>
      </c>
      <c r="C236" s="104"/>
      <c r="D236" s="295">
        <f t="shared" ref="D236:AN236" si="180">C236</f>
        <v>0</v>
      </c>
      <c r="E236" s="295">
        <f t="shared" si="180"/>
        <v>0</v>
      </c>
      <c r="F236" s="295">
        <f t="shared" si="180"/>
        <v>0</v>
      </c>
      <c r="G236" s="295">
        <f t="shared" si="180"/>
        <v>0</v>
      </c>
      <c r="H236" s="295">
        <f t="shared" si="180"/>
        <v>0</v>
      </c>
      <c r="I236" s="295">
        <f t="shared" si="180"/>
        <v>0</v>
      </c>
      <c r="J236" s="295">
        <f t="shared" si="180"/>
        <v>0</v>
      </c>
      <c r="K236" s="295">
        <f t="shared" si="180"/>
        <v>0</v>
      </c>
      <c r="L236" s="295">
        <f t="shared" si="180"/>
        <v>0</v>
      </c>
      <c r="M236" s="295">
        <f t="shared" si="180"/>
        <v>0</v>
      </c>
      <c r="N236" s="295">
        <f t="shared" si="180"/>
        <v>0</v>
      </c>
      <c r="O236" s="462">
        <f t="shared" si="172"/>
        <v>0</v>
      </c>
      <c r="P236" s="463">
        <f t="shared" si="173"/>
        <v>0</v>
      </c>
      <c r="Q236" s="295">
        <f t="shared" si="180"/>
        <v>0</v>
      </c>
      <c r="R236" s="295">
        <f t="shared" si="180"/>
        <v>0</v>
      </c>
      <c r="S236" s="295">
        <f t="shared" si="180"/>
        <v>0</v>
      </c>
      <c r="T236" s="295">
        <f t="shared" si="180"/>
        <v>0</v>
      </c>
      <c r="U236" s="295">
        <f t="shared" si="180"/>
        <v>0</v>
      </c>
      <c r="V236" s="295">
        <f t="shared" si="180"/>
        <v>0</v>
      </c>
      <c r="W236" s="295">
        <f t="shared" si="180"/>
        <v>0</v>
      </c>
      <c r="X236" s="295">
        <f t="shared" si="180"/>
        <v>0</v>
      </c>
      <c r="Y236" s="295">
        <f t="shared" si="180"/>
        <v>0</v>
      </c>
      <c r="Z236" s="295">
        <f t="shared" si="180"/>
        <v>0</v>
      </c>
      <c r="AA236" s="295">
        <f t="shared" si="180"/>
        <v>0</v>
      </c>
      <c r="AB236" s="462">
        <f t="shared" si="174"/>
        <v>0</v>
      </c>
      <c r="AC236" s="463">
        <f t="shared" si="175"/>
        <v>0</v>
      </c>
      <c r="AD236" s="295">
        <f t="shared" si="180"/>
        <v>0</v>
      </c>
      <c r="AE236" s="295">
        <f t="shared" si="180"/>
        <v>0</v>
      </c>
      <c r="AF236" s="295">
        <f t="shared" si="180"/>
        <v>0</v>
      </c>
      <c r="AG236" s="295">
        <f t="shared" si="180"/>
        <v>0</v>
      </c>
      <c r="AH236" s="295">
        <f t="shared" si="180"/>
        <v>0</v>
      </c>
      <c r="AI236" s="295">
        <f t="shared" si="180"/>
        <v>0</v>
      </c>
      <c r="AJ236" s="295">
        <f t="shared" si="180"/>
        <v>0</v>
      </c>
      <c r="AK236" s="295">
        <f t="shared" si="180"/>
        <v>0</v>
      </c>
      <c r="AL236" s="295">
        <f t="shared" si="180"/>
        <v>0</v>
      </c>
      <c r="AM236" s="295">
        <f t="shared" si="180"/>
        <v>0</v>
      </c>
      <c r="AN236" s="295">
        <f t="shared" si="180"/>
        <v>0</v>
      </c>
      <c r="AO236" s="463">
        <f t="shared" si="171"/>
        <v>0</v>
      </c>
      <c r="AQ236" s="423"/>
      <c r="AR236" s="423"/>
      <c r="AS236" s="423"/>
      <c r="AT236" s="423"/>
      <c r="AU236" s="423"/>
      <c r="AV236" s="423"/>
      <c r="AW236" s="423"/>
      <c r="AX236" s="423"/>
      <c r="AY236" s="423"/>
      <c r="AZ236" s="423"/>
      <c r="BA236" s="423"/>
      <c r="BB236" s="423"/>
      <c r="BC236" s="423"/>
      <c r="BD236" s="423"/>
      <c r="BE236" s="423"/>
      <c r="BF236" s="423"/>
      <c r="BG236" s="423"/>
      <c r="BH236" s="423"/>
      <c r="BI236" s="423"/>
      <c r="BJ236" s="423"/>
      <c r="BK236" s="423"/>
      <c r="BL236" s="423"/>
      <c r="BM236" s="423"/>
      <c r="BN236" s="423"/>
      <c r="BO236" s="423"/>
      <c r="BP236" s="423"/>
      <c r="BQ236" s="423"/>
      <c r="BR236" s="423"/>
      <c r="BS236" s="423"/>
      <c r="BT236" s="423"/>
      <c r="BU236" s="423"/>
      <c r="BV236" s="423"/>
      <c r="BW236" s="423"/>
      <c r="BX236" s="423"/>
      <c r="BY236" s="423"/>
      <c r="BZ236" s="423"/>
      <c r="CA236" s="423"/>
      <c r="CB236" s="423"/>
      <c r="CC236" s="423"/>
    </row>
    <row r="237" spans="1:81">
      <c r="B237" s="420" t="s">
        <v>190</v>
      </c>
      <c r="C237" s="104"/>
      <c r="D237" s="295">
        <f t="shared" ref="D237:AN237" si="181">C237</f>
        <v>0</v>
      </c>
      <c r="E237" s="295">
        <f t="shared" si="181"/>
        <v>0</v>
      </c>
      <c r="F237" s="295">
        <f t="shared" si="181"/>
        <v>0</v>
      </c>
      <c r="G237" s="295">
        <f t="shared" si="181"/>
        <v>0</v>
      </c>
      <c r="H237" s="295">
        <f t="shared" si="181"/>
        <v>0</v>
      </c>
      <c r="I237" s="295">
        <f t="shared" si="181"/>
        <v>0</v>
      </c>
      <c r="J237" s="295">
        <f t="shared" si="181"/>
        <v>0</v>
      </c>
      <c r="K237" s="295">
        <f t="shared" si="181"/>
        <v>0</v>
      </c>
      <c r="L237" s="295">
        <f t="shared" si="181"/>
        <v>0</v>
      </c>
      <c r="M237" s="295">
        <f t="shared" si="181"/>
        <v>0</v>
      </c>
      <c r="N237" s="295">
        <f t="shared" si="181"/>
        <v>0</v>
      </c>
      <c r="O237" s="462">
        <f t="shared" si="172"/>
        <v>0</v>
      </c>
      <c r="P237" s="463">
        <f t="shared" si="173"/>
        <v>0</v>
      </c>
      <c r="Q237" s="295">
        <f t="shared" si="181"/>
        <v>0</v>
      </c>
      <c r="R237" s="295">
        <f t="shared" si="181"/>
        <v>0</v>
      </c>
      <c r="S237" s="295">
        <f t="shared" si="181"/>
        <v>0</v>
      </c>
      <c r="T237" s="295">
        <f t="shared" si="181"/>
        <v>0</v>
      </c>
      <c r="U237" s="295">
        <f t="shared" si="181"/>
        <v>0</v>
      </c>
      <c r="V237" s="295">
        <f t="shared" si="181"/>
        <v>0</v>
      </c>
      <c r="W237" s="295">
        <f t="shared" si="181"/>
        <v>0</v>
      </c>
      <c r="X237" s="295">
        <f t="shared" si="181"/>
        <v>0</v>
      </c>
      <c r="Y237" s="295">
        <f t="shared" si="181"/>
        <v>0</v>
      </c>
      <c r="Z237" s="295">
        <f t="shared" si="181"/>
        <v>0</v>
      </c>
      <c r="AA237" s="295">
        <f t="shared" si="181"/>
        <v>0</v>
      </c>
      <c r="AB237" s="462">
        <f t="shared" si="174"/>
        <v>0</v>
      </c>
      <c r="AC237" s="463">
        <f t="shared" si="175"/>
        <v>0</v>
      </c>
      <c r="AD237" s="295">
        <f t="shared" si="181"/>
        <v>0</v>
      </c>
      <c r="AE237" s="295">
        <f t="shared" si="181"/>
        <v>0</v>
      </c>
      <c r="AF237" s="295">
        <f t="shared" si="181"/>
        <v>0</v>
      </c>
      <c r="AG237" s="295">
        <f t="shared" si="181"/>
        <v>0</v>
      </c>
      <c r="AH237" s="295">
        <f t="shared" si="181"/>
        <v>0</v>
      </c>
      <c r="AI237" s="295">
        <f t="shared" si="181"/>
        <v>0</v>
      </c>
      <c r="AJ237" s="295">
        <f t="shared" si="181"/>
        <v>0</v>
      </c>
      <c r="AK237" s="295">
        <f t="shared" si="181"/>
        <v>0</v>
      </c>
      <c r="AL237" s="295">
        <f t="shared" si="181"/>
        <v>0</v>
      </c>
      <c r="AM237" s="295">
        <f t="shared" si="181"/>
        <v>0</v>
      </c>
      <c r="AN237" s="295">
        <f t="shared" si="181"/>
        <v>0</v>
      </c>
      <c r="AO237" s="463">
        <f t="shared" si="171"/>
        <v>0</v>
      </c>
      <c r="AQ237" s="423"/>
      <c r="AR237" s="423"/>
      <c r="AS237" s="423"/>
      <c r="AT237" s="423"/>
      <c r="AU237" s="423"/>
      <c r="AV237" s="423"/>
      <c r="AW237" s="423"/>
      <c r="AX237" s="423"/>
      <c r="AY237" s="423"/>
      <c r="AZ237" s="423"/>
      <c r="BA237" s="423"/>
      <c r="BB237" s="423"/>
      <c r="BC237" s="423"/>
      <c r="BD237" s="423"/>
      <c r="BE237" s="423"/>
      <c r="BF237" s="423"/>
      <c r="BG237" s="423"/>
      <c r="BH237" s="423"/>
      <c r="BI237" s="423"/>
      <c r="BJ237" s="423"/>
      <c r="BK237" s="423"/>
      <c r="BL237" s="423"/>
      <c r="BM237" s="423"/>
      <c r="BN237" s="423"/>
      <c r="BO237" s="423"/>
      <c r="BP237" s="423"/>
      <c r="BQ237" s="423"/>
      <c r="BR237" s="423"/>
      <c r="BS237" s="423"/>
      <c r="BT237" s="423"/>
      <c r="BU237" s="423"/>
      <c r="BV237" s="423"/>
      <c r="BW237" s="423"/>
      <c r="BX237" s="423"/>
      <c r="BY237" s="423"/>
      <c r="BZ237" s="423"/>
      <c r="CA237" s="423"/>
      <c r="CB237" s="423"/>
      <c r="CC237" s="423"/>
    </row>
    <row r="238" spans="1:81">
      <c r="B238" s="420" t="s">
        <v>191</v>
      </c>
      <c r="C238" s="104"/>
      <c r="D238" s="295">
        <f t="shared" ref="D238:AN238" si="182">C238</f>
        <v>0</v>
      </c>
      <c r="E238" s="295">
        <f t="shared" si="182"/>
        <v>0</v>
      </c>
      <c r="F238" s="295">
        <f t="shared" si="182"/>
        <v>0</v>
      </c>
      <c r="G238" s="295">
        <f t="shared" si="182"/>
        <v>0</v>
      </c>
      <c r="H238" s="295">
        <f t="shared" si="182"/>
        <v>0</v>
      </c>
      <c r="I238" s="295">
        <f t="shared" si="182"/>
        <v>0</v>
      </c>
      <c r="J238" s="295">
        <f t="shared" si="182"/>
        <v>0</v>
      </c>
      <c r="K238" s="295">
        <f t="shared" si="182"/>
        <v>0</v>
      </c>
      <c r="L238" s="295">
        <f t="shared" si="182"/>
        <v>0</v>
      </c>
      <c r="M238" s="295">
        <f t="shared" si="182"/>
        <v>0</v>
      </c>
      <c r="N238" s="295">
        <f t="shared" si="182"/>
        <v>0</v>
      </c>
      <c r="O238" s="462">
        <f t="shared" si="172"/>
        <v>0</v>
      </c>
      <c r="P238" s="463">
        <f t="shared" si="173"/>
        <v>0</v>
      </c>
      <c r="Q238" s="295">
        <f t="shared" si="182"/>
        <v>0</v>
      </c>
      <c r="R238" s="295">
        <f t="shared" si="182"/>
        <v>0</v>
      </c>
      <c r="S238" s="295">
        <f t="shared" si="182"/>
        <v>0</v>
      </c>
      <c r="T238" s="295">
        <f t="shared" si="182"/>
        <v>0</v>
      </c>
      <c r="U238" s="295">
        <f t="shared" si="182"/>
        <v>0</v>
      </c>
      <c r="V238" s="295">
        <f t="shared" si="182"/>
        <v>0</v>
      </c>
      <c r="W238" s="295">
        <f t="shared" si="182"/>
        <v>0</v>
      </c>
      <c r="X238" s="295">
        <f t="shared" si="182"/>
        <v>0</v>
      </c>
      <c r="Y238" s="295">
        <f t="shared" si="182"/>
        <v>0</v>
      </c>
      <c r="Z238" s="295">
        <f t="shared" si="182"/>
        <v>0</v>
      </c>
      <c r="AA238" s="295">
        <f t="shared" si="182"/>
        <v>0</v>
      </c>
      <c r="AB238" s="462">
        <f t="shared" si="174"/>
        <v>0</v>
      </c>
      <c r="AC238" s="463">
        <f t="shared" si="175"/>
        <v>0</v>
      </c>
      <c r="AD238" s="295">
        <f t="shared" si="182"/>
        <v>0</v>
      </c>
      <c r="AE238" s="295">
        <f t="shared" si="182"/>
        <v>0</v>
      </c>
      <c r="AF238" s="295">
        <f t="shared" si="182"/>
        <v>0</v>
      </c>
      <c r="AG238" s="295">
        <f t="shared" si="182"/>
        <v>0</v>
      </c>
      <c r="AH238" s="295">
        <f t="shared" si="182"/>
        <v>0</v>
      </c>
      <c r="AI238" s="295">
        <f t="shared" si="182"/>
        <v>0</v>
      </c>
      <c r="AJ238" s="295">
        <f t="shared" si="182"/>
        <v>0</v>
      </c>
      <c r="AK238" s="295">
        <f t="shared" si="182"/>
        <v>0</v>
      </c>
      <c r="AL238" s="295">
        <f t="shared" si="182"/>
        <v>0</v>
      </c>
      <c r="AM238" s="295">
        <f t="shared" si="182"/>
        <v>0</v>
      </c>
      <c r="AN238" s="295">
        <f t="shared" si="182"/>
        <v>0</v>
      </c>
      <c r="AO238" s="463">
        <f t="shared" si="171"/>
        <v>0</v>
      </c>
      <c r="AQ238" s="423"/>
      <c r="AR238" s="423"/>
      <c r="AS238" s="423"/>
      <c r="AT238" s="423"/>
      <c r="AU238" s="423"/>
      <c r="AV238" s="423"/>
      <c r="AW238" s="423"/>
      <c r="AX238" s="423"/>
      <c r="AY238" s="423"/>
      <c r="AZ238" s="423"/>
      <c r="BA238" s="423"/>
      <c r="BB238" s="423"/>
      <c r="BC238" s="423"/>
      <c r="BD238" s="423"/>
      <c r="BE238" s="423"/>
      <c r="BF238" s="423"/>
      <c r="BG238" s="423"/>
      <c r="BH238" s="423"/>
      <c r="BI238" s="423"/>
      <c r="BJ238" s="423"/>
      <c r="BK238" s="423"/>
      <c r="BL238" s="423"/>
      <c r="BM238" s="423"/>
      <c r="BN238" s="423"/>
      <c r="BO238" s="423"/>
      <c r="BP238" s="423"/>
      <c r="BQ238" s="423"/>
      <c r="BR238" s="423"/>
      <c r="BS238" s="423"/>
      <c r="BT238" s="423"/>
      <c r="BU238" s="423"/>
      <c r="BV238" s="423"/>
      <c r="BW238" s="423"/>
      <c r="BX238" s="423"/>
      <c r="BY238" s="423"/>
      <c r="BZ238" s="423"/>
      <c r="CA238" s="423"/>
      <c r="CB238" s="423"/>
      <c r="CC238" s="423"/>
    </row>
    <row r="239" spans="1:81">
      <c r="B239" s="420" t="s">
        <v>192</v>
      </c>
      <c r="C239" s="104"/>
      <c r="D239" s="295">
        <f t="shared" ref="D239:AN239" si="183">C239</f>
        <v>0</v>
      </c>
      <c r="E239" s="295">
        <f t="shared" si="183"/>
        <v>0</v>
      </c>
      <c r="F239" s="295">
        <f t="shared" si="183"/>
        <v>0</v>
      </c>
      <c r="G239" s="295">
        <f t="shared" si="183"/>
        <v>0</v>
      </c>
      <c r="H239" s="295">
        <f t="shared" si="183"/>
        <v>0</v>
      </c>
      <c r="I239" s="295">
        <f t="shared" si="183"/>
        <v>0</v>
      </c>
      <c r="J239" s="295">
        <f t="shared" si="183"/>
        <v>0</v>
      </c>
      <c r="K239" s="295">
        <f t="shared" si="183"/>
        <v>0</v>
      </c>
      <c r="L239" s="295">
        <f t="shared" si="183"/>
        <v>0</v>
      </c>
      <c r="M239" s="295">
        <f t="shared" si="183"/>
        <v>0</v>
      </c>
      <c r="N239" s="295">
        <f t="shared" si="183"/>
        <v>0</v>
      </c>
      <c r="O239" s="462">
        <f t="shared" si="172"/>
        <v>0</v>
      </c>
      <c r="P239" s="463">
        <f t="shared" si="173"/>
        <v>0</v>
      </c>
      <c r="Q239" s="295">
        <f t="shared" si="183"/>
        <v>0</v>
      </c>
      <c r="R239" s="295">
        <f t="shared" si="183"/>
        <v>0</v>
      </c>
      <c r="S239" s="295">
        <f t="shared" si="183"/>
        <v>0</v>
      </c>
      <c r="T239" s="295">
        <f t="shared" si="183"/>
        <v>0</v>
      </c>
      <c r="U239" s="295">
        <f t="shared" si="183"/>
        <v>0</v>
      </c>
      <c r="V239" s="295">
        <f t="shared" si="183"/>
        <v>0</v>
      </c>
      <c r="W239" s="295">
        <f t="shared" si="183"/>
        <v>0</v>
      </c>
      <c r="X239" s="295">
        <f t="shared" si="183"/>
        <v>0</v>
      </c>
      <c r="Y239" s="295">
        <f t="shared" si="183"/>
        <v>0</v>
      </c>
      <c r="Z239" s="295">
        <f t="shared" si="183"/>
        <v>0</v>
      </c>
      <c r="AA239" s="295">
        <f t="shared" si="183"/>
        <v>0</v>
      </c>
      <c r="AB239" s="462">
        <f t="shared" si="174"/>
        <v>0</v>
      </c>
      <c r="AC239" s="472">
        <v>1172</v>
      </c>
      <c r="AD239" s="295">
        <f t="shared" si="183"/>
        <v>1172</v>
      </c>
      <c r="AE239" s="295">
        <f t="shared" si="183"/>
        <v>1172</v>
      </c>
      <c r="AF239" s="295">
        <f t="shared" si="183"/>
        <v>1172</v>
      </c>
      <c r="AG239" s="295">
        <f t="shared" si="183"/>
        <v>1172</v>
      </c>
      <c r="AH239" s="295">
        <f t="shared" si="183"/>
        <v>1172</v>
      </c>
      <c r="AI239" s="295">
        <f t="shared" si="183"/>
        <v>1172</v>
      </c>
      <c r="AJ239" s="295">
        <f t="shared" si="183"/>
        <v>1172</v>
      </c>
      <c r="AK239" s="295">
        <f t="shared" si="183"/>
        <v>1172</v>
      </c>
      <c r="AL239" s="295">
        <f t="shared" si="183"/>
        <v>1172</v>
      </c>
      <c r="AM239" s="295">
        <f t="shared" si="183"/>
        <v>1172</v>
      </c>
      <c r="AN239" s="295">
        <f t="shared" si="183"/>
        <v>1172</v>
      </c>
      <c r="AO239" s="463">
        <f t="shared" si="171"/>
        <v>1172</v>
      </c>
      <c r="AQ239" s="423"/>
      <c r="AR239" s="423"/>
      <c r="AS239" s="423"/>
      <c r="AT239" s="423"/>
      <c r="AU239" s="423"/>
      <c r="AV239" s="423"/>
      <c r="AW239" s="423"/>
      <c r="AX239" s="423"/>
      <c r="AY239" s="423"/>
      <c r="AZ239" s="423"/>
      <c r="BA239" s="423"/>
      <c r="BB239" s="423"/>
      <c r="BC239" s="423"/>
      <c r="BD239" s="423"/>
      <c r="BE239" s="423"/>
      <c r="BF239" s="423"/>
      <c r="BG239" s="423"/>
      <c r="BH239" s="423"/>
      <c r="BI239" s="423"/>
      <c r="BJ239" s="423"/>
      <c r="BK239" s="423"/>
      <c r="BL239" s="423"/>
      <c r="BM239" s="423"/>
      <c r="BN239" s="423"/>
      <c r="BO239" s="423"/>
      <c r="BP239" s="423"/>
      <c r="BQ239" s="423"/>
      <c r="BR239" s="423"/>
      <c r="BS239" s="423"/>
      <c r="BT239" s="423"/>
      <c r="BU239" s="423"/>
      <c r="BV239" s="423"/>
      <c r="BW239" s="423"/>
      <c r="BX239" s="423"/>
      <c r="BY239" s="423"/>
      <c r="BZ239" s="423"/>
      <c r="CA239" s="423"/>
      <c r="CB239" s="423"/>
      <c r="CC239" s="423"/>
    </row>
    <row r="240" spans="1:81">
      <c r="B240" s="420" t="s">
        <v>193</v>
      </c>
      <c r="C240" s="104"/>
      <c r="D240" s="295">
        <f t="shared" ref="D240:AN240" si="184">C240</f>
        <v>0</v>
      </c>
      <c r="E240" s="295">
        <f t="shared" si="184"/>
        <v>0</v>
      </c>
      <c r="F240" s="295">
        <f t="shared" si="184"/>
        <v>0</v>
      </c>
      <c r="G240" s="295">
        <f t="shared" si="184"/>
        <v>0</v>
      </c>
      <c r="H240" s="295">
        <f t="shared" si="184"/>
        <v>0</v>
      </c>
      <c r="I240" s="295">
        <f t="shared" si="184"/>
        <v>0</v>
      </c>
      <c r="J240" s="295">
        <f t="shared" si="184"/>
        <v>0</v>
      </c>
      <c r="K240" s="295">
        <f t="shared" si="184"/>
        <v>0</v>
      </c>
      <c r="L240" s="295">
        <f t="shared" si="184"/>
        <v>0</v>
      </c>
      <c r="M240" s="295">
        <f t="shared" si="184"/>
        <v>0</v>
      </c>
      <c r="N240" s="295">
        <f t="shared" si="184"/>
        <v>0</v>
      </c>
      <c r="O240" s="462">
        <f t="shared" si="172"/>
        <v>0</v>
      </c>
      <c r="P240" s="463">
        <f t="shared" si="173"/>
        <v>0</v>
      </c>
      <c r="Q240" s="295">
        <f t="shared" si="184"/>
        <v>0</v>
      </c>
      <c r="R240" s="295">
        <f t="shared" si="184"/>
        <v>0</v>
      </c>
      <c r="S240" s="295">
        <f t="shared" si="184"/>
        <v>0</v>
      </c>
      <c r="T240" s="295">
        <f t="shared" si="184"/>
        <v>0</v>
      </c>
      <c r="U240" s="295">
        <f t="shared" si="184"/>
        <v>0</v>
      </c>
      <c r="V240" s="295">
        <f t="shared" si="184"/>
        <v>0</v>
      </c>
      <c r="W240" s="295">
        <f t="shared" si="184"/>
        <v>0</v>
      </c>
      <c r="X240" s="295">
        <f t="shared" si="184"/>
        <v>0</v>
      </c>
      <c r="Y240" s="295">
        <f t="shared" si="184"/>
        <v>0</v>
      </c>
      <c r="Z240" s="295">
        <f t="shared" si="184"/>
        <v>0</v>
      </c>
      <c r="AA240" s="295">
        <f t="shared" si="184"/>
        <v>0</v>
      </c>
      <c r="AB240" s="462">
        <f t="shared" si="174"/>
        <v>0</v>
      </c>
      <c r="AC240" s="472">
        <v>1368</v>
      </c>
      <c r="AD240" s="295">
        <f t="shared" si="184"/>
        <v>1368</v>
      </c>
      <c r="AE240" s="295">
        <f t="shared" si="184"/>
        <v>1368</v>
      </c>
      <c r="AF240" s="295">
        <f t="shared" si="184"/>
        <v>1368</v>
      </c>
      <c r="AG240" s="295">
        <f t="shared" si="184"/>
        <v>1368</v>
      </c>
      <c r="AH240" s="295">
        <f t="shared" si="184"/>
        <v>1368</v>
      </c>
      <c r="AI240" s="295">
        <f t="shared" si="184"/>
        <v>1368</v>
      </c>
      <c r="AJ240" s="295">
        <f t="shared" si="184"/>
        <v>1368</v>
      </c>
      <c r="AK240" s="295">
        <f t="shared" si="184"/>
        <v>1368</v>
      </c>
      <c r="AL240" s="295">
        <f t="shared" si="184"/>
        <v>1368</v>
      </c>
      <c r="AM240" s="295">
        <f t="shared" si="184"/>
        <v>1368</v>
      </c>
      <c r="AN240" s="295">
        <f t="shared" si="184"/>
        <v>1368</v>
      </c>
      <c r="AO240" s="463">
        <f t="shared" si="171"/>
        <v>1368</v>
      </c>
      <c r="AQ240" s="423"/>
      <c r="AR240" s="423"/>
      <c r="AS240" s="423"/>
      <c r="AT240" s="423"/>
      <c r="AU240" s="423"/>
      <c r="AV240" s="423"/>
      <c r="AW240" s="423"/>
      <c r="AX240" s="423"/>
      <c r="AY240" s="423"/>
      <c r="AZ240" s="423"/>
      <c r="BA240" s="423"/>
      <c r="BB240" s="423"/>
      <c r="BC240" s="423"/>
      <c r="BD240" s="423"/>
      <c r="BE240" s="423"/>
      <c r="BF240" s="423"/>
      <c r="BG240" s="423"/>
      <c r="BH240" s="423"/>
      <c r="BI240" s="423"/>
      <c r="BJ240" s="423"/>
      <c r="BK240" s="423"/>
      <c r="BL240" s="423"/>
      <c r="BM240" s="423"/>
      <c r="BN240" s="423"/>
      <c r="BO240" s="423"/>
      <c r="BP240" s="423"/>
      <c r="BQ240" s="423"/>
      <c r="BR240" s="423"/>
      <c r="BS240" s="423"/>
      <c r="BT240" s="423"/>
      <c r="BU240" s="423"/>
      <c r="BV240" s="423"/>
      <c r="BW240" s="423"/>
      <c r="BX240" s="423"/>
      <c r="BY240" s="423"/>
      <c r="BZ240" s="423"/>
      <c r="CA240" s="423"/>
      <c r="CB240" s="423"/>
      <c r="CC240" s="423"/>
    </row>
    <row r="241" spans="2:81">
      <c r="B241" s="420" t="s">
        <v>194</v>
      </c>
      <c r="C241" s="104"/>
      <c r="D241" s="295">
        <f t="shared" ref="D241:AN241" si="185">C241</f>
        <v>0</v>
      </c>
      <c r="E241" s="295">
        <f t="shared" si="185"/>
        <v>0</v>
      </c>
      <c r="F241" s="295">
        <f t="shared" si="185"/>
        <v>0</v>
      </c>
      <c r="G241" s="295">
        <f t="shared" si="185"/>
        <v>0</v>
      </c>
      <c r="H241" s="295">
        <f t="shared" si="185"/>
        <v>0</v>
      </c>
      <c r="I241" s="295">
        <f t="shared" si="185"/>
        <v>0</v>
      </c>
      <c r="J241" s="295">
        <f t="shared" si="185"/>
        <v>0</v>
      </c>
      <c r="K241" s="295">
        <f t="shared" si="185"/>
        <v>0</v>
      </c>
      <c r="L241" s="295">
        <f t="shared" si="185"/>
        <v>0</v>
      </c>
      <c r="M241" s="295">
        <f t="shared" si="185"/>
        <v>0</v>
      </c>
      <c r="N241" s="295">
        <f t="shared" si="185"/>
        <v>0</v>
      </c>
      <c r="O241" s="462">
        <f t="shared" si="172"/>
        <v>0</v>
      </c>
      <c r="P241" s="463">
        <f t="shared" si="173"/>
        <v>0</v>
      </c>
      <c r="Q241" s="295">
        <f t="shared" si="185"/>
        <v>0</v>
      </c>
      <c r="R241" s="295">
        <f t="shared" si="185"/>
        <v>0</v>
      </c>
      <c r="S241" s="295">
        <f t="shared" si="185"/>
        <v>0</v>
      </c>
      <c r="T241" s="295">
        <f t="shared" si="185"/>
        <v>0</v>
      </c>
      <c r="U241" s="295">
        <f t="shared" si="185"/>
        <v>0</v>
      </c>
      <c r="V241" s="295">
        <f t="shared" si="185"/>
        <v>0</v>
      </c>
      <c r="W241" s="295">
        <f t="shared" si="185"/>
        <v>0</v>
      </c>
      <c r="X241" s="295">
        <f t="shared" si="185"/>
        <v>0</v>
      </c>
      <c r="Y241" s="295">
        <f t="shared" si="185"/>
        <v>0</v>
      </c>
      <c r="Z241" s="295">
        <f t="shared" si="185"/>
        <v>0</v>
      </c>
      <c r="AA241" s="295">
        <f t="shared" si="185"/>
        <v>0</v>
      </c>
      <c r="AB241" s="462">
        <f t="shared" si="174"/>
        <v>0</v>
      </c>
      <c r="AC241" s="463">
        <f t="shared" si="175"/>
        <v>0</v>
      </c>
      <c r="AD241" s="295">
        <f t="shared" si="185"/>
        <v>0</v>
      </c>
      <c r="AE241" s="295">
        <f t="shared" si="185"/>
        <v>0</v>
      </c>
      <c r="AF241" s="295">
        <f t="shared" si="185"/>
        <v>0</v>
      </c>
      <c r="AG241" s="295">
        <f t="shared" si="185"/>
        <v>0</v>
      </c>
      <c r="AH241" s="295">
        <f t="shared" si="185"/>
        <v>0</v>
      </c>
      <c r="AI241" s="295">
        <f t="shared" si="185"/>
        <v>0</v>
      </c>
      <c r="AJ241" s="295">
        <f t="shared" si="185"/>
        <v>0</v>
      </c>
      <c r="AK241" s="295">
        <f t="shared" si="185"/>
        <v>0</v>
      </c>
      <c r="AL241" s="295">
        <f t="shared" si="185"/>
        <v>0</v>
      </c>
      <c r="AM241" s="295">
        <f t="shared" si="185"/>
        <v>0</v>
      </c>
      <c r="AN241" s="295">
        <f t="shared" si="185"/>
        <v>0</v>
      </c>
      <c r="AO241" s="463">
        <f t="shared" si="171"/>
        <v>0</v>
      </c>
      <c r="AQ241" s="423"/>
      <c r="AR241" s="423"/>
      <c r="AS241" s="423"/>
      <c r="AT241" s="423"/>
      <c r="AU241" s="423"/>
      <c r="AV241" s="423"/>
      <c r="AW241" s="423"/>
      <c r="AX241" s="423"/>
      <c r="AY241" s="423"/>
      <c r="AZ241" s="423"/>
      <c r="BA241" s="423"/>
      <c r="BB241" s="423"/>
      <c r="BC241" s="423"/>
      <c r="BD241" s="423"/>
      <c r="BE241" s="423"/>
      <c r="BF241" s="423"/>
      <c r="BG241" s="423"/>
      <c r="BH241" s="423"/>
      <c r="BI241" s="423"/>
      <c r="BJ241" s="423"/>
      <c r="BK241" s="423"/>
      <c r="BL241" s="423"/>
      <c r="BM241" s="423"/>
      <c r="BN241" s="423"/>
      <c r="BO241" s="423"/>
      <c r="BP241" s="423"/>
      <c r="BQ241" s="423"/>
      <c r="BR241" s="423"/>
      <c r="BS241" s="423"/>
      <c r="BT241" s="423"/>
      <c r="BU241" s="423"/>
      <c r="BV241" s="423"/>
      <c r="BW241" s="423"/>
      <c r="BX241" s="423"/>
      <c r="BY241" s="423"/>
      <c r="BZ241" s="423"/>
      <c r="CA241" s="423"/>
      <c r="CB241" s="423"/>
      <c r="CC241" s="423"/>
    </row>
    <row r="242" spans="2:81">
      <c r="B242" s="420" t="s">
        <v>195</v>
      </c>
      <c r="C242" s="104"/>
      <c r="D242" s="295">
        <f t="shared" ref="D242:AN242" si="186">C242</f>
        <v>0</v>
      </c>
      <c r="E242" s="295">
        <f t="shared" si="186"/>
        <v>0</v>
      </c>
      <c r="F242" s="295">
        <f t="shared" si="186"/>
        <v>0</v>
      </c>
      <c r="G242" s="295">
        <f t="shared" si="186"/>
        <v>0</v>
      </c>
      <c r="H242" s="295">
        <f t="shared" si="186"/>
        <v>0</v>
      </c>
      <c r="I242" s="295">
        <f t="shared" si="186"/>
        <v>0</v>
      </c>
      <c r="J242" s="295">
        <f t="shared" si="186"/>
        <v>0</v>
      </c>
      <c r="K242" s="295">
        <f t="shared" si="186"/>
        <v>0</v>
      </c>
      <c r="L242" s="295">
        <f t="shared" si="186"/>
        <v>0</v>
      </c>
      <c r="M242" s="295">
        <f t="shared" si="186"/>
        <v>0</v>
      </c>
      <c r="N242" s="295">
        <f t="shared" si="186"/>
        <v>0</v>
      </c>
      <c r="O242" s="462">
        <f t="shared" si="172"/>
        <v>0</v>
      </c>
      <c r="P242" s="463">
        <f t="shared" si="173"/>
        <v>0</v>
      </c>
      <c r="Q242" s="295">
        <f t="shared" si="186"/>
        <v>0</v>
      </c>
      <c r="R242" s="295">
        <f t="shared" si="186"/>
        <v>0</v>
      </c>
      <c r="S242" s="295">
        <f t="shared" si="186"/>
        <v>0</v>
      </c>
      <c r="T242" s="295">
        <f t="shared" si="186"/>
        <v>0</v>
      </c>
      <c r="U242" s="295">
        <f t="shared" si="186"/>
        <v>0</v>
      </c>
      <c r="V242" s="295">
        <f t="shared" si="186"/>
        <v>0</v>
      </c>
      <c r="W242" s="295">
        <f t="shared" si="186"/>
        <v>0</v>
      </c>
      <c r="X242" s="295">
        <f t="shared" si="186"/>
        <v>0</v>
      </c>
      <c r="Y242" s="295">
        <f t="shared" si="186"/>
        <v>0</v>
      </c>
      <c r="Z242" s="295">
        <f t="shared" si="186"/>
        <v>0</v>
      </c>
      <c r="AA242" s="295">
        <f t="shared" si="186"/>
        <v>0</v>
      </c>
      <c r="AB242" s="462">
        <f t="shared" si="174"/>
        <v>0</v>
      </c>
      <c r="AC242" s="463">
        <f t="shared" si="175"/>
        <v>0</v>
      </c>
      <c r="AD242" s="295">
        <f t="shared" si="186"/>
        <v>0</v>
      </c>
      <c r="AE242" s="295">
        <f t="shared" si="186"/>
        <v>0</v>
      </c>
      <c r="AF242" s="295">
        <f t="shared" si="186"/>
        <v>0</v>
      </c>
      <c r="AG242" s="295">
        <f t="shared" si="186"/>
        <v>0</v>
      </c>
      <c r="AH242" s="295">
        <f t="shared" si="186"/>
        <v>0</v>
      </c>
      <c r="AI242" s="295">
        <f t="shared" si="186"/>
        <v>0</v>
      </c>
      <c r="AJ242" s="295">
        <f t="shared" si="186"/>
        <v>0</v>
      </c>
      <c r="AK242" s="295">
        <f t="shared" si="186"/>
        <v>0</v>
      </c>
      <c r="AL242" s="295">
        <f t="shared" si="186"/>
        <v>0</v>
      </c>
      <c r="AM242" s="295">
        <f t="shared" si="186"/>
        <v>0</v>
      </c>
      <c r="AN242" s="295">
        <f t="shared" si="186"/>
        <v>0</v>
      </c>
      <c r="AO242" s="463">
        <f t="shared" si="171"/>
        <v>0</v>
      </c>
      <c r="AQ242" s="423"/>
      <c r="AR242" s="423"/>
      <c r="AS242" s="423"/>
      <c r="AT242" s="423"/>
      <c r="AU242" s="423"/>
      <c r="AV242" s="423"/>
      <c r="AW242" s="423"/>
      <c r="AX242" s="423"/>
      <c r="AY242" s="423"/>
      <c r="AZ242" s="423"/>
      <c r="BA242" s="423"/>
      <c r="BB242" s="423"/>
      <c r="BC242" s="423"/>
      <c r="BD242" s="423"/>
      <c r="BE242" s="423"/>
      <c r="BF242" s="423"/>
      <c r="BG242" s="423"/>
      <c r="BH242" s="423"/>
      <c r="BI242" s="423"/>
      <c r="BJ242" s="423"/>
      <c r="BK242" s="423"/>
      <c r="BL242" s="423"/>
      <c r="BM242" s="423"/>
      <c r="BN242" s="423"/>
      <c r="BO242" s="423"/>
      <c r="BP242" s="423"/>
      <c r="BQ242" s="423"/>
      <c r="BR242" s="423"/>
      <c r="BS242" s="423"/>
      <c r="BT242" s="423"/>
      <c r="BU242" s="423"/>
      <c r="BV242" s="423"/>
      <c r="BW242" s="423"/>
      <c r="BX242" s="423"/>
      <c r="BY242" s="423"/>
      <c r="BZ242" s="423"/>
      <c r="CA242" s="423"/>
      <c r="CB242" s="423"/>
      <c r="CC242" s="423"/>
    </row>
    <row r="243" spans="2:81">
      <c r="B243" s="420" t="s">
        <v>196</v>
      </c>
      <c r="C243" s="104"/>
      <c r="D243" s="295">
        <f t="shared" ref="D243:AN243" si="187">C243</f>
        <v>0</v>
      </c>
      <c r="E243" s="295">
        <f t="shared" si="187"/>
        <v>0</v>
      </c>
      <c r="F243" s="295">
        <f t="shared" si="187"/>
        <v>0</v>
      </c>
      <c r="G243" s="295">
        <f t="shared" si="187"/>
        <v>0</v>
      </c>
      <c r="H243" s="295">
        <f t="shared" si="187"/>
        <v>0</v>
      </c>
      <c r="I243" s="295">
        <f t="shared" si="187"/>
        <v>0</v>
      </c>
      <c r="J243" s="295">
        <f t="shared" si="187"/>
        <v>0</v>
      </c>
      <c r="K243" s="295">
        <f t="shared" si="187"/>
        <v>0</v>
      </c>
      <c r="L243" s="295">
        <f t="shared" si="187"/>
        <v>0</v>
      </c>
      <c r="M243" s="295">
        <f t="shared" si="187"/>
        <v>0</v>
      </c>
      <c r="N243" s="295">
        <f t="shared" si="187"/>
        <v>0</v>
      </c>
      <c r="O243" s="462">
        <f t="shared" si="172"/>
        <v>0</v>
      </c>
      <c r="P243" s="463">
        <f t="shared" si="173"/>
        <v>0</v>
      </c>
      <c r="Q243" s="295">
        <f t="shared" si="187"/>
        <v>0</v>
      </c>
      <c r="R243" s="295">
        <f t="shared" si="187"/>
        <v>0</v>
      </c>
      <c r="S243" s="295">
        <f t="shared" si="187"/>
        <v>0</v>
      </c>
      <c r="T243" s="295">
        <f t="shared" si="187"/>
        <v>0</v>
      </c>
      <c r="U243" s="295">
        <f t="shared" si="187"/>
        <v>0</v>
      </c>
      <c r="V243" s="295">
        <f t="shared" si="187"/>
        <v>0</v>
      </c>
      <c r="W243" s="295">
        <f t="shared" si="187"/>
        <v>0</v>
      </c>
      <c r="X243" s="295">
        <f t="shared" si="187"/>
        <v>0</v>
      </c>
      <c r="Y243" s="295">
        <f t="shared" si="187"/>
        <v>0</v>
      </c>
      <c r="Z243" s="295">
        <f t="shared" si="187"/>
        <v>0</v>
      </c>
      <c r="AA243" s="295">
        <f t="shared" si="187"/>
        <v>0</v>
      </c>
      <c r="AB243" s="462">
        <f t="shared" si="174"/>
        <v>0</v>
      </c>
      <c r="AC243" s="463">
        <f t="shared" si="175"/>
        <v>0</v>
      </c>
      <c r="AD243" s="295">
        <f t="shared" si="187"/>
        <v>0</v>
      </c>
      <c r="AE243" s="295">
        <f t="shared" si="187"/>
        <v>0</v>
      </c>
      <c r="AF243" s="295">
        <f t="shared" si="187"/>
        <v>0</v>
      </c>
      <c r="AG243" s="295">
        <f t="shared" si="187"/>
        <v>0</v>
      </c>
      <c r="AH243" s="295">
        <f t="shared" si="187"/>
        <v>0</v>
      </c>
      <c r="AI243" s="295">
        <f t="shared" si="187"/>
        <v>0</v>
      </c>
      <c r="AJ243" s="295">
        <f t="shared" si="187"/>
        <v>0</v>
      </c>
      <c r="AK243" s="295">
        <f t="shared" si="187"/>
        <v>0</v>
      </c>
      <c r="AL243" s="295">
        <f t="shared" si="187"/>
        <v>0</v>
      </c>
      <c r="AM243" s="295">
        <f t="shared" si="187"/>
        <v>0</v>
      </c>
      <c r="AN243" s="295">
        <f t="shared" si="187"/>
        <v>0</v>
      </c>
      <c r="AO243" s="463">
        <f t="shared" si="171"/>
        <v>0</v>
      </c>
      <c r="AQ243" s="423"/>
      <c r="AR243" s="423"/>
      <c r="AS243" s="423"/>
      <c r="AT243" s="423"/>
      <c r="AU243" s="423"/>
      <c r="AV243" s="423"/>
      <c r="AW243" s="423"/>
      <c r="AX243" s="423"/>
      <c r="AY243" s="423"/>
      <c r="AZ243" s="423"/>
      <c r="BA243" s="423"/>
      <c r="BB243" s="423"/>
      <c r="BC243" s="423"/>
      <c r="BD243" s="423"/>
      <c r="BE243" s="423"/>
      <c r="BF243" s="423"/>
      <c r="BG243" s="423"/>
      <c r="BH243" s="423"/>
      <c r="BI243" s="423"/>
      <c r="BJ243" s="423"/>
      <c r="BK243" s="423"/>
      <c r="BL243" s="423"/>
      <c r="BM243" s="423"/>
      <c r="BN243" s="423"/>
      <c r="BO243" s="423"/>
      <c r="BP243" s="423"/>
      <c r="BQ243" s="423"/>
      <c r="BR243" s="423"/>
      <c r="BS243" s="423"/>
      <c r="BT243" s="423"/>
      <c r="BU243" s="423"/>
      <c r="BV243" s="423"/>
      <c r="BW243" s="423"/>
      <c r="BX243" s="423"/>
      <c r="BY243" s="423"/>
      <c r="BZ243" s="423"/>
      <c r="CA243" s="423"/>
      <c r="CB243" s="423"/>
      <c r="CC243" s="423"/>
    </row>
    <row r="244" spans="2:81">
      <c r="B244" s="420" t="s">
        <v>197</v>
      </c>
      <c r="C244" s="104"/>
      <c r="D244" s="295">
        <f t="shared" ref="D244:AN244" si="188">C244</f>
        <v>0</v>
      </c>
      <c r="E244" s="295">
        <f t="shared" si="188"/>
        <v>0</v>
      </c>
      <c r="F244" s="295">
        <f t="shared" si="188"/>
        <v>0</v>
      </c>
      <c r="G244" s="295">
        <f t="shared" si="188"/>
        <v>0</v>
      </c>
      <c r="H244" s="295">
        <f t="shared" si="188"/>
        <v>0</v>
      </c>
      <c r="I244" s="295">
        <f t="shared" si="188"/>
        <v>0</v>
      </c>
      <c r="J244" s="295">
        <f t="shared" si="188"/>
        <v>0</v>
      </c>
      <c r="K244" s="295">
        <f t="shared" si="188"/>
        <v>0</v>
      </c>
      <c r="L244" s="295">
        <f t="shared" si="188"/>
        <v>0</v>
      </c>
      <c r="M244" s="295">
        <f t="shared" si="188"/>
        <v>0</v>
      </c>
      <c r="N244" s="295">
        <f t="shared" si="188"/>
        <v>0</v>
      </c>
      <c r="O244" s="462">
        <f t="shared" si="172"/>
        <v>0</v>
      </c>
      <c r="P244" s="463">
        <f t="shared" si="173"/>
        <v>0</v>
      </c>
      <c r="Q244" s="295">
        <f t="shared" si="188"/>
        <v>0</v>
      </c>
      <c r="R244" s="295">
        <f t="shared" si="188"/>
        <v>0</v>
      </c>
      <c r="S244" s="295">
        <f t="shared" si="188"/>
        <v>0</v>
      </c>
      <c r="T244" s="295">
        <f t="shared" si="188"/>
        <v>0</v>
      </c>
      <c r="U244" s="295">
        <f t="shared" si="188"/>
        <v>0</v>
      </c>
      <c r="V244" s="295">
        <f t="shared" si="188"/>
        <v>0</v>
      </c>
      <c r="W244" s="295">
        <f t="shared" si="188"/>
        <v>0</v>
      </c>
      <c r="X244" s="295">
        <f t="shared" si="188"/>
        <v>0</v>
      </c>
      <c r="Y244" s="295">
        <f t="shared" si="188"/>
        <v>0</v>
      </c>
      <c r="Z244" s="295">
        <f t="shared" si="188"/>
        <v>0</v>
      </c>
      <c r="AA244" s="295">
        <f t="shared" si="188"/>
        <v>0</v>
      </c>
      <c r="AB244" s="462">
        <f t="shared" si="174"/>
        <v>0</v>
      </c>
      <c r="AC244" s="472">
        <v>3400</v>
      </c>
      <c r="AD244" s="295">
        <f t="shared" si="188"/>
        <v>3400</v>
      </c>
      <c r="AE244" s="295">
        <f t="shared" si="188"/>
        <v>3400</v>
      </c>
      <c r="AF244" s="295">
        <f t="shared" si="188"/>
        <v>3400</v>
      </c>
      <c r="AG244" s="295">
        <f t="shared" si="188"/>
        <v>3400</v>
      </c>
      <c r="AH244" s="295">
        <f t="shared" si="188"/>
        <v>3400</v>
      </c>
      <c r="AI244" s="295">
        <f t="shared" si="188"/>
        <v>3400</v>
      </c>
      <c r="AJ244" s="295">
        <f t="shared" si="188"/>
        <v>3400</v>
      </c>
      <c r="AK244" s="295">
        <f t="shared" si="188"/>
        <v>3400</v>
      </c>
      <c r="AL244" s="295">
        <f t="shared" si="188"/>
        <v>3400</v>
      </c>
      <c r="AM244" s="295">
        <f t="shared" si="188"/>
        <v>3400</v>
      </c>
      <c r="AN244" s="295">
        <f t="shared" si="188"/>
        <v>3400</v>
      </c>
      <c r="AO244" s="463">
        <f t="shared" si="171"/>
        <v>3400</v>
      </c>
      <c r="AQ244" s="423"/>
      <c r="AR244" s="423"/>
      <c r="AS244" s="423"/>
      <c r="AT244" s="423"/>
      <c r="AU244" s="423"/>
      <c r="AV244" s="423"/>
      <c r="AW244" s="423"/>
      <c r="AX244" s="423"/>
      <c r="AY244" s="423"/>
      <c r="AZ244" s="423"/>
      <c r="BA244" s="423"/>
      <c r="BB244" s="423"/>
      <c r="BC244" s="423"/>
      <c r="BD244" s="423"/>
      <c r="BE244" s="423"/>
      <c r="BF244" s="423"/>
      <c r="BG244" s="423"/>
      <c r="BH244" s="423"/>
      <c r="BI244" s="423"/>
      <c r="BJ244" s="423"/>
      <c r="BK244" s="423"/>
      <c r="BL244" s="423"/>
      <c r="BM244" s="423"/>
      <c r="BN244" s="423"/>
      <c r="BO244" s="423"/>
      <c r="BP244" s="423"/>
      <c r="BQ244" s="423"/>
      <c r="BR244" s="423"/>
      <c r="BS244" s="423"/>
      <c r="BT244" s="423"/>
      <c r="BU244" s="423"/>
      <c r="BV244" s="423"/>
      <c r="BW244" s="423"/>
      <c r="BX244" s="423"/>
      <c r="BY244" s="423"/>
      <c r="BZ244" s="423"/>
      <c r="CA244" s="423"/>
      <c r="CB244" s="423"/>
      <c r="CC244" s="423"/>
    </row>
    <row r="245" spans="2:81">
      <c r="B245" s="420" t="s">
        <v>198</v>
      </c>
      <c r="C245" s="104"/>
      <c r="D245" s="295">
        <f t="shared" ref="D245:AN245" si="189">C245</f>
        <v>0</v>
      </c>
      <c r="E245" s="295">
        <f t="shared" si="189"/>
        <v>0</v>
      </c>
      <c r="F245" s="295">
        <f t="shared" si="189"/>
        <v>0</v>
      </c>
      <c r="G245" s="295">
        <f t="shared" si="189"/>
        <v>0</v>
      </c>
      <c r="H245" s="295">
        <f t="shared" si="189"/>
        <v>0</v>
      </c>
      <c r="I245" s="295">
        <f t="shared" si="189"/>
        <v>0</v>
      </c>
      <c r="J245" s="295">
        <f t="shared" si="189"/>
        <v>0</v>
      </c>
      <c r="K245" s="295">
        <f t="shared" si="189"/>
        <v>0</v>
      </c>
      <c r="L245" s="295">
        <f t="shared" si="189"/>
        <v>0</v>
      </c>
      <c r="M245" s="295">
        <f t="shared" si="189"/>
        <v>0</v>
      </c>
      <c r="N245" s="295">
        <f t="shared" si="189"/>
        <v>0</v>
      </c>
      <c r="O245" s="462">
        <f t="shared" si="172"/>
        <v>0</v>
      </c>
      <c r="P245" s="463">
        <f t="shared" si="173"/>
        <v>0</v>
      </c>
      <c r="Q245" s="295">
        <f t="shared" si="189"/>
        <v>0</v>
      </c>
      <c r="R245" s="295">
        <f t="shared" si="189"/>
        <v>0</v>
      </c>
      <c r="S245" s="295">
        <f t="shared" si="189"/>
        <v>0</v>
      </c>
      <c r="T245" s="295">
        <f t="shared" si="189"/>
        <v>0</v>
      </c>
      <c r="U245" s="295">
        <f t="shared" si="189"/>
        <v>0</v>
      </c>
      <c r="V245" s="295">
        <f t="shared" si="189"/>
        <v>0</v>
      </c>
      <c r="W245" s="295">
        <f t="shared" si="189"/>
        <v>0</v>
      </c>
      <c r="X245" s="295">
        <f t="shared" si="189"/>
        <v>0</v>
      </c>
      <c r="Y245" s="295">
        <f t="shared" si="189"/>
        <v>0</v>
      </c>
      <c r="Z245" s="295">
        <f t="shared" si="189"/>
        <v>0</v>
      </c>
      <c r="AA245" s="295">
        <f t="shared" si="189"/>
        <v>0</v>
      </c>
      <c r="AB245" s="462">
        <f t="shared" si="174"/>
        <v>0</v>
      </c>
      <c r="AC245" s="472">
        <v>4216</v>
      </c>
      <c r="AD245" s="295">
        <f t="shared" si="189"/>
        <v>4216</v>
      </c>
      <c r="AE245" s="295">
        <f t="shared" si="189"/>
        <v>4216</v>
      </c>
      <c r="AF245" s="295">
        <f t="shared" si="189"/>
        <v>4216</v>
      </c>
      <c r="AG245" s="295">
        <f t="shared" si="189"/>
        <v>4216</v>
      </c>
      <c r="AH245" s="295">
        <f t="shared" si="189"/>
        <v>4216</v>
      </c>
      <c r="AI245" s="295">
        <f t="shared" si="189"/>
        <v>4216</v>
      </c>
      <c r="AJ245" s="295">
        <f t="shared" si="189"/>
        <v>4216</v>
      </c>
      <c r="AK245" s="295">
        <f t="shared" si="189"/>
        <v>4216</v>
      </c>
      <c r="AL245" s="295">
        <f t="shared" si="189"/>
        <v>4216</v>
      </c>
      <c r="AM245" s="295">
        <f t="shared" si="189"/>
        <v>4216</v>
      </c>
      <c r="AN245" s="295">
        <f t="shared" si="189"/>
        <v>4216</v>
      </c>
      <c r="AO245" s="463">
        <f t="shared" si="171"/>
        <v>4216</v>
      </c>
      <c r="AQ245" s="423"/>
      <c r="AR245" s="423"/>
      <c r="AS245" s="423"/>
      <c r="AT245" s="423"/>
      <c r="AU245" s="423"/>
      <c r="AV245" s="423"/>
      <c r="AW245" s="423"/>
      <c r="AX245" s="423"/>
      <c r="AY245" s="423"/>
      <c r="AZ245" s="423"/>
      <c r="BA245" s="423"/>
      <c r="BB245" s="423"/>
      <c r="BC245" s="423"/>
      <c r="BD245" s="423"/>
      <c r="BE245" s="423"/>
      <c r="BF245" s="423"/>
      <c r="BG245" s="423"/>
      <c r="BH245" s="423"/>
      <c r="BI245" s="423"/>
      <c r="BJ245" s="423"/>
      <c r="BK245" s="423"/>
      <c r="BL245" s="423"/>
      <c r="BM245" s="423"/>
      <c r="BN245" s="423"/>
      <c r="BO245" s="423"/>
      <c r="BP245" s="423"/>
      <c r="BQ245" s="423"/>
      <c r="BR245" s="423"/>
      <c r="BS245" s="423"/>
      <c r="BT245" s="423"/>
      <c r="BU245" s="423"/>
      <c r="BV245" s="423"/>
      <c r="BW245" s="423"/>
      <c r="BX245" s="423"/>
      <c r="BY245" s="423"/>
      <c r="BZ245" s="423"/>
      <c r="CA245" s="423"/>
      <c r="CB245" s="423"/>
      <c r="CC245" s="423"/>
    </row>
    <row r="246" spans="2:81">
      <c r="B246" s="420" t="s">
        <v>199</v>
      </c>
      <c r="C246" s="104"/>
      <c r="D246" s="295">
        <f t="shared" ref="D246:AN246" si="190">C246</f>
        <v>0</v>
      </c>
      <c r="E246" s="295">
        <f t="shared" si="190"/>
        <v>0</v>
      </c>
      <c r="F246" s="295">
        <f t="shared" si="190"/>
        <v>0</v>
      </c>
      <c r="G246" s="295">
        <f t="shared" si="190"/>
        <v>0</v>
      </c>
      <c r="H246" s="295">
        <f t="shared" si="190"/>
        <v>0</v>
      </c>
      <c r="I246" s="295">
        <f t="shared" si="190"/>
        <v>0</v>
      </c>
      <c r="J246" s="295">
        <f t="shared" si="190"/>
        <v>0</v>
      </c>
      <c r="K246" s="295">
        <f t="shared" si="190"/>
        <v>0</v>
      </c>
      <c r="L246" s="295">
        <f t="shared" si="190"/>
        <v>0</v>
      </c>
      <c r="M246" s="295">
        <f t="shared" si="190"/>
        <v>0</v>
      </c>
      <c r="N246" s="295">
        <f t="shared" si="190"/>
        <v>0</v>
      </c>
      <c r="O246" s="462">
        <f t="shared" si="172"/>
        <v>0</v>
      </c>
      <c r="P246" s="463">
        <f t="shared" si="173"/>
        <v>0</v>
      </c>
      <c r="Q246" s="295">
        <f t="shared" si="190"/>
        <v>0</v>
      </c>
      <c r="R246" s="295">
        <f t="shared" si="190"/>
        <v>0</v>
      </c>
      <c r="S246" s="295">
        <f t="shared" si="190"/>
        <v>0</v>
      </c>
      <c r="T246" s="295">
        <f t="shared" si="190"/>
        <v>0</v>
      </c>
      <c r="U246" s="295">
        <f t="shared" si="190"/>
        <v>0</v>
      </c>
      <c r="V246" s="295">
        <f t="shared" si="190"/>
        <v>0</v>
      </c>
      <c r="W246" s="295">
        <f t="shared" si="190"/>
        <v>0</v>
      </c>
      <c r="X246" s="295">
        <f t="shared" si="190"/>
        <v>0</v>
      </c>
      <c r="Y246" s="295">
        <f t="shared" si="190"/>
        <v>0</v>
      </c>
      <c r="Z246" s="295">
        <f t="shared" si="190"/>
        <v>0</v>
      </c>
      <c r="AA246" s="295">
        <f t="shared" si="190"/>
        <v>0</v>
      </c>
      <c r="AB246" s="462">
        <f t="shared" si="174"/>
        <v>0</v>
      </c>
      <c r="AC246" s="463">
        <f t="shared" si="175"/>
        <v>0</v>
      </c>
      <c r="AD246" s="295">
        <f t="shared" si="190"/>
        <v>0</v>
      </c>
      <c r="AE246" s="295">
        <f t="shared" si="190"/>
        <v>0</v>
      </c>
      <c r="AF246" s="295">
        <f t="shared" si="190"/>
        <v>0</v>
      </c>
      <c r="AG246" s="295">
        <f t="shared" si="190"/>
        <v>0</v>
      </c>
      <c r="AH246" s="295">
        <f t="shared" si="190"/>
        <v>0</v>
      </c>
      <c r="AI246" s="295">
        <f t="shared" si="190"/>
        <v>0</v>
      </c>
      <c r="AJ246" s="295">
        <f t="shared" si="190"/>
        <v>0</v>
      </c>
      <c r="AK246" s="295">
        <f t="shared" si="190"/>
        <v>0</v>
      </c>
      <c r="AL246" s="295">
        <f t="shared" si="190"/>
        <v>0</v>
      </c>
      <c r="AM246" s="295">
        <f t="shared" si="190"/>
        <v>0</v>
      </c>
      <c r="AN246" s="295">
        <f t="shared" si="190"/>
        <v>0</v>
      </c>
      <c r="AO246" s="463">
        <f t="shared" si="171"/>
        <v>0</v>
      </c>
      <c r="AQ246" s="423"/>
      <c r="AR246" s="423"/>
      <c r="AS246" s="423"/>
      <c r="AT246" s="423"/>
      <c r="AU246" s="423"/>
      <c r="AV246" s="423"/>
      <c r="AW246" s="423"/>
      <c r="AX246" s="423"/>
      <c r="AY246" s="423"/>
      <c r="AZ246" s="423"/>
      <c r="BA246" s="423"/>
      <c r="BB246" s="423"/>
      <c r="BC246" s="423"/>
      <c r="BD246" s="423"/>
      <c r="BE246" s="423"/>
      <c r="BF246" s="423"/>
      <c r="BG246" s="423"/>
      <c r="BH246" s="423"/>
      <c r="BI246" s="423"/>
      <c r="BJ246" s="423"/>
      <c r="BK246" s="423"/>
      <c r="BL246" s="423"/>
      <c r="BM246" s="423"/>
      <c r="BN246" s="423"/>
      <c r="BO246" s="423"/>
      <c r="BP246" s="423"/>
      <c r="BQ246" s="423"/>
      <c r="BR246" s="423"/>
      <c r="BS246" s="423"/>
      <c r="BT246" s="423"/>
      <c r="BU246" s="423"/>
      <c r="BV246" s="423"/>
      <c r="BW246" s="423"/>
      <c r="BX246" s="423"/>
      <c r="BY246" s="423"/>
      <c r="BZ246" s="423"/>
      <c r="CA246" s="423"/>
      <c r="CB246" s="423"/>
      <c r="CC246" s="423"/>
    </row>
    <row r="247" spans="2:81">
      <c r="B247" s="420" t="s">
        <v>200</v>
      </c>
      <c r="C247" s="104"/>
      <c r="D247" s="295">
        <f t="shared" ref="D247:AO249" si="191">C247</f>
        <v>0</v>
      </c>
      <c r="E247" s="295">
        <f t="shared" si="191"/>
        <v>0</v>
      </c>
      <c r="F247" s="295">
        <f t="shared" si="191"/>
        <v>0</v>
      </c>
      <c r="G247" s="295">
        <f t="shared" si="191"/>
        <v>0</v>
      </c>
      <c r="H247" s="295">
        <f t="shared" si="191"/>
        <v>0</v>
      </c>
      <c r="I247" s="295">
        <f t="shared" si="191"/>
        <v>0</v>
      </c>
      <c r="J247" s="295">
        <f t="shared" si="191"/>
        <v>0</v>
      </c>
      <c r="K247" s="295">
        <f t="shared" si="191"/>
        <v>0</v>
      </c>
      <c r="L247" s="295">
        <f t="shared" si="191"/>
        <v>0</v>
      </c>
      <c r="M247" s="295">
        <f t="shared" si="191"/>
        <v>0</v>
      </c>
      <c r="N247" s="295">
        <f t="shared" si="191"/>
        <v>0</v>
      </c>
      <c r="O247" s="462">
        <f t="shared" si="172"/>
        <v>0</v>
      </c>
      <c r="P247" s="463">
        <f t="shared" si="173"/>
        <v>0</v>
      </c>
      <c r="Q247" s="295">
        <f t="shared" si="191"/>
        <v>0</v>
      </c>
      <c r="R247" s="295">
        <f t="shared" si="191"/>
        <v>0</v>
      </c>
      <c r="S247" s="295">
        <f t="shared" si="191"/>
        <v>0</v>
      </c>
      <c r="T247" s="295">
        <f t="shared" si="191"/>
        <v>0</v>
      </c>
      <c r="U247" s="295">
        <f t="shared" si="191"/>
        <v>0</v>
      </c>
      <c r="V247" s="295">
        <f t="shared" si="191"/>
        <v>0</v>
      </c>
      <c r="W247" s="295">
        <f t="shared" si="191"/>
        <v>0</v>
      </c>
      <c r="X247" s="295">
        <f t="shared" si="191"/>
        <v>0</v>
      </c>
      <c r="Y247" s="295">
        <f t="shared" si="191"/>
        <v>0</v>
      </c>
      <c r="Z247" s="295">
        <f t="shared" si="191"/>
        <v>0</v>
      </c>
      <c r="AA247" s="295">
        <f t="shared" si="191"/>
        <v>0</v>
      </c>
      <c r="AB247" s="462">
        <f t="shared" si="174"/>
        <v>0</v>
      </c>
      <c r="AC247" s="463">
        <f t="shared" si="175"/>
        <v>0</v>
      </c>
      <c r="AD247" s="295">
        <f t="shared" si="191"/>
        <v>0</v>
      </c>
      <c r="AE247" s="295">
        <f t="shared" si="191"/>
        <v>0</v>
      </c>
      <c r="AF247" s="295">
        <f t="shared" si="191"/>
        <v>0</v>
      </c>
      <c r="AG247" s="295">
        <f t="shared" si="191"/>
        <v>0</v>
      </c>
      <c r="AH247" s="295">
        <f t="shared" si="191"/>
        <v>0</v>
      </c>
      <c r="AI247" s="295">
        <f t="shared" si="191"/>
        <v>0</v>
      </c>
      <c r="AJ247" s="295">
        <f t="shared" si="191"/>
        <v>0</v>
      </c>
      <c r="AK247" s="295">
        <f t="shared" si="191"/>
        <v>0</v>
      </c>
      <c r="AL247" s="295">
        <f t="shared" si="191"/>
        <v>0</v>
      </c>
      <c r="AM247" s="295">
        <f t="shared" si="191"/>
        <v>0</v>
      </c>
      <c r="AN247" s="295">
        <f t="shared" si="191"/>
        <v>0</v>
      </c>
      <c r="AO247" s="463">
        <f t="shared" si="191"/>
        <v>0</v>
      </c>
      <c r="AQ247" s="423"/>
      <c r="AR247" s="423"/>
      <c r="AS247" s="423"/>
      <c r="AT247" s="423"/>
      <c r="AU247" s="423"/>
      <c r="AV247" s="423"/>
      <c r="AW247" s="423"/>
      <c r="AX247" s="423"/>
      <c r="AY247" s="423"/>
      <c r="AZ247" s="423"/>
      <c r="BA247" s="423"/>
      <c r="BB247" s="423"/>
      <c r="BC247" s="423"/>
      <c r="BD247" s="423"/>
      <c r="BE247" s="423"/>
      <c r="BF247" s="423"/>
      <c r="BG247" s="423"/>
      <c r="BH247" s="423"/>
      <c r="BI247" s="423"/>
      <c r="BJ247" s="423"/>
      <c r="BK247" s="423"/>
      <c r="BL247" s="423"/>
      <c r="BM247" s="423"/>
      <c r="BN247" s="423"/>
      <c r="BO247" s="423"/>
      <c r="BP247" s="423"/>
      <c r="BQ247" s="423"/>
      <c r="BR247" s="423"/>
      <c r="BS247" s="423"/>
      <c r="BT247" s="423"/>
      <c r="BU247" s="423"/>
      <c r="BV247" s="423"/>
      <c r="BW247" s="423"/>
      <c r="BX247" s="423"/>
      <c r="BY247" s="423"/>
      <c r="BZ247" s="423"/>
      <c r="CA247" s="423"/>
      <c r="CB247" s="423"/>
      <c r="CC247" s="423"/>
    </row>
    <row r="248" spans="2:81">
      <c r="B248" s="420" t="s">
        <v>201</v>
      </c>
      <c r="C248" s="104"/>
      <c r="D248" s="295">
        <f t="shared" ref="D248:AN248" si="192">C248</f>
        <v>0</v>
      </c>
      <c r="E248" s="295">
        <f t="shared" si="192"/>
        <v>0</v>
      </c>
      <c r="F248" s="295">
        <f t="shared" si="192"/>
        <v>0</v>
      </c>
      <c r="G248" s="295">
        <f t="shared" si="192"/>
        <v>0</v>
      </c>
      <c r="H248" s="295">
        <f t="shared" si="192"/>
        <v>0</v>
      </c>
      <c r="I248" s="295">
        <f t="shared" si="192"/>
        <v>0</v>
      </c>
      <c r="J248" s="295">
        <f t="shared" si="192"/>
        <v>0</v>
      </c>
      <c r="K248" s="295">
        <f t="shared" si="192"/>
        <v>0</v>
      </c>
      <c r="L248" s="295">
        <f t="shared" si="192"/>
        <v>0</v>
      </c>
      <c r="M248" s="295">
        <f t="shared" si="192"/>
        <v>0</v>
      </c>
      <c r="N248" s="295">
        <f t="shared" si="192"/>
        <v>0</v>
      </c>
      <c r="O248" s="462">
        <f t="shared" si="172"/>
        <v>0</v>
      </c>
      <c r="P248" s="463">
        <f t="shared" si="173"/>
        <v>0</v>
      </c>
      <c r="Q248" s="295">
        <f t="shared" si="192"/>
        <v>0</v>
      </c>
      <c r="R248" s="295">
        <f t="shared" si="192"/>
        <v>0</v>
      </c>
      <c r="S248" s="295">
        <f t="shared" si="192"/>
        <v>0</v>
      </c>
      <c r="T248" s="295">
        <f t="shared" si="192"/>
        <v>0</v>
      </c>
      <c r="U248" s="295">
        <f t="shared" si="192"/>
        <v>0</v>
      </c>
      <c r="V248" s="295">
        <f t="shared" si="192"/>
        <v>0</v>
      </c>
      <c r="W248" s="295">
        <f t="shared" si="192"/>
        <v>0</v>
      </c>
      <c r="X248" s="295">
        <f t="shared" si="192"/>
        <v>0</v>
      </c>
      <c r="Y248" s="295">
        <f t="shared" si="192"/>
        <v>0</v>
      </c>
      <c r="Z248" s="295">
        <f t="shared" si="192"/>
        <v>0</v>
      </c>
      <c r="AA248" s="295">
        <f t="shared" si="192"/>
        <v>0</v>
      </c>
      <c r="AB248" s="462">
        <f t="shared" si="174"/>
        <v>0</v>
      </c>
      <c r="AC248" s="472">
        <v>3708</v>
      </c>
      <c r="AD248" s="295">
        <f t="shared" si="192"/>
        <v>3708</v>
      </c>
      <c r="AE248" s="295">
        <f t="shared" si="192"/>
        <v>3708</v>
      </c>
      <c r="AF248" s="295">
        <f t="shared" si="192"/>
        <v>3708</v>
      </c>
      <c r="AG248" s="295">
        <f t="shared" si="192"/>
        <v>3708</v>
      </c>
      <c r="AH248" s="295">
        <f t="shared" si="192"/>
        <v>3708</v>
      </c>
      <c r="AI248" s="295">
        <f t="shared" si="192"/>
        <v>3708</v>
      </c>
      <c r="AJ248" s="295">
        <f t="shared" si="192"/>
        <v>3708</v>
      </c>
      <c r="AK248" s="295">
        <f t="shared" si="192"/>
        <v>3708</v>
      </c>
      <c r="AL248" s="295">
        <f t="shared" si="192"/>
        <v>3708</v>
      </c>
      <c r="AM248" s="295">
        <f t="shared" si="192"/>
        <v>3708</v>
      </c>
      <c r="AN248" s="295">
        <f t="shared" si="192"/>
        <v>3708</v>
      </c>
      <c r="AO248" s="463">
        <f t="shared" si="191"/>
        <v>3708</v>
      </c>
      <c r="AQ248" s="423"/>
      <c r="AR248" s="423"/>
      <c r="AS248" s="423"/>
      <c r="AT248" s="423"/>
      <c r="AU248" s="423"/>
      <c r="AV248" s="423"/>
      <c r="AW248" s="423"/>
      <c r="AX248" s="423"/>
      <c r="AY248" s="423"/>
      <c r="AZ248" s="423"/>
      <c r="BA248" s="423"/>
      <c r="BB248" s="423"/>
      <c r="BC248" s="423"/>
      <c r="BD248" s="423"/>
      <c r="BE248" s="423"/>
      <c r="BF248" s="423"/>
      <c r="BG248" s="423"/>
      <c r="BH248" s="423"/>
      <c r="BI248" s="423"/>
      <c r="BJ248" s="423"/>
      <c r="BK248" s="423"/>
      <c r="BL248" s="423"/>
      <c r="BM248" s="423"/>
      <c r="BN248" s="423"/>
      <c r="BO248" s="423"/>
      <c r="BP248" s="423"/>
      <c r="BQ248" s="423"/>
      <c r="BR248" s="423"/>
      <c r="BS248" s="423"/>
      <c r="BT248" s="423"/>
      <c r="BU248" s="423"/>
      <c r="BV248" s="423"/>
      <c r="BW248" s="423"/>
      <c r="BX248" s="423"/>
      <c r="BY248" s="423"/>
      <c r="BZ248" s="423"/>
      <c r="CA248" s="423"/>
      <c r="CB248" s="423"/>
      <c r="CC248" s="423"/>
    </row>
    <row r="249" spans="2:81">
      <c r="B249" s="420" t="s">
        <v>202</v>
      </c>
      <c r="C249" s="104"/>
      <c r="D249" s="295">
        <f t="shared" ref="D249:AN249" si="193">C249</f>
        <v>0</v>
      </c>
      <c r="E249" s="295">
        <f t="shared" si="193"/>
        <v>0</v>
      </c>
      <c r="F249" s="295">
        <f t="shared" si="193"/>
        <v>0</v>
      </c>
      <c r="G249" s="295">
        <f t="shared" si="193"/>
        <v>0</v>
      </c>
      <c r="H249" s="295">
        <f t="shared" si="193"/>
        <v>0</v>
      </c>
      <c r="I249" s="295">
        <f t="shared" si="193"/>
        <v>0</v>
      </c>
      <c r="J249" s="295">
        <f t="shared" si="193"/>
        <v>0</v>
      </c>
      <c r="K249" s="295">
        <f t="shared" si="193"/>
        <v>0</v>
      </c>
      <c r="L249" s="295">
        <f t="shared" si="193"/>
        <v>0</v>
      </c>
      <c r="M249" s="295">
        <f t="shared" si="193"/>
        <v>0</v>
      </c>
      <c r="N249" s="295">
        <f t="shared" si="193"/>
        <v>0</v>
      </c>
      <c r="O249" s="462">
        <f t="shared" si="172"/>
        <v>0</v>
      </c>
      <c r="P249" s="463">
        <f t="shared" si="173"/>
        <v>0</v>
      </c>
      <c r="Q249" s="295">
        <f t="shared" si="193"/>
        <v>0</v>
      </c>
      <c r="R249" s="295">
        <f t="shared" si="193"/>
        <v>0</v>
      </c>
      <c r="S249" s="295">
        <f t="shared" si="193"/>
        <v>0</v>
      </c>
      <c r="T249" s="295">
        <f t="shared" si="193"/>
        <v>0</v>
      </c>
      <c r="U249" s="295">
        <f t="shared" si="193"/>
        <v>0</v>
      </c>
      <c r="V249" s="295">
        <f t="shared" si="193"/>
        <v>0</v>
      </c>
      <c r="W249" s="295">
        <f t="shared" si="193"/>
        <v>0</v>
      </c>
      <c r="X249" s="295">
        <f t="shared" si="193"/>
        <v>0</v>
      </c>
      <c r="Y249" s="295">
        <f t="shared" si="193"/>
        <v>0</v>
      </c>
      <c r="Z249" s="295">
        <f t="shared" si="193"/>
        <v>0</v>
      </c>
      <c r="AA249" s="295">
        <f t="shared" si="193"/>
        <v>0</v>
      </c>
      <c r="AB249" s="462">
        <f t="shared" si="174"/>
        <v>0</v>
      </c>
      <c r="AC249" s="463">
        <f t="shared" si="175"/>
        <v>0</v>
      </c>
      <c r="AD249" s="295">
        <f t="shared" si="193"/>
        <v>0</v>
      </c>
      <c r="AE249" s="295">
        <f t="shared" si="193"/>
        <v>0</v>
      </c>
      <c r="AF249" s="295">
        <f t="shared" si="193"/>
        <v>0</v>
      </c>
      <c r="AG249" s="295">
        <f t="shared" si="193"/>
        <v>0</v>
      </c>
      <c r="AH249" s="295">
        <f t="shared" si="193"/>
        <v>0</v>
      </c>
      <c r="AI249" s="295">
        <f t="shared" si="193"/>
        <v>0</v>
      </c>
      <c r="AJ249" s="295">
        <f t="shared" si="193"/>
        <v>0</v>
      </c>
      <c r="AK249" s="295">
        <f t="shared" si="193"/>
        <v>0</v>
      </c>
      <c r="AL249" s="295">
        <f t="shared" si="193"/>
        <v>0</v>
      </c>
      <c r="AM249" s="295">
        <f t="shared" si="193"/>
        <v>0</v>
      </c>
      <c r="AN249" s="295">
        <f t="shared" si="193"/>
        <v>0</v>
      </c>
      <c r="AO249" s="463">
        <f t="shared" si="191"/>
        <v>0</v>
      </c>
      <c r="AQ249" s="423"/>
      <c r="AR249" s="423"/>
      <c r="AS249" s="423"/>
      <c r="AT249" s="423"/>
      <c r="AU249" s="423"/>
      <c r="AV249" s="423"/>
      <c r="AW249" s="423"/>
      <c r="AX249" s="423"/>
      <c r="AY249" s="423"/>
      <c r="AZ249" s="423"/>
      <c r="BA249" s="423"/>
      <c r="BB249" s="423"/>
      <c r="BC249" s="423"/>
      <c r="BD249" s="423"/>
      <c r="BE249" s="423"/>
      <c r="BF249" s="423"/>
      <c r="BG249" s="423"/>
      <c r="BH249" s="423"/>
      <c r="BI249" s="423"/>
      <c r="BJ249" s="423"/>
      <c r="BK249" s="423"/>
      <c r="BL249" s="423"/>
      <c r="BM249" s="423"/>
      <c r="BN249" s="423"/>
      <c r="BO249" s="423"/>
      <c r="BP249" s="423"/>
      <c r="BQ249" s="423"/>
      <c r="BR249" s="423"/>
      <c r="BS249" s="423"/>
      <c r="BT249" s="423"/>
      <c r="BU249" s="423"/>
      <c r="BV249" s="423"/>
      <c r="BW249" s="423"/>
      <c r="BX249" s="423"/>
      <c r="BY249" s="423"/>
      <c r="BZ249" s="423"/>
      <c r="CA249" s="423"/>
      <c r="CB249" s="423"/>
      <c r="CC249" s="423"/>
    </row>
    <row r="250" spans="2:81"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  <c r="AA250" s="104"/>
      <c r="AB250" s="104"/>
      <c r="AC250" s="104"/>
      <c r="AD250" s="104"/>
      <c r="AE250" s="104"/>
      <c r="AF250" s="104"/>
      <c r="AG250" s="104"/>
      <c r="AH250" s="104"/>
      <c r="AI250" s="104"/>
      <c r="AJ250" s="104"/>
      <c r="AK250" s="104"/>
      <c r="AL250" s="104"/>
      <c r="AM250" s="104"/>
      <c r="AN250" s="104"/>
      <c r="AO250" s="104"/>
      <c r="AQ250" s="423"/>
      <c r="AR250" s="423"/>
      <c r="AS250" s="423"/>
      <c r="AT250" s="423"/>
      <c r="AU250" s="423"/>
      <c r="AV250" s="423"/>
      <c r="AW250" s="423"/>
      <c r="AX250" s="423"/>
      <c r="AY250" s="423"/>
      <c r="AZ250" s="423"/>
      <c r="BA250" s="423"/>
      <c r="BB250" s="423"/>
      <c r="BC250" s="423"/>
      <c r="BD250" s="423"/>
      <c r="BE250" s="423"/>
      <c r="BF250" s="423"/>
      <c r="BG250" s="423"/>
      <c r="BH250" s="423"/>
      <c r="BI250" s="423"/>
      <c r="BJ250" s="423"/>
      <c r="BK250" s="423"/>
      <c r="BL250" s="423"/>
      <c r="BM250" s="423"/>
      <c r="BN250" s="423"/>
      <c r="BO250" s="423"/>
      <c r="BP250" s="423"/>
      <c r="BQ250" s="423"/>
      <c r="BR250" s="423"/>
      <c r="BS250" s="423"/>
      <c r="BT250" s="423"/>
      <c r="BU250" s="423"/>
      <c r="BV250" s="423"/>
      <c r="BW250" s="423"/>
      <c r="BX250" s="423"/>
      <c r="BY250" s="423"/>
      <c r="BZ250" s="423"/>
      <c r="CA250" s="423"/>
      <c r="CB250" s="423"/>
      <c r="CC250" s="423"/>
    </row>
    <row r="251" spans="2:81"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  <c r="AA251" s="104"/>
      <c r="AB251" s="104"/>
      <c r="AC251" s="104"/>
      <c r="AD251" s="104"/>
      <c r="AE251" s="104"/>
      <c r="AF251" s="104"/>
      <c r="AG251" s="104"/>
      <c r="AH251" s="104"/>
      <c r="AI251" s="104"/>
      <c r="AJ251" s="104"/>
      <c r="AK251" s="104"/>
      <c r="AL251" s="104"/>
      <c r="AM251" s="104"/>
      <c r="AN251" s="104"/>
      <c r="AO251" s="104"/>
      <c r="AQ251" s="423"/>
      <c r="AR251" s="423"/>
      <c r="AS251" s="423"/>
      <c r="AT251" s="423"/>
      <c r="AU251" s="423"/>
      <c r="AV251" s="423"/>
      <c r="AW251" s="423"/>
      <c r="AX251" s="423"/>
      <c r="AY251" s="423"/>
      <c r="AZ251" s="423"/>
      <c r="BA251" s="423"/>
      <c r="BB251" s="423"/>
      <c r="BC251" s="423"/>
      <c r="BD251" s="423"/>
      <c r="BE251" s="423"/>
      <c r="BF251" s="423"/>
      <c r="BG251" s="423"/>
      <c r="BH251" s="423"/>
      <c r="BI251" s="423"/>
      <c r="BJ251" s="423"/>
      <c r="BK251" s="423"/>
      <c r="BL251" s="423"/>
      <c r="BM251" s="423"/>
      <c r="BN251" s="423"/>
      <c r="BO251" s="423"/>
      <c r="BP251" s="423"/>
      <c r="BQ251" s="423"/>
      <c r="BR251" s="423"/>
      <c r="BS251" s="423"/>
      <c r="BT251" s="423"/>
      <c r="BU251" s="423"/>
      <c r="BV251" s="423"/>
      <c r="BW251" s="423"/>
      <c r="BX251" s="423"/>
      <c r="BY251" s="423"/>
      <c r="BZ251" s="423"/>
      <c r="CA251" s="423"/>
      <c r="CB251" s="423"/>
      <c r="CC251" s="423"/>
    </row>
    <row r="252" spans="2:81"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  <c r="AA252" s="104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Q252" s="423"/>
      <c r="AR252" s="423"/>
      <c r="AS252" s="423"/>
      <c r="AT252" s="423"/>
      <c r="AU252" s="423"/>
      <c r="AV252" s="423"/>
      <c r="AW252" s="423"/>
      <c r="AX252" s="423"/>
      <c r="AY252" s="423"/>
      <c r="AZ252" s="423"/>
      <c r="BA252" s="423"/>
      <c r="BB252" s="423"/>
      <c r="BC252" s="423"/>
      <c r="BD252" s="423"/>
      <c r="BE252" s="423"/>
      <c r="BF252" s="423"/>
      <c r="BG252" s="423"/>
      <c r="BH252" s="423"/>
      <c r="BI252" s="423"/>
      <c r="BJ252" s="423"/>
      <c r="BK252" s="423"/>
      <c r="BL252" s="423"/>
      <c r="BM252" s="423"/>
      <c r="BN252" s="423"/>
      <c r="BO252" s="423"/>
      <c r="BP252" s="423"/>
      <c r="BQ252" s="423"/>
      <c r="BR252" s="423"/>
      <c r="BS252" s="423"/>
      <c r="BT252" s="423"/>
      <c r="BU252" s="423"/>
      <c r="BV252" s="423"/>
      <c r="BW252" s="423"/>
      <c r="BX252" s="423"/>
      <c r="BY252" s="423"/>
      <c r="BZ252" s="423"/>
      <c r="CA252" s="423"/>
      <c r="CB252" s="423"/>
      <c r="CC252" s="423"/>
    </row>
    <row r="253" spans="2:81"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  <c r="AA253" s="104"/>
      <c r="AB253" s="104"/>
      <c r="AC253" s="104"/>
      <c r="AD253" s="104"/>
      <c r="AE253" s="104"/>
      <c r="AF253" s="104"/>
      <c r="AG253" s="104"/>
      <c r="AH253" s="104"/>
      <c r="AI253" s="104"/>
      <c r="AJ253" s="104"/>
      <c r="AK253" s="104"/>
      <c r="AL253" s="104"/>
      <c r="AM253" s="104"/>
      <c r="AN253" s="104"/>
      <c r="AO253" s="104"/>
      <c r="AQ253" s="423"/>
      <c r="AR253" s="423"/>
      <c r="AS253" s="423"/>
      <c r="AT253" s="423"/>
      <c r="AU253" s="423"/>
      <c r="AV253" s="423"/>
      <c r="AW253" s="423"/>
      <c r="AX253" s="423"/>
      <c r="AY253" s="423"/>
      <c r="AZ253" s="423"/>
      <c r="BA253" s="423"/>
      <c r="BB253" s="423"/>
      <c r="BC253" s="423"/>
      <c r="BD253" s="423"/>
      <c r="BE253" s="423"/>
      <c r="BF253" s="423"/>
      <c r="BG253" s="423"/>
      <c r="BH253" s="423"/>
      <c r="BI253" s="423"/>
      <c r="BJ253" s="423"/>
      <c r="BK253" s="423"/>
      <c r="BL253" s="423"/>
      <c r="BM253" s="423"/>
      <c r="BN253" s="423"/>
      <c r="BO253" s="423"/>
      <c r="BP253" s="423"/>
      <c r="BQ253" s="423"/>
      <c r="BR253" s="423"/>
      <c r="BS253" s="423"/>
      <c r="BT253" s="423"/>
      <c r="BU253" s="423"/>
      <c r="BV253" s="423"/>
      <c r="BW253" s="423"/>
      <c r="BX253" s="423"/>
      <c r="BY253" s="423"/>
      <c r="BZ253" s="423"/>
      <c r="CA253" s="423"/>
      <c r="CB253" s="423"/>
      <c r="CC253" s="423"/>
    </row>
    <row r="254" spans="2:81"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  <c r="AA254" s="104"/>
      <c r="AB254" s="104"/>
      <c r="AC254" s="104"/>
      <c r="AD254" s="104"/>
      <c r="AE254" s="104"/>
      <c r="AF254" s="104"/>
      <c r="AG254" s="104"/>
      <c r="AH254" s="104"/>
      <c r="AI254" s="104"/>
      <c r="AJ254" s="104"/>
      <c r="AK254" s="104"/>
      <c r="AL254" s="104"/>
      <c r="AM254" s="104"/>
      <c r="AN254" s="104"/>
      <c r="AO254" s="104"/>
      <c r="AQ254" s="423"/>
      <c r="AR254" s="423"/>
      <c r="AS254" s="423"/>
      <c r="AT254" s="423"/>
      <c r="AU254" s="423"/>
      <c r="AV254" s="423"/>
      <c r="AW254" s="423"/>
      <c r="AX254" s="423"/>
      <c r="AY254" s="423"/>
      <c r="AZ254" s="423"/>
      <c r="BA254" s="423"/>
      <c r="BB254" s="423"/>
      <c r="BC254" s="423"/>
      <c r="BD254" s="423"/>
      <c r="BE254" s="423"/>
      <c r="BF254" s="423"/>
      <c r="BG254" s="423"/>
      <c r="BH254" s="423"/>
      <c r="BI254" s="423"/>
      <c r="BJ254" s="423"/>
      <c r="BK254" s="423"/>
      <c r="BL254" s="423"/>
      <c r="BM254" s="423"/>
      <c r="BN254" s="423"/>
      <c r="BO254" s="423"/>
      <c r="BP254" s="423"/>
      <c r="BQ254" s="423"/>
      <c r="BR254" s="423"/>
      <c r="BS254" s="423"/>
      <c r="BT254" s="423"/>
      <c r="BU254" s="423"/>
      <c r="BV254" s="423"/>
      <c r="BW254" s="423"/>
      <c r="BX254" s="423"/>
      <c r="BY254" s="423"/>
      <c r="BZ254" s="423"/>
      <c r="CA254" s="423"/>
      <c r="CB254" s="423"/>
      <c r="CC254" s="423"/>
    </row>
    <row r="255" spans="2:81"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  <c r="AA255" s="104"/>
      <c r="AB255" s="104"/>
      <c r="AC255" s="104"/>
      <c r="AD255" s="104"/>
      <c r="AE255" s="104"/>
      <c r="AF255" s="104"/>
      <c r="AG255" s="104"/>
      <c r="AH255" s="104"/>
      <c r="AI255" s="104"/>
      <c r="AJ255" s="104"/>
      <c r="AK255" s="104"/>
      <c r="AL255" s="104"/>
      <c r="AM255" s="104"/>
      <c r="AN255" s="104"/>
      <c r="AO255" s="104"/>
      <c r="AQ255" s="423"/>
      <c r="AR255" s="423"/>
      <c r="AS255" s="423"/>
      <c r="AT255" s="423"/>
      <c r="AU255" s="423"/>
      <c r="AV255" s="423"/>
      <c r="AW255" s="423"/>
      <c r="AX255" s="423"/>
      <c r="AY255" s="423"/>
      <c r="AZ255" s="423"/>
      <c r="BA255" s="423"/>
      <c r="BB255" s="423"/>
      <c r="BC255" s="423"/>
      <c r="BD255" s="423"/>
      <c r="BE255" s="423"/>
      <c r="BF255" s="423"/>
      <c r="BG255" s="423"/>
      <c r="BH255" s="423"/>
      <c r="BI255" s="423"/>
      <c r="BJ255" s="423"/>
      <c r="BK255" s="423"/>
      <c r="BL255" s="423"/>
      <c r="BM255" s="423"/>
      <c r="BN255" s="423"/>
      <c r="BO255" s="423"/>
      <c r="BP255" s="423"/>
      <c r="BQ255" s="423"/>
      <c r="BR255" s="423"/>
      <c r="BS255" s="423"/>
      <c r="BT255" s="423"/>
      <c r="BU255" s="423"/>
      <c r="BV255" s="423"/>
      <c r="BW255" s="423"/>
      <c r="BX255" s="423"/>
      <c r="BY255" s="423"/>
      <c r="BZ255" s="423"/>
      <c r="CA255" s="423"/>
      <c r="CB255" s="423"/>
      <c r="CC255" s="423"/>
    </row>
    <row r="256" spans="2:81"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  <c r="AA256" s="104"/>
      <c r="AB256" s="104"/>
      <c r="AC256" s="104"/>
      <c r="AD256" s="104"/>
      <c r="AE256" s="104"/>
      <c r="AF256" s="104"/>
      <c r="AG256" s="104"/>
      <c r="AH256" s="104"/>
      <c r="AI256" s="104"/>
      <c r="AJ256" s="104"/>
      <c r="AK256" s="104"/>
      <c r="AL256" s="104"/>
      <c r="AM256" s="104"/>
      <c r="AN256" s="104"/>
      <c r="AO256" s="104"/>
      <c r="AQ256" s="423"/>
      <c r="AR256" s="423"/>
      <c r="AS256" s="423"/>
      <c r="AT256" s="423"/>
      <c r="AU256" s="423"/>
      <c r="AV256" s="423"/>
      <c r="AW256" s="423"/>
      <c r="AX256" s="423"/>
      <c r="AY256" s="423"/>
      <c r="AZ256" s="423"/>
      <c r="BA256" s="423"/>
      <c r="BB256" s="423"/>
      <c r="BC256" s="423"/>
      <c r="BD256" s="423"/>
      <c r="BE256" s="423"/>
      <c r="BF256" s="423"/>
      <c r="BG256" s="423"/>
      <c r="BH256" s="423"/>
      <c r="BI256" s="423"/>
      <c r="BJ256" s="423"/>
      <c r="BK256" s="423"/>
      <c r="BL256" s="423"/>
      <c r="BM256" s="423"/>
      <c r="BN256" s="423"/>
      <c r="BO256" s="423"/>
      <c r="BP256" s="423"/>
      <c r="BQ256" s="423"/>
      <c r="BR256" s="423"/>
      <c r="BS256" s="423"/>
      <c r="BT256" s="423"/>
      <c r="BU256" s="423"/>
      <c r="BV256" s="423"/>
      <c r="BW256" s="423"/>
      <c r="BX256" s="423"/>
      <c r="BY256" s="423"/>
      <c r="BZ256" s="423"/>
      <c r="CA256" s="423"/>
      <c r="CB256" s="423"/>
      <c r="CC256" s="423"/>
    </row>
    <row r="257" spans="3:81"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  <c r="AA257" s="104"/>
      <c r="AB257" s="104"/>
      <c r="AC257" s="104"/>
      <c r="AD257" s="104"/>
      <c r="AE257" s="104"/>
      <c r="AF257" s="104"/>
      <c r="AG257" s="104"/>
      <c r="AH257" s="104"/>
      <c r="AI257" s="104"/>
      <c r="AJ257" s="104"/>
      <c r="AK257" s="104"/>
      <c r="AL257" s="104"/>
      <c r="AM257" s="104"/>
      <c r="AN257" s="104"/>
      <c r="AO257" s="104"/>
      <c r="AQ257" s="423"/>
      <c r="AR257" s="423"/>
      <c r="AS257" s="423"/>
      <c r="AT257" s="423"/>
      <c r="AU257" s="423"/>
      <c r="AV257" s="423"/>
      <c r="AW257" s="423"/>
      <c r="AX257" s="423"/>
      <c r="AY257" s="423"/>
      <c r="AZ257" s="423"/>
      <c r="BA257" s="423"/>
      <c r="BB257" s="423"/>
      <c r="BC257" s="423"/>
      <c r="BD257" s="423"/>
      <c r="BE257" s="423"/>
      <c r="BF257" s="423"/>
      <c r="BG257" s="423"/>
      <c r="BH257" s="423"/>
      <c r="BI257" s="423"/>
      <c r="BJ257" s="423"/>
      <c r="BK257" s="423"/>
      <c r="BL257" s="423"/>
      <c r="BM257" s="423"/>
      <c r="BN257" s="423"/>
      <c r="BO257" s="423"/>
      <c r="BP257" s="423"/>
      <c r="BQ257" s="423"/>
      <c r="BR257" s="423"/>
      <c r="BS257" s="423"/>
      <c r="BT257" s="423"/>
      <c r="BU257" s="423"/>
      <c r="BV257" s="423"/>
      <c r="BW257" s="423"/>
      <c r="BX257" s="423"/>
      <c r="BY257" s="423"/>
      <c r="BZ257" s="423"/>
      <c r="CA257" s="423"/>
      <c r="CB257" s="423"/>
      <c r="CC257" s="423"/>
    </row>
    <row r="258" spans="3:81"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  <c r="AA258" s="104"/>
      <c r="AB258" s="104"/>
      <c r="AC258" s="104"/>
      <c r="AD258" s="104"/>
      <c r="AE258" s="104"/>
      <c r="AF258" s="104"/>
      <c r="AG258" s="104"/>
      <c r="AH258" s="104"/>
      <c r="AI258" s="104"/>
      <c r="AJ258" s="104"/>
      <c r="AK258" s="104"/>
      <c r="AL258" s="104"/>
      <c r="AM258" s="104"/>
      <c r="AN258" s="104"/>
      <c r="AO258" s="104"/>
      <c r="AQ258" s="423"/>
      <c r="AR258" s="423"/>
      <c r="AS258" s="423"/>
      <c r="AT258" s="423"/>
      <c r="AU258" s="423"/>
      <c r="AV258" s="423"/>
      <c r="AW258" s="423"/>
      <c r="AX258" s="423"/>
      <c r="AY258" s="423"/>
      <c r="AZ258" s="423"/>
      <c r="BA258" s="423"/>
      <c r="BB258" s="423"/>
      <c r="BC258" s="423"/>
      <c r="BD258" s="423"/>
      <c r="BE258" s="423"/>
      <c r="BF258" s="423"/>
      <c r="BG258" s="423"/>
      <c r="BH258" s="423"/>
      <c r="BI258" s="423"/>
      <c r="BJ258" s="423"/>
      <c r="BK258" s="423"/>
      <c r="BL258" s="423"/>
      <c r="BM258" s="423"/>
      <c r="BN258" s="423"/>
      <c r="BO258" s="423"/>
      <c r="BP258" s="423"/>
      <c r="BQ258" s="423"/>
      <c r="BR258" s="423"/>
      <c r="BS258" s="423"/>
      <c r="BT258" s="423"/>
      <c r="BU258" s="423"/>
      <c r="BV258" s="423"/>
      <c r="BW258" s="423"/>
      <c r="BX258" s="423"/>
      <c r="BY258" s="423"/>
      <c r="BZ258" s="423"/>
      <c r="CA258" s="423"/>
      <c r="CB258" s="423"/>
      <c r="CC258" s="423"/>
    </row>
    <row r="259" spans="3:81"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  <c r="AA259" s="104"/>
      <c r="AB259" s="104"/>
      <c r="AC259" s="104"/>
      <c r="AD259" s="104"/>
      <c r="AE259" s="104"/>
      <c r="AF259" s="104"/>
      <c r="AG259" s="104"/>
      <c r="AH259" s="104"/>
      <c r="AI259" s="104"/>
      <c r="AJ259" s="104"/>
      <c r="AK259" s="104"/>
      <c r="AL259" s="104"/>
      <c r="AM259" s="104"/>
      <c r="AN259" s="104"/>
      <c r="AO259" s="104"/>
      <c r="AQ259" s="423"/>
      <c r="AR259" s="423"/>
      <c r="AS259" s="423"/>
      <c r="AT259" s="423"/>
      <c r="AU259" s="423"/>
      <c r="AV259" s="423"/>
      <c r="AW259" s="423"/>
      <c r="AX259" s="423"/>
      <c r="AY259" s="423"/>
      <c r="AZ259" s="423"/>
      <c r="BA259" s="423"/>
      <c r="BB259" s="423"/>
      <c r="BC259" s="423"/>
      <c r="BD259" s="423"/>
      <c r="BE259" s="423"/>
      <c r="BF259" s="423"/>
      <c r="BG259" s="423"/>
      <c r="BH259" s="423"/>
      <c r="BI259" s="423"/>
      <c r="BJ259" s="423"/>
      <c r="BK259" s="423"/>
      <c r="BL259" s="423"/>
      <c r="BM259" s="423"/>
      <c r="BN259" s="423"/>
      <c r="BO259" s="423"/>
      <c r="BP259" s="423"/>
      <c r="BQ259" s="423"/>
      <c r="BR259" s="423"/>
      <c r="BS259" s="423"/>
      <c r="BT259" s="423"/>
      <c r="BU259" s="423"/>
      <c r="BV259" s="423"/>
      <c r="BW259" s="423"/>
      <c r="BX259" s="423"/>
      <c r="BY259" s="423"/>
      <c r="BZ259" s="423"/>
      <c r="CA259" s="423"/>
      <c r="CB259" s="423"/>
      <c r="CC259" s="423"/>
    </row>
    <row r="260" spans="3:81"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  <c r="AA260" s="104"/>
      <c r="AB260" s="104"/>
      <c r="AC260" s="104"/>
      <c r="AD260" s="104"/>
      <c r="AE260" s="104"/>
      <c r="AF260" s="104"/>
      <c r="AG260" s="104"/>
      <c r="AH260" s="104"/>
      <c r="AI260" s="104"/>
      <c r="AJ260" s="104"/>
      <c r="AK260" s="104"/>
      <c r="AL260" s="104"/>
      <c r="AM260" s="104"/>
      <c r="AN260" s="104"/>
      <c r="AO260" s="104"/>
      <c r="AQ260" s="423"/>
      <c r="AR260" s="423"/>
      <c r="AS260" s="423"/>
      <c r="AT260" s="423"/>
      <c r="AU260" s="423"/>
      <c r="AV260" s="423"/>
      <c r="AW260" s="423"/>
      <c r="AX260" s="423"/>
      <c r="AY260" s="423"/>
      <c r="AZ260" s="423"/>
      <c r="BA260" s="423"/>
      <c r="BB260" s="423"/>
      <c r="BC260" s="423"/>
      <c r="BD260" s="423"/>
      <c r="BE260" s="423"/>
      <c r="BF260" s="423"/>
      <c r="BG260" s="423"/>
      <c r="BH260" s="423"/>
      <c r="BI260" s="423"/>
      <c r="BJ260" s="423"/>
      <c r="BK260" s="423"/>
      <c r="BL260" s="423"/>
      <c r="BM260" s="423"/>
      <c r="BN260" s="423"/>
      <c r="BO260" s="423"/>
      <c r="BP260" s="423"/>
      <c r="BQ260" s="423"/>
      <c r="BR260" s="423"/>
      <c r="BS260" s="423"/>
      <c r="BT260" s="423"/>
      <c r="BU260" s="423"/>
      <c r="BV260" s="423"/>
      <c r="BW260" s="423"/>
      <c r="BX260" s="423"/>
      <c r="BY260" s="423"/>
      <c r="BZ260" s="423"/>
      <c r="CA260" s="423"/>
      <c r="CB260" s="423"/>
      <c r="CC260" s="423"/>
    </row>
    <row r="261" spans="3:81"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/>
      <c r="AB261" s="104"/>
      <c r="AC261" s="104"/>
      <c r="AD261" s="104"/>
      <c r="AE261" s="104"/>
      <c r="AF261" s="104"/>
      <c r="AG261" s="104"/>
      <c r="AH261" s="104"/>
      <c r="AI261" s="104"/>
      <c r="AJ261" s="104"/>
      <c r="AK261" s="104"/>
      <c r="AL261" s="104"/>
      <c r="AM261" s="104"/>
      <c r="AN261" s="104"/>
      <c r="AO261" s="104"/>
      <c r="AQ261" s="423"/>
      <c r="AR261" s="423"/>
      <c r="AS261" s="423"/>
      <c r="AT261" s="423"/>
      <c r="AU261" s="423"/>
      <c r="AV261" s="423"/>
      <c r="AW261" s="423"/>
      <c r="AX261" s="423"/>
      <c r="AY261" s="423"/>
      <c r="AZ261" s="423"/>
      <c r="BA261" s="423"/>
      <c r="BB261" s="423"/>
      <c r="BC261" s="423"/>
      <c r="BD261" s="423"/>
      <c r="BE261" s="423"/>
      <c r="BF261" s="423"/>
      <c r="BG261" s="423"/>
      <c r="BH261" s="423"/>
      <c r="BI261" s="423"/>
      <c r="BJ261" s="423"/>
      <c r="BK261" s="423"/>
      <c r="BL261" s="423"/>
      <c r="BM261" s="423"/>
      <c r="BN261" s="423"/>
      <c r="BO261" s="423"/>
      <c r="BP261" s="423"/>
      <c r="BQ261" s="423"/>
      <c r="BR261" s="423"/>
      <c r="BS261" s="423"/>
      <c r="BT261" s="423"/>
      <c r="BU261" s="423"/>
      <c r="BV261" s="423"/>
      <c r="BW261" s="423"/>
      <c r="BX261" s="423"/>
      <c r="BY261" s="423"/>
      <c r="BZ261" s="423"/>
      <c r="CA261" s="423"/>
      <c r="CB261" s="423"/>
      <c r="CC261" s="423"/>
    </row>
    <row r="262" spans="3:81"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  <c r="AA262" s="104"/>
      <c r="AB262" s="104"/>
      <c r="AC262" s="104"/>
      <c r="AD262" s="104"/>
      <c r="AE262" s="104"/>
      <c r="AF262" s="104"/>
      <c r="AG262" s="104"/>
      <c r="AH262" s="104"/>
      <c r="AI262" s="104"/>
      <c r="AJ262" s="104"/>
      <c r="AK262" s="104"/>
      <c r="AL262" s="104"/>
      <c r="AM262" s="104"/>
      <c r="AN262" s="104"/>
      <c r="AO262" s="104"/>
      <c r="AQ262" s="423"/>
      <c r="AR262" s="423"/>
      <c r="AS262" s="423"/>
      <c r="AT262" s="423"/>
      <c r="AU262" s="423"/>
      <c r="AV262" s="423"/>
      <c r="AW262" s="423"/>
      <c r="AX262" s="423"/>
      <c r="AY262" s="423"/>
      <c r="AZ262" s="423"/>
      <c r="BA262" s="423"/>
      <c r="BB262" s="423"/>
      <c r="BC262" s="423"/>
      <c r="BD262" s="423"/>
      <c r="BE262" s="423"/>
      <c r="BF262" s="423"/>
      <c r="BG262" s="423"/>
      <c r="BH262" s="423"/>
      <c r="BI262" s="423"/>
      <c r="BJ262" s="423"/>
      <c r="BK262" s="423"/>
      <c r="BL262" s="423"/>
      <c r="BM262" s="423"/>
      <c r="BN262" s="423"/>
      <c r="BO262" s="423"/>
      <c r="BP262" s="423"/>
      <c r="BQ262" s="423"/>
      <c r="BR262" s="423"/>
      <c r="BS262" s="423"/>
      <c r="BT262" s="423"/>
      <c r="BU262" s="423"/>
      <c r="BV262" s="423"/>
      <c r="BW262" s="423"/>
      <c r="BX262" s="423"/>
      <c r="BY262" s="423"/>
      <c r="BZ262" s="423"/>
      <c r="CA262" s="423"/>
      <c r="CB262" s="423"/>
      <c r="CC262" s="423"/>
    </row>
    <row r="263" spans="3:81">
      <c r="C263" s="423"/>
      <c r="D263" s="423"/>
      <c r="E263" s="423"/>
      <c r="F263" s="423"/>
      <c r="G263" s="423"/>
      <c r="H263" s="423"/>
      <c r="I263" s="423"/>
      <c r="J263" s="423"/>
      <c r="K263" s="423"/>
      <c r="L263" s="423"/>
      <c r="M263" s="423"/>
      <c r="N263" s="423"/>
      <c r="O263" s="423"/>
      <c r="P263" s="423"/>
      <c r="Q263" s="423"/>
      <c r="R263" s="423"/>
      <c r="S263" s="423"/>
      <c r="T263" s="423"/>
      <c r="U263" s="423"/>
      <c r="V263" s="423"/>
      <c r="W263" s="423"/>
      <c r="X263" s="423"/>
      <c r="Y263" s="423"/>
      <c r="Z263" s="423"/>
      <c r="AA263" s="423"/>
      <c r="AB263" s="423"/>
      <c r="AC263" s="423"/>
      <c r="AD263" s="423"/>
      <c r="AE263" s="423"/>
      <c r="AF263" s="423"/>
      <c r="AG263" s="423"/>
      <c r="AH263" s="423"/>
      <c r="AI263" s="423"/>
      <c r="AJ263" s="423"/>
      <c r="AK263" s="423"/>
      <c r="AL263" s="423"/>
      <c r="AM263" s="423"/>
      <c r="AN263" s="423"/>
      <c r="AO263" s="423"/>
      <c r="AQ263" s="423"/>
      <c r="AR263" s="423"/>
      <c r="AS263" s="423"/>
      <c r="AT263" s="423"/>
      <c r="AU263" s="423"/>
      <c r="AV263" s="423"/>
      <c r="AW263" s="423"/>
      <c r="AX263" s="423"/>
      <c r="AY263" s="423"/>
      <c r="AZ263" s="423"/>
      <c r="BA263" s="423"/>
      <c r="BB263" s="423"/>
      <c r="BC263" s="423"/>
      <c r="BD263" s="423"/>
      <c r="BE263" s="423"/>
      <c r="BF263" s="423"/>
      <c r="BG263" s="423"/>
      <c r="BH263" s="423"/>
      <c r="BI263" s="423"/>
      <c r="BJ263" s="423"/>
      <c r="BK263" s="423"/>
      <c r="BL263" s="423"/>
      <c r="BM263" s="423"/>
      <c r="BN263" s="423"/>
      <c r="BO263" s="423"/>
      <c r="BP263" s="423"/>
      <c r="BQ263" s="423"/>
      <c r="BR263" s="423"/>
      <c r="BS263" s="423"/>
      <c r="BT263" s="423"/>
      <c r="BU263" s="423"/>
      <c r="BV263" s="423"/>
      <c r="BW263" s="423"/>
      <c r="BX263" s="423"/>
      <c r="BY263" s="423"/>
      <c r="BZ263" s="423"/>
      <c r="CA263" s="423"/>
      <c r="CB263" s="423"/>
      <c r="CC263" s="423"/>
    </row>
    <row r="264" spans="3:81">
      <c r="C264" s="423"/>
      <c r="D264" s="423"/>
      <c r="E264" s="423"/>
      <c r="F264" s="423"/>
      <c r="G264" s="423"/>
      <c r="H264" s="423"/>
      <c r="I264" s="423"/>
      <c r="J264" s="423"/>
      <c r="K264" s="423"/>
      <c r="L264" s="423"/>
      <c r="M264" s="423"/>
      <c r="N264" s="423"/>
      <c r="O264" s="423"/>
      <c r="P264" s="423"/>
      <c r="Q264" s="423"/>
      <c r="R264" s="423"/>
      <c r="S264" s="423"/>
      <c r="T264" s="423"/>
      <c r="U264" s="423"/>
      <c r="V264" s="423"/>
      <c r="W264" s="423"/>
      <c r="X264" s="423"/>
      <c r="Y264" s="423"/>
      <c r="Z264" s="423"/>
      <c r="AA264" s="423"/>
      <c r="AB264" s="423"/>
      <c r="AC264" s="423"/>
      <c r="AD264" s="423"/>
      <c r="AE264" s="423"/>
      <c r="AF264" s="423"/>
      <c r="AG264" s="423"/>
      <c r="AH264" s="423"/>
      <c r="AI264" s="423"/>
      <c r="AJ264" s="423"/>
      <c r="AK264" s="423"/>
      <c r="AL264" s="423"/>
      <c r="AM264" s="423"/>
      <c r="AN264" s="423"/>
      <c r="AO264" s="423"/>
      <c r="AQ264" s="423"/>
      <c r="AR264" s="423"/>
      <c r="AS264" s="423"/>
      <c r="AT264" s="423"/>
      <c r="AU264" s="423"/>
      <c r="AV264" s="423"/>
      <c r="AW264" s="423"/>
      <c r="AX264" s="423"/>
      <c r="AY264" s="423"/>
      <c r="AZ264" s="423"/>
      <c r="BA264" s="423"/>
      <c r="BB264" s="423"/>
      <c r="BC264" s="423"/>
      <c r="BD264" s="423"/>
      <c r="BE264" s="423"/>
      <c r="BF264" s="423"/>
      <c r="BG264" s="423"/>
      <c r="BH264" s="423"/>
      <c r="BI264" s="423"/>
      <c r="BJ264" s="423"/>
      <c r="BK264" s="423"/>
      <c r="BL264" s="423"/>
      <c r="BM264" s="423"/>
      <c r="BN264" s="423"/>
      <c r="BO264" s="423"/>
      <c r="BP264" s="423"/>
      <c r="BQ264" s="423"/>
      <c r="BR264" s="423"/>
      <c r="BS264" s="423"/>
      <c r="BT264" s="423"/>
      <c r="BU264" s="423"/>
      <c r="BV264" s="423"/>
      <c r="BW264" s="423"/>
      <c r="BX264" s="423"/>
      <c r="BY264" s="423"/>
      <c r="BZ264" s="423"/>
      <c r="CA264" s="423"/>
      <c r="CB264" s="423"/>
      <c r="CC264" s="423"/>
    </row>
    <row r="265" spans="3:81">
      <c r="C265" s="423"/>
      <c r="D265" s="423"/>
      <c r="E265" s="423"/>
      <c r="F265" s="423"/>
      <c r="G265" s="423"/>
      <c r="H265" s="423"/>
      <c r="I265" s="423"/>
      <c r="J265" s="423"/>
      <c r="K265" s="423"/>
      <c r="L265" s="423"/>
      <c r="M265" s="423"/>
      <c r="N265" s="423"/>
      <c r="O265" s="423"/>
      <c r="P265" s="423"/>
      <c r="Q265" s="423"/>
      <c r="R265" s="423"/>
      <c r="S265" s="423"/>
      <c r="T265" s="423"/>
      <c r="U265" s="423"/>
      <c r="V265" s="423"/>
      <c r="W265" s="423"/>
      <c r="X265" s="423"/>
      <c r="Y265" s="423"/>
      <c r="Z265" s="423"/>
      <c r="AA265" s="423"/>
      <c r="AB265" s="423"/>
      <c r="AC265" s="423"/>
      <c r="AD265" s="423"/>
      <c r="AE265" s="423"/>
      <c r="AF265" s="423"/>
      <c r="AG265" s="423"/>
      <c r="AH265" s="423"/>
      <c r="AI265" s="423"/>
      <c r="AJ265" s="423"/>
      <c r="AK265" s="423"/>
      <c r="AL265" s="423"/>
      <c r="AM265" s="423"/>
      <c r="AN265" s="423"/>
      <c r="AO265" s="423"/>
      <c r="AQ265" s="423"/>
      <c r="AR265" s="423"/>
      <c r="AS265" s="423"/>
      <c r="AT265" s="423"/>
      <c r="AU265" s="423"/>
      <c r="AV265" s="423"/>
      <c r="AW265" s="423"/>
      <c r="AX265" s="423"/>
      <c r="AY265" s="423"/>
      <c r="AZ265" s="423"/>
      <c r="BA265" s="423"/>
      <c r="BB265" s="423"/>
      <c r="BC265" s="423"/>
      <c r="BD265" s="423"/>
      <c r="BE265" s="423"/>
      <c r="BF265" s="423"/>
      <c r="BG265" s="423"/>
      <c r="BH265" s="423"/>
      <c r="BI265" s="423"/>
      <c r="BJ265" s="423"/>
      <c r="BK265" s="423"/>
      <c r="BL265" s="423"/>
      <c r="BM265" s="423"/>
      <c r="BN265" s="423"/>
      <c r="BO265" s="423"/>
      <c r="BP265" s="423"/>
      <c r="BQ265" s="423"/>
      <c r="BR265" s="423"/>
      <c r="BS265" s="423"/>
      <c r="BT265" s="423"/>
      <c r="BU265" s="423"/>
      <c r="BV265" s="423"/>
      <c r="BW265" s="423"/>
      <c r="BX265" s="423"/>
      <c r="BY265" s="423"/>
      <c r="BZ265" s="423"/>
      <c r="CA265" s="423"/>
      <c r="CB265" s="423"/>
      <c r="CC265" s="423"/>
    </row>
    <row r="266" spans="3:81">
      <c r="C266" s="423"/>
      <c r="D266" s="423"/>
      <c r="E266" s="423"/>
      <c r="F266" s="423"/>
      <c r="G266" s="423"/>
      <c r="H266" s="423"/>
      <c r="I266" s="423"/>
      <c r="J266" s="423"/>
      <c r="K266" s="423"/>
      <c r="L266" s="423"/>
      <c r="M266" s="423"/>
      <c r="N266" s="423"/>
      <c r="O266" s="423"/>
      <c r="P266" s="423"/>
      <c r="Q266" s="423"/>
      <c r="R266" s="423"/>
      <c r="S266" s="423"/>
      <c r="T266" s="423"/>
      <c r="U266" s="423"/>
      <c r="V266" s="423"/>
      <c r="W266" s="423"/>
      <c r="X266" s="423"/>
      <c r="Y266" s="423"/>
      <c r="Z266" s="423"/>
      <c r="AA266" s="423"/>
      <c r="AB266" s="423"/>
      <c r="AC266" s="423"/>
      <c r="AD266" s="423"/>
      <c r="AE266" s="423"/>
      <c r="AF266" s="423"/>
      <c r="AG266" s="423"/>
      <c r="AH266" s="423"/>
      <c r="AI266" s="423"/>
      <c r="AJ266" s="423"/>
      <c r="AK266" s="423"/>
      <c r="AL266" s="423"/>
      <c r="AM266" s="423"/>
      <c r="AN266" s="423"/>
      <c r="AO266" s="423"/>
      <c r="AQ266" s="423"/>
      <c r="AR266" s="423"/>
      <c r="AS266" s="423"/>
      <c r="AT266" s="423"/>
      <c r="AU266" s="423"/>
      <c r="AV266" s="423"/>
      <c r="AW266" s="423"/>
      <c r="AX266" s="423"/>
      <c r="AY266" s="423"/>
      <c r="AZ266" s="423"/>
      <c r="BA266" s="423"/>
      <c r="BB266" s="423"/>
      <c r="BC266" s="423"/>
      <c r="BD266" s="423"/>
      <c r="BE266" s="423"/>
      <c r="BF266" s="423"/>
      <c r="BG266" s="423"/>
      <c r="BH266" s="423"/>
      <c r="BI266" s="423"/>
      <c r="BJ266" s="423"/>
      <c r="BK266" s="423"/>
      <c r="BL266" s="423"/>
      <c r="BM266" s="423"/>
      <c r="BN266" s="423"/>
      <c r="BO266" s="423"/>
      <c r="BP266" s="423"/>
      <c r="BQ266" s="423"/>
      <c r="BR266" s="423"/>
      <c r="BS266" s="423"/>
      <c r="BT266" s="423"/>
      <c r="BU266" s="423"/>
      <c r="BV266" s="423"/>
      <c r="BW266" s="423"/>
      <c r="BX266" s="423"/>
      <c r="BY266" s="423"/>
      <c r="BZ266" s="423"/>
      <c r="CA266" s="423"/>
      <c r="CB266" s="423"/>
      <c r="CC266" s="423"/>
    </row>
    <row r="267" spans="3:81">
      <c r="C267" s="423"/>
      <c r="D267" s="423"/>
      <c r="E267" s="423"/>
      <c r="F267" s="423"/>
      <c r="G267" s="423"/>
      <c r="H267" s="423"/>
      <c r="I267" s="423"/>
      <c r="J267" s="423"/>
      <c r="K267" s="423"/>
      <c r="L267" s="423"/>
      <c r="M267" s="423"/>
      <c r="N267" s="423"/>
      <c r="O267" s="423"/>
      <c r="P267" s="423"/>
      <c r="Q267" s="423"/>
      <c r="R267" s="423"/>
      <c r="S267" s="423"/>
      <c r="T267" s="423"/>
      <c r="U267" s="423"/>
      <c r="V267" s="423"/>
      <c r="W267" s="423"/>
      <c r="X267" s="423"/>
      <c r="Y267" s="423"/>
      <c r="Z267" s="423"/>
      <c r="AA267" s="423"/>
      <c r="AB267" s="423"/>
      <c r="AC267" s="423"/>
      <c r="AD267" s="423"/>
      <c r="AE267" s="423"/>
      <c r="AF267" s="423"/>
      <c r="AG267" s="423"/>
      <c r="AH267" s="423"/>
      <c r="AI267" s="423"/>
      <c r="AJ267" s="423"/>
      <c r="AK267" s="423"/>
      <c r="AL267" s="423"/>
      <c r="AM267" s="423"/>
      <c r="AN267" s="423"/>
      <c r="AO267" s="423"/>
      <c r="AQ267" s="423"/>
      <c r="AR267" s="423"/>
      <c r="AS267" s="423"/>
      <c r="AT267" s="423"/>
      <c r="AU267" s="423"/>
      <c r="AV267" s="423"/>
      <c r="AW267" s="423"/>
      <c r="AX267" s="423"/>
      <c r="AY267" s="423"/>
      <c r="AZ267" s="423"/>
      <c r="BA267" s="423"/>
      <c r="BB267" s="423"/>
      <c r="BC267" s="423"/>
      <c r="BD267" s="423"/>
      <c r="BE267" s="423"/>
      <c r="BF267" s="423"/>
      <c r="BG267" s="423"/>
      <c r="BH267" s="423"/>
      <c r="BI267" s="423"/>
      <c r="BJ267" s="423"/>
      <c r="BK267" s="423"/>
      <c r="BL267" s="423"/>
      <c r="BM267" s="423"/>
      <c r="BN267" s="423"/>
      <c r="BO267" s="423"/>
      <c r="BP267" s="423"/>
      <c r="BQ267" s="423"/>
      <c r="BR267" s="423"/>
      <c r="BS267" s="423"/>
      <c r="BT267" s="423"/>
      <c r="BU267" s="423"/>
      <c r="BV267" s="423"/>
      <c r="BW267" s="423"/>
      <c r="BX267" s="423"/>
      <c r="BY267" s="423"/>
      <c r="BZ267" s="423"/>
      <c r="CA267" s="423"/>
      <c r="CB267" s="423"/>
      <c r="CC267" s="423"/>
    </row>
    <row r="268" spans="3:81">
      <c r="C268" s="423"/>
      <c r="D268" s="423"/>
      <c r="E268" s="423"/>
      <c r="F268" s="423"/>
      <c r="G268" s="423"/>
      <c r="H268" s="423"/>
      <c r="I268" s="423"/>
      <c r="J268" s="423"/>
      <c r="K268" s="423"/>
      <c r="L268" s="423"/>
      <c r="M268" s="423"/>
      <c r="N268" s="423"/>
      <c r="O268" s="423"/>
      <c r="P268" s="423"/>
      <c r="Q268" s="423"/>
      <c r="R268" s="423"/>
      <c r="S268" s="423"/>
      <c r="T268" s="423"/>
      <c r="U268" s="423"/>
      <c r="V268" s="423"/>
      <c r="W268" s="423"/>
      <c r="X268" s="423"/>
      <c r="Y268" s="423"/>
      <c r="Z268" s="423"/>
      <c r="AA268" s="423"/>
      <c r="AB268" s="423"/>
      <c r="AC268" s="423"/>
      <c r="AD268" s="423"/>
      <c r="AE268" s="423"/>
      <c r="AF268" s="423"/>
      <c r="AG268" s="423"/>
      <c r="AH268" s="423"/>
      <c r="AI268" s="423"/>
      <c r="AJ268" s="423"/>
      <c r="AK268" s="423"/>
      <c r="AL268" s="423"/>
      <c r="AM268" s="423"/>
      <c r="AN268" s="423"/>
      <c r="AO268" s="423"/>
      <c r="AQ268" s="423"/>
      <c r="AR268" s="423"/>
      <c r="AS268" s="423"/>
      <c r="AT268" s="423"/>
      <c r="AU268" s="423"/>
      <c r="AV268" s="423"/>
      <c r="AW268" s="423"/>
      <c r="AX268" s="423"/>
      <c r="AY268" s="423"/>
      <c r="AZ268" s="423"/>
      <c r="BA268" s="423"/>
      <c r="BB268" s="423"/>
      <c r="BC268" s="423"/>
      <c r="BD268" s="423"/>
      <c r="BE268" s="423"/>
      <c r="BF268" s="423"/>
      <c r="BG268" s="423"/>
      <c r="BH268" s="423"/>
      <c r="BI268" s="423"/>
      <c r="BJ268" s="423"/>
      <c r="BK268" s="423"/>
      <c r="BL268" s="423"/>
      <c r="BM268" s="423"/>
      <c r="BN268" s="423"/>
      <c r="BO268" s="423"/>
      <c r="BP268" s="423"/>
      <c r="BQ268" s="423"/>
      <c r="BR268" s="423"/>
      <c r="BS268" s="423"/>
      <c r="BT268" s="423"/>
      <c r="BU268" s="423"/>
      <c r="BV268" s="423"/>
      <c r="BW268" s="423"/>
      <c r="BX268" s="423"/>
      <c r="BY268" s="423"/>
      <c r="BZ268" s="423"/>
      <c r="CA268" s="423"/>
      <c r="CB268" s="423"/>
      <c r="CC268" s="423"/>
    </row>
    <row r="269" spans="3:81">
      <c r="C269" s="423"/>
      <c r="D269" s="423"/>
      <c r="E269" s="423"/>
      <c r="F269" s="423"/>
      <c r="G269" s="423"/>
      <c r="H269" s="423"/>
      <c r="I269" s="423"/>
      <c r="J269" s="423"/>
      <c r="K269" s="423"/>
      <c r="L269" s="423"/>
      <c r="M269" s="423"/>
      <c r="N269" s="423"/>
      <c r="O269" s="423"/>
      <c r="P269" s="423"/>
      <c r="Q269" s="423"/>
      <c r="R269" s="423"/>
      <c r="S269" s="423"/>
      <c r="T269" s="423"/>
      <c r="U269" s="423"/>
      <c r="V269" s="423"/>
      <c r="W269" s="423"/>
      <c r="X269" s="423"/>
      <c r="Y269" s="423"/>
      <c r="Z269" s="423"/>
      <c r="AA269" s="423"/>
      <c r="AB269" s="423"/>
      <c r="AC269" s="423"/>
      <c r="AD269" s="423"/>
      <c r="AE269" s="423"/>
      <c r="AF269" s="423"/>
      <c r="AG269" s="423"/>
      <c r="AH269" s="423"/>
      <c r="AI269" s="423"/>
      <c r="AJ269" s="423"/>
      <c r="AK269" s="423"/>
      <c r="AL269" s="423"/>
      <c r="AM269" s="423"/>
      <c r="AN269" s="423"/>
      <c r="AO269" s="423"/>
      <c r="AQ269" s="423"/>
      <c r="AR269" s="423"/>
      <c r="AS269" s="423"/>
      <c r="AT269" s="423"/>
      <c r="AU269" s="423"/>
      <c r="AV269" s="423"/>
      <c r="AW269" s="423"/>
      <c r="AX269" s="423"/>
      <c r="AY269" s="423"/>
      <c r="AZ269" s="423"/>
      <c r="BA269" s="423"/>
      <c r="BB269" s="423"/>
      <c r="BC269" s="423"/>
      <c r="BD269" s="423"/>
      <c r="BE269" s="423"/>
      <c r="BF269" s="423"/>
      <c r="BG269" s="423"/>
      <c r="BH269" s="423"/>
      <c r="BI269" s="423"/>
      <c r="BJ269" s="423"/>
      <c r="BK269" s="423"/>
      <c r="BL269" s="423"/>
      <c r="BM269" s="423"/>
      <c r="BN269" s="423"/>
      <c r="BO269" s="423"/>
      <c r="BP269" s="423"/>
      <c r="BQ269" s="423"/>
      <c r="BR269" s="423"/>
      <c r="BS269" s="423"/>
      <c r="BT269" s="423"/>
      <c r="BU269" s="423"/>
      <c r="BV269" s="423"/>
      <c r="BW269" s="423"/>
      <c r="BX269" s="423"/>
      <c r="BY269" s="423"/>
      <c r="BZ269" s="423"/>
      <c r="CA269" s="423"/>
      <c r="CB269" s="423"/>
      <c r="CC269" s="423"/>
    </row>
    <row r="270" spans="3:81">
      <c r="C270" s="423"/>
      <c r="D270" s="423"/>
      <c r="E270" s="423"/>
      <c r="F270" s="423"/>
      <c r="G270" s="423"/>
      <c r="H270" s="423"/>
      <c r="I270" s="423"/>
      <c r="J270" s="423"/>
      <c r="K270" s="423"/>
      <c r="L270" s="423"/>
      <c r="M270" s="423"/>
      <c r="N270" s="423"/>
      <c r="O270" s="423"/>
      <c r="P270" s="423"/>
      <c r="Q270" s="423"/>
      <c r="R270" s="423"/>
      <c r="S270" s="423"/>
      <c r="T270" s="423"/>
      <c r="U270" s="423"/>
      <c r="V270" s="423"/>
      <c r="W270" s="423"/>
      <c r="X270" s="423"/>
      <c r="Y270" s="423"/>
      <c r="Z270" s="423"/>
      <c r="AA270" s="423"/>
      <c r="AB270" s="423"/>
      <c r="AC270" s="423"/>
      <c r="AD270" s="423"/>
      <c r="AE270" s="423"/>
      <c r="AF270" s="423"/>
      <c r="AG270" s="423"/>
      <c r="AH270" s="423"/>
      <c r="AI270" s="423"/>
      <c r="AJ270" s="423"/>
      <c r="AK270" s="423"/>
      <c r="AL270" s="423"/>
      <c r="AM270" s="423"/>
      <c r="AN270" s="423"/>
      <c r="AO270" s="423"/>
      <c r="AQ270" s="423"/>
      <c r="AR270" s="423"/>
      <c r="AS270" s="423"/>
      <c r="AT270" s="423"/>
      <c r="AU270" s="423"/>
      <c r="AV270" s="423"/>
      <c r="AW270" s="423"/>
      <c r="AX270" s="423"/>
      <c r="AY270" s="423"/>
      <c r="AZ270" s="423"/>
      <c r="BA270" s="423"/>
      <c r="BB270" s="423"/>
      <c r="BC270" s="423"/>
      <c r="BD270" s="423"/>
      <c r="BE270" s="423"/>
      <c r="BF270" s="423"/>
      <c r="BG270" s="423"/>
      <c r="BH270" s="423"/>
      <c r="BI270" s="423"/>
      <c r="BJ270" s="423"/>
      <c r="BK270" s="423"/>
      <c r="BL270" s="423"/>
      <c r="BM270" s="423"/>
      <c r="BN270" s="423"/>
      <c r="BO270" s="423"/>
      <c r="BP270" s="423"/>
      <c r="BQ270" s="423"/>
      <c r="BR270" s="423"/>
      <c r="BS270" s="423"/>
      <c r="BT270" s="423"/>
      <c r="BU270" s="423"/>
      <c r="BV270" s="423"/>
      <c r="BW270" s="423"/>
      <c r="BX270" s="423"/>
      <c r="BY270" s="423"/>
      <c r="BZ270" s="423"/>
      <c r="CA270" s="423"/>
      <c r="CB270" s="423"/>
      <c r="CC270" s="423"/>
    </row>
    <row r="271" spans="3:81">
      <c r="C271" s="423"/>
      <c r="D271" s="423"/>
      <c r="E271" s="423"/>
      <c r="F271" s="423"/>
      <c r="G271" s="423"/>
      <c r="H271" s="423"/>
      <c r="I271" s="423"/>
      <c r="J271" s="423"/>
      <c r="K271" s="423"/>
      <c r="L271" s="423"/>
      <c r="M271" s="423"/>
      <c r="N271" s="423"/>
      <c r="O271" s="423"/>
      <c r="P271" s="423"/>
      <c r="Q271" s="423"/>
      <c r="R271" s="423"/>
      <c r="S271" s="423"/>
      <c r="T271" s="423"/>
      <c r="U271" s="423"/>
      <c r="V271" s="423"/>
      <c r="W271" s="423"/>
      <c r="X271" s="423"/>
      <c r="Y271" s="423"/>
      <c r="Z271" s="423"/>
      <c r="AA271" s="423"/>
      <c r="AB271" s="423"/>
      <c r="AC271" s="423"/>
      <c r="AD271" s="423"/>
      <c r="AE271" s="423"/>
      <c r="AF271" s="423"/>
      <c r="AG271" s="423"/>
      <c r="AH271" s="423"/>
      <c r="AI271" s="423"/>
      <c r="AJ271" s="423"/>
      <c r="AK271" s="423"/>
      <c r="AL271" s="423"/>
      <c r="AM271" s="423"/>
      <c r="AN271" s="423"/>
      <c r="AO271" s="423"/>
      <c r="AQ271" s="423"/>
      <c r="AR271" s="423"/>
      <c r="AS271" s="423"/>
      <c r="AT271" s="423"/>
      <c r="AU271" s="423"/>
      <c r="AV271" s="423"/>
      <c r="AW271" s="423"/>
      <c r="AX271" s="423"/>
      <c r="AY271" s="423"/>
      <c r="AZ271" s="423"/>
      <c r="BA271" s="423"/>
      <c r="BB271" s="423"/>
      <c r="BC271" s="423"/>
      <c r="BD271" s="423"/>
      <c r="BE271" s="423"/>
      <c r="BF271" s="423"/>
      <c r="BG271" s="423"/>
      <c r="BH271" s="423"/>
      <c r="BI271" s="423"/>
      <c r="BJ271" s="423"/>
      <c r="BK271" s="423"/>
      <c r="BL271" s="423"/>
      <c r="BM271" s="423"/>
      <c r="BN271" s="423"/>
      <c r="BO271" s="423"/>
      <c r="BP271" s="423"/>
      <c r="BQ271" s="423"/>
      <c r="BR271" s="423"/>
      <c r="BS271" s="423"/>
      <c r="BT271" s="423"/>
      <c r="BU271" s="423"/>
      <c r="BV271" s="423"/>
      <c r="BW271" s="423"/>
      <c r="BX271" s="423"/>
      <c r="BY271" s="423"/>
      <c r="BZ271" s="423"/>
      <c r="CA271" s="423"/>
      <c r="CB271" s="423"/>
      <c r="CC271" s="423"/>
    </row>
    <row r="272" spans="3:81">
      <c r="C272" s="423"/>
      <c r="D272" s="423"/>
      <c r="E272" s="423"/>
      <c r="F272" s="423"/>
      <c r="G272" s="423"/>
      <c r="H272" s="423"/>
      <c r="I272" s="423"/>
      <c r="J272" s="423"/>
      <c r="K272" s="423"/>
      <c r="L272" s="423"/>
      <c r="M272" s="423"/>
      <c r="N272" s="423"/>
      <c r="O272" s="423"/>
      <c r="P272" s="423"/>
      <c r="Q272" s="423"/>
      <c r="R272" s="423"/>
      <c r="S272" s="423"/>
      <c r="T272" s="423"/>
      <c r="U272" s="423"/>
      <c r="V272" s="423"/>
      <c r="W272" s="423"/>
      <c r="X272" s="423"/>
      <c r="Y272" s="423"/>
      <c r="Z272" s="423"/>
      <c r="AA272" s="423"/>
      <c r="AB272" s="423"/>
      <c r="AC272" s="423"/>
      <c r="AD272" s="423"/>
      <c r="AE272" s="423"/>
      <c r="AF272" s="423"/>
      <c r="AG272" s="423"/>
      <c r="AH272" s="423"/>
      <c r="AI272" s="423"/>
      <c r="AJ272" s="423"/>
      <c r="AK272" s="423"/>
      <c r="AL272" s="423"/>
      <c r="AM272" s="423"/>
      <c r="AN272" s="423"/>
      <c r="AO272" s="423"/>
      <c r="AQ272" s="423"/>
      <c r="AR272" s="423"/>
      <c r="AS272" s="423"/>
      <c r="AT272" s="423"/>
      <c r="AU272" s="423"/>
      <c r="AV272" s="423"/>
      <c r="AW272" s="423"/>
      <c r="AX272" s="423"/>
      <c r="AY272" s="423"/>
      <c r="AZ272" s="423"/>
      <c r="BA272" s="423"/>
      <c r="BB272" s="423"/>
      <c r="BC272" s="423"/>
      <c r="BD272" s="423"/>
      <c r="BE272" s="423"/>
      <c r="BF272" s="423"/>
      <c r="BG272" s="423"/>
      <c r="BH272" s="423"/>
      <c r="BI272" s="423"/>
      <c r="BJ272" s="423"/>
      <c r="BK272" s="423"/>
      <c r="BL272" s="423"/>
      <c r="BM272" s="423"/>
      <c r="BN272" s="423"/>
      <c r="BO272" s="423"/>
      <c r="BP272" s="423"/>
      <c r="BQ272" s="423"/>
      <c r="BR272" s="423"/>
      <c r="BS272" s="423"/>
      <c r="BT272" s="423"/>
      <c r="BU272" s="423"/>
      <c r="BV272" s="423"/>
      <c r="BW272" s="423"/>
      <c r="BX272" s="423"/>
      <c r="BY272" s="423"/>
      <c r="BZ272" s="423"/>
      <c r="CA272" s="423"/>
      <c r="CB272" s="423"/>
      <c r="CC272" s="423"/>
    </row>
    <row r="273" spans="3:81">
      <c r="C273" s="423"/>
      <c r="D273" s="423"/>
      <c r="E273" s="423"/>
      <c r="F273" s="423"/>
      <c r="G273" s="423"/>
      <c r="H273" s="423"/>
      <c r="I273" s="423"/>
      <c r="J273" s="423"/>
      <c r="K273" s="423"/>
      <c r="L273" s="423"/>
      <c r="M273" s="423"/>
      <c r="N273" s="423"/>
      <c r="O273" s="423"/>
      <c r="P273" s="423"/>
      <c r="Q273" s="423"/>
      <c r="R273" s="423"/>
      <c r="S273" s="423"/>
      <c r="T273" s="423"/>
      <c r="U273" s="423"/>
      <c r="V273" s="423"/>
      <c r="W273" s="423"/>
      <c r="X273" s="423"/>
      <c r="Y273" s="423"/>
      <c r="Z273" s="423"/>
      <c r="AA273" s="423"/>
      <c r="AB273" s="423"/>
      <c r="AC273" s="423"/>
      <c r="AD273" s="423"/>
      <c r="AE273" s="423"/>
      <c r="AF273" s="423"/>
      <c r="AG273" s="423"/>
      <c r="AH273" s="423"/>
      <c r="AI273" s="423"/>
      <c r="AJ273" s="423"/>
      <c r="AK273" s="423"/>
      <c r="AL273" s="423"/>
      <c r="AM273" s="423"/>
      <c r="AN273" s="423"/>
      <c r="AO273" s="423"/>
      <c r="AQ273" s="423"/>
      <c r="AR273" s="423"/>
      <c r="AS273" s="423"/>
      <c r="AT273" s="423"/>
      <c r="AU273" s="423"/>
      <c r="AV273" s="423"/>
      <c r="AW273" s="423"/>
      <c r="AX273" s="423"/>
      <c r="AY273" s="423"/>
      <c r="AZ273" s="423"/>
      <c r="BA273" s="423"/>
      <c r="BB273" s="423"/>
      <c r="BC273" s="423"/>
      <c r="BD273" s="423"/>
      <c r="BE273" s="423"/>
      <c r="BF273" s="423"/>
      <c r="BG273" s="423"/>
      <c r="BH273" s="423"/>
      <c r="BI273" s="423"/>
      <c r="BJ273" s="423"/>
      <c r="BK273" s="423"/>
      <c r="BL273" s="423"/>
      <c r="BM273" s="423"/>
      <c r="BN273" s="423"/>
      <c r="BO273" s="423"/>
      <c r="BP273" s="423"/>
      <c r="BQ273" s="423"/>
      <c r="BR273" s="423"/>
      <c r="BS273" s="423"/>
      <c r="BT273" s="423"/>
      <c r="BU273" s="423"/>
      <c r="BV273" s="423"/>
      <c r="BW273" s="423"/>
      <c r="BX273" s="423"/>
      <c r="BY273" s="423"/>
      <c r="BZ273" s="423"/>
      <c r="CA273" s="423"/>
      <c r="CB273" s="423"/>
      <c r="CC273" s="423"/>
    </row>
    <row r="274" spans="3:81">
      <c r="C274" s="423"/>
      <c r="D274" s="423"/>
      <c r="E274" s="423"/>
      <c r="F274" s="423"/>
      <c r="G274" s="423"/>
      <c r="H274" s="423"/>
      <c r="I274" s="423"/>
      <c r="J274" s="423"/>
      <c r="K274" s="423"/>
      <c r="L274" s="423"/>
      <c r="M274" s="423"/>
      <c r="N274" s="423"/>
      <c r="O274" s="423"/>
      <c r="P274" s="423"/>
      <c r="Q274" s="423"/>
      <c r="R274" s="423"/>
      <c r="S274" s="423"/>
      <c r="T274" s="423"/>
      <c r="U274" s="423"/>
      <c r="V274" s="423"/>
      <c r="W274" s="423"/>
      <c r="X274" s="423"/>
      <c r="Y274" s="423"/>
      <c r="Z274" s="423"/>
      <c r="AA274" s="423"/>
      <c r="AB274" s="423"/>
      <c r="AC274" s="423"/>
      <c r="AD274" s="423"/>
      <c r="AE274" s="423"/>
      <c r="AF274" s="423"/>
      <c r="AG274" s="423"/>
      <c r="AH274" s="423"/>
      <c r="AI274" s="423"/>
      <c r="AJ274" s="423"/>
      <c r="AK274" s="423"/>
      <c r="AL274" s="423"/>
      <c r="AM274" s="423"/>
      <c r="AN274" s="423"/>
      <c r="AO274" s="423"/>
      <c r="AQ274" s="423"/>
      <c r="AR274" s="423"/>
      <c r="AS274" s="423"/>
      <c r="AT274" s="423"/>
      <c r="AU274" s="423"/>
      <c r="AV274" s="423"/>
      <c r="AW274" s="423"/>
      <c r="AX274" s="423"/>
      <c r="AY274" s="423"/>
      <c r="AZ274" s="423"/>
      <c r="BA274" s="423"/>
      <c r="BB274" s="423"/>
      <c r="BC274" s="423"/>
      <c r="BD274" s="423"/>
      <c r="BE274" s="423"/>
      <c r="BF274" s="423"/>
      <c r="BG274" s="423"/>
      <c r="BH274" s="423"/>
      <c r="BI274" s="423"/>
      <c r="BJ274" s="423"/>
      <c r="BK274" s="423"/>
      <c r="BL274" s="423"/>
      <c r="BM274" s="423"/>
      <c r="BN274" s="423"/>
      <c r="BO274" s="423"/>
      <c r="BP274" s="423"/>
      <c r="BQ274" s="423"/>
      <c r="BR274" s="423"/>
      <c r="BS274" s="423"/>
      <c r="BT274" s="423"/>
      <c r="BU274" s="423"/>
      <c r="BV274" s="423"/>
      <c r="BW274" s="423"/>
      <c r="BX274" s="423"/>
      <c r="BY274" s="423"/>
      <c r="BZ274" s="423"/>
      <c r="CA274" s="423"/>
      <c r="CB274" s="423"/>
      <c r="CC274" s="423"/>
    </row>
    <row r="275" spans="3:81">
      <c r="C275" s="423"/>
      <c r="D275" s="423"/>
      <c r="E275" s="423"/>
      <c r="F275" s="423"/>
      <c r="G275" s="423"/>
      <c r="H275" s="423"/>
      <c r="I275" s="423"/>
      <c r="J275" s="423"/>
      <c r="K275" s="423"/>
      <c r="L275" s="423"/>
      <c r="M275" s="423"/>
      <c r="N275" s="423"/>
      <c r="O275" s="423"/>
      <c r="P275" s="423"/>
      <c r="Q275" s="423"/>
      <c r="R275" s="423"/>
      <c r="S275" s="423"/>
      <c r="T275" s="423"/>
      <c r="U275" s="423"/>
      <c r="V275" s="423"/>
      <c r="W275" s="423"/>
      <c r="X275" s="423"/>
      <c r="Y275" s="423"/>
      <c r="Z275" s="423"/>
      <c r="AA275" s="423"/>
      <c r="AB275" s="423"/>
      <c r="AC275" s="423"/>
      <c r="AD275" s="423"/>
      <c r="AE275" s="423"/>
      <c r="AF275" s="423"/>
      <c r="AG275" s="423"/>
      <c r="AH275" s="423"/>
      <c r="AI275" s="423"/>
      <c r="AJ275" s="423"/>
      <c r="AK275" s="423"/>
      <c r="AL275" s="423"/>
      <c r="AM275" s="423"/>
      <c r="AN275" s="423"/>
      <c r="AO275" s="423"/>
      <c r="AQ275" s="423"/>
      <c r="AR275" s="423"/>
      <c r="AS275" s="423"/>
      <c r="AT275" s="423"/>
      <c r="AU275" s="423"/>
      <c r="AV275" s="423"/>
      <c r="AW275" s="423"/>
      <c r="AX275" s="423"/>
      <c r="AY275" s="423"/>
      <c r="AZ275" s="423"/>
      <c r="BA275" s="423"/>
      <c r="BB275" s="423"/>
      <c r="BC275" s="423"/>
      <c r="BD275" s="423"/>
      <c r="BE275" s="423"/>
      <c r="BF275" s="423"/>
      <c r="BG275" s="423"/>
      <c r="BH275" s="423"/>
      <c r="BI275" s="423"/>
      <c r="BJ275" s="423"/>
      <c r="BK275" s="423"/>
      <c r="BL275" s="423"/>
      <c r="BM275" s="423"/>
      <c r="BN275" s="423"/>
      <c r="BO275" s="423"/>
      <c r="BP275" s="423"/>
      <c r="BQ275" s="423"/>
      <c r="BR275" s="423"/>
      <c r="BS275" s="423"/>
      <c r="BT275" s="423"/>
      <c r="BU275" s="423"/>
      <c r="BV275" s="423"/>
      <c r="BW275" s="423"/>
      <c r="BX275" s="423"/>
      <c r="BY275" s="423"/>
      <c r="BZ275" s="423"/>
      <c r="CA275" s="423"/>
      <c r="CB275" s="423"/>
      <c r="CC275" s="423"/>
    </row>
    <row r="276" spans="3:81">
      <c r="C276" s="423"/>
      <c r="D276" s="423"/>
      <c r="E276" s="423"/>
      <c r="F276" s="423"/>
      <c r="G276" s="423"/>
      <c r="H276" s="423"/>
      <c r="I276" s="423"/>
      <c r="J276" s="423"/>
      <c r="K276" s="423"/>
      <c r="L276" s="423"/>
      <c r="M276" s="423"/>
      <c r="N276" s="423"/>
      <c r="O276" s="423"/>
      <c r="P276" s="423"/>
      <c r="Q276" s="423"/>
      <c r="R276" s="423"/>
      <c r="S276" s="423"/>
      <c r="T276" s="423"/>
      <c r="U276" s="423"/>
      <c r="V276" s="423"/>
      <c r="W276" s="423"/>
      <c r="X276" s="423"/>
      <c r="Y276" s="423"/>
      <c r="Z276" s="423"/>
      <c r="AA276" s="423"/>
      <c r="AB276" s="423"/>
      <c r="AC276" s="423"/>
      <c r="AD276" s="423"/>
      <c r="AE276" s="423"/>
      <c r="AF276" s="423"/>
      <c r="AG276" s="423"/>
      <c r="AH276" s="423"/>
      <c r="AI276" s="423"/>
      <c r="AJ276" s="423"/>
      <c r="AK276" s="423"/>
      <c r="AL276" s="423"/>
      <c r="AM276" s="423"/>
      <c r="AN276" s="423"/>
      <c r="AO276" s="423"/>
      <c r="AQ276" s="423"/>
      <c r="AR276" s="423"/>
      <c r="AS276" s="423"/>
      <c r="AT276" s="423"/>
      <c r="AU276" s="423"/>
      <c r="AV276" s="423"/>
      <c r="AW276" s="423"/>
      <c r="AX276" s="423"/>
      <c r="AY276" s="423"/>
      <c r="AZ276" s="423"/>
      <c r="BA276" s="423"/>
      <c r="BB276" s="423"/>
      <c r="BC276" s="423"/>
      <c r="BD276" s="423"/>
      <c r="BE276" s="423"/>
      <c r="BF276" s="423"/>
      <c r="BG276" s="423"/>
      <c r="BH276" s="423"/>
      <c r="BI276" s="423"/>
      <c r="BJ276" s="423"/>
      <c r="BK276" s="423"/>
      <c r="BL276" s="423"/>
      <c r="BM276" s="423"/>
      <c r="BN276" s="423"/>
      <c r="BO276" s="423"/>
      <c r="BP276" s="423"/>
      <c r="BQ276" s="423"/>
      <c r="BR276" s="423"/>
      <c r="BS276" s="423"/>
      <c r="BT276" s="423"/>
      <c r="BU276" s="423"/>
      <c r="BV276" s="423"/>
      <c r="BW276" s="423"/>
      <c r="BX276" s="423"/>
      <c r="BY276" s="423"/>
      <c r="BZ276" s="423"/>
      <c r="CA276" s="423"/>
      <c r="CB276" s="423"/>
      <c r="CC276" s="423"/>
    </row>
    <row r="277" spans="3:81">
      <c r="C277" s="423"/>
      <c r="D277" s="423"/>
      <c r="E277" s="423"/>
      <c r="F277" s="423"/>
      <c r="G277" s="423"/>
      <c r="H277" s="423"/>
      <c r="I277" s="423"/>
      <c r="J277" s="423"/>
      <c r="K277" s="423"/>
      <c r="L277" s="423"/>
      <c r="M277" s="423"/>
      <c r="N277" s="423"/>
      <c r="O277" s="423"/>
      <c r="P277" s="423"/>
      <c r="Q277" s="423"/>
      <c r="R277" s="423"/>
      <c r="S277" s="423"/>
      <c r="T277" s="423"/>
      <c r="U277" s="423"/>
      <c r="V277" s="423"/>
      <c r="W277" s="423"/>
      <c r="X277" s="423"/>
      <c r="Y277" s="423"/>
      <c r="Z277" s="423"/>
      <c r="AA277" s="423"/>
      <c r="AB277" s="423"/>
      <c r="AC277" s="423"/>
      <c r="AD277" s="423"/>
      <c r="AE277" s="423"/>
      <c r="AF277" s="423"/>
      <c r="AG277" s="423"/>
      <c r="AH277" s="423"/>
      <c r="AI277" s="423"/>
      <c r="AJ277" s="423"/>
      <c r="AK277" s="423"/>
      <c r="AL277" s="423"/>
      <c r="AM277" s="423"/>
      <c r="AN277" s="423"/>
      <c r="AO277" s="423"/>
      <c r="AQ277" s="423"/>
      <c r="AR277" s="423"/>
      <c r="AS277" s="423"/>
      <c r="AT277" s="423"/>
      <c r="AU277" s="423"/>
      <c r="AV277" s="423"/>
      <c r="AW277" s="423"/>
      <c r="AX277" s="423"/>
      <c r="AY277" s="423"/>
      <c r="AZ277" s="423"/>
      <c r="BA277" s="423"/>
      <c r="BB277" s="423"/>
      <c r="BC277" s="423"/>
      <c r="BD277" s="423"/>
      <c r="BE277" s="423"/>
      <c r="BF277" s="423"/>
      <c r="BG277" s="423"/>
      <c r="BH277" s="423"/>
      <c r="BI277" s="423"/>
      <c r="BJ277" s="423"/>
      <c r="BK277" s="423"/>
      <c r="BL277" s="423"/>
      <c r="BM277" s="423"/>
      <c r="BN277" s="423"/>
      <c r="BO277" s="423"/>
      <c r="BP277" s="423"/>
      <c r="BQ277" s="423"/>
      <c r="BR277" s="423"/>
      <c r="BS277" s="423"/>
      <c r="BT277" s="423"/>
      <c r="BU277" s="423"/>
      <c r="BV277" s="423"/>
      <c r="BW277" s="423"/>
      <c r="BX277" s="423"/>
      <c r="BY277" s="423"/>
      <c r="BZ277" s="423"/>
      <c r="CA277" s="423"/>
      <c r="CB277" s="423"/>
      <c r="CC277" s="423"/>
    </row>
    <row r="278" spans="3:81">
      <c r="C278" s="423"/>
      <c r="D278" s="423"/>
      <c r="E278" s="423"/>
      <c r="F278" s="423"/>
      <c r="G278" s="423"/>
      <c r="H278" s="423"/>
      <c r="I278" s="423"/>
      <c r="J278" s="423"/>
      <c r="K278" s="423"/>
      <c r="L278" s="423"/>
      <c r="M278" s="423"/>
      <c r="N278" s="423"/>
      <c r="O278" s="423"/>
      <c r="P278" s="423"/>
      <c r="Q278" s="423"/>
      <c r="R278" s="423"/>
      <c r="S278" s="423"/>
      <c r="T278" s="423"/>
      <c r="U278" s="423"/>
      <c r="V278" s="423"/>
      <c r="W278" s="423"/>
      <c r="X278" s="423"/>
      <c r="Y278" s="423"/>
      <c r="Z278" s="423"/>
      <c r="AA278" s="423"/>
      <c r="AB278" s="423"/>
      <c r="AC278" s="423"/>
      <c r="AD278" s="423"/>
      <c r="AE278" s="423"/>
      <c r="AF278" s="423"/>
      <c r="AG278" s="423"/>
      <c r="AH278" s="423"/>
      <c r="AI278" s="423"/>
      <c r="AJ278" s="423"/>
      <c r="AK278" s="423"/>
      <c r="AL278" s="423"/>
      <c r="AM278" s="423"/>
      <c r="AN278" s="423"/>
      <c r="AO278" s="423"/>
      <c r="AQ278" s="423"/>
      <c r="AR278" s="423"/>
      <c r="AS278" s="423"/>
      <c r="AT278" s="423"/>
      <c r="AU278" s="423"/>
      <c r="AV278" s="423"/>
      <c r="AW278" s="423"/>
      <c r="AX278" s="423"/>
      <c r="AY278" s="423"/>
      <c r="AZ278" s="423"/>
      <c r="BA278" s="423"/>
      <c r="BB278" s="423"/>
      <c r="BC278" s="423"/>
      <c r="BD278" s="423"/>
      <c r="BE278" s="423"/>
      <c r="BF278" s="423"/>
      <c r="BG278" s="423"/>
      <c r="BH278" s="423"/>
      <c r="BI278" s="423"/>
      <c r="BJ278" s="423"/>
      <c r="BK278" s="423"/>
      <c r="BL278" s="423"/>
      <c r="BM278" s="423"/>
      <c r="BN278" s="423"/>
      <c r="BO278" s="423"/>
      <c r="BP278" s="423"/>
      <c r="BQ278" s="423"/>
      <c r="BR278" s="423"/>
      <c r="BS278" s="423"/>
      <c r="BT278" s="423"/>
      <c r="BU278" s="423"/>
      <c r="BV278" s="423"/>
      <c r="BW278" s="423"/>
      <c r="BX278" s="423"/>
      <c r="BY278" s="423"/>
      <c r="BZ278" s="423"/>
      <c r="CA278" s="423"/>
      <c r="CB278" s="423"/>
      <c r="CC278" s="423"/>
    </row>
    <row r="279" spans="3:81">
      <c r="C279" s="423"/>
      <c r="D279" s="423"/>
      <c r="E279" s="423"/>
      <c r="F279" s="423"/>
      <c r="G279" s="423"/>
      <c r="H279" s="423"/>
      <c r="I279" s="423"/>
      <c r="J279" s="423"/>
      <c r="K279" s="423"/>
      <c r="L279" s="423"/>
      <c r="M279" s="423"/>
      <c r="N279" s="423"/>
      <c r="O279" s="423"/>
      <c r="P279" s="423"/>
      <c r="Q279" s="423"/>
      <c r="R279" s="423"/>
      <c r="S279" s="423"/>
      <c r="T279" s="423"/>
      <c r="U279" s="423"/>
      <c r="V279" s="423"/>
      <c r="W279" s="423"/>
      <c r="X279" s="423"/>
      <c r="Y279" s="423"/>
      <c r="Z279" s="423"/>
      <c r="AA279" s="423"/>
      <c r="AB279" s="423"/>
      <c r="AC279" s="423"/>
      <c r="AD279" s="423"/>
      <c r="AE279" s="423"/>
      <c r="AF279" s="423"/>
      <c r="AG279" s="423"/>
      <c r="AH279" s="423"/>
      <c r="AI279" s="423"/>
      <c r="AJ279" s="423"/>
      <c r="AK279" s="423"/>
      <c r="AL279" s="423"/>
      <c r="AM279" s="423"/>
      <c r="AN279" s="423"/>
      <c r="AO279" s="423"/>
      <c r="AQ279" s="423"/>
      <c r="AR279" s="423"/>
      <c r="AS279" s="423"/>
      <c r="AT279" s="423"/>
      <c r="AU279" s="423"/>
      <c r="AV279" s="423"/>
      <c r="AW279" s="423"/>
      <c r="AX279" s="423"/>
      <c r="AY279" s="423"/>
      <c r="AZ279" s="423"/>
      <c r="BA279" s="423"/>
      <c r="BB279" s="423"/>
      <c r="BC279" s="423"/>
      <c r="BD279" s="423"/>
      <c r="BE279" s="423"/>
      <c r="BF279" s="423"/>
      <c r="BG279" s="423"/>
      <c r="BH279" s="423"/>
      <c r="BI279" s="423"/>
      <c r="BJ279" s="423"/>
      <c r="BK279" s="423"/>
      <c r="BL279" s="423"/>
      <c r="BM279" s="423"/>
      <c r="BN279" s="423"/>
      <c r="BO279" s="423"/>
      <c r="BP279" s="423"/>
      <c r="BQ279" s="423"/>
      <c r="BR279" s="423"/>
      <c r="BS279" s="423"/>
      <c r="BT279" s="423"/>
      <c r="BU279" s="423"/>
      <c r="BV279" s="423"/>
      <c r="BW279" s="423"/>
      <c r="BX279" s="423"/>
      <c r="BY279" s="423"/>
      <c r="BZ279" s="423"/>
      <c r="CA279" s="423"/>
      <c r="CB279" s="423"/>
      <c r="CC279" s="423"/>
    </row>
    <row r="280" spans="3:81">
      <c r="C280" s="423"/>
      <c r="D280" s="423"/>
      <c r="E280" s="423"/>
      <c r="F280" s="423"/>
      <c r="G280" s="423"/>
      <c r="H280" s="423"/>
      <c r="I280" s="423"/>
      <c r="J280" s="423"/>
      <c r="K280" s="423"/>
      <c r="L280" s="423"/>
      <c r="M280" s="423"/>
      <c r="N280" s="423"/>
      <c r="O280" s="423"/>
      <c r="P280" s="423"/>
      <c r="Q280" s="423"/>
      <c r="R280" s="423"/>
      <c r="S280" s="423"/>
      <c r="T280" s="423"/>
      <c r="U280" s="423"/>
      <c r="V280" s="423"/>
      <c r="W280" s="423"/>
      <c r="X280" s="423"/>
      <c r="Y280" s="423"/>
      <c r="Z280" s="423"/>
      <c r="AA280" s="423"/>
      <c r="AB280" s="423"/>
      <c r="AC280" s="423"/>
      <c r="AD280" s="423"/>
      <c r="AE280" s="423"/>
      <c r="AF280" s="423"/>
      <c r="AG280" s="423"/>
      <c r="AH280" s="423"/>
      <c r="AI280" s="423"/>
      <c r="AJ280" s="423"/>
      <c r="AK280" s="423"/>
      <c r="AL280" s="423"/>
      <c r="AM280" s="423"/>
      <c r="AN280" s="423"/>
      <c r="AO280" s="423"/>
      <c r="AQ280" s="423"/>
      <c r="AR280" s="423"/>
      <c r="AS280" s="423"/>
      <c r="AT280" s="423"/>
      <c r="AU280" s="423"/>
      <c r="AV280" s="423"/>
      <c r="AW280" s="423"/>
      <c r="AX280" s="423"/>
      <c r="AY280" s="423"/>
      <c r="AZ280" s="423"/>
      <c r="BA280" s="423"/>
      <c r="BB280" s="423"/>
      <c r="BC280" s="423"/>
      <c r="BD280" s="423"/>
      <c r="BE280" s="423"/>
      <c r="BF280" s="423"/>
      <c r="BG280" s="423"/>
      <c r="BH280" s="423"/>
      <c r="BI280" s="423"/>
      <c r="BJ280" s="423"/>
      <c r="BK280" s="423"/>
      <c r="BL280" s="423"/>
      <c r="BM280" s="423"/>
      <c r="BN280" s="423"/>
      <c r="BO280" s="423"/>
      <c r="BP280" s="423"/>
      <c r="BQ280" s="423"/>
      <c r="BR280" s="423"/>
      <c r="BS280" s="423"/>
      <c r="BT280" s="423"/>
      <c r="BU280" s="423"/>
      <c r="BV280" s="423"/>
      <c r="BW280" s="423"/>
      <c r="BX280" s="423"/>
      <c r="BY280" s="423"/>
      <c r="BZ280" s="423"/>
      <c r="CA280" s="423"/>
      <c r="CB280" s="423"/>
      <c r="CC280" s="423"/>
    </row>
    <row r="281" spans="3:81">
      <c r="C281" s="423"/>
      <c r="D281" s="423"/>
      <c r="E281" s="423"/>
      <c r="F281" s="423"/>
      <c r="G281" s="423"/>
      <c r="H281" s="423"/>
      <c r="I281" s="423"/>
      <c r="J281" s="423"/>
      <c r="K281" s="423"/>
      <c r="L281" s="423"/>
      <c r="M281" s="423"/>
      <c r="N281" s="423"/>
      <c r="O281" s="423"/>
      <c r="P281" s="423"/>
      <c r="Q281" s="423"/>
      <c r="R281" s="423"/>
      <c r="S281" s="423"/>
      <c r="T281" s="423"/>
      <c r="U281" s="423"/>
      <c r="V281" s="423"/>
      <c r="W281" s="423"/>
      <c r="X281" s="423"/>
      <c r="Y281" s="423"/>
      <c r="Z281" s="423"/>
      <c r="AA281" s="423"/>
      <c r="AB281" s="423"/>
      <c r="AC281" s="423"/>
      <c r="AD281" s="423"/>
      <c r="AE281" s="423"/>
      <c r="AF281" s="423"/>
      <c r="AG281" s="423"/>
      <c r="AH281" s="423"/>
      <c r="AI281" s="423"/>
      <c r="AJ281" s="423"/>
      <c r="AK281" s="423"/>
      <c r="AL281" s="423"/>
      <c r="AM281" s="423"/>
      <c r="AN281" s="423"/>
      <c r="AO281" s="423"/>
      <c r="AQ281" s="423"/>
      <c r="AR281" s="423"/>
      <c r="AS281" s="423"/>
      <c r="AT281" s="423"/>
      <c r="AU281" s="423"/>
      <c r="AV281" s="423"/>
      <c r="AW281" s="423"/>
      <c r="AX281" s="423"/>
      <c r="AY281" s="423"/>
      <c r="AZ281" s="423"/>
      <c r="BA281" s="423"/>
      <c r="BB281" s="423"/>
      <c r="BC281" s="423"/>
      <c r="BD281" s="423"/>
      <c r="BE281" s="423"/>
      <c r="BF281" s="423"/>
      <c r="BG281" s="423"/>
      <c r="BH281" s="423"/>
      <c r="BI281" s="423"/>
      <c r="BJ281" s="423"/>
      <c r="BK281" s="423"/>
      <c r="BL281" s="423"/>
      <c r="BM281" s="423"/>
      <c r="BN281" s="423"/>
      <c r="BO281" s="423"/>
      <c r="BP281" s="423"/>
      <c r="BQ281" s="423"/>
      <c r="BR281" s="423"/>
      <c r="BS281" s="423"/>
      <c r="BT281" s="423"/>
      <c r="BU281" s="423"/>
      <c r="BV281" s="423"/>
      <c r="BW281" s="423"/>
      <c r="BX281" s="423"/>
      <c r="BY281" s="423"/>
      <c r="BZ281" s="423"/>
      <c r="CA281" s="423"/>
      <c r="CB281" s="423"/>
      <c r="CC281" s="423"/>
    </row>
    <row r="282" spans="3:81">
      <c r="C282" s="423"/>
      <c r="D282" s="423"/>
      <c r="E282" s="423"/>
      <c r="F282" s="423"/>
      <c r="G282" s="423"/>
      <c r="H282" s="423"/>
      <c r="I282" s="423"/>
      <c r="J282" s="423"/>
      <c r="K282" s="423"/>
      <c r="L282" s="423"/>
      <c r="M282" s="423"/>
      <c r="N282" s="423"/>
      <c r="O282" s="423"/>
      <c r="P282" s="423"/>
      <c r="Q282" s="423"/>
      <c r="R282" s="423"/>
      <c r="S282" s="423"/>
      <c r="T282" s="423"/>
      <c r="U282" s="423"/>
      <c r="V282" s="423"/>
      <c r="W282" s="423"/>
      <c r="X282" s="423"/>
      <c r="Y282" s="423"/>
      <c r="Z282" s="423"/>
      <c r="AA282" s="423"/>
      <c r="AB282" s="423"/>
      <c r="AC282" s="423"/>
      <c r="AD282" s="423"/>
      <c r="AE282" s="423"/>
      <c r="AF282" s="423"/>
      <c r="AG282" s="423"/>
      <c r="AH282" s="423"/>
      <c r="AI282" s="423"/>
      <c r="AJ282" s="423"/>
      <c r="AK282" s="423"/>
      <c r="AL282" s="423"/>
      <c r="AM282" s="423"/>
      <c r="AN282" s="423"/>
      <c r="AO282" s="423"/>
      <c r="AQ282" s="423"/>
      <c r="AR282" s="423"/>
      <c r="AS282" s="423"/>
      <c r="AT282" s="423"/>
      <c r="AU282" s="423"/>
      <c r="AV282" s="423"/>
      <c r="AW282" s="423"/>
      <c r="AX282" s="423"/>
      <c r="AY282" s="423"/>
      <c r="AZ282" s="423"/>
      <c r="BA282" s="423"/>
      <c r="BB282" s="423"/>
      <c r="BC282" s="423"/>
      <c r="BD282" s="423"/>
      <c r="BE282" s="423"/>
      <c r="BF282" s="423"/>
      <c r="BG282" s="423"/>
      <c r="BH282" s="423"/>
      <c r="BI282" s="423"/>
      <c r="BJ282" s="423"/>
      <c r="BK282" s="423"/>
      <c r="BL282" s="423"/>
      <c r="BM282" s="423"/>
      <c r="BN282" s="423"/>
      <c r="BO282" s="423"/>
      <c r="BP282" s="423"/>
      <c r="BQ282" s="423"/>
      <c r="BR282" s="423"/>
      <c r="BS282" s="423"/>
      <c r="BT282" s="423"/>
      <c r="BU282" s="423"/>
      <c r="BV282" s="423"/>
      <c r="BW282" s="423"/>
      <c r="BX282" s="423"/>
      <c r="BY282" s="423"/>
      <c r="BZ282" s="423"/>
      <c r="CA282" s="423"/>
      <c r="CB282" s="423"/>
      <c r="CC282" s="423"/>
    </row>
    <row r="283" spans="3:81">
      <c r="C283" s="423"/>
      <c r="D283" s="423"/>
      <c r="E283" s="423"/>
      <c r="F283" s="423"/>
      <c r="G283" s="423"/>
      <c r="H283" s="423"/>
      <c r="I283" s="423"/>
      <c r="J283" s="423"/>
      <c r="K283" s="423"/>
      <c r="L283" s="423"/>
      <c r="M283" s="423"/>
      <c r="N283" s="423"/>
      <c r="O283" s="423"/>
      <c r="P283" s="423"/>
      <c r="Q283" s="423"/>
      <c r="R283" s="423"/>
      <c r="S283" s="423"/>
      <c r="T283" s="423"/>
      <c r="U283" s="423"/>
      <c r="V283" s="423"/>
      <c r="W283" s="423"/>
      <c r="X283" s="423"/>
      <c r="Y283" s="423"/>
      <c r="Z283" s="423"/>
      <c r="AA283" s="423"/>
      <c r="AB283" s="423"/>
      <c r="AC283" s="423"/>
      <c r="AD283" s="423"/>
      <c r="AE283" s="423"/>
      <c r="AF283" s="423"/>
      <c r="AG283" s="423"/>
      <c r="AH283" s="423"/>
      <c r="AI283" s="423"/>
      <c r="AJ283" s="423"/>
      <c r="AK283" s="423"/>
      <c r="AL283" s="423"/>
      <c r="AM283" s="423"/>
      <c r="AN283" s="423"/>
      <c r="AO283" s="423"/>
      <c r="AQ283" s="423"/>
      <c r="AR283" s="423"/>
      <c r="AS283" s="423"/>
      <c r="AT283" s="423"/>
      <c r="AU283" s="423"/>
      <c r="AV283" s="423"/>
      <c r="AW283" s="423"/>
      <c r="AX283" s="423"/>
      <c r="AY283" s="423"/>
      <c r="AZ283" s="423"/>
      <c r="BA283" s="423"/>
      <c r="BB283" s="423"/>
      <c r="BC283" s="423"/>
      <c r="BD283" s="423"/>
      <c r="BE283" s="423"/>
      <c r="BF283" s="423"/>
      <c r="BG283" s="423"/>
      <c r="BH283" s="423"/>
      <c r="BI283" s="423"/>
      <c r="BJ283" s="423"/>
      <c r="BK283" s="423"/>
      <c r="BL283" s="423"/>
      <c r="BM283" s="423"/>
      <c r="BN283" s="423"/>
      <c r="BO283" s="423"/>
      <c r="BP283" s="423"/>
      <c r="BQ283" s="423"/>
      <c r="BR283" s="423"/>
      <c r="BS283" s="423"/>
      <c r="BT283" s="423"/>
      <c r="BU283" s="423"/>
      <c r="BV283" s="423"/>
      <c r="BW283" s="423"/>
      <c r="BX283" s="423"/>
      <c r="BY283" s="423"/>
      <c r="BZ283" s="423"/>
      <c r="CA283" s="423"/>
      <c r="CB283" s="423"/>
      <c r="CC283" s="423"/>
    </row>
    <row r="284" spans="3:81">
      <c r="C284" s="423"/>
      <c r="D284" s="423"/>
      <c r="E284" s="423"/>
      <c r="F284" s="423"/>
      <c r="G284" s="423"/>
      <c r="H284" s="423"/>
      <c r="I284" s="423"/>
      <c r="J284" s="423"/>
      <c r="K284" s="423"/>
      <c r="L284" s="423"/>
      <c r="M284" s="423"/>
      <c r="N284" s="423"/>
      <c r="O284" s="423"/>
      <c r="P284" s="423"/>
      <c r="Q284" s="423"/>
      <c r="R284" s="423"/>
      <c r="S284" s="423"/>
      <c r="T284" s="423"/>
      <c r="U284" s="423"/>
      <c r="V284" s="423"/>
      <c r="W284" s="423"/>
      <c r="X284" s="423"/>
      <c r="Y284" s="423"/>
      <c r="Z284" s="423"/>
      <c r="AA284" s="423"/>
      <c r="AB284" s="423"/>
      <c r="AC284" s="423"/>
      <c r="AD284" s="423"/>
      <c r="AE284" s="423"/>
      <c r="AF284" s="423"/>
      <c r="AG284" s="423"/>
      <c r="AH284" s="423"/>
      <c r="AI284" s="423"/>
      <c r="AJ284" s="423"/>
      <c r="AK284" s="423"/>
      <c r="AL284" s="423"/>
      <c r="AM284" s="423"/>
      <c r="AN284" s="423"/>
      <c r="AO284" s="423"/>
      <c r="AQ284" s="423"/>
      <c r="AR284" s="423"/>
      <c r="AS284" s="423"/>
      <c r="AT284" s="423"/>
      <c r="AU284" s="423"/>
      <c r="AV284" s="423"/>
      <c r="AW284" s="423"/>
      <c r="AX284" s="423"/>
      <c r="AY284" s="423"/>
      <c r="AZ284" s="423"/>
      <c r="BA284" s="423"/>
      <c r="BB284" s="423"/>
      <c r="BC284" s="423"/>
      <c r="BD284" s="423"/>
      <c r="BE284" s="423"/>
      <c r="BF284" s="423"/>
      <c r="BG284" s="423"/>
      <c r="BH284" s="423"/>
      <c r="BI284" s="423"/>
      <c r="BJ284" s="423"/>
      <c r="BK284" s="423"/>
      <c r="BL284" s="423"/>
      <c r="BM284" s="423"/>
      <c r="BN284" s="423"/>
      <c r="BO284" s="423"/>
      <c r="BP284" s="423"/>
      <c r="BQ284" s="423"/>
      <c r="BR284" s="423"/>
      <c r="BS284" s="423"/>
      <c r="BT284" s="423"/>
      <c r="BU284" s="423"/>
      <c r="BV284" s="423"/>
      <c r="BW284" s="423"/>
      <c r="BX284" s="423"/>
      <c r="BY284" s="423"/>
      <c r="BZ284" s="423"/>
      <c r="CA284" s="423"/>
      <c r="CB284" s="423"/>
      <c r="CC284" s="423"/>
    </row>
    <row r="285" spans="3:81">
      <c r="C285" s="423"/>
      <c r="D285" s="423"/>
      <c r="E285" s="423"/>
      <c r="F285" s="423"/>
      <c r="G285" s="423"/>
      <c r="H285" s="423"/>
      <c r="I285" s="423"/>
      <c r="J285" s="423"/>
      <c r="K285" s="423"/>
      <c r="L285" s="423"/>
      <c r="M285" s="423"/>
      <c r="N285" s="423"/>
      <c r="O285" s="423"/>
      <c r="P285" s="423"/>
      <c r="Q285" s="423"/>
      <c r="R285" s="423"/>
      <c r="S285" s="423"/>
      <c r="T285" s="423"/>
      <c r="U285" s="423"/>
      <c r="V285" s="423"/>
      <c r="W285" s="423"/>
      <c r="X285" s="423"/>
      <c r="Y285" s="423"/>
      <c r="Z285" s="423"/>
      <c r="AA285" s="423"/>
      <c r="AB285" s="423"/>
      <c r="AC285" s="423"/>
      <c r="AD285" s="423"/>
      <c r="AE285" s="423"/>
      <c r="AF285" s="423"/>
      <c r="AG285" s="423"/>
      <c r="AH285" s="423"/>
      <c r="AI285" s="423"/>
      <c r="AJ285" s="423"/>
      <c r="AK285" s="423"/>
      <c r="AL285" s="423"/>
      <c r="AM285" s="423"/>
      <c r="AN285" s="423"/>
      <c r="AO285" s="423"/>
      <c r="AQ285" s="423"/>
      <c r="AR285" s="423"/>
      <c r="AS285" s="423"/>
      <c r="AT285" s="423"/>
      <c r="AU285" s="423"/>
      <c r="AV285" s="423"/>
      <c r="AW285" s="423"/>
      <c r="AX285" s="423"/>
      <c r="AY285" s="423"/>
      <c r="AZ285" s="423"/>
      <c r="BA285" s="423"/>
      <c r="BB285" s="423"/>
      <c r="BC285" s="423"/>
      <c r="BD285" s="423"/>
      <c r="BE285" s="423"/>
      <c r="BF285" s="423"/>
      <c r="BG285" s="423"/>
      <c r="BH285" s="423"/>
      <c r="BI285" s="423"/>
      <c r="BJ285" s="423"/>
      <c r="BK285" s="423"/>
      <c r="BL285" s="423"/>
      <c r="BM285" s="423"/>
      <c r="BN285" s="423"/>
      <c r="BO285" s="423"/>
      <c r="BP285" s="423"/>
      <c r="BQ285" s="423"/>
      <c r="BR285" s="423"/>
      <c r="BS285" s="423"/>
      <c r="BT285" s="423"/>
      <c r="BU285" s="423"/>
      <c r="BV285" s="423"/>
      <c r="BW285" s="423"/>
      <c r="BX285" s="423"/>
      <c r="BY285" s="423"/>
      <c r="BZ285" s="423"/>
      <c r="CA285" s="423"/>
      <c r="CB285" s="423"/>
      <c r="CC285" s="423"/>
    </row>
    <row r="286" spans="3:81">
      <c r="C286" s="423"/>
      <c r="D286" s="423"/>
      <c r="E286" s="423"/>
      <c r="F286" s="423"/>
      <c r="G286" s="423"/>
      <c r="H286" s="423"/>
      <c r="I286" s="423"/>
      <c r="J286" s="423"/>
      <c r="K286" s="423"/>
      <c r="L286" s="423"/>
      <c r="M286" s="423"/>
      <c r="N286" s="423"/>
      <c r="O286" s="423"/>
      <c r="P286" s="423"/>
      <c r="Q286" s="423"/>
      <c r="R286" s="423"/>
      <c r="S286" s="423"/>
      <c r="T286" s="423"/>
      <c r="U286" s="423"/>
      <c r="V286" s="423"/>
      <c r="W286" s="423"/>
      <c r="X286" s="423"/>
      <c r="Y286" s="423"/>
      <c r="Z286" s="423"/>
      <c r="AA286" s="423"/>
      <c r="AB286" s="423"/>
      <c r="AC286" s="423"/>
      <c r="AD286" s="423"/>
      <c r="AE286" s="423"/>
      <c r="AF286" s="423"/>
      <c r="AG286" s="423"/>
      <c r="AH286" s="423"/>
      <c r="AI286" s="423"/>
      <c r="AJ286" s="423"/>
      <c r="AK286" s="423"/>
      <c r="AL286" s="423"/>
      <c r="AM286" s="423"/>
      <c r="AN286" s="423"/>
      <c r="AO286" s="423"/>
      <c r="AQ286" s="423"/>
      <c r="AR286" s="423"/>
      <c r="AS286" s="423"/>
      <c r="AT286" s="423"/>
      <c r="AU286" s="423"/>
      <c r="AV286" s="423"/>
      <c r="AW286" s="423"/>
      <c r="AX286" s="423"/>
      <c r="AY286" s="423"/>
      <c r="AZ286" s="423"/>
      <c r="BA286" s="423"/>
      <c r="BB286" s="423"/>
      <c r="BC286" s="423"/>
      <c r="BD286" s="423"/>
      <c r="BE286" s="423"/>
      <c r="BF286" s="423"/>
      <c r="BG286" s="423"/>
      <c r="BH286" s="423"/>
      <c r="BI286" s="423"/>
      <c r="BJ286" s="423"/>
      <c r="BK286" s="423"/>
      <c r="BL286" s="423"/>
      <c r="BM286" s="423"/>
      <c r="BN286" s="423"/>
      <c r="BO286" s="423"/>
      <c r="BP286" s="423"/>
      <c r="BQ286" s="423"/>
      <c r="BR286" s="423"/>
      <c r="BS286" s="423"/>
      <c r="BT286" s="423"/>
      <c r="BU286" s="423"/>
      <c r="BV286" s="423"/>
      <c r="BW286" s="423"/>
      <c r="BX286" s="423"/>
      <c r="BY286" s="423"/>
      <c r="BZ286" s="423"/>
      <c r="CA286" s="423"/>
      <c r="CB286" s="423"/>
      <c r="CC286" s="423"/>
    </row>
    <row r="287" spans="3:81">
      <c r="C287" s="423"/>
      <c r="D287" s="423"/>
      <c r="E287" s="423"/>
      <c r="F287" s="423"/>
      <c r="G287" s="423"/>
      <c r="H287" s="423"/>
      <c r="I287" s="423"/>
      <c r="J287" s="423"/>
      <c r="K287" s="423"/>
      <c r="L287" s="423"/>
      <c r="M287" s="423"/>
      <c r="N287" s="423"/>
      <c r="O287" s="423"/>
      <c r="P287" s="423"/>
      <c r="Q287" s="423"/>
      <c r="R287" s="423"/>
      <c r="S287" s="423"/>
      <c r="T287" s="423"/>
      <c r="U287" s="423"/>
      <c r="V287" s="423"/>
      <c r="W287" s="423"/>
      <c r="X287" s="423"/>
      <c r="Y287" s="423"/>
      <c r="Z287" s="423"/>
      <c r="AA287" s="423"/>
      <c r="AB287" s="423"/>
      <c r="AC287" s="423"/>
      <c r="AD287" s="423"/>
      <c r="AE287" s="423"/>
      <c r="AF287" s="423"/>
      <c r="AG287" s="423"/>
      <c r="AH287" s="423"/>
      <c r="AI287" s="423"/>
      <c r="AJ287" s="423"/>
      <c r="AK287" s="423"/>
      <c r="AL287" s="423"/>
      <c r="AM287" s="423"/>
      <c r="AN287" s="423"/>
      <c r="AO287" s="423"/>
      <c r="AQ287" s="423"/>
      <c r="AR287" s="423"/>
      <c r="AS287" s="423"/>
      <c r="AT287" s="423"/>
      <c r="AU287" s="423"/>
      <c r="AV287" s="423"/>
      <c r="AW287" s="423"/>
      <c r="AX287" s="423"/>
      <c r="AY287" s="423"/>
      <c r="AZ287" s="423"/>
      <c r="BA287" s="423"/>
      <c r="BB287" s="423"/>
      <c r="BC287" s="423"/>
      <c r="BD287" s="423"/>
      <c r="BE287" s="423"/>
      <c r="BF287" s="423"/>
      <c r="BG287" s="423"/>
      <c r="BH287" s="423"/>
      <c r="BI287" s="423"/>
      <c r="BJ287" s="423"/>
      <c r="BK287" s="423"/>
      <c r="BL287" s="423"/>
      <c r="BM287" s="423"/>
      <c r="BN287" s="423"/>
      <c r="BO287" s="423"/>
      <c r="BP287" s="423"/>
      <c r="BQ287" s="423"/>
      <c r="BR287" s="423"/>
      <c r="BS287" s="423"/>
      <c r="BT287" s="423"/>
      <c r="BU287" s="423"/>
      <c r="BV287" s="423"/>
      <c r="BW287" s="423"/>
      <c r="BX287" s="423"/>
      <c r="BY287" s="423"/>
      <c r="BZ287" s="423"/>
      <c r="CA287" s="423"/>
      <c r="CB287" s="423"/>
      <c r="CC287" s="423"/>
    </row>
    <row r="288" spans="3:81">
      <c r="C288" s="423"/>
      <c r="D288" s="423"/>
      <c r="E288" s="423"/>
      <c r="F288" s="423"/>
      <c r="G288" s="423"/>
      <c r="H288" s="423"/>
      <c r="I288" s="423"/>
      <c r="J288" s="423"/>
      <c r="K288" s="423"/>
      <c r="L288" s="423"/>
      <c r="M288" s="423"/>
      <c r="N288" s="423"/>
      <c r="O288" s="423"/>
      <c r="P288" s="423"/>
      <c r="Q288" s="423"/>
      <c r="R288" s="423"/>
      <c r="S288" s="423"/>
      <c r="T288" s="423"/>
      <c r="U288" s="423"/>
      <c r="V288" s="423"/>
      <c r="W288" s="423"/>
      <c r="X288" s="423"/>
      <c r="Y288" s="423"/>
      <c r="Z288" s="423"/>
      <c r="AA288" s="423"/>
      <c r="AB288" s="423"/>
      <c r="AC288" s="423"/>
      <c r="AD288" s="423"/>
      <c r="AE288" s="423"/>
      <c r="AF288" s="423"/>
      <c r="AG288" s="423"/>
      <c r="AH288" s="423"/>
      <c r="AI288" s="423"/>
      <c r="AJ288" s="423"/>
      <c r="AK288" s="423"/>
      <c r="AL288" s="423"/>
      <c r="AM288" s="423"/>
      <c r="AN288" s="423"/>
      <c r="AO288" s="423"/>
      <c r="AQ288" s="423"/>
      <c r="AR288" s="423"/>
      <c r="AS288" s="423"/>
      <c r="AT288" s="423"/>
      <c r="AU288" s="423"/>
      <c r="AV288" s="423"/>
      <c r="AW288" s="423"/>
      <c r="AX288" s="423"/>
      <c r="AY288" s="423"/>
      <c r="AZ288" s="423"/>
      <c r="BA288" s="423"/>
      <c r="BB288" s="423"/>
      <c r="BC288" s="423"/>
      <c r="BD288" s="423"/>
      <c r="BE288" s="423"/>
      <c r="BF288" s="423"/>
      <c r="BG288" s="423"/>
      <c r="BH288" s="423"/>
      <c r="BI288" s="423"/>
      <c r="BJ288" s="423"/>
      <c r="BK288" s="423"/>
      <c r="BL288" s="423"/>
      <c r="BM288" s="423"/>
      <c r="BN288" s="423"/>
      <c r="BO288" s="423"/>
      <c r="BP288" s="423"/>
      <c r="BQ288" s="423"/>
      <c r="BR288" s="423"/>
      <c r="BS288" s="423"/>
      <c r="BT288" s="423"/>
      <c r="BU288" s="423"/>
      <c r="BV288" s="423"/>
      <c r="BW288" s="423"/>
      <c r="BX288" s="423"/>
      <c r="BY288" s="423"/>
      <c r="BZ288" s="423"/>
      <c r="CA288" s="423"/>
      <c r="CB288" s="423"/>
      <c r="CC288" s="423"/>
    </row>
    <row r="289" spans="3:81">
      <c r="C289" s="423"/>
      <c r="D289" s="423"/>
      <c r="E289" s="423"/>
      <c r="F289" s="423"/>
      <c r="G289" s="423"/>
      <c r="H289" s="423"/>
      <c r="I289" s="423"/>
      <c r="J289" s="423"/>
      <c r="K289" s="423"/>
      <c r="L289" s="423"/>
      <c r="M289" s="423"/>
      <c r="N289" s="423"/>
      <c r="O289" s="423"/>
      <c r="P289" s="423"/>
      <c r="Q289" s="423"/>
      <c r="R289" s="423"/>
      <c r="S289" s="423"/>
      <c r="T289" s="423"/>
      <c r="U289" s="423"/>
      <c r="V289" s="423"/>
      <c r="W289" s="423"/>
      <c r="X289" s="423"/>
      <c r="Y289" s="423"/>
      <c r="Z289" s="423"/>
      <c r="AA289" s="423"/>
      <c r="AB289" s="423"/>
      <c r="AC289" s="423"/>
      <c r="AD289" s="423"/>
      <c r="AE289" s="423"/>
      <c r="AF289" s="423"/>
      <c r="AG289" s="423"/>
      <c r="AH289" s="423"/>
      <c r="AI289" s="423"/>
      <c r="AJ289" s="423"/>
      <c r="AK289" s="423"/>
      <c r="AL289" s="423"/>
      <c r="AM289" s="423"/>
      <c r="AN289" s="423"/>
      <c r="AO289" s="423"/>
      <c r="AQ289" s="423"/>
      <c r="AR289" s="423"/>
      <c r="AS289" s="423"/>
      <c r="AT289" s="423"/>
      <c r="AU289" s="423"/>
      <c r="AV289" s="423"/>
      <c r="AW289" s="423"/>
      <c r="AX289" s="423"/>
      <c r="AY289" s="423"/>
      <c r="AZ289" s="423"/>
      <c r="BA289" s="423"/>
      <c r="BB289" s="423"/>
      <c r="BC289" s="423"/>
      <c r="BD289" s="423"/>
      <c r="BE289" s="423"/>
      <c r="BF289" s="423"/>
      <c r="BG289" s="423"/>
      <c r="BH289" s="423"/>
      <c r="BI289" s="423"/>
      <c r="BJ289" s="423"/>
      <c r="BK289" s="423"/>
      <c r="BL289" s="423"/>
      <c r="BM289" s="423"/>
      <c r="BN289" s="423"/>
      <c r="BO289" s="423"/>
      <c r="BP289" s="423"/>
      <c r="BQ289" s="423"/>
      <c r="BR289" s="423"/>
      <c r="BS289" s="423"/>
      <c r="BT289" s="423"/>
      <c r="BU289" s="423"/>
      <c r="BV289" s="423"/>
      <c r="BW289" s="423"/>
      <c r="BX289" s="423"/>
      <c r="BY289" s="423"/>
      <c r="BZ289" s="423"/>
      <c r="CA289" s="423"/>
      <c r="CB289" s="423"/>
      <c r="CC289" s="423"/>
    </row>
    <row r="290" spans="3:81">
      <c r="C290" s="423"/>
      <c r="D290" s="423"/>
      <c r="E290" s="423"/>
      <c r="F290" s="423"/>
      <c r="G290" s="423"/>
      <c r="H290" s="423"/>
      <c r="I290" s="423"/>
      <c r="J290" s="423"/>
      <c r="K290" s="423"/>
      <c r="L290" s="423"/>
      <c r="M290" s="423"/>
      <c r="N290" s="423"/>
      <c r="O290" s="423"/>
      <c r="P290" s="423"/>
      <c r="Q290" s="423"/>
      <c r="R290" s="423"/>
      <c r="S290" s="423"/>
      <c r="T290" s="423"/>
      <c r="U290" s="423"/>
      <c r="V290" s="423"/>
      <c r="W290" s="423"/>
      <c r="X290" s="423"/>
      <c r="Y290" s="423"/>
      <c r="Z290" s="423"/>
      <c r="AA290" s="423"/>
      <c r="AB290" s="423"/>
      <c r="AC290" s="423"/>
      <c r="AD290" s="423"/>
      <c r="AE290" s="423"/>
      <c r="AF290" s="423"/>
      <c r="AG290" s="423"/>
      <c r="AH290" s="423"/>
      <c r="AI290" s="423"/>
      <c r="AJ290" s="423"/>
      <c r="AK290" s="423"/>
      <c r="AL290" s="423"/>
      <c r="AM290" s="423"/>
      <c r="AN290" s="423"/>
      <c r="AO290" s="423"/>
      <c r="AQ290" s="423"/>
      <c r="AR290" s="423"/>
      <c r="AS290" s="423"/>
      <c r="AT290" s="423"/>
      <c r="AU290" s="423"/>
      <c r="AV290" s="423"/>
      <c r="AW290" s="423"/>
      <c r="AX290" s="423"/>
      <c r="AY290" s="423"/>
      <c r="AZ290" s="423"/>
      <c r="BA290" s="423"/>
      <c r="BB290" s="423"/>
      <c r="BC290" s="423"/>
      <c r="BD290" s="423"/>
      <c r="BE290" s="423"/>
      <c r="BF290" s="423"/>
      <c r="BG290" s="423"/>
      <c r="BH290" s="423"/>
      <c r="BI290" s="423"/>
      <c r="BJ290" s="423"/>
      <c r="BK290" s="423"/>
      <c r="BL290" s="423"/>
      <c r="BM290" s="423"/>
      <c r="BN290" s="423"/>
      <c r="BO290" s="423"/>
      <c r="BP290" s="423"/>
      <c r="BQ290" s="423"/>
      <c r="BR290" s="423"/>
      <c r="BS290" s="423"/>
      <c r="BT290" s="423"/>
      <c r="BU290" s="423"/>
      <c r="BV290" s="423"/>
      <c r="BW290" s="423"/>
      <c r="BX290" s="423"/>
      <c r="BY290" s="423"/>
      <c r="BZ290" s="423"/>
      <c r="CA290" s="423"/>
      <c r="CB290" s="423"/>
      <c r="CC290" s="423"/>
    </row>
    <row r="291" spans="3:81">
      <c r="C291" s="423"/>
      <c r="D291" s="423"/>
      <c r="E291" s="423"/>
      <c r="F291" s="423"/>
      <c r="G291" s="423"/>
      <c r="H291" s="423"/>
      <c r="I291" s="423"/>
      <c r="J291" s="423"/>
      <c r="K291" s="423"/>
      <c r="L291" s="423"/>
      <c r="M291" s="423"/>
      <c r="N291" s="423"/>
      <c r="O291" s="423"/>
      <c r="P291" s="423"/>
      <c r="Q291" s="423"/>
      <c r="R291" s="423"/>
      <c r="S291" s="423"/>
      <c r="T291" s="423"/>
      <c r="U291" s="423"/>
      <c r="V291" s="423"/>
      <c r="W291" s="423"/>
      <c r="X291" s="423"/>
      <c r="Y291" s="423"/>
      <c r="Z291" s="423"/>
      <c r="AA291" s="423"/>
      <c r="AB291" s="423"/>
      <c r="AC291" s="423"/>
      <c r="AD291" s="423"/>
      <c r="AE291" s="423"/>
      <c r="AF291" s="423"/>
      <c r="AG291" s="423"/>
      <c r="AH291" s="423"/>
      <c r="AI291" s="423"/>
      <c r="AJ291" s="423"/>
      <c r="AK291" s="423"/>
      <c r="AL291" s="423"/>
      <c r="AM291" s="423"/>
      <c r="AN291" s="423"/>
      <c r="AO291" s="423"/>
      <c r="AQ291" s="423"/>
      <c r="AR291" s="423"/>
      <c r="AS291" s="423"/>
      <c r="AT291" s="423"/>
      <c r="AU291" s="423"/>
      <c r="AV291" s="423"/>
      <c r="AW291" s="423"/>
      <c r="AX291" s="423"/>
      <c r="AY291" s="423"/>
      <c r="AZ291" s="423"/>
      <c r="BA291" s="423"/>
      <c r="BB291" s="423"/>
      <c r="BC291" s="423"/>
      <c r="BD291" s="423"/>
      <c r="BE291" s="423"/>
      <c r="BF291" s="423"/>
      <c r="BG291" s="423"/>
      <c r="BH291" s="423"/>
      <c r="BI291" s="423"/>
      <c r="BJ291" s="423"/>
      <c r="BK291" s="423"/>
      <c r="BL291" s="423"/>
      <c r="BM291" s="423"/>
      <c r="BN291" s="423"/>
      <c r="BO291" s="423"/>
      <c r="BP291" s="423"/>
      <c r="BQ291" s="423"/>
      <c r="BR291" s="423"/>
      <c r="BS291" s="423"/>
      <c r="BT291" s="423"/>
      <c r="BU291" s="423"/>
      <c r="BV291" s="423"/>
      <c r="BW291" s="423"/>
      <c r="BX291" s="423"/>
      <c r="BY291" s="423"/>
      <c r="BZ291" s="423"/>
      <c r="CA291" s="423"/>
      <c r="CB291" s="423"/>
      <c r="CC291" s="423"/>
    </row>
    <row r="292" spans="3:81">
      <c r="C292" s="423"/>
      <c r="D292" s="423"/>
      <c r="E292" s="423"/>
      <c r="F292" s="423"/>
      <c r="G292" s="423"/>
      <c r="H292" s="423"/>
      <c r="I292" s="423"/>
      <c r="J292" s="423"/>
      <c r="K292" s="423"/>
      <c r="L292" s="423"/>
      <c r="M292" s="423"/>
      <c r="N292" s="423"/>
      <c r="O292" s="423"/>
      <c r="P292" s="423"/>
      <c r="Q292" s="423"/>
      <c r="R292" s="423"/>
      <c r="S292" s="423"/>
      <c r="T292" s="423"/>
      <c r="U292" s="423"/>
      <c r="V292" s="423"/>
      <c r="W292" s="423"/>
      <c r="X292" s="423"/>
      <c r="Y292" s="423"/>
      <c r="Z292" s="423"/>
      <c r="AA292" s="423"/>
      <c r="AB292" s="423"/>
      <c r="AC292" s="423"/>
      <c r="AD292" s="423"/>
      <c r="AE292" s="423"/>
      <c r="AF292" s="423"/>
      <c r="AG292" s="423"/>
      <c r="AH292" s="423"/>
      <c r="AI292" s="423"/>
      <c r="AJ292" s="423"/>
      <c r="AK292" s="423"/>
      <c r="AL292" s="423"/>
      <c r="AM292" s="423"/>
      <c r="AN292" s="423"/>
      <c r="AO292" s="423"/>
      <c r="AQ292" s="423"/>
      <c r="AR292" s="423"/>
      <c r="AS292" s="423"/>
      <c r="AT292" s="423"/>
      <c r="AU292" s="423"/>
      <c r="AV292" s="423"/>
      <c r="AW292" s="423"/>
      <c r="AX292" s="423"/>
      <c r="AY292" s="423"/>
      <c r="AZ292" s="423"/>
      <c r="BA292" s="423"/>
      <c r="BB292" s="423"/>
      <c r="BC292" s="423"/>
      <c r="BD292" s="423"/>
      <c r="BE292" s="423"/>
      <c r="BF292" s="423"/>
      <c r="BG292" s="423"/>
      <c r="BH292" s="423"/>
      <c r="BI292" s="423"/>
      <c r="BJ292" s="423"/>
      <c r="BK292" s="423"/>
      <c r="BL292" s="423"/>
      <c r="BM292" s="423"/>
      <c r="BN292" s="423"/>
      <c r="BO292" s="423"/>
      <c r="BP292" s="423"/>
      <c r="BQ292" s="423"/>
      <c r="BR292" s="423"/>
      <c r="BS292" s="423"/>
      <c r="BT292" s="423"/>
      <c r="BU292" s="423"/>
      <c r="BV292" s="423"/>
      <c r="BW292" s="423"/>
      <c r="BX292" s="423"/>
      <c r="BY292" s="423"/>
      <c r="BZ292" s="423"/>
      <c r="CA292" s="423"/>
      <c r="CB292" s="423"/>
      <c r="CC292" s="423"/>
    </row>
    <row r="293" spans="3:81">
      <c r="C293" s="423"/>
      <c r="D293" s="423"/>
      <c r="E293" s="423"/>
      <c r="F293" s="423"/>
      <c r="G293" s="423"/>
      <c r="H293" s="423"/>
      <c r="I293" s="423"/>
      <c r="J293" s="423"/>
      <c r="K293" s="423"/>
      <c r="L293" s="423"/>
      <c r="M293" s="423"/>
      <c r="N293" s="423"/>
      <c r="O293" s="423"/>
      <c r="P293" s="423"/>
      <c r="Q293" s="423"/>
      <c r="R293" s="423"/>
      <c r="S293" s="423"/>
      <c r="T293" s="423"/>
      <c r="U293" s="423"/>
      <c r="V293" s="423"/>
      <c r="W293" s="423"/>
      <c r="X293" s="423"/>
      <c r="Y293" s="423"/>
      <c r="Z293" s="423"/>
      <c r="AA293" s="423"/>
      <c r="AB293" s="423"/>
      <c r="AC293" s="423"/>
      <c r="AD293" s="423"/>
      <c r="AE293" s="423"/>
      <c r="AF293" s="423"/>
      <c r="AG293" s="423"/>
      <c r="AH293" s="423"/>
      <c r="AI293" s="423"/>
      <c r="AJ293" s="423"/>
      <c r="AK293" s="423"/>
      <c r="AL293" s="423"/>
      <c r="AM293" s="423"/>
      <c r="AN293" s="423"/>
      <c r="AO293" s="423"/>
      <c r="AQ293" s="423"/>
      <c r="AR293" s="423"/>
      <c r="AS293" s="423"/>
      <c r="AT293" s="423"/>
      <c r="AU293" s="423"/>
      <c r="AV293" s="423"/>
      <c r="AW293" s="423"/>
      <c r="AX293" s="423"/>
      <c r="AY293" s="423"/>
      <c r="AZ293" s="423"/>
      <c r="BA293" s="423"/>
      <c r="BB293" s="423"/>
      <c r="BC293" s="423"/>
      <c r="BD293" s="423"/>
      <c r="BE293" s="423"/>
      <c r="BF293" s="423"/>
      <c r="BG293" s="423"/>
      <c r="BH293" s="423"/>
      <c r="BI293" s="423"/>
      <c r="BJ293" s="423"/>
      <c r="BK293" s="423"/>
      <c r="BL293" s="423"/>
      <c r="BM293" s="423"/>
      <c r="BN293" s="423"/>
      <c r="BO293" s="423"/>
      <c r="BP293" s="423"/>
      <c r="BQ293" s="423"/>
      <c r="BR293" s="423"/>
      <c r="BS293" s="423"/>
      <c r="BT293" s="423"/>
      <c r="BU293" s="423"/>
      <c r="BV293" s="423"/>
      <c r="BW293" s="423"/>
      <c r="BX293" s="423"/>
      <c r="BY293" s="423"/>
      <c r="BZ293" s="423"/>
      <c r="CA293" s="423"/>
      <c r="CB293" s="423"/>
      <c r="CC293" s="423"/>
    </row>
    <row r="294" spans="3:81">
      <c r="C294" s="423"/>
      <c r="D294" s="423"/>
      <c r="E294" s="423"/>
      <c r="F294" s="423"/>
      <c r="G294" s="423"/>
      <c r="H294" s="423"/>
      <c r="I294" s="423"/>
      <c r="J294" s="423"/>
      <c r="K294" s="423"/>
      <c r="L294" s="423"/>
      <c r="M294" s="423"/>
      <c r="N294" s="423"/>
      <c r="O294" s="423"/>
      <c r="P294" s="423"/>
      <c r="Q294" s="423"/>
      <c r="R294" s="423"/>
      <c r="S294" s="423"/>
      <c r="T294" s="423"/>
      <c r="U294" s="423"/>
      <c r="V294" s="423"/>
      <c r="W294" s="423"/>
      <c r="X294" s="423"/>
      <c r="Y294" s="423"/>
      <c r="Z294" s="423"/>
      <c r="AA294" s="423"/>
      <c r="AB294" s="423"/>
      <c r="AC294" s="423"/>
      <c r="AD294" s="423"/>
      <c r="AE294" s="423"/>
      <c r="AF294" s="423"/>
      <c r="AG294" s="423"/>
      <c r="AH294" s="423"/>
      <c r="AI294" s="423"/>
      <c r="AJ294" s="423"/>
      <c r="AK294" s="423"/>
      <c r="AL294" s="423"/>
      <c r="AM294" s="423"/>
      <c r="AN294" s="423"/>
      <c r="AO294" s="423"/>
      <c r="AQ294" s="423"/>
      <c r="AR294" s="423"/>
      <c r="AS294" s="423"/>
      <c r="AT294" s="423"/>
      <c r="AU294" s="423"/>
      <c r="AV294" s="423"/>
      <c r="AW294" s="423"/>
      <c r="AX294" s="423"/>
      <c r="AY294" s="423"/>
      <c r="AZ294" s="423"/>
      <c r="BA294" s="423"/>
      <c r="BB294" s="423"/>
      <c r="BC294" s="423"/>
      <c r="BD294" s="423"/>
      <c r="BE294" s="423"/>
      <c r="BF294" s="423"/>
      <c r="BG294" s="423"/>
      <c r="BH294" s="423"/>
      <c r="BI294" s="423"/>
      <c r="BJ294" s="423"/>
      <c r="BK294" s="423"/>
      <c r="BL294" s="423"/>
      <c r="BM294" s="423"/>
      <c r="BN294" s="423"/>
      <c r="BO294" s="423"/>
      <c r="BP294" s="423"/>
      <c r="BQ294" s="423"/>
      <c r="BR294" s="423"/>
      <c r="BS294" s="423"/>
      <c r="BT294" s="423"/>
      <c r="BU294" s="423"/>
      <c r="BV294" s="423"/>
      <c r="BW294" s="423"/>
      <c r="BX294" s="423"/>
      <c r="BY294" s="423"/>
      <c r="BZ294" s="423"/>
      <c r="CA294" s="423"/>
      <c r="CB294" s="423"/>
      <c r="CC294" s="423"/>
    </row>
    <row r="295" spans="3:81">
      <c r="C295" s="423"/>
      <c r="D295" s="423"/>
      <c r="E295" s="423"/>
      <c r="F295" s="423"/>
      <c r="G295" s="423"/>
      <c r="H295" s="423"/>
      <c r="I295" s="423"/>
      <c r="J295" s="423"/>
      <c r="K295" s="423"/>
      <c r="L295" s="423"/>
      <c r="M295" s="423"/>
      <c r="N295" s="423"/>
      <c r="O295" s="423"/>
      <c r="P295" s="423"/>
      <c r="Q295" s="423"/>
      <c r="R295" s="423"/>
      <c r="S295" s="423"/>
      <c r="T295" s="423"/>
      <c r="U295" s="423"/>
      <c r="V295" s="423"/>
      <c r="W295" s="423"/>
      <c r="X295" s="423"/>
      <c r="Y295" s="423"/>
      <c r="Z295" s="423"/>
      <c r="AA295" s="423"/>
      <c r="AB295" s="423"/>
      <c r="AC295" s="423"/>
      <c r="AD295" s="423"/>
      <c r="AE295" s="423"/>
      <c r="AF295" s="423"/>
      <c r="AG295" s="423"/>
      <c r="AH295" s="423"/>
      <c r="AI295" s="423"/>
      <c r="AJ295" s="423"/>
      <c r="AK295" s="423"/>
      <c r="AL295" s="423"/>
      <c r="AM295" s="423"/>
      <c r="AN295" s="423"/>
      <c r="AO295" s="423"/>
      <c r="AQ295" s="423"/>
      <c r="AR295" s="423"/>
      <c r="AS295" s="423"/>
      <c r="AT295" s="423"/>
      <c r="AU295" s="423"/>
      <c r="AV295" s="423"/>
      <c r="AW295" s="423"/>
      <c r="AX295" s="423"/>
      <c r="AY295" s="423"/>
      <c r="AZ295" s="423"/>
      <c r="BA295" s="423"/>
      <c r="BB295" s="423"/>
      <c r="BC295" s="423"/>
      <c r="BD295" s="423"/>
      <c r="BE295" s="423"/>
      <c r="BF295" s="423"/>
      <c r="BG295" s="423"/>
      <c r="BH295" s="423"/>
      <c r="BI295" s="423"/>
      <c r="BJ295" s="423"/>
      <c r="BK295" s="423"/>
      <c r="BL295" s="423"/>
      <c r="BM295" s="423"/>
      <c r="BN295" s="423"/>
      <c r="BO295" s="423"/>
      <c r="BP295" s="423"/>
      <c r="BQ295" s="423"/>
      <c r="BR295" s="423"/>
      <c r="BS295" s="423"/>
      <c r="BT295" s="423"/>
      <c r="BU295" s="423"/>
      <c r="BV295" s="423"/>
      <c r="BW295" s="423"/>
      <c r="BX295" s="423"/>
      <c r="BY295" s="423"/>
      <c r="BZ295" s="423"/>
      <c r="CA295" s="423"/>
      <c r="CB295" s="423"/>
      <c r="CC295" s="423"/>
    </row>
    <row r="296" spans="3:81">
      <c r="C296" s="423"/>
      <c r="D296" s="423"/>
      <c r="E296" s="423"/>
      <c r="F296" s="423"/>
      <c r="G296" s="423"/>
      <c r="H296" s="423"/>
      <c r="I296" s="423"/>
      <c r="J296" s="423"/>
      <c r="K296" s="423"/>
      <c r="L296" s="423"/>
      <c r="M296" s="423"/>
      <c r="N296" s="423"/>
      <c r="O296" s="423"/>
      <c r="P296" s="423"/>
      <c r="Q296" s="423"/>
      <c r="R296" s="423"/>
      <c r="S296" s="423"/>
      <c r="T296" s="423"/>
      <c r="U296" s="423"/>
      <c r="V296" s="423"/>
      <c r="W296" s="423"/>
      <c r="X296" s="423"/>
      <c r="Y296" s="423"/>
      <c r="Z296" s="423"/>
      <c r="AA296" s="423"/>
      <c r="AB296" s="423"/>
      <c r="AC296" s="423"/>
      <c r="AD296" s="423"/>
      <c r="AE296" s="423"/>
      <c r="AF296" s="423"/>
      <c r="AG296" s="423"/>
      <c r="AH296" s="423"/>
      <c r="AI296" s="423"/>
      <c r="AJ296" s="423"/>
      <c r="AK296" s="423"/>
      <c r="AL296" s="423"/>
      <c r="AM296" s="423"/>
      <c r="AN296" s="423"/>
      <c r="AO296" s="423"/>
      <c r="AQ296" s="423"/>
      <c r="AR296" s="423"/>
      <c r="AS296" s="423"/>
      <c r="AT296" s="423"/>
      <c r="AU296" s="423"/>
      <c r="AV296" s="423"/>
      <c r="AW296" s="423"/>
      <c r="AX296" s="423"/>
      <c r="AY296" s="423"/>
      <c r="AZ296" s="423"/>
      <c r="BA296" s="423"/>
      <c r="BB296" s="423"/>
      <c r="BC296" s="423"/>
      <c r="BD296" s="423"/>
      <c r="BE296" s="423"/>
      <c r="BF296" s="423"/>
      <c r="BG296" s="423"/>
      <c r="BH296" s="423"/>
      <c r="BI296" s="423"/>
      <c r="BJ296" s="423"/>
      <c r="BK296" s="423"/>
      <c r="BL296" s="423"/>
      <c r="BM296" s="423"/>
      <c r="BN296" s="423"/>
      <c r="BO296" s="423"/>
      <c r="BP296" s="423"/>
      <c r="BQ296" s="423"/>
      <c r="BR296" s="423"/>
      <c r="BS296" s="423"/>
      <c r="BT296" s="423"/>
      <c r="BU296" s="423"/>
      <c r="BV296" s="423"/>
      <c r="BW296" s="423"/>
      <c r="BX296" s="423"/>
      <c r="BY296" s="423"/>
      <c r="BZ296" s="423"/>
      <c r="CA296" s="423"/>
      <c r="CB296" s="423"/>
      <c r="CC296" s="423"/>
    </row>
    <row r="297" spans="3:81">
      <c r="C297" s="423"/>
      <c r="D297" s="423"/>
      <c r="E297" s="423"/>
      <c r="F297" s="423"/>
      <c r="G297" s="423"/>
      <c r="H297" s="423"/>
      <c r="I297" s="423"/>
      <c r="J297" s="423"/>
      <c r="K297" s="423"/>
      <c r="L297" s="423"/>
      <c r="M297" s="423"/>
      <c r="N297" s="423"/>
      <c r="O297" s="423"/>
      <c r="P297" s="423"/>
      <c r="Q297" s="423"/>
      <c r="R297" s="423"/>
      <c r="S297" s="423"/>
      <c r="T297" s="423"/>
      <c r="U297" s="423"/>
      <c r="V297" s="423"/>
      <c r="W297" s="423"/>
      <c r="X297" s="423"/>
      <c r="Y297" s="423"/>
      <c r="Z297" s="423"/>
      <c r="AA297" s="423"/>
      <c r="AB297" s="423"/>
      <c r="AC297" s="423"/>
      <c r="AD297" s="423"/>
      <c r="AE297" s="423"/>
      <c r="AF297" s="423"/>
      <c r="AG297" s="423"/>
      <c r="AH297" s="423"/>
      <c r="AI297" s="423"/>
      <c r="AJ297" s="423"/>
      <c r="AK297" s="423"/>
      <c r="AL297" s="423"/>
      <c r="AM297" s="423"/>
      <c r="AN297" s="423"/>
      <c r="AO297" s="423"/>
      <c r="AQ297" s="423"/>
      <c r="AR297" s="423"/>
      <c r="AS297" s="423"/>
      <c r="AT297" s="423"/>
      <c r="AU297" s="423"/>
      <c r="AV297" s="423"/>
      <c r="AW297" s="423"/>
      <c r="AX297" s="423"/>
      <c r="AY297" s="423"/>
      <c r="AZ297" s="423"/>
      <c r="BA297" s="423"/>
      <c r="BB297" s="423"/>
      <c r="BC297" s="423"/>
      <c r="BD297" s="423"/>
      <c r="BE297" s="423"/>
      <c r="BF297" s="423"/>
      <c r="BG297" s="423"/>
      <c r="BH297" s="423"/>
      <c r="BI297" s="423"/>
      <c r="BJ297" s="423"/>
      <c r="BK297" s="423"/>
      <c r="BL297" s="423"/>
      <c r="BM297" s="423"/>
      <c r="BN297" s="423"/>
      <c r="BO297" s="423"/>
      <c r="BP297" s="423"/>
      <c r="BQ297" s="423"/>
      <c r="BR297" s="423"/>
      <c r="BS297" s="423"/>
      <c r="BT297" s="423"/>
      <c r="BU297" s="423"/>
      <c r="BV297" s="423"/>
      <c r="BW297" s="423"/>
      <c r="BX297" s="423"/>
      <c r="BY297" s="423"/>
      <c r="BZ297" s="423"/>
      <c r="CA297" s="423"/>
      <c r="CB297" s="423"/>
      <c r="CC297" s="423"/>
    </row>
    <row r="298" spans="3:81">
      <c r="C298" s="423"/>
      <c r="D298" s="423"/>
      <c r="E298" s="423"/>
      <c r="F298" s="423"/>
      <c r="G298" s="423"/>
      <c r="H298" s="423"/>
      <c r="I298" s="423"/>
      <c r="J298" s="423"/>
      <c r="K298" s="423"/>
      <c r="L298" s="423"/>
      <c r="M298" s="423"/>
      <c r="N298" s="423"/>
      <c r="O298" s="423"/>
      <c r="P298" s="423"/>
      <c r="Q298" s="423"/>
      <c r="R298" s="423"/>
      <c r="S298" s="423"/>
      <c r="T298" s="423"/>
      <c r="U298" s="423"/>
      <c r="V298" s="423"/>
      <c r="W298" s="423"/>
      <c r="X298" s="423"/>
      <c r="Y298" s="423"/>
      <c r="Z298" s="423"/>
      <c r="AA298" s="423"/>
      <c r="AB298" s="423"/>
      <c r="AC298" s="423"/>
      <c r="AD298" s="423"/>
      <c r="AE298" s="423"/>
      <c r="AF298" s="423"/>
      <c r="AG298" s="423"/>
      <c r="AH298" s="423"/>
      <c r="AI298" s="423"/>
      <c r="AJ298" s="423"/>
      <c r="AK298" s="423"/>
      <c r="AL298" s="423"/>
      <c r="AM298" s="423"/>
      <c r="AN298" s="423"/>
      <c r="AO298" s="423"/>
      <c r="AQ298" s="423"/>
      <c r="AR298" s="423"/>
      <c r="AS298" s="423"/>
      <c r="AT298" s="423"/>
      <c r="AU298" s="423"/>
      <c r="AV298" s="423"/>
      <c r="AW298" s="423"/>
      <c r="AX298" s="423"/>
      <c r="AY298" s="423"/>
      <c r="AZ298" s="423"/>
      <c r="BA298" s="423"/>
      <c r="BB298" s="423"/>
      <c r="BC298" s="423"/>
      <c r="BD298" s="423"/>
      <c r="BE298" s="423"/>
      <c r="BF298" s="423"/>
      <c r="BG298" s="423"/>
      <c r="BH298" s="423"/>
      <c r="BI298" s="423"/>
      <c r="BJ298" s="423"/>
      <c r="BK298" s="423"/>
      <c r="BL298" s="423"/>
      <c r="BM298" s="423"/>
      <c r="BN298" s="423"/>
      <c r="BO298" s="423"/>
      <c r="BP298" s="423"/>
      <c r="BQ298" s="423"/>
      <c r="BR298" s="423"/>
      <c r="BS298" s="423"/>
      <c r="BT298" s="423"/>
      <c r="BU298" s="423"/>
      <c r="BV298" s="423"/>
      <c r="BW298" s="423"/>
      <c r="BX298" s="423"/>
      <c r="BY298" s="423"/>
      <c r="BZ298" s="423"/>
      <c r="CA298" s="423"/>
      <c r="CB298" s="423"/>
      <c r="CC298" s="423"/>
    </row>
    <row r="299" spans="3:81">
      <c r="C299" s="423"/>
      <c r="D299" s="423"/>
      <c r="E299" s="423"/>
      <c r="F299" s="423"/>
      <c r="G299" s="423"/>
      <c r="H299" s="423"/>
      <c r="I299" s="423"/>
      <c r="J299" s="423"/>
      <c r="K299" s="423"/>
      <c r="L299" s="423"/>
      <c r="M299" s="423"/>
      <c r="N299" s="423"/>
      <c r="O299" s="423"/>
      <c r="P299" s="423"/>
      <c r="Q299" s="423"/>
      <c r="R299" s="423"/>
      <c r="S299" s="423"/>
      <c r="T299" s="423"/>
      <c r="U299" s="423"/>
      <c r="V299" s="423"/>
      <c r="W299" s="423"/>
      <c r="X299" s="423"/>
      <c r="Y299" s="423"/>
      <c r="Z299" s="423"/>
      <c r="AA299" s="423"/>
      <c r="AB299" s="423"/>
      <c r="AC299" s="423"/>
      <c r="AD299" s="423"/>
      <c r="AE299" s="423"/>
      <c r="AF299" s="423"/>
      <c r="AG299" s="423"/>
      <c r="AH299" s="423"/>
      <c r="AI299" s="423"/>
      <c r="AJ299" s="423"/>
      <c r="AK299" s="423"/>
      <c r="AL299" s="423"/>
      <c r="AM299" s="423"/>
      <c r="AN299" s="423"/>
      <c r="AO299" s="423"/>
      <c r="AQ299" s="423"/>
      <c r="AR299" s="423"/>
      <c r="AS299" s="423"/>
      <c r="AT299" s="423"/>
      <c r="AU299" s="423"/>
      <c r="AV299" s="423"/>
      <c r="AW299" s="423"/>
      <c r="AX299" s="423"/>
      <c r="AY299" s="423"/>
      <c r="AZ299" s="423"/>
      <c r="BA299" s="423"/>
      <c r="BB299" s="423"/>
      <c r="BC299" s="423"/>
      <c r="BD299" s="423"/>
      <c r="BE299" s="423"/>
      <c r="BF299" s="423"/>
      <c r="BG299" s="423"/>
      <c r="BH299" s="423"/>
      <c r="BI299" s="423"/>
      <c r="BJ299" s="423"/>
      <c r="BK299" s="423"/>
      <c r="BL299" s="423"/>
      <c r="BM299" s="423"/>
      <c r="BN299" s="423"/>
      <c r="BO299" s="423"/>
      <c r="BP299" s="423"/>
      <c r="BQ299" s="423"/>
      <c r="BR299" s="423"/>
      <c r="BS299" s="423"/>
      <c r="BT299" s="423"/>
      <c r="BU299" s="423"/>
      <c r="BV299" s="423"/>
      <c r="BW299" s="423"/>
      <c r="BX299" s="423"/>
      <c r="BY299" s="423"/>
      <c r="BZ299" s="423"/>
      <c r="CA299" s="423"/>
      <c r="CB299" s="423"/>
      <c r="CC299" s="423"/>
    </row>
    <row r="300" spans="3:81">
      <c r="C300" s="423"/>
      <c r="D300" s="423"/>
      <c r="E300" s="423"/>
      <c r="F300" s="423"/>
      <c r="G300" s="423"/>
      <c r="H300" s="423"/>
      <c r="I300" s="423"/>
      <c r="J300" s="423"/>
      <c r="K300" s="423"/>
      <c r="L300" s="423"/>
      <c r="M300" s="423"/>
      <c r="N300" s="423"/>
      <c r="O300" s="423"/>
      <c r="P300" s="423"/>
      <c r="Q300" s="423"/>
      <c r="R300" s="423"/>
      <c r="S300" s="423"/>
      <c r="T300" s="423"/>
      <c r="U300" s="423"/>
      <c r="V300" s="423"/>
      <c r="W300" s="423"/>
      <c r="X300" s="423"/>
      <c r="Y300" s="423"/>
      <c r="Z300" s="423"/>
      <c r="AA300" s="423"/>
      <c r="AB300" s="423"/>
      <c r="AC300" s="423"/>
      <c r="AD300" s="423"/>
      <c r="AE300" s="423"/>
      <c r="AF300" s="423"/>
      <c r="AG300" s="423"/>
      <c r="AH300" s="423"/>
      <c r="AI300" s="423"/>
      <c r="AJ300" s="423"/>
      <c r="AK300" s="423"/>
      <c r="AL300" s="423"/>
      <c r="AM300" s="423"/>
      <c r="AN300" s="423"/>
      <c r="AO300" s="423"/>
      <c r="AQ300" s="423"/>
      <c r="AR300" s="423"/>
      <c r="AS300" s="423"/>
      <c r="AT300" s="423"/>
      <c r="AU300" s="423"/>
      <c r="AV300" s="423"/>
      <c r="AW300" s="423"/>
      <c r="AX300" s="423"/>
      <c r="AY300" s="423"/>
      <c r="AZ300" s="423"/>
      <c r="BA300" s="423"/>
      <c r="BB300" s="423"/>
      <c r="BC300" s="423"/>
      <c r="BD300" s="423"/>
      <c r="BE300" s="423"/>
      <c r="BF300" s="423"/>
      <c r="BG300" s="423"/>
      <c r="BH300" s="423"/>
      <c r="BI300" s="423"/>
      <c r="BJ300" s="423"/>
      <c r="BK300" s="423"/>
      <c r="BL300" s="423"/>
      <c r="BM300" s="423"/>
      <c r="BN300" s="423"/>
      <c r="BO300" s="423"/>
      <c r="BP300" s="423"/>
      <c r="BQ300" s="423"/>
      <c r="BR300" s="423"/>
      <c r="BS300" s="423"/>
      <c r="BT300" s="423"/>
      <c r="BU300" s="423"/>
      <c r="BV300" s="423"/>
      <c r="BW300" s="423"/>
      <c r="BX300" s="423"/>
      <c r="BY300" s="423"/>
      <c r="BZ300" s="423"/>
      <c r="CA300" s="423"/>
      <c r="CB300" s="423"/>
      <c r="CC300" s="423"/>
    </row>
    <row r="301" spans="3:81">
      <c r="C301" s="423"/>
      <c r="D301" s="423"/>
      <c r="E301" s="423"/>
      <c r="F301" s="423"/>
      <c r="G301" s="423"/>
      <c r="H301" s="423"/>
      <c r="I301" s="423"/>
      <c r="J301" s="423"/>
      <c r="K301" s="423"/>
      <c r="L301" s="423"/>
      <c r="M301" s="423"/>
      <c r="N301" s="423"/>
      <c r="O301" s="423"/>
      <c r="P301" s="423"/>
      <c r="Q301" s="423"/>
      <c r="R301" s="423"/>
      <c r="S301" s="423"/>
      <c r="T301" s="423"/>
      <c r="U301" s="423"/>
      <c r="V301" s="423"/>
      <c r="W301" s="423"/>
      <c r="X301" s="423"/>
      <c r="Y301" s="423"/>
      <c r="Z301" s="423"/>
      <c r="AA301" s="423"/>
      <c r="AB301" s="423"/>
      <c r="AC301" s="423"/>
      <c r="AD301" s="423"/>
      <c r="AE301" s="423"/>
      <c r="AF301" s="423"/>
      <c r="AG301" s="423"/>
      <c r="AH301" s="423"/>
      <c r="AI301" s="423"/>
      <c r="AJ301" s="423"/>
      <c r="AK301" s="423"/>
      <c r="AL301" s="423"/>
      <c r="AM301" s="423"/>
      <c r="AN301" s="423"/>
      <c r="AO301" s="423"/>
      <c r="AQ301" s="423"/>
      <c r="AR301" s="423"/>
      <c r="AS301" s="423"/>
      <c r="AT301" s="423"/>
      <c r="AU301" s="423"/>
      <c r="AV301" s="423"/>
      <c r="AW301" s="423"/>
      <c r="AX301" s="423"/>
      <c r="AY301" s="423"/>
      <c r="AZ301" s="423"/>
      <c r="BA301" s="423"/>
      <c r="BB301" s="423"/>
      <c r="BC301" s="423"/>
      <c r="BD301" s="423"/>
      <c r="BE301" s="423"/>
      <c r="BF301" s="423"/>
      <c r="BG301" s="423"/>
      <c r="BH301" s="423"/>
      <c r="BI301" s="423"/>
      <c r="BJ301" s="423"/>
      <c r="BK301" s="423"/>
      <c r="BL301" s="423"/>
      <c r="BM301" s="423"/>
      <c r="BN301" s="423"/>
      <c r="BO301" s="423"/>
      <c r="BP301" s="423"/>
      <c r="BQ301" s="423"/>
      <c r="BR301" s="423"/>
      <c r="BS301" s="423"/>
      <c r="BT301" s="423"/>
      <c r="BU301" s="423"/>
      <c r="BV301" s="423"/>
      <c r="BW301" s="423"/>
      <c r="BX301" s="423"/>
      <c r="BY301" s="423"/>
      <c r="BZ301" s="423"/>
      <c r="CA301" s="423"/>
      <c r="CB301" s="423"/>
      <c r="CC301" s="423"/>
    </row>
    <row r="302" spans="3:81">
      <c r="C302" s="423"/>
      <c r="D302" s="423"/>
      <c r="E302" s="423"/>
      <c r="F302" s="423"/>
      <c r="G302" s="423"/>
      <c r="H302" s="423"/>
      <c r="I302" s="423"/>
      <c r="J302" s="423"/>
      <c r="K302" s="423"/>
      <c r="L302" s="423"/>
      <c r="M302" s="423"/>
      <c r="N302" s="423"/>
      <c r="O302" s="423"/>
      <c r="P302" s="423"/>
      <c r="Q302" s="423"/>
      <c r="R302" s="423"/>
      <c r="S302" s="423"/>
      <c r="T302" s="423"/>
      <c r="U302" s="423"/>
      <c r="V302" s="423"/>
      <c r="W302" s="423"/>
      <c r="X302" s="423"/>
      <c r="Y302" s="423"/>
      <c r="Z302" s="423"/>
      <c r="AA302" s="423"/>
      <c r="AB302" s="423"/>
      <c r="AC302" s="423"/>
      <c r="AD302" s="423"/>
      <c r="AE302" s="423"/>
      <c r="AF302" s="423"/>
      <c r="AG302" s="423"/>
      <c r="AH302" s="423"/>
      <c r="AI302" s="423"/>
      <c r="AJ302" s="423"/>
      <c r="AK302" s="423"/>
      <c r="AL302" s="423"/>
      <c r="AM302" s="423"/>
      <c r="AN302" s="423"/>
      <c r="AO302" s="423"/>
      <c r="AQ302" s="423"/>
      <c r="AR302" s="423"/>
      <c r="AS302" s="423"/>
      <c r="AT302" s="423"/>
      <c r="AU302" s="423"/>
      <c r="AV302" s="423"/>
      <c r="AW302" s="423"/>
      <c r="AX302" s="423"/>
      <c r="AY302" s="423"/>
      <c r="AZ302" s="423"/>
      <c r="BA302" s="423"/>
      <c r="BB302" s="423"/>
      <c r="BC302" s="423"/>
      <c r="BD302" s="423"/>
      <c r="BE302" s="423"/>
      <c r="BF302" s="423"/>
      <c r="BG302" s="423"/>
      <c r="BH302" s="423"/>
      <c r="BI302" s="423"/>
      <c r="BJ302" s="423"/>
      <c r="BK302" s="423"/>
      <c r="BL302" s="423"/>
      <c r="BM302" s="423"/>
      <c r="BN302" s="423"/>
      <c r="BO302" s="423"/>
      <c r="BP302" s="423"/>
      <c r="BQ302" s="423"/>
      <c r="BR302" s="423"/>
      <c r="BS302" s="423"/>
      <c r="BT302" s="423"/>
      <c r="BU302" s="423"/>
      <c r="BV302" s="423"/>
      <c r="BW302" s="423"/>
      <c r="BX302" s="423"/>
      <c r="BY302" s="423"/>
      <c r="BZ302" s="423"/>
      <c r="CA302" s="423"/>
      <c r="CB302" s="423"/>
      <c r="CC302" s="423"/>
    </row>
    <row r="303" spans="3:81">
      <c r="C303" s="423"/>
      <c r="D303" s="423"/>
      <c r="E303" s="423"/>
      <c r="F303" s="423"/>
      <c r="G303" s="423"/>
      <c r="H303" s="423"/>
      <c r="I303" s="423"/>
      <c r="J303" s="423"/>
      <c r="K303" s="423"/>
      <c r="L303" s="423"/>
      <c r="M303" s="423"/>
      <c r="N303" s="423"/>
      <c r="O303" s="423"/>
      <c r="P303" s="423"/>
      <c r="Q303" s="423"/>
      <c r="R303" s="423"/>
      <c r="S303" s="423"/>
      <c r="T303" s="423"/>
      <c r="U303" s="423"/>
      <c r="V303" s="423"/>
      <c r="W303" s="423"/>
      <c r="X303" s="423"/>
      <c r="Y303" s="423"/>
      <c r="Z303" s="423"/>
      <c r="AA303" s="423"/>
      <c r="AB303" s="423"/>
      <c r="AC303" s="423"/>
      <c r="AD303" s="423"/>
      <c r="AE303" s="423"/>
      <c r="AF303" s="423"/>
      <c r="AG303" s="423"/>
      <c r="AH303" s="423"/>
      <c r="AI303" s="423"/>
      <c r="AJ303" s="423"/>
      <c r="AK303" s="423"/>
      <c r="AL303" s="423"/>
      <c r="AM303" s="423"/>
      <c r="AN303" s="423"/>
      <c r="AO303" s="423"/>
      <c r="AQ303" s="423"/>
      <c r="AR303" s="423"/>
      <c r="AS303" s="423"/>
      <c r="AT303" s="423"/>
      <c r="AU303" s="423"/>
      <c r="AV303" s="423"/>
      <c r="AW303" s="423"/>
      <c r="AX303" s="423"/>
      <c r="AY303" s="423"/>
      <c r="AZ303" s="423"/>
      <c r="BA303" s="423"/>
      <c r="BB303" s="423"/>
      <c r="BC303" s="423"/>
      <c r="BD303" s="423"/>
      <c r="BE303" s="423"/>
      <c r="BF303" s="423"/>
      <c r="BG303" s="423"/>
      <c r="BH303" s="423"/>
      <c r="BI303" s="423"/>
      <c r="BJ303" s="423"/>
      <c r="BK303" s="423"/>
      <c r="BL303" s="423"/>
      <c r="BM303" s="423"/>
      <c r="BN303" s="423"/>
      <c r="BO303" s="423"/>
      <c r="BP303" s="423"/>
      <c r="BQ303" s="423"/>
      <c r="BR303" s="423"/>
      <c r="BS303" s="423"/>
      <c r="BT303" s="423"/>
      <c r="BU303" s="423"/>
      <c r="BV303" s="423"/>
      <c r="BW303" s="423"/>
      <c r="BX303" s="423"/>
      <c r="BY303" s="423"/>
      <c r="BZ303" s="423"/>
      <c r="CA303" s="423"/>
      <c r="CB303" s="423"/>
      <c r="CC303" s="423"/>
    </row>
    <row r="304" spans="3:81">
      <c r="C304" s="423"/>
      <c r="D304" s="423"/>
      <c r="E304" s="423"/>
      <c r="F304" s="423"/>
      <c r="G304" s="423"/>
      <c r="H304" s="423"/>
      <c r="I304" s="423"/>
      <c r="J304" s="423"/>
      <c r="K304" s="423"/>
      <c r="L304" s="423"/>
      <c r="M304" s="423"/>
      <c r="N304" s="423"/>
      <c r="O304" s="423"/>
      <c r="P304" s="423"/>
      <c r="Q304" s="423"/>
      <c r="R304" s="423"/>
      <c r="S304" s="423"/>
      <c r="T304" s="423"/>
      <c r="U304" s="423"/>
      <c r="V304" s="423"/>
      <c r="W304" s="423"/>
      <c r="X304" s="423"/>
      <c r="Y304" s="423"/>
      <c r="Z304" s="423"/>
      <c r="AA304" s="423"/>
      <c r="AB304" s="423"/>
      <c r="AC304" s="423"/>
      <c r="AD304" s="423"/>
      <c r="AE304" s="423"/>
      <c r="AF304" s="423"/>
      <c r="AG304" s="423"/>
      <c r="AH304" s="423"/>
      <c r="AI304" s="423"/>
      <c r="AJ304" s="423"/>
      <c r="AK304" s="423"/>
      <c r="AL304" s="423"/>
      <c r="AM304" s="423"/>
      <c r="AN304" s="423"/>
      <c r="AO304" s="423"/>
      <c r="AQ304" s="423"/>
      <c r="AR304" s="423"/>
      <c r="AS304" s="423"/>
      <c r="AT304" s="423"/>
      <c r="AU304" s="423"/>
      <c r="AV304" s="423"/>
      <c r="AW304" s="423"/>
      <c r="AX304" s="423"/>
      <c r="AY304" s="423"/>
      <c r="AZ304" s="423"/>
      <c r="BA304" s="423"/>
      <c r="BB304" s="423"/>
      <c r="BC304" s="423"/>
      <c r="BD304" s="423"/>
      <c r="BE304" s="423"/>
      <c r="BF304" s="423"/>
      <c r="BG304" s="423"/>
      <c r="BH304" s="423"/>
      <c r="BI304" s="423"/>
      <c r="BJ304" s="423"/>
      <c r="BK304" s="423"/>
      <c r="BL304" s="423"/>
      <c r="BM304" s="423"/>
      <c r="BN304" s="423"/>
      <c r="BO304" s="423"/>
      <c r="BP304" s="423"/>
      <c r="BQ304" s="423"/>
      <c r="BR304" s="423"/>
      <c r="BS304" s="423"/>
      <c r="BT304" s="423"/>
      <c r="BU304" s="423"/>
      <c r="BV304" s="423"/>
      <c r="BW304" s="423"/>
      <c r="BX304" s="423"/>
      <c r="BY304" s="423"/>
      <c r="BZ304" s="423"/>
      <c r="CA304" s="423"/>
      <c r="CB304" s="423"/>
      <c r="CC304" s="423"/>
    </row>
    <row r="305" spans="3:81">
      <c r="C305" s="423"/>
      <c r="D305" s="423"/>
      <c r="E305" s="423"/>
      <c r="F305" s="423"/>
      <c r="G305" s="423"/>
      <c r="H305" s="423"/>
      <c r="I305" s="423"/>
      <c r="J305" s="423"/>
      <c r="K305" s="423"/>
      <c r="L305" s="423"/>
      <c r="M305" s="423"/>
      <c r="N305" s="423"/>
      <c r="O305" s="423"/>
      <c r="P305" s="423"/>
      <c r="Q305" s="423"/>
      <c r="R305" s="423"/>
      <c r="S305" s="423"/>
      <c r="T305" s="423"/>
      <c r="U305" s="423"/>
      <c r="V305" s="423"/>
      <c r="W305" s="423"/>
      <c r="X305" s="423"/>
      <c r="Y305" s="423"/>
      <c r="Z305" s="423"/>
      <c r="AA305" s="423"/>
      <c r="AB305" s="423"/>
      <c r="AC305" s="423"/>
      <c r="AD305" s="423"/>
      <c r="AE305" s="423"/>
      <c r="AF305" s="423"/>
      <c r="AG305" s="423"/>
      <c r="AH305" s="423"/>
      <c r="AI305" s="423"/>
      <c r="AJ305" s="423"/>
      <c r="AK305" s="423"/>
      <c r="AL305" s="423"/>
      <c r="AM305" s="423"/>
      <c r="AN305" s="423"/>
      <c r="AO305" s="423"/>
      <c r="AQ305" s="423"/>
      <c r="AR305" s="423"/>
      <c r="AS305" s="423"/>
      <c r="AT305" s="423"/>
      <c r="AU305" s="423"/>
      <c r="AV305" s="423"/>
      <c r="AW305" s="423"/>
      <c r="AX305" s="423"/>
      <c r="AY305" s="423"/>
      <c r="AZ305" s="423"/>
      <c r="BA305" s="423"/>
      <c r="BB305" s="423"/>
      <c r="BC305" s="423"/>
      <c r="BD305" s="423"/>
      <c r="BE305" s="423"/>
      <c r="BF305" s="423"/>
      <c r="BG305" s="423"/>
      <c r="BH305" s="423"/>
      <c r="BI305" s="423"/>
      <c r="BJ305" s="423"/>
      <c r="BK305" s="423"/>
      <c r="BL305" s="423"/>
      <c r="BM305" s="423"/>
      <c r="BN305" s="423"/>
      <c r="BO305" s="423"/>
      <c r="BP305" s="423"/>
      <c r="BQ305" s="423"/>
      <c r="BR305" s="423"/>
      <c r="BS305" s="423"/>
      <c r="BT305" s="423"/>
      <c r="BU305" s="423"/>
      <c r="BV305" s="423"/>
      <c r="BW305" s="423"/>
      <c r="BX305" s="423"/>
      <c r="BY305" s="423"/>
      <c r="BZ305" s="423"/>
      <c r="CA305" s="423"/>
      <c r="CB305" s="423"/>
      <c r="CC305" s="423"/>
    </row>
    <row r="306" spans="3:81">
      <c r="C306" s="423"/>
      <c r="D306" s="423"/>
      <c r="E306" s="423"/>
      <c r="F306" s="423"/>
      <c r="G306" s="423"/>
      <c r="H306" s="423"/>
      <c r="I306" s="423"/>
      <c r="J306" s="423"/>
      <c r="K306" s="423"/>
      <c r="L306" s="423"/>
      <c r="M306" s="423"/>
      <c r="N306" s="423"/>
      <c r="O306" s="423"/>
      <c r="P306" s="423"/>
      <c r="Q306" s="423"/>
      <c r="R306" s="423"/>
      <c r="S306" s="423"/>
      <c r="T306" s="423"/>
      <c r="U306" s="423"/>
      <c r="V306" s="423"/>
      <c r="W306" s="423"/>
      <c r="X306" s="423"/>
      <c r="Y306" s="423"/>
      <c r="Z306" s="423"/>
      <c r="AA306" s="423"/>
      <c r="AB306" s="423"/>
      <c r="AC306" s="423"/>
      <c r="AD306" s="423"/>
      <c r="AE306" s="423"/>
      <c r="AF306" s="423"/>
      <c r="AG306" s="423"/>
      <c r="AH306" s="423"/>
      <c r="AI306" s="423"/>
      <c r="AJ306" s="423"/>
      <c r="AK306" s="423"/>
      <c r="AL306" s="423"/>
      <c r="AM306" s="423"/>
      <c r="AN306" s="423"/>
      <c r="AO306" s="423"/>
      <c r="AQ306" s="423"/>
      <c r="AR306" s="423"/>
      <c r="AS306" s="423"/>
      <c r="AT306" s="423"/>
      <c r="AU306" s="423"/>
      <c r="AV306" s="423"/>
      <c r="AW306" s="423"/>
      <c r="AX306" s="423"/>
      <c r="AY306" s="423"/>
      <c r="AZ306" s="423"/>
      <c r="BA306" s="423"/>
      <c r="BB306" s="423"/>
      <c r="BC306" s="423"/>
      <c r="BD306" s="423"/>
      <c r="BE306" s="423"/>
      <c r="BF306" s="423"/>
      <c r="BG306" s="423"/>
      <c r="BH306" s="423"/>
      <c r="BI306" s="423"/>
      <c r="BJ306" s="423"/>
      <c r="BK306" s="423"/>
      <c r="BL306" s="423"/>
      <c r="BM306" s="423"/>
      <c r="BN306" s="423"/>
      <c r="BO306" s="423"/>
      <c r="BP306" s="423"/>
      <c r="BQ306" s="423"/>
      <c r="BR306" s="423"/>
      <c r="BS306" s="423"/>
      <c r="BT306" s="423"/>
      <c r="BU306" s="423"/>
      <c r="BV306" s="423"/>
      <c r="BW306" s="423"/>
      <c r="BX306" s="423"/>
      <c r="BY306" s="423"/>
      <c r="BZ306" s="423"/>
      <c r="CA306" s="423"/>
      <c r="CB306" s="423"/>
      <c r="CC306" s="423"/>
    </row>
    <row r="307" spans="3:81">
      <c r="C307" s="423"/>
      <c r="D307" s="423"/>
      <c r="E307" s="423"/>
      <c r="F307" s="423"/>
      <c r="G307" s="423"/>
      <c r="H307" s="423"/>
      <c r="I307" s="423"/>
      <c r="J307" s="423"/>
      <c r="K307" s="423"/>
      <c r="L307" s="423"/>
      <c r="M307" s="423"/>
      <c r="N307" s="423"/>
      <c r="O307" s="423"/>
      <c r="P307" s="423"/>
      <c r="Q307" s="423"/>
      <c r="R307" s="423"/>
      <c r="S307" s="423"/>
      <c r="T307" s="423"/>
      <c r="U307" s="423"/>
      <c r="V307" s="423"/>
      <c r="W307" s="423"/>
      <c r="X307" s="423"/>
      <c r="Y307" s="423"/>
      <c r="Z307" s="423"/>
      <c r="AA307" s="423"/>
      <c r="AB307" s="423"/>
      <c r="AC307" s="423"/>
      <c r="AD307" s="423"/>
      <c r="AE307" s="423"/>
      <c r="AF307" s="423"/>
      <c r="AG307" s="423"/>
      <c r="AH307" s="423"/>
      <c r="AI307" s="423"/>
      <c r="AJ307" s="423"/>
      <c r="AK307" s="423"/>
      <c r="AL307" s="423"/>
      <c r="AM307" s="423"/>
      <c r="AN307" s="423"/>
      <c r="AO307" s="423"/>
      <c r="AQ307" s="423"/>
      <c r="AR307" s="423"/>
      <c r="AS307" s="423"/>
      <c r="AT307" s="423"/>
      <c r="AU307" s="423"/>
      <c r="AV307" s="423"/>
      <c r="AW307" s="423"/>
      <c r="AX307" s="423"/>
      <c r="AY307" s="423"/>
      <c r="AZ307" s="423"/>
      <c r="BA307" s="423"/>
      <c r="BB307" s="423"/>
      <c r="BC307" s="423"/>
      <c r="BD307" s="423"/>
      <c r="BE307" s="423"/>
      <c r="BF307" s="423"/>
      <c r="BG307" s="423"/>
      <c r="BH307" s="423"/>
      <c r="BI307" s="423"/>
      <c r="BJ307" s="423"/>
      <c r="BK307" s="423"/>
      <c r="BL307" s="423"/>
      <c r="BM307" s="423"/>
      <c r="BN307" s="423"/>
      <c r="BO307" s="423"/>
      <c r="BP307" s="423"/>
      <c r="BQ307" s="423"/>
      <c r="BR307" s="423"/>
      <c r="BS307" s="423"/>
      <c r="BT307" s="423"/>
      <c r="BU307" s="423"/>
      <c r="BV307" s="423"/>
      <c r="BW307" s="423"/>
      <c r="BX307" s="423"/>
      <c r="BY307" s="423"/>
      <c r="BZ307" s="423"/>
      <c r="CA307" s="423"/>
      <c r="CB307" s="423"/>
      <c r="CC307" s="423"/>
    </row>
    <row r="308" spans="3:81">
      <c r="C308" s="423"/>
      <c r="D308" s="423"/>
      <c r="E308" s="423"/>
      <c r="F308" s="423"/>
      <c r="G308" s="423"/>
      <c r="H308" s="423"/>
      <c r="I308" s="423"/>
      <c r="J308" s="423"/>
      <c r="K308" s="423"/>
      <c r="L308" s="423"/>
      <c r="M308" s="423"/>
      <c r="N308" s="423"/>
      <c r="O308" s="423"/>
      <c r="P308" s="423"/>
      <c r="Q308" s="423"/>
      <c r="R308" s="423"/>
      <c r="S308" s="423"/>
      <c r="T308" s="423"/>
      <c r="U308" s="423"/>
      <c r="V308" s="423"/>
      <c r="W308" s="423"/>
      <c r="X308" s="423"/>
      <c r="Y308" s="423"/>
      <c r="Z308" s="423"/>
      <c r="AA308" s="423"/>
      <c r="AB308" s="423"/>
      <c r="AC308" s="423"/>
      <c r="AD308" s="423"/>
      <c r="AE308" s="423"/>
      <c r="AF308" s="423"/>
      <c r="AG308" s="423"/>
      <c r="AH308" s="423"/>
      <c r="AI308" s="423"/>
      <c r="AJ308" s="423"/>
      <c r="AK308" s="423"/>
      <c r="AL308" s="423"/>
      <c r="AM308" s="423"/>
      <c r="AN308" s="423"/>
      <c r="AO308" s="423"/>
      <c r="AQ308" s="423"/>
      <c r="AR308" s="423"/>
      <c r="AS308" s="423"/>
      <c r="AT308" s="423"/>
      <c r="AU308" s="423"/>
      <c r="AV308" s="423"/>
      <c r="AW308" s="423"/>
      <c r="AX308" s="423"/>
      <c r="AY308" s="423"/>
      <c r="AZ308" s="423"/>
      <c r="BA308" s="423"/>
      <c r="BB308" s="423"/>
      <c r="BC308" s="423"/>
      <c r="BD308" s="423"/>
      <c r="BE308" s="423"/>
      <c r="BF308" s="423"/>
      <c r="BG308" s="423"/>
      <c r="BH308" s="423"/>
      <c r="BI308" s="423"/>
      <c r="BJ308" s="423"/>
      <c r="BK308" s="423"/>
      <c r="BL308" s="423"/>
      <c r="BM308" s="423"/>
      <c r="BN308" s="423"/>
      <c r="BO308" s="423"/>
      <c r="BP308" s="423"/>
      <c r="BQ308" s="423"/>
      <c r="BR308" s="423"/>
      <c r="BS308" s="423"/>
      <c r="BT308" s="423"/>
      <c r="BU308" s="423"/>
      <c r="BV308" s="423"/>
      <c r="BW308" s="423"/>
      <c r="BX308" s="423"/>
      <c r="BY308" s="423"/>
      <c r="BZ308" s="423"/>
      <c r="CA308" s="423"/>
      <c r="CB308" s="423"/>
      <c r="CC308" s="423"/>
    </row>
    <row r="309" spans="3:81">
      <c r="C309" s="423"/>
      <c r="D309" s="423"/>
      <c r="E309" s="423"/>
      <c r="F309" s="423"/>
      <c r="G309" s="423"/>
      <c r="H309" s="423"/>
      <c r="I309" s="423"/>
      <c r="J309" s="423"/>
      <c r="K309" s="423"/>
      <c r="L309" s="423"/>
      <c r="M309" s="423"/>
      <c r="N309" s="423"/>
      <c r="O309" s="423"/>
      <c r="P309" s="423"/>
      <c r="Q309" s="423"/>
      <c r="R309" s="423"/>
      <c r="S309" s="423"/>
      <c r="T309" s="423"/>
      <c r="U309" s="423"/>
      <c r="V309" s="423"/>
      <c r="W309" s="423"/>
      <c r="X309" s="423"/>
      <c r="Y309" s="423"/>
      <c r="Z309" s="423"/>
      <c r="AA309" s="423"/>
      <c r="AB309" s="423"/>
      <c r="AC309" s="423"/>
      <c r="AD309" s="423"/>
      <c r="AE309" s="423"/>
      <c r="AF309" s="423"/>
      <c r="AG309" s="423"/>
      <c r="AH309" s="423"/>
      <c r="AI309" s="423"/>
      <c r="AJ309" s="423"/>
      <c r="AK309" s="423"/>
      <c r="AL309" s="423"/>
      <c r="AM309" s="423"/>
      <c r="AN309" s="423"/>
      <c r="AO309" s="423"/>
      <c r="AQ309" s="423"/>
      <c r="AR309" s="423"/>
      <c r="AS309" s="423"/>
      <c r="AT309" s="423"/>
      <c r="AU309" s="423"/>
      <c r="AV309" s="423"/>
      <c r="AW309" s="423"/>
      <c r="AX309" s="423"/>
      <c r="AY309" s="423"/>
      <c r="AZ309" s="423"/>
      <c r="BA309" s="423"/>
      <c r="BB309" s="423"/>
      <c r="BC309" s="423"/>
      <c r="BD309" s="423"/>
      <c r="BE309" s="423"/>
      <c r="BF309" s="423"/>
      <c r="BG309" s="423"/>
      <c r="BH309" s="423"/>
      <c r="BI309" s="423"/>
      <c r="BJ309" s="423"/>
      <c r="BK309" s="423"/>
      <c r="BL309" s="423"/>
      <c r="BM309" s="423"/>
      <c r="BN309" s="423"/>
      <c r="BO309" s="423"/>
      <c r="BP309" s="423"/>
      <c r="BQ309" s="423"/>
      <c r="BR309" s="423"/>
      <c r="BS309" s="423"/>
      <c r="BT309" s="423"/>
      <c r="BU309" s="423"/>
      <c r="BV309" s="423"/>
      <c r="BW309" s="423"/>
      <c r="BX309" s="423"/>
      <c r="BY309" s="423"/>
      <c r="BZ309" s="423"/>
      <c r="CA309" s="423"/>
      <c r="CB309" s="423"/>
      <c r="CC309" s="423"/>
    </row>
    <row r="310" spans="3:81">
      <c r="C310" s="423"/>
      <c r="D310" s="423"/>
      <c r="E310" s="423"/>
      <c r="F310" s="423"/>
      <c r="G310" s="423"/>
      <c r="H310" s="423"/>
      <c r="I310" s="423"/>
      <c r="J310" s="423"/>
      <c r="K310" s="423"/>
      <c r="L310" s="423"/>
      <c r="M310" s="423"/>
      <c r="N310" s="423"/>
      <c r="O310" s="423"/>
      <c r="P310" s="423"/>
      <c r="Q310" s="423"/>
      <c r="R310" s="423"/>
      <c r="S310" s="423"/>
      <c r="T310" s="423"/>
      <c r="U310" s="423"/>
      <c r="V310" s="423"/>
      <c r="W310" s="423"/>
      <c r="X310" s="423"/>
      <c r="Y310" s="423"/>
      <c r="Z310" s="423"/>
      <c r="AA310" s="423"/>
      <c r="AB310" s="423"/>
      <c r="AC310" s="423"/>
      <c r="AD310" s="423"/>
      <c r="AE310" s="423"/>
      <c r="AF310" s="423"/>
      <c r="AG310" s="423"/>
      <c r="AH310" s="423"/>
      <c r="AI310" s="423"/>
      <c r="AJ310" s="423"/>
      <c r="AK310" s="423"/>
      <c r="AL310" s="423"/>
      <c r="AM310" s="423"/>
      <c r="AN310" s="423"/>
      <c r="AO310" s="423"/>
      <c r="AQ310" s="423"/>
      <c r="AR310" s="423"/>
      <c r="AS310" s="423"/>
      <c r="AT310" s="423"/>
      <c r="AU310" s="423"/>
      <c r="AV310" s="423"/>
      <c r="AW310" s="423"/>
      <c r="AX310" s="423"/>
      <c r="AY310" s="423"/>
      <c r="AZ310" s="423"/>
      <c r="BA310" s="423"/>
      <c r="BB310" s="423"/>
      <c r="BC310" s="423"/>
      <c r="BD310" s="423"/>
      <c r="BE310" s="423"/>
      <c r="BF310" s="423"/>
      <c r="BG310" s="423"/>
      <c r="BH310" s="423"/>
      <c r="BI310" s="423"/>
      <c r="BJ310" s="423"/>
      <c r="BK310" s="423"/>
      <c r="BL310" s="423"/>
      <c r="BM310" s="423"/>
      <c r="BN310" s="423"/>
      <c r="BO310" s="423"/>
      <c r="BP310" s="423"/>
      <c r="BQ310" s="423"/>
      <c r="BR310" s="423"/>
      <c r="BS310" s="423"/>
      <c r="BT310" s="423"/>
      <c r="BU310" s="423"/>
      <c r="BV310" s="423"/>
      <c r="BW310" s="423"/>
      <c r="BX310" s="423"/>
      <c r="BY310" s="423"/>
      <c r="BZ310" s="423"/>
      <c r="CA310" s="423"/>
      <c r="CB310" s="423"/>
      <c r="CC310" s="423"/>
    </row>
    <row r="311" spans="3:81">
      <c r="C311" s="423"/>
      <c r="D311" s="423"/>
      <c r="E311" s="423"/>
      <c r="F311" s="423"/>
      <c r="G311" s="423"/>
      <c r="H311" s="423"/>
      <c r="I311" s="423"/>
      <c r="J311" s="423"/>
      <c r="K311" s="423"/>
      <c r="L311" s="423"/>
      <c r="M311" s="423"/>
      <c r="N311" s="423"/>
      <c r="O311" s="423"/>
      <c r="P311" s="423"/>
      <c r="Q311" s="423"/>
      <c r="R311" s="423"/>
      <c r="S311" s="423"/>
      <c r="T311" s="423"/>
      <c r="U311" s="423"/>
      <c r="V311" s="423"/>
      <c r="W311" s="423"/>
      <c r="X311" s="423"/>
      <c r="Y311" s="423"/>
      <c r="Z311" s="423"/>
      <c r="AA311" s="423"/>
      <c r="AB311" s="423"/>
      <c r="AC311" s="423"/>
      <c r="AD311" s="423"/>
      <c r="AE311" s="423"/>
      <c r="AF311" s="423"/>
      <c r="AG311" s="423"/>
      <c r="AH311" s="423"/>
      <c r="AI311" s="423"/>
      <c r="AJ311" s="423"/>
      <c r="AK311" s="423"/>
      <c r="AL311" s="423"/>
      <c r="AM311" s="423"/>
      <c r="AN311" s="423"/>
      <c r="AO311" s="423"/>
      <c r="AQ311" s="423"/>
      <c r="AR311" s="423"/>
      <c r="AS311" s="423"/>
      <c r="AT311" s="423"/>
      <c r="AU311" s="423"/>
      <c r="AV311" s="423"/>
      <c r="AW311" s="423"/>
      <c r="AX311" s="423"/>
      <c r="AY311" s="423"/>
      <c r="AZ311" s="423"/>
      <c r="BA311" s="423"/>
      <c r="BB311" s="423"/>
      <c r="BC311" s="423"/>
      <c r="BD311" s="423"/>
      <c r="BE311" s="423"/>
      <c r="BF311" s="423"/>
      <c r="BG311" s="423"/>
      <c r="BH311" s="423"/>
      <c r="BI311" s="423"/>
      <c r="BJ311" s="423"/>
      <c r="BK311" s="423"/>
      <c r="BL311" s="423"/>
      <c r="BM311" s="423"/>
      <c r="BN311" s="423"/>
      <c r="BO311" s="423"/>
      <c r="BP311" s="423"/>
      <c r="BQ311" s="423"/>
      <c r="BR311" s="423"/>
      <c r="BS311" s="423"/>
      <c r="BT311" s="423"/>
      <c r="BU311" s="423"/>
      <c r="BV311" s="423"/>
      <c r="BW311" s="423"/>
      <c r="BX311" s="423"/>
      <c r="BY311" s="423"/>
      <c r="BZ311" s="423"/>
      <c r="CA311" s="423"/>
      <c r="CB311" s="423"/>
      <c r="CC311" s="423"/>
    </row>
    <row r="312" spans="3:81">
      <c r="C312" s="423"/>
      <c r="D312" s="423"/>
      <c r="E312" s="423"/>
      <c r="F312" s="423"/>
      <c r="G312" s="423"/>
      <c r="H312" s="423"/>
      <c r="I312" s="423"/>
      <c r="J312" s="423"/>
      <c r="K312" s="423"/>
      <c r="L312" s="423"/>
      <c r="M312" s="423"/>
      <c r="N312" s="423"/>
      <c r="O312" s="423"/>
      <c r="P312" s="423"/>
      <c r="Q312" s="423"/>
      <c r="R312" s="423"/>
      <c r="S312" s="423"/>
      <c r="T312" s="423"/>
      <c r="U312" s="423"/>
      <c r="V312" s="423"/>
      <c r="W312" s="423"/>
      <c r="X312" s="423"/>
      <c r="Y312" s="423"/>
      <c r="Z312" s="423"/>
      <c r="AA312" s="423"/>
      <c r="AB312" s="423"/>
      <c r="AC312" s="423"/>
      <c r="AD312" s="423"/>
      <c r="AE312" s="423"/>
      <c r="AF312" s="423"/>
      <c r="AG312" s="423"/>
      <c r="AH312" s="423"/>
      <c r="AI312" s="423"/>
      <c r="AJ312" s="423"/>
      <c r="AK312" s="423"/>
      <c r="AL312" s="423"/>
      <c r="AM312" s="423"/>
      <c r="AN312" s="423"/>
      <c r="AO312" s="423"/>
      <c r="AQ312" s="423"/>
      <c r="AR312" s="423"/>
      <c r="AS312" s="423"/>
      <c r="AT312" s="423"/>
      <c r="AU312" s="423"/>
      <c r="AV312" s="423"/>
      <c r="AW312" s="423"/>
      <c r="AX312" s="423"/>
      <c r="AY312" s="423"/>
      <c r="AZ312" s="423"/>
      <c r="BA312" s="423"/>
      <c r="BB312" s="423"/>
      <c r="BC312" s="423"/>
      <c r="BD312" s="423"/>
      <c r="BE312" s="423"/>
      <c r="BF312" s="423"/>
      <c r="BG312" s="423"/>
      <c r="BH312" s="423"/>
      <c r="BI312" s="423"/>
      <c r="BJ312" s="423"/>
      <c r="BK312" s="423"/>
      <c r="BL312" s="423"/>
      <c r="BM312" s="423"/>
      <c r="BN312" s="423"/>
      <c r="BO312" s="423"/>
      <c r="BP312" s="423"/>
      <c r="BQ312" s="423"/>
      <c r="BR312" s="423"/>
      <c r="BS312" s="423"/>
      <c r="BT312" s="423"/>
      <c r="BU312" s="423"/>
      <c r="BV312" s="423"/>
      <c r="BW312" s="423"/>
      <c r="BX312" s="423"/>
      <c r="BY312" s="423"/>
      <c r="BZ312" s="423"/>
      <c r="CA312" s="423"/>
      <c r="CB312" s="423"/>
      <c r="CC312" s="423"/>
    </row>
    <row r="313" spans="3:81">
      <c r="C313" s="423"/>
      <c r="D313" s="423"/>
      <c r="E313" s="423"/>
      <c r="F313" s="423"/>
      <c r="G313" s="423"/>
      <c r="H313" s="423"/>
      <c r="I313" s="423"/>
      <c r="J313" s="423"/>
      <c r="K313" s="423"/>
      <c r="L313" s="423"/>
      <c r="M313" s="423"/>
      <c r="N313" s="423"/>
      <c r="O313" s="423"/>
      <c r="P313" s="423"/>
      <c r="Q313" s="423"/>
      <c r="R313" s="423"/>
      <c r="S313" s="423"/>
      <c r="T313" s="423"/>
      <c r="U313" s="423"/>
      <c r="V313" s="423"/>
      <c r="W313" s="423"/>
      <c r="X313" s="423"/>
      <c r="Y313" s="423"/>
      <c r="Z313" s="423"/>
      <c r="AA313" s="423"/>
      <c r="AB313" s="423"/>
      <c r="AC313" s="423"/>
      <c r="AD313" s="423"/>
      <c r="AE313" s="423"/>
      <c r="AF313" s="423"/>
      <c r="AG313" s="423"/>
      <c r="AH313" s="423"/>
      <c r="AI313" s="423"/>
      <c r="AJ313" s="423"/>
      <c r="AK313" s="423"/>
      <c r="AL313" s="423"/>
      <c r="AM313" s="423"/>
      <c r="AN313" s="423"/>
      <c r="AO313" s="423"/>
      <c r="AQ313" s="423"/>
      <c r="AR313" s="423"/>
      <c r="AS313" s="423"/>
      <c r="AT313" s="423"/>
      <c r="AU313" s="423"/>
      <c r="AV313" s="423"/>
      <c r="AW313" s="423"/>
      <c r="AX313" s="423"/>
      <c r="AY313" s="423"/>
      <c r="AZ313" s="423"/>
      <c r="BA313" s="423"/>
      <c r="BB313" s="423"/>
      <c r="BC313" s="423"/>
      <c r="BD313" s="423"/>
      <c r="BE313" s="423"/>
      <c r="BF313" s="423"/>
      <c r="BG313" s="423"/>
      <c r="BH313" s="423"/>
      <c r="BI313" s="423"/>
      <c r="BJ313" s="423"/>
      <c r="BK313" s="423"/>
      <c r="BL313" s="423"/>
      <c r="BM313" s="423"/>
      <c r="BN313" s="423"/>
      <c r="BO313" s="423"/>
      <c r="BP313" s="423"/>
      <c r="BQ313" s="423"/>
      <c r="BR313" s="423"/>
      <c r="BS313" s="423"/>
      <c r="BT313" s="423"/>
      <c r="BU313" s="423"/>
      <c r="BV313" s="423"/>
      <c r="BW313" s="423"/>
      <c r="BX313" s="423"/>
      <c r="BY313" s="423"/>
      <c r="BZ313" s="423"/>
      <c r="CA313" s="423"/>
      <c r="CB313" s="423"/>
      <c r="CC313" s="423"/>
    </row>
  </sheetData>
  <autoFilter ref="B5:B224" xr:uid="{217FEBC9-94F0-4C95-A16F-FE3C47F11BA5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O133"/>
  <sheetViews>
    <sheetView zoomScale="80" zoomScaleNormal="80" workbookViewId="0">
      <pane xSplit="1" ySplit="5" topLeftCell="N6" activePane="bottomRight" state="frozen"/>
      <selection pane="bottomRight" activeCell="BU30" sqref="BU30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7" width="13.28515625" hidden="1" customWidth="1" outlineLevel="1"/>
    <col min="8" max="8" width="13.5703125" hidden="1" customWidth="1" outlineLevel="1"/>
    <col min="9" max="9" width="13.140625" hidden="1" customWidth="1" outlineLevel="1"/>
    <col min="10" max="10" width="15.7109375" hidden="1" customWidth="1" outlineLevel="1"/>
    <col min="11" max="13" width="13.28515625" hidden="1" customWidth="1" outlineLevel="1"/>
    <col min="14" max="14" width="15.28515625" customWidth="1" collapsed="1"/>
    <col min="15" max="20" width="13.28515625" hidden="1" customWidth="1" outlineLevel="1"/>
    <col min="21" max="22" width="13.5703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5" width="13.28515625" hidden="1" customWidth="1" outlineLevel="1"/>
    <col min="46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1" width="15.42578125" hidden="1" customWidth="1" outlineLevel="1"/>
    <col min="52" max="52" width="16.140625" hidden="1" customWidth="1" outlineLevel="1"/>
    <col min="53" max="53" width="19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20" style="3" bestFit="1" customWidth="1" collapsed="1"/>
    <col min="67" max="67" width="15.140625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AY2" t="s">
        <v>2</v>
      </c>
      <c r="BF2" s="37" t="s">
        <v>205</v>
      </c>
      <c r="BO2" s="134"/>
    </row>
    <row r="3" spans="1:67" ht="15" thickBot="1">
      <c r="A3" s="198" t="s">
        <v>206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207</v>
      </c>
      <c r="BB4" s="524">
        <v>2022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30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208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 ht="13.9" customHeight="1">
      <c r="A6" s="373" t="s">
        <v>157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77"/>
      <c r="O6" s="21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93"/>
      <c r="AB6" s="21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93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8"/>
      <c r="AC7" s="9"/>
      <c r="AD7" s="9"/>
      <c r="AE7" s="9"/>
      <c r="AF7" s="9"/>
      <c r="AG7" s="9"/>
      <c r="AH7" s="9"/>
      <c r="AI7" s="9"/>
      <c r="AJ7" s="9"/>
      <c r="AK7" s="9"/>
      <c r="AL7" s="9"/>
      <c r="AM7" s="244"/>
      <c r="AN7" s="95"/>
      <c r="AO7" s="150"/>
      <c r="AP7" s="87"/>
      <c r="AQ7" s="87"/>
      <c r="AR7" s="87"/>
      <c r="AS7" s="87"/>
      <c r="AT7" s="38"/>
      <c r="AU7" s="124">
        <f>Customers!E7</f>
        <v>247</v>
      </c>
      <c r="AV7" s="124">
        <f>Customers!F7</f>
        <v>247</v>
      </c>
      <c r="AW7" s="124">
        <f>Customers!G7</f>
        <v>247</v>
      </c>
      <c r="AX7" s="124">
        <f>Customers!H7</f>
        <v>247</v>
      </c>
      <c r="AY7" s="124">
        <f>Customers!I7</f>
        <v>247</v>
      </c>
      <c r="AZ7" s="124">
        <f>Customers!J7</f>
        <v>247</v>
      </c>
      <c r="BA7" s="210">
        <f>IFERROR(ROUND(AVERAGE(AO7:AZ7),0),0)</f>
        <v>247</v>
      </c>
      <c r="BB7" s="109">
        <v>247</v>
      </c>
      <c r="BC7" s="38">
        <v>247</v>
      </c>
      <c r="BD7" s="38">
        <v>247</v>
      </c>
      <c r="BE7" s="38">
        <v>247</v>
      </c>
      <c r="BF7" s="38">
        <f t="shared" ref="BF7:BM7" si="0">BE7</f>
        <v>247</v>
      </c>
      <c r="BG7" s="38">
        <f t="shared" si="0"/>
        <v>247</v>
      </c>
      <c r="BH7" s="38">
        <f t="shared" si="0"/>
        <v>247</v>
      </c>
      <c r="BI7" s="38">
        <f t="shared" si="0"/>
        <v>247</v>
      </c>
      <c r="BJ7" s="38">
        <f t="shared" si="0"/>
        <v>247</v>
      </c>
      <c r="BK7" s="38">
        <f t="shared" si="0"/>
        <v>247</v>
      </c>
      <c r="BL7" s="38">
        <f t="shared" si="0"/>
        <v>247</v>
      </c>
      <c r="BM7" s="38">
        <f t="shared" si="0"/>
        <v>247</v>
      </c>
      <c r="BN7" s="210">
        <f>IFERROR(ROUND(AVERAGE(BB7:BM7),0),0)</f>
        <v>247</v>
      </c>
      <c r="BO7" s="143">
        <f>Customers!L7</f>
        <v>247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297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95"/>
      <c r="AO8" s="100"/>
      <c r="AP8" s="87"/>
      <c r="AQ8" s="87"/>
      <c r="AR8" s="87"/>
      <c r="AS8" s="87"/>
      <c r="AT8" s="38"/>
      <c r="AU8" s="38">
        <f>ROUND(AU$11*'kWh Blocks by Rate Category'!C8,0)</f>
        <v>85090</v>
      </c>
      <c r="AV8" s="38">
        <f>ROUND(AV$11*'kWh Blocks by Rate Category'!D8,0)</f>
        <v>102970</v>
      </c>
      <c r="AW8" s="38">
        <f>ROUND(AW$11*'kWh Blocks by Rate Category'!E8,0)</f>
        <v>84603</v>
      </c>
      <c r="AX8" s="38">
        <f>ROUND(AX$11*'kWh Blocks by Rate Category'!F8,0)</f>
        <v>100935</v>
      </c>
      <c r="AY8" s="38">
        <f>ROUND(AY$11*'kWh Blocks by Rate Category'!G8,0)</f>
        <v>111716</v>
      </c>
      <c r="AZ8" s="38">
        <f>ROUND(AZ$11*'kWh Blocks by Rate Category'!H8,0)</f>
        <v>124232</v>
      </c>
      <c r="BA8" s="210">
        <f>SUM(AO8:AZ8)</f>
        <v>609546</v>
      </c>
      <c r="BB8" s="38">
        <v>141849</v>
      </c>
      <c r="BC8" s="38">
        <v>139151</v>
      </c>
      <c r="BD8" s="38">
        <v>145698</v>
      </c>
      <c r="BE8" s="38">
        <v>104620</v>
      </c>
      <c r="BF8" s="38">
        <f>ROUND(BF$11*'kWh Blocks by Rate Category'!N8,0)</f>
        <v>125908</v>
      </c>
      <c r="BG8" s="38">
        <f>ROUND(BG$11*'kWh Blocks by Rate Category'!O8,0)</f>
        <v>114648</v>
      </c>
      <c r="BH8" s="38">
        <f>ROUND(BH$11*'kWh Blocks by Rate Category'!P8,0)</f>
        <v>85090</v>
      </c>
      <c r="BI8" s="38">
        <f>ROUND(BI$11*'kWh Blocks by Rate Category'!Q8,0)</f>
        <v>102970</v>
      </c>
      <c r="BJ8" s="38">
        <f>ROUND(BJ$11*'kWh Blocks by Rate Category'!R8,0)</f>
        <v>84603</v>
      </c>
      <c r="BK8" s="38">
        <f>ROUND(BK$11*'kWh Blocks by Rate Category'!S8,0)</f>
        <v>100935</v>
      </c>
      <c r="BL8" s="38">
        <f>ROUND(BL$11*'kWh Blocks by Rate Category'!T8,0)</f>
        <v>111716</v>
      </c>
      <c r="BM8" s="38">
        <f>ROUND(BM$11*'kWh Blocks by Rate Category'!U8,0)</f>
        <v>124232</v>
      </c>
      <c r="BN8" s="210">
        <f>SUM(BB8:BM8)</f>
        <v>1381420</v>
      </c>
      <c r="BO8" s="143">
        <f>IFERROR(ROUND((BN8/BN$11)*BO$11,0),0)</f>
        <v>1381420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297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95"/>
      <c r="AO9" s="100"/>
      <c r="AP9" s="87"/>
      <c r="AQ9" s="87"/>
      <c r="AR9" s="87"/>
      <c r="AS9" s="87"/>
      <c r="AT9" s="38"/>
      <c r="AU9" s="38">
        <f>ROUND(AU$11*'kWh Blocks by Rate Category'!C9,0)</f>
        <v>45340</v>
      </c>
      <c r="AV9" s="38">
        <f>ROUND(AV$11*'kWh Blocks by Rate Category'!D9,0)</f>
        <v>54868</v>
      </c>
      <c r="AW9" s="38">
        <f>ROUND(AW$11*'kWh Blocks by Rate Category'!E9,0)</f>
        <v>45081</v>
      </c>
      <c r="AX9" s="38">
        <f>ROUND(AX$11*'kWh Blocks by Rate Category'!F9,0)</f>
        <v>53783</v>
      </c>
      <c r="AY9" s="38">
        <f>ROUND(AY$11*'kWh Blocks by Rate Category'!G9,0)</f>
        <v>59528</v>
      </c>
      <c r="AZ9" s="38">
        <f>ROUND(AZ$11*'kWh Blocks by Rate Category'!H9,0)</f>
        <v>66197</v>
      </c>
      <c r="BA9" s="210">
        <f>SUM(AO9:AZ9)</f>
        <v>324797</v>
      </c>
      <c r="BB9" s="38">
        <v>75584</v>
      </c>
      <c r="BC9" s="38">
        <v>74146</v>
      </c>
      <c r="BD9" s="38">
        <v>77635</v>
      </c>
      <c r="BE9" s="38">
        <v>55747</v>
      </c>
      <c r="BF9" s="38">
        <f>ROUND(BF$11*'kWh Blocks by Rate Category'!N9,0)</f>
        <v>67090</v>
      </c>
      <c r="BG9" s="38">
        <f>ROUND(BG$11*'kWh Blocks by Rate Category'!O9,0)</f>
        <v>61090</v>
      </c>
      <c r="BH9" s="38">
        <f>ROUND(BH$11*'kWh Blocks by Rate Category'!P9,0)</f>
        <v>45340</v>
      </c>
      <c r="BI9" s="38">
        <f>ROUND(BI$11*'kWh Blocks by Rate Category'!Q9,0)</f>
        <v>54868</v>
      </c>
      <c r="BJ9" s="38">
        <f>ROUND(BJ$11*'kWh Blocks by Rate Category'!R9,0)</f>
        <v>45081</v>
      </c>
      <c r="BK9" s="38">
        <f>ROUND(BK$11*'kWh Blocks by Rate Category'!S9,0)</f>
        <v>53783</v>
      </c>
      <c r="BL9" s="38">
        <f>ROUND(BL$11*'kWh Blocks by Rate Category'!T9,0)</f>
        <v>59528</v>
      </c>
      <c r="BM9" s="38">
        <f>ROUND(BM$11*'kWh Blocks by Rate Category'!U9,0)</f>
        <v>66197</v>
      </c>
      <c r="BN9" s="210">
        <f>SUM(BB9:BM9)</f>
        <v>736089</v>
      </c>
      <c r="BO9" s="143">
        <f>IFERROR(ROUND((BN9/BN$11)*BO$11,0),0)</f>
        <v>736089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297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95"/>
      <c r="AO10" s="100"/>
      <c r="AP10" s="87"/>
      <c r="AQ10" s="87"/>
      <c r="AR10" s="87"/>
      <c r="AS10" s="87"/>
      <c r="AT10" s="38"/>
      <c r="AU10" s="38">
        <f>ROUND(AU$11*'kWh Blocks by Rate Category'!C10,0)</f>
        <v>8645</v>
      </c>
      <c r="AV10" s="38">
        <f>ROUND(AV$11*'kWh Blocks by Rate Category'!D10,0)</f>
        <v>10462</v>
      </c>
      <c r="AW10" s="38">
        <f>ROUND(AW$11*'kWh Blocks by Rate Category'!E10,0)</f>
        <v>8596</v>
      </c>
      <c r="AX10" s="38">
        <f>ROUND(AX$11*'kWh Blocks by Rate Category'!F10,0)</f>
        <v>10255</v>
      </c>
      <c r="AY10" s="38">
        <f>ROUND(AY$11*'kWh Blocks by Rate Category'!G10,0)+1</f>
        <v>11352</v>
      </c>
      <c r="AZ10" s="38">
        <f>ROUND(AZ$11*'kWh Blocks by Rate Category'!H10,0)</f>
        <v>12622</v>
      </c>
      <c r="BA10" s="210">
        <f>SUM(AO10:AZ10)</f>
        <v>61932</v>
      </c>
      <c r="BB10" s="38">
        <v>14412</v>
      </c>
      <c r="BC10" s="38">
        <v>14138</v>
      </c>
      <c r="BD10" s="38">
        <v>14803</v>
      </c>
      <c r="BE10" s="38">
        <v>10630</v>
      </c>
      <c r="BF10" s="38">
        <f>ROUND(BF$11*'kWh Blocks by Rate Category'!N10,0)</f>
        <v>12793</v>
      </c>
      <c r="BG10" s="38">
        <f>ROUND(BG$11*'kWh Blocks by Rate Category'!O10,0)</f>
        <v>11648</v>
      </c>
      <c r="BH10" s="38">
        <f>ROUND(BH$11*'kWh Blocks by Rate Category'!P10,0)</f>
        <v>8645</v>
      </c>
      <c r="BI10" s="38">
        <f>ROUND(BI$11*'kWh Blocks by Rate Category'!Q10,0)</f>
        <v>10462</v>
      </c>
      <c r="BJ10" s="38">
        <f>ROUND(BJ$11*'kWh Blocks by Rate Category'!R10,0)</f>
        <v>8596</v>
      </c>
      <c r="BK10" s="38">
        <f>ROUND(BK$11*'kWh Blocks by Rate Category'!S10,0)</f>
        <v>10255</v>
      </c>
      <c r="BL10" s="38">
        <f>ROUND(BL$11*'kWh Blocks by Rate Category'!T10,0)</f>
        <v>11351</v>
      </c>
      <c r="BM10" s="38">
        <f>ROUND(BM$11*'kWh Blocks by Rate Category'!U10,0)</f>
        <v>12622</v>
      </c>
      <c r="BN10" s="210">
        <f>SUM(BB10:BM10)</f>
        <v>140355</v>
      </c>
      <c r="BO10" s="143">
        <f>IFERROR(ROUND((BN10/BN$11)*BO$11,0),0)</f>
        <v>140355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10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226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139076</v>
      </c>
      <c r="AV11" s="64">
        <f t="shared" si="1"/>
        <v>168300</v>
      </c>
      <c r="AW11" s="64">
        <f t="shared" si="1"/>
        <v>138280</v>
      </c>
      <c r="AX11" s="64">
        <f t="shared" si="1"/>
        <v>164973</v>
      </c>
      <c r="AY11" s="64">
        <f t="shared" si="1"/>
        <v>182595</v>
      </c>
      <c r="AZ11" s="64">
        <f t="shared" si="1"/>
        <v>203052</v>
      </c>
      <c r="BA11" s="196">
        <f>SUM(AT11:AZ11)</f>
        <v>996276</v>
      </c>
      <c r="BB11" s="64">
        <v>231845</v>
      </c>
      <c r="BC11" s="64">
        <v>227435</v>
      </c>
      <c r="BD11" s="64">
        <v>238137</v>
      </c>
      <c r="BE11" s="64">
        <v>170997</v>
      </c>
      <c r="BF11" s="64">
        <f t="shared" ref="BF11:BM11" si="2">IFERROR(ROUND(BF12*BF7,0),0)</f>
        <v>205790</v>
      </c>
      <c r="BG11" s="64">
        <f t="shared" si="2"/>
        <v>187386</v>
      </c>
      <c r="BH11" s="64">
        <f t="shared" si="2"/>
        <v>139076</v>
      </c>
      <c r="BI11" s="64">
        <f t="shared" si="2"/>
        <v>168300</v>
      </c>
      <c r="BJ11" s="64">
        <f t="shared" si="2"/>
        <v>138280</v>
      </c>
      <c r="BK11" s="64">
        <f t="shared" si="2"/>
        <v>164973</v>
      </c>
      <c r="BL11" s="64">
        <f t="shared" si="2"/>
        <v>182595</v>
      </c>
      <c r="BM11" s="64">
        <f t="shared" si="2"/>
        <v>203052</v>
      </c>
      <c r="BN11" s="196">
        <f>SUM(BB11:BM11)</f>
        <v>2257866</v>
      </c>
      <c r="BO11" s="147">
        <f>ROUND(BO7*BO12,0)</f>
        <v>2257866</v>
      </c>
    </row>
    <row r="12" spans="1:67" ht="15" thickTop="1">
      <c r="A12" s="374" t="s">
        <v>54</v>
      </c>
      <c r="B12" s="84">
        <f>IF('kWh_Streetlight Data'!C7=0,"",'kWh_Streetlight Data'!C7)</f>
        <v>991.17991631799168</v>
      </c>
      <c r="C12" s="108">
        <f>IF('kWh_Streetlight Data'!D7=0,"",'kWh_Streetlight Data'!D7)</f>
        <v>803.23728813559319</v>
      </c>
      <c r="D12" s="108">
        <f>IF('kWh_Streetlight Data'!E7=0,"",'kWh_Streetlight Data'!E7)</f>
        <v>1048.2773109243697</v>
      </c>
      <c r="E12" s="108">
        <f>IF('kWh_Streetlight Data'!F7=0,"",'kWh_Streetlight Data'!F7)</f>
        <v>643.68312757201647</v>
      </c>
      <c r="F12" s="108">
        <f>IF('kWh_Streetlight Data'!G7=0,"",'kWh_Streetlight Data'!G7)</f>
        <v>831.25599999999997</v>
      </c>
      <c r="G12" s="108">
        <f>IF('kWh_Streetlight Data'!H7=0,"",'kWh_Streetlight Data'!H7)</f>
        <v>847.76170212765953</v>
      </c>
      <c r="H12" s="108">
        <f>IF('kWh_Streetlight Data'!I7=0,"",'kWh_Streetlight Data'!I7)</f>
        <v>464.51898734177217</v>
      </c>
      <c r="I12" s="108">
        <f>IF('kWh_Streetlight Data'!J7=0,"",'kWh_Streetlight Data'!J7)</f>
        <v>697.82426778242677</v>
      </c>
      <c r="J12" s="108">
        <f>IF('kWh_Streetlight Data'!K7=0,"",'kWh_Streetlight Data'!K7)</f>
        <v>555.66808510638293</v>
      </c>
      <c r="K12" s="108">
        <f>IF('kWh_Streetlight Data'!L7=0,"",'kWh_Streetlight Data'!L7)</f>
        <v>710.18333333333328</v>
      </c>
      <c r="L12" s="108">
        <f>IF('kWh_Streetlight Data'!M7=0,"",'kWh_Streetlight Data'!M7)</f>
        <v>726.16101694915255</v>
      </c>
      <c r="M12" s="108">
        <f>IF('kWh_Streetlight Data'!N7=0,"",'kWh_Streetlight Data'!N7)</f>
        <v>899.97916666666663</v>
      </c>
      <c r="N12" s="424">
        <f>IF('kWh_Streetlight Data'!O7=0,"",'kWh_Streetlight Data'!O7)</f>
        <v>768.71164574616455</v>
      </c>
      <c r="O12" s="84">
        <f>IF('kWh_Streetlight Data'!P7=0,"",'kWh_Streetlight Data'!P7)</f>
        <v>901.67083333333335</v>
      </c>
      <c r="P12" s="108">
        <f>IF('kWh_Streetlight Data'!Q7=0,"",'kWh_Streetlight Data'!Q7)</f>
        <v>1044.9958506224066</v>
      </c>
      <c r="Q12" s="108">
        <f>IF('kWh_Streetlight Data'!R7=0,"",'kWh_Streetlight Data'!R7)</f>
        <v>1002.8458333333333</v>
      </c>
      <c r="R12" s="108">
        <f>IF('kWh_Streetlight Data'!S7=0,"",'kWh_Streetlight Data'!S7)</f>
        <v>662.72834645669286</v>
      </c>
      <c r="S12" s="108">
        <f>IF('kWh_Streetlight Data'!T7=0,"",'kWh_Streetlight Data'!T7)</f>
        <v>851.86307053941914</v>
      </c>
      <c r="T12" s="108">
        <f>IF('kWh_Streetlight Data'!U7=0,"",'kWh_Streetlight Data'!U7)</f>
        <v>782.91836734693879</v>
      </c>
      <c r="U12" s="108">
        <f>IF('kWh_Streetlight Data'!V7=0,"",'kWh_Streetlight Data'!V7)</f>
        <v>627.42561983471069</v>
      </c>
      <c r="V12" s="108">
        <f>IF('kWh_Streetlight Data'!W7=0,"",'kWh_Streetlight Data'!W7)</f>
        <v>585.04237288135596</v>
      </c>
      <c r="W12" s="108">
        <f>IF('kWh_Streetlight Data'!X7=0,"",'kWh_Streetlight Data'!X7)</f>
        <v>543.21848739495795</v>
      </c>
      <c r="X12" s="108">
        <f>IF('kWh_Streetlight Data'!Y7=0,"",'kWh_Streetlight Data'!Y7)</f>
        <v>713.02531645569616</v>
      </c>
      <c r="Y12" s="108">
        <f>IF('kWh_Streetlight Data'!Z7=0,"",'kWh_Streetlight Data'!Z7)</f>
        <v>605.86307053941914</v>
      </c>
      <c r="Z12" s="108">
        <f>IF('kWh_Streetlight Data'!AA7=0,"",'kWh_Streetlight Data'!AA7)</f>
        <v>944.56722689075627</v>
      </c>
      <c r="AA12" s="425">
        <f>IF('kWh_Streetlight Data'!AB7=0,"",'kWh_Streetlight Data'!AB7)</f>
        <v>771.99274109920498</v>
      </c>
      <c r="AB12" s="129">
        <f>IF('kWh_Streetlight Data'!AC7=0,"",'kWh_Streetlight Data'!AC7)</f>
        <v>923.07818930041151</v>
      </c>
      <c r="AC12" s="130">
        <f>IF('kWh_Streetlight Data'!AD7=0,"",'kWh_Streetlight Data'!AD7)</f>
        <v>914.14107883817428</v>
      </c>
      <c r="AD12" s="130">
        <f>IF('kWh_Streetlight Data'!AE7=0,"",'kWh_Streetlight Data'!AE7)</f>
        <v>841.23456790123453</v>
      </c>
      <c r="AE12" s="130">
        <f>IF('kWh_Streetlight Data'!AF7=0,"",'kWh_Streetlight Data'!AF7)</f>
        <v>770.47107438016531</v>
      </c>
      <c r="AF12" s="130">
        <f>IF('kWh_Streetlight Data'!AG7=0,"",'kWh_Streetlight Data'!AG7)</f>
        <v>816.359375</v>
      </c>
      <c r="AG12" s="130">
        <f>IF('kWh_Streetlight Data'!AH7=0,"",'kWh_Streetlight Data'!AH7)</f>
        <v>645.26422764227641</v>
      </c>
      <c r="AH12" s="130">
        <f>IF('kWh_Streetlight Data'!AI7=0,"",'kWh_Streetlight Data'!AI7)</f>
        <v>597.23966942148763</v>
      </c>
      <c r="AI12" s="130">
        <f>IF('kWh_Streetlight Data'!AJ7=0,"",'kWh_Streetlight Data'!AJ7)</f>
        <v>761.26050420168065</v>
      </c>
      <c r="AJ12" s="130">
        <f>IF('kWh_Streetlight Data'!AK7=0,"",'kWh_Streetlight Data'!AK7)</f>
        <v>580.63265306122446</v>
      </c>
      <c r="AK12" s="130">
        <f>IF('kWh_Streetlight Data'!AL7=0,"",'kWh_Streetlight Data'!AL7)</f>
        <v>580.51652892561981</v>
      </c>
      <c r="AL12" s="130">
        <f>IF('kWh_Streetlight Data'!AM7=0,"",'kWh_Streetlight Data'!AM7)</f>
        <v>885.73333333333335</v>
      </c>
      <c r="AM12" s="441">
        <f>IF('kWh_Streetlight Data'!AN7=0,"",'kWh_Streetlight Data'!AN7)</f>
        <v>621.67226890756308</v>
      </c>
      <c r="AN12" s="426">
        <f>IF('kWh_Streetlight Data'!AO7=0,"",'kWh_Streetlight Data'!AO7)</f>
        <v>744.92421124828536</v>
      </c>
      <c r="AO12" s="43"/>
      <c r="AP12" s="40"/>
      <c r="AQ12" s="40"/>
      <c r="AR12" s="40"/>
      <c r="AS12" s="40"/>
      <c r="AT12" s="17"/>
      <c r="AU12" s="17">
        <f t="shared" ref="AU12:AZ12" si="3">IFERROR(AVERAGE(AH12,U12,H12),0)</f>
        <v>563.06142553265681</v>
      </c>
      <c r="AV12" s="17">
        <f t="shared" si="3"/>
        <v>681.37571495515442</v>
      </c>
      <c r="AW12" s="17">
        <f t="shared" si="3"/>
        <v>559.83974185418845</v>
      </c>
      <c r="AX12" s="17">
        <f t="shared" si="3"/>
        <v>667.90839290488304</v>
      </c>
      <c r="AY12" s="17">
        <f t="shared" si="3"/>
        <v>739.25247360730157</v>
      </c>
      <c r="AZ12" s="17">
        <f t="shared" si="3"/>
        <v>822.07288748832855</v>
      </c>
      <c r="BA12" s="211"/>
      <c r="BB12" s="17">
        <v>938.64297965057892</v>
      </c>
      <c r="BC12" s="17">
        <v>920.79140586539143</v>
      </c>
      <c r="BD12" s="17">
        <v>964.11923738631242</v>
      </c>
      <c r="BE12" s="17">
        <v>692.29418280295829</v>
      </c>
      <c r="BF12" s="17">
        <f t="shared" ref="BF12:BM12" si="4">IFERROR(AVERAGE(F12,S12,AF12),0)</f>
        <v>833.15948184647311</v>
      </c>
      <c r="BG12" s="17">
        <f t="shared" si="4"/>
        <v>758.64809903895821</v>
      </c>
      <c r="BH12" s="17">
        <f t="shared" si="4"/>
        <v>563.06142553265681</v>
      </c>
      <c r="BI12" s="17">
        <f t="shared" si="4"/>
        <v>681.37571495515442</v>
      </c>
      <c r="BJ12" s="17">
        <f t="shared" si="4"/>
        <v>559.83974185418845</v>
      </c>
      <c r="BK12" s="17">
        <f t="shared" si="4"/>
        <v>667.90839290488304</v>
      </c>
      <c r="BL12" s="17">
        <f t="shared" si="4"/>
        <v>739.25247360730157</v>
      </c>
      <c r="BM12" s="17">
        <f t="shared" si="4"/>
        <v>822.07288748832877</v>
      </c>
      <c r="BN12" s="211">
        <f>IFERROR(BN11/SUM(BB7:BM7)*12,0)</f>
        <v>9141.1578947368434</v>
      </c>
      <c r="BO12" s="20">
        <f>BN12</f>
        <v>9141.1578947368434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8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5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 ht="13.9" customHeight="1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5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297"/>
      <c r="AC15" s="288"/>
      <c r="AD15" s="288"/>
      <c r="AE15" s="288"/>
      <c r="AF15" s="288"/>
      <c r="AG15" s="288"/>
      <c r="AH15" s="288"/>
      <c r="AI15" s="288"/>
      <c r="AJ15" s="288"/>
      <c r="AK15" s="288"/>
      <c r="AL15" s="288"/>
      <c r="AM15" s="288"/>
      <c r="AN15" s="95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09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297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95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297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/>
      <c r="AN17" s="95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297"/>
      <c r="AC18" s="288"/>
      <c r="AD18" s="288"/>
      <c r="AE18" s="288"/>
      <c r="AF18" s="288"/>
      <c r="AG18" s="288"/>
      <c r="AH18" s="288"/>
      <c r="AI18" s="288"/>
      <c r="AJ18" s="288"/>
      <c r="AK18" s="288"/>
      <c r="AL18" s="288"/>
      <c r="AM18" s="288"/>
      <c r="AN18" s="95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10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226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84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426"/>
      <c r="AO20" s="43"/>
      <c r="AP20" s="40"/>
      <c r="AQ20" s="40"/>
      <c r="AR20" s="40"/>
      <c r="AS20" s="40"/>
      <c r="AT20" s="17"/>
      <c r="AU20" s="17"/>
      <c r="AV20" s="17"/>
      <c r="AW20" s="17"/>
      <c r="AX20" s="17"/>
      <c r="AY20" s="17"/>
      <c r="AZ20" s="17"/>
      <c r="BA20" s="211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96"/>
      <c r="AB21" s="18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96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95"/>
      <c r="AB22" s="297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95"/>
      <c r="AO22" s="150"/>
      <c r="AP22" s="87"/>
      <c r="AQ22" s="87"/>
      <c r="AR22" s="87"/>
      <c r="AS22" s="87"/>
      <c r="AT22" s="38"/>
      <c r="AU22" s="124">
        <f>Customers!E8</f>
        <v>40</v>
      </c>
      <c r="AV22" s="124">
        <f>Customers!F8</f>
        <v>40</v>
      </c>
      <c r="AW22" s="124">
        <f>Customers!G8</f>
        <v>40</v>
      </c>
      <c r="AX22" s="124">
        <f>Customers!H8</f>
        <v>40</v>
      </c>
      <c r="AY22" s="124">
        <f>Customers!I8</f>
        <v>40</v>
      </c>
      <c r="AZ22" s="124">
        <f>Customers!J8</f>
        <v>40</v>
      </c>
      <c r="BA22" s="210">
        <f>AZ22</f>
        <v>40</v>
      </c>
      <c r="BB22" s="109">
        <v>40</v>
      </c>
      <c r="BC22" s="38">
        <v>40</v>
      </c>
      <c r="BD22" s="38">
        <v>40</v>
      </c>
      <c r="BE22" s="38">
        <v>40</v>
      </c>
      <c r="BF22" s="38">
        <f t="shared" ref="BF22:BM22" si="5">BE22</f>
        <v>40</v>
      </c>
      <c r="BG22" s="38">
        <f t="shared" si="5"/>
        <v>40</v>
      </c>
      <c r="BH22" s="38">
        <f t="shared" si="5"/>
        <v>40</v>
      </c>
      <c r="BI22" s="38">
        <f t="shared" si="5"/>
        <v>40</v>
      </c>
      <c r="BJ22" s="38">
        <f t="shared" si="5"/>
        <v>40</v>
      </c>
      <c r="BK22" s="38">
        <f t="shared" si="5"/>
        <v>40</v>
      </c>
      <c r="BL22" s="38">
        <f t="shared" si="5"/>
        <v>40</v>
      </c>
      <c r="BM22" s="38">
        <f t="shared" si="5"/>
        <v>40</v>
      </c>
      <c r="BN22" s="210">
        <f>IFERROR(ROUND(AVERAGE(BB22:BM22),0),0)</f>
        <v>40</v>
      </c>
      <c r="BO22" s="133">
        <f>Customers!L8</f>
        <v>40</v>
      </c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95"/>
      <c r="AB23" s="297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95"/>
      <c r="AO23" s="100"/>
      <c r="AP23" s="87"/>
      <c r="AQ23" s="87"/>
      <c r="AR23" s="87"/>
      <c r="AS23" s="87"/>
      <c r="AT23" s="38"/>
      <c r="AU23" s="38">
        <f>ROUND(AU$26*'kWh Blocks by Rate Category'!C22,0)</f>
        <v>18629</v>
      </c>
      <c r="AV23" s="39">
        <f t="shared" ref="AV23:AV25" si="6">IFERROR(ROUND((I23/I$26)*AV$26,0),0)</f>
        <v>0</v>
      </c>
      <c r="AW23" s="39">
        <f t="shared" ref="AW23:AW25" si="7">IFERROR(ROUND((J23/J$26)*AW$26,0),0)</f>
        <v>0</v>
      </c>
      <c r="AX23" s="38">
        <f>ROUND(AX$26*'kWh Blocks by Rate Category'!F22,0)</f>
        <v>17942</v>
      </c>
      <c r="AY23" s="39">
        <f t="shared" ref="AY23:AY25" si="8">IFERROR(ROUND((L23/L$26)*AY$26,0),0)</f>
        <v>0</v>
      </c>
      <c r="AZ23" s="39">
        <f t="shared" ref="AZ23:AZ25" si="9">IFERROR(ROUND((M23/M$26)*AZ$26,0),0)</f>
        <v>0</v>
      </c>
      <c r="BA23" s="210">
        <f>SUM(AO23:AZ23)</f>
        <v>36571</v>
      </c>
      <c r="BB23" s="38">
        <v>10032</v>
      </c>
      <c r="BC23" s="38">
        <v>0</v>
      </c>
      <c r="BD23" s="38">
        <v>0</v>
      </c>
      <c r="BE23" s="38">
        <v>17283</v>
      </c>
      <c r="BF23" s="38">
        <f>ROUND(BF$26*'kWh Blocks by Rate Category'!N22,0)</f>
        <v>0</v>
      </c>
      <c r="BG23" s="38">
        <f>ROUND(BG$26*'kWh Blocks by Rate Category'!O22,0)</f>
        <v>0</v>
      </c>
      <c r="BH23" s="38">
        <f>ROUND(BH$26*'kWh Blocks by Rate Category'!P22,0)</f>
        <v>18629</v>
      </c>
      <c r="BI23" s="38">
        <f>ROUND(BI$26*'kWh Blocks by Rate Category'!Q22,0)</f>
        <v>0</v>
      </c>
      <c r="BJ23" s="38">
        <f>ROUND(BJ$26*'kWh Blocks by Rate Category'!R22,0)</f>
        <v>0</v>
      </c>
      <c r="BK23" s="38">
        <f>ROUND(BK$26*'kWh Blocks by Rate Category'!S22,0)</f>
        <v>17942</v>
      </c>
      <c r="BL23" s="38">
        <f>ROUND(BL$26*'kWh Blocks by Rate Category'!T22,0)</f>
        <v>0</v>
      </c>
      <c r="BM23" s="38">
        <f>ROUND(BM$26*'kWh Blocks by Rate Category'!U22,0)</f>
        <v>0</v>
      </c>
      <c r="BN23" s="210">
        <f>SUM(BB23:BM23)</f>
        <v>63886</v>
      </c>
      <c r="BO23" s="143">
        <f>ROUND(BO$26*'kWh Blocks by Rate Category'!W22,0)</f>
        <v>63886</v>
      </c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95"/>
      <c r="AB24" s="297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95"/>
      <c r="AO24" s="100"/>
      <c r="AP24" s="87"/>
      <c r="AQ24" s="87"/>
      <c r="AR24" s="87"/>
      <c r="AS24" s="87"/>
      <c r="AT24" s="38"/>
      <c r="AU24" s="38">
        <f>ROUND(AU$26*'kWh Blocks by Rate Category'!C23,0)</f>
        <v>6309</v>
      </c>
      <c r="AV24" s="39">
        <f t="shared" si="6"/>
        <v>0</v>
      </c>
      <c r="AW24" s="39">
        <f t="shared" si="7"/>
        <v>0</v>
      </c>
      <c r="AX24" s="38">
        <f>ROUND(AX$26*'kWh Blocks by Rate Category'!F23,0)</f>
        <v>6076</v>
      </c>
      <c r="AY24" s="39">
        <f t="shared" si="8"/>
        <v>0</v>
      </c>
      <c r="AZ24" s="39">
        <f t="shared" si="9"/>
        <v>0</v>
      </c>
      <c r="BA24" s="210">
        <f>SUM(AO24:AZ24)</f>
        <v>12385</v>
      </c>
      <c r="BB24" s="38">
        <v>3397</v>
      </c>
      <c r="BC24" s="38">
        <v>0</v>
      </c>
      <c r="BD24" s="38">
        <v>0</v>
      </c>
      <c r="BE24" s="38">
        <v>5853</v>
      </c>
      <c r="BF24" s="38">
        <f>ROUND(BF$26*'kWh Blocks by Rate Category'!N23,0)</f>
        <v>0</v>
      </c>
      <c r="BG24" s="38">
        <f>ROUND(BG$26*'kWh Blocks by Rate Category'!O23,0)</f>
        <v>0</v>
      </c>
      <c r="BH24" s="38">
        <f>ROUND(BH$26*'kWh Blocks by Rate Category'!P23,0)</f>
        <v>6309</v>
      </c>
      <c r="BI24" s="38">
        <f>ROUND(BI$26*'kWh Blocks by Rate Category'!Q23,0)</f>
        <v>0</v>
      </c>
      <c r="BJ24" s="38">
        <f>ROUND(BJ$26*'kWh Blocks by Rate Category'!R23,0)</f>
        <v>0</v>
      </c>
      <c r="BK24" s="38">
        <f>ROUND(BK$26*'kWh Blocks by Rate Category'!S23,0)</f>
        <v>6076</v>
      </c>
      <c r="BL24" s="38">
        <f>ROUND(BL$26*'kWh Blocks by Rate Category'!T23,0)</f>
        <v>0</v>
      </c>
      <c r="BM24" s="38">
        <f>ROUND(BM$26*'kWh Blocks by Rate Category'!U23,0)</f>
        <v>0</v>
      </c>
      <c r="BN24" s="210">
        <f>SUM(BB24:BM24)</f>
        <v>21635</v>
      </c>
      <c r="BO24" s="143">
        <f>ROUND(BO$26*'kWh Blocks by Rate Category'!W23,0)</f>
        <v>21635</v>
      </c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95"/>
      <c r="AB25" s="297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95"/>
      <c r="AO25" s="100"/>
      <c r="AP25" s="87"/>
      <c r="AQ25" s="87"/>
      <c r="AR25" s="87"/>
      <c r="AS25" s="87"/>
      <c r="AT25" s="38"/>
      <c r="AU25" s="38">
        <f>ROUND(AU$26*'kWh Blocks by Rate Category'!C24,0)</f>
        <v>3315</v>
      </c>
      <c r="AV25" s="39">
        <f t="shared" si="6"/>
        <v>0</v>
      </c>
      <c r="AW25" s="39">
        <f t="shared" si="7"/>
        <v>0</v>
      </c>
      <c r="AX25" s="38">
        <f>ROUND(AX$26*'kWh Blocks by Rate Category'!F24,0)</f>
        <v>3192</v>
      </c>
      <c r="AY25" s="39">
        <f t="shared" si="8"/>
        <v>0</v>
      </c>
      <c r="AZ25" s="39">
        <f t="shared" si="9"/>
        <v>0</v>
      </c>
      <c r="BA25" s="210">
        <f>SUM(AO25:AZ25)</f>
        <v>6507</v>
      </c>
      <c r="BB25" s="38">
        <v>1785</v>
      </c>
      <c r="BC25" s="38">
        <v>0</v>
      </c>
      <c r="BD25" s="38">
        <v>0</v>
      </c>
      <c r="BE25" s="38">
        <v>3075</v>
      </c>
      <c r="BF25" s="38">
        <f>ROUND(BF$26*'kWh Blocks by Rate Category'!N24,0)</f>
        <v>0</v>
      </c>
      <c r="BG25" s="38">
        <f>ROUND(BG$26*'kWh Blocks by Rate Category'!O24,0)</f>
        <v>0</v>
      </c>
      <c r="BH25" s="38">
        <f>ROUND(BH$26*'kWh Blocks by Rate Category'!P24,0)</f>
        <v>3315</v>
      </c>
      <c r="BI25" s="38">
        <f>ROUND(BI$26*'kWh Blocks by Rate Category'!Q24,0)</f>
        <v>0</v>
      </c>
      <c r="BJ25" s="38">
        <f>ROUND(BJ$26*'kWh Blocks by Rate Category'!R24,0)</f>
        <v>0</v>
      </c>
      <c r="BK25" s="38">
        <f>ROUND(BK$26*'kWh Blocks by Rate Category'!S24,0)</f>
        <v>3192</v>
      </c>
      <c r="BL25" s="38">
        <f>ROUND(BL$26*'kWh Blocks by Rate Category'!T24,0)</f>
        <v>0</v>
      </c>
      <c r="BM25" s="38">
        <f>ROUND(BM$26*'kWh Blocks by Rate Category'!U24,0)</f>
        <v>0</v>
      </c>
      <c r="BN25" s="210">
        <f>SUM(BB25:BM25)</f>
        <v>11367</v>
      </c>
      <c r="BO25" s="156">
        <f>ROUND(BO$26*'kWh Blocks by Rate Category'!W24,0)</f>
        <v>11368</v>
      </c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6"/>
      <c r="AB26" s="10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226"/>
      <c r="AO26" s="151"/>
      <c r="AP26" s="152"/>
      <c r="AQ26" s="152"/>
      <c r="AR26" s="152"/>
      <c r="AS26" s="152"/>
      <c r="AT26" s="64"/>
      <c r="AU26" s="64">
        <f t="shared" ref="AU26" si="10">IFERROR(ROUND(AU27*AU22,0),0)</f>
        <v>28252</v>
      </c>
      <c r="AV26" s="274"/>
      <c r="AW26" s="274"/>
      <c r="AX26" s="64">
        <f t="shared" ref="AX26" si="11">IFERROR(ROUND(AX27*AX22,0),0)</f>
        <v>27210</v>
      </c>
      <c r="AY26" s="274"/>
      <c r="AZ26" s="64">
        <f t="shared" ref="AZ26" si="12">IFERROR(ROUND(AZ27*AZ22,0),0)</f>
        <v>0</v>
      </c>
      <c r="BA26" s="196">
        <f>SUM(AO26:AZ26)</f>
        <v>55462</v>
      </c>
      <c r="BB26" s="64">
        <v>15215</v>
      </c>
      <c r="BC26" s="64">
        <v>0</v>
      </c>
      <c r="BD26" s="274"/>
      <c r="BE26" s="64">
        <v>26211</v>
      </c>
      <c r="BF26" s="64">
        <f t="shared" ref="BF26:BM26" si="13">IFERROR(ROUND(BF27*BF22,0),0)</f>
        <v>0</v>
      </c>
      <c r="BG26" s="274"/>
      <c r="BH26" s="64">
        <f t="shared" si="13"/>
        <v>28252</v>
      </c>
      <c r="BI26" s="274"/>
      <c r="BJ26" s="274"/>
      <c r="BK26" s="64">
        <f t="shared" si="13"/>
        <v>27210</v>
      </c>
      <c r="BL26" s="274"/>
      <c r="BM26" s="64">
        <f t="shared" si="13"/>
        <v>0</v>
      </c>
      <c r="BN26" s="196">
        <f>SUM(BB26:BM26)</f>
        <v>96888</v>
      </c>
      <c r="BO26" s="147">
        <f>ROUND(BO22*BO27,0)</f>
        <v>96888</v>
      </c>
    </row>
    <row r="27" spans="1:67" s="69" customFormat="1" ht="15" thickTop="1">
      <c r="A27" s="23" t="s">
        <v>54</v>
      </c>
      <c r="B27" s="84">
        <f>IF('kWh_Streetlight Data'!C8=0,"",'kWh_Streetlight Data'!C8)</f>
        <v>285.28571428571428</v>
      </c>
      <c r="C27" s="108" t="str">
        <f>IF('kWh_Streetlight Data'!D8=0,"",'kWh_Streetlight Data'!D8)</f>
        <v/>
      </c>
      <c r="D27" s="108" t="str">
        <f>IF('kWh_Streetlight Data'!E8=0,"",'kWh_Streetlight Data'!E8)</f>
        <v/>
      </c>
      <c r="E27" s="108">
        <f>IF('kWh_Streetlight Data'!F8=0,"",'kWh_Streetlight Data'!F8)</f>
        <v>477</v>
      </c>
      <c r="F27" s="108" t="str">
        <f>IF('kWh_Streetlight Data'!G8=0,"",'kWh_Streetlight Data'!G8)</f>
        <v/>
      </c>
      <c r="G27" s="108" t="str">
        <f>IF('kWh_Streetlight Data'!H8=0,"",'kWh_Streetlight Data'!H8)</f>
        <v/>
      </c>
      <c r="H27" s="108">
        <f>IF('kWh_Streetlight Data'!I8=0,"",'kWh_Streetlight Data'!I8)</f>
        <v>775.28947368421052</v>
      </c>
      <c r="I27" s="108" t="str">
        <f>IF('kWh_Streetlight Data'!J8=0,"",'kWh_Streetlight Data'!J8)</f>
        <v/>
      </c>
      <c r="J27" s="108" t="str">
        <f>IF('kWh_Streetlight Data'!K8=0,"",'kWh_Streetlight Data'!K8)</f>
        <v/>
      </c>
      <c r="K27" s="108">
        <f>IF('kWh_Streetlight Data'!L8=0,"",'kWh_Streetlight Data'!L8)</f>
        <v>569.07894736842104</v>
      </c>
      <c r="L27" s="108" t="str">
        <f>IF('kWh_Streetlight Data'!M8=0,"",'kWh_Streetlight Data'!M8)</f>
        <v/>
      </c>
      <c r="M27" s="108" t="str">
        <f>IF('kWh_Streetlight Data'!N8=0,"",'kWh_Streetlight Data'!N8)</f>
        <v/>
      </c>
      <c r="N27" s="424">
        <f>IF('kWh_Streetlight Data'!O8=0,"",'kWh_Streetlight Data'!O8)</f>
        <v>493.343949044586</v>
      </c>
      <c r="O27" s="108">
        <f>IF('kWh_Streetlight Data'!P8=0,"",'kWh_Streetlight Data'!P8)</f>
        <v>475.44827586206895</v>
      </c>
      <c r="P27" s="108" t="str">
        <f>IF('kWh_Streetlight Data'!Q8=0,"",'kWh_Streetlight Data'!Q8)</f>
        <v/>
      </c>
      <c r="Q27" s="108" t="str">
        <f>IF('kWh_Streetlight Data'!R8=0,"",'kWh_Streetlight Data'!R8)</f>
        <v/>
      </c>
      <c r="R27" s="108">
        <f>IF('kWh_Streetlight Data'!S8=0,"",'kWh_Streetlight Data'!S8)</f>
        <v>737.84375</v>
      </c>
      <c r="S27" s="108" t="str">
        <f>IF('kWh_Streetlight Data'!T8=0,"",'kWh_Streetlight Data'!T8)</f>
        <v/>
      </c>
      <c r="T27" s="108" t="str">
        <f>IF('kWh_Streetlight Data'!U8=0,"",'kWh_Streetlight Data'!U8)</f>
        <v/>
      </c>
      <c r="U27" s="108">
        <f>IF('kWh_Streetlight Data'!V8=0,"",'kWh_Streetlight Data'!V8)</f>
        <v>633.68292682926824</v>
      </c>
      <c r="V27" s="108" t="str">
        <f>IF('kWh_Streetlight Data'!W8=0,"",'kWh_Streetlight Data'!W8)</f>
        <v/>
      </c>
      <c r="W27" s="108" t="str">
        <f>IF('kWh_Streetlight Data'!X8=0,"",'kWh_Streetlight Data'!X8)</f>
        <v/>
      </c>
      <c r="X27" s="108">
        <f>IF('kWh_Streetlight Data'!Y8=0,"",'kWh_Streetlight Data'!Y8)</f>
        <v>756.34883720930236</v>
      </c>
      <c r="Y27" s="108" t="str">
        <f>IF('kWh_Streetlight Data'!Z8=0,"",'kWh_Streetlight Data'!Z8)</f>
        <v/>
      </c>
      <c r="Z27" s="108" t="str">
        <f>IF('kWh_Streetlight Data'!AA8=0,"",'kWh_Streetlight Data'!AA8)</f>
        <v/>
      </c>
      <c r="AA27" s="424">
        <f>IF('kWh_Streetlight Data'!AB8=0,"",'kWh_Streetlight Data'!AB8)</f>
        <v>546.81609195402302</v>
      </c>
      <c r="AB27" s="129" t="str">
        <f>IF('kWh_Streetlight Data'!AC8=0,"",'kWh_Streetlight Data'!AC8)</f>
        <v/>
      </c>
      <c r="AC27" s="130" t="str">
        <f>IF('kWh_Streetlight Data'!AD8=0,"",'kWh_Streetlight Data'!AD8)</f>
        <v/>
      </c>
      <c r="AD27" s="130" t="str">
        <f>IF('kWh_Streetlight Data'!AE8=0,"",'kWh_Streetlight Data'!AE8)</f>
        <v/>
      </c>
      <c r="AE27" s="130">
        <f>IF('kWh_Streetlight Data'!AF8=0,"",'kWh_Streetlight Data'!AF8)</f>
        <v>751</v>
      </c>
      <c r="AF27" s="130" t="str">
        <f>IF('kWh_Streetlight Data'!AG8=0,"",'kWh_Streetlight Data'!AG8)</f>
        <v/>
      </c>
      <c r="AG27" s="130" t="str">
        <f>IF('kWh_Streetlight Data'!AH8=0,"",'kWh_Streetlight Data'!AH8)</f>
        <v/>
      </c>
      <c r="AH27" s="130">
        <f>IF('kWh_Streetlight Data'!AI8=0,"",'kWh_Streetlight Data'!AI8)</f>
        <v>709.91666666666663</v>
      </c>
      <c r="AI27" s="130" t="str">
        <f>IF('kWh_Streetlight Data'!AJ8=0,"",'kWh_Streetlight Data'!AJ8)</f>
        <v/>
      </c>
      <c r="AJ27" s="130" t="str">
        <f>IF('kWh_Streetlight Data'!AK8=0,"",'kWh_Streetlight Data'!AK8)</f>
        <v/>
      </c>
      <c r="AK27" s="130">
        <f>IF('kWh_Streetlight Data'!AL8=0,"",'kWh_Streetlight Data'!AL8)</f>
        <v>715.32558139534888</v>
      </c>
      <c r="AL27" s="130" t="str">
        <f>IF('kWh_Streetlight Data'!AM8=0,"",'kWh_Streetlight Data'!AM8)</f>
        <v/>
      </c>
      <c r="AM27" s="441" t="str">
        <f>IF('kWh_Streetlight Data'!AN8=0,"",'kWh_Streetlight Data'!AN8)</f>
        <v/>
      </c>
      <c r="AN27" s="426">
        <f>IF('kWh_Streetlight Data'!AO8=0,"",'kWh_Streetlight Data'!AO8)</f>
        <v>564.72258064516132</v>
      </c>
      <c r="AO27" s="34"/>
      <c r="AP27" s="35"/>
      <c r="AQ27" s="35"/>
      <c r="AR27" s="35"/>
      <c r="AS27" s="35"/>
      <c r="AT27" s="17"/>
      <c r="AU27" s="17">
        <f t="shared" ref="AU27" si="14">IFERROR(AVERAGE(AH27,U27,H27),0)</f>
        <v>706.29635572671521</v>
      </c>
      <c r="AV27" s="17"/>
      <c r="AW27" s="17"/>
      <c r="AX27" s="17">
        <f t="shared" ref="AX27" si="15">IFERROR(AVERAGE(AK27,X27,K27),0)</f>
        <v>680.25112199102409</v>
      </c>
      <c r="AY27" s="17"/>
      <c r="AZ27" s="17"/>
      <c r="BA27" s="211">
        <f>IFERROR(BA26/SUM(AO22:AZ22),0)</f>
        <v>231.09166666666667</v>
      </c>
      <c r="BB27" s="17">
        <v>380.36699507389164</v>
      </c>
      <c r="BC27" s="17"/>
      <c r="BD27" s="17"/>
      <c r="BE27" s="17">
        <v>655.28125</v>
      </c>
      <c r="BF27" s="17"/>
      <c r="BG27" s="17"/>
      <c r="BH27" s="17">
        <f t="shared" ref="BH27" si="16">IFERROR(AVERAGE(H27,U27,AH27),0)</f>
        <v>706.29635572671521</v>
      </c>
      <c r="BI27" s="17"/>
      <c r="BJ27" s="17"/>
      <c r="BK27" s="17">
        <f t="shared" ref="BK27" si="17">IFERROR(AVERAGE(K27,X27,AK27),0)</f>
        <v>680.25112199102398</v>
      </c>
      <c r="BL27" s="17"/>
      <c r="BM27" s="17"/>
      <c r="BN27" s="211">
        <f>IFERROR(BN26/SUM(BB22:BM22)*12,0)</f>
        <v>2422.1999999999998</v>
      </c>
      <c r="BO27" s="20">
        <f>BN27</f>
        <v>2422.1999999999998</v>
      </c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96"/>
      <c r="AB28" s="18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96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95"/>
      <c r="AB29" s="297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95"/>
      <c r="AO29" s="150"/>
      <c r="AP29" s="87"/>
      <c r="AQ29" s="87"/>
      <c r="AR29" s="87"/>
      <c r="AS29" s="87"/>
      <c r="AT29" s="38"/>
      <c r="AU29" s="124">
        <f>Customers!E9</f>
        <v>55</v>
      </c>
      <c r="AV29" s="124">
        <f>Customers!F9</f>
        <v>55</v>
      </c>
      <c r="AW29" s="124">
        <f>Customers!G9</f>
        <v>55</v>
      </c>
      <c r="AX29" s="124">
        <f>Customers!H9</f>
        <v>55</v>
      </c>
      <c r="AY29" s="124">
        <f>Customers!I9</f>
        <v>55</v>
      </c>
      <c r="AZ29" s="124">
        <f>Customers!J9</f>
        <v>55</v>
      </c>
      <c r="BA29" s="210">
        <f>AZ29</f>
        <v>55</v>
      </c>
      <c r="BB29" s="109">
        <v>55</v>
      </c>
      <c r="BC29" s="38">
        <v>55</v>
      </c>
      <c r="BD29" s="38">
        <v>55</v>
      </c>
      <c r="BE29" s="38">
        <v>55</v>
      </c>
      <c r="BF29" s="38">
        <f t="shared" ref="BF29:BM29" si="18">BE29</f>
        <v>55</v>
      </c>
      <c r="BG29" s="38">
        <f t="shared" si="18"/>
        <v>55</v>
      </c>
      <c r="BH29" s="38">
        <f t="shared" si="18"/>
        <v>55</v>
      </c>
      <c r="BI29" s="38">
        <f t="shared" si="18"/>
        <v>55</v>
      </c>
      <c r="BJ29" s="38">
        <f t="shared" si="18"/>
        <v>55</v>
      </c>
      <c r="BK29" s="38">
        <f t="shared" si="18"/>
        <v>55</v>
      </c>
      <c r="BL29" s="38">
        <f t="shared" si="18"/>
        <v>55</v>
      </c>
      <c r="BM29" s="38">
        <f t="shared" si="18"/>
        <v>55</v>
      </c>
      <c r="BN29" s="210">
        <f>IFERROR(ROUND(AVERAGE(BB29:BM29),0),0)</f>
        <v>55</v>
      </c>
      <c r="BO29" s="90">
        <f>Customers!L9</f>
        <v>55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95"/>
      <c r="AB30" s="297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95"/>
      <c r="AO30" s="100"/>
      <c r="AP30" s="87"/>
      <c r="AQ30" s="87"/>
      <c r="AR30" s="87"/>
      <c r="AS30" s="87"/>
      <c r="AT30" s="38"/>
      <c r="AU30" s="38">
        <f>ROUND(AU$33*'kWh Blocks by Rate Category'!C29,0)</f>
        <v>56948</v>
      </c>
      <c r="AV30" s="38">
        <f>ROUND(AV$33*'kWh Blocks by Rate Category'!D29,0)</f>
        <v>70660</v>
      </c>
      <c r="AW30" s="38">
        <f>ROUND(AW$33*'kWh Blocks by Rate Category'!E29,0)</f>
        <v>56289</v>
      </c>
      <c r="AX30" s="38">
        <f>ROUND(AX$33*'kWh Blocks by Rate Category'!F29,0)</f>
        <v>72965</v>
      </c>
      <c r="AY30" s="38">
        <f>ROUND(AY$33*'kWh Blocks by Rate Category'!G29,0)</f>
        <v>75664</v>
      </c>
      <c r="AZ30" s="38">
        <f>ROUND(AZ$33*'kWh Blocks by Rate Category'!H29,0)</f>
        <v>101144</v>
      </c>
      <c r="BA30" s="210">
        <f>SUM(AO30:AZ30)</f>
        <v>433670</v>
      </c>
      <c r="BB30" s="38">
        <v>111726</v>
      </c>
      <c r="BC30" s="38">
        <v>102938</v>
      </c>
      <c r="BD30" s="38">
        <v>110310</v>
      </c>
      <c r="BE30" s="38">
        <v>81501</v>
      </c>
      <c r="BF30" s="38">
        <f>ROUND(BF$33*'kWh Blocks by Rate Category'!N29,0)</f>
        <v>60839</v>
      </c>
      <c r="BG30" s="38">
        <f>ROUND(BG$33*'kWh Blocks by Rate Category'!O29,0)</f>
        <v>80007</v>
      </c>
      <c r="BH30" s="38">
        <f>ROUND(BH$33*'kWh Blocks by Rate Category'!P29,0)</f>
        <v>56948</v>
      </c>
      <c r="BI30" s="38">
        <f>ROUND(BI$33*'kWh Blocks by Rate Category'!Q29,0)</f>
        <v>70660</v>
      </c>
      <c r="BJ30" s="38">
        <f>ROUND(BJ$33*'kWh Blocks by Rate Category'!R29,0)</f>
        <v>56289</v>
      </c>
      <c r="BK30" s="38">
        <f>ROUND(BK$33*'kWh Blocks by Rate Category'!S29,0)</f>
        <v>72965</v>
      </c>
      <c r="BL30" s="38">
        <f>ROUND(BL$33*'kWh Blocks by Rate Category'!T29,0)</f>
        <v>75664</v>
      </c>
      <c r="BM30" s="38">
        <f>ROUND(BM$33*'kWh Blocks by Rate Category'!U29,0)</f>
        <v>101144</v>
      </c>
      <c r="BN30" s="210">
        <f>SUM(BB30:BM30)</f>
        <v>980991</v>
      </c>
      <c r="BO30" s="143">
        <f>ROUND(BO$33*'kWh Blocks by Rate Category'!W29,0)</f>
        <v>980992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95"/>
      <c r="AB31" s="297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95"/>
      <c r="AO31" s="100"/>
      <c r="AP31" s="87"/>
      <c r="AQ31" s="87"/>
      <c r="AR31" s="87"/>
      <c r="AS31" s="87"/>
      <c r="AT31" s="38"/>
      <c r="AU31" s="38">
        <f>ROUND(AU$33*'kWh Blocks by Rate Category'!C30,0)</f>
        <v>5423</v>
      </c>
      <c r="AV31" s="38">
        <f>ROUND(AV$33*'kWh Blocks by Rate Category'!D30,0)</f>
        <v>6728</v>
      </c>
      <c r="AW31" s="38">
        <f>ROUND(AW$33*'kWh Blocks by Rate Category'!E30,0)</f>
        <v>5360</v>
      </c>
      <c r="AX31" s="38">
        <f>ROUND(AX$33*'kWh Blocks by Rate Category'!F30,0)</f>
        <v>6948</v>
      </c>
      <c r="AY31" s="38">
        <f>ROUND(AY$33*'kWh Blocks by Rate Category'!G30,0)</f>
        <v>7205</v>
      </c>
      <c r="AZ31" s="38">
        <f>ROUND(AZ$33*'kWh Blocks by Rate Category'!H30,0)</f>
        <v>9631</v>
      </c>
      <c r="BA31" s="210">
        <f>SUM(AO31:AZ31)</f>
        <v>41295</v>
      </c>
      <c r="BB31" s="38">
        <v>10638</v>
      </c>
      <c r="BC31" s="38">
        <v>9802</v>
      </c>
      <c r="BD31" s="38">
        <v>10504</v>
      </c>
      <c r="BE31" s="38">
        <v>7760</v>
      </c>
      <c r="BF31" s="38">
        <f>ROUND(BF$33*'kWh Blocks by Rate Category'!N30,0)</f>
        <v>5793</v>
      </c>
      <c r="BG31" s="38">
        <f>ROUND(BG$33*'kWh Blocks by Rate Category'!O30,0)</f>
        <v>7618</v>
      </c>
      <c r="BH31" s="38">
        <f>ROUND(BH$33*'kWh Blocks by Rate Category'!P30,0)</f>
        <v>5423</v>
      </c>
      <c r="BI31" s="38">
        <f>ROUND(BI$33*'kWh Blocks by Rate Category'!Q30,0)</f>
        <v>6728</v>
      </c>
      <c r="BJ31" s="38">
        <f>ROUND(BJ$33*'kWh Blocks by Rate Category'!R30,0)</f>
        <v>5360</v>
      </c>
      <c r="BK31" s="38">
        <f>ROUND(BK$33*'kWh Blocks by Rate Category'!S30,0)</f>
        <v>6948</v>
      </c>
      <c r="BL31" s="38">
        <f>ROUND(BL$33*'kWh Blocks by Rate Category'!T30,0)</f>
        <v>7205</v>
      </c>
      <c r="BM31" s="38">
        <f>ROUND(BM$33*'kWh Blocks by Rate Category'!U30,0)</f>
        <v>9631</v>
      </c>
      <c r="BN31" s="210">
        <f>SUM(BB31:BM31)</f>
        <v>93410</v>
      </c>
      <c r="BO31" s="143">
        <f>ROUND(BO$33*'kWh Blocks by Rate Category'!W30,0)</f>
        <v>93409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95"/>
      <c r="AB32" s="297"/>
      <c r="AC32" s="288"/>
      <c r="AD32" s="288"/>
      <c r="AE32" s="288"/>
      <c r="AF32" s="288"/>
      <c r="AG32" s="288"/>
      <c r="AH32" s="288"/>
      <c r="AI32" s="288"/>
      <c r="AJ32" s="288"/>
      <c r="AK32" s="288"/>
      <c r="AL32" s="288"/>
      <c r="AM32" s="288"/>
      <c r="AN32" s="95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143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6"/>
      <c r="AB33" s="10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226"/>
      <c r="AO33" s="151"/>
      <c r="AP33" s="152"/>
      <c r="AQ33" s="152"/>
      <c r="AR33" s="152"/>
      <c r="AS33" s="152"/>
      <c r="AT33" s="64"/>
      <c r="AU33" s="64">
        <f t="shared" ref="AU33:AZ33" si="19">IFERROR(ROUND(AU34*AU29,0),0)</f>
        <v>62371</v>
      </c>
      <c r="AV33" s="64">
        <f t="shared" si="19"/>
        <v>77388</v>
      </c>
      <c r="AW33" s="64">
        <f t="shared" si="19"/>
        <v>61649</v>
      </c>
      <c r="AX33" s="64">
        <f t="shared" si="19"/>
        <v>79913</v>
      </c>
      <c r="AY33" s="64">
        <f t="shared" si="19"/>
        <v>82869</v>
      </c>
      <c r="AZ33" s="64">
        <f t="shared" si="19"/>
        <v>110775</v>
      </c>
      <c r="BA33" s="196">
        <f>SUM(AO33:AZ33)</f>
        <v>474965</v>
      </c>
      <c r="BB33" s="64">
        <v>122364</v>
      </c>
      <c r="BC33" s="64">
        <v>112740</v>
      </c>
      <c r="BD33" s="64">
        <v>120814</v>
      </c>
      <c r="BE33" s="64">
        <v>89261</v>
      </c>
      <c r="BF33" s="64">
        <f t="shared" ref="BF33:BM33" si="20">IFERROR(ROUND(BF34*BF29,0),0)</f>
        <v>66632</v>
      </c>
      <c r="BG33" s="64">
        <f t="shared" si="20"/>
        <v>87625</v>
      </c>
      <c r="BH33" s="64">
        <f t="shared" si="20"/>
        <v>62371</v>
      </c>
      <c r="BI33" s="64">
        <f t="shared" si="20"/>
        <v>77388</v>
      </c>
      <c r="BJ33" s="64">
        <f t="shared" si="20"/>
        <v>61649</v>
      </c>
      <c r="BK33" s="64">
        <f t="shared" si="20"/>
        <v>79913</v>
      </c>
      <c r="BL33" s="64">
        <f t="shared" si="20"/>
        <v>82869</v>
      </c>
      <c r="BM33" s="64">
        <f t="shared" si="20"/>
        <v>110775</v>
      </c>
      <c r="BN33" s="196">
        <f>SUM(BB33:BM33)</f>
        <v>1074401</v>
      </c>
      <c r="BO33" s="147">
        <f>ROUND(BO29*BO34,0)</f>
        <v>1074401</v>
      </c>
    </row>
    <row r="34" spans="1:67" ht="15.75" customHeight="1" thickTop="1">
      <c r="A34" s="374" t="s">
        <v>54</v>
      </c>
      <c r="B34" s="84">
        <f>IF('kWh_Streetlight Data'!C9=0,"",'kWh_Streetlight Data'!C9)</f>
        <v>2178.1458333333335</v>
      </c>
      <c r="C34" s="108">
        <f>IF('kWh_Streetlight Data'!D9=0,"",'kWh_Streetlight Data'!D9)</f>
        <v>1717.6458333333333</v>
      </c>
      <c r="D34" s="108">
        <f>IF('kWh_Streetlight Data'!E9=0,"",'kWh_Streetlight Data'!E9)</f>
        <v>2131.6938775510203</v>
      </c>
      <c r="E34" s="108">
        <f>IF('kWh_Streetlight Data'!F9=0,"",'kWh_Streetlight Data'!F9)</f>
        <v>1431.3877551020407</v>
      </c>
      <c r="F34" s="108">
        <f>IF('kWh_Streetlight Data'!G9=0,"",'kWh_Streetlight Data'!G9)</f>
        <v>865.93442622950818</v>
      </c>
      <c r="G34" s="108">
        <f>IF('kWh_Streetlight Data'!H9=0,"",'kWh_Streetlight Data'!H9)</f>
        <v>1915.2941176470588</v>
      </c>
      <c r="H34" s="108">
        <f>IF('kWh_Streetlight Data'!I9=0,"",'kWh_Streetlight Data'!I9)</f>
        <v>1028.4285714285713</v>
      </c>
      <c r="I34" s="108">
        <f>IF('kWh_Streetlight Data'!J9=0,"",'kWh_Streetlight Data'!J9)</f>
        <v>1558.6470588235295</v>
      </c>
      <c r="J34" s="108">
        <f>IF('kWh_Streetlight Data'!K9=0,"",'kWh_Streetlight Data'!K9)</f>
        <v>1096.3818181818183</v>
      </c>
      <c r="K34" s="108">
        <f>IF('kWh_Streetlight Data'!L9=0,"",'kWh_Streetlight Data'!L9)</f>
        <v>1764.9433962264152</v>
      </c>
      <c r="L34" s="108">
        <f>IF('kWh_Streetlight Data'!M9=0,"",'kWh_Streetlight Data'!M9)</f>
        <v>1529.12</v>
      </c>
      <c r="M34" s="108">
        <f>IF('kWh_Streetlight Data'!N9=0,"",'kWh_Streetlight Data'!N9)</f>
        <v>2212.4893617021276</v>
      </c>
      <c r="N34" s="424">
        <f>IF('kWh_Streetlight Data'!O9=0,"",'kWh_Streetlight Data'!O9)</f>
        <v>1597.8085106382978</v>
      </c>
      <c r="O34" s="108">
        <f>IF('kWh_Streetlight Data'!P9=0,"",'kWh_Streetlight Data'!P9)</f>
        <v>2145.2978723404253</v>
      </c>
      <c r="P34" s="108">
        <f>IF('kWh_Streetlight Data'!Q9=0,"",'kWh_Streetlight Data'!Q9)</f>
        <v>2160.0416666666665</v>
      </c>
      <c r="Q34" s="108">
        <f>IF('kWh_Streetlight Data'!R9=0,"",'kWh_Streetlight Data'!R9)</f>
        <v>2356.2608695652175</v>
      </c>
      <c r="R34" s="108">
        <f>IF('kWh_Streetlight Data'!S9=0,"",'kWh_Streetlight Data'!S9)</f>
        <v>1631.9183673469388</v>
      </c>
      <c r="S34" s="108">
        <f>IF('kWh_Streetlight Data'!T9=0,"",'kWh_Streetlight Data'!T9)</f>
        <v>1340.140350877193</v>
      </c>
      <c r="T34" s="108">
        <f>IF('kWh_Streetlight Data'!U9=0,"",'kWh_Streetlight Data'!U9)</f>
        <v>1629.5</v>
      </c>
      <c r="U34" s="108">
        <f>IF('kWh_Streetlight Data'!V9=0,"",'kWh_Streetlight Data'!V9)</f>
        <v>1326.5098039215686</v>
      </c>
      <c r="V34" s="108">
        <f>IF('kWh_Streetlight Data'!W9=0,"",'kWh_Streetlight Data'!W9)</f>
        <v>1227.3725490196077</v>
      </c>
      <c r="W34" s="108">
        <f>IF('kWh_Streetlight Data'!X9=0,"",'kWh_Streetlight Data'!X9)</f>
        <v>1176.3061224489795</v>
      </c>
      <c r="X34" s="108">
        <f>IF('kWh_Streetlight Data'!Y9=0,"",'kWh_Streetlight Data'!Y9)</f>
        <v>1496.1</v>
      </c>
      <c r="Y34" s="108">
        <f>IF('kWh_Streetlight Data'!Z9=0,"",'kWh_Streetlight Data'!Z9)</f>
        <v>1277.5625</v>
      </c>
      <c r="Z34" s="108">
        <f>IF('kWh_Streetlight Data'!AA9=0,"",'kWh_Streetlight Data'!AA9)</f>
        <v>2124.2127659574467</v>
      </c>
      <c r="AA34" s="426">
        <f>IF('kWh_Streetlight Data'!AB9=0,"",'kWh_Streetlight Data'!AB9)</f>
        <v>1643.3785594639867</v>
      </c>
      <c r="AB34" s="129">
        <f>IF('kWh_Streetlight Data'!AC9=0,"",'kWh_Streetlight Data'!AC9)</f>
        <v>2350.9347826086955</v>
      </c>
      <c r="AC34" s="130">
        <f>IF('kWh_Streetlight Data'!AD9=0,"",'kWh_Streetlight Data'!AD9)</f>
        <v>2271.7727272727275</v>
      </c>
      <c r="AD34" s="130">
        <f>IF('kWh_Streetlight Data'!AE9=0,"",'kWh_Streetlight Data'!AE9)</f>
        <v>2101.8863636363635</v>
      </c>
      <c r="AE34" s="130">
        <f>IF('kWh_Streetlight Data'!AF9=0,"",'kWh_Streetlight Data'!AF9)</f>
        <v>1805.4888888888888</v>
      </c>
      <c r="AF34" s="130">
        <f>IF('kWh_Streetlight Data'!AG9=0,"",'kWh_Streetlight Data'!AG9)</f>
        <v>1428.4038461538462</v>
      </c>
      <c r="AG34" s="130">
        <f>IF('kWh_Streetlight Data'!AH9=0,"",'kWh_Streetlight Data'!AH9)</f>
        <v>1234.74</v>
      </c>
      <c r="AH34" s="130">
        <f>IF('kWh_Streetlight Data'!AI9=0,"",'kWh_Streetlight Data'!AI9)</f>
        <v>1047.0980392156862</v>
      </c>
      <c r="AI34" s="130">
        <f>IF('kWh_Streetlight Data'!AJ9=0,"",'kWh_Streetlight Data'!AJ9)</f>
        <v>1435.1632653061224</v>
      </c>
      <c r="AJ34" s="130">
        <f>IF('kWh_Streetlight Data'!AK9=0,"",'kWh_Streetlight Data'!AK9)</f>
        <v>1089.9591836734694</v>
      </c>
      <c r="AK34" s="130">
        <f>IF('kWh_Streetlight Data'!AL9=0,"",'kWh_Streetlight Data'!AL9)</f>
        <v>1097.8269230769231</v>
      </c>
      <c r="AL34" s="130">
        <f>IF('kWh_Streetlight Data'!AM9=0,"",'kWh_Streetlight Data'!AM9)</f>
        <v>1713.4181818181819</v>
      </c>
      <c r="AM34" s="441">
        <f>IF('kWh_Streetlight Data'!AN9=0,"",'kWh_Streetlight Data'!AN9)</f>
        <v>1705.5454545454545</v>
      </c>
      <c r="AN34" s="426">
        <f>IF('kWh_Streetlight Data'!AO9=0,"",'kWh_Streetlight Data'!AO9)</f>
        <v>1585.7951807228915</v>
      </c>
      <c r="AO34" s="43"/>
      <c r="AP34" s="40"/>
      <c r="AQ34" s="40"/>
      <c r="AR34" s="40"/>
      <c r="AS34" s="40"/>
      <c r="AT34" s="17"/>
      <c r="AU34" s="17">
        <f t="shared" ref="AU34" si="21">IFERROR(AVERAGE(AH34,U34,H34),0)</f>
        <v>1134.0121381886086</v>
      </c>
      <c r="AV34" s="17">
        <f t="shared" ref="AV34" si="22">IFERROR(AVERAGE(AI34,V34,I34),0)</f>
        <v>1407.0609577164198</v>
      </c>
      <c r="AW34" s="17">
        <f t="shared" ref="AW34" si="23">IFERROR(AVERAGE(AJ34,W34,J34),0)</f>
        <v>1120.8823747680892</v>
      </c>
      <c r="AX34" s="17">
        <f t="shared" ref="AX34" si="24">IFERROR(AVERAGE(AK34,X34,K34),0)</f>
        <v>1452.9567731011127</v>
      </c>
      <c r="AY34" s="17">
        <f t="shared" ref="AY34" si="25">IFERROR(AVERAGE(AL34,Y34,L34),0)</f>
        <v>1506.700227272727</v>
      </c>
      <c r="AZ34" s="17">
        <f t="shared" ref="AZ34" si="26">IFERROR(AVERAGE(AM34,Z34,M34),0)</f>
        <v>2014.0825274016763</v>
      </c>
      <c r="BA34" s="211">
        <f>IFERROR(BA33/SUM(AO29:AZ29),0)</f>
        <v>1439.2878787878788</v>
      </c>
      <c r="BB34" s="17">
        <v>2224.7928294274848</v>
      </c>
      <c r="BC34" s="17">
        <v>2049.820075757576</v>
      </c>
      <c r="BD34" s="17">
        <v>2196.6137035842003</v>
      </c>
      <c r="BE34" s="17">
        <v>1622.9316704459561</v>
      </c>
      <c r="BF34" s="17">
        <f t="shared" ref="BF34" si="27">IFERROR(AVERAGE(F34,S34,AF34),0)</f>
        <v>1211.4928744201825</v>
      </c>
      <c r="BG34" s="17">
        <f t="shared" ref="BG34" si="28">IFERROR(AVERAGE(G34,T34,AG34),0)</f>
        <v>1593.1780392156861</v>
      </c>
      <c r="BH34" s="17">
        <f t="shared" ref="BH34" si="29">IFERROR(AVERAGE(H34,U34,AH34),0)</f>
        <v>1134.0121381886086</v>
      </c>
      <c r="BI34" s="17">
        <f t="shared" ref="BI34" si="30">IFERROR(AVERAGE(I34,V34,AI34),0)</f>
        <v>1407.0609577164198</v>
      </c>
      <c r="BJ34" s="17">
        <f t="shared" ref="BJ34" si="31">IFERROR(AVERAGE(J34,W34,AJ34),0)</f>
        <v>1120.8823747680892</v>
      </c>
      <c r="BK34" s="17">
        <f t="shared" ref="BK34" si="32">IFERROR(AVERAGE(K34,X34,AK34),0)</f>
        <v>1452.9567731011127</v>
      </c>
      <c r="BL34" s="17">
        <f t="shared" ref="BL34" si="33">IFERROR(AVERAGE(L34,Y34,AL34),0)</f>
        <v>1506.700227272727</v>
      </c>
      <c r="BM34" s="17">
        <f t="shared" ref="BM34" si="34">IFERROR(AVERAGE(M34,Z34,AM34),0)</f>
        <v>2014.0825274016763</v>
      </c>
      <c r="BN34" s="211">
        <f>IFERROR(BN33/SUM(BB29:BM29)*12,0)</f>
        <v>19534.563636363637</v>
      </c>
      <c r="BO34" s="20">
        <f>BN34</f>
        <v>19534.563636363637</v>
      </c>
    </row>
    <row r="35" spans="1:67" ht="13.9" customHeight="1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5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5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95"/>
      <c r="AB36" s="297"/>
      <c r="AC36" s="288"/>
      <c r="AD36" s="288"/>
      <c r="AE36" s="288"/>
      <c r="AF36" s="288"/>
      <c r="AG36" s="288"/>
      <c r="AH36" s="288"/>
      <c r="AI36" s="288"/>
      <c r="AJ36" s="288"/>
      <c r="AK36" s="288"/>
      <c r="AL36" s="288"/>
      <c r="AM36" s="288"/>
      <c r="AN36" s="95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09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95"/>
      <c r="AB37" s="297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95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95"/>
      <c r="AB38" s="297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95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95"/>
      <c r="AB39" s="297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95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6"/>
      <c r="AB40" s="10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226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84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426"/>
      <c r="AO41" s="43"/>
      <c r="AP41" s="40"/>
      <c r="AQ41" s="40"/>
      <c r="AR41" s="40"/>
      <c r="AS41" s="40"/>
      <c r="AT41" s="17"/>
      <c r="AU41" s="17"/>
      <c r="AV41" s="17"/>
      <c r="AW41" s="17"/>
      <c r="AX41" s="17"/>
      <c r="AY41" s="17"/>
      <c r="AZ41" s="17"/>
      <c r="BA41" s="211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96"/>
      <c r="AB42" s="18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96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95"/>
      <c r="AB43" s="297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95"/>
      <c r="AO43" s="150"/>
      <c r="AP43" s="87"/>
      <c r="AQ43" s="87"/>
      <c r="AR43" s="87"/>
      <c r="AS43" s="87"/>
      <c r="AT43" s="38"/>
      <c r="AU43" s="124">
        <f>Customers!E10</f>
        <v>8</v>
      </c>
      <c r="AV43" s="124">
        <f>Customers!F10</f>
        <v>8</v>
      </c>
      <c r="AW43" s="124">
        <f>Customers!G10</f>
        <v>8</v>
      </c>
      <c r="AX43" s="124">
        <f>Customers!H10</f>
        <v>8</v>
      </c>
      <c r="AY43" s="124">
        <f>Customers!I10</f>
        <v>8</v>
      </c>
      <c r="AZ43" s="124">
        <f>Customers!J10</f>
        <v>8</v>
      </c>
      <c r="BA43" s="210">
        <f>IFERROR(ROUND(AVERAGE(AO43:AZ43),0),0)</f>
        <v>8</v>
      </c>
      <c r="BB43" s="109">
        <v>8</v>
      </c>
      <c r="BC43" s="38">
        <v>8</v>
      </c>
      <c r="BD43" s="38">
        <v>8</v>
      </c>
      <c r="BE43" s="38">
        <v>8</v>
      </c>
      <c r="BF43" s="38">
        <f t="shared" ref="BF43:BM43" si="35">BE43</f>
        <v>8</v>
      </c>
      <c r="BG43" s="38">
        <f t="shared" si="35"/>
        <v>8</v>
      </c>
      <c r="BH43" s="38">
        <f t="shared" si="35"/>
        <v>8</v>
      </c>
      <c r="BI43" s="38">
        <f t="shared" si="35"/>
        <v>8</v>
      </c>
      <c r="BJ43" s="38">
        <f t="shared" si="35"/>
        <v>8</v>
      </c>
      <c r="BK43" s="38">
        <f t="shared" si="35"/>
        <v>8</v>
      </c>
      <c r="BL43" s="38">
        <f t="shared" si="35"/>
        <v>8</v>
      </c>
      <c r="BM43" s="38">
        <f t="shared" si="35"/>
        <v>8</v>
      </c>
      <c r="BN43" s="210">
        <f>IFERROR(ROUND(AVERAGE(BB43:BM43),0),0)</f>
        <v>8</v>
      </c>
      <c r="BO43" s="90">
        <f>Customers!L10</f>
        <v>8</v>
      </c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95"/>
      <c r="AB44" s="297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95"/>
      <c r="AO44" s="100"/>
      <c r="AP44" s="87"/>
      <c r="AQ44" s="87"/>
      <c r="AR44" s="87"/>
      <c r="AS44" s="87"/>
      <c r="AT44" s="38"/>
      <c r="AU44" s="38">
        <f>ROUND(AU$47*'kWh Blocks by Rate Category'!C43,0)</f>
        <v>43667</v>
      </c>
      <c r="AV44" s="38">
        <f>ROUND(AV$47*'kWh Blocks by Rate Category'!D43,0)</f>
        <v>62301</v>
      </c>
      <c r="AW44" s="38">
        <f>ROUND(AW$47*'kWh Blocks by Rate Category'!E43,0)</f>
        <v>51850</v>
      </c>
      <c r="AX44" s="38">
        <f>ROUND(AX$47*'kWh Blocks by Rate Category'!F43,0)</f>
        <v>63039</v>
      </c>
      <c r="AY44" s="38">
        <f>ROUND(AY$47*'kWh Blocks by Rate Category'!G43,0)</f>
        <v>70517</v>
      </c>
      <c r="AZ44" s="38">
        <f>ROUND(AZ$47*'kWh Blocks by Rate Category'!H43,0)</f>
        <v>74529</v>
      </c>
      <c r="BA44" s="210">
        <f>SUM(AO44:AZ44)</f>
        <v>365903</v>
      </c>
      <c r="BB44" s="38">
        <v>66816</v>
      </c>
      <c r="BC44" s="38">
        <v>61596</v>
      </c>
      <c r="BD44" s="38">
        <v>70243</v>
      </c>
      <c r="BE44" s="38">
        <v>60161</v>
      </c>
      <c r="BF44" s="38">
        <f>ROUND(BF$47*'kWh Blocks by Rate Category'!N43,0)</f>
        <v>74407</v>
      </c>
      <c r="BG44" s="38">
        <f>ROUND(BG$47*'kWh Blocks by Rate Category'!O43,0)</f>
        <v>73547</v>
      </c>
      <c r="BH44" s="38">
        <f>ROUND(BH$47*'kWh Blocks by Rate Category'!P43,0)</f>
        <v>43667</v>
      </c>
      <c r="BI44" s="38">
        <f>ROUND(BI$47*'kWh Blocks by Rate Category'!Q43,0)</f>
        <v>62301</v>
      </c>
      <c r="BJ44" s="38">
        <f>ROUND(BJ$47*'kWh Blocks by Rate Category'!R43,0)</f>
        <v>51850</v>
      </c>
      <c r="BK44" s="38">
        <f>ROUND(BK$47*'kWh Blocks by Rate Category'!S43,0)</f>
        <v>63039</v>
      </c>
      <c r="BL44" s="38">
        <f>ROUND(BL$47*'kWh Blocks by Rate Category'!T43,0)</f>
        <v>70517</v>
      </c>
      <c r="BM44" s="38">
        <f>ROUND(BM$47*'kWh Blocks by Rate Category'!U43,0)</f>
        <v>74529</v>
      </c>
      <c r="BN44" s="210">
        <f>SUM(BB44:BM44)</f>
        <v>772673</v>
      </c>
      <c r="BO44" s="143">
        <f>ROUND(BO$47*'kWh Blocks by Rate Category'!W43,0)</f>
        <v>772674</v>
      </c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95"/>
      <c r="AB45" s="297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95"/>
      <c r="AO45" s="100"/>
      <c r="AP45" s="87"/>
      <c r="AQ45" s="87"/>
      <c r="AR45" s="87"/>
      <c r="AS45" s="87"/>
      <c r="AT45" s="38"/>
      <c r="AU45" s="38">
        <f>ROUND(AU$47*'kWh Blocks by Rate Category'!C44,0)</f>
        <v>3716</v>
      </c>
      <c r="AV45" s="38">
        <f>ROUND(AV$47*'kWh Blocks by Rate Category'!D44,0)</f>
        <v>5301</v>
      </c>
      <c r="AW45" s="38">
        <f>ROUND(AW$47*'kWh Blocks by Rate Category'!E44,0)</f>
        <v>4412</v>
      </c>
      <c r="AX45" s="38">
        <f>ROUND(AX$47*'kWh Blocks by Rate Category'!F44,0)</f>
        <v>5364</v>
      </c>
      <c r="AY45" s="38">
        <f>ROUND(AY$47*'kWh Blocks by Rate Category'!G44,0)</f>
        <v>6000</v>
      </c>
      <c r="AZ45" s="38">
        <f>ROUND(AZ$47*'kWh Blocks by Rate Category'!H44,0)</f>
        <v>6341</v>
      </c>
      <c r="BA45" s="210">
        <f>SUM(AO45:AZ45)</f>
        <v>31134</v>
      </c>
      <c r="BB45" s="38">
        <v>5685</v>
      </c>
      <c r="BC45" s="38">
        <v>5241</v>
      </c>
      <c r="BD45" s="38">
        <v>5977</v>
      </c>
      <c r="BE45" s="38">
        <v>5119</v>
      </c>
      <c r="BF45" s="38">
        <f>ROUND(BF$47*'kWh Blocks by Rate Category'!N44,0)</f>
        <v>6331</v>
      </c>
      <c r="BG45" s="38">
        <f>ROUND(BG$47*'kWh Blocks by Rate Category'!O44,0)</f>
        <v>6258</v>
      </c>
      <c r="BH45" s="38">
        <f>ROUND(BH$47*'kWh Blocks by Rate Category'!P44,0)</f>
        <v>3716</v>
      </c>
      <c r="BI45" s="38">
        <f>ROUND(BI$47*'kWh Blocks by Rate Category'!Q44,0)</f>
        <v>5301</v>
      </c>
      <c r="BJ45" s="38">
        <f>ROUND(BJ$47*'kWh Blocks by Rate Category'!R44,0)</f>
        <v>4412</v>
      </c>
      <c r="BK45" s="38">
        <f>ROUND(BK$47*'kWh Blocks by Rate Category'!S44,0)</f>
        <v>5364</v>
      </c>
      <c r="BL45" s="38">
        <f>ROUND(BL$47*'kWh Blocks by Rate Category'!T44,0)</f>
        <v>6000</v>
      </c>
      <c r="BM45" s="38">
        <f>ROUND(BM$47*'kWh Blocks by Rate Category'!U44,0)</f>
        <v>6341</v>
      </c>
      <c r="BN45" s="210">
        <f>SUM(BB45:BM45)</f>
        <v>65745</v>
      </c>
      <c r="BO45" s="143">
        <f>ROUND(BO$47*'kWh Blocks by Rate Category'!W44,0)</f>
        <v>65744</v>
      </c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95"/>
      <c r="AB46" s="297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288"/>
      <c r="AN46" s="95"/>
      <c r="AO46" s="100"/>
      <c r="AP46" s="87"/>
      <c r="AQ46" s="87"/>
      <c r="AR46" s="87"/>
      <c r="AS46" s="87"/>
      <c r="AT46" s="38"/>
      <c r="AU46" s="38">
        <f>ROUND(AU$47*'kWh Blocks by Rate Category'!C45,0)</f>
        <v>1517</v>
      </c>
      <c r="AV46" s="38">
        <f>ROUND(AV$47*'kWh Blocks by Rate Category'!D45,0)</f>
        <v>2165</v>
      </c>
      <c r="AW46" s="38">
        <f>ROUND(AW$47*'kWh Blocks by Rate Category'!E45,0)</f>
        <v>1801</v>
      </c>
      <c r="AX46" s="38">
        <f>ROUND(AX$47*'kWh Blocks by Rate Category'!F45,0)</f>
        <v>2190</v>
      </c>
      <c r="AY46" s="38">
        <f>ROUND(AY$47*'kWh Blocks by Rate Category'!G45,0)</f>
        <v>2450</v>
      </c>
      <c r="AZ46" s="38">
        <f>ROUND(AZ$47*'kWh Blocks by Rate Category'!H45,0)</f>
        <v>2589</v>
      </c>
      <c r="BA46" s="210">
        <f>SUM(AO46:AZ46)</f>
        <v>12712</v>
      </c>
      <c r="BB46" s="38">
        <v>2321</v>
      </c>
      <c r="BC46" s="38">
        <v>2140</v>
      </c>
      <c r="BD46" s="38">
        <v>2440</v>
      </c>
      <c r="BE46" s="38">
        <v>2090</v>
      </c>
      <c r="BF46" s="38">
        <f>ROUND(BF$47*'kWh Blocks by Rate Category'!N45,0)</f>
        <v>2585</v>
      </c>
      <c r="BG46" s="38">
        <f>ROUND(BG$47*'kWh Blocks by Rate Category'!O45,0)</f>
        <v>2555</v>
      </c>
      <c r="BH46" s="38">
        <f>ROUND(BH$47*'kWh Blocks by Rate Category'!P45,0)</f>
        <v>1517</v>
      </c>
      <c r="BI46" s="38">
        <f>ROUND(BI$47*'kWh Blocks by Rate Category'!Q45,0)</f>
        <v>2165</v>
      </c>
      <c r="BJ46" s="38">
        <f>ROUND(BJ$47*'kWh Blocks by Rate Category'!R45,0)</f>
        <v>1801</v>
      </c>
      <c r="BK46" s="38">
        <f>ROUND(BK$47*'kWh Blocks by Rate Category'!S45,0)</f>
        <v>2190</v>
      </c>
      <c r="BL46" s="38">
        <f>ROUND(BL$47*'kWh Blocks by Rate Category'!T45,0)</f>
        <v>2450</v>
      </c>
      <c r="BM46" s="38">
        <f>ROUND(BM$47*'kWh Blocks by Rate Category'!U45,0)</f>
        <v>2589</v>
      </c>
      <c r="BN46" s="210">
        <f>SUM(BB46:BM46)</f>
        <v>26843</v>
      </c>
      <c r="BO46" s="143">
        <f>ROUND(BO$47*'kWh Blocks by Rate Category'!W45,0)</f>
        <v>26845</v>
      </c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6"/>
      <c r="AB47" s="10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226"/>
      <c r="AO47" s="151"/>
      <c r="AP47" s="152"/>
      <c r="AQ47" s="152"/>
      <c r="AR47" s="152"/>
      <c r="AS47" s="152"/>
      <c r="AT47" s="64"/>
      <c r="AU47" s="64">
        <f t="shared" ref="AU47:AZ47" si="36">IFERROR(ROUND(AU48*AU43,0),0)</f>
        <v>48900</v>
      </c>
      <c r="AV47" s="64">
        <f t="shared" si="36"/>
        <v>69767</v>
      </c>
      <c r="AW47" s="64">
        <f t="shared" si="36"/>
        <v>58063</v>
      </c>
      <c r="AX47" s="64">
        <f t="shared" si="36"/>
        <v>70593</v>
      </c>
      <c r="AY47" s="64">
        <f t="shared" si="36"/>
        <v>78967</v>
      </c>
      <c r="AZ47" s="64">
        <f t="shared" si="36"/>
        <v>83460</v>
      </c>
      <c r="BA47" s="196">
        <f>SUM(AT47:AZ47)</f>
        <v>409750</v>
      </c>
      <c r="BB47" s="64">
        <v>74823</v>
      </c>
      <c r="BC47" s="64">
        <v>68977</v>
      </c>
      <c r="BD47" s="64">
        <v>78660</v>
      </c>
      <c r="BE47" s="64">
        <v>67370</v>
      </c>
      <c r="BF47" s="64">
        <f t="shared" ref="BF47:BM47" si="37">IFERROR(ROUND(BF48*BF43,0),0)</f>
        <v>83323</v>
      </c>
      <c r="BG47" s="64">
        <f t="shared" si="37"/>
        <v>82360</v>
      </c>
      <c r="BH47" s="64">
        <f t="shared" si="37"/>
        <v>48900</v>
      </c>
      <c r="BI47" s="64">
        <f t="shared" si="37"/>
        <v>69767</v>
      </c>
      <c r="BJ47" s="64">
        <f t="shared" si="37"/>
        <v>58063</v>
      </c>
      <c r="BK47" s="64">
        <f t="shared" si="37"/>
        <v>70593</v>
      </c>
      <c r="BL47" s="64">
        <f t="shared" si="37"/>
        <v>78967</v>
      </c>
      <c r="BM47" s="64">
        <f t="shared" si="37"/>
        <v>83460</v>
      </c>
      <c r="BN47" s="196">
        <f>SUM(BB47:BM47)</f>
        <v>865263</v>
      </c>
      <c r="BO47" s="147">
        <f>ROUND(BO43*BO48,0)</f>
        <v>865263</v>
      </c>
    </row>
    <row r="48" spans="1:67" ht="15.75" customHeight="1" thickTop="1">
      <c r="A48" s="374" t="s">
        <v>54</v>
      </c>
      <c r="B48" s="84">
        <f>IF('kWh_Streetlight Data'!C10=0,"",'kWh_Streetlight Data'!C10)</f>
        <v>10166.25</v>
      </c>
      <c r="C48" s="130">
        <f>IF('kWh_Streetlight Data'!D10=0,"",'kWh_Streetlight Data'!D10)</f>
        <v>7155</v>
      </c>
      <c r="D48" s="130">
        <f>IF('kWh_Streetlight Data'!E10=0,"",'kWh_Streetlight Data'!E10)</f>
        <v>8977.5</v>
      </c>
      <c r="E48" s="130">
        <f>IF('kWh_Streetlight Data'!F10=0,"",'kWh_Streetlight Data'!F10)</f>
        <v>6136.25</v>
      </c>
      <c r="F48" s="130">
        <f>IF('kWh_Streetlight Data'!G10=0,"",'kWh_Streetlight Data'!G10)</f>
        <v>9062.5</v>
      </c>
      <c r="G48" s="130">
        <f>IF('kWh_Streetlight Data'!H10=0,"",'kWh_Streetlight Data'!H10)</f>
        <v>9455</v>
      </c>
      <c r="H48" s="130">
        <f>IF('kWh_Streetlight Data'!I10=0,"",'kWh_Streetlight Data'!I10)</f>
        <v>5606.25</v>
      </c>
      <c r="I48" s="130">
        <f>IF('kWh_Streetlight Data'!J10=0,"",'kWh_Streetlight Data'!J10)</f>
        <v>8757.5</v>
      </c>
      <c r="J48" s="130">
        <f>IF('kWh_Streetlight Data'!K10=0,"",'kWh_Streetlight Data'!K10)</f>
        <v>7288.75</v>
      </c>
      <c r="K48" s="130">
        <f>IF('kWh_Streetlight Data'!L10=0,"",'kWh_Streetlight Data'!L10)</f>
        <v>9295</v>
      </c>
      <c r="L48" s="130">
        <f>IF('kWh_Streetlight Data'!M10=0,"",'kWh_Streetlight Data'!M10)</f>
        <v>9782.5</v>
      </c>
      <c r="M48" s="130">
        <f>IF('kWh_Streetlight Data'!N10=0,"",'kWh_Streetlight Data'!N10)</f>
        <v>12473.75</v>
      </c>
      <c r="N48" s="424">
        <f>IF('kWh_Streetlight Data'!O10=0,"",'kWh_Streetlight Data'!O10)</f>
        <v>8679.6875</v>
      </c>
      <c r="O48" s="129">
        <f>IF('kWh_Streetlight Data'!P10=0,"",'kWh_Streetlight Data'!P10)</f>
        <v>9516.25</v>
      </c>
      <c r="P48" s="130">
        <f>IF('kWh_Streetlight Data'!Q10=0,"",'kWh_Streetlight Data'!Q10)</f>
        <v>9228.75</v>
      </c>
      <c r="Q48" s="130">
        <f>IF('kWh_Streetlight Data'!R10=0,"",'kWh_Streetlight Data'!R10)</f>
        <v>11037.5</v>
      </c>
      <c r="R48" s="130">
        <f>IF('kWh_Streetlight Data'!S10=0,"",'kWh_Streetlight Data'!S10)</f>
        <v>9337.5</v>
      </c>
      <c r="S48" s="130">
        <f>IF('kWh_Streetlight Data'!T10=0,"",'kWh_Streetlight Data'!T10)</f>
        <v>11753.75</v>
      </c>
      <c r="T48" s="130">
        <f>IF('kWh_Streetlight Data'!U10=0,"",'kWh_Streetlight Data'!U10)</f>
        <v>11443.75</v>
      </c>
      <c r="U48" s="130">
        <f>IF('kWh_Streetlight Data'!V10=0,"",'kWh_Streetlight Data'!V10)</f>
        <v>6587.5</v>
      </c>
      <c r="V48" s="130">
        <f>IF('kWh_Streetlight Data'!W10=0,"",'kWh_Streetlight Data'!W10)</f>
        <v>7280</v>
      </c>
      <c r="W48" s="130">
        <f>IF('kWh_Streetlight Data'!X10=0,"",'kWh_Streetlight Data'!X10)</f>
        <v>7172.5</v>
      </c>
      <c r="X48" s="130">
        <f>IF('kWh_Streetlight Data'!Y10=0,"",'kWh_Streetlight Data'!Y10)</f>
        <v>9608.75</v>
      </c>
      <c r="Y48" s="130">
        <f>IF('kWh_Streetlight Data'!Z10=0,"",'kWh_Streetlight Data'!Z10)</f>
        <v>8321.25</v>
      </c>
      <c r="Z48" s="130">
        <f>IF('kWh_Streetlight Data'!AA10=0,"",'kWh_Streetlight Data'!AA10)</f>
        <v>11340</v>
      </c>
      <c r="AA48" s="424">
        <f>IF('kWh_Streetlight Data'!AB10=0,"",'kWh_Streetlight Data'!AB10)</f>
        <v>9385.625</v>
      </c>
      <c r="AB48" s="129">
        <f>IF('kWh_Streetlight Data'!AC10=0,"",'kWh_Streetlight Data'!AC10)</f>
        <v>8376.25</v>
      </c>
      <c r="AC48" s="130">
        <f>IF('kWh_Streetlight Data'!AD10=0,"",'kWh_Streetlight Data'!AD10)</f>
        <v>9482.5</v>
      </c>
      <c r="AD48" s="130">
        <f>IF('kWh_Streetlight Data'!AE10=0,"",'kWh_Streetlight Data'!AE10)</f>
        <v>9482.5</v>
      </c>
      <c r="AE48" s="130">
        <f>IF('kWh_Streetlight Data'!AF10=0,"",'kWh_Streetlight Data'!AF10)</f>
        <v>9790</v>
      </c>
      <c r="AF48" s="130">
        <f>IF('kWh_Streetlight Data'!AG10=0,"",'kWh_Streetlight Data'!AG10)</f>
        <v>10430</v>
      </c>
      <c r="AG48" s="130">
        <f>IF('kWh_Streetlight Data'!AH10=0,"",'kWh_Streetlight Data'!AH10)</f>
        <v>9986.25</v>
      </c>
      <c r="AH48" s="130">
        <f>IF('kWh_Streetlight Data'!AI10=0,"",'kWh_Streetlight Data'!AI10)</f>
        <v>6143.75</v>
      </c>
      <c r="AI48" s="130">
        <f>IF('kWh_Streetlight Data'!AJ10=0,"",'kWh_Streetlight Data'!AJ10)</f>
        <v>10125</v>
      </c>
      <c r="AJ48" s="130">
        <f>IF('kWh_Streetlight Data'!AK10=0,"",'kWh_Streetlight Data'!AK10)</f>
        <v>7312.5</v>
      </c>
      <c r="AK48" s="130">
        <f>IF('kWh_Streetlight Data'!AL10=0,"",'kWh_Streetlight Data'!AL10)</f>
        <v>7568.75</v>
      </c>
      <c r="AL48" s="130">
        <f>IF('kWh_Streetlight Data'!AM10=0,"",'kWh_Streetlight Data'!AM10)</f>
        <v>11508.75</v>
      </c>
      <c r="AM48" s="441">
        <f>IF('kWh_Streetlight Data'!AN10=0,"",'kWh_Streetlight Data'!AN10)</f>
        <v>7483.75</v>
      </c>
      <c r="AN48" s="426">
        <f>IF('kWh_Streetlight Data'!AO10=0,"",'kWh_Streetlight Data'!AO10)</f>
        <v>8989.1752577319585</v>
      </c>
      <c r="AO48" s="43"/>
      <c r="AP48" s="40"/>
      <c r="AQ48" s="40"/>
      <c r="AR48" s="40"/>
      <c r="AS48" s="40"/>
      <c r="AT48" s="17"/>
      <c r="AU48" s="17">
        <f t="shared" ref="AU48" si="38">IFERROR(AVERAGE(AH48,U48,H48),0)</f>
        <v>6112.5</v>
      </c>
      <c r="AV48" s="17">
        <f t="shared" ref="AV48" si="39">IFERROR(AVERAGE(AI48,V48,I48),0)</f>
        <v>8720.8333333333339</v>
      </c>
      <c r="AW48" s="17">
        <f t="shared" ref="AW48" si="40">IFERROR(AVERAGE(AJ48,W48,J48),0)</f>
        <v>7257.916666666667</v>
      </c>
      <c r="AX48" s="17">
        <f t="shared" ref="AX48" si="41">IFERROR(AVERAGE(AK48,X48,K48),0)</f>
        <v>8824.1666666666661</v>
      </c>
      <c r="AY48" s="17">
        <f t="shared" ref="AY48" si="42">IFERROR(AVERAGE(AL48,Y48,L48),0)</f>
        <v>9870.8333333333339</v>
      </c>
      <c r="AZ48" s="17">
        <f t="shared" ref="AZ48" si="43">IFERROR(AVERAGE(AM48,Z48,M48),0)</f>
        <v>10432.5</v>
      </c>
      <c r="BA48" s="211">
        <f>IFERROR(BA47/SUM(AO43:AZ43),0)</f>
        <v>8536.4583333333339</v>
      </c>
      <c r="BB48" s="17">
        <v>9352.9166666666661</v>
      </c>
      <c r="BC48" s="17">
        <v>8622.0833333333339</v>
      </c>
      <c r="BD48" s="17">
        <v>9832.5</v>
      </c>
      <c r="BE48" s="17">
        <v>8421.25</v>
      </c>
      <c r="BF48" s="17">
        <f t="shared" ref="BF48" si="44">IFERROR(AVERAGE(F48,S48,AF48),0)</f>
        <v>10415.416666666666</v>
      </c>
      <c r="BG48" s="17">
        <f t="shared" ref="BG48" si="45">IFERROR(AVERAGE(G48,T48,AG48),0)</f>
        <v>10295</v>
      </c>
      <c r="BH48" s="17">
        <f t="shared" ref="BH48" si="46">IFERROR(AVERAGE(H48,U48,AH48),0)</f>
        <v>6112.5</v>
      </c>
      <c r="BI48" s="17">
        <f t="shared" ref="BI48" si="47">IFERROR(AVERAGE(I48,V48,AI48),0)</f>
        <v>8720.8333333333339</v>
      </c>
      <c r="BJ48" s="17">
        <f t="shared" ref="BJ48" si="48">IFERROR(AVERAGE(J48,W48,AJ48),0)</f>
        <v>7257.916666666667</v>
      </c>
      <c r="BK48" s="17">
        <f t="shared" ref="BK48" si="49">IFERROR(AVERAGE(K48,X48,AK48),0)</f>
        <v>8824.1666666666661</v>
      </c>
      <c r="BL48" s="17">
        <f t="shared" ref="BL48" si="50">IFERROR(AVERAGE(L48,Y48,AL48),0)</f>
        <v>9870.8333333333339</v>
      </c>
      <c r="BM48" s="17">
        <f t="shared" ref="BM48" si="51">IFERROR(AVERAGE(M48,Z48,AM48),0)</f>
        <v>10432.5</v>
      </c>
      <c r="BN48" s="211">
        <f>IFERROR(BN47/SUM(BB43:BM43)*12,0)</f>
        <v>108157.875</v>
      </c>
      <c r="BO48" s="20">
        <f>BN48</f>
        <v>108157.875</v>
      </c>
    </row>
    <row r="49" spans="1:67" ht="13.9" customHeight="1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5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5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95"/>
      <c r="AB50" s="297"/>
      <c r="AC50" s="288"/>
      <c r="AD50" s="288"/>
      <c r="AE50" s="288"/>
      <c r="AF50" s="288"/>
      <c r="AG50" s="288"/>
      <c r="AH50" s="288"/>
      <c r="AI50" s="288"/>
      <c r="AJ50" s="288"/>
      <c r="AK50" s="288"/>
      <c r="AL50" s="288"/>
      <c r="AM50" s="288"/>
      <c r="AN50" s="95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09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95"/>
      <c r="AB51" s="297"/>
      <c r="AC51" s="288"/>
      <c r="AD51" s="288"/>
      <c r="AE51" s="288"/>
      <c r="AF51" s="288"/>
      <c r="AG51" s="288"/>
      <c r="AH51" s="288"/>
      <c r="AI51" s="288"/>
      <c r="AJ51" s="288"/>
      <c r="AK51" s="288"/>
      <c r="AL51" s="288"/>
      <c r="AM51" s="288"/>
      <c r="AN51" s="95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95"/>
      <c r="AB52" s="297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95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95"/>
      <c r="AB53" s="297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95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6"/>
      <c r="AB54" s="10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226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84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426"/>
      <c r="AO55" s="43"/>
      <c r="AP55" s="40"/>
      <c r="AQ55" s="40"/>
      <c r="AR55" s="40"/>
      <c r="AS55" s="40"/>
      <c r="AT55" s="17"/>
      <c r="AU55" s="17"/>
      <c r="AV55" s="17"/>
      <c r="AW55" s="17"/>
      <c r="AX55" s="17"/>
      <c r="AY55" s="17"/>
      <c r="AZ55" s="17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>
        <f>BN55</f>
        <v>0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97"/>
      <c r="AB56" s="24"/>
      <c r="AC56" s="25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97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95"/>
      <c r="AB57" s="297"/>
      <c r="AC57" s="288"/>
      <c r="AD57" s="288"/>
      <c r="AE57" s="288"/>
      <c r="AF57" s="288"/>
      <c r="AG57" s="288"/>
      <c r="AH57" s="288"/>
      <c r="AI57" s="288"/>
      <c r="AJ57" s="288"/>
      <c r="AK57" s="288"/>
      <c r="AL57" s="288"/>
      <c r="AM57" s="288"/>
      <c r="AN57" s="95"/>
      <c r="AO57" s="100"/>
      <c r="AP57" s="87"/>
      <c r="AQ57" s="87"/>
      <c r="AR57" s="87"/>
      <c r="AS57" s="87"/>
      <c r="AT57" s="38"/>
      <c r="AU57" s="145">
        <v>2</v>
      </c>
      <c r="AV57" s="145">
        <f t="shared" ref="AV57" si="52">AU57</f>
        <v>2</v>
      </c>
      <c r="AW57" s="145">
        <f t="shared" ref="AW57" si="53">AV57</f>
        <v>2</v>
      </c>
      <c r="AX57" s="145">
        <f t="shared" ref="AX57" si="54">AW57</f>
        <v>2</v>
      </c>
      <c r="AY57" s="145">
        <f t="shared" ref="AY57" si="55">AX57</f>
        <v>2</v>
      </c>
      <c r="AZ57" s="145">
        <f t="shared" ref="AZ57" si="56">AY57</f>
        <v>2</v>
      </c>
      <c r="BA57" s="204">
        <f>IFERROR(ROUND(AVERAGE(AO57:AZ57),0),0)</f>
        <v>2</v>
      </c>
      <c r="BB57" s="39">
        <v>2</v>
      </c>
      <c r="BC57" s="38">
        <v>2</v>
      </c>
      <c r="BD57" s="38">
        <v>2</v>
      </c>
      <c r="BE57" s="38">
        <v>2</v>
      </c>
      <c r="BF57" s="38">
        <f t="shared" ref="BF57:BM58" si="57">BE57</f>
        <v>2</v>
      </c>
      <c r="BG57" s="38">
        <f t="shared" si="57"/>
        <v>2</v>
      </c>
      <c r="BH57" s="38">
        <f t="shared" si="57"/>
        <v>2</v>
      </c>
      <c r="BI57" s="38">
        <f t="shared" si="57"/>
        <v>2</v>
      </c>
      <c r="BJ57" s="38">
        <f t="shared" si="57"/>
        <v>2</v>
      </c>
      <c r="BK57" s="38">
        <f t="shared" si="57"/>
        <v>2</v>
      </c>
      <c r="BL57" s="38">
        <f t="shared" si="57"/>
        <v>2</v>
      </c>
      <c r="BM57" s="38">
        <f t="shared" si="57"/>
        <v>2</v>
      </c>
      <c r="BN57" s="210">
        <f>IFERROR(ROUND(AVERAGE(BB57:BM57),0),0)</f>
        <v>2</v>
      </c>
      <c r="BO57" s="90">
        <f t="shared" ref="BO57:BO58" si="58">BN57</f>
        <v>2</v>
      </c>
    </row>
    <row r="58" spans="1:67" ht="15.75" customHeight="1" thickBot="1">
      <c r="A58" s="201" t="s">
        <v>30</v>
      </c>
      <c r="B58" s="113">
        <f>IF('kWh_Streetlight Data'!C230=0,"",'kWh_Streetlight Data'!C230)</f>
        <v>6246.0393873085304</v>
      </c>
      <c r="C58" s="114">
        <f>IF('kWh_Streetlight Data'!D230=0,"",'kWh_Streetlight Data'!D230)</f>
        <v>6246.0393873085304</v>
      </c>
      <c r="D58" s="114">
        <f>IF('kWh_Streetlight Data'!E230=0,"",'kWh_Streetlight Data'!E230)</f>
        <v>6246.0393873085304</v>
      </c>
      <c r="E58" s="114">
        <f>IF('kWh_Streetlight Data'!F230=0,"",'kWh_Streetlight Data'!F230)</f>
        <v>6246.0393873085304</v>
      </c>
      <c r="F58" s="114">
        <f>IF('kWh_Streetlight Data'!G230=0,"",'kWh_Streetlight Data'!G230)</f>
        <v>6246.0393873085304</v>
      </c>
      <c r="G58" s="114">
        <f>IF('kWh_Streetlight Data'!H230=0,"",'kWh_Streetlight Data'!H230)</f>
        <v>6246.0393873085304</v>
      </c>
      <c r="H58" s="114">
        <f>IF('kWh_Streetlight Data'!I230=0,"",'kWh_Streetlight Data'!I230)</f>
        <v>6246.0393873085304</v>
      </c>
      <c r="I58" s="114">
        <f>IF('kWh_Streetlight Data'!J230=0,"",'kWh_Streetlight Data'!J230)</f>
        <v>6246.0393873085304</v>
      </c>
      <c r="J58" s="114">
        <f>IF('kWh_Streetlight Data'!K230=0,"",'kWh_Streetlight Data'!K230)</f>
        <v>6246.0393873085304</v>
      </c>
      <c r="K58" s="114">
        <f>IF('kWh_Streetlight Data'!L230=0,"",'kWh_Streetlight Data'!L230)</f>
        <v>6246.0393873085304</v>
      </c>
      <c r="L58" s="114">
        <f>IF('kWh_Streetlight Data'!M230=0,"",'kWh_Streetlight Data'!M230)</f>
        <v>6246.0393873085304</v>
      </c>
      <c r="M58" s="114">
        <f>IF('kWh_Streetlight Data'!N230=0,"",'kWh_Streetlight Data'!N230)</f>
        <v>6246.0393873085304</v>
      </c>
      <c r="N58" s="459">
        <f>IF('kWh_Streetlight Data'!O230=0,"",'kWh_Streetlight Data'!O230)</f>
        <v>6246.0393873085295</v>
      </c>
      <c r="O58" s="113">
        <f>IF('kWh_Streetlight Data'!P230=0,"",'kWh_Streetlight Data'!P230)</f>
        <v>6246.0393873085304</v>
      </c>
      <c r="P58" s="114">
        <f>IF('kWh_Streetlight Data'!Q230=0,"",'kWh_Streetlight Data'!Q230)</f>
        <v>6246.0393873085304</v>
      </c>
      <c r="Q58" s="114">
        <f>IF('kWh_Streetlight Data'!R230=0,"",'kWh_Streetlight Data'!R230)</f>
        <v>6246.0393873085304</v>
      </c>
      <c r="R58" s="114">
        <f>IF('kWh_Streetlight Data'!S230=0,"",'kWh_Streetlight Data'!S230)</f>
        <v>6246.0393873085304</v>
      </c>
      <c r="S58" s="114">
        <f>IF('kWh_Streetlight Data'!T230=0,"",'kWh_Streetlight Data'!T230)</f>
        <v>6246.0393873085304</v>
      </c>
      <c r="T58" s="114">
        <f>IF('kWh_Streetlight Data'!U230=0,"",'kWh_Streetlight Data'!U230)</f>
        <v>6246.0393873085304</v>
      </c>
      <c r="U58" s="114">
        <f>IF('kWh_Streetlight Data'!V230=0,"",'kWh_Streetlight Data'!V230)</f>
        <v>6246.0393873085304</v>
      </c>
      <c r="V58" s="114">
        <f>IF('kWh_Streetlight Data'!W230=0,"",'kWh_Streetlight Data'!W230)</f>
        <v>6246.0393873085304</v>
      </c>
      <c r="W58" s="114">
        <f>IF('kWh_Streetlight Data'!X230=0,"",'kWh_Streetlight Data'!X230)</f>
        <v>6246.0393873085304</v>
      </c>
      <c r="X58" s="114">
        <f>IF('kWh_Streetlight Data'!Y230=0,"",'kWh_Streetlight Data'!Y230)</f>
        <v>6246.0393873085304</v>
      </c>
      <c r="Y58" s="114">
        <f>IF('kWh_Streetlight Data'!Z230=0,"",'kWh_Streetlight Data'!Z230)</f>
        <v>6246.0393873085304</v>
      </c>
      <c r="Z58" s="114">
        <f>IF('kWh_Streetlight Data'!AA230=0,"",'kWh_Streetlight Data'!AA230)</f>
        <v>6246.0393873085304</v>
      </c>
      <c r="AA58" s="458">
        <f>IF('kWh_Streetlight Data'!AB230=0,"",'kWh_Streetlight Data'!AB230)</f>
        <v>6246.0393873085295</v>
      </c>
      <c r="AB58" s="113">
        <f>IF('kWh_Streetlight Data'!AC230=0,"",'kWh_Streetlight Data'!AC230)</f>
        <v>6246.0393873085304</v>
      </c>
      <c r="AC58" s="114">
        <f>IF('kWh_Streetlight Data'!AD230=0,"",'kWh_Streetlight Data'!AD230)</f>
        <v>6246.0393873085304</v>
      </c>
      <c r="AD58" s="114">
        <f>IF('kWh_Streetlight Data'!AE230=0,"",'kWh_Streetlight Data'!AE230)</f>
        <v>6246.0393873085304</v>
      </c>
      <c r="AE58" s="114">
        <f>IF('kWh_Streetlight Data'!AF230=0,"",'kWh_Streetlight Data'!AF230)</f>
        <v>6246.0393873085304</v>
      </c>
      <c r="AF58" s="114">
        <f>IF('kWh_Streetlight Data'!AG230=0,"",'kWh_Streetlight Data'!AG230)</f>
        <v>6246.0393873085304</v>
      </c>
      <c r="AG58" s="114">
        <f>IF('kWh_Streetlight Data'!AH230=0,"",'kWh_Streetlight Data'!AH230)</f>
        <v>6246.0393873085304</v>
      </c>
      <c r="AH58" s="114">
        <f>IF('kWh_Streetlight Data'!AI230=0,"",'kWh_Streetlight Data'!AI230)</f>
        <v>6246.0393873085304</v>
      </c>
      <c r="AI58" s="114">
        <f>IF('kWh_Streetlight Data'!AJ230=0,"",'kWh_Streetlight Data'!AJ230)</f>
        <v>6246.0393873085304</v>
      </c>
      <c r="AJ58" s="114">
        <f>IF('kWh_Streetlight Data'!AK230=0,"",'kWh_Streetlight Data'!AK230)</f>
        <v>6246.0393873085304</v>
      </c>
      <c r="AK58" s="114">
        <f>IF('kWh_Streetlight Data'!AL230=0,"",'kWh_Streetlight Data'!AL230)</f>
        <v>6246.0393873085304</v>
      </c>
      <c r="AL58" s="114">
        <f>IF('kWh_Streetlight Data'!AM230=0,"",'kWh_Streetlight Data'!AM230)</f>
        <v>6246.0393873085304</v>
      </c>
      <c r="AM58" s="114">
        <f>IF('kWh_Streetlight Data'!AN230=0,"",'kWh_Streetlight Data'!AN230)</f>
        <v>6246.0393873085304</v>
      </c>
      <c r="AN58" s="458">
        <f>IF('kWh_Streetlight Data'!AO230=0,"",'kWh_Streetlight Data'!AO230)</f>
        <v>6246.0393873085304</v>
      </c>
      <c r="AO58" s="151"/>
      <c r="AP58" s="152"/>
      <c r="AQ58" s="152"/>
      <c r="AR58" s="152"/>
      <c r="AS58" s="152"/>
      <c r="AT58" s="160"/>
      <c r="AU58" s="160">
        <f t="shared" ref="AU58" si="59">ROUND(AH58,0)</f>
        <v>6246</v>
      </c>
      <c r="AV58" s="160">
        <f t="shared" ref="AV58" si="60">ROUND(AI58,0)</f>
        <v>6246</v>
      </c>
      <c r="AW58" s="160">
        <f t="shared" ref="AW58" si="61">ROUND(AJ58,0)</f>
        <v>6246</v>
      </c>
      <c r="AX58" s="160">
        <f t="shared" ref="AX58" si="62">ROUND(AK58,0)</f>
        <v>6246</v>
      </c>
      <c r="AY58" s="160">
        <f t="shared" ref="AY58" si="63">ROUND(AL58,0)</f>
        <v>6246</v>
      </c>
      <c r="AZ58" s="160">
        <f t="shared" ref="AZ58" si="64">ROUND(AM58,0)</f>
        <v>6246</v>
      </c>
      <c r="BA58" s="213">
        <f>SUM(AO58:AZ58)</f>
        <v>37476</v>
      </c>
      <c r="BB58" s="64">
        <v>6246</v>
      </c>
      <c r="BC58" s="64">
        <v>6246</v>
      </c>
      <c r="BD58" s="64">
        <v>6246</v>
      </c>
      <c r="BE58" s="64">
        <v>6246</v>
      </c>
      <c r="BF58" s="64">
        <f t="shared" si="57"/>
        <v>6246</v>
      </c>
      <c r="BG58" s="64">
        <f t="shared" si="57"/>
        <v>6246</v>
      </c>
      <c r="BH58" s="64">
        <f t="shared" si="57"/>
        <v>6246</v>
      </c>
      <c r="BI58" s="64">
        <f t="shared" si="57"/>
        <v>6246</v>
      </c>
      <c r="BJ58" s="64">
        <f t="shared" si="57"/>
        <v>6246</v>
      </c>
      <c r="BK58" s="64">
        <f t="shared" si="57"/>
        <v>6246</v>
      </c>
      <c r="BL58" s="64">
        <f t="shared" si="57"/>
        <v>6246</v>
      </c>
      <c r="BM58" s="64">
        <f t="shared" si="57"/>
        <v>6246</v>
      </c>
      <c r="BN58" s="213">
        <f>SUM(BB58:BM58)</f>
        <v>74952</v>
      </c>
      <c r="BO58" s="88">
        <f t="shared" si="58"/>
        <v>74952</v>
      </c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5"/>
      <c r="AB59" s="8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5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5"/>
      <c r="AB60" s="8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5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95"/>
      <c r="AB61" s="297"/>
      <c r="AC61" s="288"/>
      <c r="AD61" s="288"/>
      <c r="AE61" s="288"/>
      <c r="AF61" s="288"/>
      <c r="AG61" s="288"/>
      <c r="AH61" s="288"/>
      <c r="AI61" s="288"/>
      <c r="AJ61" s="288"/>
      <c r="AK61" s="288"/>
      <c r="AL61" s="288"/>
      <c r="AM61" s="288"/>
      <c r="AN61" s="95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9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0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6"/>
      <c r="AB62" s="10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226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64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8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5"/>
      <c r="AB63" s="8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5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97"/>
      <c r="AB64" s="24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97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95"/>
      <c r="AB65" s="297"/>
      <c r="AC65" s="288"/>
      <c r="AD65" s="288"/>
      <c r="AE65" s="288"/>
      <c r="AF65" s="288"/>
      <c r="AG65" s="288"/>
      <c r="AH65" s="288"/>
      <c r="AI65" s="288"/>
      <c r="AJ65" s="288"/>
      <c r="AK65" s="288"/>
      <c r="AL65" s="288"/>
      <c r="AM65" s="288"/>
      <c r="AN65" s="95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09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95"/>
      <c r="AB66" s="297"/>
      <c r="AC66" s="288"/>
      <c r="AD66" s="288"/>
      <c r="AE66" s="288"/>
      <c r="AF66" s="288"/>
      <c r="AG66" s="288"/>
      <c r="AH66" s="288"/>
      <c r="AI66" s="288"/>
      <c r="AJ66" s="288"/>
      <c r="AK66" s="288"/>
      <c r="AL66" s="288"/>
      <c r="AM66" s="288"/>
      <c r="AN66" s="95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9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95"/>
      <c r="AB67" s="297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95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9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6"/>
      <c r="AB68" s="10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22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84">
        <f>IF('kWh_Streetlight Data'!C11=0,"",'kWh_Streetlight Data'!C11)</f>
        <v>220.2</v>
      </c>
      <c r="C69" s="130">
        <f>IF('kWh_Streetlight Data'!D11=0,"",'kWh_Streetlight Data'!D11)</f>
        <v>179.2</v>
      </c>
      <c r="D69" s="130">
        <f>IF('kWh_Streetlight Data'!E11=0,"",'kWh_Streetlight Data'!E11)</f>
        <v>219.8</v>
      </c>
      <c r="E69" s="130">
        <f>IF('kWh_Streetlight Data'!F11=0,"",'kWh_Streetlight Data'!F11)</f>
        <v>147.80000000000001</v>
      </c>
      <c r="F69" s="130">
        <f>IF('kWh_Streetlight Data'!G11=0,"",'kWh_Streetlight Data'!G11)</f>
        <v>215.2</v>
      </c>
      <c r="G69" s="130">
        <f>IF('kWh_Streetlight Data'!H11=0,"",'kWh_Streetlight Data'!H11)</f>
        <v>259.8</v>
      </c>
      <c r="H69" s="130">
        <f>IF('kWh_Streetlight Data'!I11=0,"",'kWh_Streetlight Data'!I11)</f>
        <v>202.8</v>
      </c>
      <c r="I69" s="130">
        <f>IF('kWh_Streetlight Data'!J11=0,"",'kWh_Streetlight Data'!J11)</f>
        <v>252.5</v>
      </c>
      <c r="J69" s="130" t="str">
        <f>IF('kWh_Streetlight Data'!K11=0,"",'kWh_Streetlight Data'!K11)</f>
        <v/>
      </c>
      <c r="K69" s="130" t="str">
        <f>IF('kWh_Streetlight Data'!L11=0,"",'kWh_Streetlight Data'!L11)</f>
        <v/>
      </c>
      <c r="L69" s="130" t="str">
        <f>IF('kWh_Streetlight Data'!M11=0,"",'kWh_Streetlight Data'!M11)</f>
        <v/>
      </c>
      <c r="M69" s="130" t="str">
        <f>IF('kWh_Streetlight Data'!N11=0,"",'kWh_Streetlight Data'!N11)</f>
        <v/>
      </c>
      <c r="N69" s="424">
        <f>IF('kWh_Streetlight Data'!O11=0,"",'kWh_Streetlight Data'!O11)</f>
        <v>216.64444444444445</v>
      </c>
      <c r="O69" s="130" t="str">
        <f>IF('kWh_Streetlight Data'!P11=0,"",'kWh_Streetlight Data'!P11)</f>
        <v/>
      </c>
      <c r="P69" s="108" t="str">
        <f>IF('kWh_Streetlight Data'!Q11=0,"",'kWh_Streetlight Data'!Q11)</f>
        <v/>
      </c>
      <c r="Q69" s="108" t="str">
        <f>IF('kWh_Streetlight Data'!R11=0,"",'kWh_Streetlight Data'!R11)</f>
        <v/>
      </c>
      <c r="R69" s="108" t="str">
        <f>IF('kWh_Streetlight Data'!S11=0,"",'kWh_Streetlight Data'!S11)</f>
        <v/>
      </c>
      <c r="S69" s="108" t="str">
        <f>IF('kWh_Streetlight Data'!T11=0,"",'kWh_Streetlight Data'!T11)</f>
        <v/>
      </c>
      <c r="T69" s="108" t="str">
        <f>IF('kWh_Streetlight Data'!U11=0,"",'kWh_Streetlight Data'!U11)</f>
        <v/>
      </c>
      <c r="U69" s="108" t="str">
        <f>IF('kWh_Streetlight Data'!V11=0,"",'kWh_Streetlight Data'!V11)</f>
        <v/>
      </c>
      <c r="V69" s="108" t="str">
        <f>IF('kWh_Streetlight Data'!W11=0,"",'kWh_Streetlight Data'!W11)</f>
        <v/>
      </c>
      <c r="W69" s="108" t="str">
        <f>IF('kWh_Streetlight Data'!X11=0,"",'kWh_Streetlight Data'!X11)</f>
        <v/>
      </c>
      <c r="X69" s="108" t="str">
        <f>IF('kWh_Streetlight Data'!Y11=0,"",'kWh_Streetlight Data'!Y11)</f>
        <v/>
      </c>
      <c r="Y69" s="108" t="str">
        <f>IF('kWh_Streetlight Data'!Z11=0,"",'kWh_Streetlight Data'!Z11)</f>
        <v/>
      </c>
      <c r="Z69" s="108" t="str">
        <f>IF('kWh_Streetlight Data'!AA11=0,"",'kWh_Streetlight Data'!AA11)</f>
        <v/>
      </c>
      <c r="AA69" s="424" t="str">
        <f>IF('kWh_Streetlight Data'!AB11=0,"",'kWh_Streetlight Data'!AB11)</f>
        <v/>
      </c>
      <c r="AB69" s="84" t="str">
        <f>IF('kWh_Streetlight Data'!AC11=0,"",'kWh_Streetlight Data'!AC11)</f>
        <v/>
      </c>
      <c r="AC69" s="108" t="str">
        <f>IF('kWh_Streetlight Data'!AD11=0,"",'kWh_Streetlight Data'!AD11)</f>
        <v/>
      </c>
      <c r="AD69" s="108" t="str">
        <f>IF('kWh_Streetlight Data'!AE11=0,"",'kWh_Streetlight Data'!AE11)</f>
        <v/>
      </c>
      <c r="AE69" s="108" t="str">
        <f>IF('kWh_Streetlight Data'!AF11=0,"",'kWh_Streetlight Data'!AF11)</f>
        <v/>
      </c>
      <c r="AF69" s="108" t="str">
        <f>IF('kWh_Streetlight Data'!AG11=0,"",'kWh_Streetlight Data'!AG11)</f>
        <v/>
      </c>
      <c r="AG69" s="108" t="str">
        <f>IF('kWh_Streetlight Data'!AH11=0,"",'kWh_Streetlight Data'!AH11)</f>
        <v/>
      </c>
      <c r="AH69" s="108" t="str">
        <f>IF('kWh_Streetlight Data'!AI11=0,"",'kWh_Streetlight Data'!AI11)</f>
        <v/>
      </c>
      <c r="AI69" s="108" t="str">
        <f>IF('kWh_Streetlight Data'!AJ11=0,"",'kWh_Streetlight Data'!AJ11)</f>
        <v/>
      </c>
      <c r="AJ69" s="108" t="str">
        <f>IF('kWh_Streetlight Data'!AK11=0,"",'kWh_Streetlight Data'!AK11)</f>
        <v/>
      </c>
      <c r="AK69" s="108" t="str">
        <f>IF('kWh_Streetlight Data'!AL11=0,"",'kWh_Streetlight Data'!AL11)</f>
        <v/>
      </c>
      <c r="AL69" s="108" t="str">
        <f>IF('kWh_Streetlight Data'!AM11=0,"",'kWh_Streetlight Data'!AM11)</f>
        <v/>
      </c>
      <c r="AM69" s="108" t="str">
        <f>IF('kWh_Streetlight Data'!AN11=0,"",'kWh_Streetlight Data'!AN11)</f>
        <v/>
      </c>
      <c r="AN69" s="424" t="str">
        <f>IF('kWh_Streetlight Data'!AO11=0,"",'kWh_Streetlight Data'!AO11)</f>
        <v/>
      </c>
      <c r="AO69" s="40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87"/>
      <c r="AB70" s="298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7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82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87"/>
      <c r="AB71" s="298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7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82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94"/>
      <c r="AB72" s="80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94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5"/>
      <c r="AB73" s="8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5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96"/>
      <c r="AB74" s="18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96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95"/>
      <c r="AB75" s="297"/>
      <c r="AC75" s="288"/>
      <c r="AD75" s="288"/>
      <c r="AE75" s="288"/>
      <c r="AF75" s="288"/>
      <c r="AG75" s="288"/>
      <c r="AH75" s="288"/>
      <c r="AI75" s="288"/>
      <c r="AJ75" s="288"/>
      <c r="AK75" s="288"/>
      <c r="AL75" s="288"/>
      <c r="AM75" s="288"/>
      <c r="AN75" s="95"/>
      <c r="AO75" s="150"/>
      <c r="AP75" s="87"/>
      <c r="AQ75" s="87"/>
      <c r="AR75" s="87"/>
      <c r="AS75" s="87"/>
      <c r="AT75" s="38"/>
      <c r="AU75" s="38"/>
      <c r="AV75" s="38"/>
      <c r="AW75" s="38"/>
      <c r="AX75" s="38"/>
      <c r="AY75" s="38"/>
      <c r="AZ75" s="38"/>
      <c r="BA75" s="210"/>
      <c r="BB75" s="109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95"/>
      <c r="AB76" s="297"/>
      <c r="AC76" s="288"/>
      <c r="AD76" s="288"/>
      <c r="AE76" s="288"/>
      <c r="AF76" s="288"/>
      <c r="AG76" s="288"/>
      <c r="AH76" s="288"/>
      <c r="AI76" s="288"/>
      <c r="AJ76" s="288"/>
      <c r="AK76" s="288"/>
      <c r="AL76" s="288"/>
      <c r="AM76" s="288"/>
      <c r="AN76" s="95"/>
      <c r="AO76" s="100"/>
      <c r="AP76" s="87"/>
      <c r="AQ76" s="87"/>
      <c r="AR76" s="87"/>
      <c r="AS76" s="87"/>
      <c r="AT76" s="38"/>
      <c r="AU76" s="38"/>
      <c r="AV76" s="38"/>
      <c r="AW76" s="38"/>
      <c r="AX76" s="38"/>
      <c r="AY76" s="38"/>
      <c r="AZ76" s="38"/>
      <c r="BA76" s="210"/>
      <c r="BB76" s="39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95"/>
      <c r="AB77" s="297"/>
      <c r="AC77" s="288"/>
      <c r="AD77" s="288"/>
      <c r="AE77" s="288"/>
      <c r="AF77" s="288"/>
      <c r="AG77" s="288"/>
      <c r="AH77" s="288"/>
      <c r="AI77" s="288"/>
      <c r="AJ77" s="288"/>
      <c r="AK77" s="288"/>
      <c r="AL77" s="288"/>
      <c r="AM77" s="288"/>
      <c r="AN77" s="95"/>
      <c r="AO77" s="100"/>
      <c r="AP77" s="87"/>
      <c r="AQ77" s="87"/>
      <c r="AR77" s="87"/>
      <c r="AS77" s="87"/>
      <c r="AT77" s="38"/>
      <c r="AU77" s="38"/>
      <c r="AV77" s="38"/>
      <c r="AW77" s="38"/>
      <c r="AX77" s="38"/>
      <c r="AY77" s="38"/>
      <c r="AZ77" s="38"/>
      <c r="BA77" s="210"/>
      <c r="BB77" s="39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6"/>
      <c r="AB78" s="10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226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 t="str">
        <f>IF('kWh_Streetlight Data'!C12=0,"",'kWh_Streetlight Data'!C12)</f>
        <v/>
      </c>
      <c r="C79" s="108" t="str">
        <f>IF('kWh_Streetlight Data'!D12=0,"",'kWh_Streetlight Data'!D12)</f>
        <v/>
      </c>
      <c r="D79" s="108" t="str">
        <f>IF('kWh_Streetlight Data'!E12=0,"",'kWh_Streetlight Data'!E12)</f>
        <v/>
      </c>
      <c r="E79" s="108" t="str">
        <f>IF('kWh_Streetlight Data'!F12=0,"",'kWh_Streetlight Data'!F12)</f>
        <v/>
      </c>
      <c r="F79" s="108" t="str">
        <f>IF('kWh_Streetlight Data'!G12=0,"",'kWh_Streetlight Data'!G12)</f>
        <v/>
      </c>
      <c r="G79" s="108" t="str">
        <f>IF('kWh_Streetlight Data'!H12=0,"",'kWh_Streetlight Data'!H12)</f>
        <v/>
      </c>
      <c r="H79" s="108" t="str">
        <f>IF('kWh_Streetlight Data'!I12=0,"",'kWh_Streetlight Data'!I12)</f>
        <v/>
      </c>
      <c r="I79" s="108" t="str">
        <f>IF('kWh_Streetlight Data'!J12=0,"",'kWh_Streetlight Data'!J12)</f>
        <v/>
      </c>
      <c r="J79" s="108" t="str">
        <f>IF('kWh_Streetlight Data'!K12=0,"",'kWh_Streetlight Data'!K12)</f>
        <v/>
      </c>
      <c r="K79" s="108" t="str">
        <f>IF('kWh_Streetlight Data'!L12=0,"",'kWh_Streetlight Data'!L12)</f>
        <v/>
      </c>
      <c r="L79" s="108" t="str">
        <f>IF('kWh_Streetlight Data'!M12=0,"",'kWh_Streetlight Data'!M12)</f>
        <v/>
      </c>
      <c r="M79" s="108" t="str">
        <f>IF('kWh_Streetlight Data'!N12=0,"",'kWh_Streetlight Data'!N12)</f>
        <v/>
      </c>
      <c r="N79" s="424" t="str">
        <f>IF('kWh_Streetlight Data'!O12=0,"",'kWh_Streetlight Data'!O12)</f>
        <v/>
      </c>
      <c r="O79" s="108" t="str">
        <f>IF('kWh_Streetlight Data'!P12=0,"",'kWh_Streetlight Data'!P12)</f>
        <v/>
      </c>
      <c r="P79" s="108" t="str">
        <f>IF('kWh_Streetlight Data'!Q12=0,"",'kWh_Streetlight Data'!Q12)</f>
        <v/>
      </c>
      <c r="Q79" s="108" t="str">
        <f>IF('kWh_Streetlight Data'!R12=0,"",'kWh_Streetlight Data'!R12)</f>
        <v/>
      </c>
      <c r="R79" s="108" t="str">
        <f>IF('kWh_Streetlight Data'!S12=0,"",'kWh_Streetlight Data'!S12)</f>
        <v/>
      </c>
      <c r="S79" s="108" t="str">
        <f>IF('kWh_Streetlight Data'!T12=0,"",'kWh_Streetlight Data'!T12)</f>
        <v/>
      </c>
      <c r="T79" s="108" t="str">
        <f>IF('kWh_Streetlight Data'!U12=0,"",'kWh_Streetlight Data'!U12)</f>
        <v/>
      </c>
      <c r="U79" s="108" t="str">
        <f>IF('kWh_Streetlight Data'!V12=0,"",'kWh_Streetlight Data'!V12)</f>
        <v/>
      </c>
      <c r="V79" s="108" t="str">
        <f>IF('kWh_Streetlight Data'!W12=0,"",'kWh_Streetlight Data'!W12)</f>
        <v/>
      </c>
      <c r="W79" s="108" t="str">
        <f>IF('kWh_Streetlight Data'!X12=0,"",'kWh_Streetlight Data'!X12)</f>
        <v/>
      </c>
      <c r="X79" s="108" t="str">
        <f>IF('kWh_Streetlight Data'!Y12=0,"",'kWh_Streetlight Data'!Y12)</f>
        <v/>
      </c>
      <c r="Y79" s="108" t="str">
        <f>IF('kWh_Streetlight Data'!Z12=0,"",'kWh_Streetlight Data'!Z12)</f>
        <v/>
      </c>
      <c r="Z79" s="108" t="str">
        <f>IF('kWh_Streetlight Data'!AA12=0,"",'kWh_Streetlight Data'!AA12)</f>
        <v/>
      </c>
      <c r="AA79" s="424" t="str">
        <f>IF('kWh_Streetlight Data'!AB12=0,"",'kWh_Streetlight Data'!AB12)</f>
        <v/>
      </c>
      <c r="AB79" s="84" t="str">
        <f>IF('kWh_Streetlight Data'!AC12=0,"",'kWh_Streetlight Data'!AC12)</f>
        <v/>
      </c>
      <c r="AC79" s="108" t="str">
        <f>IF('kWh_Streetlight Data'!AD12=0,"",'kWh_Streetlight Data'!AD12)</f>
        <v/>
      </c>
      <c r="AD79" s="108" t="str">
        <f>IF('kWh_Streetlight Data'!AE12=0,"",'kWh_Streetlight Data'!AE12)</f>
        <v/>
      </c>
      <c r="AE79" s="108" t="str">
        <f>IF('kWh_Streetlight Data'!AF12=0,"",'kWh_Streetlight Data'!AF12)</f>
        <v/>
      </c>
      <c r="AF79" s="108" t="str">
        <f>IF('kWh_Streetlight Data'!AG12=0,"",'kWh_Streetlight Data'!AG12)</f>
        <v/>
      </c>
      <c r="AG79" s="108" t="str">
        <f>IF('kWh_Streetlight Data'!AH12=0,"",'kWh_Streetlight Data'!AH12)</f>
        <v/>
      </c>
      <c r="AH79" s="108" t="str">
        <f>IF('kWh_Streetlight Data'!AI12=0,"",'kWh_Streetlight Data'!AI12)</f>
        <v/>
      </c>
      <c r="AI79" s="108" t="str">
        <f>IF('kWh_Streetlight Data'!AJ12=0,"",'kWh_Streetlight Data'!AJ12)</f>
        <v/>
      </c>
      <c r="AJ79" s="108" t="str">
        <f>IF('kWh_Streetlight Data'!AK12=0,"",'kWh_Streetlight Data'!AK12)</f>
        <v/>
      </c>
      <c r="AK79" s="108" t="str">
        <f>IF('kWh_Streetlight Data'!AL12=0,"",'kWh_Streetlight Data'!AL12)</f>
        <v/>
      </c>
      <c r="AL79" s="108" t="str">
        <f>IF('kWh_Streetlight Data'!AM12=0,"",'kWh_Streetlight Data'!AM12)</f>
        <v/>
      </c>
      <c r="AM79" s="108" t="str">
        <f>IF('kWh_Streetlight Data'!AN12=0,"",'kWh_Streetlight Data'!AN12)</f>
        <v/>
      </c>
      <c r="AN79" s="424" t="str">
        <f>IF('kWh_Streetlight Data'!AO12=0,"",'kWh_Streetlight Data'!AO12)</f>
        <v/>
      </c>
      <c r="AO79" s="40"/>
      <c r="AP79" s="40"/>
      <c r="AQ79" s="40"/>
      <c r="AR79" s="40"/>
      <c r="AS79" s="40"/>
      <c r="AT79" s="17"/>
      <c r="AU79" s="17"/>
      <c r="AV79" s="17"/>
      <c r="AW79" s="17"/>
      <c r="AX79" s="17"/>
      <c r="AY79" s="17"/>
      <c r="AZ79" s="17"/>
      <c r="BA79" s="211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24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97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29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51"/>
      <c r="AN81" s="95"/>
      <c r="AO81" s="150"/>
      <c r="AP81" s="87"/>
      <c r="AQ81" s="87"/>
      <c r="AR81" s="87"/>
      <c r="AS81" s="87"/>
      <c r="AT81" s="38"/>
      <c r="AU81" s="124">
        <f>Customers!E13</f>
        <v>13</v>
      </c>
      <c r="AV81" s="124">
        <f>Customers!F13</f>
        <v>13</v>
      </c>
      <c r="AW81" s="124">
        <f>Customers!G13</f>
        <v>13</v>
      </c>
      <c r="AX81" s="124">
        <f>Customers!H13</f>
        <v>13</v>
      </c>
      <c r="AY81" s="124">
        <f>Customers!I13</f>
        <v>13</v>
      </c>
      <c r="AZ81" s="124">
        <f>Customers!J13</f>
        <v>13</v>
      </c>
      <c r="BA81" s="210">
        <f>IFERROR(ROUND(AVERAGE(AO81:AZ81),0),0)</f>
        <v>13</v>
      </c>
      <c r="BB81" s="109">
        <v>13</v>
      </c>
      <c r="BC81" s="38">
        <v>13</v>
      </c>
      <c r="BD81" s="38">
        <v>13</v>
      </c>
      <c r="BE81" s="38">
        <v>13</v>
      </c>
      <c r="BF81" s="38">
        <f t="shared" ref="BF81:BM81" si="65">BE81</f>
        <v>13</v>
      </c>
      <c r="BG81" s="38">
        <f t="shared" si="65"/>
        <v>13</v>
      </c>
      <c r="BH81" s="38">
        <f t="shared" si="65"/>
        <v>13</v>
      </c>
      <c r="BI81" s="38">
        <f t="shared" si="65"/>
        <v>13</v>
      </c>
      <c r="BJ81" s="38">
        <f t="shared" si="65"/>
        <v>13</v>
      </c>
      <c r="BK81" s="38">
        <f t="shared" si="65"/>
        <v>13</v>
      </c>
      <c r="BL81" s="38">
        <f t="shared" si="65"/>
        <v>13</v>
      </c>
      <c r="BM81" s="38">
        <f t="shared" si="65"/>
        <v>13</v>
      </c>
      <c r="BN81" s="210">
        <f>IFERROR(ROUND(AVERAGE(BB81:BM81),0),0)</f>
        <v>13</v>
      </c>
      <c r="BO81" s="90">
        <f>Customers!L13</f>
        <v>13</v>
      </c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78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226"/>
      <c r="AO82" s="151"/>
      <c r="AP82" s="152"/>
      <c r="AQ82" s="152"/>
      <c r="AR82" s="152"/>
      <c r="AS82" s="152"/>
      <c r="AT82" s="160"/>
      <c r="AU82" s="160">
        <f t="shared" ref="AU82:AZ82" si="66">IFERROR(ROUND(AU83*AU81,0),0)</f>
        <v>26785</v>
      </c>
      <c r="AV82" s="160">
        <f t="shared" si="66"/>
        <v>32192</v>
      </c>
      <c r="AW82" s="160">
        <f t="shared" si="66"/>
        <v>28086</v>
      </c>
      <c r="AX82" s="160">
        <f t="shared" si="66"/>
        <v>45414</v>
      </c>
      <c r="AY82" s="160">
        <f t="shared" si="66"/>
        <v>51575</v>
      </c>
      <c r="AZ82" s="160">
        <f t="shared" si="66"/>
        <v>55756</v>
      </c>
      <c r="BA82" s="196">
        <f>SUM(AT82:AZ82)</f>
        <v>239808</v>
      </c>
      <c r="BB82" s="64">
        <v>50414</v>
      </c>
      <c r="BC82" s="160">
        <v>56948</v>
      </c>
      <c r="BD82" s="160">
        <v>70923</v>
      </c>
      <c r="BE82" s="160">
        <v>44196</v>
      </c>
      <c r="BF82" s="160">
        <f t="shared" ref="BF82:BO82" si="67">IFERROR(ROUND(BF83*BF81,0),0)</f>
        <v>49381</v>
      </c>
      <c r="BG82" s="160">
        <f t="shared" si="67"/>
        <v>55467</v>
      </c>
      <c r="BH82" s="160">
        <f t="shared" si="67"/>
        <v>26785</v>
      </c>
      <c r="BI82" s="160">
        <f t="shared" si="67"/>
        <v>32192</v>
      </c>
      <c r="BJ82" s="160">
        <f t="shared" si="67"/>
        <v>28086</v>
      </c>
      <c r="BK82" s="160">
        <f t="shared" si="67"/>
        <v>45414</v>
      </c>
      <c r="BL82" s="160">
        <f t="shared" si="67"/>
        <v>51575</v>
      </c>
      <c r="BM82" s="160">
        <f t="shared" si="67"/>
        <v>55756</v>
      </c>
      <c r="BN82" s="196">
        <f>SUM(BB82:BM82)</f>
        <v>567137</v>
      </c>
      <c r="BO82" s="88">
        <f t="shared" si="67"/>
        <v>567137</v>
      </c>
    </row>
    <row r="83" spans="1:67" ht="15.75" customHeight="1" thickTop="1">
      <c r="A83" s="374" t="s">
        <v>54</v>
      </c>
      <c r="B83" s="84">
        <f>IF('kWh_Streetlight Data'!C13=0,"",'kWh_Streetlight Data'!C13)</f>
        <v>3761.3333333333335</v>
      </c>
      <c r="C83" s="108">
        <f>IF('kWh_Streetlight Data'!D13=0,"",'kWh_Streetlight Data'!D13)</f>
        <v>4531.2</v>
      </c>
      <c r="D83" s="108">
        <f>IF('kWh_Streetlight Data'!E13=0,"",'kWh_Streetlight Data'!E13)</f>
        <v>5424.909090909091</v>
      </c>
      <c r="E83" s="108">
        <f>IF('kWh_Streetlight Data'!F13=0,"",'kWh_Streetlight Data'!F13)</f>
        <v>3701.5454545454545</v>
      </c>
      <c r="F83" s="108">
        <f>IF('kWh_Streetlight Data'!G13=0,"",'kWh_Streetlight Data'!G13)</f>
        <v>4346.2307692307695</v>
      </c>
      <c r="G83" s="108">
        <f>IF('kWh_Streetlight Data'!H13=0,"",'kWh_Streetlight Data'!H13)</f>
        <v>4075.6153846153848</v>
      </c>
      <c r="H83" s="108">
        <f>IF('kWh_Streetlight Data'!I13=0,"",'kWh_Streetlight Data'!I13)</f>
        <v>1960.4615384615386</v>
      </c>
      <c r="I83" s="108">
        <f>IF('kWh_Streetlight Data'!J13=0,"",'kWh_Streetlight Data'!J13)</f>
        <v>2888.4615384615386</v>
      </c>
      <c r="J83" s="108">
        <f>IF('kWh_Streetlight Data'!K13=0,"",'kWh_Streetlight Data'!K13)</f>
        <v>2584.3846153846152</v>
      </c>
      <c r="K83" s="108">
        <f>IF('kWh_Streetlight Data'!L13=0,"",'kWh_Streetlight Data'!L13)</f>
        <v>3795.7692307692309</v>
      </c>
      <c r="L83" s="108">
        <f>IF('kWh_Streetlight Data'!M13=0,"",'kWh_Streetlight Data'!M13)</f>
        <v>3840</v>
      </c>
      <c r="M83" s="108">
        <f>IF('kWh_Streetlight Data'!N13=0,"",'kWh_Streetlight Data'!N13)</f>
        <v>4809.5</v>
      </c>
      <c r="N83" s="424">
        <f>IF('kWh_Streetlight Data'!O13=0,"",'kWh_Streetlight Data'!O13)</f>
        <v>3767.7739726027398</v>
      </c>
      <c r="O83" s="108">
        <f>IF('kWh_Streetlight Data'!P13=0,"",'kWh_Streetlight Data'!P13)</f>
        <v>4433.333333333333</v>
      </c>
      <c r="P83" s="108">
        <f>IF('kWh_Streetlight Data'!Q13=0,"",'kWh_Streetlight Data'!Q13)</f>
        <v>5090.181818181818</v>
      </c>
      <c r="Q83" s="108">
        <f>IF('kWh_Streetlight Data'!R13=0,"",'kWh_Streetlight Data'!R13)</f>
        <v>4935.25</v>
      </c>
      <c r="R83" s="108">
        <f>IF('kWh_Streetlight Data'!S13=0,"",'kWh_Streetlight Data'!S13)</f>
        <v>3201.5833333333335</v>
      </c>
      <c r="S83" s="108">
        <f>IF('kWh_Streetlight Data'!T13=0,"",'kWh_Streetlight Data'!T13)</f>
        <v>3805.6923076923076</v>
      </c>
      <c r="T83" s="108">
        <f>IF('kWh_Streetlight Data'!U13=0,"",'kWh_Streetlight Data'!U13)</f>
        <v>3368.9230769230771</v>
      </c>
      <c r="U83" s="108">
        <f>IF('kWh_Streetlight Data'!V13=0,"",'kWh_Streetlight Data'!V13)</f>
        <v>2160.2307692307691</v>
      </c>
      <c r="V83" s="108">
        <f>IF('kWh_Streetlight Data'!W13=0,"",'kWh_Streetlight Data'!W13)</f>
        <v>1932.5833333333333</v>
      </c>
      <c r="W83" s="108">
        <f>IF('kWh_Streetlight Data'!X13=0,"",'kWh_Streetlight Data'!X13)</f>
        <v>1839</v>
      </c>
      <c r="X83" s="108">
        <f>IF('kWh_Streetlight Data'!Y13=0,"",'kWh_Streetlight Data'!Y13)</f>
        <v>3455.0769230769229</v>
      </c>
      <c r="Y83" s="108">
        <f>IF('kWh_Streetlight Data'!Z13=0,"",'kWh_Streetlight Data'!Z13)</f>
        <v>3109.25</v>
      </c>
      <c r="Z83" s="108">
        <f>IF('kWh_Streetlight Data'!AA13=0,"",'kWh_Streetlight Data'!AA13)</f>
        <v>4669.583333333333</v>
      </c>
      <c r="AA83" s="424">
        <f>IF('kWh_Streetlight Data'!AB13=0,"",'kWh_Streetlight Data'!AB13)</f>
        <v>3469.9121621621621</v>
      </c>
      <c r="AB83" s="442">
        <f>IF('kWh_Streetlight Data'!AC13=0,"",'kWh_Streetlight Data'!AC13)</f>
        <v>3439.3636363636365</v>
      </c>
      <c r="AC83" s="443">
        <f>IF('kWh_Streetlight Data'!AD13=0,"",'kWh_Streetlight Data'!AD13)</f>
        <v>3520.3636363636365</v>
      </c>
      <c r="AD83" s="443">
        <f>IF('kWh_Streetlight Data'!AE13=0,"",'kWh_Streetlight Data'!AE13)</f>
        <v>6006.6428571428569</v>
      </c>
      <c r="AE83" s="443">
        <f>IF('kWh_Streetlight Data'!AF13=0,"",'kWh_Streetlight Data'!AF13)</f>
        <v>3295.8333333333335</v>
      </c>
      <c r="AF83" s="443">
        <f>IF('kWh_Streetlight Data'!AG13=0,"",'kWh_Streetlight Data'!AG13)</f>
        <v>3243.6153846153848</v>
      </c>
      <c r="AG83" s="443">
        <f>IF('kWh_Streetlight Data'!AH13=0,"",'kWh_Streetlight Data'!AH13)</f>
        <v>5355.6153846153848</v>
      </c>
      <c r="AH83" s="443" t="str">
        <f>IF('kWh_Streetlight Data'!AI13=0,"",'kWh_Streetlight Data'!AI13)</f>
        <v/>
      </c>
      <c r="AI83" s="443">
        <f>IF('kWh_Streetlight Data'!AJ13=0,"",'kWh_Streetlight Data'!AJ13)</f>
        <v>2607.9230769230771</v>
      </c>
      <c r="AJ83" s="443">
        <f>IF('kWh_Streetlight Data'!AK13=0,"",'kWh_Streetlight Data'!AK13)</f>
        <v>2057.9230769230771</v>
      </c>
      <c r="AK83" s="443">
        <f>IF('kWh_Streetlight Data'!AL13=0,"",'kWh_Streetlight Data'!AL13)</f>
        <v>3229.2307692307691</v>
      </c>
      <c r="AL83" s="443">
        <f>IF('kWh_Streetlight Data'!AM13=0,"",'kWh_Streetlight Data'!AM13)</f>
        <v>4952.583333333333</v>
      </c>
      <c r="AM83" s="444">
        <f>IF('kWh_Streetlight Data'!AN13=0,"",'kWh_Streetlight Data'!AN13)</f>
        <v>3387.6666666666665</v>
      </c>
      <c r="AN83" s="424">
        <f>IF('kWh_Streetlight Data'!AO13=0,"",'kWh_Streetlight Data'!AO13)</f>
        <v>3380.8675496688743</v>
      </c>
      <c r="AO83" s="34"/>
      <c r="AP83" s="35"/>
      <c r="AQ83" s="35"/>
      <c r="AR83" s="35"/>
      <c r="AS83" s="35"/>
      <c r="AT83" s="17"/>
      <c r="AU83" s="17">
        <f t="shared" ref="AU83" si="68">IFERROR(AVERAGE(AH83,U83,H83),0)</f>
        <v>2060.3461538461538</v>
      </c>
      <c r="AV83" s="17">
        <f t="shared" ref="AV83" si="69">IFERROR(AVERAGE(AI83,V83,I83),0)</f>
        <v>2476.3226495726499</v>
      </c>
      <c r="AW83" s="17">
        <f t="shared" ref="AW83" si="70">IFERROR(AVERAGE(AJ83,W83,J83),0)</f>
        <v>2160.4358974358975</v>
      </c>
      <c r="AX83" s="17">
        <f t="shared" ref="AX83" si="71">IFERROR(AVERAGE(AK83,X83,K83),0)</f>
        <v>3493.3589743589741</v>
      </c>
      <c r="AY83" s="17">
        <f t="shared" ref="AY83" si="72">IFERROR(AVERAGE(AL83,Y83,L83),0)</f>
        <v>3967.2777777777774</v>
      </c>
      <c r="AZ83" s="17">
        <f t="shared" ref="AZ83" si="73">IFERROR(AVERAGE(AM83,Z83,M83),0)</f>
        <v>4288.916666666667</v>
      </c>
      <c r="BA83" s="211">
        <f>IFERROR(BA82/SUM(#REF!),0)</f>
        <v>0</v>
      </c>
      <c r="BB83" s="17">
        <v>3878.0101010101007</v>
      </c>
      <c r="BC83" s="17">
        <v>4380.5818181818177</v>
      </c>
      <c r="BD83" s="17">
        <v>5455.6006493506493</v>
      </c>
      <c r="BE83" s="17">
        <v>3399.6540404040406</v>
      </c>
      <c r="BF83" s="17">
        <f t="shared" ref="BF83" si="74">IFERROR(AVERAGE(F83,S83,AF83),0)</f>
        <v>3798.5128205128203</v>
      </c>
      <c r="BG83" s="17">
        <f t="shared" ref="BG83" si="75">IFERROR(AVERAGE(G83,T83,AG83),0)</f>
        <v>4266.7179487179492</v>
      </c>
      <c r="BH83" s="17">
        <f t="shared" ref="BH83" si="76">IFERROR(AVERAGE(H83,U83,AH83),0)</f>
        <v>2060.3461538461538</v>
      </c>
      <c r="BI83" s="17">
        <f t="shared" ref="BI83" si="77">IFERROR(AVERAGE(I83,V83,AI83),0)</f>
        <v>2476.3226495726499</v>
      </c>
      <c r="BJ83" s="17">
        <f t="shared" ref="BJ83" si="78">IFERROR(AVERAGE(J83,W83,AJ83),0)</f>
        <v>2160.4358974358975</v>
      </c>
      <c r="BK83" s="17">
        <f t="shared" ref="BK83" si="79">IFERROR(AVERAGE(K83,X83,AK83),0)</f>
        <v>3493.3589743589746</v>
      </c>
      <c r="BL83" s="17">
        <f t="shared" ref="BL83" si="80">IFERROR(AVERAGE(L83,Y83,AL83),0)</f>
        <v>3967.2777777777774</v>
      </c>
      <c r="BM83" s="17">
        <f t="shared" ref="BM83" si="81">IFERROR(AVERAGE(M83,Z83,AM83),0)</f>
        <v>4288.9166666666661</v>
      </c>
      <c r="BN83" s="211">
        <f>IFERROR(BN82/SUM(BB81:BM81)*12,0)</f>
        <v>43625.923076923078</v>
      </c>
      <c r="BO83" s="20">
        <f>BN83</f>
        <v>43625.923076923078</v>
      </c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8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5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18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96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352"/>
      <c r="AC86" s="288"/>
      <c r="AD86" s="288"/>
      <c r="AE86" s="288"/>
      <c r="AF86" s="288"/>
      <c r="AG86" s="288"/>
      <c r="AH86" s="288"/>
      <c r="AI86" s="288"/>
      <c r="AJ86" s="288"/>
      <c r="AK86" s="288"/>
      <c r="AL86" s="288"/>
      <c r="AM86" s="288"/>
      <c r="AN86" s="95"/>
      <c r="AO86" s="150"/>
      <c r="AP86" s="87"/>
      <c r="AQ86" s="87"/>
      <c r="AR86" s="87"/>
      <c r="AS86" s="87"/>
      <c r="AT86" s="38"/>
      <c r="AU86" s="38"/>
      <c r="AV86" s="38"/>
      <c r="AW86" s="38"/>
      <c r="AX86" s="38"/>
      <c r="AY86" s="38"/>
      <c r="AZ86" s="38"/>
      <c r="BA86" s="210"/>
      <c r="BB86" s="109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78"/>
      <c r="AC87" s="79"/>
      <c r="AD87" s="289"/>
      <c r="AE87" s="289"/>
      <c r="AF87" s="289"/>
      <c r="AG87" s="289"/>
      <c r="AH87" s="289"/>
      <c r="AI87" s="289"/>
      <c r="AJ87" s="289"/>
      <c r="AK87" s="79"/>
      <c r="AL87" s="79"/>
      <c r="AM87" s="79"/>
      <c r="AN87" s="226"/>
      <c r="AO87" s="151"/>
      <c r="AP87" s="152"/>
      <c r="AQ87" s="152"/>
      <c r="AR87" s="152"/>
      <c r="AS87" s="152"/>
      <c r="AT87" s="160"/>
      <c r="AU87" s="160"/>
      <c r="AV87" s="160"/>
      <c r="AW87" s="160"/>
      <c r="AX87" s="160"/>
      <c r="AY87" s="160"/>
      <c r="AZ87" s="160"/>
      <c r="BA87" s="196"/>
      <c r="BB87" s="64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88"/>
    </row>
    <row r="88" spans="1:67" ht="15.75" customHeight="1" thickTop="1">
      <c r="A88" s="374" t="s">
        <v>54</v>
      </c>
      <c r="B88" s="84" t="str">
        <f>IF('kWh_Streetlight Data'!C14=0,"",'kWh_Streetlight Data'!C14)</f>
        <v/>
      </c>
      <c r="C88" s="108" t="str">
        <f>IF('kWh_Streetlight Data'!D14=0,"",'kWh_Streetlight Data'!D14)</f>
        <v/>
      </c>
      <c r="D88" s="108" t="str">
        <f>IF('kWh_Streetlight Data'!E14=0,"",'kWh_Streetlight Data'!E14)</f>
        <v/>
      </c>
      <c r="E88" s="108" t="str">
        <f>IF('kWh_Streetlight Data'!F14=0,"",'kWh_Streetlight Data'!F14)</f>
        <v/>
      </c>
      <c r="F88" s="108" t="str">
        <f>IF('kWh_Streetlight Data'!G14=0,"",'kWh_Streetlight Data'!G14)</f>
        <v/>
      </c>
      <c r="G88" s="108" t="str">
        <f>IF('kWh_Streetlight Data'!H14=0,"",'kWh_Streetlight Data'!H14)</f>
        <v/>
      </c>
      <c r="H88" s="108" t="str">
        <f>IF('kWh_Streetlight Data'!I14=0,"",'kWh_Streetlight Data'!I14)</f>
        <v/>
      </c>
      <c r="I88" s="108" t="str">
        <f>IF('kWh_Streetlight Data'!J14=0,"",'kWh_Streetlight Data'!J14)</f>
        <v/>
      </c>
      <c r="J88" s="108" t="str">
        <f>IF('kWh_Streetlight Data'!K14=0,"",'kWh_Streetlight Data'!K14)</f>
        <v/>
      </c>
      <c r="K88" s="108" t="str">
        <f>IF('kWh_Streetlight Data'!L14=0,"",'kWh_Streetlight Data'!L14)</f>
        <v/>
      </c>
      <c r="L88" s="108" t="str">
        <f>IF('kWh_Streetlight Data'!M14=0,"",'kWh_Streetlight Data'!M14)</f>
        <v/>
      </c>
      <c r="M88" s="108" t="str">
        <f>IF('kWh_Streetlight Data'!N14=0,"",'kWh_Streetlight Data'!N14)</f>
        <v/>
      </c>
      <c r="N88" s="424" t="str">
        <f>IF('kWh_Streetlight Data'!O14=0,"",'kWh_Streetlight Data'!O14)</f>
        <v/>
      </c>
      <c r="O88" s="84" t="str">
        <f>IF('kWh_Streetlight Data'!P14=0,"",'kWh_Streetlight Data'!P14)</f>
        <v/>
      </c>
      <c r="P88" s="108" t="str">
        <f>IF('kWh_Streetlight Data'!Q14=0,"",'kWh_Streetlight Data'!Q14)</f>
        <v/>
      </c>
      <c r="Q88" s="108" t="str">
        <f>IF('kWh_Streetlight Data'!R14=0,"",'kWh_Streetlight Data'!R14)</f>
        <v/>
      </c>
      <c r="R88" s="108" t="str">
        <f>IF('kWh_Streetlight Data'!S14=0,"",'kWh_Streetlight Data'!S14)</f>
        <v/>
      </c>
      <c r="S88" s="108" t="str">
        <f>IF('kWh_Streetlight Data'!T14=0,"",'kWh_Streetlight Data'!T14)</f>
        <v/>
      </c>
      <c r="T88" s="108" t="str">
        <f>IF('kWh_Streetlight Data'!U14=0,"",'kWh_Streetlight Data'!U14)</f>
        <v/>
      </c>
      <c r="U88" s="108" t="str">
        <f>IF('kWh_Streetlight Data'!V14=0,"",'kWh_Streetlight Data'!V14)</f>
        <v/>
      </c>
      <c r="V88" s="108" t="str">
        <f>IF('kWh_Streetlight Data'!W14=0,"",'kWh_Streetlight Data'!W14)</f>
        <v/>
      </c>
      <c r="W88" s="108" t="str">
        <f>IF('kWh_Streetlight Data'!X14=0,"",'kWh_Streetlight Data'!X14)</f>
        <v/>
      </c>
      <c r="X88" s="108" t="str">
        <f>IF('kWh_Streetlight Data'!Y14=0,"",'kWh_Streetlight Data'!Y14)</f>
        <v/>
      </c>
      <c r="Y88" s="108" t="str">
        <f>IF('kWh_Streetlight Data'!Z14=0,"",'kWh_Streetlight Data'!Z14)</f>
        <v/>
      </c>
      <c r="Z88" s="108" t="str">
        <f>IF('kWh_Streetlight Data'!AA14=0,"",'kWh_Streetlight Data'!AA14)</f>
        <v/>
      </c>
      <c r="AA88" s="426" t="str">
        <f>IF('kWh_Streetlight Data'!AB14=0,"",'kWh_Streetlight Data'!AB14)</f>
        <v/>
      </c>
      <c r="AB88" s="84" t="str">
        <f>IF('kWh_Streetlight Data'!AC14=0,"",'kWh_Streetlight Data'!AC14)</f>
        <v/>
      </c>
      <c r="AC88" s="108" t="str">
        <f>IF('kWh_Streetlight Data'!AD14=0,"",'kWh_Streetlight Data'!AD14)</f>
        <v/>
      </c>
      <c r="AD88" s="108" t="str">
        <f>IF('kWh_Streetlight Data'!AE14=0,"",'kWh_Streetlight Data'!AE14)</f>
        <v/>
      </c>
      <c r="AE88" s="108" t="str">
        <f>IF('kWh_Streetlight Data'!AF14=0,"",'kWh_Streetlight Data'!AF14)</f>
        <v/>
      </c>
      <c r="AF88" s="108" t="str">
        <f>IF('kWh_Streetlight Data'!AG14=0,"",'kWh_Streetlight Data'!AG14)</f>
        <v/>
      </c>
      <c r="AG88" s="108" t="str">
        <f>IF('kWh_Streetlight Data'!AH14=0,"",'kWh_Streetlight Data'!AH14)</f>
        <v/>
      </c>
      <c r="AH88" s="108" t="str">
        <f>IF('kWh_Streetlight Data'!AI14=0,"",'kWh_Streetlight Data'!AI14)</f>
        <v/>
      </c>
      <c r="AI88" s="108" t="str">
        <f>IF('kWh_Streetlight Data'!AJ14=0,"",'kWh_Streetlight Data'!AJ14)</f>
        <v/>
      </c>
      <c r="AJ88" s="108" t="str">
        <f>IF('kWh_Streetlight Data'!AK14=0,"",'kWh_Streetlight Data'!AK14)</f>
        <v/>
      </c>
      <c r="AK88" s="108" t="str">
        <f>IF('kWh_Streetlight Data'!AL14=0,"",'kWh_Streetlight Data'!AL14)</f>
        <v/>
      </c>
      <c r="AL88" s="108" t="str">
        <f>IF('kWh_Streetlight Data'!AM14=0,"",'kWh_Streetlight Data'!AM14)</f>
        <v/>
      </c>
      <c r="AM88" s="108" t="str">
        <f>IF('kWh_Streetlight Data'!AN14=0,"",'kWh_Streetlight Data'!AN14)</f>
        <v/>
      </c>
      <c r="AN88" s="426" t="str">
        <f>IF('kWh_Streetlight Data'!AO14=0,"",'kWh_Streetlight Data'!AO14)</f>
        <v/>
      </c>
      <c r="AO88" s="34"/>
      <c r="AP88" s="35"/>
      <c r="AQ88" s="35"/>
      <c r="AR88" s="35"/>
      <c r="AS88" s="35"/>
      <c r="AT88" s="17"/>
      <c r="AU88" s="17"/>
      <c r="AV88" s="17"/>
      <c r="AW88" s="17"/>
      <c r="AX88" s="17"/>
      <c r="AY88" s="17"/>
      <c r="AZ88" s="17"/>
      <c r="BA88" s="211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80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94"/>
      <c r="AO89" s="131"/>
      <c r="AP89" s="132"/>
      <c r="AQ89" s="132"/>
      <c r="AR89" s="132"/>
      <c r="AS89" s="132"/>
      <c r="AT89" s="126"/>
      <c r="AU89" s="126"/>
      <c r="AV89" s="126"/>
      <c r="AW89" s="126"/>
      <c r="AX89" s="126"/>
      <c r="AY89" s="126"/>
      <c r="AZ89" s="126"/>
      <c r="BA89" s="197"/>
      <c r="BB89" s="121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8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5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18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96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8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5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9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10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22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64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 thickBot="1">
      <c r="A94" s="374" t="s">
        <v>54</v>
      </c>
      <c r="B94" s="84" t="str">
        <f>IF('kWh_Streetlight Data'!C15=0,"",'kWh_Streetlight Data'!C15)</f>
        <v/>
      </c>
      <c r="C94" s="108" t="str">
        <f>IF('kWh_Streetlight Data'!D15=0,"",'kWh_Streetlight Data'!D15)</f>
        <v/>
      </c>
      <c r="D94" s="108" t="str">
        <f>IF('kWh_Streetlight Data'!E15=0,"",'kWh_Streetlight Data'!E15)</f>
        <v/>
      </c>
      <c r="E94" s="108" t="str">
        <f>IF('kWh_Streetlight Data'!F15=0,"",'kWh_Streetlight Data'!F15)</f>
        <v/>
      </c>
      <c r="F94" s="108" t="str">
        <f>IF('kWh_Streetlight Data'!G15=0,"",'kWh_Streetlight Data'!G15)</f>
        <v/>
      </c>
      <c r="G94" s="108" t="str">
        <f>IF('kWh_Streetlight Data'!H15=0,"",'kWh_Streetlight Data'!H15)</f>
        <v/>
      </c>
      <c r="H94" s="108" t="str">
        <f>IF('kWh_Streetlight Data'!I15=0,"",'kWh_Streetlight Data'!I15)</f>
        <v/>
      </c>
      <c r="I94" s="108" t="str">
        <f>IF('kWh_Streetlight Data'!J15=0,"",'kWh_Streetlight Data'!J15)</f>
        <v/>
      </c>
      <c r="J94" s="108" t="str">
        <f>IF('kWh_Streetlight Data'!K15=0,"",'kWh_Streetlight Data'!K15)</f>
        <v/>
      </c>
      <c r="K94" s="108" t="str">
        <f>IF('kWh_Streetlight Data'!L15=0,"",'kWh_Streetlight Data'!L15)</f>
        <v/>
      </c>
      <c r="L94" s="108" t="str">
        <f>IF('kWh_Streetlight Data'!M15=0,"",'kWh_Streetlight Data'!M15)</f>
        <v/>
      </c>
      <c r="M94" s="108" t="str">
        <f>IF('kWh_Streetlight Data'!N15=0,"",'kWh_Streetlight Data'!N15)</f>
        <v/>
      </c>
      <c r="N94" s="424" t="str">
        <f>IF('kWh_Streetlight Data'!O15=0,"",'kWh_Streetlight Data'!O15)</f>
        <v/>
      </c>
      <c r="O94" s="84" t="str">
        <f>IF('kWh_Streetlight Data'!P15=0,"",'kWh_Streetlight Data'!P15)</f>
        <v/>
      </c>
      <c r="P94" s="108" t="str">
        <f>IF('kWh_Streetlight Data'!Q15=0,"",'kWh_Streetlight Data'!Q15)</f>
        <v/>
      </c>
      <c r="Q94" s="108" t="str">
        <f>IF('kWh_Streetlight Data'!R15=0,"",'kWh_Streetlight Data'!R15)</f>
        <v/>
      </c>
      <c r="R94" s="108" t="str">
        <f>IF('kWh_Streetlight Data'!S15=0,"",'kWh_Streetlight Data'!S15)</f>
        <v/>
      </c>
      <c r="S94" s="108" t="str">
        <f>IF('kWh_Streetlight Data'!T15=0,"",'kWh_Streetlight Data'!T15)</f>
        <v/>
      </c>
      <c r="T94" s="108" t="str">
        <f>IF('kWh_Streetlight Data'!U15=0,"",'kWh_Streetlight Data'!U15)</f>
        <v/>
      </c>
      <c r="U94" s="108" t="str">
        <f>IF('kWh_Streetlight Data'!V15=0,"",'kWh_Streetlight Data'!V15)</f>
        <v/>
      </c>
      <c r="V94" s="108" t="str">
        <f>IF('kWh_Streetlight Data'!W15=0,"",'kWh_Streetlight Data'!W15)</f>
        <v/>
      </c>
      <c r="W94" s="108" t="str">
        <f>IF('kWh_Streetlight Data'!X15=0,"",'kWh_Streetlight Data'!X15)</f>
        <v/>
      </c>
      <c r="X94" s="108" t="str">
        <f>IF('kWh_Streetlight Data'!Y15=0,"",'kWh_Streetlight Data'!Y15)</f>
        <v/>
      </c>
      <c r="Y94" s="108" t="str">
        <f>IF('kWh_Streetlight Data'!Z15=0,"",'kWh_Streetlight Data'!Z15)</f>
        <v/>
      </c>
      <c r="Z94" s="108" t="str">
        <f>IF('kWh_Streetlight Data'!AA15=0,"",'kWh_Streetlight Data'!AA15)</f>
        <v/>
      </c>
      <c r="AA94" s="426" t="str">
        <f>IF('kWh_Streetlight Data'!AB15=0,"",'kWh_Streetlight Data'!AB15)</f>
        <v/>
      </c>
      <c r="AB94" s="84" t="str">
        <f>IF('kWh_Streetlight Data'!AC15=0,"",'kWh_Streetlight Data'!AC15)</f>
        <v/>
      </c>
      <c r="AC94" s="108" t="str">
        <f>IF('kWh_Streetlight Data'!AD15=0,"",'kWh_Streetlight Data'!AD15)</f>
        <v/>
      </c>
      <c r="AD94" s="108" t="str">
        <f>IF('kWh_Streetlight Data'!AE15=0,"",'kWh_Streetlight Data'!AE15)</f>
        <v/>
      </c>
      <c r="AE94" s="108" t="str">
        <f>IF('kWh_Streetlight Data'!AF15=0,"",'kWh_Streetlight Data'!AF15)</f>
        <v/>
      </c>
      <c r="AF94" s="108" t="str">
        <f>IF('kWh_Streetlight Data'!AG15=0,"",'kWh_Streetlight Data'!AG15)</f>
        <v/>
      </c>
      <c r="AG94" s="108" t="str">
        <f>IF('kWh_Streetlight Data'!AH15=0,"",'kWh_Streetlight Data'!AH15)</f>
        <v/>
      </c>
      <c r="AH94" s="108" t="str">
        <f>IF('kWh_Streetlight Data'!AI15=0,"",'kWh_Streetlight Data'!AI15)</f>
        <v/>
      </c>
      <c r="AI94" s="108" t="str">
        <f>IF('kWh_Streetlight Data'!AJ15=0,"",'kWh_Streetlight Data'!AJ15)</f>
        <v/>
      </c>
      <c r="AJ94" s="108" t="str">
        <f>IF('kWh_Streetlight Data'!AK15=0,"",'kWh_Streetlight Data'!AK15)</f>
        <v/>
      </c>
      <c r="AK94" s="108" t="str">
        <f>IF('kWh_Streetlight Data'!AL15=0,"",'kWh_Streetlight Data'!AL15)</f>
        <v/>
      </c>
      <c r="AL94" s="108" t="str">
        <f>IF('kWh_Streetlight Data'!AM15=0,"",'kWh_Streetlight Data'!AM15)</f>
        <v/>
      </c>
      <c r="AM94" s="108" t="str">
        <f>IF('kWh_Streetlight Data'!AN15=0,"",'kWh_Streetlight Data'!AN15)</f>
        <v/>
      </c>
      <c r="AN94" s="426" t="str">
        <f>IF('kWh_Streetlight Data'!AO15=0,"",'kWh_Streetlight Data'!AO15)</f>
        <v/>
      </c>
      <c r="AO94" s="34"/>
      <c r="AP94" s="35"/>
      <c r="AQ94" s="35"/>
      <c r="AR94" s="35"/>
      <c r="AS94" s="35"/>
      <c r="AT94" s="17"/>
      <c r="AU94" s="17"/>
      <c r="AV94" s="17"/>
      <c r="AW94" s="17"/>
      <c r="AX94" s="17"/>
      <c r="AY94" s="17"/>
      <c r="AZ94" s="17"/>
      <c r="BA94" s="211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211"/>
      <c r="BO94" s="20"/>
    </row>
    <row r="95" spans="1:67" ht="15.75" customHeight="1" thickTop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413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8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5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8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5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27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99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5"/>
      <c r="AO98" s="100"/>
      <c r="AP98" s="87"/>
      <c r="AQ98" s="87"/>
      <c r="AR98" s="87"/>
      <c r="AS98" s="87"/>
      <c r="AT98" s="39"/>
      <c r="AU98" s="39">
        <f t="shared" ref="AU98:AZ98" si="82">AU7+AU22+AU29+AU43</f>
        <v>350</v>
      </c>
      <c r="AV98" s="39">
        <f t="shared" si="82"/>
        <v>350</v>
      </c>
      <c r="AW98" s="39">
        <f t="shared" si="82"/>
        <v>350</v>
      </c>
      <c r="AX98" s="39">
        <f t="shared" si="82"/>
        <v>350</v>
      </c>
      <c r="AY98" s="39">
        <f t="shared" si="82"/>
        <v>350</v>
      </c>
      <c r="AZ98" s="39">
        <f t="shared" si="82"/>
        <v>350</v>
      </c>
      <c r="BA98" s="210">
        <f>AZ98</f>
        <v>350</v>
      </c>
      <c r="BB98" s="39">
        <v>350</v>
      </c>
      <c r="BC98" s="39">
        <v>350</v>
      </c>
      <c r="BD98" s="39">
        <v>350</v>
      </c>
      <c r="BE98" s="39">
        <v>350</v>
      </c>
      <c r="BF98" s="39">
        <f t="shared" ref="BF98:BO98" si="83">BF7+BF22+BF29+BF43</f>
        <v>350</v>
      </c>
      <c r="BG98" s="39">
        <f t="shared" si="83"/>
        <v>350</v>
      </c>
      <c r="BH98" s="39">
        <f t="shared" si="83"/>
        <v>350</v>
      </c>
      <c r="BI98" s="39">
        <f t="shared" si="83"/>
        <v>350</v>
      </c>
      <c r="BJ98" s="39">
        <f t="shared" si="83"/>
        <v>350</v>
      </c>
      <c r="BK98" s="39">
        <f t="shared" si="83"/>
        <v>350</v>
      </c>
      <c r="BL98" s="39">
        <f t="shared" si="83"/>
        <v>350</v>
      </c>
      <c r="BM98" s="39">
        <f t="shared" si="83"/>
        <v>350</v>
      </c>
      <c r="BN98" s="215">
        <f t="shared" si="83"/>
        <v>350</v>
      </c>
      <c r="BO98" s="142">
        <f t="shared" si="83"/>
        <v>350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5"/>
      <c r="AO99" s="100"/>
      <c r="AP99" s="87"/>
      <c r="AQ99" s="87"/>
      <c r="AR99" s="87"/>
      <c r="AS99" s="87"/>
      <c r="AT99" s="39"/>
      <c r="AU99" s="39">
        <f t="shared" ref="AU99:AZ99" si="84">AU57</f>
        <v>2</v>
      </c>
      <c r="AV99" s="39">
        <f t="shared" si="84"/>
        <v>2</v>
      </c>
      <c r="AW99" s="39">
        <f t="shared" si="84"/>
        <v>2</v>
      </c>
      <c r="AX99" s="39">
        <f t="shared" si="84"/>
        <v>2</v>
      </c>
      <c r="AY99" s="39">
        <f t="shared" si="84"/>
        <v>2</v>
      </c>
      <c r="AZ99" s="39">
        <f t="shared" si="84"/>
        <v>2</v>
      </c>
      <c r="BA99" s="210">
        <f>AZ99</f>
        <v>2</v>
      </c>
      <c r="BB99" s="39">
        <v>2</v>
      </c>
      <c r="BC99" s="39">
        <v>2</v>
      </c>
      <c r="BD99" s="39">
        <v>2</v>
      </c>
      <c r="BE99" s="39">
        <v>2</v>
      </c>
      <c r="BF99" s="39">
        <f t="shared" ref="BF99:BO99" si="85">BF57</f>
        <v>2</v>
      </c>
      <c r="BG99" s="39">
        <f t="shared" si="85"/>
        <v>2</v>
      </c>
      <c r="BH99" s="39">
        <f t="shared" si="85"/>
        <v>2</v>
      </c>
      <c r="BI99" s="39">
        <f t="shared" si="85"/>
        <v>2</v>
      </c>
      <c r="BJ99" s="39">
        <f t="shared" si="85"/>
        <v>2</v>
      </c>
      <c r="BK99" s="39">
        <f t="shared" si="85"/>
        <v>2</v>
      </c>
      <c r="BL99" s="39">
        <f t="shared" si="85"/>
        <v>2</v>
      </c>
      <c r="BM99" s="39">
        <f t="shared" si="85"/>
        <v>2</v>
      </c>
      <c r="BN99" s="215">
        <f t="shared" si="85"/>
        <v>2</v>
      </c>
      <c r="BO99" s="142">
        <f t="shared" si="85"/>
        <v>2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5"/>
      <c r="AO100" s="52"/>
      <c r="AP100" s="39"/>
      <c r="AQ100" s="39"/>
      <c r="AR100" s="39"/>
      <c r="AS100" s="39"/>
      <c r="AT100" s="39"/>
      <c r="AU100" s="39">
        <f t="shared" ref="AU100:AZ100" si="86">AU65+AU75+AU81+AU86</f>
        <v>13</v>
      </c>
      <c r="AV100" s="39">
        <f t="shared" si="86"/>
        <v>13</v>
      </c>
      <c r="AW100" s="39">
        <f t="shared" si="86"/>
        <v>13</v>
      </c>
      <c r="AX100" s="39">
        <f t="shared" si="86"/>
        <v>13</v>
      </c>
      <c r="AY100" s="39">
        <f t="shared" si="86"/>
        <v>13</v>
      </c>
      <c r="AZ100" s="39">
        <f t="shared" si="86"/>
        <v>13</v>
      </c>
      <c r="BA100" s="210">
        <f>AZ100</f>
        <v>13</v>
      </c>
      <c r="BB100" s="39">
        <v>13</v>
      </c>
      <c r="BC100" s="39">
        <v>13</v>
      </c>
      <c r="BD100" s="39">
        <v>13</v>
      </c>
      <c r="BE100" s="39">
        <v>13</v>
      </c>
      <c r="BF100" s="39">
        <f t="shared" ref="BF100:BO100" si="87">BF65+BF75+BF81+BF86</f>
        <v>13</v>
      </c>
      <c r="BG100" s="39">
        <f t="shared" si="87"/>
        <v>13</v>
      </c>
      <c r="BH100" s="39">
        <f t="shared" si="87"/>
        <v>13</v>
      </c>
      <c r="BI100" s="39">
        <f t="shared" si="87"/>
        <v>13</v>
      </c>
      <c r="BJ100" s="39">
        <f t="shared" si="87"/>
        <v>13</v>
      </c>
      <c r="BK100" s="39">
        <f t="shared" si="87"/>
        <v>13</v>
      </c>
      <c r="BL100" s="39">
        <f t="shared" si="87"/>
        <v>13</v>
      </c>
      <c r="BM100" s="39">
        <f t="shared" si="87"/>
        <v>13</v>
      </c>
      <c r="BN100" s="210">
        <f t="shared" si="87"/>
        <v>13</v>
      </c>
      <c r="BO100" s="483">
        <f t="shared" si="87"/>
        <v>13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5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5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5"/>
      <c r="AP101" s="73"/>
      <c r="AQ101" s="73"/>
      <c r="AR101" s="73"/>
      <c r="AS101" s="73"/>
      <c r="AT101" s="73"/>
      <c r="AU101" s="73">
        <f t="shared" ref="AU101:BA101" si="88">SUM(AU98:AU100)</f>
        <v>365</v>
      </c>
      <c r="AV101" s="73">
        <f t="shared" si="88"/>
        <v>365</v>
      </c>
      <c r="AW101" s="73">
        <f t="shared" si="88"/>
        <v>365</v>
      </c>
      <c r="AX101" s="73">
        <f t="shared" si="88"/>
        <v>365</v>
      </c>
      <c r="AY101" s="73">
        <f t="shared" si="88"/>
        <v>365</v>
      </c>
      <c r="AZ101" s="73">
        <f t="shared" si="88"/>
        <v>365</v>
      </c>
      <c r="BA101" s="249">
        <f t="shared" si="88"/>
        <v>365</v>
      </c>
      <c r="BB101" s="73">
        <v>365</v>
      </c>
      <c r="BC101" s="73">
        <v>365</v>
      </c>
      <c r="BD101" s="73">
        <v>365</v>
      </c>
      <c r="BE101" s="73">
        <v>365</v>
      </c>
      <c r="BF101" s="73">
        <f t="shared" ref="BF101:BL101" si="89">SUM(BF98:BF100)</f>
        <v>365</v>
      </c>
      <c r="BG101" s="73">
        <f t="shared" si="89"/>
        <v>365</v>
      </c>
      <c r="BH101" s="73">
        <f t="shared" si="89"/>
        <v>365</v>
      </c>
      <c r="BI101" s="73">
        <f t="shared" si="89"/>
        <v>365</v>
      </c>
      <c r="BJ101" s="73">
        <f t="shared" si="89"/>
        <v>365</v>
      </c>
      <c r="BK101" s="73">
        <f t="shared" si="89"/>
        <v>365</v>
      </c>
      <c r="BL101" s="73">
        <f t="shared" si="89"/>
        <v>365</v>
      </c>
      <c r="BM101" s="73">
        <f t="shared" ref="BM101:BO101" si="90">SUM(BM98:BM100)</f>
        <v>365</v>
      </c>
      <c r="BN101" s="249">
        <f t="shared" ref="BN101" si="91">SUM(BN98:BN100)</f>
        <v>365</v>
      </c>
      <c r="BO101" s="249">
        <f t="shared" si="90"/>
        <v>365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9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9"/>
      <c r="AO102" s="52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194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66"/>
      <c r="BO102" s="232"/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9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9"/>
      <c r="AO103" s="52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210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210"/>
      <c r="BO103" s="483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9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9"/>
      <c r="AO104" s="52"/>
      <c r="AP104" s="39"/>
      <c r="AQ104" s="39"/>
      <c r="AR104" s="39"/>
      <c r="AS104" s="39"/>
      <c r="AT104" s="39"/>
      <c r="AU104" s="39">
        <f t="shared" ref="AU104:AZ104" si="92">AU92</f>
        <v>0</v>
      </c>
      <c r="AV104" s="39">
        <f t="shared" si="92"/>
        <v>0</v>
      </c>
      <c r="AW104" s="39">
        <f t="shared" si="92"/>
        <v>0</v>
      </c>
      <c r="AX104" s="39">
        <f t="shared" si="92"/>
        <v>0</v>
      </c>
      <c r="AY104" s="39">
        <f t="shared" si="92"/>
        <v>0</v>
      </c>
      <c r="AZ104" s="39">
        <f t="shared" si="92"/>
        <v>0</v>
      </c>
      <c r="BA104" s="210"/>
      <c r="BB104" s="39">
        <v>0</v>
      </c>
      <c r="BC104" s="39">
        <v>0</v>
      </c>
      <c r="BD104" s="39">
        <v>0</v>
      </c>
      <c r="BE104" s="39">
        <v>0</v>
      </c>
      <c r="BF104" s="39">
        <f t="shared" ref="BF104:BM104" si="93">BF92</f>
        <v>0</v>
      </c>
      <c r="BG104" s="39">
        <f t="shared" si="93"/>
        <v>0</v>
      </c>
      <c r="BH104" s="39">
        <f t="shared" si="93"/>
        <v>0</v>
      </c>
      <c r="BI104" s="39">
        <f t="shared" si="93"/>
        <v>0</v>
      </c>
      <c r="BJ104" s="39">
        <f t="shared" si="93"/>
        <v>0</v>
      </c>
      <c r="BK104" s="39">
        <f t="shared" si="93"/>
        <v>0</v>
      </c>
      <c r="BL104" s="39">
        <f t="shared" si="93"/>
        <v>0</v>
      </c>
      <c r="BM104" s="39">
        <f t="shared" si="93"/>
        <v>0</v>
      </c>
      <c r="BN104" s="210"/>
      <c r="BO104" s="483">
        <f>BO92</f>
        <v>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5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5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410"/>
      <c r="AP105" s="248"/>
      <c r="AQ105" s="248"/>
      <c r="AR105" s="248"/>
      <c r="AS105" s="248"/>
      <c r="AT105" s="73"/>
      <c r="AU105" s="73">
        <f t="shared" ref="AU105:BA105" si="94">SUM(AU102:AU104)</f>
        <v>0</v>
      </c>
      <c r="AV105" s="73">
        <f t="shared" si="94"/>
        <v>0</v>
      </c>
      <c r="AW105" s="73">
        <f t="shared" si="94"/>
        <v>0</v>
      </c>
      <c r="AX105" s="73">
        <f t="shared" si="94"/>
        <v>0</v>
      </c>
      <c r="AY105" s="73">
        <f t="shared" si="94"/>
        <v>0</v>
      </c>
      <c r="AZ105" s="73">
        <f t="shared" si="94"/>
        <v>0</v>
      </c>
      <c r="BA105" s="249">
        <f t="shared" si="94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L105" si="95">SUM(BF102:BF104)</f>
        <v>0</v>
      </c>
      <c r="BG105" s="73">
        <f t="shared" si="95"/>
        <v>0</v>
      </c>
      <c r="BH105" s="73">
        <f t="shared" si="95"/>
        <v>0</v>
      </c>
      <c r="BI105" s="73">
        <f t="shared" si="95"/>
        <v>0</v>
      </c>
      <c r="BJ105" s="73">
        <f t="shared" si="95"/>
        <v>0</v>
      </c>
      <c r="BK105" s="73">
        <f t="shared" si="95"/>
        <v>0</v>
      </c>
      <c r="BL105" s="73">
        <f t="shared" si="95"/>
        <v>0</v>
      </c>
      <c r="BM105" s="73">
        <f t="shared" ref="BM105:BO105" si="96">SUM(BM102:BM104)</f>
        <v>0</v>
      </c>
      <c r="BN105" s="249">
        <f t="shared" si="96"/>
        <v>0</v>
      </c>
      <c r="BO105" s="249">
        <f t="shared" si="96"/>
        <v>0</v>
      </c>
    </row>
    <row r="106" spans="1:67" ht="15.75" customHeight="1" thickBot="1">
      <c r="A106" s="201" t="s">
        <v>82</v>
      </c>
      <c r="B106" s="10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262"/>
      <c r="N106" s="257"/>
      <c r="O106" s="226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262"/>
      <c r="AA106" s="257"/>
      <c r="AB106" s="226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262"/>
      <c r="AN106" s="257"/>
      <c r="AO106" s="411"/>
      <c r="AP106" s="42"/>
      <c r="AQ106" s="42"/>
      <c r="AR106" s="42"/>
      <c r="AS106" s="42"/>
      <c r="AT106" s="11"/>
      <c r="AU106" s="11">
        <f t="shared" ref="AU106:BA106" si="97">AU105+AU101</f>
        <v>365</v>
      </c>
      <c r="AV106" s="11">
        <f t="shared" si="97"/>
        <v>365</v>
      </c>
      <c r="AW106" s="11">
        <f t="shared" si="97"/>
        <v>365</v>
      </c>
      <c r="AX106" s="11">
        <f t="shared" si="97"/>
        <v>365</v>
      </c>
      <c r="AY106" s="11">
        <f t="shared" si="97"/>
        <v>365</v>
      </c>
      <c r="AZ106" s="11">
        <f t="shared" si="97"/>
        <v>365</v>
      </c>
      <c r="BA106" s="223">
        <f t="shared" si="97"/>
        <v>365</v>
      </c>
      <c r="BB106" s="11">
        <v>365</v>
      </c>
      <c r="BC106" s="11">
        <v>365</v>
      </c>
      <c r="BD106" s="11">
        <v>365</v>
      </c>
      <c r="BE106" s="11">
        <v>365</v>
      </c>
      <c r="BF106" s="11">
        <f t="shared" ref="BF106:BL106" si="98">BF105+BF101</f>
        <v>365</v>
      </c>
      <c r="BG106" s="11">
        <f t="shared" si="98"/>
        <v>365</v>
      </c>
      <c r="BH106" s="11">
        <f t="shared" si="98"/>
        <v>365</v>
      </c>
      <c r="BI106" s="11">
        <f t="shared" si="98"/>
        <v>365</v>
      </c>
      <c r="BJ106" s="11">
        <f t="shared" si="98"/>
        <v>365</v>
      </c>
      <c r="BK106" s="11">
        <f t="shared" si="98"/>
        <v>365</v>
      </c>
      <c r="BL106" s="11">
        <f t="shared" si="98"/>
        <v>365</v>
      </c>
      <c r="BM106" s="11">
        <f t="shared" ref="BM106:BO106" si="99">BM105+BM101</f>
        <v>365</v>
      </c>
      <c r="BN106" s="223">
        <f t="shared" si="99"/>
        <v>365</v>
      </c>
      <c r="BO106" s="223">
        <f t="shared" si="99"/>
        <v>365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8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8"/>
      <c r="AO107" s="173"/>
      <c r="AP107" s="174"/>
      <c r="AQ107" s="174"/>
      <c r="AR107" s="174"/>
      <c r="AS107" s="174"/>
      <c r="AT107" s="68"/>
      <c r="AU107" s="68"/>
      <c r="AV107" s="68"/>
      <c r="AW107" s="68"/>
      <c r="AX107" s="68"/>
      <c r="AY107" s="68"/>
      <c r="AZ107" s="68"/>
      <c r="BA107" s="207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207"/>
      <c r="BO107" s="14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9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9"/>
      <c r="AO108" s="100"/>
      <c r="AP108" s="87"/>
      <c r="AQ108" s="87"/>
      <c r="AR108" s="87"/>
      <c r="AS108" s="87"/>
      <c r="AT108" s="39"/>
      <c r="AU108" s="39">
        <f t="shared" ref="AU108:BA108" si="100">AU11+AU26+AU33+AU47</f>
        <v>278599</v>
      </c>
      <c r="AV108" s="39">
        <f t="shared" si="100"/>
        <v>315455</v>
      </c>
      <c r="AW108" s="39">
        <f t="shared" si="100"/>
        <v>257992</v>
      </c>
      <c r="AX108" s="39">
        <f t="shared" si="100"/>
        <v>342689</v>
      </c>
      <c r="AY108" s="39">
        <f t="shared" si="100"/>
        <v>344431</v>
      </c>
      <c r="AZ108" s="39">
        <f t="shared" si="100"/>
        <v>397287</v>
      </c>
      <c r="BA108" s="210">
        <f t="shared" si="100"/>
        <v>1936453</v>
      </c>
      <c r="BB108" s="39">
        <v>444247</v>
      </c>
      <c r="BC108" s="39">
        <v>409152</v>
      </c>
      <c r="BD108" s="39">
        <v>437611</v>
      </c>
      <c r="BE108" s="39">
        <v>353839</v>
      </c>
      <c r="BF108" s="39">
        <f t="shared" ref="BF108:BO108" si="101">BF11+BF26+BF33+BF47</f>
        <v>355745</v>
      </c>
      <c r="BG108" s="39">
        <f t="shared" si="101"/>
        <v>357371</v>
      </c>
      <c r="BH108" s="39">
        <f t="shared" si="101"/>
        <v>278599</v>
      </c>
      <c r="BI108" s="39">
        <f t="shared" si="101"/>
        <v>315455</v>
      </c>
      <c r="BJ108" s="39">
        <f t="shared" si="101"/>
        <v>257992</v>
      </c>
      <c r="BK108" s="39">
        <f t="shared" si="101"/>
        <v>342689</v>
      </c>
      <c r="BL108" s="39">
        <f t="shared" si="101"/>
        <v>344431</v>
      </c>
      <c r="BM108" s="39">
        <f t="shared" si="101"/>
        <v>397287</v>
      </c>
      <c r="BN108" s="210">
        <f t="shared" si="101"/>
        <v>4294418</v>
      </c>
      <c r="BO108" s="210">
        <f t="shared" si="101"/>
        <v>4294418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9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9"/>
      <c r="AO109" s="100"/>
      <c r="AP109" s="87"/>
      <c r="AQ109" s="87"/>
      <c r="AR109" s="87"/>
      <c r="AS109" s="87"/>
      <c r="AT109" s="39"/>
      <c r="AU109" s="39">
        <f t="shared" ref="AU109:BA109" si="102">AU58</f>
        <v>6246</v>
      </c>
      <c r="AV109" s="39">
        <f t="shared" si="102"/>
        <v>6246</v>
      </c>
      <c r="AW109" s="39">
        <f t="shared" si="102"/>
        <v>6246</v>
      </c>
      <c r="AX109" s="39">
        <f t="shared" si="102"/>
        <v>6246</v>
      </c>
      <c r="AY109" s="39">
        <f t="shared" si="102"/>
        <v>6246</v>
      </c>
      <c r="AZ109" s="39">
        <f t="shared" si="102"/>
        <v>6246</v>
      </c>
      <c r="BA109" s="210">
        <f t="shared" si="102"/>
        <v>37476</v>
      </c>
      <c r="BB109" s="39">
        <v>6246</v>
      </c>
      <c r="BC109" s="39">
        <v>6246</v>
      </c>
      <c r="BD109" s="39">
        <v>6246</v>
      </c>
      <c r="BE109" s="39">
        <v>6246</v>
      </c>
      <c r="BF109" s="39">
        <f t="shared" ref="BF109:BO109" si="103">BF58</f>
        <v>6246</v>
      </c>
      <c r="BG109" s="39">
        <f t="shared" si="103"/>
        <v>6246</v>
      </c>
      <c r="BH109" s="39">
        <f t="shared" si="103"/>
        <v>6246</v>
      </c>
      <c r="BI109" s="39">
        <f t="shared" si="103"/>
        <v>6246</v>
      </c>
      <c r="BJ109" s="39">
        <f t="shared" si="103"/>
        <v>6246</v>
      </c>
      <c r="BK109" s="39">
        <f t="shared" si="103"/>
        <v>6246</v>
      </c>
      <c r="BL109" s="39">
        <f t="shared" si="103"/>
        <v>6246</v>
      </c>
      <c r="BM109" s="39">
        <f t="shared" si="103"/>
        <v>6246</v>
      </c>
      <c r="BN109" s="210">
        <f t="shared" si="103"/>
        <v>74952</v>
      </c>
      <c r="BO109" s="210">
        <f t="shared" si="103"/>
        <v>74952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9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9"/>
      <c r="AO110" s="100"/>
      <c r="AP110" s="87"/>
      <c r="AQ110" s="87"/>
      <c r="AR110" s="87"/>
      <c r="AS110" s="87"/>
      <c r="AT110" s="39"/>
      <c r="AU110" s="39">
        <f t="shared" ref="AU110:BA110" si="104">AU68+AU78+AU82+AU87</f>
        <v>26785</v>
      </c>
      <c r="AV110" s="39">
        <f t="shared" si="104"/>
        <v>32192</v>
      </c>
      <c r="AW110" s="39">
        <f t="shared" si="104"/>
        <v>28086</v>
      </c>
      <c r="AX110" s="39">
        <f t="shared" si="104"/>
        <v>45414</v>
      </c>
      <c r="AY110" s="39">
        <f t="shared" si="104"/>
        <v>51575</v>
      </c>
      <c r="AZ110" s="39">
        <f t="shared" si="104"/>
        <v>55756</v>
      </c>
      <c r="BA110" s="210">
        <f t="shared" si="104"/>
        <v>239808</v>
      </c>
      <c r="BB110" s="39">
        <v>50414</v>
      </c>
      <c r="BC110" s="39">
        <v>56948</v>
      </c>
      <c r="BD110" s="39">
        <v>70923</v>
      </c>
      <c r="BE110" s="39">
        <v>44196</v>
      </c>
      <c r="BF110" s="39">
        <f t="shared" ref="BF110:BO110" si="105">BF68+BF78+BF82+BF87</f>
        <v>49381</v>
      </c>
      <c r="BG110" s="39">
        <f t="shared" si="105"/>
        <v>55467</v>
      </c>
      <c r="BH110" s="39">
        <f t="shared" si="105"/>
        <v>26785</v>
      </c>
      <c r="BI110" s="39">
        <f t="shared" si="105"/>
        <v>32192</v>
      </c>
      <c r="BJ110" s="39">
        <f t="shared" si="105"/>
        <v>28086</v>
      </c>
      <c r="BK110" s="39">
        <f t="shared" si="105"/>
        <v>45414</v>
      </c>
      <c r="BL110" s="39">
        <f t="shared" si="105"/>
        <v>51575</v>
      </c>
      <c r="BM110" s="39">
        <f t="shared" si="105"/>
        <v>55756</v>
      </c>
      <c r="BN110" s="210">
        <f t="shared" si="105"/>
        <v>567137</v>
      </c>
      <c r="BO110" s="210">
        <f t="shared" si="105"/>
        <v>567137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5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5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410"/>
      <c r="AP111" s="248"/>
      <c r="AQ111" s="248"/>
      <c r="AR111" s="248"/>
      <c r="AS111" s="248"/>
      <c r="AT111" s="73"/>
      <c r="AU111" s="73">
        <f t="shared" ref="AU111:BA111" si="106">SUM(AU108:AU110)</f>
        <v>311630</v>
      </c>
      <c r="AV111" s="73">
        <f t="shared" si="106"/>
        <v>353893</v>
      </c>
      <c r="AW111" s="73">
        <f t="shared" si="106"/>
        <v>292324</v>
      </c>
      <c r="AX111" s="73">
        <f t="shared" si="106"/>
        <v>394349</v>
      </c>
      <c r="AY111" s="73">
        <f t="shared" si="106"/>
        <v>402252</v>
      </c>
      <c r="AZ111" s="73">
        <f t="shared" si="106"/>
        <v>459289</v>
      </c>
      <c r="BA111" s="249">
        <f t="shared" si="106"/>
        <v>2213737</v>
      </c>
      <c r="BB111" s="73">
        <v>500907</v>
      </c>
      <c r="BC111" s="73">
        <v>472346</v>
      </c>
      <c r="BD111" s="73">
        <v>514780</v>
      </c>
      <c r="BE111" s="73">
        <v>404281</v>
      </c>
      <c r="BF111" s="73">
        <f t="shared" ref="BF111:BL111" si="107">SUM(BF108:BF110)</f>
        <v>411372</v>
      </c>
      <c r="BG111" s="73">
        <f t="shared" si="107"/>
        <v>419084</v>
      </c>
      <c r="BH111" s="73">
        <f t="shared" si="107"/>
        <v>311630</v>
      </c>
      <c r="BI111" s="73">
        <f t="shared" si="107"/>
        <v>353893</v>
      </c>
      <c r="BJ111" s="73">
        <f t="shared" si="107"/>
        <v>292324</v>
      </c>
      <c r="BK111" s="73">
        <f t="shared" si="107"/>
        <v>394349</v>
      </c>
      <c r="BL111" s="73">
        <f t="shared" si="107"/>
        <v>402252</v>
      </c>
      <c r="BM111" s="73">
        <f t="shared" ref="BM111:BO111" si="108">SUM(BM108:BM110)</f>
        <v>459289</v>
      </c>
      <c r="BN111" s="249">
        <f t="shared" si="108"/>
        <v>4936507</v>
      </c>
      <c r="BO111" s="249">
        <f t="shared" si="108"/>
        <v>4936507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9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9"/>
      <c r="AO112" s="100"/>
      <c r="AP112" s="87"/>
      <c r="AQ112" s="87"/>
      <c r="AR112" s="87"/>
      <c r="AS112" s="87"/>
      <c r="AT112" s="39"/>
      <c r="AU112" s="39"/>
      <c r="AV112" s="39"/>
      <c r="AW112" s="39"/>
      <c r="AX112" s="39"/>
      <c r="AY112" s="39"/>
      <c r="AZ112" s="39"/>
      <c r="BA112" s="210">
        <f>BA19+BA40+BA54</f>
        <v>0</v>
      </c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210">
        <f>BN19+BN40+BN54</f>
        <v>0</v>
      </c>
      <c r="BO112" s="210">
        <f>BO19+BO40+BO54</f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9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9"/>
      <c r="AO113" s="100"/>
      <c r="AP113" s="87"/>
      <c r="AQ113" s="87"/>
      <c r="AR113" s="87"/>
      <c r="AS113" s="87"/>
      <c r="AT113" s="39"/>
      <c r="AU113" s="39"/>
      <c r="AV113" s="39"/>
      <c r="AW113" s="39"/>
      <c r="AX113" s="39"/>
      <c r="AY113" s="39"/>
      <c r="AZ113" s="39"/>
      <c r="BA113" s="210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210"/>
      <c r="BO113" s="210">
        <f>BO62</f>
        <v>0</v>
      </c>
    </row>
    <row r="114" spans="1:67" ht="15" customHeight="1">
      <c r="A114" s="374" t="s">
        <v>80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51"/>
      <c r="N114" s="356"/>
      <c r="O114" s="29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51"/>
      <c r="AA114" s="356"/>
      <c r="AB114" s="29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51"/>
      <c r="AN114" s="356"/>
      <c r="AO114" s="170"/>
      <c r="AP114" s="171"/>
      <c r="AQ114" s="171"/>
      <c r="AR114" s="171"/>
      <c r="AS114" s="171"/>
      <c r="AT114" s="63"/>
      <c r="AU114" s="63">
        <f t="shared" ref="AU114:BA114" si="109">AU93</f>
        <v>0</v>
      </c>
      <c r="AV114" s="63">
        <f t="shared" si="109"/>
        <v>0</v>
      </c>
      <c r="AW114" s="63">
        <f t="shared" si="109"/>
        <v>0</v>
      </c>
      <c r="AX114" s="63">
        <f t="shared" si="109"/>
        <v>0</v>
      </c>
      <c r="AY114" s="63">
        <f t="shared" si="109"/>
        <v>0</v>
      </c>
      <c r="AZ114" s="63">
        <f t="shared" si="109"/>
        <v>0</v>
      </c>
      <c r="BA114" s="195">
        <f t="shared" si="109"/>
        <v>0</v>
      </c>
      <c r="BB114" s="63">
        <v>0</v>
      </c>
      <c r="BC114" s="63">
        <v>0</v>
      </c>
      <c r="BD114" s="63">
        <v>0</v>
      </c>
      <c r="BE114" s="63">
        <v>0</v>
      </c>
      <c r="BF114" s="63">
        <f t="shared" ref="BF114:BO114" si="110">BF93</f>
        <v>0</v>
      </c>
      <c r="BG114" s="63">
        <f t="shared" si="110"/>
        <v>0</v>
      </c>
      <c r="BH114" s="63">
        <f t="shared" si="110"/>
        <v>0</v>
      </c>
      <c r="BI114" s="63">
        <f t="shared" si="110"/>
        <v>0</v>
      </c>
      <c r="BJ114" s="63">
        <f t="shared" si="110"/>
        <v>0</v>
      </c>
      <c r="BK114" s="63">
        <f t="shared" si="110"/>
        <v>0</v>
      </c>
      <c r="BL114" s="63">
        <f t="shared" si="110"/>
        <v>0</v>
      </c>
      <c r="BM114" s="63">
        <f t="shared" si="110"/>
        <v>0</v>
      </c>
      <c r="BN114" s="195">
        <f t="shared" si="110"/>
        <v>0</v>
      </c>
      <c r="BO114" s="195">
        <f t="shared" si="110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5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5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410"/>
      <c r="AP115" s="248"/>
      <c r="AQ115" s="248"/>
      <c r="AR115" s="248"/>
      <c r="AS115" s="248"/>
      <c r="AT115" s="73"/>
      <c r="AU115" s="73">
        <f t="shared" ref="AU115:BA115" si="111">SUM(AU112:AU114)</f>
        <v>0</v>
      </c>
      <c r="AV115" s="73">
        <f t="shared" si="111"/>
        <v>0</v>
      </c>
      <c r="AW115" s="73">
        <f t="shared" si="111"/>
        <v>0</v>
      </c>
      <c r="AX115" s="73">
        <f t="shared" si="111"/>
        <v>0</v>
      </c>
      <c r="AY115" s="73">
        <f t="shared" si="111"/>
        <v>0</v>
      </c>
      <c r="AZ115" s="73">
        <f t="shared" si="111"/>
        <v>0</v>
      </c>
      <c r="BA115" s="249">
        <f t="shared" si="111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L115" si="112">SUM(BF112:BF114)</f>
        <v>0</v>
      </c>
      <c r="BG115" s="73">
        <f t="shared" si="112"/>
        <v>0</v>
      </c>
      <c r="BH115" s="73">
        <f t="shared" si="112"/>
        <v>0</v>
      </c>
      <c r="BI115" s="73">
        <f t="shared" si="112"/>
        <v>0</v>
      </c>
      <c r="BJ115" s="73">
        <f t="shared" si="112"/>
        <v>0</v>
      </c>
      <c r="BK115" s="73">
        <f t="shared" si="112"/>
        <v>0</v>
      </c>
      <c r="BL115" s="73">
        <f t="shared" si="112"/>
        <v>0</v>
      </c>
      <c r="BM115" s="73">
        <f t="shared" ref="BM115:BO115" si="113">SUM(BM112:BM114)</f>
        <v>0</v>
      </c>
      <c r="BN115" s="249">
        <f t="shared" si="113"/>
        <v>0</v>
      </c>
      <c r="BO115" s="249">
        <f t="shared" si="113"/>
        <v>0</v>
      </c>
    </row>
    <row r="116" spans="1:67" s="3" customFormat="1" ht="15.75" customHeight="1" thickBot="1">
      <c r="A116" s="201" t="s">
        <v>212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2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2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412"/>
      <c r="AP116" s="254"/>
      <c r="AQ116" s="254"/>
      <c r="AR116" s="254"/>
      <c r="AS116" s="254"/>
      <c r="AT116" s="251"/>
      <c r="AU116" s="251">
        <f t="shared" ref="AU116:AZ116" si="114">AU115+AU111</f>
        <v>311630</v>
      </c>
      <c r="AV116" s="251">
        <f t="shared" si="114"/>
        <v>353893</v>
      </c>
      <c r="AW116" s="251">
        <f t="shared" si="114"/>
        <v>292324</v>
      </c>
      <c r="AX116" s="251">
        <f t="shared" si="114"/>
        <v>394349</v>
      </c>
      <c r="AY116" s="251">
        <f t="shared" si="114"/>
        <v>402252</v>
      </c>
      <c r="AZ116" s="251">
        <f t="shared" si="114"/>
        <v>459289</v>
      </c>
      <c r="BA116" s="255">
        <f t="shared" ref="BA116" si="115">BA115+BA111</f>
        <v>2213737</v>
      </c>
      <c r="BB116" s="251">
        <v>500907</v>
      </c>
      <c r="BC116" s="251">
        <v>472346</v>
      </c>
      <c r="BD116" s="251">
        <v>514780</v>
      </c>
      <c r="BE116" s="251">
        <v>404281</v>
      </c>
      <c r="BF116" s="251">
        <f t="shared" ref="BF116:BO116" si="116">BF115+BF111</f>
        <v>411372</v>
      </c>
      <c r="BG116" s="251">
        <f t="shared" si="116"/>
        <v>419084</v>
      </c>
      <c r="BH116" s="251">
        <f t="shared" si="116"/>
        <v>311630</v>
      </c>
      <c r="BI116" s="251">
        <f t="shared" si="116"/>
        <v>353893</v>
      </c>
      <c r="BJ116" s="251">
        <f t="shared" si="116"/>
        <v>292324</v>
      </c>
      <c r="BK116" s="251">
        <f t="shared" si="116"/>
        <v>394349</v>
      </c>
      <c r="BL116" s="251">
        <f t="shared" si="116"/>
        <v>402252</v>
      </c>
      <c r="BM116" s="251">
        <f t="shared" si="116"/>
        <v>459289</v>
      </c>
      <c r="BN116" s="255">
        <f t="shared" si="116"/>
        <v>4936507</v>
      </c>
      <c r="BO116" s="255">
        <f t="shared" si="116"/>
        <v>4936507</v>
      </c>
    </row>
    <row r="117" spans="1:67" ht="15.75" customHeight="1" thickTop="1">
      <c r="A117" s="201" t="s">
        <v>2</v>
      </c>
      <c r="B117" s="8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244"/>
      <c r="N117" s="266"/>
      <c r="O117" s="8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9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9"/>
      <c r="AO117" s="34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211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211"/>
      <c r="BO117" s="7"/>
    </row>
    <row r="118" spans="1:67" ht="15" customHeight="1">
      <c r="A118" s="374"/>
      <c r="B118" s="12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233"/>
      <c r="N118" s="260"/>
      <c r="O118" s="12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98"/>
      <c r="AB118" s="12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98"/>
      <c r="AO118" s="48"/>
      <c r="AP118" s="49"/>
      <c r="AQ118" s="49"/>
      <c r="AR118" s="49"/>
      <c r="AS118" s="49"/>
      <c r="AT118" s="13"/>
      <c r="AU118" s="13"/>
      <c r="AV118" s="13"/>
      <c r="AW118" s="13"/>
      <c r="AX118" s="13"/>
      <c r="AY118" s="13"/>
      <c r="AZ118" s="13"/>
      <c r="BA118" s="212"/>
      <c r="BB118" s="454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212"/>
      <c r="BO118" s="50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21</v>
      </c>
      <c r="AV119" s="280">
        <f>AU119</f>
        <v>21</v>
      </c>
      <c r="AW119" s="280">
        <f t="shared" ref="AW119:AZ119" si="117">AV119</f>
        <v>21</v>
      </c>
      <c r="AX119" s="280">
        <f t="shared" si="117"/>
        <v>21</v>
      </c>
      <c r="AY119" s="280">
        <f t="shared" si="117"/>
        <v>21</v>
      </c>
      <c r="AZ119" s="280">
        <f t="shared" si="117"/>
        <v>21</v>
      </c>
      <c r="BA119" s="259"/>
      <c r="BB119" s="280">
        <v>21</v>
      </c>
      <c r="BC119" s="280">
        <v>21</v>
      </c>
      <c r="BD119" s="280">
        <v>21</v>
      </c>
      <c r="BE119" s="280">
        <v>21</v>
      </c>
      <c r="BF119" s="280">
        <f t="shared" ref="BF119:BM119" si="118">BE119</f>
        <v>21</v>
      </c>
      <c r="BG119" s="280">
        <f t="shared" si="118"/>
        <v>21</v>
      </c>
      <c r="BH119" s="280">
        <f t="shared" si="118"/>
        <v>21</v>
      </c>
      <c r="BI119" s="280">
        <f t="shared" si="118"/>
        <v>21</v>
      </c>
      <c r="BJ119" s="280">
        <f t="shared" si="118"/>
        <v>21</v>
      </c>
      <c r="BK119" s="280">
        <f t="shared" si="118"/>
        <v>21</v>
      </c>
      <c r="BL119" s="280">
        <f t="shared" si="118"/>
        <v>21</v>
      </c>
      <c r="BM119" s="280">
        <f t="shared" si="118"/>
        <v>21</v>
      </c>
      <c r="BN119" s="259"/>
      <c r="BO119" s="343">
        <f>BM119</f>
        <v>21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198938</v>
      </c>
      <c r="AU120" s="107">
        <v>213093.55473781048</v>
      </c>
      <c r="AV120" s="39">
        <f>ROUND(AW108/30*AV119,0)</f>
        <v>180594</v>
      </c>
      <c r="AW120" s="39">
        <f>ROUND(AX108/30*AW119,0)</f>
        <v>239882</v>
      </c>
      <c r="AX120" s="39">
        <f>ROUND(AY108/30*AX119,0)</f>
        <v>241102</v>
      </c>
      <c r="AY120" s="39">
        <f>ROUND(AZ108/30*AY119,0)</f>
        <v>278101</v>
      </c>
      <c r="AZ120" s="39">
        <f>ROUND(BB108/30*AZ119,0)</f>
        <v>310973</v>
      </c>
      <c r="BA120" s="215"/>
      <c r="BB120" s="346">
        <v>286406</v>
      </c>
      <c r="BC120" s="346">
        <v>306328</v>
      </c>
      <c r="BD120" s="346">
        <v>247687</v>
      </c>
      <c r="BE120" s="346">
        <v>249022</v>
      </c>
      <c r="BF120" s="346">
        <f t="shared" ref="BF120:BL120" si="119">ROUND(BG108/30*BF119,0)</f>
        <v>250160</v>
      </c>
      <c r="BG120" s="346">
        <f t="shared" si="119"/>
        <v>195019</v>
      </c>
      <c r="BH120" s="346">
        <f t="shared" si="119"/>
        <v>220819</v>
      </c>
      <c r="BI120" s="346">
        <f t="shared" si="119"/>
        <v>180594</v>
      </c>
      <c r="BJ120" s="346">
        <f t="shared" si="119"/>
        <v>239882</v>
      </c>
      <c r="BK120" s="346">
        <f t="shared" si="119"/>
        <v>241102</v>
      </c>
      <c r="BL120" s="346">
        <f t="shared" si="119"/>
        <v>278101</v>
      </c>
      <c r="BM120" s="57">
        <f>ROUND(BO108*0.11/30*BM119,0)</f>
        <v>330670</v>
      </c>
      <c r="BN120" s="215"/>
      <c r="BO120" s="141">
        <v>330670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19488</v>
      </c>
      <c r="AU121" s="107">
        <v>20095</v>
      </c>
      <c r="AV121" s="39">
        <f>ROUND(AW110/30*AV119,0)</f>
        <v>19660</v>
      </c>
      <c r="AW121" s="39">
        <f>ROUND(AX110/30*AW119,0)</f>
        <v>31790</v>
      </c>
      <c r="AX121" s="39">
        <f>ROUND(AY110/30*AX119,0)</f>
        <v>36103</v>
      </c>
      <c r="AY121" s="39">
        <f>ROUND(AZ110/30*AY119,0)</f>
        <v>39029</v>
      </c>
      <c r="AZ121" s="39">
        <f>ROUND(BB110/30*AZ119,0)</f>
        <v>35290</v>
      </c>
      <c r="BA121" s="215"/>
      <c r="BB121" s="57">
        <v>39864</v>
      </c>
      <c r="BC121" s="57">
        <v>49646</v>
      </c>
      <c r="BD121" s="57">
        <v>30937</v>
      </c>
      <c r="BE121" s="57">
        <v>34567</v>
      </c>
      <c r="BF121" s="57">
        <f t="shared" ref="BF121:BL121" si="120">ROUND(BG110/30*BF119,0)</f>
        <v>38827</v>
      </c>
      <c r="BG121" s="57">
        <f t="shared" si="120"/>
        <v>18750</v>
      </c>
      <c r="BH121" s="57">
        <f t="shared" si="120"/>
        <v>22534</v>
      </c>
      <c r="BI121" s="57">
        <f t="shared" si="120"/>
        <v>19660</v>
      </c>
      <c r="BJ121" s="57">
        <f t="shared" si="120"/>
        <v>31790</v>
      </c>
      <c r="BK121" s="57">
        <f t="shared" si="120"/>
        <v>36103</v>
      </c>
      <c r="BL121" s="57">
        <f t="shared" si="120"/>
        <v>39029</v>
      </c>
      <c r="BM121" s="57">
        <f>ROUND(BO110*0.11/30*BM119,0)</f>
        <v>43670</v>
      </c>
      <c r="BN121" s="215"/>
      <c r="BO121" s="141">
        <v>43670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-198938</v>
      </c>
      <c r="AV122" s="57">
        <f t="shared" ref="AV122:AZ122" si="121">-AU120</f>
        <v>-213093.55473781048</v>
      </c>
      <c r="AW122" s="57">
        <f t="shared" si="121"/>
        <v>-180594</v>
      </c>
      <c r="AX122" s="57">
        <f t="shared" si="121"/>
        <v>-239882</v>
      </c>
      <c r="AY122" s="57">
        <f t="shared" si="121"/>
        <v>-241102</v>
      </c>
      <c r="AZ122" s="57">
        <f t="shared" si="121"/>
        <v>-278101</v>
      </c>
      <c r="BA122" s="215"/>
      <c r="BB122" s="57">
        <v>-310973</v>
      </c>
      <c r="BC122" s="57">
        <v>-286406</v>
      </c>
      <c r="BD122" s="57">
        <v>-306328</v>
      </c>
      <c r="BE122" s="57">
        <v>-247687</v>
      </c>
      <c r="BF122" s="57">
        <f t="shared" ref="BF122:BM122" si="122">-BE120</f>
        <v>-249022</v>
      </c>
      <c r="BG122" s="57">
        <f t="shared" si="122"/>
        <v>-250160</v>
      </c>
      <c r="BH122" s="57">
        <f t="shared" si="122"/>
        <v>-195019</v>
      </c>
      <c r="BI122" s="57">
        <f t="shared" si="122"/>
        <v>-220819</v>
      </c>
      <c r="BJ122" s="57">
        <f t="shared" si="122"/>
        <v>-180594</v>
      </c>
      <c r="BK122" s="57">
        <f t="shared" si="122"/>
        <v>-239882</v>
      </c>
      <c r="BL122" s="57">
        <f t="shared" si="122"/>
        <v>-241102</v>
      </c>
      <c r="BM122" s="57">
        <f t="shared" si="122"/>
        <v>-278101</v>
      </c>
      <c r="BN122" s="215"/>
      <c r="BO122" s="141">
        <f>-BM120</f>
        <v>-330670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-19488</v>
      </c>
      <c r="AV123" s="57">
        <f t="shared" ref="AV123:AZ123" si="123">-AU121</f>
        <v>-20095</v>
      </c>
      <c r="AW123" s="57">
        <f t="shared" si="123"/>
        <v>-19660</v>
      </c>
      <c r="AX123" s="57">
        <f t="shared" si="123"/>
        <v>-31790</v>
      </c>
      <c r="AY123" s="57">
        <f t="shared" si="123"/>
        <v>-36103</v>
      </c>
      <c r="AZ123" s="57">
        <f t="shared" si="123"/>
        <v>-39029</v>
      </c>
      <c r="BA123" s="215"/>
      <c r="BB123" s="57">
        <v>-35290</v>
      </c>
      <c r="BC123" s="57">
        <v>-39864</v>
      </c>
      <c r="BD123" s="57">
        <v>-49646</v>
      </c>
      <c r="BE123" s="57">
        <v>-30937</v>
      </c>
      <c r="BF123" s="57">
        <f t="shared" ref="BF123:BM123" si="124">-BE121</f>
        <v>-34567</v>
      </c>
      <c r="BG123" s="57">
        <f t="shared" si="124"/>
        <v>-38827</v>
      </c>
      <c r="BH123" s="57">
        <f t="shared" si="124"/>
        <v>-18750</v>
      </c>
      <c r="BI123" s="57">
        <f t="shared" si="124"/>
        <v>-22534</v>
      </c>
      <c r="BJ123" s="57">
        <f t="shared" si="124"/>
        <v>-19660</v>
      </c>
      <c r="BK123" s="57">
        <f t="shared" si="124"/>
        <v>-31790</v>
      </c>
      <c r="BL123" s="57">
        <f t="shared" si="124"/>
        <v>-36103</v>
      </c>
      <c r="BM123" s="57">
        <f t="shared" si="124"/>
        <v>-39029</v>
      </c>
      <c r="BN123" s="215"/>
      <c r="BO123" s="141">
        <f>-BM121</f>
        <v>-43670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14762.554737810482</v>
      </c>
      <c r="AV124" s="344">
        <f t="shared" ref="AV124:AZ124" si="125">SUM(AV120:AV123)</f>
        <v>-32934.554737810482</v>
      </c>
      <c r="AW124" s="344">
        <f t="shared" si="125"/>
        <v>71418</v>
      </c>
      <c r="AX124" s="344">
        <f t="shared" si="125"/>
        <v>5533</v>
      </c>
      <c r="AY124" s="344">
        <f t="shared" si="125"/>
        <v>39925</v>
      </c>
      <c r="AZ124" s="344">
        <f t="shared" si="125"/>
        <v>29133</v>
      </c>
      <c r="BA124" s="345"/>
      <c r="BB124" s="344">
        <v>-19993</v>
      </c>
      <c r="BC124" s="344">
        <v>29704</v>
      </c>
      <c r="BD124" s="344">
        <v>-77350</v>
      </c>
      <c r="BE124" s="344">
        <v>4965</v>
      </c>
      <c r="BF124" s="344">
        <f t="shared" ref="BF124" si="126">SUM(BF120:BF123)</f>
        <v>5398</v>
      </c>
      <c r="BG124" s="344">
        <f t="shared" ref="BG124" si="127">SUM(BG120:BG123)</f>
        <v>-75218</v>
      </c>
      <c r="BH124" s="344">
        <f t="shared" ref="BH124" si="128">SUM(BH120:BH123)</f>
        <v>29584</v>
      </c>
      <c r="BI124" s="344">
        <f t="shared" ref="BI124" si="129">SUM(BI120:BI123)</f>
        <v>-43099</v>
      </c>
      <c r="BJ124" s="344">
        <f t="shared" ref="BJ124" si="130">SUM(BJ120:BJ123)</f>
        <v>71418</v>
      </c>
      <c r="BK124" s="344">
        <f t="shared" ref="BK124" si="131">SUM(BK120:BK123)</f>
        <v>5533</v>
      </c>
      <c r="BL124" s="344">
        <f t="shared" ref="BL124" si="132">SUM(BL120:BL123)</f>
        <v>39925</v>
      </c>
      <c r="BM124" s="344">
        <f t="shared" ref="BM124:BO124" si="133">SUM(BM120:BM123)</f>
        <v>57210</v>
      </c>
      <c r="BN124" s="345"/>
      <c r="BO124" s="272">
        <f t="shared" si="133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302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302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5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302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302"/>
      <c r="AB129" s="5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302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302"/>
      <c r="AB130" s="5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302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302"/>
      <c r="AB131" s="5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302"/>
      <c r="AO131" s="187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214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302"/>
      <c r="AO132" s="187"/>
      <c r="AP132" s="106"/>
      <c r="AQ132" s="106"/>
      <c r="AR132" s="106"/>
      <c r="AS132" s="106"/>
      <c r="AT132" s="66">
        <f>AT111</f>
        <v>0</v>
      </c>
      <c r="AU132" s="66">
        <f t="shared" ref="AU132:AZ132" si="134">AU111+AU124</f>
        <v>326392.55473781051</v>
      </c>
      <c r="AV132" s="66">
        <f t="shared" si="134"/>
        <v>320958.44526218949</v>
      </c>
      <c r="AW132" s="66">
        <f t="shared" si="134"/>
        <v>363742</v>
      </c>
      <c r="AX132" s="66">
        <f t="shared" si="134"/>
        <v>399882</v>
      </c>
      <c r="AY132" s="66">
        <f t="shared" si="134"/>
        <v>442177</v>
      </c>
      <c r="AZ132" s="66">
        <f t="shared" si="134"/>
        <v>488422</v>
      </c>
      <c r="BA132" s="216">
        <f>SUM(AT132:AZ132)</f>
        <v>2341574</v>
      </c>
      <c r="BB132" s="66">
        <v>480914</v>
      </c>
      <c r="BC132" s="66">
        <v>502050</v>
      </c>
      <c r="BD132" s="66">
        <v>437430</v>
      </c>
      <c r="BE132" s="66">
        <v>409246</v>
      </c>
      <c r="BF132" s="66">
        <f t="shared" ref="BF132:BO132" si="135">BF111+BF124</f>
        <v>416770</v>
      </c>
      <c r="BG132" s="66">
        <f t="shared" si="135"/>
        <v>343866</v>
      </c>
      <c r="BH132" s="66">
        <f t="shared" si="135"/>
        <v>341214</v>
      </c>
      <c r="BI132" s="66">
        <f t="shared" si="135"/>
        <v>310794</v>
      </c>
      <c r="BJ132" s="66">
        <f t="shared" si="135"/>
        <v>363742</v>
      </c>
      <c r="BK132" s="66">
        <f t="shared" si="135"/>
        <v>399882</v>
      </c>
      <c r="BL132" s="66">
        <f t="shared" si="135"/>
        <v>442177</v>
      </c>
      <c r="BM132" s="66">
        <f t="shared" si="135"/>
        <v>516499</v>
      </c>
      <c r="BN132" s="304">
        <f t="shared" si="135"/>
        <v>4936507</v>
      </c>
      <c r="BO132" s="185">
        <f t="shared" si="135"/>
        <v>4936507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301"/>
      <c r="AB133" s="30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301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ignoredErrors>
    <ignoredError sqref="BA98:BA100 AX23:AX25 BA2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O133"/>
  <sheetViews>
    <sheetView zoomScale="80" zoomScaleNormal="80" workbookViewId="0">
      <pane xSplit="1" ySplit="5" topLeftCell="N18" activePane="bottomRight" state="frozen"/>
      <selection pane="bottomRight" activeCell="BS29" sqref="BS29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7" width="12" hidden="1" customWidth="1" outlineLevel="1"/>
    <col min="8" max="8" width="13.140625" hidden="1" customWidth="1" outlineLevel="1"/>
    <col min="9" max="9" width="12.425781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1" width="12.85546875" hidden="1" customWidth="1" outlineLevel="1"/>
    <col min="22" max="22" width="12.425781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2.42578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20.1406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7.28515625" style="3" bestFit="1" customWidth="1" collapsed="1"/>
    <col min="67" max="67" width="13.42578125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108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Customers!E18</f>
        <v>28</v>
      </c>
      <c r="AV7" s="109">
        <f>Customers!F18</f>
        <v>28</v>
      </c>
      <c r="AW7" s="109">
        <f>Customers!G18</f>
        <v>28</v>
      </c>
      <c r="AX7" s="109">
        <f>Customers!H18</f>
        <v>28</v>
      </c>
      <c r="AY7" s="109">
        <f>Customers!I18</f>
        <v>28</v>
      </c>
      <c r="AZ7" s="109">
        <f>Customers!J18</f>
        <v>28</v>
      </c>
      <c r="BA7" s="210">
        <f>IFERROR(ROUND(AVERAGE(AO7:AZ7),0),0)</f>
        <v>28</v>
      </c>
      <c r="BB7" s="109">
        <v>28</v>
      </c>
      <c r="BC7" s="38">
        <v>28</v>
      </c>
      <c r="BD7" s="38">
        <v>28</v>
      </c>
      <c r="BE7" s="38">
        <v>28</v>
      </c>
      <c r="BF7" s="38">
        <f t="shared" ref="BF7:BM7" si="0">BE7</f>
        <v>28</v>
      </c>
      <c r="BG7" s="38">
        <f t="shared" si="0"/>
        <v>28</v>
      </c>
      <c r="BH7" s="38">
        <f t="shared" si="0"/>
        <v>28</v>
      </c>
      <c r="BI7" s="38">
        <f t="shared" si="0"/>
        <v>28</v>
      </c>
      <c r="BJ7" s="38">
        <f t="shared" si="0"/>
        <v>28</v>
      </c>
      <c r="BK7" s="38">
        <f t="shared" si="0"/>
        <v>28</v>
      </c>
      <c r="BL7" s="38">
        <f t="shared" si="0"/>
        <v>28</v>
      </c>
      <c r="BM7" s="38">
        <f t="shared" si="0"/>
        <v>28</v>
      </c>
      <c r="BN7" s="210">
        <f>IFERROR(ROUND(AVERAGE(BB7:BM7),0),0)</f>
        <v>28</v>
      </c>
      <c r="BO7" s="143">
        <f>Customers!L18</f>
        <v>28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4685</v>
      </c>
      <c r="AV8" s="38">
        <f>ROUND(AV$11*'kWh Blocks by Rate Category'!D8,0)</f>
        <v>10142</v>
      </c>
      <c r="AW8" s="38">
        <f>ROUND(AW$11*'kWh Blocks by Rate Category'!E8,0)</f>
        <v>10191</v>
      </c>
      <c r="AX8" s="38">
        <f>ROUND(AX$11*'kWh Blocks by Rate Category'!F8,0)</f>
        <v>9469</v>
      </c>
      <c r="AY8" s="38">
        <f>ROUND(AY$11*'kWh Blocks by Rate Category'!G8,0)</f>
        <v>10501</v>
      </c>
      <c r="AZ8" s="38">
        <f>ROUND(AZ$11*'kWh Blocks by Rate Category'!H8,0)</f>
        <v>10649</v>
      </c>
      <c r="BA8" s="210">
        <f>SUM(AO8:AZ8)</f>
        <v>55637</v>
      </c>
      <c r="BB8" s="38">
        <v>16957</v>
      </c>
      <c r="BC8" s="38">
        <v>14946</v>
      </c>
      <c r="BD8" s="38">
        <v>14527</v>
      </c>
      <c r="BE8" s="38">
        <v>11256</v>
      </c>
      <c r="BF8" s="38">
        <f>ROUND(BF$11*'kWh Blocks by Rate Category'!N8,0)</f>
        <v>9789</v>
      </c>
      <c r="BG8" s="38">
        <f>ROUND(BG$11*'kWh Blocks by Rate Category'!O8,0)</f>
        <v>11813</v>
      </c>
      <c r="BH8" s="38">
        <f>ROUND(BH$11*'kWh Blocks by Rate Category'!P8,0)</f>
        <v>4685</v>
      </c>
      <c r="BI8" s="38">
        <f>ROUND(BI$11*'kWh Blocks by Rate Category'!Q8,0)</f>
        <v>10142</v>
      </c>
      <c r="BJ8" s="38">
        <f>ROUND(BJ$11*'kWh Blocks by Rate Category'!R8,0)</f>
        <v>10191</v>
      </c>
      <c r="BK8" s="38">
        <f>ROUND(BK$11*'kWh Blocks by Rate Category'!S8,0)</f>
        <v>9469</v>
      </c>
      <c r="BL8" s="38">
        <f>ROUND(BL$11*'kWh Blocks by Rate Category'!T8,0)</f>
        <v>10501</v>
      </c>
      <c r="BM8" s="38">
        <f>ROUND(BM$11*'kWh Blocks by Rate Category'!U8,0)</f>
        <v>10649</v>
      </c>
      <c r="BN8" s="210">
        <f>SUM(BB8:BM8)</f>
        <v>134925</v>
      </c>
      <c r="BO8" s="143">
        <f>IFERROR(ROUND((BN8/BN$11)*BO$11,0),0)</f>
        <v>134925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2496</v>
      </c>
      <c r="AV9" s="38">
        <f>ROUND(AV$11*'kWh Blocks by Rate Category'!D9,0)</f>
        <v>5404</v>
      </c>
      <c r="AW9" s="38">
        <f>ROUND(AW$11*'kWh Blocks by Rate Category'!E9,0)</f>
        <v>5430</v>
      </c>
      <c r="AX9" s="38">
        <f>ROUND(AX$11*'kWh Blocks by Rate Category'!F9,0)</f>
        <v>5045</v>
      </c>
      <c r="AY9" s="38">
        <f>ROUND(AY$11*'kWh Blocks by Rate Category'!G9,0)</f>
        <v>5595</v>
      </c>
      <c r="AZ9" s="38">
        <f>ROUND(AZ$11*'kWh Blocks by Rate Category'!H9,0)</f>
        <v>5674</v>
      </c>
      <c r="BA9" s="210">
        <f>SUM(AO9:AZ9)</f>
        <v>29644</v>
      </c>
      <c r="BB9" s="38">
        <v>9035</v>
      </c>
      <c r="BC9" s="38">
        <v>7964</v>
      </c>
      <c r="BD9" s="38">
        <v>7740</v>
      </c>
      <c r="BE9" s="38">
        <v>5998</v>
      </c>
      <c r="BF9" s="38">
        <f>ROUND(BF$11*'kWh Blocks by Rate Category'!N9,0)</f>
        <v>5216</v>
      </c>
      <c r="BG9" s="38">
        <f>ROUND(BG$11*'kWh Blocks by Rate Category'!O9,0)</f>
        <v>6294</v>
      </c>
      <c r="BH9" s="38">
        <f>ROUND(BH$11*'kWh Blocks by Rate Category'!P9,0)</f>
        <v>2496</v>
      </c>
      <c r="BI9" s="38">
        <f>ROUND(BI$11*'kWh Blocks by Rate Category'!Q9,0)</f>
        <v>5404</v>
      </c>
      <c r="BJ9" s="38">
        <f>ROUND(BJ$11*'kWh Blocks by Rate Category'!R9,0)</f>
        <v>5430</v>
      </c>
      <c r="BK9" s="38">
        <f>ROUND(BK$11*'kWh Blocks by Rate Category'!S9,0)</f>
        <v>5045</v>
      </c>
      <c r="BL9" s="38">
        <f>ROUND(BL$11*'kWh Blocks by Rate Category'!T9,0)</f>
        <v>5595</v>
      </c>
      <c r="BM9" s="38">
        <f>ROUND(BM$11*'kWh Blocks by Rate Category'!U9,0)</f>
        <v>5674</v>
      </c>
      <c r="BN9" s="210">
        <f>SUM(BB9:BM9)</f>
        <v>71891</v>
      </c>
      <c r="BO9" s="143">
        <f>IFERROR(ROUND((BN9/BN$11)*BO$11,0),0)</f>
        <v>71891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476</v>
      </c>
      <c r="AV10" s="38">
        <f>ROUND(AV$11*'kWh Blocks by Rate Category'!D10,0)</f>
        <v>1030</v>
      </c>
      <c r="AW10" s="38">
        <f>ROUND(AW$11*'kWh Blocks by Rate Category'!E10,0)</f>
        <v>1035</v>
      </c>
      <c r="AX10" s="38">
        <f>ROUND(AX$11*'kWh Blocks by Rate Category'!F10,0)</f>
        <v>962</v>
      </c>
      <c r="AY10" s="38">
        <f>ROUND(AY$11*'kWh Blocks by Rate Category'!G10,0)+1</f>
        <v>1068</v>
      </c>
      <c r="AZ10" s="38">
        <f>ROUND(AZ$11*'kWh Blocks by Rate Category'!H10,0)</f>
        <v>1082</v>
      </c>
      <c r="BA10" s="210">
        <f>SUM(AO10:AZ10)</f>
        <v>5653</v>
      </c>
      <c r="BB10" s="38">
        <v>1723</v>
      </c>
      <c r="BC10" s="38">
        <v>1519</v>
      </c>
      <c r="BD10" s="38">
        <v>1476</v>
      </c>
      <c r="BE10" s="38">
        <v>1144</v>
      </c>
      <c r="BF10" s="38">
        <f>ROUND(BF$11*'kWh Blocks by Rate Category'!N10,0)</f>
        <v>995</v>
      </c>
      <c r="BG10" s="38">
        <f>ROUND(BG$11*'kWh Blocks by Rate Category'!O10,0)</f>
        <v>1200</v>
      </c>
      <c r="BH10" s="38">
        <f>ROUND(BH$11*'kWh Blocks by Rate Category'!P10,0)</f>
        <v>476</v>
      </c>
      <c r="BI10" s="38">
        <f>ROUND(BI$11*'kWh Blocks by Rate Category'!Q10,0)</f>
        <v>1030</v>
      </c>
      <c r="BJ10" s="38">
        <f>ROUND(BJ$11*'kWh Blocks by Rate Category'!R10,0)</f>
        <v>1035</v>
      </c>
      <c r="BK10" s="38">
        <f>ROUND(BK$11*'kWh Blocks by Rate Category'!S10,0)</f>
        <v>962</v>
      </c>
      <c r="BL10" s="38">
        <f>ROUND(BL$11*'kWh Blocks by Rate Category'!T10,0)</f>
        <v>1067</v>
      </c>
      <c r="BM10" s="38">
        <f>ROUND(BM$11*'kWh Blocks by Rate Category'!U10,0)</f>
        <v>1082</v>
      </c>
      <c r="BN10" s="210">
        <f>SUM(BB10:BM10)</f>
        <v>13709</v>
      </c>
      <c r="BO10" s="143">
        <f>IFERROR(ROUND((BN10/BN$11)*BO$11,0),0)</f>
        <v>13709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7657</v>
      </c>
      <c r="AV11" s="64">
        <f t="shared" si="1"/>
        <v>16577</v>
      </c>
      <c r="AW11" s="64">
        <f t="shared" si="1"/>
        <v>16656</v>
      </c>
      <c r="AX11" s="64">
        <f t="shared" si="1"/>
        <v>15476</v>
      </c>
      <c r="AY11" s="64">
        <f t="shared" si="1"/>
        <v>17163</v>
      </c>
      <c r="AZ11" s="64">
        <f t="shared" si="1"/>
        <v>17405</v>
      </c>
      <c r="BA11" s="196">
        <f>SUM(AT11:AZ11)</f>
        <v>90934</v>
      </c>
      <c r="BB11" s="64">
        <v>27715</v>
      </c>
      <c r="BC11" s="64">
        <v>24428</v>
      </c>
      <c r="BD11" s="64">
        <v>23743</v>
      </c>
      <c r="BE11" s="64">
        <v>18397</v>
      </c>
      <c r="BF11" s="64">
        <f t="shared" ref="BF11:BM11" si="2">IFERROR(ROUND(BF12*BF7,0),0)</f>
        <v>16000</v>
      </c>
      <c r="BG11" s="64">
        <f t="shared" si="2"/>
        <v>19307</v>
      </c>
      <c r="BH11" s="64">
        <f t="shared" si="2"/>
        <v>7657</v>
      </c>
      <c r="BI11" s="64">
        <f t="shared" si="2"/>
        <v>16577</v>
      </c>
      <c r="BJ11" s="64">
        <f t="shared" si="2"/>
        <v>16656</v>
      </c>
      <c r="BK11" s="64">
        <f t="shared" si="2"/>
        <v>15476</v>
      </c>
      <c r="BL11" s="64">
        <f t="shared" si="2"/>
        <v>17163</v>
      </c>
      <c r="BM11" s="64">
        <f t="shared" si="2"/>
        <v>17405</v>
      </c>
      <c r="BN11" s="196">
        <f>SUM(BB11:BM11)</f>
        <v>220524</v>
      </c>
      <c r="BO11" s="147">
        <f>ROUND(BO7*BO12,0)</f>
        <v>220524</v>
      </c>
    </row>
    <row r="12" spans="1:67" ht="15" thickTop="1">
      <c r="A12" s="374" t="s">
        <v>54</v>
      </c>
      <c r="B12" s="84">
        <f>IF('kWh_Streetlight Data'!C40=0,"",'kWh_Streetlight Data'!C40)</f>
        <v>1245.5238095238096</v>
      </c>
      <c r="C12" s="108">
        <f>IF('kWh_Streetlight Data'!D40=0,"",'kWh_Streetlight Data'!D40)</f>
        <v>957.66666666666663</v>
      </c>
      <c r="D12" s="108">
        <f>IF('kWh_Streetlight Data'!E40=0,"",'kWh_Streetlight Data'!E40)</f>
        <v>866.90909090909088</v>
      </c>
      <c r="E12" s="108">
        <f>IF('kWh_Streetlight Data'!F40=0,"",'kWh_Streetlight Data'!F40)</f>
        <v>733.36</v>
      </c>
      <c r="F12" s="108">
        <f>IF('kWh_Streetlight Data'!G40=0,"",'kWh_Streetlight Data'!G40)</f>
        <v>553.39130434782612</v>
      </c>
      <c r="G12" s="108">
        <f>IF('kWh_Streetlight Data'!H40=0,"",'kWh_Streetlight Data'!H40)</f>
        <v>582.96</v>
      </c>
      <c r="H12" s="108">
        <f>IF('kWh_Streetlight Data'!I40=0,"",'kWh_Streetlight Data'!I40)</f>
        <v>62.684210526315788</v>
      </c>
      <c r="I12" s="108">
        <f>IF('kWh_Streetlight Data'!J40=0,"",'kWh_Streetlight Data'!J40)</f>
        <v>551.73076923076928</v>
      </c>
      <c r="J12" s="108">
        <f>IF('kWh_Streetlight Data'!K40=0,"",'kWh_Streetlight Data'!K40)</f>
        <v>595.03846153846155</v>
      </c>
      <c r="K12" s="108">
        <f>IF('kWh_Streetlight Data'!L40=0,"",'kWh_Streetlight Data'!L40)</f>
        <v>544.07692307692309</v>
      </c>
      <c r="L12" s="108">
        <f>IF('kWh_Streetlight Data'!M40=0,"",'kWh_Streetlight Data'!M40)</f>
        <v>656.12</v>
      </c>
      <c r="M12" s="108">
        <f>IF('kWh_Streetlight Data'!N40=0,"",'kWh_Streetlight Data'!N40)</f>
        <v>774.28571428571433</v>
      </c>
      <c r="N12" s="424">
        <f>IF('kWh_Streetlight Data'!O40=0,"",'kWh_Streetlight Data'!O40)</f>
        <v>635.39130434782612</v>
      </c>
      <c r="O12" s="84">
        <f>IF('kWh_Streetlight Data'!P40=0,"",'kWh_Streetlight Data'!P40)</f>
        <v>911.19047619047615</v>
      </c>
      <c r="P12" s="108">
        <f>IF('kWh_Streetlight Data'!Q40=0,"",'kWh_Streetlight Data'!Q40)</f>
        <v>867.52380952380952</v>
      </c>
      <c r="Q12" s="108">
        <f>IF('kWh_Streetlight Data'!R40=0,"",'kWh_Streetlight Data'!R40)</f>
        <v>877.95</v>
      </c>
      <c r="R12" s="108">
        <f>IF('kWh_Streetlight Data'!S40=0,"",'kWh_Streetlight Data'!S40)</f>
        <v>507.08695652173913</v>
      </c>
      <c r="S12" s="108">
        <f>IF('kWh_Streetlight Data'!T40=0,"",'kWh_Streetlight Data'!T40)</f>
        <v>530.23809523809518</v>
      </c>
      <c r="T12" s="108">
        <f>IF('kWh_Streetlight Data'!U40=0,"",'kWh_Streetlight Data'!U40)</f>
        <v>594.52</v>
      </c>
      <c r="U12" s="108">
        <f>IF('kWh_Streetlight Data'!V40=0,"",'kWh_Streetlight Data'!V40)</f>
        <v>478.04</v>
      </c>
      <c r="V12" s="108">
        <f>IF('kWh_Streetlight Data'!W40=0,"",'kWh_Streetlight Data'!W40)</f>
        <v>561.58333333333337</v>
      </c>
      <c r="W12" s="108">
        <f>IF('kWh_Streetlight Data'!X40=0,"",'kWh_Streetlight Data'!X40)</f>
        <v>535.33333333333337</v>
      </c>
      <c r="X12" s="108">
        <f>IF('kWh_Streetlight Data'!Y40=0,"",'kWh_Streetlight Data'!Y40)</f>
        <v>530.91666666666663</v>
      </c>
      <c r="Y12" s="108">
        <f>IF('kWh_Streetlight Data'!Z40=0,"",'kWh_Streetlight Data'!Z40)</f>
        <v>552.56521739130437</v>
      </c>
      <c r="Z12" s="108">
        <f>IF('kWh_Streetlight Data'!AA40=0,"",'kWh_Streetlight Data'!AA40)</f>
        <v>594.38095238095241</v>
      </c>
      <c r="AA12" s="424">
        <f>IF('kWh_Streetlight Data'!AB40=0,"",'kWh_Streetlight Data'!AB40)</f>
        <v>620.52573529411768</v>
      </c>
      <c r="AB12" s="129">
        <f>IF('kWh_Streetlight Data'!AC40=0,"",'kWh_Streetlight Data'!AC40)</f>
        <v>812.7</v>
      </c>
      <c r="AC12" s="130">
        <f>IF('kWh_Streetlight Data'!AD40=0,"",'kWh_Streetlight Data'!AD40)</f>
        <v>792.05</v>
      </c>
      <c r="AD12" s="130">
        <f>IF('kWh_Streetlight Data'!AE40=0,"",'kWh_Streetlight Data'!AE40)</f>
        <v>799.05</v>
      </c>
      <c r="AE12" s="130">
        <f>IF('kWh_Streetlight Data'!AF40=0,"",'kWh_Streetlight Data'!AF40)</f>
        <v>730.7</v>
      </c>
      <c r="AF12" s="130">
        <f>IF('kWh_Streetlight Data'!AG40=0,"",'kWh_Streetlight Data'!AG40)</f>
        <v>630.61904761904759</v>
      </c>
      <c r="AG12" s="130">
        <f>IF('kWh_Streetlight Data'!AH40=0,"",'kWh_Streetlight Data'!AH40)</f>
        <v>891.09523809523807</v>
      </c>
      <c r="AH12" s="108">
        <f>IF('kWh_Streetlight Data'!AI40=0,"",'kWh_Streetlight Data'!AI40)</f>
        <v>279.6521739130435</v>
      </c>
      <c r="AI12" s="108">
        <f>IF('kWh_Streetlight Data'!AJ40=0,"",'kWh_Streetlight Data'!AJ40)</f>
        <v>662.82608695652175</v>
      </c>
      <c r="AJ12" s="108">
        <f>IF('kWh_Streetlight Data'!AK40=0,"",'kWh_Streetlight Data'!AK40)</f>
        <v>654.17391304347825</v>
      </c>
      <c r="AK12" s="108">
        <f>IF('kWh_Streetlight Data'!AL40=0,"",'kWh_Streetlight Data'!AL40)</f>
        <v>583.13043478260875</v>
      </c>
      <c r="AL12" s="108">
        <f>IF('kWh_Streetlight Data'!AM40=0,"",'kWh_Streetlight Data'!AM40)</f>
        <v>630.23809523809518</v>
      </c>
      <c r="AM12" s="108">
        <f>IF('kWh_Streetlight Data'!AN40=0,"",'kWh_Streetlight Data'!AN40)</f>
        <v>496.15</v>
      </c>
      <c r="AN12" s="426">
        <f>IF('kWh_Streetlight Data'!AO40=0,"",'kWh_Streetlight Data'!AO40)</f>
        <v>658.58431372549023</v>
      </c>
      <c r="AO12" s="34"/>
      <c r="AP12" s="35"/>
      <c r="AQ12" s="35"/>
      <c r="AR12" s="35"/>
      <c r="AS12" s="35"/>
      <c r="AT12" s="17"/>
      <c r="AU12" s="17">
        <f t="shared" ref="AU12:AZ12" si="3">IFERROR(AVERAGE(AH12,U12,H12),0)</f>
        <v>273.45879481311977</v>
      </c>
      <c r="AV12" s="17">
        <f t="shared" si="3"/>
        <v>592.04672984020806</v>
      </c>
      <c r="AW12" s="17">
        <f t="shared" si="3"/>
        <v>594.84856930509102</v>
      </c>
      <c r="AX12" s="17">
        <f t="shared" si="3"/>
        <v>552.70800817539953</v>
      </c>
      <c r="AY12" s="17">
        <f t="shared" si="3"/>
        <v>612.97443754313315</v>
      </c>
      <c r="AZ12" s="17">
        <f t="shared" si="3"/>
        <v>621.6055555555555</v>
      </c>
      <c r="BA12" s="211"/>
      <c r="BB12" s="17">
        <v>989.80476190476202</v>
      </c>
      <c r="BC12" s="17">
        <v>872.41349206349207</v>
      </c>
      <c r="BD12" s="17">
        <v>847.969696969697</v>
      </c>
      <c r="BE12" s="17">
        <v>657.04898550724636</v>
      </c>
      <c r="BF12" s="17">
        <f t="shared" ref="BF12:BM12" si="4">IFERROR(AVERAGE(F12,S12,AF12),0)</f>
        <v>571.41614906832308</v>
      </c>
      <c r="BG12" s="17">
        <f t="shared" si="4"/>
        <v>689.52507936507936</v>
      </c>
      <c r="BH12" s="17">
        <f t="shared" si="4"/>
        <v>273.45879481311977</v>
      </c>
      <c r="BI12" s="17">
        <f t="shared" si="4"/>
        <v>592.04672984020806</v>
      </c>
      <c r="BJ12" s="17">
        <f t="shared" si="4"/>
        <v>594.84856930509102</v>
      </c>
      <c r="BK12" s="17">
        <f t="shared" si="4"/>
        <v>552.70800817539953</v>
      </c>
      <c r="BL12" s="17">
        <f t="shared" si="4"/>
        <v>612.97443754313315</v>
      </c>
      <c r="BM12" s="17">
        <f t="shared" si="4"/>
        <v>621.6055555555555</v>
      </c>
      <c r="BN12" s="211">
        <f>IFERROR(BN11/SUM(BB7:BM7)*12,0)</f>
        <v>7875.8571428571431</v>
      </c>
      <c r="BO12" s="20">
        <f>BN12</f>
        <v>7875.8571428571431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09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08"/>
      <c r="AI20" s="108"/>
      <c r="AJ20" s="108"/>
      <c r="AK20" s="108"/>
      <c r="AL20" s="108"/>
      <c r="AM20" s="108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96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83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95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09">
        <f>Customers!E19</f>
        <v>56</v>
      </c>
      <c r="AV22" s="109">
        <f>Customers!F19</f>
        <v>56</v>
      </c>
      <c r="AW22" s="109">
        <f>Customers!G19</f>
        <v>56</v>
      </c>
      <c r="AX22" s="109">
        <f>Customers!H19</f>
        <v>56</v>
      </c>
      <c r="AY22" s="109">
        <f>Customers!I19</f>
        <v>56</v>
      </c>
      <c r="AZ22" s="109">
        <f>Customers!J19</f>
        <v>56</v>
      </c>
      <c r="BA22" s="210">
        <f>AZ22</f>
        <v>56</v>
      </c>
      <c r="BB22" s="109">
        <v>56</v>
      </c>
      <c r="BC22" s="38">
        <v>56</v>
      </c>
      <c r="BD22" s="38">
        <v>56</v>
      </c>
      <c r="BE22" s="38">
        <v>56</v>
      </c>
      <c r="BF22" s="38">
        <f t="shared" ref="BF22:BM22" si="5">BE22</f>
        <v>56</v>
      </c>
      <c r="BG22" s="38">
        <f t="shared" si="5"/>
        <v>56</v>
      </c>
      <c r="BH22" s="38">
        <f t="shared" si="5"/>
        <v>56</v>
      </c>
      <c r="BI22" s="38">
        <f t="shared" si="5"/>
        <v>56</v>
      </c>
      <c r="BJ22" s="38">
        <f t="shared" si="5"/>
        <v>56</v>
      </c>
      <c r="BK22" s="38">
        <f t="shared" si="5"/>
        <v>56</v>
      </c>
      <c r="BL22" s="38">
        <f t="shared" si="5"/>
        <v>56</v>
      </c>
      <c r="BM22" s="38">
        <f t="shared" si="5"/>
        <v>56</v>
      </c>
      <c r="BN22" s="210">
        <f>IFERROR(ROUND(AVERAGE(BB22:BM22),0),0)</f>
        <v>56</v>
      </c>
      <c r="BO22" s="133">
        <f>Customers!L19</f>
        <v>56</v>
      </c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95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>
        <f>ROUND(AU$26*'kWh Blocks by Rate Category'!C22,0)</f>
        <v>28347</v>
      </c>
      <c r="AV23" s="38"/>
      <c r="AW23" s="38"/>
      <c r="AX23" s="38">
        <f>ROUND(AX$26*'kWh Blocks by Rate Category'!F22,0)</f>
        <v>41466</v>
      </c>
      <c r="AY23" s="38"/>
      <c r="AZ23" s="38"/>
      <c r="BA23" s="210">
        <f>SUM(AO23:AZ23)</f>
        <v>69813</v>
      </c>
      <c r="BB23" s="38">
        <v>24793</v>
      </c>
      <c r="BC23" s="38">
        <v>0</v>
      </c>
      <c r="BD23" s="38">
        <v>0</v>
      </c>
      <c r="BE23" s="38">
        <v>17015</v>
      </c>
      <c r="BF23" s="38">
        <f>ROUND(BF$26*'kWh Blocks by Rate Category'!N22,0)</f>
        <v>0</v>
      </c>
      <c r="BG23" s="38">
        <f>ROUND(BG$26*'kWh Blocks by Rate Category'!O22,0)</f>
        <v>0</v>
      </c>
      <c r="BH23" s="38">
        <f>ROUND(BH$26*'kWh Blocks by Rate Category'!P22,0)</f>
        <v>28347</v>
      </c>
      <c r="BI23" s="38">
        <f>ROUND(BI$26*'kWh Blocks by Rate Category'!Q22,0)</f>
        <v>0</v>
      </c>
      <c r="BJ23" s="38">
        <f>ROUND(BJ$26*'kWh Blocks by Rate Category'!R22,0)</f>
        <v>0</v>
      </c>
      <c r="BK23" s="38">
        <f>ROUND(BK$26*'kWh Blocks by Rate Category'!S22,0)</f>
        <v>41466</v>
      </c>
      <c r="BL23" s="38">
        <f>ROUND(BL$26*'kWh Blocks by Rate Category'!T22,0)</f>
        <v>0</v>
      </c>
      <c r="BM23" s="38">
        <f>ROUND(BM$26*'kWh Blocks by Rate Category'!U22,0)</f>
        <v>0</v>
      </c>
      <c r="BN23" s="210">
        <f>SUM(BB23:BM23)</f>
        <v>111621</v>
      </c>
      <c r="BO23" s="143">
        <f>ROUND(BO$26*'kWh Blocks by Rate Category'!W22,0)</f>
        <v>111620</v>
      </c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95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>
        <f>ROUND(AU$26*'kWh Blocks by Rate Category'!C23,0)</f>
        <v>9600</v>
      </c>
      <c r="AV24" s="38"/>
      <c r="AW24" s="38"/>
      <c r="AX24" s="38">
        <f>ROUND(AX$26*'kWh Blocks by Rate Category'!F23,0)</f>
        <v>14043</v>
      </c>
      <c r="AY24" s="38"/>
      <c r="AZ24" s="38"/>
      <c r="BA24" s="210">
        <f>SUM(AO24:AZ24)</f>
        <v>23643</v>
      </c>
      <c r="BB24" s="38">
        <v>8396</v>
      </c>
      <c r="BC24" s="38">
        <v>0</v>
      </c>
      <c r="BD24" s="38">
        <v>0</v>
      </c>
      <c r="BE24" s="38">
        <v>5762</v>
      </c>
      <c r="BF24" s="38">
        <f>ROUND(BF$26*'kWh Blocks by Rate Category'!N23,0)</f>
        <v>0</v>
      </c>
      <c r="BG24" s="38">
        <f>ROUND(BG$26*'kWh Blocks by Rate Category'!O23,0)</f>
        <v>0</v>
      </c>
      <c r="BH24" s="38">
        <f>ROUND(BH$26*'kWh Blocks by Rate Category'!P23,0)</f>
        <v>9600</v>
      </c>
      <c r="BI24" s="38">
        <f>ROUND(BI$26*'kWh Blocks by Rate Category'!Q23,0)</f>
        <v>0</v>
      </c>
      <c r="BJ24" s="38">
        <f>ROUND(BJ$26*'kWh Blocks by Rate Category'!R23,0)</f>
        <v>0</v>
      </c>
      <c r="BK24" s="38">
        <f>ROUND(BK$26*'kWh Blocks by Rate Category'!S23,0)</f>
        <v>14043</v>
      </c>
      <c r="BL24" s="38">
        <f>ROUND(BL$26*'kWh Blocks by Rate Category'!T23,0)</f>
        <v>0</v>
      </c>
      <c r="BM24" s="38">
        <f>ROUND(BM$26*'kWh Blocks by Rate Category'!U23,0)</f>
        <v>0</v>
      </c>
      <c r="BN24" s="210">
        <f>SUM(BB24:BM24)</f>
        <v>37801</v>
      </c>
      <c r="BO24" s="143">
        <f>ROUND(BO$26*'kWh Blocks by Rate Category'!W23,0)</f>
        <v>37800</v>
      </c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95"/>
      <c r="AB25" s="177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8">
        <f>ROUND(AU$26*'kWh Blocks by Rate Category'!C24,0)</f>
        <v>5044</v>
      </c>
      <c r="AV25" s="38"/>
      <c r="AW25" s="38"/>
      <c r="AX25" s="38">
        <f>ROUND(AX$26*'kWh Blocks by Rate Category'!F24,0)</f>
        <v>7378</v>
      </c>
      <c r="AY25" s="38"/>
      <c r="AZ25" s="38"/>
      <c r="BA25" s="210">
        <f>SUM(AO25:AZ25)</f>
        <v>12422</v>
      </c>
      <c r="BB25" s="38">
        <v>4412</v>
      </c>
      <c r="BC25" s="38">
        <v>0</v>
      </c>
      <c r="BD25" s="38">
        <v>0</v>
      </c>
      <c r="BE25" s="38">
        <v>3027</v>
      </c>
      <c r="BF25" s="38">
        <f>ROUND(BF$26*'kWh Blocks by Rate Category'!N24,0)</f>
        <v>0</v>
      </c>
      <c r="BG25" s="38">
        <f>ROUND(BG$26*'kWh Blocks by Rate Category'!O24,0)</f>
        <v>0</v>
      </c>
      <c r="BH25" s="38">
        <f>ROUND(BH$26*'kWh Blocks by Rate Category'!P24,0)</f>
        <v>5044</v>
      </c>
      <c r="BI25" s="38">
        <f>ROUND(BI$26*'kWh Blocks by Rate Category'!Q24,0)</f>
        <v>0</v>
      </c>
      <c r="BJ25" s="38">
        <f>ROUND(BJ$26*'kWh Blocks by Rate Category'!R24,0)</f>
        <v>0</v>
      </c>
      <c r="BK25" s="38">
        <f>ROUND(BK$26*'kWh Blocks by Rate Category'!S24,0)</f>
        <v>7378</v>
      </c>
      <c r="BL25" s="38">
        <f>ROUND(BL$26*'kWh Blocks by Rate Category'!T24,0)</f>
        <v>0</v>
      </c>
      <c r="BM25" s="38">
        <f>ROUND(BM$26*'kWh Blocks by Rate Category'!U24,0)</f>
        <v>0</v>
      </c>
      <c r="BN25" s="210">
        <f>SUM(BB25:BM25)</f>
        <v>19861</v>
      </c>
      <c r="BO25" s="156">
        <f>ROUND(BO$26*'kWh Blocks by Rate Category'!W24,0)</f>
        <v>19861</v>
      </c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6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>
        <f t="shared" ref="AU26" si="6">IFERROR(ROUND(AU27*AU22,0),0)</f>
        <v>42990</v>
      </c>
      <c r="AV26" s="64"/>
      <c r="AW26" s="64"/>
      <c r="AX26" s="64">
        <f t="shared" ref="AX26" si="7">IFERROR(ROUND(AX27*AX22,0),0)</f>
        <v>62887</v>
      </c>
      <c r="AY26" s="64"/>
      <c r="AZ26" s="64"/>
      <c r="BA26" s="196">
        <f>SUM(AO26:AZ26)</f>
        <v>105877</v>
      </c>
      <c r="BB26" s="64">
        <v>37601</v>
      </c>
      <c r="BC26" s="64">
        <v>0</v>
      </c>
      <c r="BD26" s="274"/>
      <c r="BE26" s="64">
        <v>25804</v>
      </c>
      <c r="BF26" s="64">
        <f t="shared" ref="BF26:BM26" si="8">IFERROR(ROUND(BF27*BF22,0),0)</f>
        <v>0</v>
      </c>
      <c r="BG26" s="274"/>
      <c r="BH26" s="64">
        <f t="shared" si="8"/>
        <v>42990</v>
      </c>
      <c r="BI26" s="274"/>
      <c r="BJ26" s="274"/>
      <c r="BK26" s="64">
        <f t="shared" si="8"/>
        <v>62887</v>
      </c>
      <c r="BL26" s="274"/>
      <c r="BM26" s="64">
        <f t="shared" si="8"/>
        <v>0</v>
      </c>
      <c r="BN26" s="196">
        <f>SUM(BB26:BM26)</f>
        <v>169282</v>
      </c>
      <c r="BO26" s="333">
        <f>ROUND(BO22*BO27,0)</f>
        <v>169282</v>
      </c>
    </row>
    <row r="27" spans="1:67" s="1" customFormat="1" ht="15" thickTop="1">
      <c r="A27" s="143" t="s">
        <v>54</v>
      </c>
      <c r="B27" s="84">
        <f>IF('kWh_Streetlight Data'!C41=0,"",'kWh_Streetlight Data'!C41)</f>
        <v>936.2641509433962</v>
      </c>
      <c r="C27" s="108" t="str">
        <f>IF('kWh_Streetlight Data'!D41=0,"",'kWh_Streetlight Data'!D41)</f>
        <v/>
      </c>
      <c r="D27" s="108" t="str">
        <f>IF('kWh_Streetlight Data'!E41=0,"",'kWh_Streetlight Data'!E41)</f>
        <v/>
      </c>
      <c r="E27" s="108">
        <f>IF('kWh_Streetlight Data'!F41=0,"",'kWh_Streetlight Data'!F41)</f>
        <v>705.5</v>
      </c>
      <c r="F27" s="108" t="str">
        <f>IF('kWh_Streetlight Data'!G41=0,"",'kWh_Streetlight Data'!G41)</f>
        <v/>
      </c>
      <c r="G27" s="108" t="str">
        <f>IF('kWh_Streetlight Data'!H41=0,"",'kWh_Streetlight Data'!H41)</f>
        <v/>
      </c>
      <c r="H27" s="108">
        <f>IF('kWh_Streetlight Data'!I41=0,"",'kWh_Streetlight Data'!I41)</f>
        <v>751.1960784313726</v>
      </c>
      <c r="I27" s="108" t="str">
        <f>IF('kWh_Streetlight Data'!J41=0,"",'kWh_Streetlight Data'!J41)</f>
        <v/>
      </c>
      <c r="J27" s="108" t="str">
        <f>IF('kWh_Streetlight Data'!K41=0,"",'kWh_Streetlight Data'!K41)</f>
        <v/>
      </c>
      <c r="K27" s="108">
        <f>IF('kWh_Streetlight Data'!L41=0,"",'kWh_Streetlight Data'!L41)</f>
        <v>1116.6181818181817</v>
      </c>
      <c r="L27" s="108" t="str">
        <f>IF('kWh_Streetlight Data'!M41=0,"",'kWh_Streetlight Data'!M41)</f>
        <v/>
      </c>
      <c r="M27" s="108" t="str">
        <f>IF('kWh_Streetlight Data'!N41=0,"",'kWh_Streetlight Data'!N41)</f>
        <v/>
      </c>
      <c r="N27" s="424">
        <f>IF('kWh_Streetlight Data'!O41=0,"",'kWh_Streetlight Data'!O41)</f>
        <v>894.75401069518716</v>
      </c>
      <c r="O27" s="84">
        <f>IF('kWh_Streetlight Data'!P41=0,"",'kWh_Streetlight Data'!P41)</f>
        <v>740.98039215686276</v>
      </c>
      <c r="P27" s="108" t="str">
        <f>IF('kWh_Streetlight Data'!Q41=0,"",'kWh_Streetlight Data'!Q41)</f>
        <v/>
      </c>
      <c r="Q27" s="108" t="str">
        <f>IF('kWh_Streetlight Data'!R41=0,"",'kWh_Streetlight Data'!R41)</f>
        <v/>
      </c>
      <c r="R27" s="108">
        <f>IF('kWh_Streetlight Data'!S41=0,"",'kWh_Streetlight Data'!S41)</f>
        <v>604.48648648648646</v>
      </c>
      <c r="S27" s="108" t="str">
        <f>IF('kWh_Streetlight Data'!T41=0,"",'kWh_Streetlight Data'!T41)</f>
        <v/>
      </c>
      <c r="T27" s="108" t="str">
        <f>IF('kWh_Streetlight Data'!U41=0,"",'kWh_Streetlight Data'!U41)</f>
        <v/>
      </c>
      <c r="U27" s="108">
        <f>IF('kWh_Streetlight Data'!V41=0,"",'kWh_Streetlight Data'!V41)</f>
        <v>804.31578947368416</v>
      </c>
      <c r="V27" s="108" t="str">
        <f>IF('kWh_Streetlight Data'!W41=0,"",'kWh_Streetlight Data'!W41)</f>
        <v/>
      </c>
      <c r="W27" s="108" t="str">
        <f>IF('kWh_Streetlight Data'!X41=0,"",'kWh_Streetlight Data'!X41)</f>
        <v/>
      </c>
      <c r="X27" s="108">
        <f>IF('kWh_Streetlight Data'!Y41=0,"",'kWh_Streetlight Data'!Y41)</f>
        <v>1128.1454545454546</v>
      </c>
      <c r="Y27" s="108" t="str">
        <f>IF('kWh_Streetlight Data'!Z41=0,"",'kWh_Streetlight Data'!Z41)</f>
        <v/>
      </c>
      <c r="Z27" s="108" t="str">
        <f>IF('kWh_Streetlight Data'!AA41=0,"",'kWh_Streetlight Data'!AA41)</f>
        <v/>
      </c>
      <c r="AA27" s="424">
        <f>IF('kWh_Streetlight Data'!AB41=0,"",'kWh_Streetlight Data'!AB41)</f>
        <v>830.30049261083741</v>
      </c>
      <c r="AB27" s="129">
        <f>IF('kWh_Streetlight Data'!AC41=0,"",'kWh_Streetlight Data'!AC41)</f>
        <v>637.06976744186045</v>
      </c>
      <c r="AC27" s="130" t="str">
        <f>IF('kWh_Streetlight Data'!AD41=0,"",'kWh_Streetlight Data'!AD41)</f>
        <v/>
      </c>
      <c r="AD27" s="130" t="str">
        <f>IF('kWh_Streetlight Data'!AE41=0,"",'kWh_Streetlight Data'!AE41)</f>
        <v/>
      </c>
      <c r="AE27" s="130">
        <f>IF('kWh_Streetlight Data'!AF41=0,"",'kWh_Streetlight Data'!AF41)</f>
        <v>372.38888888888891</v>
      </c>
      <c r="AF27" s="130" t="str">
        <f>IF('kWh_Streetlight Data'!AG41=0,"",'kWh_Streetlight Data'!AG41)</f>
        <v/>
      </c>
      <c r="AG27" s="130" t="str">
        <f>IF('kWh_Streetlight Data'!AH41=0,"",'kWh_Streetlight Data'!AH41)</f>
        <v/>
      </c>
      <c r="AH27" s="130">
        <f>IF('kWh_Streetlight Data'!AI41=0,"",'kWh_Streetlight Data'!AI41)</f>
        <v>747.5</v>
      </c>
      <c r="AI27" s="130" t="str">
        <f>IF('kWh_Streetlight Data'!AJ41=0,"",'kWh_Streetlight Data'!AJ41)</f>
        <v/>
      </c>
      <c r="AJ27" s="130" t="str">
        <f>IF('kWh_Streetlight Data'!AK41=0,"",'kWh_Streetlight Data'!AK41)</f>
        <v/>
      </c>
      <c r="AK27" s="130">
        <f>IF('kWh_Streetlight Data'!AL41=0,"",'kWh_Streetlight Data'!AL41)</f>
        <v>1124.1636363636364</v>
      </c>
      <c r="AL27" s="130" t="str">
        <f>IF('kWh_Streetlight Data'!AM41=0,"",'kWh_Streetlight Data'!AM41)</f>
        <v/>
      </c>
      <c r="AM27" s="130" t="str">
        <f>IF('kWh_Streetlight Data'!AN41=0,"",'kWh_Streetlight Data'!AN41)</f>
        <v/>
      </c>
      <c r="AN27" s="426">
        <f>IF('kWh_Streetlight Data'!AO41=0,"",'kWh_Streetlight Data'!AO41)</f>
        <v>728.41346153846155</v>
      </c>
      <c r="AO27" s="100"/>
      <c r="AP27" s="87"/>
      <c r="AQ27" s="87"/>
      <c r="AR27" s="87"/>
      <c r="AS27" s="87"/>
      <c r="AT27" s="17"/>
      <c r="AU27" s="17">
        <f t="shared" ref="AU27" si="9">IFERROR(AVERAGE(AH27,U27,H27),0)</f>
        <v>767.67062263501884</v>
      </c>
      <c r="AV27" s="17"/>
      <c r="AW27" s="17"/>
      <c r="AX27" s="17">
        <f t="shared" ref="AX27" si="10">IFERROR(AVERAGE(AK27,X27,K27),0)</f>
        <v>1122.9757575757576</v>
      </c>
      <c r="AY27" s="17"/>
      <c r="AZ27" s="17"/>
      <c r="BA27" s="211">
        <f>IFERROR(BA26/SUM(AO22:AZ22),0)</f>
        <v>315.11011904761904</v>
      </c>
      <c r="BB27" s="416">
        <v>671.43810351403988</v>
      </c>
      <c r="BC27" s="17"/>
      <c r="BD27" s="17"/>
      <c r="BE27" s="416">
        <v>460.79179179179175</v>
      </c>
      <c r="BF27" s="17"/>
      <c r="BG27" s="17"/>
      <c r="BH27" s="417">
        <f>IFERROR(AVERAGE(H27,U27,AH27),0)</f>
        <v>767.67062263501884</v>
      </c>
      <c r="BI27" s="17"/>
      <c r="BJ27" s="17"/>
      <c r="BK27" s="415">
        <f>IFERROR(AVERAGE(K27,X27,AK27),0)</f>
        <v>1122.9757575757576</v>
      </c>
      <c r="BL27" s="17"/>
      <c r="BM27" s="17"/>
      <c r="BN27" s="211">
        <f>IFERROR(BN26/SUM(BB22:BM22)*12,0)</f>
        <v>3022.8928571428573</v>
      </c>
      <c r="BO27" s="273">
        <f>BN27</f>
        <v>3022.8928571428573</v>
      </c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96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95"/>
      <c r="AB29" s="365"/>
      <c r="AN29" s="336"/>
      <c r="AO29" s="150"/>
      <c r="AP29" s="87"/>
      <c r="AQ29" s="87"/>
      <c r="AR29" s="87"/>
      <c r="AS29" s="87"/>
      <c r="AT29" s="39"/>
      <c r="AU29" s="109">
        <f>Customers!D20</f>
        <v>7</v>
      </c>
      <c r="AV29" s="109">
        <f>Customers!E20</f>
        <v>7</v>
      </c>
      <c r="AW29" s="109">
        <f>Customers!F20</f>
        <v>7</v>
      </c>
      <c r="AX29" s="109">
        <f>Customers!G20</f>
        <v>7</v>
      </c>
      <c r="AY29" s="109">
        <f>Customers!H20</f>
        <v>7</v>
      </c>
      <c r="AZ29" s="109">
        <f>Customers!I20</f>
        <v>7</v>
      </c>
      <c r="BA29" s="210">
        <f>AZ29</f>
        <v>7</v>
      </c>
      <c r="BB29" s="109">
        <v>7</v>
      </c>
      <c r="BC29" s="38">
        <v>7</v>
      </c>
      <c r="BD29" s="38">
        <v>7</v>
      </c>
      <c r="BE29" s="38">
        <v>7</v>
      </c>
      <c r="BF29" s="38">
        <f t="shared" ref="BF29:BM29" si="11">BE29</f>
        <v>7</v>
      </c>
      <c r="BG29" s="38">
        <f t="shared" si="11"/>
        <v>7</v>
      </c>
      <c r="BH29" s="38">
        <f t="shared" si="11"/>
        <v>7</v>
      </c>
      <c r="BI29" s="38">
        <f t="shared" si="11"/>
        <v>7</v>
      </c>
      <c r="BJ29" s="38">
        <f t="shared" si="11"/>
        <v>7</v>
      </c>
      <c r="BK29" s="38">
        <f t="shared" si="11"/>
        <v>7</v>
      </c>
      <c r="BL29" s="38">
        <f t="shared" si="11"/>
        <v>7</v>
      </c>
      <c r="BM29" s="38">
        <f t="shared" si="11"/>
        <v>7</v>
      </c>
      <c r="BN29" s="210">
        <f>IFERROR(ROUND(AVERAGE(BB29:BM29),0),0)</f>
        <v>7</v>
      </c>
      <c r="BO29" s="90">
        <f>Customers!L20</f>
        <v>7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95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>
        <f t="shared" ref="AU30:AZ30" si="12">AU33</f>
        <v>6409</v>
      </c>
      <c r="AV30" s="39">
        <f t="shared" si="12"/>
        <v>7350</v>
      </c>
      <c r="AW30" s="39">
        <f t="shared" si="12"/>
        <v>7044</v>
      </c>
      <c r="AX30" s="39">
        <f t="shared" si="12"/>
        <v>7536</v>
      </c>
      <c r="AY30" s="39">
        <f t="shared" si="12"/>
        <v>10559</v>
      </c>
      <c r="AZ30" s="39">
        <f t="shared" si="12"/>
        <v>13069</v>
      </c>
      <c r="BA30" s="210">
        <f>SUM(AO30:AZ30)</f>
        <v>51967</v>
      </c>
      <c r="BB30" s="38">
        <v>16566</v>
      </c>
      <c r="BC30" s="38">
        <v>17111</v>
      </c>
      <c r="BD30" s="38">
        <v>15671</v>
      </c>
      <c r="BE30" s="38">
        <v>8837</v>
      </c>
      <c r="BF30" s="38">
        <f>ROUND(BF$33*'kWh Blocks by Rate Category'!N29,0)</f>
        <v>9677</v>
      </c>
      <c r="BG30" s="38">
        <f>ROUND(BG$33*'kWh Blocks by Rate Category'!O29,0)</f>
        <v>6590</v>
      </c>
      <c r="BH30" s="38">
        <f>ROUND(BH$33*'kWh Blocks by Rate Category'!P29,0)</f>
        <v>5852</v>
      </c>
      <c r="BI30" s="38">
        <f>ROUND(BI$33*'kWh Blocks by Rate Category'!Q29,0)</f>
        <v>6711</v>
      </c>
      <c r="BJ30" s="38">
        <f>ROUND(BJ$33*'kWh Blocks by Rate Category'!R29,0)</f>
        <v>6432</v>
      </c>
      <c r="BK30" s="38">
        <f>ROUND(BK$33*'kWh Blocks by Rate Category'!S29,0)</f>
        <v>6881</v>
      </c>
      <c r="BL30" s="38">
        <f>ROUND(BL$33*'kWh Blocks by Rate Category'!T29,0)</f>
        <v>9641</v>
      </c>
      <c r="BM30" s="38">
        <f>ROUND(BM$33*'kWh Blocks by Rate Category'!U29,0)</f>
        <v>11933</v>
      </c>
      <c r="BN30" s="210">
        <f>SUM(BB30:BM30)</f>
        <v>121902</v>
      </c>
      <c r="BO30" s="143">
        <f>ROUND(BO$33*'kWh Blocks by Rate Category'!W29,0)</f>
        <v>121900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95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8"/>
      <c r="AV31" s="38"/>
      <c r="AW31" s="38"/>
      <c r="AX31" s="38"/>
      <c r="AY31" s="38"/>
      <c r="AZ31" s="38"/>
      <c r="BA31" s="210">
        <f>SUM(AO31:AZ31)</f>
        <v>0</v>
      </c>
      <c r="BB31" s="38">
        <v>1577</v>
      </c>
      <c r="BC31" s="38">
        <v>1629</v>
      </c>
      <c r="BD31" s="38">
        <v>1492</v>
      </c>
      <c r="BE31" s="38">
        <v>841</v>
      </c>
      <c r="BF31" s="38">
        <f>ROUND(BF$33*'kWh Blocks by Rate Category'!N30,0)</f>
        <v>921</v>
      </c>
      <c r="BG31" s="38">
        <f>ROUND(BG$33*'kWh Blocks by Rate Category'!O30,0)</f>
        <v>628</v>
      </c>
      <c r="BH31" s="38">
        <f>ROUND(BH$33*'kWh Blocks by Rate Category'!P30,0)</f>
        <v>557</v>
      </c>
      <c r="BI31" s="38">
        <f>ROUND(BI$33*'kWh Blocks by Rate Category'!Q30,0)</f>
        <v>639</v>
      </c>
      <c r="BJ31" s="38">
        <f>ROUND(BJ$33*'kWh Blocks by Rate Category'!R30,0)</f>
        <v>612</v>
      </c>
      <c r="BK31" s="38">
        <f>ROUND(BK$33*'kWh Blocks by Rate Category'!S30,0)</f>
        <v>655</v>
      </c>
      <c r="BL31" s="38">
        <f>ROUND(BL$33*'kWh Blocks by Rate Category'!T30,0)</f>
        <v>918</v>
      </c>
      <c r="BM31" s="38">
        <f>ROUND(BM$33*'kWh Blocks by Rate Category'!U30,0)</f>
        <v>1136</v>
      </c>
      <c r="BN31" s="210">
        <f>SUM(BB31:BM31)</f>
        <v>11605</v>
      </c>
      <c r="BO31" s="143">
        <f>ROUND(BO$33*'kWh Blocks by Rate Category'!W30,0)</f>
        <v>11607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95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8"/>
      <c r="AV32" s="38"/>
      <c r="AW32" s="38"/>
      <c r="AX32" s="38"/>
      <c r="AY32" s="38"/>
      <c r="AZ32" s="38"/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143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6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13">IFERROR(ROUND(AU34*AU29,0),0)</f>
        <v>6409</v>
      </c>
      <c r="AV33" s="64">
        <f t="shared" si="13"/>
        <v>7350</v>
      </c>
      <c r="AW33" s="64">
        <f t="shared" si="13"/>
        <v>7044</v>
      </c>
      <c r="AX33" s="64">
        <f t="shared" si="13"/>
        <v>7536</v>
      </c>
      <c r="AY33" s="64">
        <f t="shared" si="13"/>
        <v>10559</v>
      </c>
      <c r="AZ33" s="64">
        <f t="shared" si="13"/>
        <v>13069</v>
      </c>
      <c r="BA33" s="196">
        <f>SUM(AO33:AZ33)</f>
        <v>51967</v>
      </c>
      <c r="BB33" s="64">
        <v>18143</v>
      </c>
      <c r="BC33" s="64">
        <v>18740</v>
      </c>
      <c r="BD33" s="64">
        <v>17163</v>
      </c>
      <c r="BE33" s="64">
        <v>9678</v>
      </c>
      <c r="BF33" s="64">
        <f t="shared" ref="BF33:BM33" si="14">IFERROR(ROUND(BF34*BF29,0),0)</f>
        <v>10598</v>
      </c>
      <c r="BG33" s="64">
        <f t="shared" si="14"/>
        <v>7218</v>
      </c>
      <c r="BH33" s="64">
        <f t="shared" si="14"/>
        <v>6409</v>
      </c>
      <c r="BI33" s="64">
        <f t="shared" si="14"/>
        <v>7350</v>
      </c>
      <c r="BJ33" s="64">
        <f t="shared" si="14"/>
        <v>7044</v>
      </c>
      <c r="BK33" s="64">
        <f t="shared" si="14"/>
        <v>7536</v>
      </c>
      <c r="BL33" s="64">
        <f t="shared" si="14"/>
        <v>10559</v>
      </c>
      <c r="BM33" s="64">
        <f t="shared" si="14"/>
        <v>13069</v>
      </c>
      <c r="BN33" s="196">
        <f>SUM(BB33:BM33)</f>
        <v>133507</v>
      </c>
      <c r="BO33" s="147">
        <f>ROUND(BO29*BO34,0)</f>
        <v>133507</v>
      </c>
    </row>
    <row r="34" spans="1:67" ht="15.75" customHeight="1" thickTop="1">
      <c r="A34" s="374" t="s">
        <v>54</v>
      </c>
      <c r="B34" s="84">
        <f>IF('kWh_Streetlight Data'!C42=0,"",'kWh_Streetlight Data'!C42)</f>
        <v>2732.8</v>
      </c>
      <c r="C34" s="108">
        <f>IF('kWh_Streetlight Data'!D42=0,"",'kWh_Streetlight Data'!D42)</f>
        <v>1988</v>
      </c>
      <c r="D34" s="108">
        <f>IF('kWh_Streetlight Data'!E42=0,"",'kWh_Streetlight Data'!E42)</f>
        <v>2128</v>
      </c>
      <c r="E34" s="108">
        <f>IF('kWh_Streetlight Data'!F42=0,"",'kWh_Streetlight Data'!F42)</f>
        <v>1559</v>
      </c>
      <c r="F34" s="108">
        <f>IF('kWh_Streetlight Data'!G42=0,"",'kWh_Streetlight Data'!G42)</f>
        <v>1204.4000000000001</v>
      </c>
      <c r="G34" s="108">
        <f>IF('kWh_Streetlight Data'!H42=0,"",'kWh_Streetlight Data'!H42)</f>
        <v>719.16666666666663</v>
      </c>
      <c r="H34" s="108">
        <f>IF('kWh_Streetlight Data'!I42=0,"",'kWh_Streetlight Data'!I42)</f>
        <v>1013.8333333333334</v>
      </c>
      <c r="I34" s="108">
        <f>IF('kWh_Streetlight Data'!J42=0,"",'kWh_Streetlight Data'!J42)</f>
        <v>921.85714285714289</v>
      </c>
      <c r="J34" s="108">
        <f>IF('kWh_Streetlight Data'!K42=0,"",'kWh_Streetlight Data'!K42)</f>
        <v>925.85714285714289</v>
      </c>
      <c r="K34" s="108">
        <f>IF('kWh_Streetlight Data'!L42=0,"",'kWh_Streetlight Data'!L42)</f>
        <v>1083.3333333333333</v>
      </c>
      <c r="L34" s="108">
        <f>IF('kWh_Streetlight Data'!M42=0,"",'kWh_Streetlight Data'!M42)</f>
        <v>1383.5</v>
      </c>
      <c r="M34" s="108">
        <f>IF('kWh_Streetlight Data'!N42=0,"",'kWh_Streetlight Data'!N42)</f>
        <v>1946.8</v>
      </c>
      <c r="N34" s="424">
        <f>IF('kWh_Streetlight Data'!O42=0,"",'kWh_Streetlight Data'!O42)</f>
        <v>1344.0625</v>
      </c>
      <c r="O34" s="84">
        <f>IF('kWh_Streetlight Data'!P42=0,"",'kWh_Streetlight Data'!P42)</f>
        <v>2469.8000000000002</v>
      </c>
      <c r="P34" s="108">
        <f>IF('kWh_Streetlight Data'!Q42=0,"",'kWh_Streetlight Data'!Q42)</f>
        <v>2969.2</v>
      </c>
      <c r="Q34" s="108">
        <f>IF('kWh_Streetlight Data'!R42=0,"",'kWh_Streetlight Data'!R42)</f>
        <v>3586.6</v>
      </c>
      <c r="R34" s="108">
        <f>IF('kWh_Streetlight Data'!S42=0,"",'kWh_Streetlight Data'!S42)</f>
        <v>517.66666666666663</v>
      </c>
      <c r="S34" s="108">
        <f>IF('kWh_Streetlight Data'!T42=0,"",'kWh_Streetlight Data'!T42)</f>
        <v>1549.2</v>
      </c>
      <c r="T34" s="108">
        <f>IF('kWh_Streetlight Data'!U42=0,"",'kWh_Streetlight Data'!U42)</f>
        <v>1405.6666666666667</v>
      </c>
      <c r="U34" s="108">
        <f>IF('kWh_Streetlight Data'!V42=0,"",'kWh_Streetlight Data'!V42)</f>
        <v>876.28571428571433</v>
      </c>
      <c r="V34" s="108">
        <f>IF('kWh_Streetlight Data'!W42=0,"",'kWh_Streetlight Data'!W42)</f>
        <v>934</v>
      </c>
      <c r="W34" s="108">
        <f>IF('kWh_Streetlight Data'!X42=0,"",'kWh_Streetlight Data'!X42)</f>
        <v>980.57142857142856</v>
      </c>
      <c r="X34" s="108">
        <f>IF('kWh_Streetlight Data'!Y42=0,"",'kWh_Streetlight Data'!Y42)</f>
        <v>1059.6666666666667</v>
      </c>
      <c r="Y34" s="108">
        <f>IF('kWh_Streetlight Data'!Z42=0,"",'kWh_Streetlight Data'!Z42)</f>
        <v>1609.2</v>
      </c>
      <c r="Z34" s="108">
        <f>IF('kWh_Streetlight Data'!AA42=0,"",'kWh_Streetlight Data'!AA42)</f>
        <v>1981.8</v>
      </c>
      <c r="AA34" s="426">
        <f>IF('kWh_Streetlight Data'!AB42=0,"",'kWh_Streetlight Data'!AB42)</f>
        <v>1569.0289855072465</v>
      </c>
      <c r="AB34" s="129">
        <f>IF('kWh_Streetlight Data'!AC42=0,"",'kWh_Streetlight Data'!AC42)</f>
        <v>2572.8000000000002</v>
      </c>
      <c r="AC34" s="130">
        <f>IF('kWh_Streetlight Data'!AD42=0,"",'kWh_Streetlight Data'!AD42)</f>
        <v>3074.4</v>
      </c>
      <c r="AD34" s="130">
        <f>IF('kWh_Streetlight Data'!AE42=0,"",'kWh_Streetlight Data'!AE42)</f>
        <v>1641.1666666666667</v>
      </c>
      <c r="AE34" s="130">
        <f>IF('kWh_Streetlight Data'!AF42=0,"",'kWh_Streetlight Data'!AF42)</f>
        <v>2071.1999999999998</v>
      </c>
      <c r="AF34" s="130">
        <f>IF('kWh_Streetlight Data'!AG42=0,"",'kWh_Streetlight Data'!AG42)</f>
        <v>1788.6</v>
      </c>
      <c r="AG34" s="130">
        <f>IF('kWh_Streetlight Data'!AH42=0,"",'kWh_Streetlight Data'!AH42)</f>
        <v>968.66666666666663</v>
      </c>
      <c r="AH34" s="130">
        <f>IF('kWh_Streetlight Data'!AI42=0,"",'kWh_Streetlight Data'!AI42)</f>
        <v>856.4</v>
      </c>
      <c r="AI34" s="130">
        <f>IF('kWh_Streetlight Data'!AJ42=0,"",'kWh_Streetlight Data'!AJ42)</f>
        <v>1294.2</v>
      </c>
      <c r="AJ34" s="130">
        <f>IF('kWh_Streetlight Data'!AK42=0,"",'kWh_Streetlight Data'!AK42)</f>
        <v>1112.3333333333333</v>
      </c>
      <c r="AK34" s="130">
        <f>IF('kWh_Streetlight Data'!AL42=0,"",'kWh_Streetlight Data'!AL42)</f>
        <v>1086.8333333333333</v>
      </c>
      <c r="AL34" s="130">
        <f>IF('kWh_Streetlight Data'!AM42=0,"",'kWh_Streetlight Data'!AM42)</f>
        <v>1532.4</v>
      </c>
      <c r="AM34" s="130">
        <f>IF('kWh_Streetlight Data'!AN42=0,"",'kWh_Streetlight Data'!AN42)</f>
        <v>1672.4</v>
      </c>
      <c r="AN34" s="426">
        <f>IF('kWh_Streetlight Data'!AO42=0,"",'kWh_Streetlight Data'!AO42)</f>
        <v>1611.96875</v>
      </c>
      <c r="AO34" s="43"/>
      <c r="AP34" s="40"/>
      <c r="AQ34" s="40"/>
      <c r="AR34" s="40"/>
      <c r="AS34" s="40"/>
      <c r="AT34" s="17"/>
      <c r="AU34" s="17">
        <f t="shared" ref="AU34" si="15">IFERROR(AVERAGE(AH34,U34,H34),0)</f>
        <v>915.50634920634923</v>
      </c>
      <c r="AV34" s="17">
        <f t="shared" ref="AV34" si="16">IFERROR(AVERAGE(AI34,V34,I34),0)</f>
        <v>1050.0190476190476</v>
      </c>
      <c r="AW34" s="17">
        <f t="shared" ref="AW34" si="17">IFERROR(AVERAGE(AJ34,W34,J34),0)</f>
        <v>1006.2539682539682</v>
      </c>
      <c r="AX34" s="17">
        <f t="shared" ref="AX34" si="18">IFERROR(AVERAGE(AK34,X34,K34),0)</f>
        <v>1076.6111111111111</v>
      </c>
      <c r="AY34" s="17">
        <f t="shared" ref="AY34" si="19">IFERROR(AVERAGE(AL34,Y34,L34),0)</f>
        <v>1508.3666666666668</v>
      </c>
      <c r="AZ34" s="17">
        <f t="shared" ref="AZ34" si="20">IFERROR(AVERAGE(AM34,Z34,M34),0)</f>
        <v>1867</v>
      </c>
      <c r="BA34" s="211">
        <f>IFERROR(BA33/SUM(AO29:AZ29),0)</f>
        <v>1237.3095238095239</v>
      </c>
      <c r="BB34" s="17">
        <v>2591.8000000000002</v>
      </c>
      <c r="BC34" s="17">
        <v>2677.2000000000003</v>
      </c>
      <c r="BD34" s="17">
        <v>2451.9222222222224</v>
      </c>
      <c r="BE34" s="17">
        <v>1382.6222222222223</v>
      </c>
      <c r="BF34" s="17">
        <f t="shared" ref="BF34:BM34" si="21">IFERROR(AVERAGE(F34,S34,AF34),0)</f>
        <v>1514.0666666666668</v>
      </c>
      <c r="BG34" s="17">
        <f t="shared" si="21"/>
        <v>1031.1666666666667</v>
      </c>
      <c r="BH34" s="17">
        <f t="shared" si="21"/>
        <v>915.50634920634923</v>
      </c>
      <c r="BI34" s="17">
        <f t="shared" si="21"/>
        <v>1050.0190476190476</v>
      </c>
      <c r="BJ34" s="17">
        <f t="shared" si="21"/>
        <v>1006.2539682539682</v>
      </c>
      <c r="BK34" s="17">
        <f t="shared" si="21"/>
        <v>1076.6111111111111</v>
      </c>
      <c r="BL34" s="17">
        <f t="shared" si="21"/>
        <v>1508.3666666666668</v>
      </c>
      <c r="BM34" s="17">
        <f t="shared" si="21"/>
        <v>1867</v>
      </c>
      <c r="BN34" s="211">
        <f>IFERROR(BN33/SUM(BB29:BM29)*12,0)</f>
        <v>19072.428571428572</v>
      </c>
      <c r="BO34" s="20">
        <f>BN34</f>
        <v>19072.428571428572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5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95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09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95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95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95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6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08"/>
      <c r="AI41" s="108"/>
      <c r="AJ41" s="108"/>
      <c r="AK41" s="108"/>
      <c r="AL41" s="108"/>
      <c r="AM41" s="108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96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95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336"/>
      <c r="AO43" s="150"/>
      <c r="AP43" s="87"/>
      <c r="AQ43" s="87"/>
      <c r="AR43" s="87"/>
      <c r="AS43" s="87"/>
      <c r="AT43" s="39"/>
      <c r="AU43" s="124"/>
      <c r="AV43" s="124"/>
      <c r="AW43" s="124"/>
      <c r="AX43" s="124"/>
      <c r="AY43" s="124"/>
      <c r="AZ43" s="124"/>
      <c r="BA43" s="210"/>
      <c r="BB43" s="109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210"/>
      <c r="BO43" s="141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95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39"/>
      <c r="AN44" s="336"/>
      <c r="AO44" s="100"/>
      <c r="AP44" s="87"/>
      <c r="AQ44" s="87"/>
      <c r="AR44" s="87"/>
      <c r="AS44" s="87"/>
      <c r="AT44" s="39"/>
      <c r="AU44" s="38"/>
      <c r="AV44" s="38"/>
      <c r="AW44" s="38"/>
      <c r="AX44" s="38"/>
      <c r="AY44" s="38"/>
      <c r="AZ44" s="38"/>
      <c r="BA44" s="210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210"/>
      <c r="BO44" s="141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95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39"/>
      <c r="AN45" s="336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/>
      <c r="BO45" s="141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95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39"/>
      <c r="AN46" s="336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/>
      <c r="BO46" s="141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6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 t="str">
        <f>IF('kWh_Streetlight Data'!C43=0,"",'kWh_Streetlight Data'!C43)</f>
        <v/>
      </c>
      <c r="C48" s="130" t="str">
        <f>IF('kWh_Streetlight Data'!D43=0,"",'kWh_Streetlight Data'!D43)</f>
        <v/>
      </c>
      <c r="D48" s="130" t="str">
        <f>IF('kWh_Streetlight Data'!E43=0,"",'kWh_Streetlight Data'!E43)</f>
        <v/>
      </c>
      <c r="E48" s="130" t="str">
        <f>IF('kWh_Streetlight Data'!F43=0,"",'kWh_Streetlight Data'!F43)</f>
        <v/>
      </c>
      <c r="F48" s="130" t="str">
        <f>IF('kWh_Streetlight Data'!G43=0,"",'kWh_Streetlight Data'!G43)</f>
        <v/>
      </c>
      <c r="G48" s="130" t="str">
        <f>IF('kWh_Streetlight Data'!H43=0,"",'kWh_Streetlight Data'!H43)</f>
        <v/>
      </c>
      <c r="H48" s="130" t="str">
        <f>IF('kWh_Streetlight Data'!I43=0,"",'kWh_Streetlight Data'!I43)</f>
        <v/>
      </c>
      <c r="I48" s="130" t="str">
        <f>IF('kWh_Streetlight Data'!J43=0,"",'kWh_Streetlight Data'!J43)</f>
        <v/>
      </c>
      <c r="J48" s="130" t="str">
        <f>IF('kWh_Streetlight Data'!K43=0,"",'kWh_Streetlight Data'!K43)</f>
        <v/>
      </c>
      <c r="K48" s="130" t="str">
        <f>IF('kWh_Streetlight Data'!L43=0,"",'kWh_Streetlight Data'!L43)</f>
        <v/>
      </c>
      <c r="L48" s="130" t="str">
        <f>IF('kWh_Streetlight Data'!M43=0,"",'kWh_Streetlight Data'!M43)</f>
        <v/>
      </c>
      <c r="M48" s="130" t="str">
        <f>IF('kWh_Streetlight Data'!N43=0,"",'kWh_Streetlight Data'!N43)</f>
        <v/>
      </c>
      <c r="N48" s="424" t="str">
        <f>IF('kWh_Streetlight Data'!O43=0,"",'kWh_Streetlight Data'!O43)</f>
        <v/>
      </c>
      <c r="O48" s="129" t="str">
        <f>IF('kWh_Streetlight Data'!P43=0,"",'kWh_Streetlight Data'!P43)</f>
        <v/>
      </c>
      <c r="P48" s="130" t="str">
        <f>IF('kWh_Streetlight Data'!Q43=0,"",'kWh_Streetlight Data'!Q43)</f>
        <v/>
      </c>
      <c r="Q48" s="130" t="str">
        <f>IF('kWh_Streetlight Data'!R43=0,"",'kWh_Streetlight Data'!R43)</f>
        <v/>
      </c>
      <c r="R48" s="130" t="str">
        <f>IF('kWh_Streetlight Data'!S43=0,"",'kWh_Streetlight Data'!S43)</f>
        <v/>
      </c>
      <c r="S48" s="130" t="str">
        <f>IF('kWh_Streetlight Data'!T43=0,"",'kWh_Streetlight Data'!T43)</f>
        <v/>
      </c>
      <c r="T48" s="130" t="str">
        <f>IF('kWh_Streetlight Data'!U43=0,"",'kWh_Streetlight Data'!U43)</f>
        <v/>
      </c>
      <c r="U48" s="130" t="str">
        <f>IF('kWh_Streetlight Data'!V43=0,"",'kWh_Streetlight Data'!V43)</f>
        <v/>
      </c>
      <c r="V48" s="130" t="str">
        <f>IF('kWh_Streetlight Data'!W43=0,"",'kWh_Streetlight Data'!W43)</f>
        <v/>
      </c>
      <c r="W48" s="130" t="str">
        <f>IF('kWh_Streetlight Data'!X43=0,"",'kWh_Streetlight Data'!X43)</f>
        <v/>
      </c>
      <c r="X48" s="130" t="str">
        <f>IF('kWh_Streetlight Data'!Y43=0,"",'kWh_Streetlight Data'!Y43)</f>
        <v/>
      </c>
      <c r="Y48" s="130" t="str">
        <f>IF('kWh_Streetlight Data'!Z43=0,"",'kWh_Streetlight Data'!Z43)</f>
        <v/>
      </c>
      <c r="Z48" s="130" t="str">
        <f>IF('kWh_Streetlight Data'!AA43=0,"",'kWh_Streetlight Data'!AA43)</f>
        <v/>
      </c>
      <c r="AA48" s="424" t="str">
        <f>IF('kWh_Streetlight Data'!AB43=0,"",'kWh_Streetlight Data'!AB43)</f>
        <v/>
      </c>
      <c r="AB48" s="129" t="str">
        <f>IF('kWh_Streetlight Data'!AC43=0,"",'kWh_Streetlight Data'!AC43)</f>
        <v/>
      </c>
      <c r="AC48" s="130" t="str">
        <f>IF('kWh_Streetlight Data'!AD43=0,"",'kWh_Streetlight Data'!AD43)</f>
        <v/>
      </c>
      <c r="AD48" s="130" t="str">
        <f>IF('kWh_Streetlight Data'!AE43=0,"",'kWh_Streetlight Data'!AE43)</f>
        <v/>
      </c>
      <c r="AE48" s="130" t="str">
        <f>IF('kWh_Streetlight Data'!AF43=0,"",'kWh_Streetlight Data'!AF43)</f>
        <v/>
      </c>
      <c r="AF48" s="130" t="str">
        <f>IF('kWh_Streetlight Data'!AG43=0,"",'kWh_Streetlight Data'!AG43)</f>
        <v/>
      </c>
      <c r="AG48" s="130" t="str">
        <f>IF('kWh_Streetlight Data'!AH43=0,"",'kWh_Streetlight Data'!AH43)</f>
        <v/>
      </c>
      <c r="AH48" s="130" t="str">
        <f>IF('kWh_Streetlight Data'!AI43=0,"",'kWh_Streetlight Data'!AI43)</f>
        <v/>
      </c>
      <c r="AI48" s="130" t="str">
        <f>IF('kWh_Streetlight Data'!AJ43=0,"",'kWh_Streetlight Data'!AJ43)</f>
        <v/>
      </c>
      <c r="AJ48" s="130" t="str">
        <f>IF('kWh_Streetlight Data'!AK43=0,"",'kWh_Streetlight Data'!AK43)</f>
        <v/>
      </c>
      <c r="AK48" s="130" t="str">
        <f>IF('kWh_Streetlight Data'!AL43=0,"",'kWh_Streetlight Data'!AL43)</f>
        <v/>
      </c>
      <c r="AL48" s="130" t="str">
        <f>IF('kWh_Streetlight Data'!AM43=0,"",'kWh_Streetlight Data'!AM43)</f>
        <v/>
      </c>
      <c r="AM48" s="130" t="str">
        <f>IF('kWh_Streetlight Data'!AN43=0,"",'kWh_Streetlight Data'!AN43)</f>
        <v/>
      </c>
      <c r="AN48" s="426" t="str">
        <f>IF('kWh_Streetlight Data'!AO43=0,"",'kWh_Streetlight Data'!AO43)</f>
        <v/>
      </c>
      <c r="AO48" s="43"/>
      <c r="AP48" s="40"/>
      <c r="AQ48" s="40"/>
      <c r="AR48" s="40"/>
      <c r="AS48" s="40"/>
      <c r="AT48" s="17"/>
      <c r="AU48" s="9"/>
      <c r="AV48" s="9"/>
      <c r="AW48" s="9"/>
      <c r="AX48" s="9"/>
      <c r="AY48" s="9"/>
      <c r="AZ48" s="9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5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95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09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95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95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95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6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08"/>
      <c r="AI55" s="108"/>
      <c r="AJ55" s="108"/>
      <c r="AK55" s="108"/>
      <c r="AL55" s="108"/>
      <c r="AM55" s="108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97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95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9"/>
      <c r="AU57" s="145"/>
      <c r="AV57" s="145"/>
      <c r="AW57" s="145"/>
      <c r="AX57" s="145"/>
      <c r="AY57" s="145"/>
      <c r="AZ57" s="145"/>
      <c r="BA57" s="204"/>
      <c r="BB57" s="39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04"/>
      <c r="BO57" s="90"/>
    </row>
    <row r="58" spans="1:67" ht="15.75" customHeight="1" thickBot="1">
      <c r="A58" s="201" t="s">
        <v>30</v>
      </c>
      <c r="B58" s="113" t="str">
        <f>IF('kWh_Streetlight Data'!C231=0,"",'kWh_Streetlight Data'!C231)</f>
        <v/>
      </c>
      <c r="C58" s="114" t="str">
        <f>IF('kWh_Streetlight Data'!D231=0,"",'kWh_Streetlight Data'!D231)</f>
        <v/>
      </c>
      <c r="D58" s="114" t="str">
        <f>IF('kWh_Streetlight Data'!E231=0,"",'kWh_Streetlight Data'!E231)</f>
        <v/>
      </c>
      <c r="E58" s="114" t="str">
        <f>IF('kWh_Streetlight Data'!F231=0,"",'kWh_Streetlight Data'!F231)</f>
        <v/>
      </c>
      <c r="F58" s="114" t="str">
        <f>IF('kWh_Streetlight Data'!G231=0,"",'kWh_Streetlight Data'!G231)</f>
        <v/>
      </c>
      <c r="G58" s="114" t="str">
        <f>IF('kWh_Streetlight Data'!H231=0,"",'kWh_Streetlight Data'!H231)</f>
        <v/>
      </c>
      <c r="H58" s="114" t="str">
        <f>IF('kWh_Streetlight Data'!I231=0,"",'kWh_Streetlight Data'!I231)</f>
        <v/>
      </c>
      <c r="I58" s="114" t="str">
        <f>IF('kWh_Streetlight Data'!J231=0,"",'kWh_Streetlight Data'!J231)</f>
        <v/>
      </c>
      <c r="J58" s="114" t="str">
        <f>IF('kWh_Streetlight Data'!K231=0,"",'kWh_Streetlight Data'!K231)</f>
        <v/>
      </c>
      <c r="K58" s="114" t="str">
        <f>IF('kWh_Streetlight Data'!L231=0,"",'kWh_Streetlight Data'!L231)</f>
        <v/>
      </c>
      <c r="L58" s="114" t="str">
        <f>IF('kWh_Streetlight Data'!M231=0,"",'kWh_Streetlight Data'!M231)</f>
        <v/>
      </c>
      <c r="M58" s="114" t="str">
        <f>IF('kWh_Streetlight Data'!N231=0,"",'kWh_Streetlight Data'!N231)</f>
        <v/>
      </c>
      <c r="N58" s="459" t="str">
        <f>IF('kWh_Streetlight Data'!O231=0,"",'kWh_Streetlight Data'!O231)</f>
        <v/>
      </c>
      <c r="O58" s="113" t="str">
        <f>IF('kWh_Streetlight Data'!P231=0,"",'kWh_Streetlight Data'!P231)</f>
        <v/>
      </c>
      <c r="P58" s="114" t="str">
        <f>IF('kWh_Streetlight Data'!Q231=0,"",'kWh_Streetlight Data'!Q231)</f>
        <v/>
      </c>
      <c r="Q58" s="114" t="str">
        <f>IF('kWh_Streetlight Data'!R231=0,"",'kWh_Streetlight Data'!R231)</f>
        <v/>
      </c>
      <c r="R58" s="114" t="str">
        <f>IF('kWh_Streetlight Data'!S231=0,"",'kWh_Streetlight Data'!S231)</f>
        <v/>
      </c>
      <c r="S58" s="114" t="str">
        <f>IF('kWh_Streetlight Data'!T231=0,"",'kWh_Streetlight Data'!T231)</f>
        <v/>
      </c>
      <c r="T58" s="114" t="str">
        <f>IF('kWh_Streetlight Data'!U231=0,"",'kWh_Streetlight Data'!U231)</f>
        <v/>
      </c>
      <c r="U58" s="114" t="str">
        <f>IF('kWh_Streetlight Data'!V231=0,"",'kWh_Streetlight Data'!V231)</f>
        <v/>
      </c>
      <c r="V58" s="114" t="str">
        <f>IF('kWh_Streetlight Data'!W231=0,"",'kWh_Streetlight Data'!W231)</f>
        <v/>
      </c>
      <c r="W58" s="114" t="str">
        <f>IF('kWh_Streetlight Data'!X231=0,"",'kWh_Streetlight Data'!X231)</f>
        <v/>
      </c>
      <c r="X58" s="114" t="str">
        <f>IF('kWh_Streetlight Data'!Y231=0,"",'kWh_Streetlight Data'!Y231)</f>
        <v/>
      </c>
      <c r="Y58" s="114" t="str">
        <f>IF('kWh_Streetlight Data'!Z231=0,"",'kWh_Streetlight Data'!Z231)</f>
        <v/>
      </c>
      <c r="Z58" s="114" t="str">
        <f>IF('kWh_Streetlight Data'!AA231=0,"",'kWh_Streetlight Data'!AA231)</f>
        <v/>
      </c>
      <c r="AA58" s="458" t="str">
        <f>IF('kWh_Streetlight Data'!AB231=0,"",'kWh_Streetlight Data'!AB231)</f>
        <v/>
      </c>
      <c r="AB58" s="240" t="str">
        <f>IF('kWh_Streetlight Data'!AC231=0,"",'kWh_Streetlight Data'!AC231)</f>
        <v/>
      </c>
      <c r="AC58" s="117" t="str">
        <f>IF('kWh_Streetlight Data'!AD231=0,"",'kWh_Streetlight Data'!AD231)</f>
        <v/>
      </c>
      <c r="AD58" s="117" t="str">
        <f>IF('kWh_Streetlight Data'!AE231=0,"",'kWh_Streetlight Data'!AE231)</f>
        <v/>
      </c>
      <c r="AE58" s="117" t="str">
        <f>IF('kWh_Streetlight Data'!AF231=0,"",'kWh_Streetlight Data'!AF231)</f>
        <v/>
      </c>
      <c r="AF58" s="117" t="str">
        <f>IF('kWh_Streetlight Data'!AG231=0,"",'kWh_Streetlight Data'!AG231)</f>
        <v/>
      </c>
      <c r="AG58" s="117" t="str">
        <f>IF('kWh_Streetlight Data'!AH231=0,"",'kWh_Streetlight Data'!AH231)</f>
        <v/>
      </c>
      <c r="AH58" s="117" t="str">
        <f>IF('kWh_Streetlight Data'!AI231=0,"",'kWh_Streetlight Data'!AI231)</f>
        <v/>
      </c>
      <c r="AI58" s="117" t="str">
        <f>IF('kWh_Streetlight Data'!AJ231=0,"",'kWh_Streetlight Data'!AJ231)</f>
        <v/>
      </c>
      <c r="AJ58" s="117" t="str">
        <f>IF('kWh_Streetlight Data'!AK231=0,"",'kWh_Streetlight Data'!AK231)</f>
        <v/>
      </c>
      <c r="AK58" s="117" t="str">
        <f>IF('kWh_Streetlight Data'!AL231=0,"",'kWh_Streetlight Data'!AL231)</f>
        <v/>
      </c>
      <c r="AL58" s="117" t="str">
        <f>IF('kWh_Streetlight Data'!AM231=0,"",'kWh_Streetlight Data'!AM231)</f>
        <v/>
      </c>
      <c r="AM58" s="117" t="str">
        <f>IF('kWh_Streetlight Data'!AN231=0,"",'kWh_Streetlight Data'!AN231)</f>
        <v/>
      </c>
      <c r="AN58" s="464" t="str">
        <f>IF('kWh_Streetlight Data'!AO231=0,"",'kWh_Streetlight Data'!AO231)</f>
        <v/>
      </c>
      <c r="AO58" s="151"/>
      <c r="AP58" s="152"/>
      <c r="AQ58" s="152"/>
      <c r="AR58" s="152"/>
      <c r="AS58" s="152"/>
      <c r="AT58" s="64"/>
      <c r="AU58" s="160"/>
      <c r="AV58" s="160"/>
      <c r="AW58" s="160"/>
      <c r="AX58" s="160"/>
      <c r="AY58" s="160"/>
      <c r="AZ58" s="160"/>
      <c r="BA58" s="213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13"/>
      <c r="BO58" s="8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5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5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95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9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0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6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64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8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5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97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95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09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95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9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95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9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6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84" t="str">
        <f>IF('kWh_Streetlight Data'!C44=0,"",'kWh_Streetlight Data'!C44)</f>
        <v/>
      </c>
      <c r="C69" s="130" t="str">
        <f>IF('kWh_Streetlight Data'!D44=0,"",'kWh_Streetlight Data'!D44)</f>
        <v/>
      </c>
      <c r="D69" s="130" t="str">
        <f>IF('kWh_Streetlight Data'!E44=0,"",'kWh_Streetlight Data'!E44)</f>
        <v/>
      </c>
      <c r="E69" s="130" t="str">
        <f>IF('kWh_Streetlight Data'!F44=0,"",'kWh_Streetlight Data'!F44)</f>
        <v/>
      </c>
      <c r="F69" s="130" t="str">
        <f>IF('kWh_Streetlight Data'!G44=0,"",'kWh_Streetlight Data'!G44)</f>
        <v/>
      </c>
      <c r="G69" s="130" t="str">
        <f>IF('kWh_Streetlight Data'!H44=0,"",'kWh_Streetlight Data'!H44)</f>
        <v/>
      </c>
      <c r="H69" s="130" t="str">
        <f>IF('kWh_Streetlight Data'!I44=0,"",'kWh_Streetlight Data'!I44)</f>
        <v/>
      </c>
      <c r="I69" s="130" t="str">
        <f>IF('kWh_Streetlight Data'!J44=0,"",'kWh_Streetlight Data'!J44)</f>
        <v/>
      </c>
      <c r="J69" s="130" t="str">
        <f>IF('kWh_Streetlight Data'!K44=0,"",'kWh_Streetlight Data'!K44)</f>
        <v/>
      </c>
      <c r="K69" s="130" t="str">
        <f>IF('kWh_Streetlight Data'!L44=0,"",'kWh_Streetlight Data'!L44)</f>
        <v/>
      </c>
      <c r="L69" s="130" t="str">
        <f>IF('kWh_Streetlight Data'!M44=0,"",'kWh_Streetlight Data'!M44)</f>
        <v/>
      </c>
      <c r="M69" s="130" t="str">
        <f>IF('kWh_Streetlight Data'!N44=0,"",'kWh_Streetlight Data'!N44)</f>
        <v/>
      </c>
      <c r="N69" s="424" t="str">
        <f>IF('kWh_Streetlight Data'!O44=0,"",'kWh_Streetlight Data'!O44)</f>
        <v/>
      </c>
      <c r="O69" s="84" t="str">
        <f>IF('kWh_Streetlight Data'!P44=0,"",'kWh_Streetlight Data'!P44)</f>
        <v/>
      </c>
      <c r="P69" s="108" t="str">
        <f>IF('kWh_Streetlight Data'!Q44=0,"",'kWh_Streetlight Data'!Q44)</f>
        <v/>
      </c>
      <c r="Q69" s="108" t="str">
        <f>IF('kWh_Streetlight Data'!R44=0,"",'kWh_Streetlight Data'!R44)</f>
        <v/>
      </c>
      <c r="R69" s="108" t="str">
        <f>IF('kWh_Streetlight Data'!S44=0,"",'kWh_Streetlight Data'!S44)</f>
        <v/>
      </c>
      <c r="S69" s="108" t="str">
        <f>IF('kWh_Streetlight Data'!T44=0,"",'kWh_Streetlight Data'!T44)</f>
        <v/>
      </c>
      <c r="T69" s="108" t="str">
        <f>IF('kWh_Streetlight Data'!U44=0,"",'kWh_Streetlight Data'!U44)</f>
        <v/>
      </c>
      <c r="U69" s="108" t="str">
        <f>IF('kWh_Streetlight Data'!V44=0,"",'kWh_Streetlight Data'!V44)</f>
        <v/>
      </c>
      <c r="V69" s="108" t="str">
        <f>IF('kWh_Streetlight Data'!W44=0,"",'kWh_Streetlight Data'!W44)</f>
        <v/>
      </c>
      <c r="W69" s="108" t="str">
        <f>IF('kWh_Streetlight Data'!X44=0,"",'kWh_Streetlight Data'!X44)</f>
        <v/>
      </c>
      <c r="X69" s="108" t="str">
        <f>IF('kWh_Streetlight Data'!Y44=0,"",'kWh_Streetlight Data'!Y44)</f>
        <v/>
      </c>
      <c r="Y69" s="108" t="str">
        <f>IF('kWh_Streetlight Data'!Z44=0,"",'kWh_Streetlight Data'!Z44)</f>
        <v/>
      </c>
      <c r="Z69" s="108" t="str">
        <f>IF('kWh_Streetlight Data'!AA44=0,"",'kWh_Streetlight Data'!AA44)</f>
        <v/>
      </c>
      <c r="AA69" s="424" t="str">
        <f>IF('kWh_Streetlight Data'!AB44=0,"",'kWh_Streetlight Data'!AB44)</f>
        <v/>
      </c>
      <c r="AB69" s="84" t="str">
        <f>IF('kWh_Streetlight Data'!AC44=0,"",'kWh_Streetlight Data'!AC44)</f>
        <v/>
      </c>
      <c r="AC69" s="108" t="str">
        <f>IF('kWh_Streetlight Data'!AD44=0,"",'kWh_Streetlight Data'!AD44)</f>
        <v/>
      </c>
      <c r="AD69" s="108" t="str">
        <f>IF('kWh_Streetlight Data'!AE44=0,"",'kWh_Streetlight Data'!AE44)</f>
        <v/>
      </c>
      <c r="AE69" s="108" t="str">
        <f>IF('kWh_Streetlight Data'!AF44=0,"",'kWh_Streetlight Data'!AF44)</f>
        <v/>
      </c>
      <c r="AF69" s="108" t="str">
        <f>IF('kWh_Streetlight Data'!AG44=0,"",'kWh_Streetlight Data'!AG44)</f>
        <v/>
      </c>
      <c r="AG69" s="108" t="str">
        <f>IF('kWh_Streetlight Data'!AH44=0,"",'kWh_Streetlight Data'!AH44)</f>
        <v/>
      </c>
      <c r="AH69" s="130" t="str">
        <f>IF('kWh_Streetlight Data'!AI44=0,"",'kWh_Streetlight Data'!AI44)</f>
        <v/>
      </c>
      <c r="AI69" s="130" t="str">
        <f>IF('kWh_Streetlight Data'!AJ44=0,"",'kWh_Streetlight Data'!AJ44)</f>
        <v/>
      </c>
      <c r="AJ69" s="130" t="str">
        <f>IF('kWh_Streetlight Data'!AK44=0,"",'kWh_Streetlight Data'!AK44)</f>
        <v/>
      </c>
      <c r="AK69" s="130" t="str">
        <f>IF('kWh_Streetlight Data'!AL44=0,"",'kWh_Streetlight Data'!AL44)</f>
        <v/>
      </c>
      <c r="AL69" s="130" t="str">
        <f>IF('kWh_Streetlight Data'!AM44=0,"",'kWh_Streetlight Data'!AM44)</f>
        <v/>
      </c>
      <c r="AM69" s="130" t="str">
        <f>IF('kWh_Streetlight Data'!AN44=0,"",'kWh_Streetlight Data'!AN44)</f>
        <v/>
      </c>
      <c r="AN69" s="424" t="str">
        <f>IF('kWh_Streetlight Data'!AO44=0,"",'kWh_Streetlight Data'!AO44)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87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82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87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82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94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5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96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95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8"/>
      <c r="AV75" s="38"/>
      <c r="AW75" s="38"/>
      <c r="AX75" s="38"/>
      <c r="AY75" s="38"/>
      <c r="AZ75" s="38"/>
      <c r="BA75" s="210"/>
      <c r="BB75" s="109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95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/>
      <c r="AV76" s="38"/>
      <c r="AW76" s="38"/>
      <c r="AX76" s="38"/>
      <c r="AY76" s="38"/>
      <c r="AZ76" s="38"/>
      <c r="BA76" s="210"/>
      <c r="BB76" s="39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95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/>
      <c r="AV77" s="38"/>
      <c r="AW77" s="38"/>
      <c r="AX77" s="38"/>
      <c r="AY77" s="38"/>
      <c r="AZ77" s="38"/>
      <c r="BA77" s="210"/>
      <c r="BB77" s="39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6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 t="str">
        <f>IF('kWh_Streetlight Data'!C45=0,"",'kWh_Streetlight Data'!C45)</f>
        <v/>
      </c>
      <c r="C79" s="108" t="str">
        <f>IF('kWh_Streetlight Data'!D45=0,"",'kWh_Streetlight Data'!D45)</f>
        <v/>
      </c>
      <c r="D79" s="108" t="str">
        <f>IF('kWh_Streetlight Data'!E45=0,"",'kWh_Streetlight Data'!E45)</f>
        <v/>
      </c>
      <c r="E79" s="108" t="str">
        <f>IF('kWh_Streetlight Data'!F45=0,"",'kWh_Streetlight Data'!F45)</f>
        <v/>
      </c>
      <c r="F79" s="108" t="str">
        <f>IF('kWh_Streetlight Data'!G45=0,"",'kWh_Streetlight Data'!G45)</f>
        <v/>
      </c>
      <c r="G79" s="108" t="str">
        <f>IF('kWh_Streetlight Data'!H45=0,"",'kWh_Streetlight Data'!H45)</f>
        <v/>
      </c>
      <c r="H79" s="108" t="str">
        <f>IF('kWh_Streetlight Data'!I45=0,"",'kWh_Streetlight Data'!I45)</f>
        <v/>
      </c>
      <c r="I79" s="108" t="str">
        <f>IF('kWh_Streetlight Data'!J45=0,"",'kWh_Streetlight Data'!J45)</f>
        <v/>
      </c>
      <c r="J79" s="108" t="str">
        <f>IF('kWh_Streetlight Data'!K45=0,"",'kWh_Streetlight Data'!K45)</f>
        <v/>
      </c>
      <c r="K79" s="108" t="str">
        <f>IF('kWh_Streetlight Data'!L45=0,"",'kWh_Streetlight Data'!L45)</f>
        <v/>
      </c>
      <c r="L79" s="108" t="str">
        <f>IF('kWh_Streetlight Data'!M45=0,"",'kWh_Streetlight Data'!M45)</f>
        <v/>
      </c>
      <c r="M79" s="108" t="str">
        <f>IF('kWh_Streetlight Data'!N45=0,"",'kWh_Streetlight Data'!N45)</f>
        <v/>
      </c>
      <c r="N79" s="424" t="str">
        <f>IF('kWh_Streetlight Data'!O45=0,"",'kWh_Streetlight Data'!O45)</f>
        <v/>
      </c>
      <c r="O79" s="84" t="str">
        <f>IF('kWh_Streetlight Data'!P45=0,"",'kWh_Streetlight Data'!P45)</f>
        <v/>
      </c>
      <c r="P79" s="108" t="str">
        <f>IF('kWh_Streetlight Data'!Q45=0,"",'kWh_Streetlight Data'!Q45)</f>
        <v/>
      </c>
      <c r="Q79" s="108" t="str">
        <f>IF('kWh_Streetlight Data'!R45=0,"",'kWh_Streetlight Data'!R45)</f>
        <v/>
      </c>
      <c r="R79" s="108" t="str">
        <f>IF('kWh_Streetlight Data'!S45=0,"",'kWh_Streetlight Data'!S45)</f>
        <v/>
      </c>
      <c r="S79" s="108" t="str">
        <f>IF('kWh_Streetlight Data'!T45=0,"",'kWh_Streetlight Data'!T45)</f>
        <v/>
      </c>
      <c r="T79" s="108" t="str">
        <f>IF('kWh_Streetlight Data'!U45=0,"",'kWh_Streetlight Data'!U45)</f>
        <v/>
      </c>
      <c r="U79" s="108" t="str">
        <f>IF('kWh_Streetlight Data'!V45=0,"",'kWh_Streetlight Data'!V45)</f>
        <v/>
      </c>
      <c r="V79" s="108" t="str">
        <f>IF('kWh_Streetlight Data'!W45=0,"",'kWh_Streetlight Data'!W45)</f>
        <v/>
      </c>
      <c r="W79" s="108" t="str">
        <f>IF('kWh_Streetlight Data'!X45=0,"",'kWh_Streetlight Data'!X45)</f>
        <v/>
      </c>
      <c r="X79" s="108" t="str">
        <f>IF('kWh_Streetlight Data'!Y45=0,"",'kWh_Streetlight Data'!Y45)</f>
        <v/>
      </c>
      <c r="Y79" s="108" t="str">
        <f>IF('kWh_Streetlight Data'!Z45=0,"",'kWh_Streetlight Data'!Z45)</f>
        <v/>
      </c>
      <c r="Z79" s="108" t="str">
        <f>IF('kWh_Streetlight Data'!AA45=0,"",'kWh_Streetlight Data'!AA45)</f>
        <v/>
      </c>
      <c r="AA79" s="424" t="str">
        <f>IF('kWh_Streetlight Data'!AB45=0,"",'kWh_Streetlight Data'!AB45)</f>
        <v/>
      </c>
      <c r="AB79" s="130" t="str">
        <f>IF('kWh_Streetlight Data'!AC45=0,"",'kWh_Streetlight Data'!AC45)</f>
        <v/>
      </c>
      <c r="AC79" s="130" t="str">
        <f>IF('kWh_Streetlight Data'!AD45=0,"",'kWh_Streetlight Data'!AD45)</f>
        <v/>
      </c>
      <c r="AD79" s="130" t="str">
        <f>IF('kWh_Streetlight Data'!AE45=0,"",'kWh_Streetlight Data'!AE45)</f>
        <v/>
      </c>
      <c r="AE79" s="130" t="str">
        <f>IF('kWh_Streetlight Data'!AF45=0,"",'kWh_Streetlight Data'!AF45)</f>
        <v/>
      </c>
      <c r="AF79" s="130" t="str">
        <f>IF('kWh_Streetlight Data'!AG45=0,"",'kWh_Streetlight Data'!AG45)</f>
        <v/>
      </c>
      <c r="AG79" s="130" t="str">
        <f>IF('kWh_Streetlight Data'!AH45=0,"",'kWh_Streetlight Data'!AH45)</f>
        <v/>
      </c>
      <c r="AH79" s="108" t="str">
        <f>IF('kWh_Streetlight Data'!AI45=0,"",'kWh_Streetlight Data'!AI45)</f>
        <v/>
      </c>
      <c r="AI79" s="108" t="str">
        <f>IF('kWh_Streetlight Data'!AJ45=0,"",'kWh_Streetlight Data'!AJ45)</f>
        <v/>
      </c>
      <c r="AJ79" s="108" t="str">
        <f>IF('kWh_Streetlight Data'!AK45=0,"",'kWh_Streetlight Data'!AK45)</f>
        <v/>
      </c>
      <c r="AK79" s="108" t="str">
        <f>IF('kWh_Streetlight Data'!AL45=0,"",'kWh_Streetlight Data'!AL45)</f>
        <v/>
      </c>
      <c r="AL79" s="108" t="str">
        <f>IF('kWh_Streetlight Data'!AM45=0,"",'kWh_Streetlight Data'!AM45)</f>
        <v/>
      </c>
      <c r="AM79" s="108" t="str">
        <f>IF('kWh_Streetlight Data'!AN45=0,"",'kWh_Streetlight Data'!AN45)</f>
        <v/>
      </c>
      <c r="AN79" s="424" t="str">
        <f>IF('kWh_Streetlight Data'!AO45=0,"",'kWh_Streetlight Data'!AO45)</f>
        <v/>
      </c>
      <c r="AO79" s="34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8"/>
      <c r="AV81" s="128"/>
      <c r="AW81" s="128"/>
      <c r="AX81" s="128"/>
      <c r="AY81" s="128"/>
      <c r="AZ81" s="128"/>
      <c r="BA81" s="210"/>
      <c r="BB81" s="109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/>
      <c r="AV82" s="160"/>
      <c r="AW82" s="160"/>
      <c r="AX82" s="160"/>
      <c r="AY82" s="160"/>
      <c r="AZ82" s="160"/>
      <c r="BA82" s="196"/>
      <c r="BB82" s="64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88"/>
    </row>
    <row r="83" spans="1:67" ht="15.75" customHeight="1" thickTop="1">
      <c r="A83" s="374" t="s">
        <v>54</v>
      </c>
      <c r="B83" s="84" t="str">
        <f>IF('kWh_Streetlight Data'!C46=0,"",'kWh_Streetlight Data'!C46)</f>
        <v/>
      </c>
      <c r="C83" s="108" t="str">
        <f>IF('kWh_Streetlight Data'!D46=0,"",'kWh_Streetlight Data'!D46)</f>
        <v/>
      </c>
      <c r="D83" s="108" t="str">
        <f>IF('kWh_Streetlight Data'!E46=0,"",'kWh_Streetlight Data'!E46)</f>
        <v/>
      </c>
      <c r="E83" s="108" t="str">
        <f>IF('kWh_Streetlight Data'!F46=0,"",'kWh_Streetlight Data'!F46)</f>
        <v/>
      </c>
      <c r="F83" s="108" t="str">
        <f>IF('kWh_Streetlight Data'!G46=0,"",'kWh_Streetlight Data'!G46)</f>
        <v/>
      </c>
      <c r="G83" s="108" t="str">
        <f>IF('kWh_Streetlight Data'!H46=0,"",'kWh_Streetlight Data'!H46)</f>
        <v/>
      </c>
      <c r="H83" s="108" t="str">
        <f>IF('kWh_Streetlight Data'!I46=0,"",'kWh_Streetlight Data'!I46)</f>
        <v/>
      </c>
      <c r="I83" s="108" t="str">
        <f>IF('kWh_Streetlight Data'!J46=0,"",'kWh_Streetlight Data'!J46)</f>
        <v/>
      </c>
      <c r="J83" s="108" t="str">
        <f>IF('kWh_Streetlight Data'!K46=0,"",'kWh_Streetlight Data'!K46)</f>
        <v/>
      </c>
      <c r="K83" s="108" t="str">
        <f>IF('kWh_Streetlight Data'!L46=0,"",'kWh_Streetlight Data'!L46)</f>
        <v/>
      </c>
      <c r="L83" s="108" t="str">
        <f>IF('kWh_Streetlight Data'!M46=0,"",'kWh_Streetlight Data'!M46)</f>
        <v/>
      </c>
      <c r="M83" s="108" t="str">
        <f>IF('kWh_Streetlight Data'!N46=0,"",'kWh_Streetlight Data'!N46)</f>
        <v/>
      </c>
      <c r="N83" s="424" t="str">
        <f>IF('kWh_Streetlight Data'!O46=0,"",'kWh_Streetlight Data'!O46)</f>
        <v/>
      </c>
      <c r="O83" s="84" t="str">
        <f>IF('kWh_Streetlight Data'!P46=0,"",'kWh_Streetlight Data'!P46)</f>
        <v/>
      </c>
      <c r="P83" s="108" t="str">
        <f>IF('kWh_Streetlight Data'!Q46=0,"",'kWh_Streetlight Data'!Q46)</f>
        <v/>
      </c>
      <c r="Q83" s="108" t="str">
        <f>IF('kWh_Streetlight Data'!R46=0,"",'kWh_Streetlight Data'!R46)</f>
        <v/>
      </c>
      <c r="R83" s="108" t="str">
        <f>IF('kWh_Streetlight Data'!S46=0,"",'kWh_Streetlight Data'!S46)</f>
        <v/>
      </c>
      <c r="S83" s="108" t="str">
        <f>IF('kWh_Streetlight Data'!T46=0,"",'kWh_Streetlight Data'!T46)</f>
        <v/>
      </c>
      <c r="T83" s="108" t="str">
        <f>IF('kWh_Streetlight Data'!U46=0,"",'kWh_Streetlight Data'!U46)</f>
        <v/>
      </c>
      <c r="U83" s="108" t="str">
        <f>IF('kWh_Streetlight Data'!V46=0,"",'kWh_Streetlight Data'!V46)</f>
        <v/>
      </c>
      <c r="V83" s="108" t="str">
        <f>IF('kWh_Streetlight Data'!W46=0,"",'kWh_Streetlight Data'!W46)</f>
        <v/>
      </c>
      <c r="W83" s="108" t="str">
        <f>IF('kWh_Streetlight Data'!X46=0,"",'kWh_Streetlight Data'!X46)</f>
        <v/>
      </c>
      <c r="X83" s="108" t="str">
        <f>IF('kWh_Streetlight Data'!Y46=0,"",'kWh_Streetlight Data'!Y46)</f>
        <v/>
      </c>
      <c r="Y83" s="108" t="str">
        <f>IF('kWh_Streetlight Data'!Z46=0,"",'kWh_Streetlight Data'!Z46)</f>
        <v/>
      </c>
      <c r="Z83" s="108" t="str">
        <f>IF('kWh_Streetlight Data'!AA46=0,"",'kWh_Streetlight Data'!AA46)</f>
        <v/>
      </c>
      <c r="AA83" s="424" t="str">
        <f>IF('kWh_Streetlight Data'!AB46=0,"",'kWh_Streetlight Data'!AB46)</f>
        <v/>
      </c>
      <c r="AB83" s="442" t="str">
        <f>IF('kWh_Streetlight Data'!AC46=0,"",'kWh_Streetlight Data'!AC46)</f>
        <v/>
      </c>
      <c r="AC83" s="443" t="str">
        <f>IF('kWh_Streetlight Data'!AD46=0,"",'kWh_Streetlight Data'!AD46)</f>
        <v/>
      </c>
      <c r="AD83" s="443" t="str">
        <f>IF('kWh_Streetlight Data'!AE46=0,"",'kWh_Streetlight Data'!AE46)</f>
        <v/>
      </c>
      <c r="AE83" s="443" t="str">
        <f>IF('kWh_Streetlight Data'!AF46=0,"",'kWh_Streetlight Data'!AF46)</f>
        <v/>
      </c>
      <c r="AF83" s="443" t="str">
        <f>IF('kWh_Streetlight Data'!AG46=0,"",'kWh_Streetlight Data'!AG46)</f>
        <v/>
      </c>
      <c r="AG83" s="443" t="str">
        <f>IF('kWh_Streetlight Data'!AH46=0,"",'kWh_Streetlight Data'!AH46)</f>
        <v/>
      </c>
      <c r="AH83" s="108" t="str">
        <f>IF('kWh_Streetlight Data'!AI46=0,"",'kWh_Streetlight Data'!AI46)</f>
        <v/>
      </c>
      <c r="AI83" s="108" t="str">
        <f>IF('kWh_Streetlight Data'!AJ46=0,"",'kWh_Streetlight Data'!AJ46)</f>
        <v/>
      </c>
      <c r="AJ83" s="108" t="str">
        <f>IF('kWh_Streetlight Data'!AK46=0,"",'kWh_Streetlight Data'!AK46)</f>
        <v/>
      </c>
      <c r="AK83" s="108" t="str">
        <f>IF('kWh_Streetlight Data'!AL46=0,"",'kWh_Streetlight Data'!AL46)</f>
        <v/>
      </c>
      <c r="AL83" s="108" t="str">
        <f>IF('kWh_Streetlight Data'!AM46=0,"",'kWh_Streetlight Data'!AM46)</f>
        <v/>
      </c>
      <c r="AM83" s="108" t="str">
        <f>IF('kWh_Streetlight Data'!AN46=0,"",'kWh_Streetlight Data'!AN46)</f>
        <v/>
      </c>
      <c r="AN83" s="424" t="str">
        <f>IF('kWh_Streetlight Data'!AO46=0,"",'kWh_Streetlight Data'!AO46)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8"/>
      <c r="AV86" s="38"/>
      <c r="AW86" s="38"/>
      <c r="AX86" s="38"/>
      <c r="AY86" s="38"/>
      <c r="AZ86" s="38"/>
      <c r="BA86" s="210"/>
      <c r="BB86" s="109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/>
      <c r="AV87" s="160"/>
      <c r="AW87" s="160"/>
      <c r="AX87" s="160"/>
      <c r="AY87" s="160"/>
      <c r="AZ87" s="160"/>
      <c r="BA87" s="196"/>
      <c r="BB87" s="64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88"/>
    </row>
    <row r="88" spans="1:67" ht="15.75" customHeight="1" thickTop="1">
      <c r="A88" s="374" t="s">
        <v>54</v>
      </c>
      <c r="B88" s="84" t="str">
        <f>IF('kWh_Streetlight Data'!C47=0,"",'kWh_Streetlight Data'!C47)</f>
        <v/>
      </c>
      <c r="C88" s="108" t="str">
        <f>IF('kWh_Streetlight Data'!D47=0,"",'kWh_Streetlight Data'!D47)</f>
        <v/>
      </c>
      <c r="D88" s="108" t="str">
        <f>IF('kWh_Streetlight Data'!E47=0,"",'kWh_Streetlight Data'!E47)</f>
        <v/>
      </c>
      <c r="E88" s="108" t="str">
        <f>IF('kWh_Streetlight Data'!F47=0,"",'kWh_Streetlight Data'!F47)</f>
        <v/>
      </c>
      <c r="F88" s="108" t="str">
        <f>IF('kWh_Streetlight Data'!G47=0,"",'kWh_Streetlight Data'!G47)</f>
        <v/>
      </c>
      <c r="G88" s="108" t="str">
        <f>IF('kWh_Streetlight Data'!H47=0,"",'kWh_Streetlight Data'!H47)</f>
        <v/>
      </c>
      <c r="H88" s="108" t="str">
        <f>IF('kWh_Streetlight Data'!I47=0,"",'kWh_Streetlight Data'!I47)</f>
        <v/>
      </c>
      <c r="I88" s="108" t="str">
        <f>IF('kWh_Streetlight Data'!J47=0,"",'kWh_Streetlight Data'!J47)</f>
        <v/>
      </c>
      <c r="J88" s="108" t="str">
        <f>IF('kWh_Streetlight Data'!K47=0,"",'kWh_Streetlight Data'!K47)</f>
        <v/>
      </c>
      <c r="K88" s="108" t="str">
        <f>IF('kWh_Streetlight Data'!L47=0,"",'kWh_Streetlight Data'!L47)</f>
        <v/>
      </c>
      <c r="L88" s="108" t="str">
        <f>IF('kWh_Streetlight Data'!M47=0,"",'kWh_Streetlight Data'!M47)</f>
        <v/>
      </c>
      <c r="M88" s="108" t="str">
        <f>IF('kWh_Streetlight Data'!N47=0,"",'kWh_Streetlight Data'!N47)</f>
        <v/>
      </c>
      <c r="N88" s="424" t="str">
        <f>IF('kWh_Streetlight Data'!O47=0,"",'kWh_Streetlight Data'!O47)</f>
        <v/>
      </c>
      <c r="O88" s="84" t="str">
        <f>IF('kWh_Streetlight Data'!P47=0,"",'kWh_Streetlight Data'!P47)</f>
        <v/>
      </c>
      <c r="P88" s="108" t="str">
        <f>IF('kWh_Streetlight Data'!Q47=0,"",'kWh_Streetlight Data'!Q47)</f>
        <v/>
      </c>
      <c r="Q88" s="108" t="str">
        <f>IF('kWh_Streetlight Data'!R47=0,"",'kWh_Streetlight Data'!R47)</f>
        <v/>
      </c>
      <c r="R88" s="108" t="str">
        <f>IF('kWh_Streetlight Data'!S47=0,"",'kWh_Streetlight Data'!S47)</f>
        <v/>
      </c>
      <c r="S88" s="108" t="str">
        <f>IF('kWh_Streetlight Data'!T47=0,"",'kWh_Streetlight Data'!T47)</f>
        <v/>
      </c>
      <c r="T88" s="108" t="str">
        <f>IF('kWh_Streetlight Data'!U47=0,"",'kWh_Streetlight Data'!U47)</f>
        <v/>
      </c>
      <c r="U88" s="108" t="str">
        <f>IF('kWh_Streetlight Data'!V47=0,"",'kWh_Streetlight Data'!V47)</f>
        <v/>
      </c>
      <c r="V88" s="108" t="str">
        <f>IF('kWh_Streetlight Data'!W47=0,"",'kWh_Streetlight Data'!W47)</f>
        <v/>
      </c>
      <c r="W88" s="108" t="str">
        <f>IF('kWh_Streetlight Data'!X47=0,"",'kWh_Streetlight Data'!X47)</f>
        <v/>
      </c>
      <c r="X88" s="108" t="str">
        <f>IF('kWh_Streetlight Data'!Y47=0,"",'kWh_Streetlight Data'!Y47)</f>
        <v/>
      </c>
      <c r="Y88" s="108" t="str">
        <f>IF('kWh_Streetlight Data'!Z47=0,"",'kWh_Streetlight Data'!Z47)</f>
        <v/>
      </c>
      <c r="Z88" s="108" t="str">
        <f>IF('kWh_Streetlight Data'!AA47=0,"",'kWh_Streetlight Data'!AA47)</f>
        <v/>
      </c>
      <c r="AA88" s="426" t="str">
        <f>IF('kWh_Streetlight Data'!AB47=0,"",'kWh_Streetlight Data'!AB47)</f>
        <v/>
      </c>
      <c r="AB88" s="442" t="str">
        <f>IF('kWh_Streetlight Data'!AC47=0,"",'kWh_Streetlight Data'!AC47)</f>
        <v/>
      </c>
      <c r="AC88" s="443" t="str">
        <f>IF('kWh_Streetlight Data'!AD47=0,"",'kWh_Streetlight Data'!AD47)</f>
        <v/>
      </c>
      <c r="AD88" s="443" t="str">
        <f>IF('kWh_Streetlight Data'!AE47=0,"",'kWh_Streetlight Data'!AE47)</f>
        <v/>
      </c>
      <c r="AE88" s="443" t="str">
        <f>IF('kWh_Streetlight Data'!AF47=0,"",'kWh_Streetlight Data'!AF47)</f>
        <v/>
      </c>
      <c r="AF88" s="443" t="str">
        <f>IF('kWh_Streetlight Data'!AG47=0,"",'kWh_Streetlight Data'!AG47)</f>
        <v/>
      </c>
      <c r="AG88" s="443" t="str">
        <f>IF('kWh_Streetlight Data'!AH47=0,"",'kWh_Streetlight Data'!AH47)</f>
        <v/>
      </c>
      <c r="AH88" s="108" t="str">
        <f>IF('kWh_Streetlight Data'!AI47=0,"",'kWh_Streetlight Data'!AI47)</f>
        <v/>
      </c>
      <c r="AI88" s="108" t="str">
        <f>IF('kWh_Streetlight Data'!AJ47=0,"",'kWh_Streetlight Data'!AJ47)</f>
        <v/>
      </c>
      <c r="AJ88" s="108" t="str">
        <f>IF('kWh_Streetlight Data'!AK47=0,"",'kWh_Streetlight Data'!AK47)</f>
        <v/>
      </c>
      <c r="AK88" s="108" t="str">
        <f>IF('kWh_Streetlight Data'!AL47=0,"",'kWh_Streetlight Data'!AL47)</f>
        <v/>
      </c>
      <c r="AL88" s="108" t="str">
        <f>IF('kWh_Streetlight Data'!AM47=0,"",'kWh_Streetlight Data'!AM47)</f>
        <v/>
      </c>
      <c r="AM88" s="108" t="str">
        <f>IF('kWh_Streetlight Data'!AN47=0,"",'kWh_Streetlight Data'!AN47)</f>
        <v/>
      </c>
      <c r="AN88" s="424" t="str">
        <f>IF('kWh_Streetlight Data'!AO47=0,"",'kWh_Streetlight Data'!AO47)</f>
        <v/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/>
      <c r="AV89" s="126"/>
      <c r="AW89" s="126"/>
      <c r="AX89" s="126"/>
      <c r="AY89" s="126"/>
      <c r="AZ89" s="126"/>
      <c r="BA89" s="197"/>
      <c r="BB89" s="121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9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64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 thickBot="1">
      <c r="A94" s="374" t="s">
        <v>54</v>
      </c>
      <c r="B94" s="84" t="str">
        <f>IF('kWh_Streetlight Data'!C48=0,"",'kWh_Streetlight Data'!C48)</f>
        <v/>
      </c>
      <c r="C94" s="108" t="str">
        <f>IF('kWh_Streetlight Data'!D48=0,"",'kWh_Streetlight Data'!D48)</f>
        <v/>
      </c>
      <c r="D94" s="108" t="str">
        <f>IF('kWh_Streetlight Data'!E48=0,"",'kWh_Streetlight Data'!E48)</f>
        <v/>
      </c>
      <c r="E94" s="108" t="str">
        <f>IF('kWh_Streetlight Data'!F48=0,"",'kWh_Streetlight Data'!F48)</f>
        <v/>
      </c>
      <c r="F94" s="108" t="str">
        <f>IF('kWh_Streetlight Data'!G48=0,"",'kWh_Streetlight Data'!G48)</f>
        <v/>
      </c>
      <c r="G94" s="108" t="str">
        <f>IF('kWh_Streetlight Data'!H48=0,"",'kWh_Streetlight Data'!H48)</f>
        <v/>
      </c>
      <c r="H94" s="108" t="str">
        <f>IF('kWh_Streetlight Data'!I48=0,"",'kWh_Streetlight Data'!I48)</f>
        <v/>
      </c>
      <c r="I94" s="108" t="str">
        <f>IF('kWh_Streetlight Data'!J48=0,"",'kWh_Streetlight Data'!J48)</f>
        <v/>
      </c>
      <c r="J94" s="108" t="str">
        <f>IF('kWh_Streetlight Data'!K48=0,"",'kWh_Streetlight Data'!K48)</f>
        <v/>
      </c>
      <c r="K94" s="108" t="str">
        <f>IF('kWh_Streetlight Data'!L48=0,"",'kWh_Streetlight Data'!L48)</f>
        <v/>
      </c>
      <c r="L94" s="108" t="str">
        <f>IF('kWh_Streetlight Data'!M48=0,"",'kWh_Streetlight Data'!M48)</f>
        <v/>
      </c>
      <c r="M94" s="108" t="str">
        <f>IF('kWh_Streetlight Data'!N48=0,"",'kWh_Streetlight Data'!N48)</f>
        <v/>
      </c>
      <c r="N94" s="424" t="str">
        <f>IF('kWh_Streetlight Data'!O48=0,"",'kWh_Streetlight Data'!O48)</f>
        <v/>
      </c>
      <c r="O94" s="84" t="str">
        <f>IF('kWh_Streetlight Data'!P48=0,"",'kWh_Streetlight Data'!P48)</f>
        <v/>
      </c>
      <c r="P94" s="108" t="str">
        <f>IF('kWh_Streetlight Data'!Q48=0,"",'kWh_Streetlight Data'!Q48)</f>
        <v/>
      </c>
      <c r="Q94" s="108" t="str">
        <f>IF('kWh_Streetlight Data'!R48=0,"",'kWh_Streetlight Data'!R48)</f>
        <v/>
      </c>
      <c r="R94" s="108" t="str">
        <f>IF('kWh_Streetlight Data'!S48=0,"",'kWh_Streetlight Data'!S48)</f>
        <v/>
      </c>
      <c r="S94" s="108" t="str">
        <f>IF('kWh_Streetlight Data'!T48=0,"",'kWh_Streetlight Data'!T48)</f>
        <v/>
      </c>
      <c r="T94" s="108" t="str">
        <f>IF('kWh_Streetlight Data'!U48=0,"",'kWh_Streetlight Data'!U48)</f>
        <v/>
      </c>
      <c r="U94" s="108" t="str">
        <f>IF('kWh_Streetlight Data'!V48=0,"",'kWh_Streetlight Data'!V48)</f>
        <v/>
      </c>
      <c r="V94" s="108" t="str">
        <f>IF('kWh_Streetlight Data'!W48=0,"",'kWh_Streetlight Data'!W48)</f>
        <v/>
      </c>
      <c r="W94" s="108" t="str">
        <f>IF('kWh_Streetlight Data'!X48=0,"",'kWh_Streetlight Data'!X48)</f>
        <v/>
      </c>
      <c r="X94" s="108" t="str">
        <f>IF('kWh_Streetlight Data'!Y48=0,"",'kWh_Streetlight Data'!Y48)</f>
        <v/>
      </c>
      <c r="Y94" s="108" t="str">
        <f>IF('kWh_Streetlight Data'!Z48=0,"",'kWh_Streetlight Data'!Z48)</f>
        <v/>
      </c>
      <c r="Z94" s="108" t="str">
        <f>IF('kWh_Streetlight Data'!AA48=0,"",'kWh_Streetlight Data'!AA48)</f>
        <v/>
      </c>
      <c r="AA94" s="426" t="str">
        <f>IF('kWh_Streetlight Data'!AB48=0,"",'kWh_Streetlight Data'!AB48)</f>
        <v/>
      </c>
      <c r="AB94" s="84" t="str">
        <f>IF('kWh_Streetlight Data'!AC48=0,"",'kWh_Streetlight Data'!AC48)</f>
        <v/>
      </c>
      <c r="AC94" s="108" t="str">
        <f>IF('kWh_Streetlight Data'!AD48=0,"",'kWh_Streetlight Data'!AD48)</f>
        <v/>
      </c>
      <c r="AD94" s="108" t="str">
        <f>IF('kWh_Streetlight Data'!AE48=0,"",'kWh_Streetlight Data'!AE48)</f>
        <v/>
      </c>
      <c r="AE94" s="108" t="str">
        <f>IF('kWh_Streetlight Data'!AF48=0,"",'kWh_Streetlight Data'!AF48)</f>
        <v/>
      </c>
      <c r="AF94" s="108" t="str">
        <f>IF('kWh_Streetlight Data'!AG48=0,"",'kWh_Streetlight Data'!AG48)</f>
        <v/>
      </c>
      <c r="AG94" s="108" t="str">
        <f>IF('kWh_Streetlight Data'!AH48=0,"",'kWh_Streetlight Data'!AH48)</f>
        <v/>
      </c>
      <c r="AH94" s="108" t="str">
        <f>IF('kWh_Streetlight Data'!AI48=0,"",'kWh_Streetlight Data'!AI48)</f>
        <v/>
      </c>
      <c r="AI94" s="108" t="str">
        <f>IF('kWh_Streetlight Data'!AJ48=0,"",'kWh_Streetlight Data'!AJ48)</f>
        <v/>
      </c>
      <c r="AJ94" s="108" t="str">
        <f>IF('kWh_Streetlight Data'!AK48=0,"",'kWh_Streetlight Data'!AK48)</f>
        <v/>
      </c>
      <c r="AK94" s="108" t="str">
        <f>IF('kWh_Streetlight Data'!AL48=0,"",'kWh_Streetlight Data'!AL48)</f>
        <v/>
      </c>
      <c r="AL94" s="108" t="str">
        <f>IF('kWh_Streetlight Data'!AM48=0,"",'kWh_Streetlight Data'!AM48)</f>
        <v/>
      </c>
      <c r="AM94" s="108" t="str">
        <f>IF('kWh_Streetlight Data'!AN48=0,"",'kWh_Streetlight Data'!AN48)</f>
        <v/>
      </c>
      <c r="AN94" s="424" t="str">
        <f>IF('kWh_Streetlight Data'!AO48=0,"",'kWh_Streetlight Data'!AO48)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211"/>
      <c r="BO94" s="20"/>
    </row>
    <row r="95" spans="1:67" ht="15.75" customHeight="1" thickTop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413"/>
      <c r="N95" s="265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210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9"/>
      <c r="AN97" s="210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39"/>
      <c r="AN98" s="210"/>
      <c r="AO98" s="34"/>
      <c r="AP98" s="35"/>
      <c r="AQ98" s="35"/>
      <c r="AR98" s="35"/>
      <c r="AS98" s="35"/>
      <c r="AT98" s="9"/>
      <c r="AU98" s="9">
        <f t="shared" ref="AU98:AZ98" si="22">AU7+AU22+AU29+AU43</f>
        <v>91</v>
      </c>
      <c r="AV98" s="9">
        <f t="shared" si="22"/>
        <v>91</v>
      </c>
      <c r="AW98" s="9">
        <f t="shared" si="22"/>
        <v>91</v>
      </c>
      <c r="AX98" s="9">
        <f t="shared" si="22"/>
        <v>91</v>
      </c>
      <c r="AY98" s="9">
        <f t="shared" si="22"/>
        <v>91</v>
      </c>
      <c r="AZ98" s="9">
        <f t="shared" si="22"/>
        <v>91</v>
      </c>
      <c r="BA98" s="138">
        <f>AZ98</f>
        <v>91</v>
      </c>
      <c r="BB98" s="39">
        <v>91</v>
      </c>
      <c r="BC98" s="39">
        <v>91</v>
      </c>
      <c r="BD98" s="39">
        <v>91</v>
      </c>
      <c r="BE98" s="39">
        <v>91</v>
      </c>
      <c r="BF98" s="39">
        <f t="shared" ref="BF98:BO98" si="23">BF7+BF22+BF29+BF43</f>
        <v>91</v>
      </c>
      <c r="BG98" s="39">
        <f t="shared" si="23"/>
        <v>91</v>
      </c>
      <c r="BH98" s="39">
        <f t="shared" si="23"/>
        <v>91</v>
      </c>
      <c r="BI98" s="39">
        <f t="shared" si="23"/>
        <v>91</v>
      </c>
      <c r="BJ98" s="39">
        <f t="shared" si="23"/>
        <v>91</v>
      </c>
      <c r="BK98" s="39">
        <f t="shared" si="23"/>
        <v>91</v>
      </c>
      <c r="BL98" s="39">
        <f t="shared" si="23"/>
        <v>91</v>
      </c>
      <c r="BM98" s="39">
        <f t="shared" si="23"/>
        <v>91</v>
      </c>
      <c r="BN98" s="215">
        <f t="shared" si="23"/>
        <v>91</v>
      </c>
      <c r="BO98" s="142">
        <f t="shared" si="23"/>
        <v>91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39"/>
      <c r="AN99" s="210"/>
      <c r="AO99" s="34"/>
      <c r="AP99" s="35"/>
      <c r="AQ99" s="35"/>
      <c r="AR99" s="35"/>
      <c r="AS99" s="35"/>
      <c r="AT99" s="9"/>
      <c r="AU99" s="9">
        <f t="shared" ref="AU99:AZ99" si="24">AU57</f>
        <v>0</v>
      </c>
      <c r="AV99" s="9">
        <f t="shared" si="24"/>
        <v>0</v>
      </c>
      <c r="AW99" s="9">
        <f t="shared" si="24"/>
        <v>0</v>
      </c>
      <c r="AX99" s="9">
        <f t="shared" si="24"/>
        <v>0</v>
      </c>
      <c r="AY99" s="9">
        <f t="shared" si="24"/>
        <v>0</v>
      </c>
      <c r="AZ99" s="9">
        <f t="shared" si="24"/>
        <v>0</v>
      </c>
      <c r="BA99" s="138">
        <f>AZ99</f>
        <v>0</v>
      </c>
      <c r="BB99" s="39">
        <v>0</v>
      </c>
      <c r="BC99" s="39">
        <v>0</v>
      </c>
      <c r="BD99" s="39">
        <v>0</v>
      </c>
      <c r="BE99" s="39">
        <v>0</v>
      </c>
      <c r="BF99" s="39">
        <f t="shared" ref="BF99:BO99" si="25">BF57</f>
        <v>0</v>
      </c>
      <c r="BG99" s="39">
        <f t="shared" si="25"/>
        <v>0</v>
      </c>
      <c r="BH99" s="39">
        <f t="shared" si="25"/>
        <v>0</v>
      </c>
      <c r="BI99" s="39">
        <f t="shared" si="25"/>
        <v>0</v>
      </c>
      <c r="BJ99" s="39">
        <f t="shared" si="25"/>
        <v>0</v>
      </c>
      <c r="BK99" s="39">
        <f t="shared" si="25"/>
        <v>0</v>
      </c>
      <c r="BL99" s="39">
        <f t="shared" si="25"/>
        <v>0</v>
      </c>
      <c r="BM99" s="39">
        <f t="shared" si="25"/>
        <v>0</v>
      </c>
      <c r="BN99" s="215">
        <f t="shared" si="25"/>
        <v>0</v>
      </c>
      <c r="BO99" s="142">
        <f t="shared" si="25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39"/>
      <c r="AN100" s="210"/>
      <c r="AO100" s="8"/>
      <c r="AP100" s="9"/>
      <c r="AQ100" s="9"/>
      <c r="AR100" s="9"/>
      <c r="AS100" s="9"/>
      <c r="AT100" s="9"/>
      <c r="AU100" s="9">
        <f t="shared" ref="AU100:AZ100" si="26">AU65+AU75+AU81+AU86</f>
        <v>0</v>
      </c>
      <c r="AV100" s="9">
        <f t="shared" si="26"/>
        <v>0</v>
      </c>
      <c r="AW100" s="9">
        <f t="shared" si="26"/>
        <v>0</v>
      </c>
      <c r="AX100" s="9">
        <f t="shared" si="26"/>
        <v>0</v>
      </c>
      <c r="AY100" s="9">
        <f t="shared" si="26"/>
        <v>0</v>
      </c>
      <c r="AZ100" s="9">
        <f t="shared" si="26"/>
        <v>0</v>
      </c>
      <c r="BA100" s="138">
        <f>AZ100</f>
        <v>0</v>
      </c>
      <c r="BB100" s="39">
        <v>0</v>
      </c>
      <c r="BC100" s="39">
        <v>0</v>
      </c>
      <c r="BD100" s="39">
        <v>0</v>
      </c>
      <c r="BE100" s="39">
        <v>0</v>
      </c>
      <c r="BF100" s="39">
        <f t="shared" ref="BF100:BO100" si="27">BF65+BF75+BF81+BF86</f>
        <v>0</v>
      </c>
      <c r="BG100" s="39">
        <f t="shared" si="27"/>
        <v>0</v>
      </c>
      <c r="BH100" s="39">
        <f t="shared" si="27"/>
        <v>0</v>
      </c>
      <c r="BI100" s="39">
        <f t="shared" si="27"/>
        <v>0</v>
      </c>
      <c r="BJ100" s="39">
        <f t="shared" si="27"/>
        <v>0</v>
      </c>
      <c r="BK100" s="39">
        <f t="shared" si="27"/>
        <v>0</v>
      </c>
      <c r="BL100" s="39">
        <f t="shared" si="27"/>
        <v>0</v>
      </c>
      <c r="BM100" s="39">
        <f t="shared" si="27"/>
        <v>0</v>
      </c>
      <c r="BN100" s="210">
        <f t="shared" si="27"/>
        <v>0</v>
      </c>
      <c r="BO100" s="483">
        <f t="shared" si="27"/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28">SUM(AU98:AU100)</f>
        <v>91</v>
      </c>
      <c r="AV101" s="73">
        <f t="shared" si="28"/>
        <v>91</v>
      </c>
      <c r="AW101" s="73">
        <f t="shared" si="28"/>
        <v>91</v>
      </c>
      <c r="AX101" s="73">
        <f t="shared" si="28"/>
        <v>91</v>
      </c>
      <c r="AY101" s="73">
        <f t="shared" si="28"/>
        <v>91</v>
      </c>
      <c r="AZ101" s="73">
        <f t="shared" si="28"/>
        <v>91</v>
      </c>
      <c r="BA101" s="249">
        <f t="shared" si="28"/>
        <v>91</v>
      </c>
      <c r="BB101" s="73">
        <v>91</v>
      </c>
      <c r="BC101" s="73">
        <v>91</v>
      </c>
      <c r="BD101" s="73">
        <v>91</v>
      </c>
      <c r="BE101" s="73">
        <v>91</v>
      </c>
      <c r="BF101" s="73">
        <f t="shared" ref="BF101:BO101" si="29">SUM(BF98:BF100)</f>
        <v>91</v>
      </c>
      <c r="BG101" s="73">
        <f t="shared" si="29"/>
        <v>91</v>
      </c>
      <c r="BH101" s="73">
        <f t="shared" si="29"/>
        <v>91</v>
      </c>
      <c r="BI101" s="73">
        <f t="shared" si="29"/>
        <v>91</v>
      </c>
      <c r="BJ101" s="73">
        <f t="shared" si="29"/>
        <v>91</v>
      </c>
      <c r="BK101" s="73">
        <f t="shared" si="29"/>
        <v>91</v>
      </c>
      <c r="BL101" s="73">
        <f t="shared" si="29"/>
        <v>91</v>
      </c>
      <c r="BM101" s="73">
        <f t="shared" si="29"/>
        <v>91</v>
      </c>
      <c r="BN101" s="249">
        <f t="shared" si="29"/>
        <v>91</v>
      </c>
      <c r="BO101" s="249">
        <f t="shared" si="29"/>
        <v>91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66"/>
      <c r="BO102" s="232"/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210"/>
      <c r="BO103" s="483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AZ104" si="30">AU92</f>
        <v>0</v>
      </c>
      <c r="AV104" s="9">
        <f t="shared" si="30"/>
        <v>0</v>
      </c>
      <c r="AW104" s="9">
        <f t="shared" si="30"/>
        <v>0</v>
      </c>
      <c r="AX104" s="9">
        <f t="shared" si="30"/>
        <v>0</v>
      </c>
      <c r="AY104" s="9">
        <f t="shared" si="30"/>
        <v>0</v>
      </c>
      <c r="AZ104" s="9">
        <f t="shared" si="30"/>
        <v>0</v>
      </c>
      <c r="BA104" s="138"/>
      <c r="BB104" s="39">
        <v>0</v>
      </c>
      <c r="BC104" s="39">
        <v>0</v>
      </c>
      <c r="BD104" s="39">
        <v>0</v>
      </c>
      <c r="BE104" s="39">
        <v>0</v>
      </c>
      <c r="BF104" s="39">
        <f t="shared" ref="BF104:BM104" si="31">BF92</f>
        <v>0</v>
      </c>
      <c r="BG104" s="39">
        <f t="shared" si="31"/>
        <v>0</v>
      </c>
      <c r="BH104" s="39">
        <f t="shared" si="31"/>
        <v>0</v>
      </c>
      <c r="BI104" s="39">
        <f t="shared" si="31"/>
        <v>0</v>
      </c>
      <c r="BJ104" s="39">
        <f t="shared" si="31"/>
        <v>0</v>
      </c>
      <c r="BK104" s="39">
        <f t="shared" si="31"/>
        <v>0</v>
      </c>
      <c r="BL104" s="39">
        <f t="shared" si="31"/>
        <v>0</v>
      </c>
      <c r="BM104" s="39">
        <f t="shared" si="31"/>
        <v>0</v>
      </c>
      <c r="BN104" s="210"/>
      <c r="BO104" s="483">
        <f>BO92</f>
        <v>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32">SUM(AU102:AU104)</f>
        <v>0</v>
      </c>
      <c r="AV105" s="73">
        <f t="shared" si="32"/>
        <v>0</v>
      </c>
      <c r="AW105" s="73">
        <f t="shared" si="32"/>
        <v>0</v>
      </c>
      <c r="AX105" s="73">
        <f t="shared" si="32"/>
        <v>0</v>
      </c>
      <c r="AY105" s="73">
        <f t="shared" si="32"/>
        <v>0</v>
      </c>
      <c r="AZ105" s="73">
        <f t="shared" si="32"/>
        <v>0</v>
      </c>
      <c r="BA105" s="249">
        <f t="shared" si="32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33">SUM(BF102:BF104)</f>
        <v>0</v>
      </c>
      <c r="BG105" s="73">
        <f t="shared" si="33"/>
        <v>0</v>
      </c>
      <c r="BH105" s="73">
        <f t="shared" si="33"/>
        <v>0</v>
      </c>
      <c r="BI105" s="73">
        <f t="shared" si="33"/>
        <v>0</v>
      </c>
      <c r="BJ105" s="73">
        <f t="shared" si="33"/>
        <v>0</v>
      </c>
      <c r="BK105" s="73">
        <f t="shared" si="33"/>
        <v>0</v>
      </c>
      <c r="BL105" s="73">
        <f t="shared" si="33"/>
        <v>0</v>
      </c>
      <c r="BM105" s="73">
        <f t="shared" si="33"/>
        <v>0</v>
      </c>
      <c r="BN105" s="249">
        <f t="shared" si="33"/>
        <v>0</v>
      </c>
      <c r="BO105" s="249">
        <f t="shared" si="33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34">AU105+AU101</f>
        <v>91</v>
      </c>
      <c r="AV106" s="251">
        <f t="shared" si="34"/>
        <v>91</v>
      </c>
      <c r="AW106" s="251">
        <f t="shared" si="34"/>
        <v>91</v>
      </c>
      <c r="AX106" s="251">
        <f t="shared" si="34"/>
        <v>91</v>
      </c>
      <c r="AY106" s="251">
        <f t="shared" si="34"/>
        <v>91</v>
      </c>
      <c r="AZ106" s="251">
        <f t="shared" si="34"/>
        <v>91</v>
      </c>
      <c r="BA106" s="255">
        <f t="shared" si="34"/>
        <v>91</v>
      </c>
      <c r="BB106" s="11">
        <v>91</v>
      </c>
      <c r="BC106" s="11">
        <v>91</v>
      </c>
      <c r="BD106" s="11">
        <v>91</v>
      </c>
      <c r="BE106" s="11">
        <v>91</v>
      </c>
      <c r="BF106" s="11">
        <f t="shared" si="34"/>
        <v>91</v>
      </c>
      <c r="BG106" s="11">
        <f t="shared" si="34"/>
        <v>91</v>
      </c>
      <c r="BH106" s="11">
        <f t="shared" si="34"/>
        <v>91</v>
      </c>
      <c r="BI106" s="11">
        <f t="shared" si="34"/>
        <v>91</v>
      </c>
      <c r="BJ106" s="11">
        <f t="shared" si="34"/>
        <v>91</v>
      </c>
      <c r="BK106" s="11">
        <f t="shared" si="34"/>
        <v>91</v>
      </c>
      <c r="BL106" s="11">
        <f t="shared" si="34"/>
        <v>91</v>
      </c>
      <c r="BM106" s="11">
        <f t="shared" si="34"/>
        <v>91</v>
      </c>
      <c r="BN106" s="223">
        <f t="shared" si="34"/>
        <v>91</v>
      </c>
      <c r="BO106" s="223">
        <f t="shared" si="34"/>
        <v>91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207"/>
      <c r="BO107" s="14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35">AU11+AU26+AU33+AU47</f>
        <v>57056</v>
      </c>
      <c r="AV108" s="9">
        <f t="shared" si="35"/>
        <v>23927</v>
      </c>
      <c r="AW108" s="9">
        <f t="shared" si="35"/>
        <v>23700</v>
      </c>
      <c r="AX108" s="9">
        <f t="shared" si="35"/>
        <v>85899</v>
      </c>
      <c r="AY108" s="9">
        <f t="shared" si="35"/>
        <v>27722</v>
      </c>
      <c r="AZ108" s="9">
        <f t="shared" si="35"/>
        <v>30474</v>
      </c>
      <c r="BA108" s="138">
        <f t="shared" si="35"/>
        <v>248778</v>
      </c>
      <c r="BB108" s="39">
        <v>83459</v>
      </c>
      <c r="BC108" s="39">
        <v>43168</v>
      </c>
      <c r="BD108" s="39">
        <v>40906</v>
      </c>
      <c r="BE108" s="39">
        <v>53879</v>
      </c>
      <c r="BF108" s="39">
        <f t="shared" ref="BF108:BO108" si="36">BF11+BF26+BF33+BF47</f>
        <v>26598</v>
      </c>
      <c r="BG108" s="39">
        <f t="shared" si="36"/>
        <v>26525</v>
      </c>
      <c r="BH108" s="39">
        <f t="shared" si="36"/>
        <v>57056</v>
      </c>
      <c r="BI108" s="39">
        <f t="shared" si="36"/>
        <v>23927</v>
      </c>
      <c r="BJ108" s="39">
        <f t="shared" si="36"/>
        <v>23700</v>
      </c>
      <c r="BK108" s="39">
        <f t="shared" si="36"/>
        <v>85899</v>
      </c>
      <c r="BL108" s="39">
        <f t="shared" si="36"/>
        <v>27722</v>
      </c>
      <c r="BM108" s="39">
        <f t="shared" si="36"/>
        <v>30474</v>
      </c>
      <c r="BN108" s="210">
        <f t="shared" si="36"/>
        <v>523313</v>
      </c>
      <c r="BO108" s="210">
        <f t="shared" si="36"/>
        <v>523313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37">AU58</f>
        <v>0</v>
      </c>
      <c r="AV109" s="9">
        <f t="shared" si="37"/>
        <v>0</v>
      </c>
      <c r="AW109" s="9">
        <f t="shared" si="37"/>
        <v>0</v>
      </c>
      <c r="AX109" s="9">
        <f t="shared" si="37"/>
        <v>0</v>
      </c>
      <c r="AY109" s="9">
        <f t="shared" si="37"/>
        <v>0</v>
      </c>
      <c r="AZ109" s="9">
        <f t="shared" si="37"/>
        <v>0</v>
      </c>
      <c r="BA109" s="138">
        <f t="shared" si="37"/>
        <v>0</v>
      </c>
      <c r="BB109" s="39">
        <v>0</v>
      </c>
      <c r="BC109" s="39">
        <v>0</v>
      </c>
      <c r="BD109" s="39">
        <v>0</v>
      </c>
      <c r="BE109" s="39">
        <v>0</v>
      </c>
      <c r="BF109" s="39">
        <f t="shared" ref="BF109:BO109" si="38">BF58</f>
        <v>0</v>
      </c>
      <c r="BG109" s="39">
        <f t="shared" si="38"/>
        <v>0</v>
      </c>
      <c r="BH109" s="39">
        <f t="shared" si="38"/>
        <v>0</v>
      </c>
      <c r="BI109" s="39">
        <f t="shared" si="38"/>
        <v>0</v>
      </c>
      <c r="BJ109" s="39">
        <f t="shared" si="38"/>
        <v>0</v>
      </c>
      <c r="BK109" s="39">
        <f t="shared" si="38"/>
        <v>0</v>
      </c>
      <c r="BL109" s="39">
        <f t="shared" si="38"/>
        <v>0</v>
      </c>
      <c r="BM109" s="39">
        <f t="shared" si="38"/>
        <v>0</v>
      </c>
      <c r="BN109" s="210">
        <f t="shared" si="38"/>
        <v>0</v>
      </c>
      <c r="BO109" s="210">
        <f t="shared" si="38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39">AU68+AU78+AU82+AU87</f>
        <v>0</v>
      </c>
      <c r="AV110" s="9">
        <f t="shared" si="39"/>
        <v>0</v>
      </c>
      <c r="AW110" s="9">
        <f t="shared" si="39"/>
        <v>0</v>
      </c>
      <c r="AX110" s="9">
        <f t="shared" si="39"/>
        <v>0</v>
      </c>
      <c r="AY110" s="9">
        <f t="shared" si="39"/>
        <v>0</v>
      </c>
      <c r="AZ110" s="9">
        <f t="shared" si="39"/>
        <v>0</v>
      </c>
      <c r="BA110" s="138">
        <f t="shared" si="39"/>
        <v>0</v>
      </c>
      <c r="BB110" s="39">
        <v>0</v>
      </c>
      <c r="BC110" s="39">
        <v>0</v>
      </c>
      <c r="BD110" s="39">
        <v>0</v>
      </c>
      <c r="BE110" s="39">
        <v>0</v>
      </c>
      <c r="BF110" s="39">
        <f t="shared" ref="BF110:BO110" si="40">BF68+BF78+BF82+BF87</f>
        <v>0</v>
      </c>
      <c r="BG110" s="39">
        <f t="shared" si="40"/>
        <v>0</v>
      </c>
      <c r="BH110" s="39">
        <f t="shared" si="40"/>
        <v>0</v>
      </c>
      <c r="BI110" s="39">
        <f t="shared" si="40"/>
        <v>0</v>
      </c>
      <c r="BJ110" s="39">
        <f t="shared" si="40"/>
        <v>0</v>
      </c>
      <c r="BK110" s="39">
        <f t="shared" si="40"/>
        <v>0</v>
      </c>
      <c r="BL110" s="39">
        <f t="shared" si="40"/>
        <v>0</v>
      </c>
      <c r="BM110" s="39">
        <f t="shared" si="40"/>
        <v>0</v>
      </c>
      <c r="BN110" s="210">
        <f t="shared" si="40"/>
        <v>0</v>
      </c>
      <c r="BO110" s="210">
        <f t="shared" si="40"/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O111" si="41">SUM(AU108:AU110)</f>
        <v>57056</v>
      </c>
      <c r="AV111" s="73">
        <f t="shared" si="41"/>
        <v>23927</v>
      </c>
      <c r="AW111" s="73">
        <f t="shared" si="41"/>
        <v>23700</v>
      </c>
      <c r="AX111" s="73">
        <f t="shared" si="41"/>
        <v>85899</v>
      </c>
      <c r="AY111" s="73">
        <f t="shared" si="41"/>
        <v>27722</v>
      </c>
      <c r="AZ111" s="73">
        <f t="shared" si="41"/>
        <v>30474</v>
      </c>
      <c r="BA111" s="249">
        <f t="shared" si="41"/>
        <v>248778</v>
      </c>
      <c r="BB111" s="73">
        <v>83459</v>
      </c>
      <c r="BC111" s="73">
        <v>43168</v>
      </c>
      <c r="BD111" s="73">
        <v>40906</v>
      </c>
      <c r="BE111" s="73">
        <v>53879</v>
      </c>
      <c r="BF111" s="73">
        <f t="shared" si="41"/>
        <v>26598</v>
      </c>
      <c r="BG111" s="73">
        <f t="shared" si="41"/>
        <v>26525</v>
      </c>
      <c r="BH111" s="73">
        <f t="shared" si="41"/>
        <v>57056</v>
      </c>
      <c r="BI111" s="73">
        <f t="shared" si="41"/>
        <v>23927</v>
      </c>
      <c r="BJ111" s="73">
        <f t="shared" si="41"/>
        <v>23700</v>
      </c>
      <c r="BK111" s="73">
        <f t="shared" si="41"/>
        <v>85899</v>
      </c>
      <c r="BL111" s="73">
        <f t="shared" si="41"/>
        <v>27722</v>
      </c>
      <c r="BM111" s="73">
        <f t="shared" si="41"/>
        <v>30474</v>
      </c>
      <c r="BN111" s="249">
        <f t="shared" si="41"/>
        <v>523313</v>
      </c>
      <c r="BO111" s="249">
        <f t="shared" si="41"/>
        <v>523313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>
        <f>BA19+BA40+BA54</f>
        <v>0</v>
      </c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210">
        <f>BN19+BN40+BN54</f>
        <v>0</v>
      </c>
      <c r="BO112" s="210">
        <f>BO19+BO40+BO54</f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210"/>
      <c r="BO113" s="210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42">AU93</f>
        <v>0</v>
      </c>
      <c r="AV114" s="9">
        <f t="shared" si="42"/>
        <v>0</v>
      </c>
      <c r="AW114" s="9">
        <f t="shared" si="42"/>
        <v>0</v>
      </c>
      <c r="AX114" s="9">
        <f t="shared" si="42"/>
        <v>0</v>
      </c>
      <c r="AY114" s="9">
        <f t="shared" si="42"/>
        <v>0</v>
      </c>
      <c r="AZ114" s="9">
        <f t="shared" si="42"/>
        <v>0</v>
      </c>
      <c r="BA114" s="138">
        <f t="shared" si="42"/>
        <v>0</v>
      </c>
      <c r="BB114" s="63">
        <v>0</v>
      </c>
      <c r="BC114" s="63">
        <v>0</v>
      </c>
      <c r="BD114" s="63">
        <v>0</v>
      </c>
      <c r="BE114" s="63">
        <v>0</v>
      </c>
      <c r="BF114" s="63">
        <f t="shared" ref="BF114:BO114" si="43">BF93</f>
        <v>0</v>
      </c>
      <c r="BG114" s="63">
        <f t="shared" si="43"/>
        <v>0</v>
      </c>
      <c r="BH114" s="63">
        <f t="shared" si="43"/>
        <v>0</v>
      </c>
      <c r="BI114" s="63">
        <f t="shared" si="43"/>
        <v>0</v>
      </c>
      <c r="BJ114" s="63">
        <f t="shared" si="43"/>
        <v>0</v>
      </c>
      <c r="BK114" s="63">
        <f t="shared" si="43"/>
        <v>0</v>
      </c>
      <c r="BL114" s="63">
        <f t="shared" si="43"/>
        <v>0</v>
      </c>
      <c r="BM114" s="63">
        <f t="shared" si="43"/>
        <v>0</v>
      </c>
      <c r="BN114" s="195">
        <f t="shared" si="43"/>
        <v>0</v>
      </c>
      <c r="BO114" s="195">
        <f t="shared" si="43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44">SUM(AU112:AU114)</f>
        <v>0</v>
      </c>
      <c r="AV115" s="73">
        <f t="shared" si="44"/>
        <v>0</v>
      </c>
      <c r="AW115" s="73">
        <f t="shared" si="44"/>
        <v>0</v>
      </c>
      <c r="AX115" s="73">
        <f t="shared" si="44"/>
        <v>0</v>
      </c>
      <c r="AY115" s="73">
        <f t="shared" si="44"/>
        <v>0</v>
      </c>
      <c r="AZ115" s="73">
        <f t="shared" si="44"/>
        <v>0</v>
      </c>
      <c r="BA115" s="249">
        <f t="shared" si="44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45">SUM(BF112:BF114)</f>
        <v>0</v>
      </c>
      <c r="BG115" s="73">
        <f t="shared" si="45"/>
        <v>0</v>
      </c>
      <c r="BH115" s="73">
        <f t="shared" si="45"/>
        <v>0</v>
      </c>
      <c r="BI115" s="73">
        <f t="shared" si="45"/>
        <v>0</v>
      </c>
      <c r="BJ115" s="73">
        <f t="shared" si="45"/>
        <v>0</v>
      </c>
      <c r="BK115" s="73">
        <f t="shared" si="45"/>
        <v>0</v>
      </c>
      <c r="BL115" s="73">
        <f t="shared" si="45"/>
        <v>0</v>
      </c>
      <c r="BM115" s="73">
        <f t="shared" si="45"/>
        <v>0</v>
      </c>
      <c r="BN115" s="249">
        <f t="shared" si="45"/>
        <v>0</v>
      </c>
      <c r="BO115" s="249">
        <f t="shared" si="45"/>
        <v>0</v>
      </c>
    </row>
    <row r="116" spans="1:67" s="3" customFormat="1" ht="15.75" customHeight="1" thickBot="1">
      <c r="A116" s="201" t="s">
        <v>212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46">AU115+AU111</f>
        <v>57056</v>
      </c>
      <c r="AV116" s="251">
        <f t="shared" si="46"/>
        <v>23927</v>
      </c>
      <c r="AW116" s="251">
        <f t="shared" si="46"/>
        <v>23700</v>
      </c>
      <c r="AX116" s="251">
        <f t="shared" si="46"/>
        <v>85899</v>
      </c>
      <c r="AY116" s="251">
        <f t="shared" si="46"/>
        <v>27722</v>
      </c>
      <c r="AZ116" s="251">
        <f t="shared" si="46"/>
        <v>30474</v>
      </c>
      <c r="BA116" s="255">
        <f t="shared" si="46"/>
        <v>248778</v>
      </c>
      <c r="BB116" s="251">
        <v>83459</v>
      </c>
      <c r="BC116" s="251">
        <v>43168</v>
      </c>
      <c r="BD116" s="251">
        <v>40906</v>
      </c>
      <c r="BE116" s="251">
        <v>53879</v>
      </c>
      <c r="BF116" s="251">
        <f t="shared" si="46"/>
        <v>26598</v>
      </c>
      <c r="BG116" s="251">
        <f t="shared" si="46"/>
        <v>26525</v>
      </c>
      <c r="BH116" s="251">
        <f t="shared" si="46"/>
        <v>57056</v>
      </c>
      <c r="BI116" s="251">
        <f t="shared" si="46"/>
        <v>23927</v>
      </c>
      <c r="BJ116" s="251">
        <f t="shared" si="46"/>
        <v>23700</v>
      </c>
      <c r="BK116" s="251">
        <f t="shared" si="46"/>
        <v>85899</v>
      </c>
      <c r="BL116" s="251">
        <f t="shared" si="46"/>
        <v>27722</v>
      </c>
      <c r="BM116" s="251">
        <f t="shared" si="46"/>
        <v>30474</v>
      </c>
      <c r="BN116" s="255">
        <f t="shared" si="46"/>
        <v>523313</v>
      </c>
      <c r="BO116" s="255">
        <f t="shared" si="46"/>
        <v>523313</v>
      </c>
    </row>
    <row r="117" spans="1:67" ht="15.75" customHeight="1" thickTop="1" thickBot="1">
      <c r="A117" s="201" t="s">
        <v>2</v>
      </c>
      <c r="B117" s="8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244"/>
      <c r="N117" s="266"/>
      <c r="O117" s="8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266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266"/>
      <c r="AO117" s="34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211"/>
      <c r="BO117" s="7"/>
    </row>
    <row r="118" spans="1:67" ht="15" thickTop="1">
      <c r="A118" s="201"/>
      <c r="B118" s="355"/>
      <c r="C118" s="271"/>
      <c r="D118" s="271"/>
      <c r="E118" s="271"/>
      <c r="F118" s="271"/>
      <c r="G118" s="271"/>
      <c r="H118" s="271"/>
      <c r="I118" s="271"/>
      <c r="J118" s="271"/>
      <c r="K118" s="271"/>
      <c r="L118" s="271"/>
      <c r="M118" s="358"/>
      <c r="N118" s="357"/>
      <c r="O118" s="270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5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7"/>
      <c r="AO118" s="188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>
        <f>BJ99</f>
        <v>0</v>
      </c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20</v>
      </c>
      <c r="AV119" s="280">
        <f>AU119</f>
        <v>20</v>
      </c>
      <c r="AW119" s="280">
        <f>AV119</f>
        <v>20</v>
      </c>
      <c r="AX119" s="280">
        <f t="shared" ref="AX119:AZ119" si="47">AW119</f>
        <v>20</v>
      </c>
      <c r="AY119" s="280">
        <f t="shared" si="47"/>
        <v>20</v>
      </c>
      <c r="AZ119" s="280">
        <f t="shared" si="47"/>
        <v>20</v>
      </c>
      <c r="BA119" s="259"/>
      <c r="BB119" s="280">
        <v>20</v>
      </c>
      <c r="BC119" s="280">
        <v>20</v>
      </c>
      <c r="BD119" s="280">
        <v>20</v>
      </c>
      <c r="BE119" s="280">
        <v>20</v>
      </c>
      <c r="BF119" s="280">
        <f t="shared" ref="BF119:BM119" si="48">BE119</f>
        <v>20</v>
      </c>
      <c r="BG119" s="280">
        <f t="shared" si="48"/>
        <v>20</v>
      </c>
      <c r="BH119" s="280">
        <f t="shared" si="48"/>
        <v>20</v>
      </c>
      <c r="BI119" s="280">
        <f t="shared" si="48"/>
        <v>20</v>
      </c>
      <c r="BJ119" s="280">
        <f t="shared" si="48"/>
        <v>20</v>
      </c>
      <c r="BK119" s="280">
        <f t="shared" si="48"/>
        <v>20</v>
      </c>
      <c r="BL119" s="280">
        <f t="shared" si="48"/>
        <v>20</v>
      </c>
      <c r="BM119" s="280">
        <f t="shared" si="48"/>
        <v>20</v>
      </c>
      <c r="BN119" s="259"/>
      <c r="BO119" s="343">
        <f>BM119</f>
        <v>20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38217</v>
      </c>
      <c r="AU120" s="107">
        <v>24577</v>
      </c>
      <c r="AV120" s="39">
        <f>ROUND(AW108/30*AV119,0)</f>
        <v>15800</v>
      </c>
      <c r="AW120" s="39">
        <f>ROUND(AX108/30*AW119,0)</f>
        <v>57266</v>
      </c>
      <c r="AX120" s="39">
        <f>ROUND(AY108/30*AX119,0)</f>
        <v>18481</v>
      </c>
      <c r="AY120" s="39">
        <f>ROUND(AZ108/30*AY119,0)</f>
        <v>20316</v>
      </c>
      <c r="AZ120" s="39">
        <f>ROUND(BB108/30*AZ119,0)</f>
        <v>55639</v>
      </c>
      <c r="BA120" s="215"/>
      <c r="BB120" s="346">
        <v>28779</v>
      </c>
      <c r="BC120" s="346">
        <v>27271</v>
      </c>
      <c r="BD120" s="346">
        <v>35919</v>
      </c>
      <c r="BE120" s="346">
        <v>17732</v>
      </c>
      <c r="BF120" s="346">
        <f t="shared" ref="BF120:BL120" si="49">ROUND(BG108/30*BF119,0)</f>
        <v>17683</v>
      </c>
      <c r="BG120" s="346">
        <f t="shared" si="49"/>
        <v>38037</v>
      </c>
      <c r="BH120" s="346">
        <f t="shared" si="49"/>
        <v>15951</v>
      </c>
      <c r="BI120" s="346">
        <f t="shared" si="49"/>
        <v>15800</v>
      </c>
      <c r="BJ120" s="346">
        <f t="shared" si="49"/>
        <v>57266</v>
      </c>
      <c r="BK120" s="346">
        <f t="shared" si="49"/>
        <v>18481</v>
      </c>
      <c r="BL120" s="346">
        <f t="shared" si="49"/>
        <v>20316</v>
      </c>
      <c r="BM120" s="57">
        <f>ROUND(BO108*0.11/30*BM119,0)</f>
        <v>38376</v>
      </c>
      <c r="BN120" s="215"/>
      <c r="BO120" s="141">
        <v>38376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50">ROUND(BG110/30*BF119,0)</f>
        <v>0</v>
      </c>
      <c r="BG121" s="57">
        <f t="shared" si="50"/>
        <v>0</v>
      </c>
      <c r="BH121" s="57">
        <f t="shared" si="50"/>
        <v>0</v>
      </c>
      <c r="BI121" s="57">
        <f t="shared" si="50"/>
        <v>0</v>
      </c>
      <c r="BJ121" s="57">
        <f t="shared" si="50"/>
        <v>0</v>
      </c>
      <c r="BK121" s="57">
        <f t="shared" si="50"/>
        <v>0</v>
      </c>
      <c r="BL121" s="57">
        <f t="shared" si="50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-38217</v>
      </c>
      <c r="AV122" s="57">
        <f t="shared" ref="AV122:AZ123" si="51">-AU120</f>
        <v>-24577</v>
      </c>
      <c r="AW122" s="57">
        <f t="shared" si="51"/>
        <v>-15800</v>
      </c>
      <c r="AX122" s="57">
        <f t="shared" si="51"/>
        <v>-57266</v>
      </c>
      <c r="AY122" s="57">
        <f t="shared" si="51"/>
        <v>-18481</v>
      </c>
      <c r="AZ122" s="57">
        <f t="shared" si="51"/>
        <v>-20316</v>
      </c>
      <c r="BA122" s="215"/>
      <c r="BB122" s="57">
        <v>-55639</v>
      </c>
      <c r="BC122" s="57">
        <v>-28779</v>
      </c>
      <c r="BD122" s="57">
        <v>-27271</v>
      </c>
      <c r="BE122" s="57">
        <v>-35919</v>
      </c>
      <c r="BF122" s="57">
        <f t="shared" ref="BF122:BM123" si="52">-BE120</f>
        <v>-17732</v>
      </c>
      <c r="BG122" s="57">
        <f t="shared" si="52"/>
        <v>-17683</v>
      </c>
      <c r="BH122" s="57">
        <f t="shared" si="52"/>
        <v>-38037</v>
      </c>
      <c r="BI122" s="57">
        <f t="shared" si="52"/>
        <v>-15951</v>
      </c>
      <c r="BJ122" s="57">
        <f t="shared" si="52"/>
        <v>-15800</v>
      </c>
      <c r="BK122" s="57">
        <f t="shared" si="52"/>
        <v>-57266</v>
      </c>
      <c r="BL122" s="57">
        <f t="shared" si="52"/>
        <v>-18481</v>
      </c>
      <c r="BM122" s="57">
        <f t="shared" si="52"/>
        <v>-20316</v>
      </c>
      <c r="BN122" s="215"/>
      <c r="BO122" s="141">
        <f>-BM120</f>
        <v>-38376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51"/>
        <v>0</v>
      </c>
      <c r="AW123" s="57">
        <f t="shared" si="51"/>
        <v>0</v>
      </c>
      <c r="AX123" s="57">
        <f t="shared" si="51"/>
        <v>0</v>
      </c>
      <c r="AY123" s="57">
        <f t="shared" si="51"/>
        <v>0</v>
      </c>
      <c r="AZ123" s="57">
        <f t="shared" si="51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52"/>
        <v>0</v>
      </c>
      <c r="BG123" s="57">
        <f t="shared" si="52"/>
        <v>0</v>
      </c>
      <c r="BH123" s="57">
        <f t="shared" si="52"/>
        <v>0</v>
      </c>
      <c r="BI123" s="57">
        <f t="shared" si="52"/>
        <v>0</v>
      </c>
      <c r="BJ123" s="57">
        <f t="shared" si="52"/>
        <v>0</v>
      </c>
      <c r="BK123" s="57">
        <f t="shared" si="52"/>
        <v>0</v>
      </c>
      <c r="BL123" s="57">
        <f t="shared" si="52"/>
        <v>0</v>
      </c>
      <c r="BM123" s="57">
        <f t="shared" si="52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-13640</v>
      </c>
      <c r="AV124" s="344">
        <f t="shared" ref="AV124:AZ124" si="53">SUM(AV120:AV123)</f>
        <v>-8777</v>
      </c>
      <c r="AW124" s="344">
        <f t="shared" si="53"/>
        <v>41466</v>
      </c>
      <c r="AX124" s="344">
        <f t="shared" si="53"/>
        <v>-38785</v>
      </c>
      <c r="AY124" s="344">
        <f t="shared" si="53"/>
        <v>1835</v>
      </c>
      <c r="AZ124" s="344">
        <f t="shared" si="53"/>
        <v>35323</v>
      </c>
      <c r="BA124" s="345"/>
      <c r="BB124" s="344">
        <v>-26860</v>
      </c>
      <c r="BC124" s="344">
        <v>-1508</v>
      </c>
      <c r="BD124" s="344">
        <v>8648</v>
      </c>
      <c r="BE124" s="344">
        <v>-18187</v>
      </c>
      <c r="BF124" s="344">
        <f t="shared" ref="BF124:BO124" si="54">SUM(BF120:BF123)</f>
        <v>-49</v>
      </c>
      <c r="BG124" s="344">
        <f t="shared" si="54"/>
        <v>20354</v>
      </c>
      <c r="BH124" s="344">
        <f t="shared" si="54"/>
        <v>-22086</v>
      </c>
      <c r="BI124" s="344">
        <f t="shared" si="54"/>
        <v>-151</v>
      </c>
      <c r="BJ124" s="344">
        <f t="shared" si="54"/>
        <v>41466</v>
      </c>
      <c r="BK124" s="344">
        <f t="shared" si="54"/>
        <v>-38785</v>
      </c>
      <c r="BL124" s="344">
        <f t="shared" si="54"/>
        <v>1835</v>
      </c>
      <c r="BM124" s="344">
        <f t="shared" si="54"/>
        <v>18060</v>
      </c>
      <c r="BN124" s="345"/>
      <c r="BO124" s="272">
        <f t="shared" si="54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55">AU111+AU124</f>
        <v>43416</v>
      </c>
      <c r="AV132" s="66">
        <f t="shared" si="55"/>
        <v>15150</v>
      </c>
      <c r="AW132" s="66">
        <f t="shared" si="55"/>
        <v>65166</v>
      </c>
      <c r="AX132" s="66">
        <f t="shared" si="55"/>
        <v>47114</v>
      </c>
      <c r="AY132" s="66">
        <f t="shared" si="55"/>
        <v>29557</v>
      </c>
      <c r="AZ132" s="66">
        <f t="shared" si="55"/>
        <v>65797</v>
      </c>
      <c r="BA132" s="216">
        <f>SUM(AT132:AZ132)</f>
        <v>266200</v>
      </c>
      <c r="BB132" s="66">
        <v>56599</v>
      </c>
      <c r="BC132" s="66">
        <v>41660</v>
      </c>
      <c r="BD132" s="66">
        <v>49554</v>
      </c>
      <c r="BE132" s="66">
        <v>35692</v>
      </c>
      <c r="BF132" s="66">
        <f t="shared" ref="BF132:BO132" si="56">BF111+BF124</f>
        <v>26549</v>
      </c>
      <c r="BG132" s="66">
        <f t="shared" si="56"/>
        <v>46879</v>
      </c>
      <c r="BH132" s="66">
        <f t="shared" si="56"/>
        <v>34970</v>
      </c>
      <c r="BI132" s="66">
        <f t="shared" si="56"/>
        <v>23776</v>
      </c>
      <c r="BJ132" s="66">
        <f t="shared" si="56"/>
        <v>65166</v>
      </c>
      <c r="BK132" s="66">
        <f t="shared" si="56"/>
        <v>47114</v>
      </c>
      <c r="BL132" s="66">
        <f t="shared" si="56"/>
        <v>29557</v>
      </c>
      <c r="BM132" s="66">
        <f t="shared" si="56"/>
        <v>48534</v>
      </c>
      <c r="BN132" s="216">
        <f t="shared" si="56"/>
        <v>523313</v>
      </c>
      <c r="BO132" s="185">
        <f t="shared" si="56"/>
        <v>523313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P133"/>
  <sheetViews>
    <sheetView zoomScale="80" zoomScaleNormal="80" workbookViewId="0">
      <pane xSplit="1" ySplit="5" topLeftCell="N78" activePane="bottomRight" state="frozen"/>
      <selection pane="bottomRight" activeCell="BN79" sqref="BN79"/>
      <selection pane="bottomLeft" activeCell="A3" sqref="A3"/>
      <selection pane="topRight" activeCell="A3" sqref="A3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7" width="13.5703125" hidden="1" customWidth="1" outlineLevel="1"/>
    <col min="8" max="9" width="13.140625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2" width="13.140625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3.5703125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15.57031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8.5703125" style="3" bestFit="1" customWidth="1" collapsed="1"/>
    <col min="67" max="67" width="18.140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109</v>
      </c>
      <c r="B3" s="52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Customers!E29</f>
        <v>91</v>
      </c>
      <c r="AV7" s="109">
        <f>Customers!F29</f>
        <v>91</v>
      </c>
      <c r="AW7" s="109">
        <f>Customers!G29</f>
        <v>91</v>
      </c>
      <c r="AX7" s="109">
        <f>Customers!H29</f>
        <v>101</v>
      </c>
      <c r="AY7" s="109">
        <f>Customers!I29</f>
        <v>101</v>
      </c>
      <c r="AZ7" s="109">
        <f>Customers!J29</f>
        <v>101</v>
      </c>
      <c r="BA7" s="210">
        <f>AZ7</f>
        <v>101</v>
      </c>
      <c r="BB7" s="109">
        <v>101</v>
      </c>
      <c r="BC7" s="38">
        <v>101</v>
      </c>
      <c r="BD7" s="38">
        <v>101</v>
      </c>
      <c r="BE7" s="38">
        <v>101</v>
      </c>
      <c r="BF7" s="38">
        <f t="shared" ref="BF7:BM7" si="0">BE7</f>
        <v>101</v>
      </c>
      <c r="BG7" s="38">
        <f t="shared" si="0"/>
        <v>101</v>
      </c>
      <c r="BH7" s="38">
        <f t="shared" si="0"/>
        <v>101</v>
      </c>
      <c r="BI7" s="38">
        <f t="shared" si="0"/>
        <v>101</v>
      </c>
      <c r="BJ7" s="38">
        <f t="shared" si="0"/>
        <v>101</v>
      </c>
      <c r="BK7" s="38">
        <f t="shared" si="0"/>
        <v>101</v>
      </c>
      <c r="BL7" s="38">
        <f t="shared" si="0"/>
        <v>101</v>
      </c>
      <c r="BM7" s="38">
        <f t="shared" si="0"/>
        <v>101</v>
      </c>
      <c r="BN7" s="210">
        <f>IFERROR(ROUND(AVERAGE(BB7:BM7),0),0)</f>
        <v>101</v>
      </c>
      <c r="BO7" s="143">
        <f>Customers!L29</f>
        <v>101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33119</v>
      </c>
      <c r="AV8" s="38">
        <f>ROUND(AV$11*'kWh Blocks by Rate Category'!D8,0)</f>
        <v>42677</v>
      </c>
      <c r="AW8" s="38">
        <f>ROUND(AW$11*'kWh Blocks by Rate Category'!E8,0)</f>
        <v>34065</v>
      </c>
      <c r="AX8" s="38">
        <f>ROUND(AX$11*'kWh Blocks by Rate Category'!F8,0)</f>
        <v>44599</v>
      </c>
      <c r="AY8" s="38">
        <f>ROUND(AY$11*'kWh Blocks by Rate Category'!G8,0)</f>
        <v>62048</v>
      </c>
      <c r="AZ8" s="38">
        <f>ROUND(AZ$11*'kWh Blocks by Rate Category'!H8,0)</f>
        <v>61142</v>
      </c>
      <c r="BA8" s="210">
        <f>SUM(AO8:AZ8)</f>
        <v>277650</v>
      </c>
      <c r="BB8" s="38">
        <v>71494</v>
      </c>
      <c r="BC8" s="38">
        <v>67566</v>
      </c>
      <c r="BD8" s="38">
        <v>70211</v>
      </c>
      <c r="BE8" s="38">
        <v>48935</v>
      </c>
      <c r="BF8" s="38">
        <f>ROUND(BF$11*'kWh Blocks by Rate Category'!N8,0)</f>
        <v>58136</v>
      </c>
      <c r="BG8" s="38">
        <f>ROUND(BG$11*'kWh Blocks by Rate Category'!O8,0)</f>
        <v>53815</v>
      </c>
      <c r="BH8" s="38">
        <f>ROUND(BH$11*'kWh Blocks by Rate Category'!P8,0)</f>
        <v>36758</v>
      </c>
      <c r="BI8" s="38">
        <f>ROUND(BI$11*'kWh Blocks by Rate Category'!Q8,0)</f>
        <v>47367</v>
      </c>
      <c r="BJ8" s="38">
        <f>ROUND(BJ$11*'kWh Blocks by Rate Category'!R8,0)</f>
        <v>37808</v>
      </c>
      <c r="BK8" s="38">
        <f>ROUND(BK$11*'kWh Blocks by Rate Category'!S8,0)</f>
        <v>44599</v>
      </c>
      <c r="BL8" s="38">
        <f>ROUND(BL$11*'kWh Blocks by Rate Category'!T8,0)</f>
        <v>62048</v>
      </c>
      <c r="BM8" s="38">
        <f>ROUND(BM$11*'kWh Blocks by Rate Category'!U8,0)</f>
        <v>61142</v>
      </c>
      <c r="BN8" s="210">
        <f>SUM(BB8:BM8)</f>
        <v>659879</v>
      </c>
      <c r="BO8" s="143">
        <f>IFERROR(ROUND((BN8/BN$11)*BO$11,0),0)</f>
        <v>659879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17647</v>
      </c>
      <c r="AV9" s="38">
        <f>ROUND(AV$11*'kWh Blocks by Rate Category'!D9,0)</f>
        <v>22741</v>
      </c>
      <c r="AW9" s="38">
        <f>ROUND(AW$11*'kWh Blocks by Rate Category'!E9,0)</f>
        <v>18151</v>
      </c>
      <c r="AX9" s="38">
        <f>ROUND(AX$11*'kWh Blocks by Rate Category'!F9,0)</f>
        <v>23765</v>
      </c>
      <c r="AY9" s="38">
        <f>ROUND(AY$11*'kWh Blocks by Rate Category'!G9,0)</f>
        <v>33062</v>
      </c>
      <c r="AZ9" s="38">
        <f>ROUND(AZ$11*'kWh Blocks by Rate Category'!H9,0)</f>
        <v>32580</v>
      </c>
      <c r="BA9" s="210">
        <f>SUM(AO9:AZ9)</f>
        <v>147946</v>
      </c>
      <c r="BB9" s="38">
        <v>38095</v>
      </c>
      <c r="BC9" s="38">
        <v>36002</v>
      </c>
      <c r="BD9" s="38">
        <v>37412</v>
      </c>
      <c r="BE9" s="38">
        <v>26075</v>
      </c>
      <c r="BF9" s="38">
        <f>ROUND(BF$11*'kWh Blocks by Rate Category'!N9,0)</f>
        <v>30978</v>
      </c>
      <c r="BG9" s="38">
        <f>ROUND(BG$11*'kWh Blocks by Rate Category'!O9,0)</f>
        <v>28675</v>
      </c>
      <c r="BH9" s="38">
        <f>ROUND(BH$11*'kWh Blocks by Rate Category'!P9,0)</f>
        <v>19587</v>
      </c>
      <c r="BI9" s="38">
        <f>ROUND(BI$11*'kWh Blocks by Rate Category'!Q9,0)</f>
        <v>25239</v>
      </c>
      <c r="BJ9" s="38">
        <f>ROUND(BJ$11*'kWh Blocks by Rate Category'!R9,0)</f>
        <v>20146</v>
      </c>
      <c r="BK9" s="38">
        <f>ROUND(BK$11*'kWh Blocks by Rate Category'!S9,0)</f>
        <v>23765</v>
      </c>
      <c r="BL9" s="38">
        <f>ROUND(BL$11*'kWh Blocks by Rate Category'!T9,0)</f>
        <v>33062</v>
      </c>
      <c r="BM9" s="38">
        <f>ROUND(BM$11*'kWh Blocks by Rate Category'!U9,0)</f>
        <v>32580</v>
      </c>
      <c r="BN9" s="210">
        <f>SUM(BB9:BM9)</f>
        <v>351616</v>
      </c>
      <c r="BO9" s="143">
        <f>IFERROR(ROUND((BN9/BN$11)*BO$11,0),0)</f>
        <v>351616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3365</v>
      </c>
      <c r="AV10" s="38">
        <f>ROUND(AV$11*'kWh Blocks by Rate Category'!D10,0)</f>
        <v>4336</v>
      </c>
      <c r="AW10" s="38">
        <f>ROUND(AW$11*'kWh Blocks by Rate Category'!E10,0)</f>
        <v>3461</v>
      </c>
      <c r="AX10" s="38">
        <f>ROUND(AX$11*'kWh Blocks by Rate Category'!F10,0)</f>
        <v>4531</v>
      </c>
      <c r="AY10" s="38">
        <f>ROUND(AY$11*'kWh Blocks by Rate Category'!G10,0)+1</f>
        <v>6305</v>
      </c>
      <c r="AZ10" s="38">
        <f>ROUND(AZ$11*'kWh Blocks by Rate Category'!H10,0)</f>
        <v>6212</v>
      </c>
      <c r="BA10" s="210">
        <f>SUM(AO10:AZ10)</f>
        <v>28210</v>
      </c>
      <c r="BB10" s="38">
        <v>7264</v>
      </c>
      <c r="BC10" s="38">
        <v>6865</v>
      </c>
      <c r="BD10" s="38">
        <v>7134</v>
      </c>
      <c r="BE10" s="38">
        <v>4972</v>
      </c>
      <c r="BF10" s="38">
        <f>ROUND(BF$11*'kWh Blocks by Rate Category'!N10,0)</f>
        <v>5907</v>
      </c>
      <c r="BG10" s="38">
        <f>ROUND(BG$11*'kWh Blocks by Rate Category'!O10,0)</f>
        <v>5468</v>
      </c>
      <c r="BH10" s="38">
        <f>ROUND(BH$11*'kWh Blocks by Rate Category'!P10,0)</f>
        <v>3735</v>
      </c>
      <c r="BI10" s="38">
        <f>ROUND(BI$11*'kWh Blocks by Rate Category'!Q10,0)</f>
        <v>4813</v>
      </c>
      <c r="BJ10" s="38">
        <f>ROUND(BJ$11*'kWh Blocks by Rate Category'!R10,0)</f>
        <v>3841</v>
      </c>
      <c r="BK10" s="38">
        <f>ROUND(BK$11*'kWh Blocks by Rate Category'!S10,0)</f>
        <v>4531</v>
      </c>
      <c r="BL10" s="38">
        <f>ROUND(BL$11*'kWh Blocks by Rate Category'!T10,0)</f>
        <v>6304</v>
      </c>
      <c r="BM10" s="38">
        <f>ROUND(BM$11*'kWh Blocks by Rate Category'!U10,0)</f>
        <v>6212</v>
      </c>
      <c r="BN10" s="210">
        <f>SUM(BB10:BM10)</f>
        <v>67046</v>
      </c>
      <c r="BO10" s="143">
        <f>IFERROR(ROUND((BN10/BN$11)*BO$11,0),0)</f>
        <v>67046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54131</v>
      </c>
      <c r="AV11" s="64">
        <f t="shared" si="1"/>
        <v>69754</v>
      </c>
      <c r="AW11" s="64">
        <f t="shared" si="1"/>
        <v>55677</v>
      </c>
      <c r="AX11" s="64">
        <f t="shared" si="1"/>
        <v>72895</v>
      </c>
      <c r="AY11" s="64">
        <f t="shared" si="1"/>
        <v>101414</v>
      </c>
      <c r="AZ11" s="64">
        <f t="shared" si="1"/>
        <v>99934</v>
      </c>
      <c r="BA11" s="196">
        <f>SUM(AT11:AZ11)</f>
        <v>453805</v>
      </c>
      <c r="BB11" s="64">
        <v>116853</v>
      </c>
      <c r="BC11" s="64">
        <v>110433</v>
      </c>
      <c r="BD11" s="64">
        <v>114756</v>
      </c>
      <c r="BE11" s="64">
        <v>79982</v>
      </c>
      <c r="BF11" s="64">
        <f t="shared" ref="BF11:BM11" si="2">IFERROR(ROUND(BF12*BF7,0),0)</f>
        <v>95020</v>
      </c>
      <c r="BG11" s="64">
        <f t="shared" si="2"/>
        <v>87958</v>
      </c>
      <c r="BH11" s="64">
        <f t="shared" si="2"/>
        <v>60080</v>
      </c>
      <c r="BI11" s="64">
        <f t="shared" si="2"/>
        <v>77419</v>
      </c>
      <c r="BJ11" s="64">
        <f t="shared" si="2"/>
        <v>61795</v>
      </c>
      <c r="BK11" s="64">
        <f t="shared" si="2"/>
        <v>72895</v>
      </c>
      <c r="BL11" s="64">
        <f t="shared" si="2"/>
        <v>101414</v>
      </c>
      <c r="BM11" s="64">
        <f t="shared" si="2"/>
        <v>99934</v>
      </c>
      <c r="BN11" s="196">
        <f>SUM(BB11:BM11)</f>
        <v>1078539</v>
      </c>
      <c r="BO11" s="147">
        <f>ROUND(BO7*BO12,0)</f>
        <v>1078539</v>
      </c>
    </row>
    <row r="12" spans="1:67" ht="15" thickTop="1">
      <c r="A12" s="374" t="s">
        <v>54</v>
      </c>
      <c r="B12" s="129">
        <f>IF('kWh_Streetlight Data'!C73=0,"",'kWh_Streetlight Data'!C73)</f>
        <v>1195.2439024390244</v>
      </c>
      <c r="C12" s="108">
        <f>IF('kWh_Streetlight Data'!D73=0,"",'kWh_Streetlight Data'!D73)</f>
        <v>790.36144578313258</v>
      </c>
      <c r="D12" s="108">
        <f>IF('kWh_Streetlight Data'!E73=0,"",'kWh_Streetlight Data'!E73)</f>
        <v>1201.1547619047619</v>
      </c>
      <c r="E12" s="108">
        <f>IF('kWh_Streetlight Data'!F73=0,"",'kWh_Streetlight Data'!F73)</f>
        <v>653.80952380952385</v>
      </c>
      <c r="F12" s="108">
        <f>IF('kWh_Streetlight Data'!G73=0,"",'kWh_Streetlight Data'!G73)</f>
        <v>782.61797752808991</v>
      </c>
      <c r="G12" s="108">
        <f>IF('kWh_Streetlight Data'!H73=0,"",'kWh_Streetlight Data'!H73)</f>
        <v>970.7341772151899</v>
      </c>
      <c r="H12" s="108">
        <f>IF('kWh_Streetlight Data'!I73=0,"",'kWh_Streetlight Data'!I73)</f>
        <v>465.14102564102564</v>
      </c>
      <c r="I12" s="108">
        <f>IF('kWh_Streetlight Data'!J73=0,"",'kWh_Streetlight Data'!J73)</f>
        <v>792.45569620253161</v>
      </c>
      <c r="J12" s="108">
        <f>IF('kWh_Streetlight Data'!K73=0,"",'kWh_Streetlight Data'!K73)</f>
        <v>617.54999999999995</v>
      </c>
      <c r="K12" s="108">
        <f>IF('kWh_Streetlight Data'!L73=0,"",'kWh_Streetlight Data'!L73)</f>
        <v>751.35443037974687</v>
      </c>
      <c r="L12" s="108">
        <f>IF('kWh_Streetlight Data'!M73=0,"",'kWh_Streetlight Data'!M73)</f>
        <v>1006.4303797468355</v>
      </c>
      <c r="M12" s="108">
        <f>IF('kWh_Streetlight Data'!N73=0,"",'kWh_Streetlight Data'!N73)</f>
        <v>1132.1898734177216</v>
      </c>
      <c r="N12" s="424">
        <f>IF('kWh_Streetlight Data'!O73=0,"",'kWh_Streetlight Data'!O73)</f>
        <v>863.96410256410252</v>
      </c>
      <c r="O12" s="84">
        <f>IF('kWh_Streetlight Data'!P73=0,"",'kWh_Streetlight Data'!P73)</f>
        <v>1165.0886075949368</v>
      </c>
      <c r="P12" s="108">
        <f>IF('kWh_Streetlight Data'!Q73=0,"",'kWh_Streetlight Data'!Q73)</f>
        <v>1516.9102564102564</v>
      </c>
      <c r="Q12" s="108">
        <f>IF('kWh_Streetlight Data'!R73=0,"",'kWh_Streetlight Data'!R73)</f>
        <v>1084.8227848101267</v>
      </c>
      <c r="R12" s="108">
        <f>IF('kWh_Streetlight Data'!S73=0,"",'kWh_Streetlight Data'!S73)</f>
        <v>771.56976744186045</v>
      </c>
      <c r="S12" s="108">
        <f>IF('kWh_Streetlight Data'!T73=0,"",'kWh_Streetlight Data'!T73)</f>
        <v>1011.2051282051282</v>
      </c>
      <c r="T12" s="108">
        <f>IF('kWh_Streetlight Data'!U73=0,"",'kWh_Streetlight Data'!U73)</f>
        <v>954.48717948717945</v>
      </c>
      <c r="U12" s="108">
        <f>IF('kWh_Streetlight Data'!V73=0,"",'kWh_Streetlight Data'!V73)</f>
        <v>634.51282051282055</v>
      </c>
      <c r="V12" s="108">
        <f>IF('kWh_Streetlight Data'!W73=0,"",'kWh_Streetlight Data'!W73)</f>
        <v>602.37974683544303</v>
      </c>
      <c r="W12" s="108">
        <f>IF('kWh_Streetlight Data'!X73=0,"",'kWh_Streetlight Data'!X73)</f>
        <v>574.9</v>
      </c>
      <c r="X12" s="108">
        <f>IF('kWh_Streetlight Data'!Y73=0,"",'kWh_Streetlight Data'!Y73)</f>
        <v>703.76829268292681</v>
      </c>
      <c r="Y12" s="108">
        <f>IF('kWh_Streetlight Data'!Z73=0,"",'kWh_Streetlight Data'!Z73)</f>
        <v>937.26250000000005</v>
      </c>
      <c r="Z12" s="108">
        <f>IF('kWh_Streetlight Data'!AA73=0,"",'kWh_Streetlight Data'!AA73)</f>
        <v>1094.8607594936709</v>
      </c>
      <c r="AA12" s="424">
        <f>IF('kWh_Streetlight Data'!AB73=0,"",'kWh_Streetlight Data'!AB73)</f>
        <v>918.40690376569034</v>
      </c>
      <c r="AB12" s="129">
        <f>IF('kWh_Streetlight Data'!AC73=0,"",'kWh_Streetlight Data'!AC73)</f>
        <v>1110.5384615384614</v>
      </c>
      <c r="AC12" s="130">
        <f>IF('kWh_Streetlight Data'!AD73=0,"",'kWh_Streetlight Data'!AD73)</f>
        <v>972.91250000000002</v>
      </c>
      <c r="AD12" s="130">
        <f>IF('kWh_Streetlight Data'!AE73=0,"",'kWh_Streetlight Data'!AE73)</f>
        <v>1122.6125</v>
      </c>
      <c r="AE12" s="130">
        <f>IF('kWh_Streetlight Data'!AF73=0,"",'kWh_Streetlight Data'!AF73)</f>
        <v>950.31645569620252</v>
      </c>
      <c r="AF12" s="130">
        <f>IF('kWh_Streetlight Data'!AG73=0,"",'kWh_Streetlight Data'!AG73)</f>
        <v>1028.551282051282</v>
      </c>
      <c r="AG12" s="130">
        <f>IF('kWh_Streetlight Data'!AH73=0,"",'kWh_Streetlight Data'!AH73)</f>
        <v>687.38679245283015</v>
      </c>
      <c r="AH12" s="130">
        <f>IF('kWh_Streetlight Data'!AI73=0,"",'kWh_Streetlight Data'!AI73)</f>
        <v>684.88607594936707</v>
      </c>
      <c r="AI12" s="130">
        <f>IF('kWh_Streetlight Data'!AJ73=0,"",'kWh_Streetlight Data'!AJ73)</f>
        <v>904.74683544303798</v>
      </c>
      <c r="AJ12" s="130">
        <f>IF('kWh_Streetlight Data'!AK73=0,"",'kWh_Streetlight Data'!AK73)</f>
        <v>643.04999999999995</v>
      </c>
      <c r="AK12" s="130">
        <f>IF('kWh_Streetlight Data'!AL73=0,"",'kWh_Streetlight Data'!AL73)</f>
        <v>710.06172839506178</v>
      </c>
      <c r="AL12" s="130">
        <f>IF('kWh_Streetlight Data'!AM73=0,"",'kWh_Streetlight Data'!AM73)</f>
        <v>1068.5925925925926</v>
      </c>
      <c r="AM12" s="130">
        <f>IF('kWh_Streetlight Data'!AN73=0,"",'kWh_Streetlight Data'!AN73)</f>
        <v>741.27848101265818</v>
      </c>
      <c r="AN12" s="426">
        <f>IF('kWh_Streetlight Data'!AO73=0,"",'kWh_Streetlight Data'!AO73)</f>
        <v>879.67959183673474</v>
      </c>
      <c r="AO12" s="34"/>
      <c r="AP12" s="35"/>
      <c r="AQ12" s="35"/>
      <c r="AR12" s="35"/>
      <c r="AS12" s="35"/>
      <c r="AT12" s="17"/>
      <c r="AU12" s="17">
        <f t="shared" ref="AU12:AZ12" si="3">IFERROR(AVERAGE(AH12,U12,H12),0)</f>
        <v>594.84664070107112</v>
      </c>
      <c r="AV12" s="17">
        <f t="shared" si="3"/>
        <v>766.52742616033754</v>
      </c>
      <c r="AW12" s="17">
        <f t="shared" si="3"/>
        <v>611.83333333333326</v>
      </c>
      <c r="AX12" s="17">
        <f t="shared" si="3"/>
        <v>721.72815048591167</v>
      </c>
      <c r="AY12" s="17">
        <f t="shared" si="3"/>
        <v>1004.095157446476</v>
      </c>
      <c r="AZ12" s="17">
        <f t="shared" si="3"/>
        <v>989.44303797468365</v>
      </c>
      <c r="BA12" s="211"/>
      <c r="BB12" s="17">
        <v>1156.9569905241408</v>
      </c>
      <c r="BC12" s="17">
        <v>1093.3947340644629</v>
      </c>
      <c r="BD12" s="17">
        <v>1136.1966822382963</v>
      </c>
      <c r="BE12" s="17">
        <v>791.89858231586231</v>
      </c>
      <c r="BF12" s="17">
        <f t="shared" ref="BF12:BM12" si="4">IFERROR(AVERAGE(F12,S12,AF12),0)</f>
        <v>940.79146259483332</v>
      </c>
      <c r="BG12" s="17">
        <f t="shared" si="4"/>
        <v>870.86938305173317</v>
      </c>
      <c r="BH12" s="17">
        <f t="shared" si="4"/>
        <v>594.84664070107112</v>
      </c>
      <c r="BI12" s="17">
        <f t="shared" si="4"/>
        <v>766.52742616033754</v>
      </c>
      <c r="BJ12" s="17">
        <f t="shared" si="4"/>
        <v>611.83333333333326</v>
      </c>
      <c r="BK12" s="17">
        <f t="shared" si="4"/>
        <v>721.7281504859119</v>
      </c>
      <c r="BL12" s="17">
        <f t="shared" si="4"/>
        <v>1004.095157446476</v>
      </c>
      <c r="BM12" s="17">
        <f t="shared" si="4"/>
        <v>989.44303797468353</v>
      </c>
      <c r="BN12" s="211">
        <f>IFERROR(BN11/SUM(BB7:BM7)*12,0)</f>
        <v>10678.603960396038</v>
      </c>
      <c r="BO12" s="20">
        <f>BN12</f>
        <v>10678.603960396038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09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24"/>
      <c r="AV22" s="124"/>
      <c r="AW22" s="124"/>
      <c r="AX22" s="124"/>
      <c r="AY22" s="124"/>
      <c r="AZ22" s="124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141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/>
      <c r="AV23" s="38"/>
      <c r="AW23" s="38"/>
      <c r="AX23" s="38"/>
      <c r="AY23" s="38"/>
      <c r="AZ23" s="38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141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/>
      <c r="AV24" s="38"/>
      <c r="AW24" s="38"/>
      <c r="AX24" s="38"/>
      <c r="AY24" s="38"/>
      <c r="AZ24" s="38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141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8"/>
      <c r="AV25" s="38"/>
      <c r="AW25" s="38"/>
      <c r="AX25" s="38"/>
      <c r="AY25" s="38"/>
      <c r="AZ25" s="38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136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129" t="str">
        <f>IF('kWh_Streetlight Data'!C74=0,"",'kWh_Streetlight Data'!C74)</f>
        <v/>
      </c>
      <c r="C27" s="108" t="str">
        <f>IF('kWh_Streetlight Data'!D74=0,"",'kWh_Streetlight Data'!D74)</f>
        <v/>
      </c>
      <c r="D27" s="108" t="str">
        <f>IF('kWh_Streetlight Data'!E74=0,"",'kWh_Streetlight Data'!E74)</f>
        <v/>
      </c>
      <c r="E27" s="108" t="str">
        <f>IF('kWh_Streetlight Data'!F74=0,"",'kWh_Streetlight Data'!F74)</f>
        <v/>
      </c>
      <c r="F27" s="108" t="str">
        <f>IF('kWh_Streetlight Data'!G74=0,"",'kWh_Streetlight Data'!G74)</f>
        <v/>
      </c>
      <c r="G27" s="108" t="str">
        <f>IF('kWh_Streetlight Data'!H74=0,"",'kWh_Streetlight Data'!H74)</f>
        <v/>
      </c>
      <c r="H27" s="108" t="str">
        <f>IF('kWh_Streetlight Data'!I74=0,"",'kWh_Streetlight Data'!I74)</f>
        <v/>
      </c>
      <c r="I27" s="108" t="str">
        <f>IF('kWh_Streetlight Data'!J74=0,"",'kWh_Streetlight Data'!J74)</f>
        <v/>
      </c>
      <c r="J27" s="108" t="str">
        <f>IF('kWh_Streetlight Data'!K74=0,"",'kWh_Streetlight Data'!K74)</f>
        <v/>
      </c>
      <c r="K27" s="108" t="str">
        <f>IF('kWh_Streetlight Data'!L74=0,"",'kWh_Streetlight Data'!L74)</f>
        <v/>
      </c>
      <c r="L27" s="108" t="str">
        <f>IF('kWh_Streetlight Data'!M74=0,"",'kWh_Streetlight Data'!M74)</f>
        <v/>
      </c>
      <c r="M27" s="108" t="str">
        <f>IF('kWh_Streetlight Data'!N74=0,"",'kWh_Streetlight Data'!N74)</f>
        <v/>
      </c>
      <c r="N27" s="424" t="str">
        <f>IF('kWh_Streetlight Data'!O74=0,"",'kWh_Streetlight Data'!O74)</f>
        <v/>
      </c>
      <c r="O27" s="84" t="str">
        <f>IF('kWh_Streetlight Data'!P74=0,"",'kWh_Streetlight Data'!P74)</f>
        <v/>
      </c>
      <c r="P27" s="108" t="str">
        <f>IF('kWh_Streetlight Data'!Q74=0,"",'kWh_Streetlight Data'!Q74)</f>
        <v/>
      </c>
      <c r="Q27" s="108" t="str">
        <f>IF('kWh_Streetlight Data'!R74=0,"",'kWh_Streetlight Data'!R74)</f>
        <v/>
      </c>
      <c r="R27" s="108" t="str">
        <f>IF('kWh_Streetlight Data'!S74=0,"",'kWh_Streetlight Data'!S74)</f>
        <v/>
      </c>
      <c r="S27" s="108" t="str">
        <f>IF('kWh_Streetlight Data'!T74=0,"",'kWh_Streetlight Data'!T74)</f>
        <v/>
      </c>
      <c r="T27" s="108" t="str">
        <f>IF('kWh_Streetlight Data'!U74=0,"",'kWh_Streetlight Data'!U74)</f>
        <v/>
      </c>
      <c r="U27" s="108" t="str">
        <f>IF('kWh_Streetlight Data'!V74=0,"",'kWh_Streetlight Data'!V74)</f>
        <v/>
      </c>
      <c r="V27" s="108" t="str">
        <f>IF('kWh_Streetlight Data'!W74=0,"",'kWh_Streetlight Data'!W74)</f>
        <v/>
      </c>
      <c r="W27" s="108" t="str">
        <f>IF('kWh_Streetlight Data'!X74=0,"",'kWh_Streetlight Data'!X74)</f>
        <v/>
      </c>
      <c r="X27" s="108" t="str">
        <f>IF('kWh_Streetlight Data'!Y74=0,"",'kWh_Streetlight Data'!Y74)</f>
        <v/>
      </c>
      <c r="Y27" s="108" t="str">
        <f>IF('kWh_Streetlight Data'!Z74=0,"",'kWh_Streetlight Data'!Z74)</f>
        <v/>
      </c>
      <c r="Z27" s="108" t="str">
        <f>IF('kWh_Streetlight Data'!AA74=0,"",'kWh_Streetlight Data'!AA74)</f>
        <v/>
      </c>
      <c r="AA27" s="424" t="str">
        <f>IF('kWh_Streetlight Data'!AB74=0,"",'kWh_Streetlight Data'!AB74)</f>
        <v/>
      </c>
      <c r="AB27" s="129" t="str">
        <f>IF('kWh_Streetlight Data'!AC74=0,"",'kWh_Streetlight Data'!AC74)</f>
        <v/>
      </c>
      <c r="AC27" s="130" t="str">
        <f>IF('kWh_Streetlight Data'!AD74=0,"",'kWh_Streetlight Data'!AD74)</f>
        <v/>
      </c>
      <c r="AD27" s="130" t="str">
        <f>IF('kWh_Streetlight Data'!AE74=0,"",'kWh_Streetlight Data'!AE74)</f>
        <v/>
      </c>
      <c r="AE27" s="130" t="str">
        <f>IF('kWh_Streetlight Data'!AF74=0,"",'kWh_Streetlight Data'!AF74)</f>
        <v/>
      </c>
      <c r="AF27" s="130" t="str">
        <f>IF('kWh_Streetlight Data'!AG74=0,"",'kWh_Streetlight Data'!AG74)</f>
        <v/>
      </c>
      <c r="AG27" s="130" t="str">
        <f>IF('kWh_Streetlight Data'!AH74=0,"",'kWh_Streetlight Data'!AH74)</f>
        <v/>
      </c>
      <c r="AH27" s="108" t="str">
        <f>IF('kWh_Streetlight Data'!AI74=0,"",'kWh_Streetlight Data'!AI74)</f>
        <v/>
      </c>
      <c r="AI27" s="108" t="str">
        <f>IF('kWh_Streetlight Data'!AJ74=0,"",'kWh_Streetlight Data'!AJ74)</f>
        <v/>
      </c>
      <c r="AJ27" s="108" t="str">
        <f>IF('kWh_Streetlight Data'!AK74=0,"",'kWh_Streetlight Data'!AK74)</f>
        <v/>
      </c>
      <c r="AK27" s="108" t="str">
        <f>IF('kWh_Streetlight Data'!AL74=0,"",'kWh_Streetlight Data'!AL74)</f>
        <v/>
      </c>
      <c r="AL27" s="108" t="str">
        <f>IF('kWh_Streetlight Data'!AM74=0,"",'kWh_Streetlight Data'!AM74)</f>
        <v/>
      </c>
      <c r="AM27" s="108" t="str">
        <f>IF('kWh_Streetlight Data'!AN74=0,"",'kWh_Streetlight Data'!AN74)</f>
        <v/>
      </c>
      <c r="AN27" s="426" t="str">
        <f>IF('kWh_Streetlight Data'!AO74=0,"",'kWh_Streetlight Data'!AO74)</f>
        <v/>
      </c>
      <c r="AO27" s="48"/>
      <c r="AP27" s="49"/>
      <c r="AQ27" s="49"/>
      <c r="AR27" s="49"/>
      <c r="AS27" s="49"/>
      <c r="AT27" s="17"/>
      <c r="AU27" s="17"/>
      <c r="AV27" s="17"/>
      <c r="AW27" s="17"/>
      <c r="AX27" s="17"/>
      <c r="AY27" s="17"/>
      <c r="AZ27" s="17"/>
      <c r="BA27" s="211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Customers!E31</f>
        <v>10</v>
      </c>
      <c r="AV29" s="109">
        <f>Customers!F31</f>
        <v>10</v>
      </c>
      <c r="AW29" s="109">
        <f>Customers!G31</f>
        <v>10</v>
      </c>
      <c r="AX29" s="109">
        <f>Customers!H31</f>
        <v>10</v>
      </c>
      <c r="AY29" s="109">
        <f>Customers!I31</f>
        <v>10</v>
      </c>
      <c r="AZ29" s="109">
        <f>Customers!J31</f>
        <v>10</v>
      </c>
      <c r="BA29" s="210">
        <f>AZ29</f>
        <v>10</v>
      </c>
      <c r="BB29" s="109">
        <v>10</v>
      </c>
      <c r="BC29" s="38">
        <v>10</v>
      </c>
      <c r="BD29" s="38">
        <v>10</v>
      </c>
      <c r="BE29" s="38">
        <v>10</v>
      </c>
      <c r="BF29" s="38">
        <f t="shared" ref="BF29:BM29" si="5">BE29</f>
        <v>10</v>
      </c>
      <c r="BG29" s="38">
        <f t="shared" si="5"/>
        <v>10</v>
      </c>
      <c r="BH29" s="38">
        <f t="shared" si="5"/>
        <v>10</v>
      </c>
      <c r="BI29" s="38">
        <f t="shared" si="5"/>
        <v>10</v>
      </c>
      <c r="BJ29" s="38">
        <f t="shared" si="5"/>
        <v>10</v>
      </c>
      <c r="BK29" s="38">
        <f t="shared" si="5"/>
        <v>10</v>
      </c>
      <c r="BL29" s="38">
        <f t="shared" si="5"/>
        <v>10</v>
      </c>
      <c r="BM29" s="38">
        <f t="shared" si="5"/>
        <v>10</v>
      </c>
      <c r="BN29" s="210">
        <f>IFERROR(ROUND(AVERAGE(BB29:BM29),0),0)</f>
        <v>10</v>
      </c>
      <c r="BO29" s="90">
        <f>Customers!L31</f>
        <v>10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8">
        <f>ROUND(AU$33*'kWh Blocks by Rate Category'!C29,0)</f>
        <v>8466</v>
      </c>
      <c r="AV30" s="38">
        <f>ROUND(AV$33*'kWh Blocks by Rate Category'!D29,0)</f>
        <v>12520</v>
      </c>
      <c r="AW30" s="38">
        <f>ROUND(AW$33*'kWh Blocks by Rate Category'!E29,0)</f>
        <v>10280</v>
      </c>
      <c r="AX30" s="38">
        <f>ROUND(AX$33*'kWh Blocks by Rate Category'!F29,0)</f>
        <v>8089</v>
      </c>
      <c r="AY30" s="38">
        <f>ROUND(AY$33*'kWh Blocks by Rate Category'!G29,0)</f>
        <v>18915</v>
      </c>
      <c r="AZ30" s="38">
        <f>ROUND(AZ$33*'kWh Blocks by Rate Category'!H29,0)</f>
        <v>19513</v>
      </c>
      <c r="BA30" s="210">
        <f>SUM(AO30:AZ30)</f>
        <v>77783</v>
      </c>
      <c r="BB30" s="38">
        <v>23267</v>
      </c>
      <c r="BC30" s="38">
        <v>26163</v>
      </c>
      <c r="BD30" s="38">
        <v>25009</v>
      </c>
      <c r="BE30" s="38">
        <v>20602</v>
      </c>
      <c r="BF30" s="38">
        <f>ROUND(BF$33*'kWh Blocks by Rate Category'!N29,0)</f>
        <v>20692</v>
      </c>
      <c r="BG30" s="38">
        <f>ROUND(BG$33*'kWh Blocks by Rate Category'!O29,0)</f>
        <v>10062</v>
      </c>
      <c r="BH30" s="38">
        <f>ROUND(BH$33*'kWh Blocks by Rate Category'!P29,0)</f>
        <v>8466</v>
      </c>
      <c r="BI30" s="38">
        <f>ROUND(BI$33*'kWh Blocks by Rate Category'!Q29,0)</f>
        <v>12520</v>
      </c>
      <c r="BJ30" s="38">
        <f>ROUND(BJ$33*'kWh Blocks by Rate Category'!R29,0)</f>
        <v>10280</v>
      </c>
      <c r="BK30" s="38">
        <f>ROUND(BK$33*'kWh Blocks by Rate Category'!S29,0)</f>
        <v>8089</v>
      </c>
      <c r="BL30" s="38">
        <f>ROUND(BL$33*'kWh Blocks by Rate Category'!T29,0)</f>
        <v>18915</v>
      </c>
      <c r="BM30" s="38">
        <f>ROUND(BM$33*'kWh Blocks by Rate Category'!U29,0)</f>
        <v>19513</v>
      </c>
      <c r="BN30" s="210">
        <f>SUM(BB30:BM30)</f>
        <v>203578</v>
      </c>
      <c r="BO30" s="143">
        <f>ROUND(BO$33*'kWh Blocks by Rate Category'!W29,0)</f>
        <v>203578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8">
        <f>ROUND(AU$33*'kWh Blocks by Rate Category'!C30,0)</f>
        <v>806</v>
      </c>
      <c r="AV31" s="38">
        <f>ROUND(AV$33*'kWh Blocks by Rate Category'!D30,0)</f>
        <v>1192</v>
      </c>
      <c r="AW31" s="38">
        <f>ROUND(AW$33*'kWh Blocks by Rate Category'!E30,0)</f>
        <v>979</v>
      </c>
      <c r="AX31" s="38">
        <f>ROUND(AX$33*'kWh Blocks by Rate Category'!F30,0)</f>
        <v>770</v>
      </c>
      <c r="AY31" s="38">
        <f>ROUND(AY$33*'kWh Blocks by Rate Category'!G30,0)</f>
        <v>1801</v>
      </c>
      <c r="AZ31" s="38">
        <f>ROUND(AZ$33*'kWh Blocks by Rate Category'!H30,0)</f>
        <v>1858</v>
      </c>
      <c r="BA31" s="210">
        <f>SUM(AO31:AZ31)</f>
        <v>7406</v>
      </c>
      <c r="BB31" s="38">
        <v>2216</v>
      </c>
      <c r="BC31" s="38">
        <v>2491</v>
      </c>
      <c r="BD31" s="38">
        <v>2381</v>
      </c>
      <c r="BE31" s="38">
        <v>1962</v>
      </c>
      <c r="BF31" s="38">
        <f>ROUND(BF$33*'kWh Blocks by Rate Category'!N30,0)</f>
        <v>1970</v>
      </c>
      <c r="BG31" s="38">
        <f>ROUND(BG$33*'kWh Blocks by Rate Category'!O30,0)</f>
        <v>958</v>
      </c>
      <c r="BH31" s="38">
        <f>ROUND(BH$33*'kWh Blocks by Rate Category'!P30,0)</f>
        <v>806</v>
      </c>
      <c r="BI31" s="38">
        <f>ROUND(BI$33*'kWh Blocks by Rate Category'!Q30,0)</f>
        <v>1192</v>
      </c>
      <c r="BJ31" s="38">
        <f>ROUND(BJ$33*'kWh Blocks by Rate Category'!R30,0)</f>
        <v>979</v>
      </c>
      <c r="BK31" s="38">
        <f>ROUND(BK$33*'kWh Blocks by Rate Category'!S30,0)</f>
        <v>770</v>
      </c>
      <c r="BL31" s="38">
        <f>ROUND(BL$33*'kWh Blocks by Rate Category'!T30,0)</f>
        <v>1801</v>
      </c>
      <c r="BM31" s="38">
        <f>ROUND(BM$33*'kWh Blocks by Rate Category'!U30,0)</f>
        <v>1858</v>
      </c>
      <c r="BN31" s="210">
        <f>SUM(BB31:BM31)</f>
        <v>19384</v>
      </c>
      <c r="BO31" s="143">
        <f>ROUND(BO$33*'kWh Blocks by Rate Category'!W30,0)</f>
        <v>19384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143">
        <f>ROUND(BO$33*'kWh Blocks by Rate Category'!W31,0)</f>
        <v>0</v>
      </c>
    </row>
    <row r="33" spans="1:68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9272</v>
      </c>
      <c r="AV33" s="64">
        <f t="shared" si="6"/>
        <v>13712</v>
      </c>
      <c r="AW33" s="64">
        <f t="shared" si="6"/>
        <v>11259</v>
      </c>
      <c r="AX33" s="64">
        <f t="shared" si="6"/>
        <v>8859</v>
      </c>
      <c r="AY33" s="64">
        <f t="shared" si="6"/>
        <v>20716</v>
      </c>
      <c r="AZ33" s="64">
        <f t="shared" si="6"/>
        <v>21371</v>
      </c>
      <c r="BA33" s="196">
        <f>SUM(AO33:AZ33)</f>
        <v>85189</v>
      </c>
      <c r="BB33" s="64">
        <v>25483</v>
      </c>
      <c r="BC33" s="64">
        <v>28654</v>
      </c>
      <c r="BD33" s="64">
        <v>27390</v>
      </c>
      <c r="BE33" s="64">
        <v>22564</v>
      </c>
      <c r="BF33" s="64">
        <f t="shared" ref="BF33:BM33" si="7">IFERROR(ROUND(BF34*BF29,0),0)</f>
        <v>22662</v>
      </c>
      <c r="BG33" s="64">
        <f t="shared" si="7"/>
        <v>11020</v>
      </c>
      <c r="BH33" s="64">
        <f t="shared" si="7"/>
        <v>9272</v>
      </c>
      <c r="BI33" s="64">
        <f t="shared" si="7"/>
        <v>13712</v>
      </c>
      <c r="BJ33" s="64">
        <f t="shared" si="7"/>
        <v>11259</v>
      </c>
      <c r="BK33" s="64">
        <f t="shared" si="7"/>
        <v>8859</v>
      </c>
      <c r="BL33" s="64">
        <f t="shared" si="7"/>
        <v>20716</v>
      </c>
      <c r="BM33" s="64">
        <f t="shared" si="7"/>
        <v>21371</v>
      </c>
      <c r="BN33" s="196">
        <f>SUM(BB33:BM33)</f>
        <v>222962</v>
      </c>
      <c r="BO33" s="147">
        <f>ROUND(BO29*BO34,0)</f>
        <v>222962</v>
      </c>
    </row>
    <row r="34" spans="1:68" ht="15.75" customHeight="1" thickTop="1">
      <c r="A34" s="374" t="s">
        <v>54</v>
      </c>
      <c r="B34" s="129">
        <f>IF('kWh_Streetlight Data'!C75=0,"",'kWh_Streetlight Data'!C75)</f>
        <v>2553.625</v>
      </c>
      <c r="C34" s="108">
        <f>IF('kWh_Streetlight Data'!D75=0,"",'kWh_Streetlight Data'!D75)</f>
        <v>2348.5</v>
      </c>
      <c r="D34" s="108">
        <f>IF('kWh_Streetlight Data'!E75=0,"",'kWh_Streetlight Data'!E75)</f>
        <v>3131.375</v>
      </c>
      <c r="E34" s="108">
        <f>IF('kWh_Streetlight Data'!F75=0,"",'kWh_Streetlight Data'!F75)</f>
        <v>2161.75</v>
      </c>
      <c r="F34" s="108">
        <f>IF('kWh_Streetlight Data'!G75=0,"",'kWh_Streetlight Data'!G75)</f>
        <v>2357.125</v>
      </c>
      <c r="G34" s="108">
        <f>IF('kWh_Streetlight Data'!H75=0,"",'kWh_Streetlight Data'!H75)</f>
        <v>1117.75</v>
      </c>
      <c r="H34" s="108">
        <f>IF('kWh_Streetlight Data'!I75=0,"",'kWh_Streetlight Data'!I75)</f>
        <v>504.125</v>
      </c>
      <c r="I34" s="108">
        <f>IF('kWh_Streetlight Data'!J75=0,"",'kWh_Streetlight Data'!J75)</f>
        <v>1015.25</v>
      </c>
      <c r="J34" s="108">
        <f>IF('kWh_Streetlight Data'!K75=0,"",'kWh_Streetlight Data'!K75)</f>
        <v>856.33333333333337</v>
      </c>
      <c r="K34" s="108">
        <f>IF('kWh_Streetlight Data'!L75=0,"",'kWh_Streetlight Data'!L75)</f>
        <v>960.66666666666663</v>
      </c>
      <c r="L34" s="108">
        <f>IF('kWh_Streetlight Data'!M75=0,"",'kWh_Streetlight Data'!M75)</f>
        <v>1854.8888888888889</v>
      </c>
      <c r="M34" s="108">
        <f>IF('kWh_Streetlight Data'!N75=0,"",'kWh_Streetlight Data'!N75)</f>
        <v>2350</v>
      </c>
      <c r="N34" s="424">
        <f>IF('kWh_Streetlight Data'!O75=0,"",'kWh_Streetlight Data'!O75)</f>
        <v>1757.13</v>
      </c>
      <c r="O34" s="84">
        <f>IF('kWh_Streetlight Data'!P75=0,"",'kWh_Streetlight Data'!P75)</f>
        <v>3023.3333333333335</v>
      </c>
      <c r="P34" s="108">
        <f>IF('kWh_Streetlight Data'!Q75=0,"",'kWh_Streetlight Data'!Q75)</f>
        <v>3911.6666666666665</v>
      </c>
      <c r="Q34" s="108">
        <f>IF('kWh_Streetlight Data'!R75=0,"",'kWh_Streetlight Data'!R75)</f>
        <v>2235.4444444444443</v>
      </c>
      <c r="R34" s="108">
        <f>IF('kWh_Streetlight Data'!S75=0,"",'kWh_Streetlight Data'!S75)</f>
        <v>2319.3333333333335</v>
      </c>
      <c r="S34" s="108">
        <f>IF('kWh_Streetlight Data'!T75=0,"",'kWh_Streetlight Data'!T75)</f>
        <v>1840.875</v>
      </c>
      <c r="T34" s="108">
        <f>IF('kWh_Streetlight Data'!U75=0,"",'kWh_Streetlight Data'!U75)</f>
        <v>1316.75</v>
      </c>
      <c r="U34" s="108">
        <f>IF('kWh_Streetlight Data'!V75=0,"",'kWh_Streetlight Data'!V75)</f>
        <v>601.625</v>
      </c>
      <c r="V34" s="108">
        <f>IF('kWh_Streetlight Data'!W75=0,"",'kWh_Streetlight Data'!W75)</f>
        <v>1055.25</v>
      </c>
      <c r="W34" s="108">
        <f>IF('kWh_Streetlight Data'!X75=0,"",'kWh_Streetlight Data'!X75)</f>
        <v>1060.625</v>
      </c>
      <c r="X34" s="108">
        <f>IF('kWh_Streetlight Data'!Y75=0,"",'kWh_Streetlight Data'!Y75)</f>
        <v>811.75</v>
      </c>
      <c r="Y34" s="108">
        <f>IF('kWh_Streetlight Data'!Z75=0,"",'kWh_Streetlight Data'!Z75)</f>
        <v>1207.875</v>
      </c>
      <c r="Z34" s="108">
        <f>IF('kWh_Streetlight Data'!AA75=0,"",'kWh_Streetlight Data'!AA75)</f>
        <v>2409.625</v>
      </c>
      <c r="AA34" s="424">
        <f>IF('kWh_Streetlight Data'!AB75=0,"",'kWh_Streetlight Data'!AB75)</f>
        <v>1858.43</v>
      </c>
      <c r="AB34" s="129">
        <f>IF('kWh_Streetlight Data'!AC75=0,"",'kWh_Streetlight Data'!AC75)</f>
        <v>2067.8888888888887</v>
      </c>
      <c r="AC34" s="130">
        <f>IF('kWh_Streetlight Data'!AD75=0,"",'kWh_Streetlight Data'!AD75)</f>
        <v>2335.8888888888887</v>
      </c>
      <c r="AD34" s="130">
        <f>IF('kWh_Streetlight Data'!AE75=0,"",'kWh_Streetlight Data'!AE75)</f>
        <v>2850.2222222222222</v>
      </c>
      <c r="AE34" s="130">
        <f>IF('kWh_Streetlight Data'!AF75=0,"",'kWh_Streetlight Data'!AF75)</f>
        <v>2288</v>
      </c>
      <c r="AF34" s="130">
        <f>IF('kWh_Streetlight Data'!AG75=0,"",'kWh_Streetlight Data'!AG75)</f>
        <v>2600.5555555555557</v>
      </c>
      <c r="AG34" s="130">
        <f>IF('kWh_Streetlight Data'!AH75=0,"",'kWh_Streetlight Data'!AH75)</f>
        <v>871.42105263157896</v>
      </c>
      <c r="AH34" s="130">
        <f>IF('kWh_Streetlight Data'!AI75=0,"",'kWh_Streetlight Data'!AI75)</f>
        <v>1675.875</v>
      </c>
      <c r="AI34" s="130">
        <f>IF('kWh_Streetlight Data'!AJ75=0,"",'kWh_Streetlight Data'!AJ75)</f>
        <v>2043.1111111111111</v>
      </c>
      <c r="AJ34" s="130">
        <f>IF('kWh_Streetlight Data'!AK75=0,"",'kWh_Streetlight Data'!AK75)</f>
        <v>1460.6666666666667</v>
      </c>
      <c r="AK34" s="130">
        <f>IF('kWh_Streetlight Data'!AL75=0,"",'kWh_Streetlight Data'!AL75)</f>
        <v>885.22222222222217</v>
      </c>
      <c r="AL34" s="130">
        <f>IF('kWh_Streetlight Data'!AM75=0,"",'kWh_Streetlight Data'!AM75)</f>
        <v>3151.9</v>
      </c>
      <c r="AM34" s="130">
        <f>IF('kWh_Streetlight Data'!AN75=0,"",'kWh_Streetlight Data'!AN75)</f>
        <v>1651.5555555555557</v>
      </c>
      <c r="AN34" s="426">
        <f>IF('kWh_Streetlight Data'!AO75=0,"",'kWh_Streetlight Data'!AO75)</f>
        <v>1907.8898305084747</v>
      </c>
      <c r="AO34" s="43"/>
      <c r="AP34" s="40"/>
      <c r="AQ34" s="40"/>
      <c r="AR34" s="40"/>
      <c r="AS34" s="40"/>
      <c r="AT34" s="17"/>
      <c r="AU34" s="17">
        <f t="shared" ref="AU34" si="8">IFERROR(AVERAGE(AH34,U34,H34),0)</f>
        <v>927.20833333333337</v>
      </c>
      <c r="AV34" s="17">
        <f t="shared" ref="AV34" si="9">IFERROR(AVERAGE(AI34,V34,I34),0)</f>
        <v>1371.2037037037037</v>
      </c>
      <c r="AW34" s="17">
        <f t="shared" ref="AW34" si="10">IFERROR(AVERAGE(AJ34,W34,J34),0)</f>
        <v>1125.8750000000002</v>
      </c>
      <c r="AX34" s="17">
        <f t="shared" ref="AX34" si="11">IFERROR(AVERAGE(AK34,X34,K34),0)</f>
        <v>885.87962962962956</v>
      </c>
      <c r="AY34" s="17">
        <f t="shared" ref="AY34" si="12">IFERROR(AVERAGE(AL34,Y34,L34),0)</f>
        <v>2071.5546296296293</v>
      </c>
      <c r="AZ34" s="17">
        <f t="shared" ref="AZ34" si="13">IFERROR(AVERAGE(AM34,Z34,M34),0)</f>
        <v>2137.0601851851852</v>
      </c>
      <c r="BA34" s="211">
        <f>IFERROR(BA33/SUM(AO29:AZ29),0)</f>
        <v>1419.8166666666666</v>
      </c>
      <c r="BB34" s="17">
        <v>2548.2824074074074</v>
      </c>
      <c r="BC34" s="17">
        <v>2865.3518518518517</v>
      </c>
      <c r="BD34" s="17">
        <v>2739.0138888888887</v>
      </c>
      <c r="BE34" s="17">
        <v>2256.3611111111113</v>
      </c>
      <c r="BF34" s="17">
        <f t="shared" ref="BF34:BM34" si="14">IFERROR(AVERAGE(F34,S34,AF34),0)</f>
        <v>2266.1851851851852</v>
      </c>
      <c r="BG34" s="17">
        <f t="shared" si="14"/>
        <v>1101.9736842105265</v>
      </c>
      <c r="BH34" s="17">
        <f t="shared" si="14"/>
        <v>927.20833333333337</v>
      </c>
      <c r="BI34" s="17">
        <f t="shared" si="14"/>
        <v>1371.2037037037037</v>
      </c>
      <c r="BJ34" s="17">
        <f t="shared" si="14"/>
        <v>1125.875</v>
      </c>
      <c r="BK34" s="17">
        <f t="shared" si="14"/>
        <v>885.87962962962956</v>
      </c>
      <c r="BL34" s="17">
        <f t="shared" si="14"/>
        <v>2071.5546296296293</v>
      </c>
      <c r="BM34" s="17">
        <f t="shared" si="14"/>
        <v>2137.0601851851852</v>
      </c>
      <c r="BN34" s="211">
        <f>IFERROR(BN33/SUM(BB29:BM29)*12,0)</f>
        <v>22296.2</v>
      </c>
      <c r="BO34" s="20">
        <f>BN34</f>
        <v>22296.2</v>
      </c>
    </row>
    <row r="35" spans="1:68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8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09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8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8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8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8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8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211"/>
      <c r="BO41" s="20"/>
    </row>
    <row r="42" spans="1:68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165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8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65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359"/>
      <c r="AO43" s="150"/>
      <c r="AP43" s="87"/>
      <c r="AQ43" s="87"/>
      <c r="AR43" s="87"/>
      <c r="AS43" s="87"/>
      <c r="AT43" s="39"/>
      <c r="AU43" s="109">
        <f>Customers!E32</f>
        <v>1</v>
      </c>
      <c r="AV43" s="109">
        <f>Customers!F32</f>
        <v>1</v>
      </c>
      <c r="AW43" s="109">
        <f>Customers!G32</f>
        <v>1</v>
      </c>
      <c r="AX43" s="109">
        <f>Customers!H32</f>
        <v>1</v>
      </c>
      <c r="AY43" s="109">
        <f>Customers!I32</f>
        <v>1</v>
      </c>
      <c r="AZ43" s="109">
        <f>Customers!J32</f>
        <v>1</v>
      </c>
      <c r="BA43" s="210">
        <f>AZ43</f>
        <v>1</v>
      </c>
      <c r="BB43" s="109">
        <v>1</v>
      </c>
      <c r="BC43" s="38">
        <v>1</v>
      </c>
      <c r="BD43" s="38">
        <v>1</v>
      </c>
      <c r="BE43" s="38">
        <v>1</v>
      </c>
      <c r="BF43" s="38">
        <f t="shared" ref="BF43:BM43" si="15">BE43</f>
        <v>1</v>
      </c>
      <c r="BG43" s="38">
        <f t="shared" si="15"/>
        <v>1</v>
      </c>
      <c r="BH43" s="38">
        <f t="shared" si="15"/>
        <v>1</v>
      </c>
      <c r="BI43" s="38">
        <f t="shared" si="15"/>
        <v>1</v>
      </c>
      <c r="BJ43" s="38">
        <f t="shared" si="15"/>
        <v>1</v>
      </c>
      <c r="BK43" s="38">
        <f t="shared" si="15"/>
        <v>1</v>
      </c>
      <c r="BL43" s="38">
        <f t="shared" si="15"/>
        <v>1</v>
      </c>
      <c r="BM43" s="38">
        <f t="shared" si="15"/>
        <v>1</v>
      </c>
      <c r="BN43" s="210">
        <f>IFERROR(ROUND(AVERAGE(BB43:BM43),0),0)</f>
        <v>1</v>
      </c>
      <c r="BO43" s="90">
        <f>Customers!L32</f>
        <v>1</v>
      </c>
      <c r="BP43" s="52"/>
    </row>
    <row r="44" spans="1:68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52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68"/>
      <c r="AN44" s="359"/>
      <c r="AO44" s="362"/>
      <c r="AP44" s="283"/>
      <c r="AQ44" s="283"/>
      <c r="AR44" s="283"/>
      <c r="AS44" s="283"/>
      <c r="AT44" s="39"/>
      <c r="AU44" s="39">
        <f t="shared" ref="AU44:AZ44" si="16">AU47</f>
        <v>955</v>
      </c>
      <c r="AV44" s="39">
        <f t="shared" si="16"/>
        <v>1555</v>
      </c>
      <c r="AW44" s="39">
        <f t="shared" si="16"/>
        <v>2405</v>
      </c>
      <c r="AX44" s="39">
        <f t="shared" si="16"/>
        <v>4295</v>
      </c>
      <c r="AY44" s="39">
        <f t="shared" si="16"/>
        <v>8640</v>
      </c>
      <c r="AZ44" s="39">
        <f t="shared" si="16"/>
        <v>10780</v>
      </c>
      <c r="BA44" s="210">
        <f>SUM(AO44:AZ44)</f>
        <v>28630</v>
      </c>
      <c r="BB44" s="38">
        <v>8490</v>
      </c>
      <c r="BC44" s="38">
        <v>11920</v>
      </c>
      <c r="BD44" s="38">
        <v>10110</v>
      </c>
      <c r="BE44" s="38">
        <v>9860</v>
      </c>
      <c r="BF44" s="38">
        <f t="shared" ref="BF44:BM44" si="17">BF47</f>
        <v>7565</v>
      </c>
      <c r="BG44" s="38">
        <f t="shared" si="17"/>
        <v>1860</v>
      </c>
      <c r="BH44" s="38">
        <f t="shared" si="17"/>
        <v>955</v>
      </c>
      <c r="BI44" s="38">
        <f t="shared" si="17"/>
        <v>1555</v>
      </c>
      <c r="BJ44" s="38">
        <f t="shared" si="17"/>
        <v>2405</v>
      </c>
      <c r="BK44" s="38">
        <f t="shared" si="17"/>
        <v>4295</v>
      </c>
      <c r="BL44" s="38">
        <f t="shared" si="17"/>
        <v>8640</v>
      </c>
      <c r="BM44" s="38">
        <f t="shared" si="17"/>
        <v>10780</v>
      </c>
      <c r="BN44" s="210">
        <f>SUM(BB44:BM44)</f>
        <v>78435</v>
      </c>
      <c r="BO44" s="143">
        <f>BO47</f>
        <v>78435</v>
      </c>
    </row>
    <row r="45" spans="1:68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8"/>
      <c r="AN45" s="359"/>
      <c r="AO45" s="362"/>
      <c r="AP45" s="283"/>
      <c r="AQ45" s="283"/>
      <c r="AR45" s="283"/>
      <c r="AS45" s="283"/>
      <c r="AT45" s="39"/>
      <c r="AU45" s="39"/>
      <c r="AV45" s="39"/>
      <c r="AW45" s="39"/>
      <c r="AX45" s="39"/>
      <c r="AY45" s="39"/>
      <c r="AZ45" s="39"/>
      <c r="BA45" s="210">
        <f>SUM(AO45:AZ45)</f>
        <v>0</v>
      </c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>
        <f>SUM(BB45:BM45)</f>
        <v>0</v>
      </c>
      <c r="BO45" s="143">
        <v>0</v>
      </c>
    </row>
    <row r="46" spans="1:68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8"/>
      <c r="AN46" s="359"/>
      <c r="AO46" s="362"/>
      <c r="AP46" s="283"/>
      <c r="AQ46" s="283"/>
      <c r="AR46" s="283"/>
      <c r="AS46" s="283"/>
      <c r="AT46" s="39"/>
      <c r="AU46" s="39"/>
      <c r="AV46" s="39"/>
      <c r="AW46" s="39"/>
      <c r="AX46" s="39"/>
      <c r="AY46" s="39"/>
      <c r="AZ46" s="39"/>
      <c r="BA46" s="210">
        <f>SUM(AO46:AZ46)</f>
        <v>0</v>
      </c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>
        <f>SUM(BB46:BM46)</f>
        <v>0</v>
      </c>
      <c r="BO46" s="156">
        <v>0</v>
      </c>
    </row>
    <row r="47" spans="1:68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363"/>
      <c r="AP47" s="284"/>
      <c r="AQ47" s="284"/>
      <c r="AR47" s="284"/>
      <c r="AS47" s="284"/>
      <c r="AT47" s="64"/>
      <c r="AU47" s="64">
        <f t="shared" ref="AU47:AZ47" si="18">IFERROR(ROUND(AU48*AU43,0),0)</f>
        <v>955</v>
      </c>
      <c r="AV47" s="64">
        <f t="shared" si="18"/>
        <v>1555</v>
      </c>
      <c r="AW47" s="64">
        <f t="shared" si="18"/>
        <v>2405</v>
      </c>
      <c r="AX47" s="64">
        <f t="shared" si="18"/>
        <v>4295</v>
      </c>
      <c r="AY47" s="64">
        <f t="shared" si="18"/>
        <v>8640</v>
      </c>
      <c r="AZ47" s="64">
        <f t="shared" si="18"/>
        <v>10780</v>
      </c>
      <c r="BA47" s="196">
        <f>SUM(AT47:AZ47)</f>
        <v>28630</v>
      </c>
      <c r="BB47" s="64">
        <v>8490</v>
      </c>
      <c r="BC47" s="64">
        <v>11920</v>
      </c>
      <c r="BD47" s="64">
        <v>10110</v>
      </c>
      <c r="BE47" s="64">
        <v>9860</v>
      </c>
      <c r="BF47" s="64">
        <f t="shared" ref="BF47:BM47" si="19">IFERROR(ROUND(BF48*BF43,0),0)</f>
        <v>7565</v>
      </c>
      <c r="BG47" s="64">
        <f t="shared" si="19"/>
        <v>1860</v>
      </c>
      <c r="BH47" s="64">
        <f t="shared" si="19"/>
        <v>955</v>
      </c>
      <c r="BI47" s="64">
        <f t="shared" si="19"/>
        <v>1555</v>
      </c>
      <c r="BJ47" s="64">
        <f t="shared" si="19"/>
        <v>2405</v>
      </c>
      <c r="BK47" s="64">
        <f t="shared" si="19"/>
        <v>4295</v>
      </c>
      <c r="BL47" s="64">
        <f t="shared" si="19"/>
        <v>8640</v>
      </c>
      <c r="BM47" s="64">
        <f t="shared" si="19"/>
        <v>10780</v>
      </c>
      <c r="BN47" s="196">
        <f>SUM(BB47:BM47)</f>
        <v>78435</v>
      </c>
      <c r="BO47" s="147">
        <f>ROUND(BO43*BO48,0)</f>
        <v>78435</v>
      </c>
    </row>
    <row r="48" spans="1:68" ht="15.75" customHeight="1" thickTop="1">
      <c r="A48" s="374" t="s">
        <v>54</v>
      </c>
      <c r="B48" s="129" t="str">
        <f>IF('kWh_Streetlight Data'!C76=0,"",'kWh_Streetlight Data'!C76)</f>
        <v/>
      </c>
      <c r="C48" s="130" t="str">
        <f>IF('kWh_Streetlight Data'!D76=0,"",'kWh_Streetlight Data'!D76)</f>
        <v/>
      </c>
      <c r="D48" s="130" t="str">
        <f>IF('kWh_Streetlight Data'!E76=0,"",'kWh_Streetlight Data'!E76)</f>
        <v/>
      </c>
      <c r="E48" s="130" t="str">
        <f>IF('kWh_Streetlight Data'!F76=0,"",'kWh_Streetlight Data'!F76)</f>
        <v/>
      </c>
      <c r="F48" s="130" t="str">
        <f>IF('kWh_Streetlight Data'!G76=0,"",'kWh_Streetlight Data'!G76)</f>
        <v/>
      </c>
      <c r="G48" s="130" t="str">
        <f>IF('kWh_Streetlight Data'!H76=0,"",'kWh_Streetlight Data'!H76)</f>
        <v/>
      </c>
      <c r="H48" s="130" t="str">
        <f>IF('kWh_Streetlight Data'!I76=0,"",'kWh_Streetlight Data'!I76)</f>
        <v/>
      </c>
      <c r="I48" s="130" t="str">
        <f>IF('kWh_Streetlight Data'!J76=0,"",'kWh_Streetlight Data'!J76)</f>
        <v/>
      </c>
      <c r="J48" s="130" t="str">
        <f>IF('kWh_Streetlight Data'!K76=0,"",'kWh_Streetlight Data'!K76)</f>
        <v/>
      </c>
      <c r="K48" s="130" t="str">
        <f>IF('kWh_Streetlight Data'!L76=0,"",'kWh_Streetlight Data'!L76)</f>
        <v/>
      </c>
      <c r="L48" s="130" t="str">
        <f>IF('kWh_Streetlight Data'!M76=0,"",'kWh_Streetlight Data'!M76)</f>
        <v/>
      </c>
      <c r="M48" s="441" t="str">
        <f>IF('kWh_Streetlight Data'!N76=0,"",'kWh_Streetlight Data'!N76)</f>
        <v/>
      </c>
      <c r="N48" s="424" t="str">
        <f>IF('kWh_Streetlight Data'!O76=0,"",'kWh_Streetlight Data'!O76)</f>
        <v/>
      </c>
      <c r="O48" s="129">
        <f>IF('kWh_Streetlight Data'!P76=0,"",'kWh_Streetlight Data'!P76)</f>
        <v>7010</v>
      </c>
      <c r="P48" s="130">
        <f>IF('kWh_Streetlight Data'!Q76=0,"",'kWh_Streetlight Data'!Q76)</f>
        <v>13300</v>
      </c>
      <c r="Q48" s="130">
        <f>IF('kWh_Streetlight Data'!R76=0,"",'kWh_Streetlight Data'!R76)</f>
        <v>8450</v>
      </c>
      <c r="R48" s="130">
        <f>IF('kWh_Streetlight Data'!S76=0,"",'kWh_Streetlight Data'!S76)</f>
        <v>9550</v>
      </c>
      <c r="S48" s="130">
        <f>IF('kWh_Streetlight Data'!T76=0,"",'kWh_Streetlight Data'!T76)</f>
        <v>6350</v>
      </c>
      <c r="T48" s="130">
        <f>IF('kWh_Streetlight Data'!U76=0,"",'kWh_Streetlight Data'!U76)</f>
        <v>2790</v>
      </c>
      <c r="U48" s="130">
        <f>IF('kWh_Streetlight Data'!V76=0,"",'kWh_Streetlight Data'!V76)</f>
        <v>980</v>
      </c>
      <c r="V48" s="130">
        <f>IF('kWh_Streetlight Data'!W76=0,"",'kWh_Streetlight Data'!W76)</f>
        <v>950</v>
      </c>
      <c r="W48" s="130">
        <f>IF('kWh_Streetlight Data'!X76=0,"",'kWh_Streetlight Data'!X76)</f>
        <v>1010</v>
      </c>
      <c r="X48" s="130">
        <f>IF('kWh_Streetlight Data'!Y76=0,"",'kWh_Streetlight Data'!Y76)</f>
        <v>1950</v>
      </c>
      <c r="Y48" s="130">
        <f>IF('kWh_Streetlight Data'!Z76=0,"",'kWh_Streetlight Data'!Z76)</f>
        <v>4710</v>
      </c>
      <c r="Z48" s="130">
        <f>IF('kWh_Streetlight Data'!AA76=0,"",'kWh_Streetlight Data'!AA76)</f>
        <v>14070</v>
      </c>
      <c r="AA48" s="424">
        <f>IF('kWh_Streetlight Data'!AB76=0,"",'kWh_Streetlight Data'!AB76)</f>
        <v>5080</v>
      </c>
      <c r="AB48" s="129">
        <f>IF('kWh_Streetlight Data'!AC76=0,"",'kWh_Streetlight Data'!AC76)</f>
        <v>9970</v>
      </c>
      <c r="AC48" s="130">
        <f>IF('kWh_Streetlight Data'!AD76=0,"",'kWh_Streetlight Data'!AD76)</f>
        <v>10540</v>
      </c>
      <c r="AD48" s="130">
        <f>IF('kWh_Streetlight Data'!AE76=0,"",'kWh_Streetlight Data'!AE76)</f>
        <v>11770</v>
      </c>
      <c r="AE48" s="130">
        <f>IF('kWh_Streetlight Data'!AF76=0,"",'kWh_Streetlight Data'!AF76)</f>
        <v>10170</v>
      </c>
      <c r="AF48" s="130">
        <f>IF('kWh_Streetlight Data'!AG76=0,"",'kWh_Streetlight Data'!AG76)</f>
        <v>8780</v>
      </c>
      <c r="AG48" s="130">
        <f>IF('kWh_Streetlight Data'!AH76=0,"",'kWh_Streetlight Data'!AH76)</f>
        <v>930</v>
      </c>
      <c r="AH48" s="130">
        <f>IF('kWh_Streetlight Data'!AI76=0,"",'kWh_Streetlight Data'!AI76)</f>
        <v>930</v>
      </c>
      <c r="AI48" s="130">
        <f>IF('kWh_Streetlight Data'!AJ76=0,"",'kWh_Streetlight Data'!AJ76)</f>
        <v>2160</v>
      </c>
      <c r="AJ48" s="130">
        <f>IF('kWh_Streetlight Data'!AK76=0,"",'kWh_Streetlight Data'!AK76)</f>
        <v>3800</v>
      </c>
      <c r="AK48" s="130">
        <f>IF('kWh_Streetlight Data'!AL76=0,"",'kWh_Streetlight Data'!AL76)</f>
        <v>6640</v>
      </c>
      <c r="AL48" s="130">
        <f>IF('kWh_Streetlight Data'!AM76=0,"",'kWh_Streetlight Data'!AM76)</f>
        <v>12570</v>
      </c>
      <c r="AM48" s="441">
        <f>IF('kWh_Streetlight Data'!AN76=0,"",'kWh_Streetlight Data'!AN76)</f>
        <v>7490</v>
      </c>
      <c r="AN48" s="426">
        <f>IF('kWh_Streetlight Data'!AO76=0,"",'kWh_Streetlight Data'!AO76)</f>
        <v>7145.833333333333</v>
      </c>
      <c r="AO48" s="364"/>
      <c r="AP48" s="285"/>
      <c r="AQ48" s="285"/>
      <c r="AR48" s="285"/>
      <c r="AS48" s="285"/>
      <c r="AT48" s="17"/>
      <c r="AU48" s="17">
        <f t="shared" ref="AU48:AZ48" si="20">IFERROR(AVERAGE(AH48,U48,H48),0)</f>
        <v>955</v>
      </c>
      <c r="AV48" s="17">
        <f t="shared" si="20"/>
        <v>1555</v>
      </c>
      <c r="AW48" s="17">
        <f t="shared" si="20"/>
        <v>2405</v>
      </c>
      <c r="AX48" s="17">
        <f t="shared" si="20"/>
        <v>4295</v>
      </c>
      <c r="AY48" s="17">
        <f t="shared" si="20"/>
        <v>8640</v>
      </c>
      <c r="AZ48" s="17">
        <f t="shared" si="20"/>
        <v>10780</v>
      </c>
      <c r="BA48" s="211">
        <f>IFERROR(BA47/SUM(AO43:AZ43),0)</f>
        <v>4771.666666666667</v>
      </c>
      <c r="BB48" s="17">
        <v>8490</v>
      </c>
      <c r="BC48" s="17">
        <v>11920</v>
      </c>
      <c r="BD48" s="17">
        <v>10110</v>
      </c>
      <c r="BE48" s="17">
        <v>9860</v>
      </c>
      <c r="BF48" s="17">
        <f t="shared" ref="BF48:BM48" si="21">IFERROR(AVERAGE(F48,S48,AF48),0)</f>
        <v>7565</v>
      </c>
      <c r="BG48" s="17">
        <f t="shared" si="21"/>
        <v>1860</v>
      </c>
      <c r="BH48" s="17">
        <f t="shared" si="21"/>
        <v>955</v>
      </c>
      <c r="BI48" s="17">
        <f t="shared" si="21"/>
        <v>1555</v>
      </c>
      <c r="BJ48" s="17">
        <f t="shared" si="21"/>
        <v>2405</v>
      </c>
      <c r="BK48" s="17">
        <f t="shared" si="21"/>
        <v>4295</v>
      </c>
      <c r="BL48" s="17">
        <f t="shared" si="21"/>
        <v>8640</v>
      </c>
      <c r="BM48" s="17">
        <f t="shared" si="21"/>
        <v>10780</v>
      </c>
      <c r="BN48" s="211">
        <f>IFERROR(BN47/SUM(BB43:BM43)*12,0)</f>
        <v>78435</v>
      </c>
      <c r="BO48" s="20">
        <f>BN48</f>
        <v>78435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09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9"/>
      <c r="AU57" s="145"/>
      <c r="AV57" s="145"/>
      <c r="AW57" s="145"/>
      <c r="AX57" s="145"/>
      <c r="AY57" s="145"/>
      <c r="AZ57" s="145"/>
      <c r="BA57" s="204"/>
      <c r="BB57" s="39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04"/>
      <c r="BO57" s="90"/>
    </row>
    <row r="58" spans="1:67" ht="15.75" customHeight="1" thickBot="1">
      <c r="A58" s="201" t="s">
        <v>30</v>
      </c>
      <c r="B58" s="113" t="str">
        <f>IF('kWh_Streetlight Data'!C236=0,"",'kWh_Streetlight Data'!C236)</f>
        <v/>
      </c>
      <c r="C58" s="114" t="str">
        <f>IF('kWh_Streetlight Data'!D236=0,"",'kWh_Streetlight Data'!D236)</f>
        <v/>
      </c>
      <c r="D58" s="114" t="str">
        <f>IF('kWh_Streetlight Data'!E236=0,"",'kWh_Streetlight Data'!E236)</f>
        <v/>
      </c>
      <c r="E58" s="114" t="str">
        <f>IF('kWh_Streetlight Data'!F236=0,"",'kWh_Streetlight Data'!F236)</f>
        <v/>
      </c>
      <c r="F58" s="114" t="str">
        <f>IF('kWh_Streetlight Data'!G236=0,"",'kWh_Streetlight Data'!G236)</f>
        <v/>
      </c>
      <c r="G58" s="114" t="str">
        <f>IF('kWh_Streetlight Data'!H236=0,"",'kWh_Streetlight Data'!H236)</f>
        <v/>
      </c>
      <c r="H58" s="114" t="str">
        <f>IF('kWh_Streetlight Data'!I236=0,"",'kWh_Streetlight Data'!I236)</f>
        <v/>
      </c>
      <c r="I58" s="114" t="str">
        <f>IF('kWh_Streetlight Data'!J236=0,"",'kWh_Streetlight Data'!J236)</f>
        <v/>
      </c>
      <c r="J58" s="114" t="str">
        <f>IF('kWh_Streetlight Data'!K236=0,"",'kWh_Streetlight Data'!K236)</f>
        <v/>
      </c>
      <c r="K58" s="114" t="str">
        <f>IF('kWh_Streetlight Data'!L236=0,"",'kWh_Streetlight Data'!L236)</f>
        <v/>
      </c>
      <c r="L58" s="114" t="str">
        <f>IF('kWh_Streetlight Data'!M236=0,"",'kWh_Streetlight Data'!M236)</f>
        <v/>
      </c>
      <c r="M58" s="114" t="str">
        <f>IF('kWh_Streetlight Data'!N236=0,"",'kWh_Streetlight Data'!N236)</f>
        <v/>
      </c>
      <c r="N58" s="459" t="str">
        <f>IF('kWh_Streetlight Data'!O236=0,"",'kWh_Streetlight Data'!O236)</f>
        <v/>
      </c>
      <c r="O58" s="113" t="str">
        <f>IF('kWh_Streetlight Data'!P236=0,"",'kWh_Streetlight Data'!P236)</f>
        <v/>
      </c>
      <c r="P58" s="114" t="str">
        <f>IF('kWh_Streetlight Data'!Q236=0,"",'kWh_Streetlight Data'!Q236)</f>
        <v/>
      </c>
      <c r="Q58" s="114" t="str">
        <f>IF('kWh_Streetlight Data'!R236=0,"",'kWh_Streetlight Data'!R236)</f>
        <v/>
      </c>
      <c r="R58" s="114" t="str">
        <f>IF('kWh_Streetlight Data'!S236=0,"",'kWh_Streetlight Data'!S236)</f>
        <v/>
      </c>
      <c r="S58" s="114" t="str">
        <f>IF('kWh_Streetlight Data'!T236=0,"",'kWh_Streetlight Data'!T236)</f>
        <v/>
      </c>
      <c r="T58" s="114" t="str">
        <f>IF('kWh_Streetlight Data'!U236=0,"",'kWh_Streetlight Data'!U236)</f>
        <v/>
      </c>
      <c r="U58" s="114" t="str">
        <f>IF('kWh_Streetlight Data'!V236=0,"",'kWh_Streetlight Data'!V236)</f>
        <v/>
      </c>
      <c r="V58" s="114" t="str">
        <f>IF('kWh_Streetlight Data'!W236=0,"",'kWh_Streetlight Data'!W236)</f>
        <v/>
      </c>
      <c r="W58" s="114" t="str">
        <f>IF('kWh_Streetlight Data'!X236=0,"",'kWh_Streetlight Data'!X236)</f>
        <v/>
      </c>
      <c r="X58" s="114" t="str">
        <f>IF('kWh_Streetlight Data'!Y236=0,"",'kWh_Streetlight Data'!Y236)</f>
        <v/>
      </c>
      <c r="Y58" s="114" t="str">
        <f>IF('kWh_Streetlight Data'!Z236=0,"",'kWh_Streetlight Data'!Z236)</f>
        <v/>
      </c>
      <c r="Z58" s="114" t="str">
        <f>IF('kWh_Streetlight Data'!AA236=0,"",'kWh_Streetlight Data'!AA236)</f>
        <v/>
      </c>
      <c r="AA58" s="459" t="str">
        <f>IF('kWh_Streetlight Data'!AB236=0,"",'kWh_Streetlight Data'!AB236)</f>
        <v/>
      </c>
      <c r="AB58" s="240" t="str">
        <f>IF('kWh_Streetlight Data'!AC236=0,"",'kWh_Streetlight Data'!AC236)</f>
        <v/>
      </c>
      <c r="AC58" s="117" t="str">
        <f>IF('kWh_Streetlight Data'!AD236=0,"",'kWh_Streetlight Data'!AD236)</f>
        <v/>
      </c>
      <c r="AD58" s="117" t="str">
        <f>IF('kWh_Streetlight Data'!AE236=0,"",'kWh_Streetlight Data'!AE236)</f>
        <v/>
      </c>
      <c r="AE58" s="117" t="str">
        <f>IF('kWh_Streetlight Data'!AF236=0,"",'kWh_Streetlight Data'!AF236)</f>
        <v/>
      </c>
      <c r="AF58" s="117" t="str">
        <f>IF('kWh_Streetlight Data'!AG236=0,"",'kWh_Streetlight Data'!AG236)</f>
        <v/>
      </c>
      <c r="AG58" s="117" t="str">
        <f>IF('kWh_Streetlight Data'!AH236=0,"",'kWh_Streetlight Data'!AH236)</f>
        <v/>
      </c>
      <c r="AH58" s="117" t="str">
        <f>IF('kWh_Streetlight Data'!AI236=0,"",'kWh_Streetlight Data'!AI236)</f>
        <v/>
      </c>
      <c r="AI58" s="117" t="str">
        <f>IF('kWh_Streetlight Data'!AJ236=0,"",'kWh_Streetlight Data'!AJ236)</f>
        <v/>
      </c>
      <c r="AJ58" s="117" t="str">
        <f>IF('kWh_Streetlight Data'!AK236=0,"",'kWh_Streetlight Data'!AK236)</f>
        <v/>
      </c>
      <c r="AK58" s="117" t="str">
        <f>IF('kWh_Streetlight Data'!AL236=0,"",'kWh_Streetlight Data'!AL236)</f>
        <v/>
      </c>
      <c r="AL58" s="117" t="str">
        <f>IF('kWh_Streetlight Data'!AM236=0,"",'kWh_Streetlight Data'!AM236)</f>
        <v/>
      </c>
      <c r="AM58" s="117" t="str">
        <f>IF('kWh_Streetlight Data'!AN236=0,"",'kWh_Streetlight Data'!AN236)</f>
        <v/>
      </c>
      <c r="AN58" s="464" t="str">
        <f>IF('kWh_Streetlight Data'!AO236=0,"",'kWh_Streetlight Data'!AO236)</f>
        <v/>
      </c>
      <c r="AO58" s="151"/>
      <c r="AP58" s="152"/>
      <c r="AQ58" s="152"/>
      <c r="AR58" s="152"/>
      <c r="AS58" s="152"/>
      <c r="AT58" s="64"/>
      <c r="AU58" s="160"/>
      <c r="AV58" s="160"/>
      <c r="AW58" s="160"/>
      <c r="AX58" s="160"/>
      <c r="AY58" s="160"/>
      <c r="AZ58" s="160"/>
      <c r="BA58" s="213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13"/>
      <c r="BO58" s="8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9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0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64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8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34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9">
        <f>Customers!E34</f>
        <v>4</v>
      </c>
      <c r="AV65" s="39">
        <f>Customers!F34</f>
        <v>4</v>
      </c>
      <c r="AW65" s="39">
        <f>Customers!G34</f>
        <v>4</v>
      </c>
      <c r="AX65" s="39">
        <f>Customers!H34</f>
        <v>4</v>
      </c>
      <c r="AY65" s="39">
        <f>Customers!I34</f>
        <v>4</v>
      </c>
      <c r="AZ65" s="39">
        <f>Customers!J34</f>
        <v>4</v>
      </c>
      <c r="BA65" s="210">
        <f>AZ65</f>
        <v>4</v>
      </c>
      <c r="BB65" s="109">
        <v>4</v>
      </c>
      <c r="BC65" s="38">
        <v>4</v>
      </c>
      <c r="BD65" s="38">
        <v>4</v>
      </c>
      <c r="BE65" s="38">
        <v>4</v>
      </c>
      <c r="BF65" s="38">
        <f t="shared" ref="BF65:BM65" si="22">BE65</f>
        <v>4</v>
      </c>
      <c r="BG65" s="38">
        <f t="shared" si="22"/>
        <v>4</v>
      </c>
      <c r="BH65" s="38">
        <f t="shared" si="22"/>
        <v>4</v>
      </c>
      <c r="BI65" s="38">
        <f t="shared" si="22"/>
        <v>4</v>
      </c>
      <c r="BJ65" s="38">
        <f t="shared" si="22"/>
        <v>4</v>
      </c>
      <c r="BK65" s="38">
        <f t="shared" si="22"/>
        <v>4</v>
      </c>
      <c r="BL65" s="38">
        <f t="shared" si="22"/>
        <v>4</v>
      </c>
      <c r="BM65" s="38">
        <f t="shared" si="22"/>
        <v>4</v>
      </c>
      <c r="BN65" s="210">
        <f>IFERROR(ROUND(AVERAGE(BB65:BM65),0),0)</f>
        <v>4</v>
      </c>
      <c r="BO65" s="90">
        <f>Customers!L34</f>
        <v>4</v>
      </c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52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>
        <f t="shared" ref="AU66:AY66" si="23">IF(AU68&gt;(AU65*250),AU65*250,AU68)</f>
        <v>1000</v>
      </c>
      <c r="AV66" s="38">
        <f t="shared" si="23"/>
        <v>1000</v>
      </c>
      <c r="AW66" s="38">
        <f t="shared" si="23"/>
        <v>1000</v>
      </c>
      <c r="AX66" s="38">
        <f t="shared" si="23"/>
        <v>1000</v>
      </c>
      <c r="AY66" s="38">
        <f t="shared" si="23"/>
        <v>1000</v>
      </c>
      <c r="AZ66" s="38">
        <f t="shared" ref="AZ66" si="24">IF(AZ68&gt;(AZ65*250),AZ65*250,AZ68)</f>
        <v>1000</v>
      </c>
      <c r="BA66" s="210">
        <f>SUM(AO66:AZ66)</f>
        <v>6000</v>
      </c>
      <c r="BB66" s="38">
        <v>1000</v>
      </c>
      <c r="BC66" s="38">
        <v>1000</v>
      </c>
      <c r="BD66" s="38">
        <v>1000</v>
      </c>
      <c r="BE66" s="38">
        <v>1000</v>
      </c>
      <c r="BF66" s="38">
        <f t="shared" ref="BF66:BM66" si="25">IF(BF68&gt;(BF65*250),BF65*250,BF68)</f>
        <v>1000</v>
      </c>
      <c r="BG66" s="38">
        <f t="shared" si="25"/>
        <v>1000</v>
      </c>
      <c r="BH66" s="38">
        <f t="shared" si="25"/>
        <v>1000</v>
      </c>
      <c r="BI66" s="38">
        <f t="shared" si="25"/>
        <v>1000</v>
      </c>
      <c r="BJ66" s="38">
        <f t="shared" si="25"/>
        <v>1000</v>
      </c>
      <c r="BK66" s="38">
        <f t="shared" si="25"/>
        <v>1000</v>
      </c>
      <c r="BL66" s="38">
        <f t="shared" si="25"/>
        <v>1000</v>
      </c>
      <c r="BM66" s="38">
        <f t="shared" si="25"/>
        <v>1000</v>
      </c>
      <c r="BN66" s="210">
        <f>SUM(BB66:BM66)</f>
        <v>12000</v>
      </c>
      <c r="BO66" s="90">
        <f>4*250*12</f>
        <v>12000</v>
      </c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52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>
        <f t="shared" ref="AU67:AY67" si="26">ROUND(AU68-AU66,0)</f>
        <v>456</v>
      </c>
      <c r="AV67" s="38">
        <f t="shared" si="26"/>
        <v>870</v>
      </c>
      <c r="AW67" s="38">
        <f t="shared" si="26"/>
        <v>683</v>
      </c>
      <c r="AX67" s="38">
        <f t="shared" si="26"/>
        <v>1058</v>
      </c>
      <c r="AY67" s="38">
        <f t="shared" si="26"/>
        <v>2087</v>
      </c>
      <c r="AZ67" s="38">
        <f t="shared" ref="AZ67" si="27">ROUND(AZ68-AZ66,0)</f>
        <v>1620</v>
      </c>
      <c r="BA67" s="210">
        <f>SUM(AO67:AZ67)</f>
        <v>6774</v>
      </c>
      <c r="BB67" s="38">
        <v>1829</v>
      </c>
      <c r="BC67" s="38">
        <v>1715</v>
      </c>
      <c r="BD67" s="38">
        <v>1066</v>
      </c>
      <c r="BE67" s="38">
        <v>651</v>
      </c>
      <c r="BF67" s="38">
        <f t="shared" ref="BF67:BM67" si="28">ROUND(BF68-BF66,0)</f>
        <v>1117</v>
      </c>
      <c r="BG67" s="38">
        <f t="shared" si="28"/>
        <v>980</v>
      </c>
      <c r="BH67" s="38">
        <f t="shared" si="28"/>
        <v>456</v>
      </c>
      <c r="BI67" s="38">
        <f t="shared" si="28"/>
        <v>870</v>
      </c>
      <c r="BJ67" s="38">
        <f t="shared" si="28"/>
        <v>683</v>
      </c>
      <c r="BK67" s="38">
        <f t="shared" si="28"/>
        <v>1058</v>
      </c>
      <c r="BL67" s="38">
        <f t="shared" si="28"/>
        <v>2087</v>
      </c>
      <c r="BM67" s="38">
        <f t="shared" si="28"/>
        <v>1620</v>
      </c>
      <c r="BN67" s="210">
        <f>SUM(BB67:BM67)</f>
        <v>14132</v>
      </c>
      <c r="BO67" s="90">
        <f>BO68-BO66</f>
        <v>14132</v>
      </c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>
        <f t="shared" ref="AU68:AZ68" si="29">IFERROR(ROUND(AU69*AU65,0),0)</f>
        <v>1456</v>
      </c>
      <c r="AV68" s="64">
        <f t="shared" si="29"/>
        <v>1870</v>
      </c>
      <c r="AW68" s="64">
        <f t="shared" si="29"/>
        <v>1683</v>
      </c>
      <c r="AX68" s="64">
        <f t="shared" si="29"/>
        <v>2058</v>
      </c>
      <c r="AY68" s="64">
        <f t="shared" si="29"/>
        <v>3087</v>
      </c>
      <c r="AZ68" s="64">
        <f t="shared" si="29"/>
        <v>2620</v>
      </c>
      <c r="BA68" s="196">
        <f>SUM(BA66:BA67)</f>
        <v>12774</v>
      </c>
      <c r="BB68" s="64">
        <v>2829</v>
      </c>
      <c r="BC68" s="64">
        <v>2715</v>
      </c>
      <c r="BD68" s="64">
        <v>2066</v>
      </c>
      <c r="BE68" s="64">
        <v>1651</v>
      </c>
      <c r="BF68" s="64">
        <f t="shared" ref="BF68:BM68" si="30">IFERROR(ROUND(BF69*BF65,0),0)</f>
        <v>2117</v>
      </c>
      <c r="BG68" s="64">
        <f t="shared" si="30"/>
        <v>1980</v>
      </c>
      <c r="BH68" s="64">
        <f t="shared" si="30"/>
        <v>1456</v>
      </c>
      <c r="BI68" s="64">
        <f t="shared" si="30"/>
        <v>1870</v>
      </c>
      <c r="BJ68" s="64">
        <f t="shared" si="30"/>
        <v>1683</v>
      </c>
      <c r="BK68" s="64">
        <f t="shared" si="30"/>
        <v>2058</v>
      </c>
      <c r="BL68" s="64">
        <f t="shared" si="30"/>
        <v>3087</v>
      </c>
      <c r="BM68" s="64">
        <f t="shared" si="30"/>
        <v>2620</v>
      </c>
      <c r="BN68" s="196">
        <f>SUM(BB68:BM68)</f>
        <v>26132</v>
      </c>
      <c r="BO68" s="333">
        <f>ROUND(BO65*BO69,0)</f>
        <v>26132</v>
      </c>
    </row>
    <row r="69" spans="1:67" ht="15.75" customHeight="1" thickTop="1">
      <c r="A69" s="374" t="s">
        <v>54</v>
      </c>
      <c r="B69" s="129">
        <f>IF('kWh_Streetlight Data'!C77=0,"",'kWh_Streetlight Data'!C77)</f>
        <v>968</v>
      </c>
      <c r="C69" s="130">
        <f>IF('kWh_Streetlight Data'!D77=0,"",'kWh_Streetlight Data'!D77)</f>
        <v>845.25</v>
      </c>
      <c r="D69" s="130">
        <f>IF('kWh_Streetlight Data'!E77=0,"",'kWh_Streetlight Data'!E77)</f>
        <v>578</v>
      </c>
      <c r="E69" s="130">
        <f>IF('kWh_Streetlight Data'!F77=0,"",'kWh_Streetlight Data'!F77)</f>
        <v>403.25</v>
      </c>
      <c r="F69" s="130">
        <f>IF('kWh_Streetlight Data'!G77=0,"",'kWh_Streetlight Data'!G77)</f>
        <v>601</v>
      </c>
      <c r="G69" s="130">
        <f>IF('kWh_Streetlight Data'!H77=0,"",'kWh_Streetlight Data'!H77)</f>
        <v>546.5</v>
      </c>
      <c r="H69" s="130">
        <f>IF('kWh_Streetlight Data'!I77=0,"",'kWh_Streetlight Data'!I77)</f>
        <v>308.25</v>
      </c>
      <c r="I69" s="130">
        <f>IF('kWh_Streetlight Data'!J77=0,"",'kWh_Streetlight Data'!J77)</f>
        <v>510.75</v>
      </c>
      <c r="J69" s="130">
        <f>IF('kWh_Streetlight Data'!K77=0,"",'kWh_Streetlight Data'!K77)</f>
        <v>424.25</v>
      </c>
      <c r="K69" s="130">
        <f>IF('kWh_Streetlight Data'!L77=0,"",'kWh_Streetlight Data'!L77)</f>
        <v>385</v>
      </c>
      <c r="L69" s="130">
        <f>IF('kWh_Streetlight Data'!M77=0,"",'kWh_Streetlight Data'!M77)</f>
        <v>703.25</v>
      </c>
      <c r="M69" s="130">
        <f>IF('kWh_Streetlight Data'!N77=0,"",'kWh_Streetlight Data'!N77)</f>
        <v>959.25</v>
      </c>
      <c r="N69" s="424">
        <f>IF('kWh_Streetlight Data'!O77=0,"",'kWh_Streetlight Data'!O77)</f>
        <v>602.72916666666663</v>
      </c>
      <c r="O69" s="84">
        <f>IF('kWh_Streetlight Data'!P77=0,"",'kWh_Streetlight Data'!P77)</f>
        <v>653.5</v>
      </c>
      <c r="P69" s="108">
        <f>IF('kWh_Streetlight Data'!Q77=0,"",'kWh_Streetlight Data'!Q77)</f>
        <v>760.25</v>
      </c>
      <c r="Q69" s="108">
        <f>IF('kWh_Streetlight Data'!R77=0,"",'kWh_Streetlight Data'!R77)</f>
        <v>415.25</v>
      </c>
      <c r="R69" s="108">
        <f>IF('kWh_Streetlight Data'!S77=0,"",'kWh_Streetlight Data'!S77)</f>
        <v>407.5</v>
      </c>
      <c r="S69" s="108">
        <f>IF('kWh_Streetlight Data'!T77=0,"",'kWh_Streetlight Data'!T77)</f>
        <v>481.5</v>
      </c>
      <c r="T69" s="108">
        <f>IF('kWh_Streetlight Data'!U77=0,"",'kWh_Streetlight Data'!U77)</f>
        <v>501.25</v>
      </c>
      <c r="U69" s="108">
        <f>IF('kWh_Streetlight Data'!V77=0,"",'kWh_Streetlight Data'!V77)</f>
        <v>378.25</v>
      </c>
      <c r="V69" s="108">
        <f>IF('kWh_Streetlight Data'!W77=0,"",'kWh_Streetlight Data'!W77)</f>
        <v>350.5</v>
      </c>
      <c r="W69" s="108">
        <f>IF('kWh_Streetlight Data'!X77=0,"",'kWh_Streetlight Data'!X77)</f>
        <v>514.25</v>
      </c>
      <c r="X69" s="108">
        <f>IF('kWh_Streetlight Data'!Y77=0,"",'kWh_Streetlight Data'!Y77)</f>
        <v>779</v>
      </c>
      <c r="Y69" s="108">
        <f>IF('kWh_Streetlight Data'!Z77=0,"",'kWh_Streetlight Data'!Z77)</f>
        <v>1056.25</v>
      </c>
      <c r="Z69" s="108">
        <f>IF('kWh_Streetlight Data'!AA77=0,"",'kWh_Streetlight Data'!AA77)</f>
        <v>618.5</v>
      </c>
      <c r="AA69" s="424">
        <f>IF('kWh_Streetlight Data'!AB77=0,"",'kWh_Streetlight Data'!AB77)</f>
        <v>576.33333333333337</v>
      </c>
      <c r="AB69" s="84">
        <f>IF('kWh_Streetlight Data'!AC77=0,"",'kWh_Streetlight Data'!AC77)</f>
        <v>500</v>
      </c>
      <c r="AC69" s="108">
        <f>IF('kWh_Streetlight Data'!AD77=0,"",'kWh_Streetlight Data'!AD77)</f>
        <v>430.75</v>
      </c>
      <c r="AD69" s="108">
        <f>IF('kWh_Streetlight Data'!AE77=0,"",'kWh_Streetlight Data'!AE77)</f>
        <v>556.5</v>
      </c>
      <c r="AE69" s="108">
        <f>IF('kWh_Streetlight Data'!AF77=0,"",'kWh_Streetlight Data'!AF77)</f>
        <v>427.5</v>
      </c>
      <c r="AF69" s="108">
        <f>IF('kWh_Streetlight Data'!AG77=0,"",'kWh_Streetlight Data'!AG77)</f>
        <v>505</v>
      </c>
      <c r="AG69" s="108">
        <f>IF('kWh_Streetlight Data'!AH77=0,"",'kWh_Streetlight Data'!AH77)</f>
        <v>437</v>
      </c>
      <c r="AH69" s="108">
        <f>IF('kWh_Streetlight Data'!AI77=0,"",'kWh_Streetlight Data'!AI77)</f>
        <v>405.75</v>
      </c>
      <c r="AI69" s="108">
        <f>IF('kWh_Streetlight Data'!AJ77=0,"",'kWh_Streetlight Data'!AJ77)</f>
        <v>541.5</v>
      </c>
      <c r="AJ69" s="108">
        <f>IF('kWh_Streetlight Data'!AK77=0,"",'kWh_Streetlight Data'!AK77)</f>
        <v>323.5</v>
      </c>
      <c r="AK69" s="108">
        <f>IF('kWh_Streetlight Data'!AL77=0,"",'kWh_Streetlight Data'!AL77)</f>
        <v>379.75</v>
      </c>
      <c r="AL69" s="108">
        <f>IF('kWh_Streetlight Data'!AM77=0,"",'kWh_Streetlight Data'!AM77)</f>
        <v>555.5</v>
      </c>
      <c r="AM69" s="108">
        <f>IF('kWh_Streetlight Data'!AN77=0,"",'kWh_Streetlight Data'!AN77)</f>
        <v>387.5</v>
      </c>
      <c r="AN69" s="424">
        <f>IF('kWh_Streetlight Data'!AO77=0,"",'kWh_Streetlight Data'!AO77)</f>
        <v>454.1875</v>
      </c>
      <c r="AO69" s="43"/>
      <c r="AP69" s="40"/>
      <c r="AQ69" s="40"/>
      <c r="AR69" s="40"/>
      <c r="AS69" s="40"/>
      <c r="AT69" s="17"/>
      <c r="AU69" s="17">
        <f t="shared" ref="AU69" si="31">IFERROR(AVERAGE(AH69,U69,H69),0)</f>
        <v>364.08333333333331</v>
      </c>
      <c r="AV69" s="17">
        <f t="shared" ref="AV69" si="32">IFERROR(AVERAGE(AI69,V69,I69),0)</f>
        <v>467.58333333333331</v>
      </c>
      <c r="AW69" s="17">
        <f t="shared" ref="AW69" si="33">IFERROR(AVERAGE(AJ69,W69,J69),0)</f>
        <v>420.66666666666669</v>
      </c>
      <c r="AX69" s="17">
        <f t="shared" ref="AX69" si="34">IFERROR(AVERAGE(AK69,X69,K69),0)</f>
        <v>514.58333333333337</v>
      </c>
      <c r="AY69" s="17">
        <f t="shared" ref="AY69" si="35">IFERROR(AVERAGE(AL69,Y69,L69),0)</f>
        <v>771.66666666666663</v>
      </c>
      <c r="AZ69" s="17">
        <f t="shared" ref="AZ69" si="36">IFERROR(AVERAGE(AM69,Z69,M69),0)</f>
        <v>655.08333333333337</v>
      </c>
      <c r="BA69" s="211"/>
      <c r="BB69" s="17">
        <v>707.16666666666663</v>
      </c>
      <c r="BC69" s="17">
        <v>678.75</v>
      </c>
      <c r="BD69" s="17">
        <v>516.58333333333337</v>
      </c>
      <c r="BE69" s="17">
        <v>412.75</v>
      </c>
      <c r="BF69" s="17">
        <f t="shared" ref="BF69:BM69" si="37">IFERROR(AVERAGE(F69,S69,AF69),0)</f>
        <v>529.16666666666663</v>
      </c>
      <c r="BG69" s="17">
        <f t="shared" si="37"/>
        <v>494.91666666666669</v>
      </c>
      <c r="BH69" s="17">
        <f t="shared" si="37"/>
        <v>364.08333333333331</v>
      </c>
      <c r="BI69" s="17">
        <f t="shared" si="37"/>
        <v>467.58333333333331</v>
      </c>
      <c r="BJ69" s="17">
        <f t="shared" si="37"/>
        <v>420.66666666666669</v>
      </c>
      <c r="BK69" s="17">
        <f t="shared" si="37"/>
        <v>514.58333333333337</v>
      </c>
      <c r="BL69" s="17">
        <f t="shared" si="37"/>
        <v>771.66666666666663</v>
      </c>
      <c r="BM69" s="17">
        <f t="shared" si="37"/>
        <v>655.08333333333337</v>
      </c>
      <c r="BN69" s="211">
        <f>IFERROR(BN68/SUM(BB65:BM65)*12,0)</f>
        <v>6533</v>
      </c>
      <c r="BO69" s="273">
        <f>BN69</f>
        <v>6533</v>
      </c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>
        <f>IFERROR(ROUND(AU66*#REF!,0),0)</f>
        <v>0</v>
      </c>
      <c r="AV70" s="119">
        <f>IFERROR(ROUND(AV66*#REF!,0),0)</f>
        <v>0</v>
      </c>
      <c r="AW70" s="119">
        <f>IFERROR(ROUND(AW66*#REF!,0),0)</f>
        <v>0</v>
      </c>
      <c r="AX70" s="119">
        <f>IFERROR(ROUND(AX66*#REF!,0),0)</f>
        <v>0</v>
      </c>
      <c r="AY70" s="119">
        <f>IFERROR(ROUND(AY66*#REF!,0),0)</f>
        <v>0</v>
      </c>
      <c r="AZ70" s="119">
        <f>IFERROR(ROUND(AZ66*#REF!,0),0)</f>
        <v>0</v>
      </c>
      <c r="BA70" s="210">
        <f>SUM(AO70:AZ70)</f>
        <v>0</v>
      </c>
      <c r="BB70" s="119">
        <v>649</v>
      </c>
      <c r="BC70" s="119">
        <v>649</v>
      </c>
      <c r="BD70" s="119">
        <v>649</v>
      </c>
      <c r="BE70" s="119">
        <v>649</v>
      </c>
      <c r="BF70" s="119">
        <f>IFERROR(ROUND(BF66*#REF!,0),0)</f>
        <v>0</v>
      </c>
      <c r="BG70" s="119">
        <f>IFERROR(ROUND(BG66*#REF!,0),0)</f>
        <v>0</v>
      </c>
      <c r="BH70" s="119">
        <f>IFERROR(ROUND(BH66*#REF!,0),0)</f>
        <v>0</v>
      </c>
      <c r="BI70" s="119">
        <f>IFERROR(ROUND(BI66*#REF!,0),0)</f>
        <v>0</v>
      </c>
      <c r="BJ70" s="119">
        <f>IFERROR(ROUND(BJ66*#REF!,0),0)</f>
        <v>0</v>
      </c>
      <c r="BK70" s="119">
        <f>IFERROR(ROUND(BK66*#REF!,0),0)</f>
        <v>0</v>
      </c>
      <c r="BL70" s="119">
        <f>IFERROR(ROUND(BL66*#REF!,0),0)</f>
        <v>0</v>
      </c>
      <c r="BM70" s="119">
        <f>IFERROR(ROUND(BM66*#REF!,0),0)</f>
        <v>0</v>
      </c>
      <c r="BN70" s="210">
        <f>SUM(BB70:BM70)</f>
        <v>2596</v>
      </c>
      <c r="BO70" s="124">
        <f>IFERROR(ROUND(BO66*#REF!,0),0)</f>
        <v>0</v>
      </c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282"/>
      <c r="AU71" s="282">
        <f>IFERROR(ROUND(AU67*#REF!,0),0)</f>
        <v>0</v>
      </c>
      <c r="AV71" s="282">
        <f>IFERROR(ROUND(AV67*#REF!,0),0)</f>
        <v>0</v>
      </c>
      <c r="AW71" s="282">
        <f>IFERROR(ROUND(AW67*#REF!,0),0)</f>
        <v>0</v>
      </c>
      <c r="AX71" s="282">
        <f>IFERROR(ROUND(AX67*#REF!,0),0)</f>
        <v>0</v>
      </c>
      <c r="AY71" s="282">
        <f>IFERROR(ROUND(AY67*#REF!,0),0)</f>
        <v>0</v>
      </c>
      <c r="AZ71" s="282">
        <f>IFERROR(ROUND(AZ67*#REF!,0),0)</f>
        <v>0</v>
      </c>
      <c r="BA71" s="210">
        <f>SUM(AO71:AZ71)</f>
        <v>0</v>
      </c>
      <c r="BB71" s="282">
        <v>1356</v>
      </c>
      <c r="BC71" s="282">
        <v>1272</v>
      </c>
      <c r="BD71" s="282">
        <v>790</v>
      </c>
      <c r="BE71" s="282">
        <v>483</v>
      </c>
      <c r="BF71" s="282">
        <f>IFERROR(ROUND(BF67*#REF!,0),0)</f>
        <v>0</v>
      </c>
      <c r="BG71" s="282">
        <f>IFERROR(ROUND(BG67*#REF!,0),0)</f>
        <v>0</v>
      </c>
      <c r="BH71" s="282">
        <f>IFERROR(ROUND(BH67*#REF!,0),0)</f>
        <v>0</v>
      </c>
      <c r="BI71" s="282">
        <f>IFERROR(ROUND(BI67*#REF!,0),0)</f>
        <v>0</v>
      </c>
      <c r="BJ71" s="282">
        <f>IFERROR(ROUND(BJ67*#REF!,0),0)</f>
        <v>0</v>
      </c>
      <c r="BK71" s="282">
        <f>IFERROR(ROUND(BK67*#REF!,0),0)</f>
        <v>0</v>
      </c>
      <c r="BL71" s="282">
        <f>IFERROR(ROUND(BL67*#REF!,0),0)</f>
        <v>0</v>
      </c>
      <c r="BM71" s="282">
        <f>IFERROR(ROUND(BM67*#REF!,0),0)</f>
        <v>0</v>
      </c>
      <c r="BN71" s="210">
        <f>SUM(BB71:BM71)</f>
        <v>3901</v>
      </c>
      <c r="BO71" s="128">
        <f>IFERROR(ROUND(BO67*#REF!,0),0)</f>
        <v>0</v>
      </c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>
        <f>SUM(AU70:AU71)</f>
        <v>0</v>
      </c>
      <c r="AV72" s="15">
        <f t="shared" ref="AV72:AZ72" si="38">SUM(AV70:AV71)</f>
        <v>0</v>
      </c>
      <c r="AW72" s="15">
        <f t="shared" si="38"/>
        <v>0</v>
      </c>
      <c r="AX72" s="15">
        <f t="shared" si="38"/>
        <v>0</v>
      </c>
      <c r="AY72" s="15">
        <f t="shared" si="38"/>
        <v>0</v>
      </c>
      <c r="AZ72" s="15">
        <f t="shared" si="38"/>
        <v>0</v>
      </c>
      <c r="BA72" s="196">
        <f>SUM(BA70:BA71)</f>
        <v>0</v>
      </c>
      <c r="BB72" s="15">
        <v>2005</v>
      </c>
      <c r="BC72" s="15">
        <v>1921</v>
      </c>
      <c r="BD72" s="15">
        <v>1439</v>
      </c>
      <c r="BE72" s="15">
        <v>1132</v>
      </c>
      <c r="BF72" s="15">
        <f t="shared" ref="BF72:BO72" si="39">SUM(BF70:BF71)</f>
        <v>0</v>
      </c>
      <c r="BG72" s="15">
        <f t="shared" si="39"/>
        <v>0</v>
      </c>
      <c r="BH72" s="15">
        <f t="shared" si="39"/>
        <v>0</v>
      </c>
      <c r="BI72" s="15">
        <f t="shared" si="39"/>
        <v>0</v>
      </c>
      <c r="BJ72" s="15">
        <f t="shared" si="39"/>
        <v>0</v>
      </c>
      <c r="BK72" s="15">
        <f t="shared" si="39"/>
        <v>0</v>
      </c>
      <c r="BL72" s="15">
        <f t="shared" si="39"/>
        <v>0</v>
      </c>
      <c r="BM72" s="15">
        <f t="shared" si="39"/>
        <v>0</v>
      </c>
      <c r="BN72" s="196">
        <f>SUM(BN70:BN71)</f>
        <v>6497</v>
      </c>
      <c r="BO72" s="64">
        <f t="shared" si="39"/>
        <v>0</v>
      </c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33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8"/>
      <c r="AV75" s="38"/>
      <c r="AW75" s="38"/>
      <c r="AX75" s="38"/>
      <c r="AY75" s="38"/>
      <c r="AZ75" s="38"/>
      <c r="BA75" s="210"/>
      <c r="BB75" s="109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/>
      <c r="AV76" s="38"/>
      <c r="AW76" s="38"/>
      <c r="AX76" s="38"/>
      <c r="AY76" s="38"/>
      <c r="AZ76" s="38"/>
      <c r="BA76" s="210"/>
      <c r="BB76" s="39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/>
      <c r="AV77" s="38"/>
      <c r="AW77" s="38"/>
      <c r="AX77" s="38"/>
      <c r="AY77" s="38"/>
      <c r="AZ77" s="38"/>
      <c r="BA77" s="210"/>
      <c r="BB77" s="39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129" t="str">
        <f>IF('kWh_Streetlight Data'!C78=0,"",'kWh_Streetlight Data'!C78)</f>
        <v/>
      </c>
      <c r="C79" s="108" t="str">
        <f>IF('kWh_Streetlight Data'!D78=0,"",'kWh_Streetlight Data'!D78)</f>
        <v/>
      </c>
      <c r="D79" s="108" t="str">
        <f>IF('kWh_Streetlight Data'!E78=0,"",'kWh_Streetlight Data'!E78)</f>
        <v/>
      </c>
      <c r="E79" s="108" t="str">
        <f>IF('kWh_Streetlight Data'!F78=0,"",'kWh_Streetlight Data'!F78)</f>
        <v/>
      </c>
      <c r="F79" s="108" t="str">
        <f>IF('kWh_Streetlight Data'!G78=0,"",'kWh_Streetlight Data'!G78)</f>
        <v/>
      </c>
      <c r="G79" s="108" t="str">
        <f>IF('kWh_Streetlight Data'!H78=0,"",'kWh_Streetlight Data'!H78)</f>
        <v/>
      </c>
      <c r="H79" s="108" t="str">
        <f>IF('kWh_Streetlight Data'!I78=0,"",'kWh_Streetlight Data'!I78)</f>
        <v/>
      </c>
      <c r="I79" s="108" t="str">
        <f>IF('kWh_Streetlight Data'!J78=0,"",'kWh_Streetlight Data'!J78)</f>
        <v/>
      </c>
      <c r="J79" s="108" t="str">
        <f>IF('kWh_Streetlight Data'!K78=0,"",'kWh_Streetlight Data'!K78)</f>
        <v/>
      </c>
      <c r="K79" s="108" t="str">
        <f>IF('kWh_Streetlight Data'!L78=0,"",'kWh_Streetlight Data'!L78)</f>
        <v/>
      </c>
      <c r="L79" s="108" t="str">
        <f>IF('kWh_Streetlight Data'!M78=0,"",'kWh_Streetlight Data'!M78)</f>
        <v/>
      </c>
      <c r="M79" s="108" t="str">
        <f>IF('kWh_Streetlight Data'!N78=0,"",'kWh_Streetlight Data'!N78)</f>
        <v/>
      </c>
      <c r="N79" s="424" t="str">
        <f>IF('kWh_Streetlight Data'!O78=0,"",'kWh_Streetlight Data'!O78)</f>
        <v/>
      </c>
      <c r="O79" s="84" t="str">
        <f>IF('kWh_Streetlight Data'!P78=0,"",'kWh_Streetlight Data'!P78)</f>
        <v/>
      </c>
      <c r="P79" s="108" t="str">
        <f>IF('kWh_Streetlight Data'!Q78=0,"",'kWh_Streetlight Data'!Q78)</f>
        <v/>
      </c>
      <c r="Q79" s="108" t="str">
        <f>IF('kWh_Streetlight Data'!R78=0,"",'kWh_Streetlight Data'!R78)</f>
        <v/>
      </c>
      <c r="R79" s="108" t="str">
        <f>IF('kWh_Streetlight Data'!S78=0,"",'kWh_Streetlight Data'!S78)</f>
        <v/>
      </c>
      <c r="S79" s="108" t="str">
        <f>IF('kWh_Streetlight Data'!T78=0,"",'kWh_Streetlight Data'!T78)</f>
        <v/>
      </c>
      <c r="T79" s="108" t="str">
        <f>IF('kWh_Streetlight Data'!U78=0,"",'kWh_Streetlight Data'!U78)</f>
        <v/>
      </c>
      <c r="U79" s="108" t="str">
        <f>IF('kWh_Streetlight Data'!V78=0,"",'kWh_Streetlight Data'!V78)</f>
        <v/>
      </c>
      <c r="V79" s="108" t="str">
        <f>IF('kWh_Streetlight Data'!W78=0,"",'kWh_Streetlight Data'!W78)</f>
        <v/>
      </c>
      <c r="W79" s="108" t="str">
        <f>IF('kWh_Streetlight Data'!X78=0,"",'kWh_Streetlight Data'!X78)</f>
        <v/>
      </c>
      <c r="X79" s="108" t="str">
        <f>IF('kWh_Streetlight Data'!Y78=0,"",'kWh_Streetlight Data'!Y78)</f>
        <v/>
      </c>
      <c r="Y79" s="108" t="str">
        <f>IF('kWh_Streetlight Data'!Z78=0,"",'kWh_Streetlight Data'!Z78)</f>
        <v/>
      </c>
      <c r="Z79" s="108" t="str">
        <f>IF('kWh_Streetlight Data'!AA78=0,"",'kWh_Streetlight Data'!AA78)</f>
        <v/>
      </c>
      <c r="AA79" s="424" t="str">
        <f>IF('kWh_Streetlight Data'!AB78=0,"",'kWh_Streetlight Data'!AB78)</f>
        <v/>
      </c>
      <c r="AB79" s="129" t="str">
        <f>IF('kWh_Streetlight Data'!AC78=0,"",'kWh_Streetlight Data'!AC78)</f>
        <v/>
      </c>
      <c r="AC79" s="130" t="str">
        <f>IF('kWh_Streetlight Data'!AD78=0,"",'kWh_Streetlight Data'!AD78)</f>
        <v/>
      </c>
      <c r="AD79" s="130" t="str">
        <f>IF('kWh_Streetlight Data'!AE78=0,"",'kWh_Streetlight Data'!AE78)</f>
        <v/>
      </c>
      <c r="AE79" s="130" t="str">
        <f>IF('kWh_Streetlight Data'!AF78=0,"",'kWh_Streetlight Data'!AF78)</f>
        <v/>
      </c>
      <c r="AF79" s="130" t="str">
        <f>IF('kWh_Streetlight Data'!AG78=0,"",'kWh_Streetlight Data'!AG78)</f>
        <v/>
      </c>
      <c r="AG79" s="130" t="str">
        <f>IF('kWh_Streetlight Data'!AH78=0,"",'kWh_Streetlight Data'!AH78)</f>
        <v/>
      </c>
      <c r="AH79" s="108" t="str">
        <f>IF('kWh_Streetlight Data'!AI78=0,"",'kWh_Streetlight Data'!AI78)</f>
        <v/>
      </c>
      <c r="AI79" s="108" t="str">
        <f>IF('kWh_Streetlight Data'!AJ78=0,"",'kWh_Streetlight Data'!AJ78)</f>
        <v/>
      </c>
      <c r="AJ79" s="108" t="str">
        <f>IF('kWh_Streetlight Data'!AK78=0,"",'kWh_Streetlight Data'!AK78)</f>
        <v/>
      </c>
      <c r="AK79" s="108" t="str">
        <f>IF('kWh_Streetlight Data'!AL78=0,"",'kWh_Streetlight Data'!AL78)</f>
        <v/>
      </c>
      <c r="AL79" s="108" t="str">
        <f>IF('kWh_Streetlight Data'!AM78=0,"",'kWh_Streetlight Data'!AM78)</f>
        <v/>
      </c>
      <c r="AM79" s="108" t="str">
        <f>IF('kWh_Streetlight Data'!AN78=0,"",'kWh_Streetlight Data'!AN78)</f>
        <v/>
      </c>
      <c r="AN79" s="424" t="str">
        <f>IF('kWh_Streetlight Data'!AO78=0,"",'kWh_Streetlight Data'!AO78)</f>
        <v/>
      </c>
      <c r="AO79" s="34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50"/>
      <c r="AP81" s="171"/>
      <c r="AQ81" s="171"/>
      <c r="AR81" s="171"/>
      <c r="AS81" s="171"/>
      <c r="AT81" s="63"/>
      <c r="AU81" s="127">
        <f>Customers!E35</f>
        <v>7</v>
      </c>
      <c r="AV81" s="127">
        <f>Customers!F35</f>
        <v>7</v>
      </c>
      <c r="AW81" s="127">
        <f>Customers!G35</f>
        <v>7</v>
      </c>
      <c r="AX81" s="127">
        <f>Customers!H35</f>
        <v>7</v>
      </c>
      <c r="AY81" s="127">
        <f>Customers!I35</f>
        <v>7</v>
      </c>
      <c r="AZ81" s="127">
        <f>Customers!J35</f>
        <v>7</v>
      </c>
      <c r="BA81" s="210">
        <f>AZ81</f>
        <v>7</v>
      </c>
      <c r="BB81" s="109">
        <v>7</v>
      </c>
      <c r="BC81" s="38">
        <v>7</v>
      </c>
      <c r="BD81" s="38">
        <v>7</v>
      </c>
      <c r="BE81" s="38">
        <v>7</v>
      </c>
      <c r="BF81" s="38">
        <f t="shared" ref="BF81:BM81" si="40">BE81</f>
        <v>7</v>
      </c>
      <c r="BG81" s="38">
        <f t="shared" si="40"/>
        <v>7</v>
      </c>
      <c r="BH81" s="38">
        <f t="shared" si="40"/>
        <v>7</v>
      </c>
      <c r="BI81" s="38">
        <f t="shared" si="40"/>
        <v>7</v>
      </c>
      <c r="BJ81" s="38">
        <f t="shared" si="40"/>
        <v>7</v>
      </c>
      <c r="BK81" s="38">
        <f t="shared" si="40"/>
        <v>7</v>
      </c>
      <c r="BL81" s="38">
        <f t="shared" si="40"/>
        <v>7</v>
      </c>
      <c r="BM81" s="38">
        <f t="shared" si="40"/>
        <v>7</v>
      </c>
      <c r="BN81" s="210">
        <f>IFERROR(ROUND(AVERAGE(BB81:BM81),0),0)</f>
        <v>7</v>
      </c>
      <c r="BO81" s="90">
        <f>Customers!L35</f>
        <v>7</v>
      </c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>
        <f t="shared" ref="AU82:AZ82" si="41">IFERROR(ROUND(AU83*AU81,0),0)</f>
        <v>17586</v>
      </c>
      <c r="AV82" s="160">
        <f t="shared" si="41"/>
        <v>18213</v>
      </c>
      <c r="AW82" s="160">
        <f t="shared" si="41"/>
        <v>16779</v>
      </c>
      <c r="AX82" s="160">
        <f t="shared" si="41"/>
        <v>14618</v>
      </c>
      <c r="AY82" s="160">
        <f t="shared" si="41"/>
        <v>19983</v>
      </c>
      <c r="AZ82" s="160">
        <f t="shared" si="41"/>
        <v>19105</v>
      </c>
      <c r="BA82" s="196">
        <f>SUM(AT82:AZ82)</f>
        <v>106284</v>
      </c>
      <c r="BB82" s="64">
        <v>22210</v>
      </c>
      <c r="BC82" s="160">
        <v>20849</v>
      </c>
      <c r="BD82" s="160">
        <v>21333</v>
      </c>
      <c r="BE82" s="160">
        <v>16974</v>
      </c>
      <c r="BF82" s="160">
        <f t="shared" ref="BF82:BO82" si="42">IFERROR(ROUND(BF83*BF81,0),0)</f>
        <v>15139</v>
      </c>
      <c r="BG82" s="160">
        <f t="shared" si="42"/>
        <v>19517</v>
      </c>
      <c r="BH82" s="160">
        <f t="shared" si="42"/>
        <v>17586</v>
      </c>
      <c r="BI82" s="160">
        <f t="shared" si="42"/>
        <v>18213</v>
      </c>
      <c r="BJ82" s="160">
        <f t="shared" si="42"/>
        <v>16779</v>
      </c>
      <c r="BK82" s="160">
        <f t="shared" si="42"/>
        <v>14618</v>
      </c>
      <c r="BL82" s="160">
        <f t="shared" si="42"/>
        <v>19983</v>
      </c>
      <c r="BM82" s="160">
        <f t="shared" si="42"/>
        <v>19105</v>
      </c>
      <c r="BN82" s="196">
        <f>SUM(BB82:BM82)</f>
        <v>222306</v>
      </c>
      <c r="BO82" s="88">
        <f t="shared" si="42"/>
        <v>222306</v>
      </c>
    </row>
    <row r="83" spans="1:67" ht="15.75" customHeight="1" thickTop="1">
      <c r="A83" s="374" t="s">
        <v>54</v>
      </c>
      <c r="B83" s="129">
        <f>IF('kWh_Streetlight Data'!C79=0,"",'kWh_Streetlight Data'!C79)</f>
        <v>2782.75</v>
      </c>
      <c r="C83" s="108">
        <f>IF('kWh_Streetlight Data'!D79=0,"",'kWh_Streetlight Data'!D79)</f>
        <v>2372.125</v>
      </c>
      <c r="D83" s="108">
        <f>IF('kWh_Streetlight Data'!E79=0,"",'kWh_Streetlight Data'!E79)</f>
        <v>3071.625</v>
      </c>
      <c r="E83" s="108">
        <f>IF('kWh_Streetlight Data'!F79=0,"",'kWh_Streetlight Data'!F79)</f>
        <v>2062.375</v>
      </c>
      <c r="F83" s="108">
        <f>IF('kWh_Streetlight Data'!G79=0,"",'kWh_Streetlight Data'!G79)</f>
        <v>1805.2727272727273</v>
      </c>
      <c r="G83" s="108">
        <f>IF('kWh_Streetlight Data'!H79=0,"",'kWh_Streetlight Data'!H79)</f>
        <v>3026.5714285714284</v>
      </c>
      <c r="H83" s="108">
        <f>IF('kWh_Streetlight Data'!I79=0,"",'kWh_Streetlight Data'!I79)</f>
        <v>1865</v>
      </c>
      <c r="I83" s="108">
        <f>IF('kWh_Streetlight Data'!J79=0,"",'kWh_Streetlight Data'!J79)</f>
        <v>2843.3333333333335</v>
      </c>
      <c r="J83" s="108">
        <f>IF('kWh_Streetlight Data'!K79=0,"",'kWh_Streetlight Data'!K79)</f>
        <v>2744.1666666666665</v>
      </c>
      <c r="K83" s="108">
        <f>IF('kWh_Streetlight Data'!L79=0,"",'kWh_Streetlight Data'!L79)</f>
        <v>2381</v>
      </c>
      <c r="L83" s="108">
        <f>IF('kWh_Streetlight Data'!M79=0,"",'kWh_Streetlight Data'!M79)</f>
        <v>2779.5714285714284</v>
      </c>
      <c r="M83" s="108">
        <f>IF('kWh_Streetlight Data'!N79=0,"",'kWh_Streetlight Data'!N79)</f>
        <v>3259.2857142857142</v>
      </c>
      <c r="N83" s="424">
        <f>IF('kWh_Streetlight Data'!O79=0,"",'kWh_Streetlight Data'!O79)</f>
        <v>2550.6629213483147</v>
      </c>
      <c r="O83" s="84">
        <f>IF('kWh_Streetlight Data'!P79=0,"",'kWh_Streetlight Data'!P79)</f>
        <v>3094</v>
      </c>
      <c r="P83" s="108">
        <f>IF('kWh_Streetlight Data'!Q79=0,"",'kWh_Streetlight Data'!Q79)</f>
        <v>3868</v>
      </c>
      <c r="Q83" s="108">
        <f>IF('kWh_Streetlight Data'!R79=0,"",'kWh_Streetlight Data'!R79)</f>
        <v>2601.2857142857142</v>
      </c>
      <c r="R83" s="108">
        <f>IF('kWh_Streetlight Data'!S79=0,"",'kWh_Streetlight Data'!S79)</f>
        <v>2562.7142857142858</v>
      </c>
      <c r="S83" s="108">
        <f>IF('kWh_Streetlight Data'!T79=0,"",'kWh_Streetlight Data'!T79)</f>
        <v>1678.090909090909</v>
      </c>
      <c r="T83" s="108">
        <f>IF('kWh_Streetlight Data'!U79=0,"",'kWh_Streetlight Data'!U79)</f>
        <v>2847.2857142857142</v>
      </c>
      <c r="U83" s="108">
        <f>IF('kWh_Streetlight Data'!V79=0,"",'kWh_Streetlight Data'!V79)</f>
        <v>2634</v>
      </c>
      <c r="V83" s="108">
        <f>IF('kWh_Streetlight Data'!W79=0,"",'kWh_Streetlight Data'!W79)</f>
        <v>2314.6666666666665</v>
      </c>
      <c r="W83" s="108">
        <f>IF('kWh_Streetlight Data'!X79=0,"",'kWh_Streetlight Data'!X79)</f>
        <v>2350</v>
      </c>
      <c r="X83" s="108">
        <f>IF('kWh_Streetlight Data'!Y79=0,"",'kWh_Streetlight Data'!Y79)</f>
        <v>1958.7142857142858</v>
      </c>
      <c r="Y83" s="108">
        <f>IF('kWh_Streetlight Data'!Z79=0,"",'kWh_Streetlight Data'!Z79)</f>
        <v>2095.8571428571427</v>
      </c>
      <c r="Z83" s="108">
        <f>IF('kWh_Streetlight Data'!AA79=0,"",'kWh_Streetlight Data'!AA79)</f>
        <v>2760.2857142857142</v>
      </c>
      <c r="AA83" s="424">
        <f>IF('kWh_Streetlight Data'!AB79=0,"",'kWh_Streetlight Data'!AB79)</f>
        <v>2526.6823529411763</v>
      </c>
      <c r="AB83" s="442">
        <f>IF('kWh_Streetlight Data'!AC79=0,"",'kWh_Streetlight Data'!AC79)</f>
        <v>3642</v>
      </c>
      <c r="AC83" s="443">
        <f>IF('kWh_Streetlight Data'!AD79=0,"",'kWh_Streetlight Data'!AD79)</f>
        <v>2695</v>
      </c>
      <c r="AD83" s="443">
        <f>IF('kWh_Streetlight Data'!AE79=0,"",'kWh_Streetlight Data'!AE79)</f>
        <v>3469.8571428571427</v>
      </c>
      <c r="AE83" s="443">
        <f>IF('kWh_Streetlight Data'!AF79=0,"",'kWh_Streetlight Data'!AF79)</f>
        <v>2649.5714285714284</v>
      </c>
      <c r="AF83" s="443">
        <f>IF('kWh_Streetlight Data'!AG79=0,"",'kWh_Streetlight Data'!AG79)</f>
        <v>3004.5714285714284</v>
      </c>
      <c r="AG83" s="443">
        <f>IF('kWh_Streetlight Data'!AH79=0,"",'kWh_Streetlight Data'!AH79)</f>
        <v>2490.4285714285716</v>
      </c>
      <c r="AH83" s="443">
        <f>IF('kWh_Streetlight Data'!AI79=0,"",'kWh_Streetlight Data'!AI79)</f>
        <v>3037.6666666666665</v>
      </c>
      <c r="AI83" s="443">
        <f>IF('kWh_Streetlight Data'!AJ79=0,"",'kWh_Streetlight Data'!AJ79)</f>
        <v>2647.5714285714284</v>
      </c>
      <c r="AJ83" s="443">
        <f>IF('kWh_Streetlight Data'!AK79=0,"",'kWh_Streetlight Data'!AK79)</f>
        <v>2096.6666666666665</v>
      </c>
      <c r="AK83" s="443">
        <f>IF('kWh_Streetlight Data'!AL79=0,"",'kWh_Streetlight Data'!AL79)</f>
        <v>1925.1428571428571</v>
      </c>
      <c r="AL83" s="443">
        <f>IF('kWh_Streetlight Data'!AM79=0,"",'kWh_Streetlight Data'!AM79)</f>
        <v>3688.5714285714284</v>
      </c>
      <c r="AM83" s="443">
        <f>IF('kWh_Streetlight Data'!AN79=0,"",'kWh_Streetlight Data'!AN79)</f>
        <v>2168.2857142857142</v>
      </c>
      <c r="AN83" s="424">
        <f>IF('kWh_Streetlight Data'!AO79=0,"",'kWh_Streetlight Data'!AO79)</f>
        <v>2798.4512195121952</v>
      </c>
      <c r="AO83" s="34"/>
      <c r="AP83" s="35"/>
      <c r="AQ83" s="35"/>
      <c r="AR83" s="35"/>
      <c r="AS83" s="35"/>
      <c r="AT83" s="17"/>
      <c r="AU83" s="17">
        <f t="shared" ref="AU83:AZ83" si="43">IFERROR(AVERAGE(AH83,U83,H83),0)</f>
        <v>2512.2222222222222</v>
      </c>
      <c r="AV83" s="17">
        <f t="shared" si="43"/>
        <v>2601.8571428571431</v>
      </c>
      <c r="AW83" s="17">
        <f t="shared" si="43"/>
        <v>2396.9444444444439</v>
      </c>
      <c r="AX83" s="17">
        <f t="shared" si="43"/>
        <v>2088.2857142857142</v>
      </c>
      <c r="AY83" s="17">
        <f t="shared" si="43"/>
        <v>2854.6666666666665</v>
      </c>
      <c r="AZ83" s="17">
        <f t="shared" si="43"/>
        <v>2729.2857142857142</v>
      </c>
      <c r="BA83" s="211">
        <f>IFERROR(BA82/SUM(#REF!),0)</f>
        <v>0</v>
      </c>
      <c r="BB83" s="17">
        <v>3172.9166666666665</v>
      </c>
      <c r="BC83" s="17">
        <v>2978.375</v>
      </c>
      <c r="BD83" s="17">
        <v>3047.5892857142858</v>
      </c>
      <c r="BE83" s="17">
        <v>2424.886904761905</v>
      </c>
      <c r="BF83" s="17">
        <f t="shared" ref="BF83:BM83" si="44">IFERROR(AVERAGE(F83,S83,AF83),0)</f>
        <v>2162.6450216450216</v>
      </c>
      <c r="BG83" s="17">
        <f t="shared" si="44"/>
        <v>2788.0952380952381</v>
      </c>
      <c r="BH83" s="17">
        <f t="shared" si="44"/>
        <v>2512.2222222222222</v>
      </c>
      <c r="BI83" s="17">
        <f t="shared" si="44"/>
        <v>2601.8571428571427</v>
      </c>
      <c r="BJ83" s="17">
        <f t="shared" si="44"/>
        <v>2396.9444444444439</v>
      </c>
      <c r="BK83" s="17">
        <f t="shared" si="44"/>
        <v>2088.2857142857142</v>
      </c>
      <c r="BL83" s="17">
        <f t="shared" si="44"/>
        <v>2854.6666666666665</v>
      </c>
      <c r="BM83" s="17">
        <f t="shared" si="44"/>
        <v>2729.2857142857142</v>
      </c>
      <c r="BN83" s="211">
        <f>IFERROR(BN82/SUM(BB81:BM81)*12,0)</f>
        <v>31758</v>
      </c>
      <c r="BO83" s="20">
        <f>BN83</f>
        <v>31758</v>
      </c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8"/>
      <c r="AV86" s="38"/>
      <c r="AW86" s="38"/>
      <c r="AX86" s="38"/>
      <c r="AY86" s="38"/>
      <c r="AZ86" s="38"/>
      <c r="BA86" s="210"/>
      <c r="BB86" s="109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/>
      <c r="AV87" s="160"/>
      <c r="AW87" s="160"/>
      <c r="AX87" s="160"/>
      <c r="AY87" s="160"/>
      <c r="AZ87" s="160"/>
      <c r="BA87" s="196"/>
      <c r="BB87" s="64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88"/>
    </row>
    <row r="88" spans="1:67" ht="15.75" customHeight="1" thickTop="1">
      <c r="A88" s="374" t="s">
        <v>54</v>
      </c>
      <c r="B88" s="129" t="str">
        <f>IF('kWh_Streetlight Data'!C80=0,"",'kWh_Streetlight Data'!C80)</f>
        <v/>
      </c>
      <c r="C88" s="108" t="str">
        <f>IF('kWh_Streetlight Data'!D80=0,"",'kWh_Streetlight Data'!D80)</f>
        <v/>
      </c>
      <c r="D88" s="108" t="str">
        <f>IF('kWh_Streetlight Data'!E80=0,"",'kWh_Streetlight Data'!E80)</f>
        <v/>
      </c>
      <c r="E88" s="108" t="str">
        <f>IF('kWh_Streetlight Data'!F80=0,"",'kWh_Streetlight Data'!F80)</f>
        <v/>
      </c>
      <c r="F88" s="108" t="str">
        <f>IF('kWh_Streetlight Data'!G80=0,"",'kWh_Streetlight Data'!G80)</f>
        <v/>
      </c>
      <c r="G88" s="108" t="str">
        <f>IF('kWh_Streetlight Data'!H80=0,"",'kWh_Streetlight Data'!H80)</f>
        <v/>
      </c>
      <c r="H88" s="108" t="str">
        <f>IF('kWh_Streetlight Data'!I80=0,"",'kWh_Streetlight Data'!I80)</f>
        <v/>
      </c>
      <c r="I88" s="108" t="str">
        <f>IF('kWh_Streetlight Data'!J80=0,"",'kWh_Streetlight Data'!J80)</f>
        <v/>
      </c>
      <c r="J88" s="108" t="str">
        <f>IF('kWh_Streetlight Data'!K80=0,"",'kWh_Streetlight Data'!K80)</f>
        <v/>
      </c>
      <c r="K88" s="108" t="str">
        <f>IF('kWh_Streetlight Data'!L80=0,"",'kWh_Streetlight Data'!L80)</f>
        <v/>
      </c>
      <c r="L88" s="108" t="str">
        <f>IF('kWh_Streetlight Data'!M80=0,"",'kWh_Streetlight Data'!M80)</f>
        <v/>
      </c>
      <c r="M88" s="108" t="str">
        <f>IF('kWh_Streetlight Data'!N80=0,"",'kWh_Streetlight Data'!N80)</f>
        <v/>
      </c>
      <c r="N88" s="424" t="str">
        <f>IF('kWh_Streetlight Data'!O80=0,"",'kWh_Streetlight Data'!O80)</f>
        <v/>
      </c>
      <c r="O88" s="84" t="str">
        <f>IF('kWh_Streetlight Data'!P80=0,"",'kWh_Streetlight Data'!P80)</f>
        <v/>
      </c>
      <c r="P88" s="108" t="str">
        <f>IF('kWh_Streetlight Data'!Q80=0,"",'kWh_Streetlight Data'!Q80)</f>
        <v/>
      </c>
      <c r="Q88" s="108" t="str">
        <f>IF('kWh_Streetlight Data'!R80=0,"",'kWh_Streetlight Data'!R80)</f>
        <v/>
      </c>
      <c r="R88" s="108" t="str">
        <f>IF('kWh_Streetlight Data'!S80=0,"",'kWh_Streetlight Data'!S80)</f>
        <v/>
      </c>
      <c r="S88" s="108" t="str">
        <f>IF('kWh_Streetlight Data'!T80=0,"",'kWh_Streetlight Data'!T80)</f>
        <v/>
      </c>
      <c r="T88" s="108" t="str">
        <f>IF('kWh_Streetlight Data'!U80=0,"",'kWh_Streetlight Data'!U80)</f>
        <v/>
      </c>
      <c r="U88" s="108" t="str">
        <f>IF('kWh_Streetlight Data'!V80=0,"",'kWh_Streetlight Data'!V80)</f>
        <v/>
      </c>
      <c r="V88" s="108" t="str">
        <f>IF('kWh_Streetlight Data'!W80=0,"",'kWh_Streetlight Data'!W80)</f>
        <v/>
      </c>
      <c r="W88" s="108" t="str">
        <f>IF('kWh_Streetlight Data'!X80=0,"",'kWh_Streetlight Data'!X80)</f>
        <v/>
      </c>
      <c r="X88" s="108" t="str">
        <f>IF('kWh_Streetlight Data'!Y80=0,"",'kWh_Streetlight Data'!Y80)</f>
        <v/>
      </c>
      <c r="Y88" s="108" t="str">
        <f>IF('kWh_Streetlight Data'!Z80=0,"",'kWh_Streetlight Data'!Z80)</f>
        <v/>
      </c>
      <c r="Z88" s="108" t="str">
        <f>IF('kWh_Streetlight Data'!AA80=0,"",'kWh_Streetlight Data'!AA80)</f>
        <v/>
      </c>
      <c r="AA88" s="426" t="str">
        <f>IF('kWh_Streetlight Data'!AB80=0,"",'kWh_Streetlight Data'!AB80)</f>
        <v/>
      </c>
      <c r="AB88" s="442" t="str">
        <f>IF('kWh_Streetlight Data'!AC80=0,"",'kWh_Streetlight Data'!AC80)</f>
        <v/>
      </c>
      <c r="AC88" s="443" t="str">
        <f>IF('kWh_Streetlight Data'!AD80=0,"",'kWh_Streetlight Data'!AD80)</f>
        <v/>
      </c>
      <c r="AD88" s="443" t="str">
        <f>IF('kWh_Streetlight Data'!AE80=0,"",'kWh_Streetlight Data'!AE80)</f>
        <v/>
      </c>
      <c r="AE88" s="443" t="str">
        <f>IF('kWh_Streetlight Data'!AF80=0,"",'kWh_Streetlight Data'!AF80)</f>
        <v/>
      </c>
      <c r="AF88" s="443" t="str">
        <f>IF('kWh_Streetlight Data'!AG80=0,"",'kWh_Streetlight Data'!AG80)</f>
        <v/>
      </c>
      <c r="AG88" s="443" t="str">
        <f>IF('kWh_Streetlight Data'!AH80=0,"",'kWh_Streetlight Data'!AH80)</f>
        <v/>
      </c>
      <c r="AH88" s="108" t="str">
        <f>IF('kWh_Streetlight Data'!AI80=0,"",'kWh_Streetlight Data'!AI80)</f>
        <v/>
      </c>
      <c r="AI88" s="108" t="str">
        <f>IF('kWh_Streetlight Data'!AJ80=0,"",'kWh_Streetlight Data'!AJ80)</f>
        <v/>
      </c>
      <c r="AJ88" s="108" t="str">
        <f>IF('kWh_Streetlight Data'!AK80=0,"",'kWh_Streetlight Data'!AK80)</f>
        <v/>
      </c>
      <c r="AK88" s="108" t="str">
        <f>IF('kWh_Streetlight Data'!AL80=0,"",'kWh_Streetlight Data'!AL80)</f>
        <v/>
      </c>
      <c r="AL88" s="108" t="str">
        <f>IF('kWh_Streetlight Data'!AM80=0,"",'kWh_Streetlight Data'!AM80)</f>
        <v/>
      </c>
      <c r="AM88" s="108" t="str">
        <f>IF('kWh_Streetlight Data'!AN80=0,"",'kWh_Streetlight Data'!AN80)</f>
        <v/>
      </c>
      <c r="AN88" s="424" t="str">
        <f>IF('kWh_Streetlight Data'!AO80=0,"",'kWh_Streetlight Data'!AO80)</f>
        <v/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/>
      <c r="AV89" s="126"/>
      <c r="AW89" s="126"/>
      <c r="AX89" s="126"/>
      <c r="AY89" s="126"/>
      <c r="AZ89" s="126"/>
      <c r="BA89" s="197"/>
      <c r="BB89" s="121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9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64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129" t="str">
        <f>IF('kWh_Streetlight Data'!C81=0,"",'kWh_Streetlight Data'!C81)</f>
        <v/>
      </c>
      <c r="C94" s="108" t="str">
        <f>IF('kWh_Streetlight Data'!D81=0,"",'kWh_Streetlight Data'!D81)</f>
        <v/>
      </c>
      <c r="D94" s="108" t="str">
        <f>IF('kWh_Streetlight Data'!E81=0,"",'kWh_Streetlight Data'!E81)</f>
        <v/>
      </c>
      <c r="E94" s="108" t="str">
        <f>IF('kWh_Streetlight Data'!F81=0,"",'kWh_Streetlight Data'!F81)</f>
        <v/>
      </c>
      <c r="F94" s="108" t="str">
        <f>IF('kWh_Streetlight Data'!G81=0,"",'kWh_Streetlight Data'!G81)</f>
        <v/>
      </c>
      <c r="G94" s="108" t="str">
        <f>IF('kWh_Streetlight Data'!H81=0,"",'kWh_Streetlight Data'!H81)</f>
        <v/>
      </c>
      <c r="H94" s="108" t="str">
        <f>IF('kWh_Streetlight Data'!I81=0,"",'kWh_Streetlight Data'!I81)</f>
        <v/>
      </c>
      <c r="I94" s="108" t="str">
        <f>IF('kWh_Streetlight Data'!J81=0,"",'kWh_Streetlight Data'!J81)</f>
        <v/>
      </c>
      <c r="J94" s="108" t="str">
        <f>IF('kWh_Streetlight Data'!K81=0,"",'kWh_Streetlight Data'!K81)</f>
        <v/>
      </c>
      <c r="K94" s="108" t="str">
        <f>IF('kWh_Streetlight Data'!L81=0,"",'kWh_Streetlight Data'!L81)</f>
        <v/>
      </c>
      <c r="L94" s="108" t="str">
        <f>IF('kWh_Streetlight Data'!M81=0,"",'kWh_Streetlight Data'!M81)</f>
        <v/>
      </c>
      <c r="M94" s="130" t="str">
        <f>IF('kWh_Streetlight Data'!N81=0,"",'kWh_Streetlight Data'!N81)</f>
        <v/>
      </c>
      <c r="N94" s="425" t="str">
        <f>IF('kWh_Streetlight Data'!O81=0,"",'kWh_Streetlight Data'!O81)</f>
        <v/>
      </c>
      <c r="O94" s="84" t="str">
        <f>IF('kWh_Streetlight Data'!P81=0,"",'kWh_Streetlight Data'!P81)</f>
        <v/>
      </c>
      <c r="P94" s="108" t="str">
        <f>IF('kWh_Streetlight Data'!Q81=0,"",'kWh_Streetlight Data'!Q81)</f>
        <v/>
      </c>
      <c r="Q94" s="108" t="str">
        <f>IF('kWh_Streetlight Data'!R81=0,"",'kWh_Streetlight Data'!R81)</f>
        <v/>
      </c>
      <c r="R94" s="108" t="str">
        <f>IF('kWh_Streetlight Data'!S81=0,"",'kWh_Streetlight Data'!S81)</f>
        <v/>
      </c>
      <c r="S94" s="108" t="str">
        <f>IF('kWh_Streetlight Data'!T81=0,"",'kWh_Streetlight Data'!T81)</f>
        <v/>
      </c>
      <c r="T94" s="108" t="str">
        <f>IF('kWh_Streetlight Data'!U81=0,"",'kWh_Streetlight Data'!U81)</f>
        <v/>
      </c>
      <c r="U94" s="108" t="str">
        <f>IF('kWh_Streetlight Data'!V81=0,"",'kWh_Streetlight Data'!V81)</f>
        <v/>
      </c>
      <c r="V94" s="108" t="str">
        <f>IF('kWh_Streetlight Data'!W81=0,"",'kWh_Streetlight Data'!W81)</f>
        <v/>
      </c>
      <c r="W94" s="108" t="str">
        <f>IF('kWh_Streetlight Data'!X81=0,"",'kWh_Streetlight Data'!X81)</f>
        <v/>
      </c>
      <c r="X94" s="108" t="str">
        <f>IF('kWh_Streetlight Data'!Y81=0,"",'kWh_Streetlight Data'!Y81)</f>
        <v/>
      </c>
      <c r="Y94" s="108" t="str">
        <f>IF('kWh_Streetlight Data'!Z81=0,"",'kWh_Streetlight Data'!Z81)</f>
        <v/>
      </c>
      <c r="Z94" s="108" t="str">
        <f>IF('kWh_Streetlight Data'!AA81=0,"",'kWh_Streetlight Data'!AA81)</f>
        <v/>
      </c>
      <c r="AA94" s="426" t="str">
        <f>IF('kWh_Streetlight Data'!AB81=0,"",'kWh_Streetlight Data'!AB81)</f>
        <v/>
      </c>
      <c r="AB94" s="84" t="str">
        <f>IF('kWh_Streetlight Data'!AC81=0,"",'kWh_Streetlight Data'!AC81)</f>
        <v/>
      </c>
      <c r="AC94" s="108" t="str">
        <f>IF('kWh_Streetlight Data'!AD81=0,"",'kWh_Streetlight Data'!AD81)</f>
        <v/>
      </c>
      <c r="AD94" s="108" t="str">
        <f>IF('kWh_Streetlight Data'!AE81=0,"",'kWh_Streetlight Data'!AE81)</f>
        <v/>
      </c>
      <c r="AE94" s="108" t="str">
        <f>IF('kWh_Streetlight Data'!AF81=0,"",'kWh_Streetlight Data'!AF81)</f>
        <v/>
      </c>
      <c r="AF94" s="108" t="str">
        <f>IF('kWh_Streetlight Data'!AG81=0,"",'kWh_Streetlight Data'!AG81)</f>
        <v/>
      </c>
      <c r="AG94" s="108" t="str">
        <f>IF('kWh_Streetlight Data'!AH81=0,"",'kWh_Streetlight Data'!AH81)</f>
        <v/>
      </c>
      <c r="AH94" s="108" t="str">
        <f>IF('kWh_Streetlight Data'!AI81=0,"",'kWh_Streetlight Data'!AI81)</f>
        <v/>
      </c>
      <c r="AI94" s="108" t="str">
        <f>IF('kWh_Streetlight Data'!AJ81=0,"",'kWh_Streetlight Data'!AJ81)</f>
        <v/>
      </c>
      <c r="AJ94" s="108" t="str">
        <f>IF('kWh_Streetlight Data'!AK81=0,"",'kWh_Streetlight Data'!AK81)</f>
        <v/>
      </c>
      <c r="AK94" s="108" t="str">
        <f>IF('kWh_Streetlight Data'!AL81=0,"",'kWh_Streetlight Data'!AL81)</f>
        <v/>
      </c>
      <c r="AL94" s="108" t="str">
        <f>IF('kWh_Streetlight Data'!AM81=0,"",'kWh_Streetlight Data'!AM81)</f>
        <v/>
      </c>
      <c r="AM94" s="108" t="str">
        <f>IF('kWh_Streetlight Data'!AN81=0,"",'kWh_Streetlight Data'!AN81)</f>
        <v/>
      </c>
      <c r="AN94" s="424" t="str">
        <f>IF('kWh_Streetlight Data'!AO81=0,"",'kWh_Streetlight Data'!AO81)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>
        <v>0</v>
      </c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>
        <v>0</v>
      </c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>
        <v>0</v>
      </c>
      <c r="BC97" s="68"/>
      <c r="BD97" s="68"/>
      <c r="BE97" s="68"/>
      <c r="BF97" s="68"/>
      <c r="BG97" s="68"/>
      <c r="BH97" s="68"/>
      <c r="BI97" s="68"/>
      <c r="BJ97" s="68">
        <f>SUM(AX97:BI97)</f>
        <v>0</v>
      </c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AZ98" si="45">AU7+AU22+AU29+AU43</f>
        <v>102</v>
      </c>
      <c r="AV98" s="9">
        <f t="shared" si="45"/>
        <v>102</v>
      </c>
      <c r="AW98" s="9">
        <f t="shared" si="45"/>
        <v>102</v>
      </c>
      <c r="AX98" s="9">
        <f t="shared" si="45"/>
        <v>112</v>
      </c>
      <c r="AY98" s="9">
        <f t="shared" si="45"/>
        <v>112</v>
      </c>
      <c r="AZ98" s="9">
        <f t="shared" si="45"/>
        <v>112</v>
      </c>
      <c r="BA98" s="138">
        <f>AZ98</f>
        <v>112</v>
      </c>
      <c r="BB98" s="39">
        <v>112</v>
      </c>
      <c r="BC98" s="39">
        <v>112</v>
      </c>
      <c r="BD98" s="39">
        <v>112</v>
      </c>
      <c r="BE98" s="39">
        <v>112</v>
      </c>
      <c r="BF98" s="39">
        <f t="shared" ref="BF98:BO98" si="46">BF7+BF22+BF29+BF43</f>
        <v>112</v>
      </c>
      <c r="BG98" s="39">
        <f t="shared" si="46"/>
        <v>112</v>
      </c>
      <c r="BH98" s="39">
        <f t="shared" si="46"/>
        <v>112</v>
      </c>
      <c r="BI98" s="39">
        <f t="shared" si="46"/>
        <v>112</v>
      </c>
      <c r="BJ98" s="39">
        <f t="shared" si="46"/>
        <v>112</v>
      </c>
      <c r="BK98" s="39">
        <f t="shared" si="46"/>
        <v>112</v>
      </c>
      <c r="BL98" s="39">
        <f t="shared" si="46"/>
        <v>112</v>
      </c>
      <c r="BM98" s="39">
        <f t="shared" si="46"/>
        <v>112</v>
      </c>
      <c r="BN98" s="215">
        <f t="shared" si="46"/>
        <v>112</v>
      </c>
      <c r="BO98" s="142">
        <f t="shared" si="46"/>
        <v>112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AZ99" si="47">AU57</f>
        <v>0</v>
      </c>
      <c r="AV99" s="9">
        <f t="shared" si="47"/>
        <v>0</v>
      </c>
      <c r="AW99" s="9">
        <f t="shared" si="47"/>
        <v>0</v>
      </c>
      <c r="AX99" s="9">
        <f t="shared" si="47"/>
        <v>0</v>
      </c>
      <c r="AY99" s="9">
        <f t="shared" si="47"/>
        <v>0</v>
      </c>
      <c r="AZ99" s="9">
        <f t="shared" si="47"/>
        <v>0</v>
      </c>
      <c r="BA99" s="138">
        <f>AZ99</f>
        <v>0</v>
      </c>
      <c r="BB99" s="39">
        <v>0</v>
      </c>
      <c r="BC99" s="39">
        <v>0</v>
      </c>
      <c r="BD99" s="39">
        <v>0</v>
      </c>
      <c r="BE99" s="39">
        <v>0</v>
      </c>
      <c r="BF99" s="39">
        <f t="shared" ref="BF99:BO99" si="48">BF57</f>
        <v>0</v>
      </c>
      <c r="BG99" s="39">
        <f t="shared" si="48"/>
        <v>0</v>
      </c>
      <c r="BH99" s="39">
        <f t="shared" si="48"/>
        <v>0</v>
      </c>
      <c r="BI99" s="39">
        <f t="shared" si="48"/>
        <v>0</v>
      </c>
      <c r="BJ99" s="39">
        <f t="shared" si="48"/>
        <v>0</v>
      </c>
      <c r="BK99" s="39">
        <f t="shared" si="48"/>
        <v>0</v>
      </c>
      <c r="BL99" s="39">
        <f t="shared" si="48"/>
        <v>0</v>
      </c>
      <c r="BM99" s="39">
        <f t="shared" si="48"/>
        <v>0</v>
      </c>
      <c r="BN99" s="215">
        <f t="shared" si="48"/>
        <v>0</v>
      </c>
      <c r="BO99" s="142">
        <f t="shared" si="48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AZ100" si="49">AU65+AU75+AU81+AU86</f>
        <v>11</v>
      </c>
      <c r="AV100" s="9">
        <f t="shared" si="49"/>
        <v>11</v>
      </c>
      <c r="AW100" s="9">
        <f t="shared" si="49"/>
        <v>11</v>
      </c>
      <c r="AX100" s="9">
        <f t="shared" si="49"/>
        <v>11</v>
      </c>
      <c r="AY100" s="9">
        <f t="shared" si="49"/>
        <v>11</v>
      </c>
      <c r="AZ100" s="9">
        <f t="shared" si="49"/>
        <v>11</v>
      </c>
      <c r="BA100" s="138">
        <f>AZ100</f>
        <v>11</v>
      </c>
      <c r="BB100" s="39">
        <v>11</v>
      </c>
      <c r="BC100" s="39">
        <v>11</v>
      </c>
      <c r="BD100" s="39">
        <v>11</v>
      </c>
      <c r="BE100" s="39">
        <v>11</v>
      </c>
      <c r="BF100" s="39">
        <f t="shared" ref="BF100:BO100" si="50">BF65+BF75+BF81+BF86</f>
        <v>11</v>
      </c>
      <c r="BG100" s="39">
        <f t="shared" si="50"/>
        <v>11</v>
      </c>
      <c r="BH100" s="39">
        <f t="shared" si="50"/>
        <v>11</v>
      </c>
      <c r="BI100" s="39">
        <f t="shared" si="50"/>
        <v>11</v>
      </c>
      <c r="BJ100" s="39">
        <f t="shared" si="50"/>
        <v>11</v>
      </c>
      <c r="BK100" s="39">
        <f t="shared" si="50"/>
        <v>11</v>
      </c>
      <c r="BL100" s="39">
        <f t="shared" si="50"/>
        <v>11</v>
      </c>
      <c r="BM100" s="39">
        <f t="shared" si="50"/>
        <v>11</v>
      </c>
      <c r="BN100" s="210">
        <f t="shared" si="50"/>
        <v>11</v>
      </c>
      <c r="BO100" s="483">
        <f t="shared" si="50"/>
        <v>11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51">SUM(AU98:AU100)</f>
        <v>113</v>
      </c>
      <c r="AV101" s="73">
        <f t="shared" si="51"/>
        <v>113</v>
      </c>
      <c r="AW101" s="73">
        <f t="shared" si="51"/>
        <v>113</v>
      </c>
      <c r="AX101" s="73">
        <f t="shared" si="51"/>
        <v>123</v>
      </c>
      <c r="AY101" s="73">
        <f t="shared" si="51"/>
        <v>123</v>
      </c>
      <c r="AZ101" s="73">
        <f t="shared" si="51"/>
        <v>123</v>
      </c>
      <c r="BA101" s="249">
        <f t="shared" si="51"/>
        <v>123</v>
      </c>
      <c r="BB101" s="73">
        <v>123</v>
      </c>
      <c r="BC101" s="73">
        <v>123</v>
      </c>
      <c r="BD101" s="73">
        <v>123</v>
      </c>
      <c r="BE101" s="73">
        <v>123</v>
      </c>
      <c r="BF101" s="73">
        <f t="shared" ref="BF101:BO101" si="52">SUM(BF98:BF100)</f>
        <v>123</v>
      </c>
      <c r="BG101" s="73">
        <f t="shared" si="52"/>
        <v>123</v>
      </c>
      <c r="BH101" s="73">
        <f t="shared" si="52"/>
        <v>123</v>
      </c>
      <c r="BI101" s="73">
        <f t="shared" si="52"/>
        <v>123</v>
      </c>
      <c r="BJ101" s="73">
        <f t="shared" si="52"/>
        <v>123</v>
      </c>
      <c r="BK101" s="73">
        <f t="shared" si="52"/>
        <v>123</v>
      </c>
      <c r="BL101" s="73">
        <f t="shared" si="52"/>
        <v>123</v>
      </c>
      <c r="BM101" s="73">
        <f t="shared" si="52"/>
        <v>123</v>
      </c>
      <c r="BN101" s="249">
        <f t="shared" si="52"/>
        <v>123</v>
      </c>
      <c r="BO101" s="249">
        <f t="shared" si="52"/>
        <v>123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66"/>
      <c r="BO102" s="232"/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210"/>
      <c r="BO103" s="483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AZ104" si="53">AU92</f>
        <v>0</v>
      </c>
      <c r="AV104" s="9">
        <f t="shared" si="53"/>
        <v>0</v>
      </c>
      <c r="AW104" s="9">
        <f t="shared" si="53"/>
        <v>0</v>
      </c>
      <c r="AX104" s="9">
        <f t="shared" si="53"/>
        <v>0</v>
      </c>
      <c r="AY104" s="9">
        <f t="shared" si="53"/>
        <v>0</v>
      </c>
      <c r="AZ104" s="9">
        <f t="shared" si="53"/>
        <v>0</v>
      </c>
      <c r="BA104" s="138"/>
      <c r="BB104" s="39">
        <v>0</v>
      </c>
      <c r="BC104" s="39">
        <v>0</v>
      </c>
      <c r="BD104" s="39">
        <v>0</v>
      </c>
      <c r="BE104" s="39">
        <v>0</v>
      </c>
      <c r="BF104" s="39">
        <f t="shared" ref="BF104:BM104" si="54">BF92</f>
        <v>0</v>
      </c>
      <c r="BG104" s="39">
        <f t="shared" si="54"/>
        <v>0</v>
      </c>
      <c r="BH104" s="39">
        <f t="shared" si="54"/>
        <v>0</v>
      </c>
      <c r="BI104" s="39">
        <f t="shared" si="54"/>
        <v>0</v>
      </c>
      <c r="BJ104" s="39">
        <f t="shared" si="54"/>
        <v>0</v>
      </c>
      <c r="BK104" s="39">
        <f t="shared" si="54"/>
        <v>0</v>
      </c>
      <c r="BL104" s="39">
        <f t="shared" si="54"/>
        <v>0</v>
      </c>
      <c r="BM104" s="39">
        <f t="shared" si="54"/>
        <v>0</v>
      </c>
      <c r="BN104" s="210"/>
      <c r="BO104" s="483">
        <f>BO92</f>
        <v>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55">SUM(AU102:AU104)</f>
        <v>0</v>
      </c>
      <c r="AV105" s="73">
        <f t="shared" si="55"/>
        <v>0</v>
      </c>
      <c r="AW105" s="73">
        <f t="shared" si="55"/>
        <v>0</v>
      </c>
      <c r="AX105" s="73">
        <f t="shared" si="55"/>
        <v>0</v>
      </c>
      <c r="AY105" s="73">
        <f t="shared" si="55"/>
        <v>0</v>
      </c>
      <c r="AZ105" s="73">
        <f t="shared" si="55"/>
        <v>0</v>
      </c>
      <c r="BA105" s="249">
        <f t="shared" si="5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56">SUM(BF102:BF104)</f>
        <v>0</v>
      </c>
      <c r="BG105" s="73">
        <f t="shared" si="56"/>
        <v>0</v>
      </c>
      <c r="BH105" s="73">
        <f t="shared" si="56"/>
        <v>0</v>
      </c>
      <c r="BI105" s="73">
        <f t="shared" si="56"/>
        <v>0</v>
      </c>
      <c r="BJ105" s="73">
        <f t="shared" si="56"/>
        <v>0</v>
      </c>
      <c r="BK105" s="73">
        <f t="shared" si="56"/>
        <v>0</v>
      </c>
      <c r="BL105" s="73">
        <f t="shared" si="56"/>
        <v>0</v>
      </c>
      <c r="BM105" s="73">
        <f t="shared" si="56"/>
        <v>0</v>
      </c>
      <c r="BN105" s="249">
        <f t="shared" si="56"/>
        <v>0</v>
      </c>
      <c r="BO105" s="249">
        <f t="shared" si="56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477">
        <f t="shared" ref="AU106:BO106" si="57">AU105+AU101</f>
        <v>113</v>
      </c>
      <c r="AV106" s="251">
        <f t="shared" si="57"/>
        <v>113</v>
      </c>
      <c r="AW106" s="251">
        <f t="shared" si="57"/>
        <v>113</v>
      </c>
      <c r="AX106" s="251">
        <f t="shared" si="57"/>
        <v>123</v>
      </c>
      <c r="AY106" s="251">
        <f t="shared" si="57"/>
        <v>123</v>
      </c>
      <c r="AZ106" s="251">
        <f t="shared" si="57"/>
        <v>123</v>
      </c>
      <c r="BA106" s="255">
        <f t="shared" si="57"/>
        <v>123</v>
      </c>
      <c r="BB106" s="11">
        <v>123</v>
      </c>
      <c r="BC106" s="11">
        <v>123</v>
      </c>
      <c r="BD106" s="11">
        <v>123</v>
      </c>
      <c r="BE106" s="11">
        <v>123</v>
      </c>
      <c r="BF106" s="11">
        <f t="shared" si="57"/>
        <v>123</v>
      </c>
      <c r="BG106" s="11">
        <f t="shared" si="57"/>
        <v>123</v>
      </c>
      <c r="BH106" s="11">
        <f t="shared" si="57"/>
        <v>123</v>
      </c>
      <c r="BI106" s="11">
        <f t="shared" si="57"/>
        <v>123</v>
      </c>
      <c r="BJ106" s="11">
        <f t="shared" si="57"/>
        <v>123</v>
      </c>
      <c r="BK106" s="11">
        <f t="shared" si="57"/>
        <v>123</v>
      </c>
      <c r="BL106" s="11">
        <f t="shared" si="57"/>
        <v>123</v>
      </c>
      <c r="BM106" s="11">
        <f t="shared" si="57"/>
        <v>123</v>
      </c>
      <c r="BN106" s="223">
        <f t="shared" si="57"/>
        <v>123</v>
      </c>
      <c r="BO106" s="223">
        <f t="shared" si="57"/>
        <v>123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207"/>
      <c r="BO107" s="14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58">AU11+AU26+AU33+AU47</f>
        <v>64358</v>
      </c>
      <c r="AV108" s="9">
        <f t="shared" si="58"/>
        <v>85021</v>
      </c>
      <c r="AW108" s="9">
        <f t="shared" si="58"/>
        <v>69341</v>
      </c>
      <c r="AX108" s="9">
        <f t="shared" si="58"/>
        <v>86049</v>
      </c>
      <c r="AY108" s="9">
        <f t="shared" si="58"/>
        <v>130770</v>
      </c>
      <c r="AZ108" s="9">
        <f t="shared" si="58"/>
        <v>132085</v>
      </c>
      <c r="BA108" s="138">
        <f t="shared" si="58"/>
        <v>567624</v>
      </c>
      <c r="BB108" s="39">
        <v>150826</v>
      </c>
      <c r="BC108" s="39">
        <v>151007</v>
      </c>
      <c r="BD108" s="39">
        <v>152256</v>
      </c>
      <c r="BE108" s="39">
        <v>112406</v>
      </c>
      <c r="BF108" s="39">
        <f t="shared" ref="BF108:BO108" si="59">BF11+BF26+BF33+BF47</f>
        <v>125247</v>
      </c>
      <c r="BG108" s="39">
        <f t="shared" si="59"/>
        <v>100838</v>
      </c>
      <c r="BH108" s="39">
        <f t="shared" si="59"/>
        <v>70307</v>
      </c>
      <c r="BI108" s="39">
        <f t="shared" si="59"/>
        <v>92686</v>
      </c>
      <c r="BJ108" s="39">
        <f t="shared" si="59"/>
        <v>75459</v>
      </c>
      <c r="BK108" s="39">
        <f t="shared" si="59"/>
        <v>86049</v>
      </c>
      <c r="BL108" s="39">
        <f t="shared" si="59"/>
        <v>130770</v>
      </c>
      <c r="BM108" s="39">
        <f t="shared" si="59"/>
        <v>132085</v>
      </c>
      <c r="BN108" s="210">
        <f t="shared" si="59"/>
        <v>1379936</v>
      </c>
      <c r="BO108" s="210">
        <f t="shared" si="59"/>
        <v>1379936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60">AU58</f>
        <v>0</v>
      </c>
      <c r="AV109" s="9">
        <f t="shared" si="60"/>
        <v>0</v>
      </c>
      <c r="AW109" s="9">
        <f t="shared" si="60"/>
        <v>0</v>
      </c>
      <c r="AX109" s="9">
        <f t="shared" si="60"/>
        <v>0</v>
      </c>
      <c r="AY109" s="9">
        <f t="shared" si="60"/>
        <v>0</v>
      </c>
      <c r="AZ109" s="9">
        <f t="shared" si="60"/>
        <v>0</v>
      </c>
      <c r="BA109" s="138">
        <f t="shared" si="60"/>
        <v>0</v>
      </c>
      <c r="BB109" s="39">
        <v>0</v>
      </c>
      <c r="BC109" s="39">
        <v>0</v>
      </c>
      <c r="BD109" s="39">
        <v>0</v>
      </c>
      <c r="BE109" s="39">
        <v>0</v>
      </c>
      <c r="BF109" s="39">
        <f t="shared" ref="BF109:BO109" si="61">BF58</f>
        <v>0</v>
      </c>
      <c r="BG109" s="39">
        <f t="shared" si="61"/>
        <v>0</v>
      </c>
      <c r="BH109" s="39">
        <f t="shared" si="61"/>
        <v>0</v>
      </c>
      <c r="BI109" s="39">
        <f t="shared" si="61"/>
        <v>0</v>
      </c>
      <c r="BJ109" s="39">
        <f t="shared" si="61"/>
        <v>0</v>
      </c>
      <c r="BK109" s="39">
        <f t="shared" si="61"/>
        <v>0</v>
      </c>
      <c r="BL109" s="39">
        <f t="shared" si="61"/>
        <v>0</v>
      </c>
      <c r="BM109" s="39">
        <f t="shared" si="61"/>
        <v>0</v>
      </c>
      <c r="BN109" s="210">
        <f t="shared" si="61"/>
        <v>0</v>
      </c>
      <c r="BO109" s="210">
        <f t="shared" si="61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62">AU68+AU78+AU82+AU87</f>
        <v>19042</v>
      </c>
      <c r="AV110" s="9">
        <f t="shared" si="62"/>
        <v>20083</v>
      </c>
      <c r="AW110" s="9">
        <f t="shared" si="62"/>
        <v>18462</v>
      </c>
      <c r="AX110" s="9">
        <f t="shared" si="62"/>
        <v>16676</v>
      </c>
      <c r="AY110" s="9">
        <f t="shared" si="62"/>
        <v>23070</v>
      </c>
      <c r="AZ110" s="9">
        <f t="shared" si="62"/>
        <v>21725</v>
      </c>
      <c r="BA110" s="138">
        <f t="shared" si="62"/>
        <v>119058</v>
      </c>
      <c r="BB110" s="39">
        <v>25039</v>
      </c>
      <c r="BC110" s="39">
        <v>23564</v>
      </c>
      <c r="BD110" s="39">
        <v>23399</v>
      </c>
      <c r="BE110" s="39">
        <v>18625</v>
      </c>
      <c r="BF110" s="39">
        <f t="shared" ref="BF110:BO110" si="63">BF68+BF78+BF82+BF87</f>
        <v>17256</v>
      </c>
      <c r="BG110" s="39">
        <f t="shared" si="63"/>
        <v>21497</v>
      </c>
      <c r="BH110" s="39">
        <f t="shared" si="63"/>
        <v>19042</v>
      </c>
      <c r="BI110" s="39">
        <f t="shared" si="63"/>
        <v>20083</v>
      </c>
      <c r="BJ110" s="39">
        <f t="shared" si="63"/>
        <v>18462</v>
      </c>
      <c r="BK110" s="39">
        <f t="shared" si="63"/>
        <v>16676</v>
      </c>
      <c r="BL110" s="39">
        <f t="shared" si="63"/>
        <v>23070</v>
      </c>
      <c r="BM110" s="39">
        <f t="shared" si="63"/>
        <v>21725</v>
      </c>
      <c r="BN110" s="210">
        <f t="shared" si="63"/>
        <v>248438</v>
      </c>
      <c r="BO110" s="210">
        <f t="shared" si="63"/>
        <v>248438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O111" si="64">SUM(AU108:AU110)</f>
        <v>83400</v>
      </c>
      <c r="AV111" s="73">
        <f t="shared" si="64"/>
        <v>105104</v>
      </c>
      <c r="AW111" s="73">
        <f t="shared" si="64"/>
        <v>87803</v>
      </c>
      <c r="AX111" s="73">
        <f t="shared" si="64"/>
        <v>102725</v>
      </c>
      <c r="AY111" s="73">
        <f t="shared" si="64"/>
        <v>153840</v>
      </c>
      <c r="AZ111" s="73">
        <f t="shared" si="64"/>
        <v>153810</v>
      </c>
      <c r="BA111" s="249">
        <f t="shared" si="64"/>
        <v>686682</v>
      </c>
      <c r="BB111" s="73">
        <v>175865</v>
      </c>
      <c r="BC111" s="73">
        <v>174571</v>
      </c>
      <c r="BD111" s="73">
        <v>175655</v>
      </c>
      <c r="BE111" s="73">
        <v>131031</v>
      </c>
      <c r="BF111" s="73">
        <f t="shared" si="64"/>
        <v>142503</v>
      </c>
      <c r="BG111" s="73">
        <f t="shared" si="64"/>
        <v>122335</v>
      </c>
      <c r="BH111" s="73">
        <f t="shared" si="64"/>
        <v>89349</v>
      </c>
      <c r="BI111" s="73">
        <f t="shared" si="64"/>
        <v>112769</v>
      </c>
      <c r="BJ111" s="73">
        <f t="shared" si="64"/>
        <v>93921</v>
      </c>
      <c r="BK111" s="73">
        <f t="shared" si="64"/>
        <v>102725</v>
      </c>
      <c r="BL111" s="73">
        <f t="shared" si="64"/>
        <v>153840</v>
      </c>
      <c r="BM111" s="73">
        <f t="shared" si="64"/>
        <v>153810</v>
      </c>
      <c r="BN111" s="249">
        <f t="shared" si="64"/>
        <v>1628374</v>
      </c>
      <c r="BO111" s="249">
        <f t="shared" si="64"/>
        <v>1628374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>
        <f>BA19+BA40+BA54</f>
        <v>0</v>
      </c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210">
        <f>BN19+BN40+BN54</f>
        <v>0</v>
      </c>
      <c r="BO112" s="210">
        <f>BO19+BO40+BO54</f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210"/>
      <c r="BO113" s="210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65">AU93</f>
        <v>0</v>
      </c>
      <c r="AV114" s="9">
        <f t="shared" si="65"/>
        <v>0</v>
      </c>
      <c r="AW114" s="9">
        <f t="shared" si="65"/>
        <v>0</v>
      </c>
      <c r="AX114" s="9">
        <f t="shared" si="65"/>
        <v>0</v>
      </c>
      <c r="AY114" s="9">
        <f t="shared" si="65"/>
        <v>0</v>
      </c>
      <c r="AZ114" s="9">
        <f t="shared" si="65"/>
        <v>0</v>
      </c>
      <c r="BA114" s="138">
        <f t="shared" si="65"/>
        <v>0</v>
      </c>
      <c r="BB114" s="63">
        <v>0</v>
      </c>
      <c r="BC114" s="63">
        <v>0</v>
      </c>
      <c r="BD114" s="63">
        <v>0</v>
      </c>
      <c r="BE114" s="63">
        <v>0</v>
      </c>
      <c r="BF114" s="63">
        <f t="shared" ref="BF114:BO114" si="66">BF93</f>
        <v>0</v>
      </c>
      <c r="BG114" s="63">
        <f t="shared" si="66"/>
        <v>0</v>
      </c>
      <c r="BH114" s="63">
        <f t="shared" si="66"/>
        <v>0</v>
      </c>
      <c r="BI114" s="63">
        <f t="shared" si="66"/>
        <v>0</v>
      </c>
      <c r="BJ114" s="63">
        <f t="shared" si="66"/>
        <v>0</v>
      </c>
      <c r="BK114" s="63">
        <f t="shared" si="66"/>
        <v>0</v>
      </c>
      <c r="BL114" s="63">
        <f t="shared" si="66"/>
        <v>0</v>
      </c>
      <c r="BM114" s="63">
        <f t="shared" si="66"/>
        <v>0</v>
      </c>
      <c r="BN114" s="195">
        <f t="shared" si="66"/>
        <v>0</v>
      </c>
      <c r="BO114" s="195">
        <f t="shared" si="66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67">SUM(AU112:AU114)</f>
        <v>0</v>
      </c>
      <c r="AV115" s="73">
        <f t="shared" si="67"/>
        <v>0</v>
      </c>
      <c r="AW115" s="73">
        <f t="shared" si="67"/>
        <v>0</v>
      </c>
      <c r="AX115" s="73">
        <f t="shared" si="67"/>
        <v>0</v>
      </c>
      <c r="AY115" s="73">
        <f t="shared" si="67"/>
        <v>0</v>
      </c>
      <c r="AZ115" s="73">
        <f t="shared" si="67"/>
        <v>0</v>
      </c>
      <c r="BA115" s="249">
        <f t="shared" si="67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68">SUM(BF112:BF114)</f>
        <v>0</v>
      </c>
      <c r="BG115" s="73">
        <f t="shared" si="68"/>
        <v>0</v>
      </c>
      <c r="BH115" s="73">
        <f t="shared" si="68"/>
        <v>0</v>
      </c>
      <c r="BI115" s="73">
        <f t="shared" si="68"/>
        <v>0</v>
      </c>
      <c r="BJ115" s="73">
        <f t="shared" si="68"/>
        <v>0</v>
      </c>
      <c r="BK115" s="73">
        <f t="shared" si="68"/>
        <v>0</v>
      </c>
      <c r="BL115" s="73">
        <f t="shared" si="68"/>
        <v>0</v>
      </c>
      <c r="BM115" s="73">
        <f t="shared" si="68"/>
        <v>0</v>
      </c>
      <c r="BN115" s="249">
        <f t="shared" si="68"/>
        <v>0</v>
      </c>
      <c r="BO115" s="249">
        <f t="shared" si="68"/>
        <v>0</v>
      </c>
    </row>
    <row r="116" spans="1:67" s="3" customFormat="1" ht="15.75" customHeight="1" thickBot="1">
      <c r="A116" s="201" t="s">
        <v>86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69">AU115+AU111</f>
        <v>83400</v>
      </c>
      <c r="AV116" s="251">
        <f t="shared" si="69"/>
        <v>105104</v>
      </c>
      <c r="AW116" s="251">
        <f t="shared" si="69"/>
        <v>87803</v>
      </c>
      <c r="AX116" s="251">
        <f t="shared" si="69"/>
        <v>102725</v>
      </c>
      <c r="AY116" s="251">
        <f t="shared" si="69"/>
        <v>153840</v>
      </c>
      <c r="AZ116" s="251">
        <f t="shared" si="69"/>
        <v>153810</v>
      </c>
      <c r="BA116" s="255">
        <f t="shared" si="69"/>
        <v>686682</v>
      </c>
      <c r="BB116" s="251">
        <v>175865</v>
      </c>
      <c r="BC116" s="251">
        <v>174571</v>
      </c>
      <c r="BD116" s="251">
        <v>175655</v>
      </c>
      <c r="BE116" s="251">
        <v>131031</v>
      </c>
      <c r="BF116" s="251">
        <f t="shared" si="69"/>
        <v>142503</v>
      </c>
      <c r="BG116" s="251">
        <f t="shared" si="69"/>
        <v>122335</v>
      </c>
      <c r="BH116" s="251">
        <f t="shared" si="69"/>
        <v>89349</v>
      </c>
      <c r="BI116" s="251">
        <f t="shared" si="69"/>
        <v>112769</v>
      </c>
      <c r="BJ116" s="251">
        <f t="shared" si="69"/>
        <v>93921</v>
      </c>
      <c r="BK116" s="251">
        <f t="shared" si="69"/>
        <v>102725</v>
      </c>
      <c r="BL116" s="251">
        <f t="shared" si="69"/>
        <v>153840</v>
      </c>
      <c r="BM116" s="251">
        <f t="shared" si="69"/>
        <v>153810</v>
      </c>
      <c r="BN116" s="255">
        <f t="shared" si="69"/>
        <v>1628374</v>
      </c>
      <c r="BO116" s="255">
        <f t="shared" si="69"/>
        <v>1628374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266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266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211"/>
      <c r="BO117" s="7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5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7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20</v>
      </c>
      <c r="AV119" s="280">
        <f>AU119</f>
        <v>20</v>
      </c>
      <c r="AW119" s="280">
        <f>AV119</f>
        <v>20</v>
      </c>
      <c r="AX119" s="280">
        <f t="shared" ref="AX119:AZ119" si="70">AW119</f>
        <v>20</v>
      </c>
      <c r="AY119" s="280">
        <f t="shared" si="70"/>
        <v>20</v>
      </c>
      <c r="AZ119" s="280">
        <f t="shared" si="70"/>
        <v>20</v>
      </c>
      <c r="BA119" s="259"/>
      <c r="BB119" s="280">
        <v>20</v>
      </c>
      <c r="BC119" s="280">
        <v>20</v>
      </c>
      <c r="BD119" s="280">
        <v>20</v>
      </c>
      <c r="BE119" s="280">
        <v>20</v>
      </c>
      <c r="BF119" s="280">
        <f t="shared" ref="BF119:BM119" si="71">BE119</f>
        <v>20</v>
      </c>
      <c r="BG119" s="280">
        <f t="shared" si="71"/>
        <v>20</v>
      </c>
      <c r="BH119" s="280">
        <f t="shared" si="71"/>
        <v>20</v>
      </c>
      <c r="BI119" s="280">
        <f t="shared" si="71"/>
        <v>20</v>
      </c>
      <c r="BJ119" s="280">
        <f t="shared" si="71"/>
        <v>20</v>
      </c>
      <c r="BK119" s="280">
        <f t="shared" si="71"/>
        <v>20</v>
      </c>
      <c r="BL119" s="280">
        <f t="shared" si="71"/>
        <v>20</v>
      </c>
      <c r="BM119" s="280">
        <f t="shared" si="71"/>
        <v>20</v>
      </c>
      <c r="BN119" s="259"/>
      <c r="BO119" s="343">
        <f>BM119</f>
        <v>20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51317</v>
      </c>
      <c r="AU120" s="107">
        <v>54464</v>
      </c>
      <c r="AV120" s="39">
        <f>ROUND(AW108/30*AV119,0)</f>
        <v>46227</v>
      </c>
      <c r="AW120" s="39">
        <f>ROUND(AX108/30*AW119,0)</f>
        <v>57366</v>
      </c>
      <c r="AX120" s="39">
        <f>ROUND(AY108/30*AX119,0)</f>
        <v>87180</v>
      </c>
      <c r="AY120" s="39">
        <f>ROUND(AZ108/30*AY119,0)</f>
        <v>88057</v>
      </c>
      <c r="AZ120" s="39">
        <f>ROUND(BB108/30*AZ119,0)</f>
        <v>100551</v>
      </c>
      <c r="BA120" s="215"/>
      <c r="BB120" s="346">
        <v>100671</v>
      </c>
      <c r="BC120" s="346">
        <v>101504</v>
      </c>
      <c r="BD120" s="346">
        <v>74937</v>
      </c>
      <c r="BE120" s="346">
        <v>83498</v>
      </c>
      <c r="BF120" s="346">
        <f t="shared" ref="BF120:BL120" si="72">ROUND(BG108/30*BF119,0)</f>
        <v>67225</v>
      </c>
      <c r="BG120" s="346">
        <f t="shared" si="72"/>
        <v>46871</v>
      </c>
      <c r="BH120" s="346">
        <f t="shared" si="72"/>
        <v>61791</v>
      </c>
      <c r="BI120" s="346">
        <f t="shared" si="72"/>
        <v>50306</v>
      </c>
      <c r="BJ120" s="346">
        <f t="shared" si="72"/>
        <v>57366</v>
      </c>
      <c r="BK120" s="346">
        <f t="shared" si="72"/>
        <v>87180</v>
      </c>
      <c r="BL120" s="346">
        <f t="shared" si="72"/>
        <v>88057</v>
      </c>
      <c r="BM120" s="57">
        <f>ROUND(BO108*0.11/30*BM119,0)</f>
        <v>101195</v>
      </c>
      <c r="BN120" s="215"/>
      <c r="BO120" s="141">
        <v>101195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13169</v>
      </c>
      <c r="AU121" s="107">
        <v>12296</v>
      </c>
      <c r="AV121" s="39">
        <f>ROUND(AW110/30*AV119,0)</f>
        <v>12308</v>
      </c>
      <c r="AW121" s="39">
        <f>ROUND(AX110/30*AW119,0)</f>
        <v>11117</v>
      </c>
      <c r="AX121" s="39">
        <f>ROUND(AY110/30*AX119,0)</f>
        <v>15380</v>
      </c>
      <c r="AY121" s="39">
        <f>ROUND(AZ110/30*AY119,0)</f>
        <v>14483</v>
      </c>
      <c r="AZ121" s="39">
        <f>ROUND(BB110/30*AZ119,0)</f>
        <v>16693</v>
      </c>
      <c r="BA121" s="215"/>
      <c r="BB121" s="57">
        <v>15709</v>
      </c>
      <c r="BC121" s="57">
        <v>15599</v>
      </c>
      <c r="BD121" s="57">
        <v>12417</v>
      </c>
      <c r="BE121" s="57">
        <v>11504</v>
      </c>
      <c r="BF121" s="57">
        <f t="shared" ref="BF121:BL121" si="73">ROUND(BG110/30*BF119,0)</f>
        <v>14331</v>
      </c>
      <c r="BG121" s="57">
        <f t="shared" si="73"/>
        <v>12695</v>
      </c>
      <c r="BH121" s="57">
        <f t="shared" si="73"/>
        <v>13389</v>
      </c>
      <c r="BI121" s="57">
        <f t="shared" si="73"/>
        <v>12308</v>
      </c>
      <c r="BJ121" s="57">
        <f t="shared" si="73"/>
        <v>11117</v>
      </c>
      <c r="BK121" s="57">
        <f t="shared" si="73"/>
        <v>15380</v>
      </c>
      <c r="BL121" s="57">
        <f t="shared" si="73"/>
        <v>14483</v>
      </c>
      <c r="BM121" s="57">
        <f>ROUND(BO110*0.11/30*BM119,0)</f>
        <v>18219</v>
      </c>
      <c r="BN121" s="215"/>
      <c r="BO121" s="141">
        <v>18219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-51317</v>
      </c>
      <c r="AV122" s="57">
        <f t="shared" ref="AV122:AZ123" si="74">-AU120</f>
        <v>-54464</v>
      </c>
      <c r="AW122" s="57">
        <f t="shared" si="74"/>
        <v>-46227</v>
      </c>
      <c r="AX122" s="57">
        <f t="shared" si="74"/>
        <v>-57366</v>
      </c>
      <c r="AY122" s="57">
        <f t="shared" si="74"/>
        <v>-87180</v>
      </c>
      <c r="AZ122" s="57">
        <f t="shared" si="74"/>
        <v>-88057</v>
      </c>
      <c r="BA122" s="215"/>
      <c r="BB122" s="57">
        <v>-100551</v>
      </c>
      <c r="BC122" s="57">
        <v>-100671</v>
      </c>
      <c r="BD122" s="57">
        <v>-101504</v>
      </c>
      <c r="BE122" s="57">
        <v>-74937</v>
      </c>
      <c r="BF122" s="57">
        <f t="shared" ref="BF122:BM123" si="75">-BE120</f>
        <v>-83498</v>
      </c>
      <c r="BG122" s="57">
        <f t="shared" si="75"/>
        <v>-67225</v>
      </c>
      <c r="BH122" s="57">
        <f t="shared" si="75"/>
        <v>-46871</v>
      </c>
      <c r="BI122" s="57">
        <f t="shared" si="75"/>
        <v>-61791</v>
      </c>
      <c r="BJ122" s="57">
        <f t="shared" si="75"/>
        <v>-50306</v>
      </c>
      <c r="BK122" s="57">
        <f t="shared" si="75"/>
        <v>-57366</v>
      </c>
      <c r="BL122" s="57">
        <f t="shared" si="75"/>
        <v>-87180</v>
      </c>
      <c r="BM122" s="57">
        <f t="shared" si="75"/>
        <v>-88057</v>
      </c>
      <c r="BN122" s="215"/>
      <c r="BO122" s="141">
        <f>-BM120</f>
        <v>-101195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-13169</v>
      </c>
      <c r="AV123" s="57">
        <f t="shared" si="74"/>
        <v>-12296</v>
      </c>
      <c r="AW123" s="57">
        <f t="shared" si="74"/>
        <v>-12308</v>
      </c>
      <c r="AX123" s="57">
        <f t="shared" si="74"/>
        <v>-11117</v>
      </c>
      <c r="AY123" s="57">
        <f t="shared" si="74"/>
        <v>-15380</v>
      </c>
      <c r="AZ123" s="57">
        <f t="shared" si="74"/>
        <v>-14483</v>
      </c>
      <c r="BA123" s="215"/>
      <c r="BB123" s="57">
        <v>-16693</v>
      </c>
      <c r="BC123" s="57">
        <v>-15709</v>
      </c>
      <c r="BD123" s="57">
        <v>-15599</v>
      </c>
      <c r="BE123" s="57">
        <v>-12417</v>
      </c>
      <c r="BF123" s="57">
        <f t="shared" si="75"/>
        <v>-11504</v>
      </c>
      <c r="BG123" s="57">
        <f t="shared" si="75"/>
        <v>-14331</v>
      </c>
      <c r="BH123" s="57">
        <f t="shared" si="75"/>
        <v>-12695</v>
      </c>
      <c r="BI123" s="57">
        <f t="shared" si="75"/>
        <v>-13389</v>
      </c>
      <c r="BJ123" s="57">
        <f t="shared" si="75"/>
        <v>-12308</v>
      </c>
      <c r="BK123" s="57">
        <f t="shared" si="75"/>
        <v>-11117</v>
      </c>
      <c r="BL123" s="57">
        <f t="shared" si="75"/>
        <v>-15380</v>
      </c>
      <c r="BM123" s="57">
        <f t="shared" si="75"/>
        <v>-14483</v>
      </c>
      <c r="BN123" s="215"/>
      <c r="BO123" s="141">
        <f>-BM121</f>
        <v>-18219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2274</v>
      </c>
      <c r="AV124" s="344">
        <f t="shared" ref="AV124:AZ124" si="76">SUM(AV120:AV123)</f>
        <v>-8225</v>
      </c>
      <c r="AW124" s="344">
        <f t="shared" si="76"/>
        <v>9948</v>
      </c>
      <c r="AX124" s="344">
        <f t="shared" si="76"/>
        <v>34077</v>
      </c>
      <c r="AY124" s="344">
        <f t="shared" si="76"/>
        <v>-20</v>
      </c>
      <c r="AZ124" s="344">
        <f t="shared" si="76"/>
        <v>14704</v>
      </c>
      <c r="BA124" s="345"/>
      <c r="BB124" s="344">
        <v>-864</v>
      </c>
      <c r="BC124" s="344">
        <v>723</v>
      </c>
      <c r="BD124" s="344">
        <v>-29749</v>
      </c>
      <c r="BE124" s="344">
        <v>7648</v>
      </c>
      <c r="BF124" s="344">
        <f t="shared" ref="BF124:BO124" si="77">SUM(BF120:BF123)</f>
        <v>-13446</v>
      </c>
      <c r="BG124" s="344">
        <f t="shared" si="77"/>
        <v>-21990</v>
      </c>
      <c r="BH124" s="344">
        <f t="shared" si="77"/>
        <v>15614</v>
      </c>
      <c r="BI124" s="344">
        <f t="shared" si="77"/>
        <v>-12566</v>
      </c>
      <c r="BJ124" s="344">
        <f t="shared" si="77"/>
        <v>5869</v>
      </c>
      <c r="BK124" s="344">
        <f t="shared" si="77"/>
        <v>34077</v>
      </c>
      <c r="BL124" s="344">
        <f t="shared" si="77"/>
        <v>-20</v>
      </c>
      <c r="BM124" s="344">
        <f t="shared" si="77"/>
        <v>16874</v>
      </c>
      <c r="BN124" s="345"/>
      <c r="BO124" s="272">
        <f t="shared" si="77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78">AU111+AU124</f>
        <v>85674</v>
      </c>
      <c r="AV132" s="66">
        <f t="shared" si="78"/>
        <v>96879</v>
      </c>
      <c r="AW132" s="66">
        <f t="shared" si="78"/>
        <v>97751</v>
      </c>
      <c r="AX132" s="66">
        <f t="shared" si="78"/>
        <v>136802</v>
      </c>
      <c r="AY132" s="66">
        <f t="shared" si="78"/>
        <v>153820</v>
      </c>
      <c r="AZ132" s="66">
        <f t="shared" si="78"/>
        <v>168514</v>
      </c>
      <c r="BA132" s="216">
        <f>SUM(AT132:AZ132)</f>
        <v>739440</v>
      </c>
      <c r="BB132" s="66">
        <v>175001</v>
      </c>
      <c r="BC132" s="66">
        <v>175294</v>
      </c>
      <c r="BD132" s="66">
        <v>145906</v>
      </c>
      <c r="BE132" s="66">
        <v>138679</v>
      </c>
      <c r="BF132" s="66">
        <f t="shared" ref="BF132:BO132" si="79">BF111+BF124</f>
        <v>129057</v>
      </c>
      <c r="BG132" s="66">
        <f t="shared" si="79"/>
        <v>100345</v>
      </c>
      <c r="BH132" s="66">
        <f t="shared" si="79"/>
        <v>104963</v>
      </c>
      <c r="BI132" s="66">
        <f t="shared" si="79"/>
        <v>100203</v>
      </c>
      <c r="BJ132" s="66">
        <f t="shared" si="79"/>
        <v>99790</v>
      </c>
      <c r="BK132" s="66">
        <f t="shared" si="79"/>
        <v>136802</v>
      </c>
      <c r="BL132" s="66">
        <f t="shared" si="79"/>
        <v>153820</v>
      </c>
      <c r="BM132" s="66">
        <f t="shared" si="79"/>
        <v>170684</v>
      </c>
      <c r="BN132" s="216">
        <f t="shared" si="79"/>
        <v>1628374</v>
      </c>
      <c r="BO132" s="185">
        <f t="shared" si="79"/>
        <v>1628374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ignoredErrors>
    <ignoredError sqref="BA98:BA10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O133"/>
  <sheetViews>
    <sheetView zoomScale="80" zoomScaleNormal="80" workbookViewId="0">
      <pane xSplit="1" ySplit="6" topLeftCell="N7" activePane="bottomRight" state="frozen"/>
      <selection pane="bottomRight" activeCell="BR76" sqref="BR76"/>
      <selection pane="bottomLeft" activeCell="BN79" sqref="BN79"/>
      <selection pane="topRight" activeCell="BN79" sqref="BN79"/>
    </sheetView>
  </sheetViews>
  <sheetFormatPr defaultColWidth="9.140625" defaultRowHeight="14.45" outlineLevelCol="1"/>
  <cols>
    <col min="1" max="1" width="65.85546875" style="2" customWidth="1"/>
    <col min="2" max="6" width="13.28515625" hidden="1" customWidth="1" outlineLevel="1"/>
    <col min="7" max="9" width="12" hidden="1" customWidth="1" outlineLevel="1"/>
    <col min="10" max="10" width="15.7109375" hidden="1" customWidth="1" outlineLevel="1"/>
    <col min="11" max="13" width="13.28515625" hidden="1" customWidth="1" outlineLevel="1"/>
    <col min="14" max="14" width="15" customWidth="1" collapsed="1"/>
    <col min="15" max="20" width="13.28515625" hidden="1" customWidth="1" outlineLevel="1"/>
    <col min="21" max="21" width="12.42578125" hidden="1" customWidth="1" outlineLevel="1"/>
    <col min="22" max="22" width="12" hidden="1" customWidth="1" outlineLevel="1"/>
    <col min="23" max="23" width="15.7109375" hidden="1" customWidth="1" outlineLevel="1"/>
    <col min="24" max="26" width="13.28515625" hidden="1" customWidth="1" outlineLevel="1"/>
    <col min="27" max="27" width="15.28515625" customWidth="1" collapsed="1"/>
    <col min="28" max="33" width="13.28515625" hidden="1" customWidth="1" outlineLevel="1"/>
    <col min="34" max="34" width="8.7109375" hidden="1" customWidth="1" outlineLevel="1"/>
    <col min="35" max="35" width="12" hidden="1" customWidth="1" outlineLevel="1"/>
    <col min="36" max="36" width="15.7109375" hidden="1" customWidth="1" outlineLevel="1"/>
    <col min="37" max="39" width="13.28515625" hidden="1" customWidth="1" outlineLevel="1"/>
    <col min="40" max="40" width="15.28515625" customWidth="1" collapsed="1"/>
    <col min="41" max="46" width="13.28515625" hidden="1" customWidth="1" outlineLevel="1"/>
    <col min="47" max="47" width="15.5703125" hidden="1" customWidth="1" outlineLevel="1"/>
    <col min="48" max="48" width="15.42578125" hidden="1" customWidth="1" outlineLevel="1"/>
    <col min="49" max="49" width="15.85546875" hidden="1" customWidth="1" outlineLevel="1"/>
    <col min="50" max="52" width="15.42578125" hidden="1" customWidth="1" outlineLevel="1"/>
    <col min="53" max="53" width="20.140625" style="3" bestFit="1" customWidth="1" collapsed="1"/>
    <col min="54" max="54" width="15.42578125" hidden="1" customWidth="1" outlineLevel="1"/>
    <col min="55" max="55" width="15.28515625" hidden="1" customWidth="1" outlineLevel="1"/>
    <col min="56" max="56" width="15.42578125" hidden="1" customWidth="1" outlineLevel="1"/>
    <col min="57" max="57" width="15.28515625" hidden="1" customWidth="1" outlineLevel="1"/>
    <col min="58" max="58" width="15.5703125" hidden="1" customWidth="1" outlineLevel="1"/>
    <col min="59" max="60" width="15.28515625" hidden="1" customWidth="1" outlineLevel="1"/>
    <col min="61" max="62" width="14.85546875" hidden="1" customWidth="1" outlineLevel="1"/>
    <col min="63" max="63" width="15.140625" hidden="1" customWidth="1" outlineLevel="1"/>
    <col min="64" max="64" width="15" hidden="1" customWidth="1" outlineLevel="1"/>
    <col min="65" max="65" width="15.42578125" hidden="1" customWidth="1" outlineLevel="1"/>
    <col min="66" max="66" width="17.28515625" style="3" bestFit="1" customWidth="1" collapsed="1"/>
    <col min="67" max="67" width="13.42578125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111</v>
      </c>
      <c r="B3" s="513" t="s">
        <v>33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5"/>
      <c r="O3" s="513" t="s">
        <v>33</v>
      </c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  <c r="AB3" s="513" t="s">
        <v>33</v>
      </c>
      <c r="AC3" s="514"/>
      <c r="AD3" s="514"/>
      <c r="AE3" s="514"/>
      <c r="AF3" s="514"/>
      <c r="AG3" s="514"/>
      <c r="AH3" s="514"/>
      <c r="AI3" s="514"/>
      <c r="AJ3" s="514"/>
      <c r="AK3" s="514"/>
      <c r="AL3" s="514"/>
      <c r="AM3" s="514"/>
      <c r="AN3" s="515"/>
      <c r="AO3" s="513" t="s">
        <v>33</v>
      </c>
      <c r="AP3" s="514"/>
      <c r="AQ3" s="514"/>
      <c r="AR3" s="514"/>
      <c r="AS3" s="514"/>
      <c r="AT3" s="514"/>
      <c r="AU3" s="514"/>
      <c r="AV3" s="514"/>
      <c r="AW3" s="514"/>
      <c r="AX3" s="514"/>
      <c r="AY3" s="514"/>
      <c r="AZ3" s="514"/>
      <c r="BA3" s="515"/>
      <c r="BB3" s="513" t="s">
        <v>33</v>
      </c>
      <c r="BC3" s="514"/>
      <c r="BD3" s="514"/>
      <c r="BE3" s="514"/>
      <c r="BF3" s="514"/>
      <c r="BG3" s="514"/>
      <c r="BH3" s="514"/>
      <c r="BI3" s="514"/>
      <c r="BJ3" s="514"/>
      <c r="BK3" s="514"/>
      <c r="BL3" s="514"/>
      <c r="BM3" s="514"/>
      <c r="BN3" s="515"/>
      <c r="BO3" s="51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20" t="s">
        <v>37</v>
      </c>
      <c r="D5" s="520" t="s">
        <v>38</v>
      </c>
      <c r="E5" s="520" t="s">
        <v>39</v>
      </c>
      <c r="F5" s="520" t="s">
        <v>40</v>
      </c>
      <c r="G5" s="520" t="s">
        <v>41</v>
      </c>
      <c r="H5" s="520" t="s">
        <v>42</v>
      </c>
      <c r="I5" s="520" t="s">
        <v>43</v>
      </c>
      <c r="J5" s="520" t="s">
        <v>44</v>
      </c>
      <c r="K5" s="520" t="s">
        <v>45</v>
      </c>
      <c r="L5" s="520" t="s">
        <v>46</v>
      </c>
      <c r="M5" s="520" t="s">
        <v>47</v>
      </c>
      <c r="N5" s="529" t="s">
        <v>17</v>
      </c>
      <c r="O5" s="528" t="s">
        <v>36</v>
      </c>
      <c r="P5" s="520" t="s">
        <v>37</v>
      </c>
      <c r="Q5" s="520" t="s">
        <v>38</v>
      </c>
      <c r="R5" s="520" t="s">
        <v>39</v>
      </c>
      <c r="S5" s="520" t="s">
        <v>40</v>
      </c>
      <c r="T5" s="520" t="s">
        <v>41</v>
      </c>
      <c r="U5" s="520" t="s">
        <v>42</v>
      </c>
      <c r="V5" s="520" t="s">
        <v>43</v>
      </c>
      <c r="W5" s="520" t="s">
        <v>44</v>
      </c>
      <c r="X5" s="520" t="s">
        <v>45</v>
      </c>
      <c r="Y5" s="520" t="s">
        <v>46</v>
      </c>
      <c r="Z5" s="520" t="s">
        <v>47</v>
      </c>
      <c r="AA5" s="530" t="s">
        <v>17</v>
      </c>
      <c r="AB5" s="528" t="s">
        <v>36</v>
      </c>
      <c r="AC5" s="520" t="s">
        <v>37</v>
      </c>
      <c r="AD5" s="520" t="s">
        <v>38</v>
      </c>
      <c r="AE5" s="520" t="s">
        <v>39</v>
      </c>
      <c r="AF5" s="520" t="s">
        <v>40</v>
      </c>
      <c r="AG5" s="520" t="s">
        <v>41</v>
      </c>
      <c r="AH5" s="520" t="s">
        <v>42</v>
      </c>
      <c r="AI5" s="520" t="s">
        <v>43</v>
      </c>
      <c r="AJ5" s="520" t="s">
        <v>44</v>
      </c>
      <c r="AK5" s="520" t="s">
        <v>45</v>
      </c>
      <c r="AL5" s="520" t="s">
        <v>46</v>
      </c>
      <c r="AM5" s="520" t="s">
        <v>47</v>
      </c>
      <c r="AN5" s="529" t="s">
        <v>17</v>
      </c>
      <c r="AO5" s="528" t="s">
        <v>36</v>
      </c>
      <c r="AP5" s="520" t="s">
        <v>37</v>
      </c>
      <c r="AQ5" s="520" t="s">
        <v>38</v>
      </c>
      <c r="AR5" s="520" t="s">
        <v>39</v>
      </c>
      <c r="AS5" s="520" t="s">
        <v>40</v>
      </c>
      <c r="AT5" s="520" t="s">
        <v>41</v>
      </c>
      <c r="AU5" s="520" t="s">
        <v>42</v>
      </c>
      <c r="AV5" s="520" t="s">
        <v>43</v>
      </c>
      <c r="AW5" s="520" t="s">
        <v>44</v>
      </c>
      <c r="AX5" s="520" t="s">
        <v>45</v>
      </c>
      <c r="AY5" s="520" t="s">
        <v>46</v>
      </c>
      <c r="AZ5" s="520" t="s">
        <v>47</v>
      </c>
      <c r="BA5" s="529" t="s">
        <v>17</v>
      </c>
      <c r="BB5" s="520" t="s">
        <v>36</v>
      </c>
      <c r="BC5" s="520" t="s">
        <v>37</v>
      </c>
      <c r="BD5" s="520" t="s">
        <v>38</v>
      </c>
      <c r="BE5" s="520" t="s">
        <v>39</v>
      </c>
      <c r="BF5" s="520" t="s">
        <v>40</v>
      </c>
      <c r="BG5" s="520" t="s">
        <v>41</v>
      </c>
      <c r="BH5" s="520" t="s">
        <v>42</v>
      </c>
      <c r="BI5" s="520" t="s">
        <v>43</v>
      </c>
      <c r="BJ5" s="520" t="s">
        <v>44</v>
      </c>
      <c r="BK5" s="520" t="s">
        <v>45</v>
      </c>
      <c r="BL5" s="520" t="s">
        <v>46</v>
      </c>
      <c r="BM5" s="520" t="s">
        <v>47</v>
      </c>
      <c r="BN5" s="529" t="s">
        <v>17</v>
      </c>
      <c r="BO5" s="521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Customers!E40</f>
        <v>14</v>
      </c>
      <c r="AV7" s="109">
        <f>Customers!F40</f>
        <v>14</v>
      </c>
      <c r="AW7" s="109">
        <f>Customers!G40</f>
        <v>14</v>
      </c>
      <c r="AX7" s="109">
        <f>Customers!H40</f>
        <v>14</v>
      </c>
      <c r="AY7" s="109">
        <f>Customers!I40</f>
        <v>14</v>
      </c>
      <c r="AZ7" s="109">
        <f>Customers!J40</f>
        <v>14</v>
      </c>
      <c r="BA7" s="210">
        <f>IFERROR(ROUND(AVERAGE(AO7:AZ7),0),0)</f>
        <v>14</v>
      </c>
      <c r="BB7" s="124">
        <v>14</v>
      </c>
      <c r="BC7" s="38">
        <v>14</v>
      </c>
      <c r="BD7" s="38">
        <v>14</v>
      </c>
      <c r="BE7" s="38">
        <v>14</v>
      </c>
      <c r="BF7" s="38">
        <f t="shared" ref="BF7:BM7" si="0">BE7</f>
        <v>14</v>
      </c>
      <c r="BG7" s="38">
        <f t="shared" si="0"/>
        <v>14</v>
      </c>
      <c r="BH7" s="38">
        <f t="shared" si="0"/>
        <v>14</v>
      </c>
      <c r="BI7" s="38">
        <f t="shared" si="0"/>
        <v>14</v>
      </c>
      <c r="BJ7" s="38">
        <f t="shared" si="0"/>
        <v>14</v>
      </c>
      <c r="BK7" s="38">
        <f t="shared" si="0"/>
        <v>14</v>
      </c>
      <c r="BL7" s="38">
        <f t="shared" si="0"/>
        <v>14</v>
      </c>
      <c r="BM7" s="38">
        <f t="shared" si="0"/>
        <v>14</v>
      </c>
      <c r="BN7" s="210">
        <f>IFERROR(ROUND(AVERAGE(BB7:BM7),0),0)</f>
        <v>14</v>
      </c>
      <c r="BO7" s="143">
        <f>Customers!L40</f>
        <v>14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4336</v>
      </c>
      <c r="AV8" s="38">
        <f>ROUND(AV$11*'kWh Blocks by Rate Category'!D8,0)</f>
        <v>3867</v>
      </c>
      <c r="AW8" s="38">
        <f>ROUND(AW$11*'kWh Blocks by Rate Category'!E8,0)</f>
        <v>3675</v>
      </c>
      <c r="AX8" s="38">
        <f>ROUND(AX$11*'kWh Blocks by Rate Category'!F8,0)</f>
        <v>4819</v>
      </c>
      <c r="AY8" s="38">
        <f>ROUND(AY$11*'kWh Blocks by Rate Category'!G8,0)</f>
        <v>6848</v>
      </c>
      <c r="AZ8" s="38">
        <f>ROUND(AZ$11*'kWh Blocks by Rate Category'!H8,0)</f>
        <v>7142</v>
      </c>
      <c r="BA8" s="210">
        <f>SUM(AO8:AZ8)</f>
        <v>30687</v>
      </c>
      <c r="BB8" s="38">
        <v>7292</v>
      </c>
      <c r="BC8" s="38">
        <v>8056</v>
      </c>
      <c r="BD8" s="38">
        <v>7396</v>
      </c>
      <c r="BE8" s="38">
        <v>6165</v>
      </c>
      <c r="BF8" s="38">
        <f>ROUND(BF$11*'kWh Blocks by Rate Category'!N8,0)</f>
        <v>5502</v>
      </c>
      <c r="BG8" s="38">
        <f>ROUND(BG$11*'kWh Blocks by Rate Category'!O8,0)</f>
        <v>4368</v>
      </c>
      <c r="BH8" s="38">
        <f>ROUND(BH$11*'kWh Blocks by Rate Category'!P8,0)</f>
        <v>4336</v>
      </c>
      <c r="BI8" s="38">
        <f>ROUND(BI$11*'kWh Blocks by Rate Category'!Q8,0)</f>
        <v>3867</v>
      </c>
      <c r="BJ8" s="38">
        <f>ROUND(BJ$11*'kWh Blocks by Rate Category'!R8,0)</f>
        <v>3675</v>
      </c>
      <c r="BK8" s="38">
        <f>ROUND(BK$11*'kWh Blocks by Rate Category'!S8,0)</f>
        <v>4819</v>
      </c>
      <c r="BL8" s="38">
        <f>ROUND(BL$11*'kWh Blocks by Rate Category'!T8,0)</f>
        <v>6848</v>
      </c>
      <c r="BM8" s="38">
        <f>ROUND(BM$11*'kWh Blocks by Rate Category'!U8,0)</f>
        <v>7142</v>
      </c>
      <c r="BN8" s="210">
        <f>SUM(BB8:BM8)</f>
        <v>69466</v>
      </c>
      <c r="BO8" s="143">
        <f>IFERROR(ROUND((BN8/BN$11)*BO$11,0),0)</f>
        <v>69466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2310</v>
      </c>
      <c r="AV9" s="38">
        <f>ROUND(AV$11*'kWh Blocks by Rate Category'!D9,0)</f>
        <v>2060</v>
      </c>
      <c r="AW9" s="38">
        <f>ROUND(AW$11*'kWh Blocks by Rate Category'!E9,0)</f>
        <v>1958</v>
      </c>
      <c r="AX9" s="38">
        <f>ROUND(AX$11*'kWh Blocks by Rate Category'!F9,0)</f>
        <v>2568</v>
      </c>
      <c r="AY9" s="38">
        <f>ROUND(AY$11*'kWh Blocks by Rate Category'!G9,0)</f>
        <v>3649</v>
      </c>
      <c r="AZ9" s="38">
        <f>ROUND(AZ$11*'kWh Blocks by Rate Category'!H9,0)</f>
        <v>3806</v>
      </c>
      <c r="BA9" s="210">
        <f>SUM(AO9:AZ9)</f>
        <v>16351</v>
      </c>
      <c r="BB9" s="38">
        <v>3886</v>
      </c>
      <c r="BC9" s="38">
        <v>4293</v>
      </c>
      <c r="BD9" s="38">
        <v>3941</v>
      </c>
      <c r="BE9" s="38">
        <v>3285</v>
      </c>
      <c r="BF9" s="38">
        <f>ROUND(BF$11*'kWh Blocks by Rate Category'!N9,0)</f>
        <v>2932</v>
      </c>
      <c r="BG9" s="38">
        <f>ROUND(BG$11*'kWh Blocks by Rate Category'!O9,0)</f>
        <v>2327</v>
      </c>
      <c r="BH9" s="38">
        <f>ROUND(BH$11*'kWh Blocks by Rate Category'!P9,0)</f>
        <v>2310</v>
      </c>
      <c r="BI9" s="38">
        <f>ROUND(BI$11*'kWh Blocks by Rate Category'!Q9,0)</f>
        <v>2060</v>
      </c>
      <c r="BJ9" s="38">
        <f>ROUND(BJ$11*'kWh Blocks by Rate Category'!R9,0)</f>
        <v>1958</v>
      </c>
      <c r="BK9" s="38">
        <f>ROUND(BK$11*'kWh Blocks by Rate Category'!S9,0)</f>
        <v>2568</v>
      </c>
      <c r="BL9" s="38">
        <f>ROUND(BL$11*'kWh Blocks by Rate Category'!T9,0)</f>
        <v>3649</v>
      </c>
      <c r="BM9" s="38">
        <f>ROUND(BM$11*'kWh Blocks by Rate Category'!U9,0)</f>
        <v>3806</v>
      </c>
      <c r="BN9" s="210">
        <f>SUM(BB9:BM9)</f>
        <v>37015</v>
      </c>
      <c r="BO9" s="143">
        <f>IFERROR(ROUND((BN9/BN$11)*BO$11,0),0)</f>
        <v>37015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441</v>
      </c>
      <c r="AV10" s="38">
        <f>ROUND(AV$11*'kWh Blocks by Rate Category'!D10,0)</f>
        <v>393</v>
      </c>
      <c r="AW10" s="38">
        <f>ROUND(AW$11*'kWh Blocks by Rate Category'!E10,0)</f>
        <v>373</v>
      </c>
      <c r="AX10" s="38">
        <f>ROUND(AX$11*'kWh Blocks by Rate Category'!F10,0)</f>
        <v>490</v>
      </c>
      <c r="AY10" s="38">
        <f>ROUND(AY$11*'kWh Blocks by Rate Category'!G10,0)+1</f>
        <v>697</v>
      </c>
      <c r="AZ10" s="38">
        <f>ROUND(AZ$11*'kWh Blocks by Rate Category'!H10,0)</f>
        <v>726</v>
      </c>
      <c r="BA10" s="210">
        <f>SUM(AO10:AZ10)</f>
        <v>3120</v>
      </c>
      <c r="BB10" s="38">
        <v>741</v>
      </c>
      <c r="BC10" s="38">
        <v>819</v>
      </c>
      <c r="BD10" s="38">
        <v>751</v>
      </c>
      <c r="BE10" s="38">
        <v>626</v>
      </c>
      <c r="BF10" s="38">
        <f>ROUND(BF$11*'kWh Blocks by Rate Category'!N10,0)</f>
        <v>559</v>
      </c>
      <c r="BG10" s="38">
        <f>ROUND(BG$11*'kWh Blocks by Rate Category'!O10,0)</f>
        <v>444</v>
      </c>
      <c r="BH10" s="38">
        <f>ROUND(BH$11*'kWh Blocks by Rate Category'!P10,0)</f>
        <v>441</v>
      </c>
      <c r="BI10" s="38">
        <f>ROUND(BI$11*'kWh Blocks by Rate Category'!Q10,0)</f>
        <v>393</v>
      </c>
      <c r="BJ10" s="38">
        <f>ROUND(BJ$11*'kWh Blocks by Rate Category'!R10,0)</f>
        <v>373</v>
      </c>
      <c r="BK10" s="38">
        <f>ROUND(BK$11*'kWh Blocks by Rate Category'!S10,0)</f>
        <v>490</v>
      </c>
      <c r="BL10" s="38">
        <f>ROUND(BL$11*'kWh Blocks by Rate Category'!T10,0)</f>
        <v>696</v>
      </c>
      <c r="BM10" s="38">
        <f>ROUND(BM$11*'kWh Blocks by Rate Category'!U10,0)</f>
        <v>726</v>
      </c>
      <c r="BN10" s="210">
        <f>SUM(BB10:BM10)</f>
        <v>7059</v>
      </c>
      <c r="BO10" s="143">
        <f>IFERROR(ROUND((BN10/BN$11)*BO$11,0),0)</f>
        <v>7059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7087</v>
      </c>
      <c r="AV11" s="64">
        <f t="shared" si="1"/>
        <v>6320</v>
      </c>
      <c r="AW11" s="64">
        <f t="shared" si="1"/>
        <v>6007</v>
      </c>
      <c r="AX11" s="64">
        <f t="shared" si="1"/>
        <v>7877</v>
      </c>
      <c r="AY11" s="64">
        <f t="shared" si="1"/>
        <v>11192</v>
      </c>
      <c r="AZ11" s="64">
        <f t="shared" si="1"/>
        <v>11673</v>
      </c>
      <c r="BA11" s="196">
        <f>SUM(AT11:AZ11)</f>
        <v>50156</v>
      </c>
      <c r="BB11" s="64">
        <v>11919</v>
      </c>
      <c r="BC11" s="64">
        <v>13167</v>
      </c>
      <c r="BD11" s="64">
        <v>12088</v>
      </c>
      <c r="BE11" s="64">
        <v>10077</v>
      </c>
      <c r="BF11" s="64">
        <f t="shared" ref="BF11:BM11" si="2">IFERROR(ROUND(BF12*BF7,0),0)</f>
        <v>8993</v>
      </c>
      <c r="BG11" s="64">
        <f t="shared" si="2"/>
        <v>7139</v>
      </c>
      <c r="BH11" s="64">
        <f t="shared" si="2"/>
        <v>7087</v>
      </c>
      <c r="BI11" s="64">
        <f t="shared" si="2"/>
        <v>6320</v>
      </c>
      <c r="BJ11" s="64">
        <f t="shared" si="2"/>
        <v>6007</v>
      </c>
      <c r="BK11" s="64">
        <f t="shared" si="2"/>
        <v>7877</v>
      </c>
      <c r="BL11" s="64">
        <f t="shared" si="2"/>
        <v>11192</v>
      </c>
      <c r="BM11" s="64">
        <f t="shared" si="2"/>
        <v>11673</v>
      </c>
      <c r="BN11" s="196">
        <f>SUM(BB11:BM11)</f>
        <v>113539</v>
      </c>
      <c r="BO11" s="147">
        <f>ROUND(BO7*BO12,0)</f>
        <v>113539</v>
      </c>
    </row>
    <row r="12" spans="1:67" ht="15" thickTop="1">
      <c r="A12" s="374" t="s">
        <v>54</v>
      </c>
      <c r="B12" s="129">
        <f>IF('kWh_Streetlight Data'!C84=0,"",'kWh_Streetlight Data'!C84)</f>
        <v>837.5</v>
      </c>
      <c r="C12" s="108">
        <f>IF('kWh_Streetlight Data'!D84=0,"",'kWh_Streetlight Data'!D84)</f>
        <v>897.08333333333337</v>
      </c>
      <c r="D12" s="108">
        <f>IF('kWh_Streetlight Data'!E84=0,"",'kWh_Streetlight Data'!E84)</f>
        <v>795.38461538461536</v>
      </c>
      <c r="E12" s="108">
        <f>IF('kWh_Streetlight Data'!F84=0,"",'kWh_Streetlight Data'!F84)</f>
        <v>806.53846153846155</v>
      </c>
      <c r="F12" s="108">
        <f>IF('kWh_Streetlight Data'!G84=0,"",'kWh_Streetlight Data'!G84)</f>
        <v>473.76923076923077</v>
      </c>
      <c r="G12" s="108">
        <f>IF('kWh_Streetlight Data'!H84=0,"",'kWh_Streetlight Data'!H84)</f>
        <v>494.84615384615387</v>
      </c>
      <c r="H12" s="108">
        <f>IF('kWh_Streetlight Data'!I84=0,"",'kWh_Streetlight Data'!I84)</f>
        <v>507.92307692307691</v>
      </c>
      <c r="I12" s="108">
        <f>IF('kWh_Streetlight Data'!J84=0,"",'kWh_Streetlight Data'!J84)</f>
        <v>372.57142857142856</v>
      </c>
      <c r="J12" s="108">
        <f>IF('kWh_Streetlight Data'!K84=0,"",'kWh_Streetlight Data'!K84)</f>
        <v>468.85714285714283</v>
      </c>
      <c r="K12" s="108">
        <f>IF('kWh_Streetlight Data'!L84=0,"",'kWh_Streetlight Data'!L84)</f>
        <v>498</v>
      </c>
      <c r="L12" s="108">
        <f>IF('kWh_Streetlight Data'!M84=0,"",'kWh_Streetlight Data'!M84)</f>
        <v>611.42857142857144</v>
      </c>
      <c r="M12" s="108">
        <f>IF('kWh_Streetlight Data'!N84=0,"",'kWh_Streetlight Data'!N84)</f>
        <v>773.14285714285711</v>
      </c>
      <c r="N12" s="424">
        <f>IF('kWh_Streetlight Data'!O84=0,"",'kWh_Streetlight Data'!O84)</f>
        <v>622.45911949685535</v>
      </c>
      <c r="O12" s="84">
        <f>IF('kWh_Streetlight Data'!P84=0,"",'kWh_Streetlight Data'!P84)</f>
        <v>825.15384615384619</v>
      </c>
      <c r="P12" s="108">
        <f>IF('kWh_Streetlight Data'!Q84=0,"",'kWh_Streetlight Data'!Q84)</f>
        <v>1043.1538461538462</v>
      </c>
      <c r="Q12" s="108">
        <f>IF('kWh_Streetlight Data'!R84=0,"",'kWh_Streetlight Data'!R84)</f>
        <v>896.23076923076928</v>
      </c>
      <c r="R12" s="108">
        <f>IF('kWh_Streetlight Data'!S84=0,"",'kWh_Streetlight Data'!S84)</f>
        <v>614.46153846153845</v>
      </c>
      <c r="S12" s="108">
        <f>IF('kWh_Streetlight Data'!T84=0,"",'kWh_Streetlight Data'!T84)</f>
        <v>668.61538461538464</v>
      </c>
      <c r="T12" s="108">
        <f>IF('kWh_Streetlight Data'!U84=0,"",'kWh_Streetlight Data'!U84)</f>
        <v>595.07142857142856</v>
      </c>
      <c r="U12" s="108">
        <f>IF('kWh_Streetlight Data'!V84=0,"",'kWh_Streetlight Data'!V84)</f>
        <v>433.71428571428572</v>
      </c>
      <c r="V12" s="108">
        <f>IF('kWh_Streetlight Data'!W84=0,"",'kWh_Streetlight Data'!W84)</f>
        <v>444.30769230769232</v>
      </c>
      <c r="W12" s="108">
        <f>IF('kWh_Streetlight Data'!X84=0,"",'kWh_Streetlight Data'!X84)</f>
        <v>450.61538461538464</v>
      </c>
      <c r="X12" s="108">
        <f>IF('kWh_Streetlight Data'!Y84=0,"",'kWh_Streetlight Data'!Y84)</f>
        <v>427.5</v>
      </c>
      <c r="Y12" s="108">
        <f>IF('kWh_Streetlight Data'!Z84=0,"",'kWh_Streetlight Data'!Z84)</f>
        <v>878.23076923076928</v>
      </c>
      <c r="Z12" s="108">
        <f>IF('kWh_Streetlight Data'!AA84=0,"",'kWh_Streetlight Data'!AA84)</f>
        <v>892.61538461538464</v>
      </c>
      <c r="AA12" s="424">
        <f>IF('kWh_Streetlight Data'!AB84=0,"",'kWh_Streetlight Data'!AB84)</f>
        <v>677.11949685534591</v>
      </c>
      <c r="AB12" s="129">
        <f>IF('kWh_Streetlight Data'!AC84=0,"",'kWh_Streetlight Data'!AC84)</f>
        <v>891.38461538461536</v>
      </c>
      <c r="AC12" s="130">
        <f>IF('kWh_Streetlight Data'!AD84=0,"",'kWh_Streetlight Data'!AD84)</f>
        <v>881.35714285714289</v>
      </c>
      <c r="AD12" s="130">
        <f>IF('kWh_Streetlight Data'!AE84=0,"",'kWh_Streetlight Data'!AE84)</f>
        <v>898.69230769230774</v>
      </c>
      <c r="AE12" s="130">
        <f>IF('kWh_Streetlight Data'!AF84=0,"",'kWh_Streetlight Data'!AF84)</f>
        <v>738.46153846153845</v>
      </c>
      <c r="AF12" s="130">
        <f>IF('kWh_Streetlight Data'!AG84=0,"",'kWh_Streetlight Data'!AG84)</f>
        <v>784.69230769230774</v>
      </c>
      <c r="AG12" s="130">
        <f>IF('kWh_Streetlight Data'!AH84=0,"",'kWh_Streetlight Data'!AH84)</f>
        <v>439.78571428571428</v>
      </c>
      <c r="AH12" s="130">
        <f>IF('kWh_Streetlight Data'!AI84=0,"",'kWh_Streetlight Data'!AI84)</f>
        <v>577.07692307692309</v>
      </c>
      <c r="AI12" s="130">
        <f>IF('kWh_Streetlight Data'!AJ84=0,"",'kWh_Streetlight Data'!AJ84)</f>
        <v>537.46153846153845</v>
      </c>
      <c r="AJ12" s="130">
        <f>IF('kWh_Streetlight Data'!AK84=0,"",'kWh_Streetlight Data'!AK84)</f>
        <v>367.76923076923077</v>
      </c>
      <c r="AK12" s="130">
        <f>IF('kWh_Streetlight Data'!AL84=0,"",'kWh_Streetlight Data'!AL84)</f>
        <v>762.41666666666663</v>
      </c>
      <c r="AL12" s="130">
        <f>IF('kWh_Streetlight Data'!AM84=0,"",'kWh_Streetlight Data'!AM84)</f>
        <v>908.58333333333337</v>
      </c>
      <c r="AM12" s="130">
        <f>IF('kWh_Streetlight Data'!AN84=0,"",'kWh_Streetlight Data'!AN84)</f>
        <v>835.66666666666663</v>
      </c>
      <c r="AN12" s="426">
        <f>IF('kWh_Streetlight Data'!AO84=0,"",'kWh_Streetlight Data'!AO84)</f>
        <v>715.6</v>
      </c>
      <c r="AO12" s="34"/>
      <c r="AP12" s="35"/>
      <c r="AQ12" s="35"/>
      <c r="AR12" s="35"/>
      <c r="AS12" s="35"/>
      <c r="AT12" s="17"/>
      <c r="AU12" s="17">
        <f t="shared" ref="AU12:AZ12" si="3">IFERROR(AVERAGE(AH12,U12,H12),0)</f>
        <v>506.23809523809524</v>
      </c>
      <c r="AV12" s="17">
        <f t="shared" si="3"/>
        <v>451.44688644688648</v>
      </c>
      <c r="AW12" s="17">
        <f t="shared" si="3"/>
        <v>429.0805860805861</v>
      </c>
      <c r="AX12" s="17">
        <f t="shared" si="3"/>
        <v>562.6388888888888</v>
      </c>
      <c r="AY12" s="17">
        <f t="shared" si="3"/>
        <v>799.41422466422466</v>
      </c>
      <c r="AZ12" s="17">
        <f t="shared" si="3"/>
        <v>833.80830280830287</v>
      </c>
      <c r="BA12" s="211"/>
      <c r="BB12" s="17">
        <v>851.34615384615381</v>
      </c>
      <c r="BC12" s="17">
        <v>940.53144078144089</v>
      </c>
      <c r="BD12" s="17">
        <v>863.43589743589746</v>
      </c>
      <c r="BE12" s="17">
        <v>719.82051282051282</v>
      </c>
      <c r="BF12" s="17">
        <f>IFERROR(AVERAGE(F12,S12,AF12),0)</f>
        <v>642.35897435897448</v>
      </c>
      <c r="BG12" s="17">
        <f t="shared" ref="BG12:BM12" si="4">IFERROR(AVERAGE(G12,T12,AG12),0)</f>
        <v>509.90109890109892</v>
      </c>
      <c r="BH12" s="17">
        <f t="shared" si="4"/>
        <v>506.23809523809524</v>
      </c>
      <c r="BI12" s="17">
        <f t="shared" si="4"/>
        <v>451.44688644688648</v>
      </c>
      <c r="BJ12" s="17">
        <f t="shared" si="4"/>
        <v>429.08058608058604</v>
      </c>
      <c r="BK12" s="17">
        <f t="shared" si="4"/>
        <v>562.6388888888888</v>
      </c>
      <c r="BL12" s="17">
        <f t="shared" si="4"/>
        <v>799.41422466422466</v>
      </c>
      <c r="BM12" s="9">
        <f t="shared" si="4"/>
        <v>833.80830280830276</v>
      </c>
      <c r="BN12" s="211">
        <f>IFERROR(BN11/SUM(BB7:BM7)*12,0)</f>
        <v>8109.9285714285716</v>
      </c>
      <c r="BO12" s="20">
        <f>BN12</f>
        <v>8109.9285714285716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/>
      <c r="BD13" s="39"/>
      <c r="BE13" s="39"/>
      <c r="BF13" s="39"/>
      <c r="BG13" s="39"/>
      <c r="BH13" s="39"/>
      <c r="BI13" s="39"/>
      <c r="BJ13" s="39"/>
      <c r="BK13" s="39"/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09">
        <f>Customers!E41</f>
        <v>10</v>
      </c>
      <c r="AV22" s="109">
        <f>Customers!F41</f>
        <v>10</v>
      </c>
      <c r="AW22" s="109">
        <f>Customers!G41</f>
        <v>10</v>
      </c>
      <c r="AX22" s="109">
        <f>Customers!H41</f>
        <v>10</v>
      </c>
      <c r="AY22" s="109">
        <f>Customers!I41</f>
        <v>10</v>
      </c>
      <c r="AZ22" s="109">
        <f>Customers!J41</f>
        <v>10</v>
      </c>
      <c r="BA22" s="210">
        <f>AZ22</f>
        <v>10</v>
      </c>
      <c r="BB22" s="124">
        <v>10</v>
      </c>
      <c r="BC22" s="38">
        <v>10</v>
      </c>
      <c r="BD22" s="38">
        <v>10</v>
      </c>
      <c r="BE22" s="38">
        <v>10</v>
      </c>
      <c r="BF22" s="38">
        <f t="shared" ref="BF22:BM22" si="5">BE22</f>
        <v>10</v>
      </c>
      <c r="BG22" s="38">
        <f t="shared" si="5"/>
        <v>10</v>
      </c>
      <c r="BH22" s="38">
        <f t="shared" si="5"/>
        <v>10</v>
      </c>
      <c r="BI22" s="38">
        <f t="shared" si="5"/>
        <v>10</v>
      </c>
      <c r="BJ22" s="38">
        <f t="shared" si="5"/>
        <v>10</v>
      </c>
      <c r="BK22" s="38">
        <f t="shared" si="5"/>
        <v>10</v>
      </c>
      <c r="BL22" s="38">
        <f t="shared" si="5"/>
        <v>10</v>
      </c>
      <c r="BM22" s="38">
        <f t="shared" si="5"/>
        <v>10</v>
      </c>
      <c r="BN22" s="210">
        <f>IFERROR(ROUND(AVERAGE(BB22:BM22),0),0)</f>
        <v>10</v>
      </c>
      <c r="BO22" s="90">
        <f>Customers!L41</f>
        <v>10</v>
      </c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>
        <f>ROUND(AU$26*'kWh Blocks by Rate Category'!C22,0)</f>
        <v>5432</v>
      </c>
      <c r="AV23" s="38"/>
      <c r="AW23" s="38"/>
      <c r="AX23" s="38">
        <f>ROUND(AX$26*'kWh Blocks by Rate Category'!F22,0)</f>
        <v>5830</v>
      </c>
      <c r="AY23" s="38"/>
      <c r="AZ23" s="38"/>
      <c r="BA23" s="210">
        <f>SUM(AO23:AZ23)</f>
        <v>11262</v>
      </c>
      <c r="BB23" s="38">
        <v>5247</v>
      </c>
      <c r="BC23" s="38"/>
      <c r="BD23" s="38"/>
      <c r="BE23" s="38">
        <v>7157</v>
      </c>
      <c r="BF23" s="38"/>
      <c r="BG23" s="38"/>
      <c r="BH23" s="38">
        <f>ROUND(BH$26*'kWh Blocks by Rate Category'!P22,0)</f>
        <v>3454</v>
      </c>
      <c r="BI23" s="38"/>
      <c r="BJ23" s="38"/>
      <c r="BK23" s="38">
        <f>ROUND(BK$26*'kWh Blocks by Rate Category'!S22,0)</f>
        <v>4511</v>
      </c>
      <c r="BL23" s="38">
        <f t="shared" ref="BL23:BM25" si="6">IFERROR(ROUND((Y23/Y$26)*BL$26,0),0)</f>
        <v>0</v>
      </c>
      <c r="BM23" s="38">
        <f t="shared" si="6"/>
        <v>0</v>
      </c>
      <c r="BN23" s="210">
        <f>SUM(BB23:BM23)</f>
        <v>20369</v>
      </c>
      <c r="BO23" s="90">
        <f>IFERROR(ROUND((BN23/BN$26)*BO$26,0),0)</f>
        <v>20369</v>
      </c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>
        <f>ROUND(AU$26*'kWh Blocks by Rate Category'!C23,0)</f>
        <v>1840</v>
      </c>
      <c r="AV24" s="38"/>
      <c r="AW24" s="38"/>
      <c r="AX24" s="38">
        <f>ROUND(AX$26*'kWh Blocks by Rate Category'!F23,0)</f>
        <v>1974</v>
      </c>
      <c r="AY24" s="38"/>
      <c r="AZ24" s="38"/>
      <c r="BA24" s="210">
        <f>SUM(AO24:AZ24)</f>
        <v>3814</v>
      </c>
      <c r="BB24" s="38">
        <v>1777</v>
      </c>
      <c r="BC24" s="38"/>
      <c r="BD24" s="38"/>
      <c r="BE24" s="38">
        <v>2424</v>
      </c>
      <c r="BF24" s="38"/>
      <c r="BG24" s="38"/>
      <c r="BH24" s="38">
        <f>ROUND(BH$26*'kWh Blocks by Rate Category'!P23,0)</f>
        <v>1170</v>
      </c>
      <c r="BI24" s="38"/>
      <c r="BJ24" s="38"/>
      <c r="BK24" s="38">
        <f>ROUND(BK$26*'kWh Blocks by Rate Category'!S23,0)</f>
        <v>1528</v>
      </c>
      <c r="BL24" s="38">
        <f t="shared" si="6"/>
        <v>0</v>
      </c>
      <c r="BM24" s="38">
        <f t="shared" si="6"/>
        <v>0</v>
      </c>
      <c r="BN24" s="210">
        <f>SUM(BB24:BM24)</f>
        <v>6899</v>
      </c>
      <c r="BO24" s="90">
        <f>IFERROR(ROUND((BN24/BN$26)*BO$26,0),0)</f>
        <v>6899</v>
      </c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78"/>
      <c r="AD25" s="178"/>
      <c r="AE25" s="178"/>
      <c r="AF25" s="178"/>
      <c r="AG25" s="178"/>
      <c r="AH25" s="63"/>
      <c r="AI25" s="63"/>
      <c r="AJ25" s="63"/>
      <c r="AK25" s="63"/>
      <c r="AL25" s="63"/>
      <c r="AM25" s="63"/>
      <c r="AN25" s="336"/>
      <c r="AO25" s="100"/>
      <c r="AP25" s="87"/>
      <c r="AQ25" s="87"/>
      <c r="AR25" s="87"/>
      <c r="AS25" s="87"/>
      <c r="AT25" s="39"/>
      <c r="AU25" s="38">
        <f>ROUND(AU$26*'kWh Blocks by Rate Category'!C24,0)</f>
        <v>967</v>
      </c>
      <c r="AV25" s="38"/>
      <c r="AW25" s="38"/>
      <c r="AX25" s="38">
        <f>ROUND(AX$26*'kWh Blocks by Rate Category'!F24,0)</f>
        <v>1037</v>
      </c>
      <c r="AY25" s="38"/>
      <c r="AZ25" s="38"/>
      <c r="BA25" s="210">
        <f>SUM(AO25:AZ25)</f>
        <v>2004</v>
      </c>
      <c r="BB25" s="38">
        <v>934</v>
      </c>
      <c r="BC25" s="38"/>
      <c r="BD25" s="38"/>
      <c r="BE25" s="38">
        <v>1273</v>
      </c>
      <c r="BF25" s="38"/>
      <c r="BG25" s="38"/>
      <c r="BH25" s="38">
        <f>ROUND(BH$26*'kWh Blocks by Rate Category'!P24,0)</f>
        <v>615</v>
      </c>
      <c r="BI25" s="38"/>
      <c r="BJ25" s="38"/>
      <c r="BK25" s="38">
        <f>ROUND(BK$26*'kWh Blocks by Rate Category'!S24,0)</f>
        <v>803</v>
      </c>
      <c r="BL25" s="38">
        <f t="shared" si="6"/>
        <v>0</v>
      </c>
      <c r="BM25" s="38">
        <f t="shared" si="6"/>
        <v>0</v>
      </c>
      <c r="BN25" s="210">
        <f>SUM(BB25:BM25)</f>
        <v>3625</v>
      </c>
      <c r="BO25" s="91">
        <f>IFERROR(ROUND((BN25/BN$26)*BO$26,0),0)</f>
        <v>3625</v>
      </c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>
        <f t="shared" ref="AU26" si="7">IFERROR(ROUND(AU27*AU22,0),0)</f>
        <v>8238</v>
      </c>
      <c r="AV26" s="64"/>
      <c r="AW26" s="152"/>
      <c r="AX26" s="64">
        <f t="shared" ref="AX26" si="8">IFERROR(ROUND(AX27*AX22,0),0)</f>
        <v>8842</v>
      </c>
      <c r="AY26" s="64"/>
      <c r="AZ26" s="64"/>
      <c r="BA26" s="196">
        <f>SUM(AO26:AZ26)</f>
        <v>17080</v>
      </c>
      <c r="BB26" s="64">
        <v>7958</v>
      </c>
      <c r="BC26" s="64"/>
      <c r="BD26" s="64"/>
      <c r="BE26" s="64">
        <v>10854</v>
      </c>
      <c r="BF26" s="64"/>
      <c r="BG26" s="64"/>
      <c r="BH26" s="64">
        <f>IFERROR(ROUND(BH27*BH22,0),0)</f>
        <v>5238</v>
      </c>
      <c r="BI26" s="64"/>
      <c r="BJ26" s="277"/>
      <c r="BK26" s="64">
        <f>IFERROR(ROUND(BK27*BK22,0),0)</f>
        <v>6842</v>
      </c>
      <c r="BL26" s="64">
        <f t="shared" ref="BL26:BM26" si="9">IFERROR(ROUND(BL27*BL22,0),0)</f>
        <v>0</v>
      </c>
      <c r="BM26" s="64">
        <f t="shared" si="9"/>
        <v>0</v>
      </c>
      <c r="BN26" s="196">
        <f>SUM(BB26:BM26)</f>
        <v>30892</v>
      </c>
      <c r="BO26" s="147">
        <f>ROUND(BO22*BO27,0)</f>
        <v>30892</v>
      </c>
    </row>
    <row r="27" spans="1:67" ht="15" thickTop="1">
      <c r="A27" s="374" t="s">
        <v>54</v>
      </c>
      <c r="B27" s="84">
        <f>IF('kWh_Streetlight Data'!C85=0,"",'kWh_Streetlight Data'!C85)</f>
        <v>990.42857142857144</v>
      </c>
      <c r="C27" s="108" t="str">
        <f>IF('kWh_Streetlight Data'!D85=0,"",'kWh_Streetlight Data'!D85)</f>
        <v/>
      </c>
      <c r="D27" s="108" t="str">
        <f>IF('kWh_Streetlight Data'!E85=0,"",'kWh_Streetlight Data'!E85)</f>
        <v/>
      </c>
      <c r="E27" s="108">
        <f>IF('kWh_Streetlight Data'!F85=0,"",'kWh_Streetlight Data'!F85)</f>
        <v>1458.8333333333333</v>
      </c>
      <c r="F27" s="108" t="str">
        <f>IF('kWh_Streetlight Data'!G85=0,"",'kWh_Streetlight Data'!G85)</f>
        <v/>
      </c>
      <c r="G27" s="108" t="str">
        <f>IF('kWh_Streetlight Data'!H85=0,"",'kWh_Streetlight Data'!H85)</f>
        <v/>
      </c>
      <c r="H27" s="108">
        <f>IF('kWh_Streetlight Data'!I85=0,"",'kWh_Streetlight Data'!I85)</f>
        <v>551.66666666666663</v>
      </c>
      <c r="I27" s="108" t="str">
        <f>IF('kWh_Streetlight Data'!J85=0,"",'kWh_Streetlight Data'!J85)</f>
        <v/>
      </c>
      <c r="J27" s="108" t="str">
        <f>IF('kWh_Streetlight Data'!K85=0,"",'kWh_Streetlight Data'!K85)</f>
        <v/>
      </c>
      <c r="K27" s="108">
        <f>IF('kWh_Streetlight Data'!L85=0,"",'kWh_Streetlight Data'!L85)</f>
        <v>753.75</v>
      </c>
      <c r="L27" s="108" t="str">
        <f>IF('kWh_Streetlight Data'!M85=0,"",'kWh_Streetlight Data'!M85)</f>
        <v/>
      </c>
      <c r="M27" s="108" t="str">
        <f>IF('kWh_Streetlight Data'!N85=0,"",'kWh_Streetlight Data'!N85)</f>
        <v/>
      </c>
      <c r="N27" s="424">
        <f>IF('kWh_Streetlight Data'!O85=0,"",'kWh_Streetlight Data'!O85)</f>
        <v>732.29032258064512</v>
      </c>
      <c r="O27" s="84">
        <f>IF('kWh_Streetlight Data'!P85=0,"",'kWh_Streetlight Data'!P85)</f>
        <v>1532.5</v>
      </c>
      <c r="P27" s="108" t="str">
        <f>IF('kWh_Streetlight Data'!Q85=0,"",'kWh_Streetlight Data'!Q85)</f>
        <v/>
      </c>
      <c r="Q27" s="108" t="str">
        <f>IF('kWh_Streetlight Data'!R85=0,"",'kWh_Streetlight Data'!R85)</f>
        <v/>
      </c>
      <c r="R27" s="108">
        <f>IF('kWh_Streetlight Data'!S85=0,"",'kWh_Streetlight Data'!S85)</f>
        <v>1360.25</v>
      </c>
      <c r="S27" s="108" t="str">
        <f>IF('kWh_Streetlight Data'!T85=0,"",'kWh_Streetlight Data'!T85)</f>
        <v/>
      </c>
      <c r="T27" s="108" t="str">
        <f>IF('kWh_Streetlight Data'!U85=0,"",'kWh_Streetlight Data'!U85)</f>
        <v/>
      </c>
      <c r="U27" s="108">
        <f>IF('kWh_Streetlight Data'!V85=0,"",'kWh_Streetlight Data'!V85)</f>
        <v>490.25</v>
      </c>
      <c r="V27" s="108" t="str">
        <f>IF('kWh_Streetlight Data'!W85=0,"",'kWh_Streetlight Data'!W85)</f>
        <v/>
      </c>
      <c r="W27" s="108" t="str">
        <f>IF('kWh_Streetlight Data'!X85=0,"",'kWh_Streetlight Data'!X85)</f>
        <v/>
      </c>
      <c r="X27" s="108">
        <f>IF('kWh_Streetlight Data'!Y85=0,"",'kWh_Streetlight Data'!Y85)</f>
        <v>740.875</v>
      </c>
      <c r="Y27" s="108" t="str">
        <f>IF('kWh_Streetlight Data'!Z85=0,"",'kWh_Streetlight Data'!Z85)</f>
        <v/>
      </c>
      <c r="Z27" s="108" t="str">
        <f>IF('kWh_Streetlight Data'!AA85=0,"",'kWh_Streetlight Data'!AA85)</f>
        <v/>
      </c>
      <c r="AA27" s="424">
        <f>IF('kWh_Streetlight Data'!AB85=0,"",'kWh_Streetlight Data'!AB85)</f>
        <v>941.73076923076928</v>
      </c>
      <c r="AB27" s="129">
        <f>IF('kWh_Streetlight Data'!AC85=0,"",'kWh_Streetlight Data'!AC85)</f>
        <v>1064.3333333333333</v>
      </c>
      <c r="AC27" s="130" t="str">
        <f>IF('kWh_Streetlight Data'!AD85=0,"",'kWh_Streetlight Data'!AD85)</f>
        <v/>
      </c>
      <c r="AD27" s="130" t="str">
        <f>IF('kWh_Streetlight Data'!AE85=0,"",'kWh_Streetlight Data'!AE85)</f>
        <v/>
      </c>
      <c r="AE27" s="130">
        <f>IF('kWh_Streetlight Data'!AF85=0,"",'kWh_Streetlight Data'!AF85)</f>
        <v>1337</v>
      </c>
      <c r="AF27" s="130" t="str">
        <f>IF('kWh_Streetlight Data'!AG85=0,"",'kWh_Streetlight Data'!AG85)</f>
        <v/>
      </c>
      <c r="AG27" s="130" t="str">
        <f>IF('kWh_Streetlight Data'!AH85=0,"",'kWh_Streetlight Data'!AH85)</f>
        <v/>
      </c>
      <c r="AH27" s="130">
        <f>IF('kWh_Streetlight Data'!AI85=0,"",'kWh_Streetlight Data'!AI85)</f>
        <v>1429.4285714285713</v>
      </c>
      <c r="AI27" s="130" t="str">
        <f>IF('kWh_Streetlight Data'!AJ85=0,"",'kWh_Streetlight Data'!AJ85)</f>
        <v/>
      </c>
      <c r="AJ27" s="130" t="str">
        <f>IF('kWh_Streetlight Data'!AK85=0,"",'kWh_Streetlight Data'!AK85)</f>
        <v/>
      </c>
      <c r="AK27" s="130">
        <f>IF('kWh_Streetlight Data'!AL85=0,"",'kWh_Streetlight Data'!AL85)</f>
        <v>1158</v>
      </c>
      <c r="AL27" s="130" t="str">
        <f>IF('kWh_Streetlight Data'!AM85=0,"",'kWh_Streetlight Data'!AM85)</f>
        <v/>
      </c>
      <c r="AM27" s="130" t="str">
        <f>IF('kWh_Streetlight Data'!AN85=0,"",'kWh_Streetlight Data'!AN85)</f>
        <v/>
      </c>
      <c r="AN27" s="426">
        <f>IF('kWh_Streetlight Data'!AO85=0,"",'kWh_Streetlight Data'!AO85)</f>
        <v>1190.7083333333333</v>
      </c>
      <c r="AO27" s="48"/>
      <c r="AP27" s="49"/>
      <c r="AQ27" s="49"/>
      <c r="AR27" s="49"/>
      <c r="AS27" s="49"/>
      <c r="AT27" s="17"/>
      <c r="AU27" s="17">
        <f t="shared" ref="AU27" si="10">IFERROR(AVERAGE(AH27,U27,H27),0)</f>
        <v>823.78174603174602</v>
      </c>
      <c r="AV27" s="17"/>
      <c r="AW27" s="17"/>
      <c r="AX27" s="17">
        <f t="shared" ref="AX27" si="11">IFERROR(AVERAGE(AK27,X27,K27),0)</f>
        <v>884.20833333333337</v>
      </c>
      <c r="AY27" s="17"/>
      <c r="AZ27" s="17"/>
      <c r="BA27" s="211">
        <f>IFERROR(BA26/SUM(AO22:AZ22),0)</f>
        <v>284.66666666666669</v>
      </c>
      <c r="BB27" s="507">
        <v>795.7539682539682</v>
      </c>
      <c r="BC27" s="505"/>
      <c r="BD27" s="505"/>
      <c r="BE27" s="505">
        <v>1085.3611111111111</v>
      </c>
      <c r="BF27" s="505"/>
      <c r="BG27" s="505"/>
      <c r="BH27" s="505">
        <f>IFERROR(AVERAGE(H27,U27,AH27),0)-300</f>
        <v>523.78174603174591</v>
      </c>
      <c r="BI27" s="505"/>
      <c r="BJ27" s="505"/>
      <c r="BK27" s="505">
        <f>IFERROR(AVERAGE(K27,X27,AK27),0)-200</f>
        <v>684.20833333333337</v>
      </c>
      <c r="BL27" s="505"/>
      <c r="BM27" s="505"/>
      <c r="BN27" s="211">
        <f>IFERROR(BN26/SUM(BB22:BM22)*12,0)</f>
        <v>3089.2</v>
      </c>
      <c r="BO27" s="20">
        <f>BN27</f>
        <v>3089.2</v>
      </c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Customers!E42</f>
        <v>11</v>
      </c>
      <c r="AV29" s="109">
        <f>Customers!F42</f>
        <v>11</v>
      </c>
      <c r="AW29" s="109">
        <f>Customers!G42</f>
        <v>11</v>
      </c>
      <c r="AX29" s="109">
        <f>Customers!H42</f>
        <v>11</v>
      </c>
      <c r="AY29" s="109">
        <f>Customers!I42</f>
        <v>11</v>
      </c>
      <c r="AZ29" s="109">
        <f>Customers!J42</f>
        <v>11</v>
      </c>
      <c r="BA29" s="210">
        <f>AZ29</f>
        <v>11</v>
      </c>
      <c r="BB29" s="124">
        <v>11</v>
      </c>
      <c r="BC29" s="38">
        <v>11</v>
      </c>
      <c r="BD29" s="38">
        <v>11</v>
      </c>
      <c r="BE29" s="38">
        <v>11</v>
      </c>
      <c r="BF29" s="38">
        <f t="shared" ref="BF29:BM29" si="12">BE29</f>
        <v>11</v>
      </c>
      <c r="BG29" s="38">
        <f t="shared" si="12"/>
        <v>11</v>
      </c>
      <c r="BH29" s="38">
        <f t="shared" si="12"/>
        <v>11</v>
      </c>
      <c r="BI29" s="38">
        <f t="shared" si="12"/>
        <v>11</v>
      </c>
      <c r="BJ29" s="38">
        <f t="shared" si="12"/>
        <v>11</v>
      </c>
      <c r="BK29" s="38">
        <f t="shared" si="12"/>
        <v>11</v>
      </c>
      <c r="BL29" s="38">
        <f t="shared" si="12"/>
        <v>11</v>
      </c>
      <c r="BM29" s="38">
        <f t="shared" si="12"/>
        <v>11</v>
      </c>
      <c r="BN29" s="210">
        <f>IFERROR(ROUND(AVERAGE(BB29:BM29),0),0)</f>
        <v>11</v>
      </c>
      <c r="BO29" s="90">
        <f>Customers!L42</f>
        <v>11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>
        <f t="shared" ref="AU30:AZ30" si="13">AU33</f>
        <v>8644</v>
      </c>
      <c r="AV30" s="39">
        <f t="shared" si="13"/>
        <v>8974</v>
      </c>
      <c r="AW30" s="39">
        <f t="shared" si="13"/>
        <v>8335</v>
      </c>
      <c r="AX30" s="39">
        <f t="shared" si="13"/>
        <v>9296</v>
      </c>
      <c r="AY30" s="39">
        <f t="shared" si="13"/>
        <v>15101</v>
      </c>
      <c r="AZ30" s="39">
        <f t="shared" si="13"/>
        <v>9908</v>
      </c>
      <c r="BA30" s="210">
        <f>SUM(AO30:AZ30)</f>
        <v>60258</v>
      </c>
      <c r="BB30" s="38">
        <v>8642</v>
      </c>
      <c r="BC30" s="38">
        <v>10870</v>
      </c>
      <c r="BD30" s="38">
        <v>10293</v>
      </c>
      <c r="BE30" s="38">
        <v>8848</v>
      </c>
      <c r="BF30" s="38">
        <f t="shared" ref="BF30:BM30" si="14">BF33</f>
        <v>8164</v>
      </c>
      <c r="BG30" s="38">
        <f t="shared" si="14"/>
        <v>5698</v>
      </c>
      <c r="BH30" s="38">
        <f t="shared" si="14"/>
        <v>8644</v>
      </c>
      <c r="BI30" s="38">
        <f t="shared" si="14"/>
        <v>8974</v>
      </c>
      <c r="BJ30" s="38">
        <f t="shared" si="14"/>
        <v>8335</v>
      </c>
      <c r="BK30" s="38">
        <f t="shared" si="14"/>
        <v>9296</v>
      </c>
      <c r="BL30" s="38">
        <f t="shared" si="14"/>
        <v>15101</v>
      </c>
      <c r="BM30" s="38">
        <f t="shared" si="14"/>
        <v>9908</v>
      </c>
      <c r="BN30" s="210">
        <f>SUM(BB30:BM30)</f>
        <v>112773</v>
      </c>
      <c r="BO30" s="90">
        <f>IFERROR(ROUND((BN30/BN$33)*BO$33,0),0)</f>
        <v>112773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>
        <f>SUM(AO31:AZ31)</f>
        <v>0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210">
        <f>SUM(BB31:BM31)</f>
        <v>0</v>
      </c>
      <c r="BO31" s="90">
        <f t="shared" ref="BO31:BO32" si="15">IFERROR(ROUND((BN31/BN$33)*BO$33,0),0)</f>
        <v>0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>
        <f>SUM(AO32:AZ32)</f>
        <v>0</v>
      </c>
      <c r="BB32" s="56">
        <v>0</v>
      </c>
      <c r="BC32" s="56">
        <v>0</v>
      </c>
      <c r="BD32" s="56">
        <v>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56">
        <v>0</v>
      </c>
      <c r="BN32" s="210">
        <f>SUM(BB32:BM32)</f>
        <v>0</v>
      </c>
      <c r="BO32" s="90">
        <f t="shared" si="15"/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16">IFERROR(ROUND(AU34*AU29,0),0)</f>
        <v>8644</v>
      </c>
      <c r="AV33" s="64">
        <f t="shared" si="16"/>
        <v>8974</v>
      </c>
      <c r="AW33" s="64">
        <f t="shared" si="16"/>
        <v>8335</v>
      </c>
      <c r="AX33" s="64">
        <f t="shared" si="16"/>
        <v>9296</v>
      </c>
      <c r="AY33" s="64">
        <f t="shared" si="16"/>
        <v>15101</v>
      </c>
      <c r="AZ33" s="64">
        <f t="shared" si="16"/>
        <v>9908</v>
      </c>
      <c r="BA33" s="196">
        <f>SUM(AO33:AZ33)</f>
        <v>60258</v>
      </c>
      <c r="BB33" s="64">
        <v>8642</v>
      </c>
      <c r="BC33" s="64">
        <v>10870</v>
      </c>
      <c r="BD33" s="64">
        <v>10293</v>
      </c>
      <c r="BE33" s="64">
        <v>8848</v>
      </c>
      <c r="BF33" s="64">
        <f t="shared" ref="BF33:BM33" si="17">IFERROR(ROUND(BF34*BF29,0),0)</f>
        <v>8164</v>
      </c>
      <c r="BG33" s="64">
        <f t="shared" si="17"/>
        <v>5698</v>
      </c>
      <c r="BH33" s="64">
        <f t="shared" si="17"/>
        <v>8644</v>
      </c>
      <c r="BI33" s="64">
        <f t="shared" si="17"/>
        <v>8974</v>
      </c>
      <c r="BJ33" s="64">
        <f t="shared" si="17"/>
        <v>8335</v>
      </c>
      <c r="BK33" s="64">
        <f t="shared" si="17"/>
        <v>9296</v>
      </c>
      <c r="BL33" s="64">
        <f t="shared" si="17"/>
        <v>15101</v>
      </c>
      <c r="BM33" s="64">
        <f t="shared" si="17"/>
        <v>9908</v>
      </c>
      <c r="BN33" s="196">
        <f>SUM(BB33:BM33)</f>
        <v>112773</v>
      </c>
      <c r="BO33" s="147">
        <f>ROUND(BO29*BO34,0)</f>
        <v>112773</v>
      </c>
    </row>
    <row r="34" spans="1:67" ht="15.75" customHeight="1" thickTop="1">
      <c r="A34" s="374" t="s">
        <v>54</v>
      </c>
      <c r="B34" s="84">
        <f>IF('kWh_Streetlight Data'!C86=0,"",'kWh_Streetlight Data'!C86)</f>
        <v>751.36363636363637</v>
      </c>
      <c r="C34" s="108">
        <f>IF('kWh_Streetlight Data'!D86=0,"",'kWh_Streetlight Data'!D86)</f>
        <v>991.9</v>
      </c>
      <c r="D34" s="108">
        <f>IF('kWh_Streetlight Data'!E86=0,"",'kWh_Streetlight Data'!E86)</f>
        <v>1050.8888888888889</v>
      </c>
      <c r="E34" s="108">
        <f>IF('kWh_Streetlight Data'!F86=0,"",'kWh_Streetlight Data'!F86)</f>
        <v>848.2</v>
      </c>
      <c r="F34" s="108">
        <f>IF('kWh_Streetlight Data'!G86=0,"",'kWh_Streetlight Data'!G86)</f>
        <v>584.1</v>
      </c>
      <c r="G34" s="108">
        <f>IF('kWh_Streetlight Data'!H86=0,"",'kWh_Streetlight Data'!H86)</f>
        <v>345.0625</v>
      </c>
      <c r="H34" s="108">
        <f>IF('kWh_Streetlight Data'!I86=0,"",'kWh_Streetlight Data'!I86)</f>
        <v>1008.7272727272727</v>
      </c>
      <c r="I34" s="108">
        <f>IF('kWh_Streetlight Data'!J86=0,"",'kWh_Streetlight Data'!J86)</f>
        <v>710.18181818181813</v>
      </c>
      <c r="J34" s="108">
        <f>IF('kWh_Streetlight Data'!K86=0,"",'kWh_Streetlight Data'!K86)</f>
        <v>904.9</v>
      </c>
      <c r="K34" s="108">
        <f>IF('kWh_Streetlight Data'!L86=0,"",'kWh_Streetlight Data'!L86)</f>
        <v>858.27272727272725</v>
      </c>
      <c r="L34" s="108">
        <f>IF('kWh_Streetlight Data'!M86=0,"",'kWh_Streetlight Data'!M86)</f>
        <v>1228.5454545454545</v>
      </c>
      <c r="M34" s="108">
        <f>IF('kWh_Streetlight Data'!N86=0,"",'kWh_Streetlight Data'!N86)</f>
        <v>1118</v>
      </c>
      <c r="N34" s="424">
        <f>IF('kWh_Streetlight Data'!O86=0,"",'kWh_Streetlight Data'!O86)</f>
        <v>845.00763358778624</v>
      </c>
      <c r="O34" s="84">
        <f>IF('kWh_Streetlight Data'!P86=0,"",'kWh_Streetlight Data'!P86)</f>
        <v>775.25</v>
      </c>
      <c r="P34" s="108">
        <f>IF('kWh_Streetlight Data'!Q86=0,"",'kWh_Streetlight Data'!Q86)</f>
        <v>974</v>
      </c>
      <c r="Q34" s="108">
        <f>IF('kWh_Streetlight Data'!R86=0,"",'kWh_Streetlight Data'!R86)</f>
        <v>869.41666666666663</v>
      </c>
      <c r="R34" s="108">
        <f>IF('kWh_Streetlight Data'!S86=0,"",'kWh_Streetlight Data'!S86)</f>
        <v>670</v>
      </c>
      <c r="S34" s="108">
        <f>IF('kWh_Streetlight Data'!T86=0,"",'kWh_Streetlight Data'!T86)</f>
        <v>771.72727272727275</v>
      </c>
      <c r="T34" s="108">
        <f>IF('kWh_Streetlight Data'!U86=0,"",'kWh_Streetlight Data'!U86)</f>
        <v>587.81818181818187</v>
      </c>
      <c r="U34" s="108">
        <f>IF('kWh_Streetlight Data'!V86=0,"",'kWh_Streetlight Data'!V86)</f>
        <v>737.90909090909088</v>
      </c>
      <c r="V34" s="108">
        <f>IF('kWh_Streetlight Data'!W86=0,"",'kWh_Streetlight Data'!W86)</f>
        <v>859</v>
      </c>
      <c r="W34" s="108">
        <f>IF('kWh_Streetlight Data'!X86=0,"",'kWh_Streetlight Data'!X86)</f>
        <v>842.90909090909088</v>
      </c>
      <c r="X34" s="108">
        <f>IF('kWh_Streetlight Data'!Y86=0,"",'kWh_Streetlight Data'!Y86)</f>
        <v>789.27272727272725</v>
      </c>
      <c r="Y34" s="108">
        <f>IF('kWh_Streetlight Data'!Z86=0,"",'kWh_Streetlight Data'!Z86)</f>
        <v>1390.4545454545455</v>
      </c>
      <c r="Z34" s="108">
        <f>IF('kWh_Streetlight Data'!AA86=0,"",'kWh_Streetlight Data'!AA86)</f>
        <v>841.5454545454545</v>
      </c>
      <c r="AA34" s="424">
        <f>IF('kWh_Streetlight Data'!AB86=0,"",'kWh_Streetlight Data'!AB86)</f>
        <v>841.71851851851852</v>
      </c>
      <c r="AB34" s="129">
        <f>IF('kWh_Streetlight Data'!AC86=0,"",'kWh_Streetlight Data'!AC86)</f>
        <v>830.27272727272725</v>
      </c>
      <c r="AC34" s="130">
        <f>IF('kWh_Streetlight Data'!AD86=0,"",'kWh_Streetlight Data'!AD86)</f>
        <v>998.6</v>
      </c>
      <c r="AD34" s="130">
        <f>IF('kWh_Streetlight Data'!AE86=0,"",'kWh_Streetlight Data'!AE86)</f>
        <v>887</v>
      </c>
      <c r="AE34" s="130">
        <f>IF('kWh_Streetlight Data'!AF86=0,"",'kWh_Streetlight Data'!AF86)</f>
        <v>895</v>
      </c>
      <c r="AF34" s="130">
        <f>IF('kWh_Streetlight Data'!AG86=0,"",'kWh_Streetlight Data'!AG86)</f>
        <v>870.77777777777783</v>
      </c>
      <c r="AG34" s="130">
        <f>IF('kWh_Streetlight Data'!AH86=0,"",'kWh_Streetlight Data'!AH86)</f>
        <v>621.20000000000005</v>
      </c>
      <c r="AH34" s="130">
        <f>IF('kWh_Streetlight Data'!AI86=0,"",'kWh_Streetlight Data'!AI86)</f>
        <v>610.79999999999995</v>
      </c>
      <c r="AI34" s="130">
        <f>IF('kWh_Streetlight Data'!AJ86=0,"",'kWh_Streetlight Data'!AJ86)</f>
        <v>878.375</v>
      </c>
      <c r="AJ34" s="130">
        <f>IF('kWh_Streetlight Data'!AK86=0,"",'kWh_Streetlight Data'!AK86)</f>
        <v>525.33333333333337</v>
      </c>
      <c r="AK34" s="130">
        <f>IF('kWh_Streetlight Data'!AL86=0,"",'kWh_Streetlight Data'!AL86)</f>
        <v>887.77777777777783</v>
      </c>
      <c r="AL34" s="130">
        <f>IF('kWh_Streetlight Data'!AM86=0,"",'kWh_Streetlight Data'!AM86)</f>
        <v>1499.5555555555557</v>
      </c>
      <c r="AM34" s="130">
        <f>IF('kWh_Streetlight Data'!AN86=0,"",'kWh_Streetlight Data'!AN86)</f>
        <v>742.7</v>
      </c>
      <c r="AN34" s="426">
        <f>IF('kWh_Streetlight Data'!AO86=0,"",'kWh_Streetlight Data'!AO86)</f>
        <v>849.72807017543857</v>
      </c>
      <c r="AO34" s="43"/>
      <c r="AP34" s="40"/>
      <c r="AQ34" s="40"/>
      <c r="AR34" s="40"/>
      <c r="AS34" s="40"/>
      <c r="AT34" s="17"/>
      <c r="AU34" s="17">
        <f t="shared" ref="AU34" si="18">IFERROR(AVERAGE(AH34,U34,H34),0)</f>
        <v>785.81212121212104</v>
      </c>
      <c r="AV34" s="17">
        <f t="shared" ref="AV34" si="19">IFERROR(AVERAGE(AI34,V34,I34),0)</f>
        <v>815.85227272727263</v>
      </c>
      <c r="AW34" s="17">
        <f t="shared" ref="AW34" si="20">IFERROR(AVERAGE(AJ34,W34,J34),0)</f>
        <v>757.71414141414141</v>
      </c>
      <c r="AX34" s="17">
        <f t="shared" ref="AX34" si="21">IFERROR(AVERAGE(AK34,X34,K34),0)</f>
        <v>845.10774410774411</v>
      </c>
      <c r="AY34" s="17">
        <f t="shared" ref="AY34" si="22">IFERROR(AVERAGE(AL34,Y34,L34),0)</f>
        <v>1372.851851851852</v>
      </c>
      <c r="AZ34" s="17">
        <f t="shared" ref="AZ34" si="23">IFERROR(AVERAGE(AM34,Z34,M34),0)</f>
        <v>900.74848484848496</v>
      </c>
      <c r="BA34" s="211">
        <f>IFERROR(BA33/SUM(AO29:AZ29),0)</f>
        <v>913</v>
      </c>
      <c r="BB34" s="17">
        <v>785.62878787878799</v>
      </c>
      <c r="BC34" s="17">
        <v>988.16666666666663</v>
      </c>
      <c r="BD34" s="17">
        <v>935.76851851851859</v>
      </c>
      <c r="BE34" s="17">
        <v>804.4</v>
      </c>
      <c r="BF34" s="17">
        <f t="shared" ref="BF34:BM34" si="24">IFERROR(AVERAGE(F34,S34,AF34),0)</f>
        <v>742.20168350168353</v>
      </c>
      <c r="BG34" s="17">
        <f t="shared" si="24"/>
        <v>518.02689393939397</v>
      </c>
      <c r="BH34" s="17">
        <f t="shared" si="24"/>
        <v>785.81212121212104</v>
      </c>
      <c r="BI34" s="17">
        <f t="shared" si="24"/>
        <v>815.85227272727263</v>
      </c>
      <c r="BJ34" s="17">
        <f t="shared" si="24"/>
        <v>757.71414141414141</v>
      </c>
      <c r="BK34" s="17">
        <f t="shared" si="24"/>
        <v>845.10774410774411</v>
      </c>
      <c r="BL34" s="17">
        <f t="shared" si="24"/>
        <v>1372.851851851852</v>
      </c>
      <c r="BM34" s="17">
        <f t="shared" si="24"/>
        <v>900.74848484848496</v>
      </c>
      <c r="BN34" s="211">
        <f>IFERROR(BN33/SUM(BB29:BM29)*12,0)</f>
        <v>10252.09090909091</v>
      </c>
      <c r="BO34" s="20">
        <f>BN34</f>
        <v>10252.09090909091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9"/>
      <c r="AU43" s="124"/>
      <c r="AV43" s="124"/>
      <c r="AW43" s="124"/>
      <c r="AX43" s="124"/>
      <c r="AY43" s="124"/>
      <c r="AZ43" s="124"/>
      <c r="BA43" s="210"/>
      <c r="BB43" s="124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8"/>
      <c r="AV44" s="38"/>
      <c r="AW44" s="38"/>
      <c r="AX44" s="38"/>
      <c r="AY44" s="38"/>
      <c r="AZ44" s="38"/>
      <c r="BA44" s="210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84" t="str">
        <f>IF('kWh_Streetlight Data'!C87=0,"",'kWh_Streetlight Data'!C87)</f>
        <v/>
      </c>
      <c r="C48" s="130" t="str">
        <f>IF('kWh_Streetlight Data'!D87=0,"",'kWh_Streetlight Data'!D87)</f>
        <v/>
      </c>
      <c r="D48" s="130" t="str">
        <f>IF('kWh_Streetlight Data'!E87=0,"",'kWh_Streetlight Data'!E87)</f>
        <v/>
      </c>
      <c r="E48" s="130" t="str">
        <f>IF('kWh_Streetlight Data'!F87=0,"",'kWh_Streetlight Data'!F87)</f>
        <v/>
      </c>
      <c r="F48" s="130" t="str">
        <f>IF('kWh_Streetlight Data'!G87=0,"",'kWh_Streetlight Data'!G87)</f>
        <v/>
      </c>
      <c r="G48" s="130" t="str">
        <f>IF('kWh_Streetlight Data'!H87=0,"",'kWh_Streetlight Data'!H87)</f>
        <v/>
      </c>
      <c r="H48" s="130" t="str">
        <f>IF('kWh_Streetlight Data'!I87=0,"",'kWh_Streetlight Data'!I87)</f>
        <v/>
      </c>
      <c r="I48" s="130" t="str">
        <f>IF('kWh_Streetlight Data'!J87=0,"",'kWh_Streetlight Data'!J87)</f>
        <v/>
      </c>
      <c r="J48" s="130" t="str">
        <f>IF('kWh_Streetlight Data'!K87=0,"",'kWh_Streetlight Data'!K87)</f>
        <v/>
      </c>
      <c r="K48" s="130" t="str">
        <f>IF('kWh_Streetlight Data'!L87=0,"",'kWh_Streetlight Data'!L87)</f>
        <v/>
      </c>
      <c r="L48" s="130" t="str">
        <f>IF('kWh_Streetlight Data'!M87=0,"",'kWh_Streetlight Data'!M87)</f>
        <v/>
      </c>
      <c r="M48" s="130" t="str">
        <f>IF('kWh_Streetlight Data'!N87=0,"",'kWh_Streetlight Data'!N87)</f>
        <v/>
      </c>
      <c r="N48" s="424" t="str">
        <f>IF('kWh_Streetlight Data'!O87=0,"",'kWh_Streetlight Data'!O87)</f>
        <v/>
      </c>
      <c r="O48" s="129" t="str">
        <f>IF('kWh_Streetlight Data'!P87=0,"",'kWh_Streetlight Data'!P87)</f>
        <v/>
      </c>
      <c r="P48" s="130" t="str">
        <f>IF('kWh_Streetlight Data'!Q87=0,"",'kWh_Streetlight Data'!Q87)</f>
        <v/>
      </c>
      <c r="Q48" s="130" t="str">
        <f>IF('kWh_Streetlight Data'!R87=0,"",'kWh_Streetlight Data'!R87)</f>
        <v/>
      </c>
      <c r="R48" s="130" t="str">
        <f>IF('kWh_Streetlight Data'!S87=0,"",'kWh_Streetlight Data'!S87)</f>
        <v/>
      </c>
      <c r="S48" s="130" t="str">
        <f>IF('kWh_Streetlight Data'!T87=0,"",'kWh_Streetlight Data'!T87)</f>
        <v/>
      </c>
      <c r="T48" s="130" t="str">
        <f>IF('kWh_Streetlight Data'!U87=0,"",'kWh_Streetlight Data'!U87)</f>
        <v/>
      </c>
      <c r="U48" s="130" t="str">
        <f>IF('kWh_Streetlight Data'!V87=0,"",'kWh_Streetlight Data'!V87)</f>
        <v/>
      </c>
      <c r="V48" s="130" t="str">
        <f>IF('kWh_Streetlight Data'!W87=0,"",'kWh_Streetlight Data'!W87)</f>
        <v/>
      </c>
      <c r="W48" s="130" t="str">
        <f>IF('kWh_Streetlight Data'!X87=0,"",'kWh_Streetlight Data'!X87)</f>
        <v/>
      </c>
      <c r="X48" s="130" t="str">
        <f>IF('kWh_Streetlight Data'!Y87=0,"",'kWh_Streetlight Data'!Y87)</f>
        <v/>
      </c>
      <c r="Y48" s="130" t="str">
        <f>IF('kWh_Streetlight Data'!Z87=0,"",'kWh_Streetlight Data'!Z87)</f>
        <v/>
      </c>
      <c r="Z48" s="130" t="str">
        <f>IF('kWh_Streetlight Data'!AA87=0,"",'kWh_Streetlight Data'!AA87)</f>
        <v/>
      </c>
      <c r="AA48" s="424" t="str">
        <f>IF('kWh_Streetlight Data'!AB87=0,"",'kWh_Streetlight Data'!AB87)</f>
        <v/>
      </c>
      <c r="AB48" s="129" t="str">
        <f>IF('kWh_Streetlight Data'!AC87=0,"",'kWh_Streetlight Data'!AC87)</f>
        <v/>
      </c>
      <c r="AC48" s="130" t="str">
        <f>IF('kWh_Streetlight Data'!AD87=0,"",'kWh_Streetlight Data'!AD87)</f>
        <v/>
      </c>
      <c r="AD48" s="130" t="str">
        <f>IF('kWh_Streetlight Data'!AE87=0,"",'kWh_Streetlight Data'!AE87)</f>
        <v/>
      </c>
      <c r="AE48" s="130" t="str">
        <f>IF('kWh_Streetlight Data'!AF87=0,"",'kWh_Streetlight Data'!AF87)</f>
        <v/>
      </c>
      <c r="AF48" s="130" t="str">
        <f>IF('kWh_Streetlight Data'!AG87=0,"",'kWh_Streetlight Data'!AG87)</f>
        <v/>
      </c>
      <c r="AG48" s="130" t="str">
        <f>IF('kWh_Streetlight Data'!AH87=0,"",'kWh_Streetlight Data'!AH87)</f>
        <v/>
      </c>
      <c r="AH48" s="130" t="str">
        <f>IF('kWh_Streetlight Data'!AI87=0,"",'kWh_Streetlight Data'!AI87)</f>
        <v/>
      </c>
      <c r="AI48" s="130" t="str">
        <f>IF('kWh_Streetlight Data'!AJ87=0,"",'kWh_Streetlight Data'!AJ87)</f>
        <v/>
      </c>
      <c r="AJ48" s="130" t="str">
        <f>IF('kWh_Streetlight Data'!AK87=0,"",'kWh_Streetlight Data'!AK87)</f>
        <v/>
      </c>
      <c r="AK48" s="130" t="str">
        <f>IF('kWh_Streetlight Data'!AL87=0,"",'kWh_Streetlight Data'!AL87)</f>
        <v/>
      </c>
      <c r="AL48" s="130" t="str">
        <f>IF('kWh_Streetlight Data'!AM87=0,"",'kWh_Streetlight Data'!AM87)</f>
        <v/>
      </c>
      <c r="AM48" s="130" t="str">
        <f>IF('kWh_Streetlight Data'!AN87=0,"",'kWh_Streetlight Data'!AN87)</f>
        <v/>
      </c>
      <c r="AN48" s="426" t="str">
        <f>IF('kWh_Streetlight Data'!AO87=0,"",'kWh_Streetlight Data'!AO87)</f>
        <v/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9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9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9"/>
      <c r="AU57" s="145"/>
      <c r="AV57" s="145"/>
      <c r="AW57" s="145"/>
      <c r="AX57" s="145"/>
      <c r="AY57" s="145"/>
      <c r="AZ57" s="145"/>
      <c r="BA57" s="204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04"/>
      <c r="BO57" s="92"/>
    </row>
    <row r="58" spans="1:67" ht="15.75" customHeight="1" thickBot="1">
      <c r="A58" s="201" t="s">
        <v>30</v>
      </c>
      <c r="B58" s="113" t="str">
        <f>IF('kWh_Streetlight Data'!C237=0,"",'kWh_Streetlight Data'!C237)</f>
        <v/>
      </c>
      <c r="C58" s="114" t="str">
        <f>IF('kWh_Streetlight Data'!D237=0,"",'kWh_Streetlight Data'!D237)</f>
        <v/>
      </c>
      <c r="D58" s="114" t="str">
        <f>IF('kWh_Streetlight Data'!E237=0,"",'kWh_Streetlight Data'!E237)</f>
        <v/>
      </c>
      <c r="E58" s="114" t="str">
        <f>IF('kWh_Streetlight Data'!F237=0,"",'kWh_Streetlight Data'!F237)</f>
        <v/>
      </c>
      <c r="F58" s="114" t="str">
        <f>IF('kWh_Streetlight Data'!G237=0,"",'kWh_Streetlight Data'!G237)</f>
        <v/>
      </c>
      <c r="G58" s="114" t="str">
        <f>IF('kWh_Streetlight Data'!H237=0,"",'kWh_Streetlight Data'!H237)</f>
        <v/>
      </c>
      <c r="H58" s="114" t="str">
        <f>IF('kWh_Streetlight Data'!I237=0,"",'kWh_Streetlight Data'!I237)</f>
        <v/>
      </c>
      <c r="I58" s="114" t="str">
        <f>IF('kWh_Streetlight Data'!J237=0,"",'kWh_Streetlight Data'!J237)</f>
        <v/>
      </c>
      <c r="J58" s="114" t="str">
        <f>IF('kWh_Streetlight Data'!K237=0,"",'kWh_Streetlight Data'!K237)</f>
        <v/>
      </c>
      <c r="K58" s="114" t="str">
        <f>IF('kWh_Streetlight Data'!L237=0,"",'kWh_Streetlight Data'!L237)</f>
        <v/>
      </c>
      <c r="L58" s="114" t="str">
        <f>IF('kWh_Streetlight Data'!M237=0,"",'kWh_Streetlight Data'!M237)</f>
        <v/>
      </c>
      <c r="M58" s="114" t="str">
        <f>IF('kWh_Streetlight Data'!N237=0,"",'kWh_Streetlight Data'!N237)</f>
        <v/>
      </c>
      <c r="N58" s="459" t="str">
        <f>IF('kWh_Streetlight Data'!O237=0,"",'kWh_Streetlight Data'!O237)</f>
        <v/>
      </c>
      <c r="O58" s="113" t="str">
        <f>IF('kWh_Streetlight Data'!P237=0,"",'kWh_Streetlight Data'!P237)</f>
        <v/>
      </c>
      <c r="P58" s="114" t="str">
        <f>IF('kWh_Streetlight Data'!Q237=0,"",'kWh_Streetlight Data'!Q237)</f>
        <v/>
      </c>
      <c r="Q58" s="114" t="str">
        <f>IF('kWh_Streetlight Data'!R237=0,"",'kWh_Streetlight Data'!R237)</f>
        <v/>
      </c>
      <c r="R58" s="114" t="str">
        <f>IF('kWh_Streetlight Data'!S237=0,"",'kWh_Streetlight Data'!S237)</f>
        <v/>
      </c>
      <c r="S58" s="114" t="str">
        <f>IF('kWh_Streetlight Data'!T237=0,"",'kWh_Streetlight Data'!T237)</f>
        <v/>
      </c>
      <c r="T58" s="114" t="str">
        <f>IF('kWh_Streetlight Data'!U237=0,"",'kWh_Streetlight Data'!U237)</f>
        <v/>
      </c>
      <c r="U58" s="114" t="str">
        <f>IF('kWh_Streetlight Data'!V237=0,"",'kWh_Streetlight Data'!V237)</f>
        <v/>
      </c>
      <c r="V58" s="114" t="str">
        <f>IF('kWh_Streetlight Data'!W237=0,"",'kWh_Streetlight Data'!W237)</f>
        <v/>
      </c>
      <c r="W58" s="114" t="str">
        <f>IF('kWh_Streetlight Data'!X237=0,"",'kWh_Streetlight Data'!X237)</f>
        <v/>
      </c>
      <c r="X58" s="114" t="str">
        <f>IF('kWh_Streetlight Data'!Y237=0,"",'kWh_Streetlight Data'!Y237)</f>
        <v/>
      </c>
      <c r="Y58" s="114" t="str">
        <f>IF('kWh_Streetlight Data'!Z237=0,"",'kWh_Streetlight Data'!Z237)</f>
        <v/>
      </c>
      <c r="Z58" s="114" t="str">
        <f>IF('kWh_Streetlight Data'!AA237=0,"",'kWh_Streetlight Data'!AA237)</f>
        <v/>
      </c>
      <c r="AA58" s="459" t="str">
        <f>IF('kWh_Streetlight Data'!AB237=0,"",'kWh_Streetlight Data'!AB237)</f>
        <v/>
      </c>
      <c r="AB58" s="240" t="str">
        <f>IF('kWh_Streetlight Data'!AC237=0,"",'kWh_Streetlight Data'!AC237)</f>
        <v/>
      </c>
      <c r="AC58" s="117" t="str">
        <f>IF('kWh_Streetlight Data'!AD237=0,"",'kWh_Streetlight Data'!AD237)</f>
        <v/>
      </c>
      <c r="AD58" s="117" t="str">
        <f>IF('kWh_Streetlight Data'!AE237=0,"",'kWh_Streetlight Data'!AE237)</f>
        <v/>
      </c>
      <c r="AE58" s="117" t="str">
        <f>IF('kWh_Streetlight Data'!AF237=0,"",'kWh_Streetlight Data'!AF237)</f>
        <v/>
      </c>
      <c r="AF58" s="117" t="str">
        <f>IF('kWh_Streetlight Data'!AG237=0,"",'kWh_Streetlight Data'!AG237)</f>
        <v/>
      </c>
      <c r="AG58" s="117" t="str">
        <f>IF('kWh_Streetlight Data'!AH237=0,"",'kWh_Streetlight Data'!AH237)</f>
        <v/>
      </c>
      <c r="AH58" s="117" t="str">
        <f>IF('kWh_Streetlight Data'!AI237=0,"",'kWh_Streetlight Data'!AI237)</f>
        <v/>
      </c>
      <c r="AI58" s="117" t="str">
        <f>IF('kWh_Streetlight Data'!AJ237=0,"",'kWh_Streetlight Data'!AJ237)</f>
        <v/>
      </c>
      <c r="AJ58" s="117" t="str">
        <f>IF('kWh_Streetlight Data'!AK237=0,"",'kWh_Streetlight Data'!AK237)</f>
        <v/>
      </c>
      <c r="AK58" s="117" t="str">
        <f>IF('kWh_Streetlight Data'!AL237=0,"",'kWh_Streetlight Data'!AL237)</f>
        <v/>
      </c>
      <c r="AL58" s="117" t="str">
        <f>IF('kWh_Streetlight Data'!AM237=0,"",'kWh_Streetlight Data'!AM237)</f>
        <v/>
      </c>
      <c r="AM58" s="117" t="str">
        <f>IF('kWh_Streetlight Data'!AN237=0,"",'kWh_Streetlight Data'!AN237)</f>
        <v/>
      </c>
      <c r="AN58" s="464" t="str">
        <f>IF('kWh_Streetlight Data'!AO237=0,"",'kWh_Streetlight Data'!AO237)</f>
        <v/>
      </c>
      <c r="AO58" s="151"/>
      <c r="AP58" s="152"/>
      <c r="AQ58" s="152"/>
      <c r="AR58" s="152"/>
      <c r="AS58" s="152"/>
      <c r="AT58" s="64"/>
      <c r="AU58" s="160"/>
      <c r="AV58" s="160"/>
      <c r="AW58" s="160"/>
      <c r="AX58" s="160"/>
      <c r="AY58" s="160"/>
      <c r="AZ58" s="160"/>
      <c r="BA58" s="213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213"/>
      <c r="BO58" s="161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2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61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84" t="str">
        <f>IF('kWh_Streetlight Data'!C88=0,"",'kWh_Streetlight Data'!C88)</f>
        <v/>
      </c>
      <c r="C69" s="130" t="str">
        <f>IF('kWh_Streetlight Data'!D88=0,"",'kWh_Streetlight Data'!D88)</f>
        <v/>
      </c>
      <c r="D69" s="130" t="str">
        <f>IF('kWh_Streetlight Data'!E88=0,"",'kWh_Streetlight Data'!E88)</f>
        <v/>
      </c>
      <c r="E69" s="130" t="str">
        <f>IF('kWh_Streetlight Data'!F88=0,"",'kWh_Streetlight Data'!F88)</f>
        <v/>
      </c>
      <c r="F69" s="130" t="str">
        <f>IF('kWh_Streetlight Data'!G88=0,"",'kWh_Streetlight Data'!G88)</f>
        <v/>
      </c>
      <c r="G69" s="130" t="str">
        <f>IF('kWh_Streetlight Data'!H88=0,"",'kWh_Streetlight Data'!H88)</f>
        <v/>
      </c>
      <c r="H69" s="130" t="str">
        <f>IF('kWh_Streetlight Data'!I88=0,"",'kWh_Streetlight Data'!I88)</f>
        <v/>
      </c>
      <c r="I69" s="130" t="str">
        <f>IF('kWh_Streetlight Data'!J88=0,"",'kWh_Streetlight Data'!J88)</f>
        <v/>
      </c>
      <c r="J69" s="130" t="str">
        <f>IF('kWh_Streetlight Data'!K88=0,"",'kWh_Streetlight Data'!K88)</f>
        <v/>
      </c>
      <c r="K69" s="130" t="str">
        <f>IF('kWh_Streetlight Data'!L88=0,"",'kWh_Streetlight Data'!L88)</f>
        <v/>
      </c>
      <c r="L69" s="130" t="str">
        <f>IF('kWh_Streetlight Data'!M88=0,"",'kWh_Streetlight Data'!M88)</f>
        <v/>
      </c>
      <c r="M69" s="130" t="str">
        <f>IF('kWh_Streetlight Data'!N88=0,"",'kWh_Streetlight Data'!N88)</f>
        <v/>
      </c>
      <c r="N69" s="424" t="str">
        <f>IF('kWh_Streetlight Data'!O88=0,"",'kWh_Streetlight Data'!O88)</f>
        <v/>
      </c>
      <c r="O69" s="84" t="str">
        <f>IF('kWh_Streetlight Data'!P88=0,"",'kWh_Streetlight Data'!P88)</f>
        <v/>
      </c>
      <c r="P69" s="108" t="str">
        <f>IF('kWh_Streetlight Data'!Q88=0,"",'kWh_Streetlight Data'!Q88)</f>
        <v/>
      </c>
      <c r="Q69" s="108" t="str">
        <f>IF('kWh_Streetlight Data'!R88=0,"",'kWh_Streetlight Data'!R88)</f>
        <v/>
      </c>
      <c r="R69" s="108" t="str">
        <f>IF('kWh_Streetlight Data'!S88=0,"",'kWh_Streetlight Data'!S88)</f>
        <v/>
      </c>
      <c r="S69" s="108" t="str">
        <f>IF('kWh_Streetlight Data'!T88=0,"",'kWh_Streetlight Data'!T88)</f>
        <v/>
      </c>
      <c r="T69" s="108" t="str">
        <f>IF('kWh_Streetlight Data'!U88=0,"",'kWh_Streetlight Data'!U88)</f>
        <v/>
      </c>
      <c r="U69" s="108" t="str">
        <f>IF('kWh_Streetlight Data'!V88=0,"",'kWh_Streetlight Data'!V88)</f>
        <v/>
      </c>
      <c r="V69" s="108" t="str">
        <f>IF('kWh_Streetlight Data'!W88=0,"",'kWh_Streetlight Data'!W88)</f>
        <v/>
      </c>
      <c r="W69" s="108" t="str">
        <f>IF('kWh_Streetlight Data'!X88=0,"",'kWh_Streetlight Data'!X88)</f>
        <v/>
      </c>
      <c r="X69" s="108" t="str">
        <f>IF('kWh_Streetlight Data'!Y88=0,"",'kWh_Streetlight Data'!Y88)</f>
        <v/>
      </c>
      <c r="Y69" s="108" t="str">
        <f>IF('kWh_Streetlight Data'!Z88=0,"",'kWh_Streetlight Data'!Z88)</f>
        <v/>
      </c>
      <c r="Z69" s="108" t="str">
        <f>IF('kWh_Streetlight Data'!AA88=0,"",'kWh_Streetlight Data'!AA88)</f>
        <v/>
      </c>
      <c r="AA69" s="424" t="str">
        <f>IF('kWh_Streetlight Data'!AB88=0,"",'kWh_Streetlight Data'!AB88)</f>
        <v/>
      </c>
      <c r="AB69" s="84" t="str">
        <f>IF('kWh_Streetlight Data'!AC88=0,"",'kWh_Streetlight Data'!AC88)</f>
        <v/>
      </c>
      <c r="AC69" s="108" t="str">
        <f>IF('kWh_Streetlight Data'!AD88=0,"",'kWh_Streetlight Data'!AD88)</f>
        <v/>
      </c>
      <c r="AD69" s="108" t="str">
        <f>IF('kWh_Streetlight Data'!AE88=0,"",'kWh_Streetlight Data'!AE88)</f>
        <v/>
      </c>
      <c r="AE69" s="108" t="str">
        <f>IF('kWh_Streetlight Data'!AF88=0,"",'kWh_Streetlight Data'!AF88)</f>
        <v/>
      </c>
      <c r="AF69" s="108" t="str">
        <f>IF('kWh_Streetlight Data'!AG88=0,"",'kWh_Streetlight Data'!AG88)</f>
        <v/>
      </c>
      <c r="AG69" s="108" t="str">
        <f>IF('kWh_Streetlight Data'!AH88=0,"",'kWh_Streetlight Data'!AH88)</f>
        <v/>
      </c>
      <c r="AH69" s="130" t="str">
        <f>IF('kWh_Streetlight Data'!AI88=0,"",'kWh_Streetlight Data'!AI88)</f>
        <v/>
      </c>
      <c r="AI69" s="130" t="str">
        <f>IF('kWh_Streetlight Data'!AJ88=0,"",'kWh_Streetlight Data'!AJ88)</f>
        <v/>
      </c>
      <c r="AJ69" s="130" t="str">
        <f>IF('kWh_Streetlight Data'!AK88=0,"",'kWh_Streetlight Data'!AK88)</f>
        <v/>
      </c>
      <c r="AK69" s="130" t="str">
        <f>IF('kWh_Streetlight Data'!AL88=0,"",'kWh_Streetlight Data'!AL88)</f>
        <v/>
      </c>
      <c r="AL69" s="130" t="str">
        <f>IF('kWh_Streetlight Data'!AM88=0,"",'kWh_Streetlight Data'!AM88)</f>
        <v/>
      </c>
      <c r="AM69" s="130" t="str">
        <f>IF('kWh_Streetlight Data'!AN88=0,"",'kWh_Streetlight Data'!AN88)</f>
        <v/>
      </c>
      <c r="AN69" s="424" t="str">
        <f>IF('kWh_Streetlight Data'!AO88=0,"",'kWh_Streetlight Data'!AO88)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8"/>
      <c r="AV75" s="38"/>
      <c r="AW75" s="38"/>
      <c r="AX75" s="38"/>
      <c r="AY75" s="38"/>
      <c r="AZ75" s="38"/>
      <c r="BA75" s="210"/>
      <c r="BB75" s="124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143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/>
      <c r="AV76" s="38"/>
      <c r="AW76" s="38"/>
      <c r="AX76" s="38"/>
      <c r="AY76" s="38"/>
      <c r="AZ76" s="38"/>
      <c r="BA76" s="210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143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/>
      <c r="AV77" s="38"/>
      <c r="AW77" s="38"/>
      <c r="AX77" s="38"/>
      <c r="AY77" s="38"/>
      <c r="AZ77" s="38"/>
      <c r="BA77" s="210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143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 t="str">
        <f>IF('kWh_Streetlight Data'!C89=0,"",'kWh_Streetlight Data'!C89)</f>
        <v/>
      </c>
      <c r="C79" s="108" t="str">
        <f>IF('kWh_Streetlight Data'!D89=0,"",'kWh_Streetlight Data'!D89)</f>
        <v/>
      </c>
      <c r="D79" s="108" t="str">
        <f>IF('kWh_Streetlight Data'!E89=0,"",'kWh_Streetlight Data'!E89)</f>
        <v/>
      </c>
      <c r="E79" s="108" t="str">
        <f>IF('kWh_Streetlight Data'!F89=0,"",'kWh_Streetlight Data'!F89)</f>
        <v/>
      </c>
      <c r="F79" s="108" t="str">
        <f>IF('kWh_Streetlight Data'!G89=0,"",'kWh_Streetlight Data'!G89)</f>
        <v/>
      </c>
      <c r="G79" s="108" t="str">
        <f>IF('kWh_Streetlight Data'!H89=0,"",'kWh_Streetlight Data'!H89)</f>
        <v/>
      </c>
      <c r="H79" s="108" t="str">
        <f>IF('kWh_Streetlight Data'!I89=0,"",'kWh_Streetlight Data'!I89)</f>
        <v/>
      </c>
      <c r="I79" s="108" t="str">
        <f>IF('kWh_Streetlight Data'!J89=0,"",'kWh_Streetlight Data'!J89)</f>
        <v/>
      </c>
      <c r="J79" s="108" t="str">
        <f>IF('kWh_Streetlight Data'!K89=0,"",'kWh_Streetlight Data'!K89)</f>
        <v/>
      </c>
      <c r="K79" s="108" t="str">
        <f>IF('kWh_Streetlight Data'!L89=0,"",'kWh_Streetlight Data'!L89)</f>
        <v/>
      </c>
      <c r="L79" s="108" t="str">
        <f>IF('kWh_Streetlight Data'!M89=0,"",'kWh_Streetlight Data'!M89)</f>
        <v/>
      </c>
      <c r="M79" s="108" t="str">
        <f>IF('kWh_Streetlight Data'!N89=0,"",'kWh_Streetlight Data'!N89)</f>
        <v/>
      </c>
      <c r="N79" s="424" t="str">
        <f>IF('kWh_Streetlight Data'!O89=0,"",'kWh_Streetlight Data'!O89)</f>
        <v/>
      </c>
      <c r="O79" s="84" t="str">
        <f>IF('kWh_Streetlight Data'!P89=0,"",'kWh_Streetlight Data'!P89)</f>
        <v/>
      </c>
      <c r="P79" s="108" t="str">
        <f>IF('kWh_Streetlight Data'!Q89=0,"",'kWh_Streetlight Data'!Q89)</f>
        <v/>
      </c>
      <c r="Q79" s="108" t="str">
        <f>IF('kWh_Streetlight Data'!R89=0,"",'kWh_Streetlight Data'!R89)</f>
        <v/>
      </c>
      <c r="R79" s="108" t="str">
        <f>IF('kWh_Streetlight Data'!S89=0,"",'kWh_Streetlight Data'!S89)</f>
        <v/>
      </c>
      <c r="S79" s="108" t="str">
        <f>IF('kWh_Streetlight Data'!T89=0,"",'kWh_Streetlight Data'!T89)</f>
        <v/>
      </c>
      <c r="T79" s="108" t="str">
        <f>IF('kWh_Streetlight Data'!U89=0,"",'kWh_Streetlight Data'!U89)</f>
        <v/>
      </c>
      <c r="U79" s="108" t="str">
        <f>IF('kWh_Streetlight Data'!V89=0,"",'kWh_Streetlight Data'!V89)</f>
        <v/>
      </c>
      <c r="V79" s="108" t="str">
        <f>IF('kWh_Streetlight Data'!W89=0,"",'kWh_Streetlight Data'!W89)</f>
        <v/>
      </c>
      <c r="W79" s="108" t="str">
        <f>IF('kWh_Streetlight Data'!X89=0,"",'kWh_Streetlight Data'!X89)</f>
        <v/>
      </c>
      <c r="X79" s="108" t="str">
        <f>IF('kWh_Streetlight Data'!Y89=0,"",'kWh_Streetlight Data'!Y89)</f>
        <v/>
      </c>
      <c r="Y79" s="108" t="str">
        <f>IF('kWh_Streetlight Data'!Z89=0,"",'kWh_Streetlight Data'!Z89)</f>
        <v/>
      </c>
      <c r="Z79" s="108" t="str">
        <f>IF('kWh_Streetlight Data'!AA89=0,"",'kWh_Streetlight Data'!AA89)</f>
        <v/>
      </c>
      <c r="AA79" s="424" t="str">
        <f>IF('kWh_Streetlight Data'!AB89=0,"",'kWh_Streetlight Data'!AB89)</f>
        <v/>
      </c>
      <c r="AB79" s="129" t="str">
        <f>IF('kWh_Streetlight Data'!AC89=0,"",'kWh_Streetlight Data'!AC89)</f>
        <v/>
      </c>
      <c r="AC79" s="130" t="str">
        <f>IF('kWh_Streetlight Data'!AD89=0,"",'kWh_Streetlight Data'!AD89)</f>
        <v/>
      </c>
      <c r="AD79" s="130" t="str">
        <f>IF('kWh_Streetlight Data'!AE89=0,"",'kWh_Streetlight Data'!AE89)</f>
        <v/>
      </c>
      <c r="AE79" s="130" t="str">
        <f>IF('kWh_Streetlight Data'!AF89=0,"",'kWh_Streetlight Data'!AF89)</f>
        <v/>
      </c>
      <c r="AF79" s="130" t="str">
        <f>IF('kWh_Streetlight Data'!AG89=0,"",'kWh_Streetlight Data'!AG89)</f>
        <v/>
      </c>
      <c r="AG79" s="130" t="str">
        <f>IF('kWh_Streetlight Data'!AH89=0,"",'kWh_Streetlight Data'!AH89)</f>
        <v/>
      </c>
      <c r="AH79" s="108" t="str">
        <f>IF('kWh_Streetlight Data'!AI89=0,"",'kWh_Streetlight Data'!AI89)</f>
        <v/>
      </c>
      <c r="AI79" s="108" t="str">
        <f>IF('kWh_Streetlight Data'!AJ89=0,"",'kWh_Streetlight Data'!AJ89)</f>
        <v/>
      </c>
      <c r="AJ79" s="108" t="str">
        <f>IF('kWh_Streetlight Data'!AK89=0,"",'kWh_Streetlight Data'!AK89)</f>
        <v/>
      </c>
      <c r="AK79" s="108" t="str">
        <f>IF('kWh_Streetlight Data'!AL89=0,"",'kWh_Streetlight Data'!AL89)</f>
        <v/>
      </c>
      <c r="AL79" s="108" t="str">
        <f>IF('kWh_Streetlight Data'!AM89=0,"",'kWh_Streetlight Data'!AM89)</f>
        <v/>
      </c>
      <c r="AM79" s="108" t="str">
        <f>IF('kWh_Streetlight Data'!AN89=0,"",'kWh_Streetlight Data'!AN89)</f>
        <v/>
      </c>
      <c r="AN79" s="424" t="str">
        <f>IF('kWh_Streetlight Data'!AO89=0,"",'kWh_Streetlight Data'!AO89)</f>
        <v/>
      </c>
      <c r="AO79" s="34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Data'!C90=0,"",'kWh_Streetlight Data'!C90)</f>
        <v/>
      </c>
      <c r="C83" s="108" t="str">
        <f>IF('kWh_Streetlight Data'!D90=0,"",'kWh_Streetlight Data'!D90)</f>
        <v/>
      </c>
      <c r="D83" s="108" t="str">
        <f>IF('kWh_Streetlight Data'!E90=0,"",'kWh_Streetlight Data'!E90)</f>
        <v/>
      </c>
      <c r="E83" s="108" t="str">
        <f>IF('kWh_Streetlight Data'!F90=0,"",'kWh_Streetlight Data'!F90)</f>
        <v/>
      </c>
      <c r="F83" s="108" t="str">
        <f>IF('kWh_Streetlight Data'!G90=0,"",'kWh_Streetlight Data'!G90)</f>
        <v/>
      </c>
      <c r="G83" s="108" t="str">
        <f>IF('kWh_Streetlight Data'!H90=0,"",'kWh_Streetlight Data'!H90)</f>
        <v/>
      </c>
      <c r="H83" s="108" t="str">
        <f>IF('kWh_Streetlight Data'!I90=0,"",'kWh_Streetlight Data'!I90)</f>
        <v/>
      </c>
      <c r="I83" s="108" t="str">
        <f>IF('kWh_Streetlight Data'!J90=0,"",'kWh_Streetlight Data'!J90)</f>
        <v/>
      </c>
      <c r="J83" s="108" t="str">
        <f>IF('kWh_Streetlight Data'!K90=0,"",'kWh_Streetlight Data'!K90)</f>
        <v/>
      </c>
      <c r="K83" s="108" t="str">
        <f>IF('kWh_Streetlight Data'!L90=0,"",'kWh_Streetlight Data'!L90)</f>
        <v/>
      </c>
      <c r="L83" s="108" t="str">
        <f>IF('kWh_Streetlight Data'!M90=0,"",'kWh_Streetlight Data'!M90)</f>
        <v/>
      </c>
      <c r="M83" s="108" t="str">
        <f>IF('kWh_Streetlight Data'!N90=0,"",'kWh_Streetlight Data'!N90)</f>
        <v/>
      </c>
      <c r="N83" s="424" t="str">
        <f>IF('kWh_Streetlight Data'!O90=0,"",'kWh_Streetlight Data'!O90)</f>
        <v/>
      </c>
      <c r="O83" s="84" t="str">
        <f>IF('kWh_Streetlight Data'!P90=0,"",'kWh_Streetlight Data'!P90)</f>
        <v/>
      </c>
      <c r="P83" s="108" t="str">
        <f>IF('kWh_Streetlight Data'!Q90=0,"",'kWh_Streetlight Data'!Q90)</f>
        <v/>
      </c>
      <c r="Q83" s="108" t="str">
        <f>IF('kWh_Streetlight Data'!R90=0,"",'kWh_Streetlight Data'!R90)</f>
        <v/>
      </c>
      <c r="R83" s="108" t="str">
        <f>IF('kWh_Streetlight Data'!S90=0,"",'kWh_Streetlight Data'!S90)</f>
        <v/>
      </c>
      <c r="S83" s="108" t="str">
        <f>IF('kWh_Streetlight Data'!T90=0,"",'kWh_Streetlight Data'!T90)</f>
        <v/>
      </c>
      <c r="T83" s="108" t="str">
        <f>IF('kWh_Streetlight Data'!U90=0,"",'kWh_Streetlight Data'!U90)</f>
        <v/>
      </c>
      <c r="U83" s="108" t="str">
        <f>IF('kWh_Streetlight Data'!V90=0,"",'kWh_Streetlight Data'!V90)</f>
        <v/>
      </c>
      <c r="V83" s="108" t="str">
        <f>IF('kWh_Streetlight Data'!W90=0,"",'kWh_Streetlight Data'!W90)</f>
        <v/>
      </c>
      <c r="W83" s="108" t="str">
        <f>IF('kWh_Streetlight Data'!X90=0,"",'kWh_Streetlight Data'!X90)</f>
        <v/>
      </c>
      <c r="X83" s="108" t="str">
        <f>IF('kWh_Streetlight Data'!Y90=0,"",'kWh_Streetlight Data'!Y90)</f>
        <v/>
      </c>
      <c r="Y83" s="108" t="str">
        <f>IF('kWh_Streetlight Data'!Z90=0,"",'kWh_Streetlight Data'!Z90)</f>
        <v/>
      </c>
      <c r="Z83" s="108" t="str">
        <f>IF('kWh_Streetlight Data'!AA90=0,"",'kWh_Streetlight Data'!AA90)</f>
        <v/>
      </c>
      <c r="AA83" s="424" t="str">
        <f>IF('kWh_Streetlight Data'!AB90=0,"",'kWh_Streetlight Data'!AB90)</f>
        <v/>
      </c>
      <c r="AB83" s="442" t="str">
        <f>IF('kWh_Streetlight Data'!AC90=0,"",'kWh_Streetlight Data'!AC90)</f>
        <v/>
      </c>
      <c r="AC83" s="443" t="str">
        <f>IF('kWh_Streetlight Data'!AD90=0,"",'kWh_Streetlight Data'!AD90)</f>
        <v/>
      </c>
      <c r="AD83" s="443" t="str">
        <f>IF('kWh_Streetlight Data'!AE90=0,"",'kWh_Streetlight Data'!AE90)</f>
        <v/>
      </c>
      <c r="AE83" s="443" t="str">
        <f>IF('kWh_Streetlight Data'!AF90=0,"",'kWh_Streetlight Data'!AF90)</f>
        <v/>
      </c>
      <c r="AF83" s="443" t="str">
        <f>IF('kWh_Streetlight Data'!AG90=0,"",'kWh_Streetlight Data'!AG90)</f>
        <v/>
      </c>
      <c r="AG83" s="443" t="str">
        <f>IF('kWh_Streetlight Data'!AH90=0,"",'kWh_Streetlight Data'!AH90)</f>
        <v/>
      </c>
      <c r="AH83" s="108" t="str">
        <f>IF('kWh_Streetlight Data'!AI90=0,"",'kWh_Streetlight Data'!AI90)</f>
        <v/>
      </c>
      <c r="AI83" s="108" t="str">
        <f>IF('kWh_Streetlight Data'!AJ90=0,"",'kWh_Streetlight Data'!AJ90)</f>
        <v/>
      </c>
      <c r="AJ83" s="108" t="str">
        <f>IF('kWh_Streetlight Data'!AK90=0,"",'kWh_Streetlight Data'!AK90)</f>
        <v/>
      </c>
      <c r="AK83" s="108" t="str">
        <f>IF('kWh_Streetlight Data'!AL90=0,"",'kWh_Streetlight Data'!AL90)</f>
        <v/>
      </c>
      <c r="AL83" s="108" t="str">
        <f>IF('kWh_Streetlight Data'!AM90=0,"",'kWh_Streetlight Data'!AM90)</f>
        <v/>
      </c>
      <c r="AM83" s="108" t="str">
        <f>IF('kWh_Streetlight Data'!AN90=0,"",'kWh_Streetlight Data'!AN90)</f>
        <v/>
      </c>
      <c r="AN83" s="424" t="str">
        <f>IF('kWh_Streetlight Data'!AO90=0,"",'kWh_Streetlight Data'!AO90)</f>
        <v/>
      </c>
      <c r="AO83" s="34"/>
      <c r="AP83" s="35"/>
      <c r="AQ83" s="35"/>
      <c r="AR83" s="35"/>
      <c r="AS83" s="35"/>
      <c r="AT83" s="17"/>
      <c r="AU83" s="17"/>
      <c r="AV83" s="17"/>
      <c r="AW83" s="17"/>
      <c r="AX83" s="17"/>
      <c r="AY83" s="17"/>
      <c r="AZ83" s="17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8"/>
      <c r="AV86" s="38"/>
      <c r="AW86" s="38"/>
      <c r="AX86" s="38"/>
      <c r="AY86" s="38"/>
      <c r="AZ86" s="38"/>
      <c r="BA86" s="210"/>
      <c r="BB86" s="124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143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/>
      <c r="AV87" s="160"/>
      <c r="AW87" s="160"/>
      <c r="AX87" s="160"/>
      <c r="AY87" s="160"/>
      <c r="AZ87" s="160"/>
      <c r="BA87" s="196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144"/>
    </row>
    <row r="88" spans="1:67" ht="15.75" customHeight="1" thickTop="1">
      <c r="A88" s="374" t="s">
        <v>54</v>
      </c>
      <c r="B88" s="84" t="str">
        <f>IF('kWh_Streetlight Data'!C91=0,"",'kWh_Streetlight Data'!C91)</f>
        <v/>
      </c>
      <c r="C88" s="108" t="str">
        <f>IF('kWh_Streetlight Data'!D91=0,"",'kWh_Streetlight Data'!D91)</f>
        <v/>
      </c>
      <c r="D88" s="108" t="str">
        <f>IF('kWh_Streetlight Data'!E91=0,"",'kWh_Streetlight Data'!E91)</f>
        <v/>
      </c>
      <c r="E88" s="108" t="str">
        <f>IF('kWh_Streetlight Data'!F91=0,"",'kWh_Streetlight Data'!F91)</f>
        <v/>
      </c>
      <c r="F88" s="108" t="str">
        <f>IF('kWh_Streetlight Data'!G91=0,"",'kWh_Streetlight Data'!G91)</f>
        <v/>
      </c>
      <c r="G88" s="108" t="str">
        <f>IF('kWh_Streetlight Data'!H91=0,"",'kWh_Streetlight Data'!H91)</f>
        <v/>
      </c>
      <c r="H88" s="108" t="str">
        <f>IF('kWh_Streetlight Data'!I91=0,"",'kWh_Streetlight Data'!I91)</f>
        <v/>
      </c>
      <c r="I88" s="108" t="str">
        <f>IF('kWh_Streetlight Data'!J91=0,"",'kWh_Streetlight Data'!J91)</f>
        <v/>
      </c>
      <c r="J88" s="108" t="str">
        <f>IF('kWh_Streetlight Data'!K91=0,"",'kWh_Streetlight Data'!K91)</f>
        <v/>
      </c>
      <c r="K88" s="108" t="str">
        <f>IF('kWh_Streetlight Data'!L91=0,"",'kWh_Streetlight Data'!L91)</f>
        <v/>
      </c>
      <c r="L88" s="108" t="str">
        <f>IF('kWh_Streetlight Data'!M91=0,"",'kWh_Streetlight Data'!M91)</f>
        <v/>
      </c>
      <c r="M88" s="108" t="str">
        <f>IF('kWh_Streetlight Data'!N91=0,"",'kWh_Streetlight Data'!N91)</f>
        <v/>
      </c>
      <c r="N88" s="424" t="str">
        <f>IF('kWh_Streetlight Data'!O91=0,"",'kWh_Streetlight Data'!O91)</f>
        <v/>
      </c>
      <c r="O88" s="84" t="str">
        <f>IF('kWh_Streetlight Data'!P91=0,"",'kWh_Streetlight Data'!P91)</f>
        <v/>
      </c>
      <c r="P88" s="108" t="str">
        <f>IF('kWh_Streetlight Data'!Q91=0,"",'kWh_Streetlight Data'!Q91)</f>
        <v/>
      </c>
      <c r="Q88" s="108" t="str">
        <f>IF('kWh_Streetlight Data'!R91=0,"",'kWh_Streetlight Data'!R91)</f>
        <v/>
      </c>
      <c r="R88" s="108" t="str">
        <f>IF('kWh_Streetlight Data'!S91=0,"",'kWh_Streetlight Data'!S91)</f>
        <v/>
      </c>
      <c r="S88" s="108" t="str">
        <f>IF('kWh_Streetlight Data'!T91=0,"",'kWh_Streetlight Data'!T91)</f>
        <v/>
      </c>
      <c r="T88" s="108" t="str">
        <f>IF('kWh_Streetlight Data'!U91=0,"",'kWh_Streetlight Data'!U91)</f>
        <v/>
      </c>
      <c r="U88" s="108" t="str">
        <f>IF('kWh_Streetlight Data'!V91=0,"",'kWh_Streetlight Data'!V91)</f>
        <v/>
      </c>
      <c r="V88" s="108" t="str">
        <f>IF('kWh_Streetlight Data'!W91=0,"",'kWh_Streetlight Data'!W91)</f>
        <v/>
      </c>
      <c r="W88" s="108" t="str">
        <f>IF('kWh_Streetlight Data'!X91=0,"",'kWh_Streetlight Data'!X91)</f>
        <v/>
      </c>
      <c r="X88" s="108" t="str">
        <f>IF('kWh_Streetlight Data'!Y91=0,"",'kWh_Streetlight Data'!Y91)</f>
        <v/>
      </c>
      <c r="Y88" s="108" t="str">
        <f>IF('kWh_Streetlight Data'!Z91=0,"",'kWh_Streetlight Data'!Z91)</f>
        <v/>
      </c>
      <c r="Z88" s="108" t="str">
        <f>IF('kWh_Streetlight Data'!AA91=0,"",'kWh_Streetlight Data'!AA91)</f>
        <v/>
      </c>
      <c r="AA88" s="426" t="str">
        <f>IF('kWh_Streetlight Data'!AB91=0,"",'kWh_Streetlight Data'!AB91)</f>
        <v/>
      </c>
      <c r="AB88" s="442" t="str">
        <f>IF('kWh_Streetlight Data'!AC91=0,"",'kWh_Streetlight Data'!AC91)</f>
        <v/>
      </c>
      <c r="AC88" s="443" t="str">
        <f>IF('kWh_Streetlight Data'!AD91=0,"",'kWh_Streetlight Data'!AD91)</f>
        <v/>
      </c>
      <c r="AD88" s="443" t="str">
        <f>IF('kWh_Streetlight Data'!AE91=0,"",'kWh_Streetlight Data'!AE91)</f>
        <v/>
      </c>
      <c r="AE88" s="443" t="str">
        <f>IF('kWh_Streetlight Data'!AF91=0,"",'kWh_Streetlight Data'!AF91)</f>
        <v/>
      </c>
      <c r="AF88" s="443" t="str">
        <f>IF('kWh_Streetlight Data'!AG91=0,"",'kWh_Streetlight Data'!AG91)</f>
        <v/>
      </c>
      <c r="AG88" s="443" t="str">
        <f>IF('kWh_Streetlight Data'!AH91=0,"",'kWh_Streetlight Data'!AH91)</f>
        <v/>
      </c>
      <c r="AH88" s="108" t="str">
        <f>IF('kWh_Streetlight Data'!AI91=0,"",'kWh_Streetlight Data'!AI91)</f>
        <v/>
      </c>
      <c r="AI88" s="108" t="str">
        <f>IF('kWh_Streetlight Data'!AJ91=0,"",'kWh_Streetlight Data'!AJ91)</f>
        <v/>
      </c>
      <c r="AJ88" s="108" t="str">
        <f>IF('kWh_Streetlight Data'!AK91=0,"",'kWh_Streetlight Data'!AK91)</f>
        <v/>
      </c>
      <c r="AK88" s="108" t="str">
        <f>IF('kWh_Streetlight Data'!AL91=0,"",'kWh_Streetlight Data'!AL91)</f>
        <v/>
      </c>
      <c r="AL88" s="108" t="str">
        <f>IF('kWh_Streetlight Data'!AM91=0,"",'kWh_Streetlight Data'!AM91)</f>
        <v/>
      </c>
      <c r="AM88" s="108" t="str">
        <f>IF('kWh_Streetlight Data'!AN91=0,"",'kWh_Streetlight Data'!AN91)</f>
        <v/>
      </c>
      <c r="AN88" s="424" t="str">
        <f>IF('kWh_Streetlight Data'!AO91=0,"",'kWh_Streetlight Data'!AO91)</f>
        <v/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/>
      <c r="AV89" s="126"/>
      <c r="AW89" s="126"/>
      <c r="AX89" s="126"/>
      <c r="AY89" s="126"/>
      <c r="AZ89" s="126"/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Data'!C92=0,"",'kWh_Streetlight Data'!C92)</f>
        <v/>
      </c>
      <c r="C94" s="108" t="str">
        <f>IF('kWh_Streetlight Data'!D92=0,"",'kWh_Streetlight Data'!D92)</f>
        <v/>
      </c>
      <c r="D94" s="108" t="str">
        <f>IF('kWh_Streetlight Data'!E92=0,"",'kWh_Streetlight Data'!E92)</f>
        <v/>
      </c>
      <c r="E94" s="108" t="str">
        <f>IF('kWh_Streetlight Data'!F92=0,"",'kWh_Streetlight Data'!F92)</f>
        <v/>
      </c>
      <c r="F94" s="108" t="str">
        <f>IF('kWh_Streetlight Data'!G92=0,"",'kWh_Streetlight Data'!G92)</f>
        <v/>
      </c>
      <c r="G94" s="108" t="str">
        <f>IF('kWh_Streetlight Data'!H92=0,"",'kWh_Streetlight Data'!H92)</f>
        <v/>
      </c>
      <c r="H94" s="108" t="str">
        <f>IF('kWh_Streetlight Data'!I92=0,"",'kWh_Streetlight Data'!I92)</f>
        <v/>
      </c>
      <c r="I94" s="108" t="str">
        <f>IF('kWh_Streetlight Data'!J92=0,"",'kWh_Streetlight Data'!J92)</f>
        <v/>
      </c>
      <c r="J94" s="108" t="str">
        <f>IF('kWh_Streetlight Data'!K92=0,"",'kWh_Streetlight Data'!K92)</f>
        <v/>
      </c>
      <c r="K94" s="108" t="str">
        <f>IF('kWh_Streetlight Data'!L92=0,"",'kWh_Streetlight Data'!L92)</f>
        <v/>
      </c>
      <c r="L94" s="130" t="str">
        <f>IF('kWh_Streetlight Data'!M92=0,"",'kWh_Streetlight Data'!M92)</f>
        <v/>
      </c>
      <c r="M94" s="130" t="str">
        <f>IF('kWh_Streetlight Data'!N92=0,"",'kWh_Streetlight Data'!N92)</f>
        <v/>
      </c>
      <c r="N94" s="425" t="str">
        <f>IF('kWh_Streetlight Data'!O92=0,"",'kWh_Streetlight Data'!O92)</f>
        <v/>
      </c>
      <c r="O94" s="84" t="str">
        <f>IF('kWh_Streetlight Data'!P92=0,"",'kWh_Streetlight Data'!P92)</f>
        <v/>
      </c>
      <c r="P94" s="108" t="str">
        <f>IF('kWh_Streetlight Data'!Q92=0,"",'kWh_Streetlight Data'!Q92)</f>
        <v/>
      </c>
      <c r="Q94" s="108" t="str">
        <f>IF('kWh_Streetlight Data'!R92=0,"",'kWh_Streetlight Data'!R92)</f>
        <v/>
      </c>
      <c r="R94" s="108" t="str">
        <f>IF('kWh_Streetlight Data'!S92=0,"",'kWh_Streetlight Data'!S92)</f>
        <v/>
      </c>
      <c r="S94" s="108" t="str">
        <f>IF('kWh_Streetlight Data'!T92=0,"",'kWh_Streetlight Data'!T92)</f>
        <v/>
      </c>
      <c r="T94" s="108" t="str">
        <f>IF('kWh_Streetlight Data'!U92=0,"",'kWh_Streetlight Data'!U92)</f>
        <v/>
      </c>
      <c r="U94" s="108" t="str">
        <f>IF('kWh_Streetlight Data'!V92=0,"",'kWh_Streetlight Data'!V92)</f>
        <v/>
      </c>
      <c r="V94" s="108" t="str">
        <f>IF('kWh_Streetlight Data'!W92=0,"",'kWh_Streetlight Data'!W92)</f>
        <v/>
      </c>
      <c r="W94" s="108" t="str">
        <f>IF('kWh_Streetlight Data'!X92=0,"",'kWh_Streetlight Data'!X92)</f>
        <v/>
      </c>
      <c r="X94" s="108" t="str">
        <f>IF('kWh_Streetlight Data'!Y92=0,"",'kWh_Streetlight Data'!Y92)</f>
        <v/>
      </c>
      <c r="Y94" s="108" t="str">
        <f>IF('kWh_Streetlight Data'!Z92=0,"",'kWh_Streetlight Data'!Z92)</f>
        <v/>
      </c>
      <c r="Z94" s="108" t="str">
        <f>IF('kWh_Streetlight Data'!AA92=0,"",'kWh_Streetlight Data'!AA92)</f>
        <v/>
      </c>
      <c r="AA94" s="426" t="str">
        <f>IF('kWh_Streetlight Data'!AB92=0,"",'kWh_Streetlight Data'!AB92)</f>
        <v/>
      </c>
      <c r="AB94" s="84" t="str">
        <f>IF('kWh_Streetlight Data'!AC92=0,"",'kWh_Streetlight Data'!AC92)</f>
        <v/>
      </c>
      <c r="AC94" s="108" t="str">
        <f>IF('kWh_Streetlight Data'!AD92=0,"",'kWh_Streetlight Data'!AD92)</f>
        <v/>
      </c>
      <c r="AD94" s="108" t="str">
        <f>IF('kWh_Streetlight Data'!AE92=0,"",'kWh_Streetlight Data'!AE92)</f>
        <v/>
      </c>
      <c r="AE94" s="108" t="str">
        <f>IF('kWh_Streetlight Data'!AF92=0,"",'kWh_Streetlight Data'!AF92)</f>
        <v/>
      </c>
      <c r="AF94" s="108" t="str">
        <f>IF('kWh_Streetlight Data'!AG92=0,"",'kWh_Streetlight Data'!AG92)</f>
        <v/>
      </c>
      <c r="AG94" s="108" t="str">
        <f>IF('kWh_Streetlight Data'!AH92=0,"",'kWh_Streetlight Data'!AH92)</f>
        <v/>
      </c>
      <c r="AH94" s="108" t="str">
        <f>IF('kWh_Streetlight Data'!AI92=0,"",'kWh_Streetlight Data'!AI92)</f>
        <v/>
      </c>
      <c r="AI94" s="108" t="str">
        <f>IF('kWh_Streetlight Data'!AJ92=0,"",'kWh_Streetlight Data'!AJ92)</f>
        <v/>
      </c>
      <c r="AJ94" s="108" t="str">
        <f>IF('kWh_Streetlight Data'!AK92=0,"",'kWh_Streetlight Data'!AK92)</f>
        <v/>
      </c>
      <c r="AK94" s="108" t="str">
        <f>IF('kWh_Streetlight Data'!AL92=0,"",'kWh_Streetlight Data'!AL92)</f>
        <v/>
      </c>
      <c r="AL94" s="108" t="str">
        <f>IF('kWh_Streetlight Data'!AM92=0,"",'kWh_Streetlight Data'!AM92)</f>
        <v/>
      </c>
      <c r="AM94" s="108" t="str">
        <f>IF('kWh_Streetlight Data'!AN92=0,"",'kWh_Streetlight Data'!AN92)</f>
        <v/>
      </c>
      <c r="AN94" s="424" t="str">
        <f>IF('kWh_Streetlight Data'!AO92=0,"",'kWh_Streetlight Data'!AO92)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AZ98" si="25">AU7+AU22+AU29+AU43</f>
        <v>35</v>
      </c>
      <c r="AV98" s="9">
        <f t="shared" si="25"/>
        <v>35</v>
      </c>
      <c r="AW98" s="9">
        <f t="shared" si="25"/>
        <v>35</v>
      </c>
      <c r="AX98" s="9">
        <f t="shared" si="25"/>
        <v>35</v>
      </c>
      <c r="AY98" s="9">
        <f t="shared" si="25"/>
        <v>35</v>
      </c>
      <c r="AZ98" s="9">
        <f t="shared" si="25"/>
        <v>35</v>
      </c>
      <c r="BA98" s="138">
        <f>AZ98</f>
        <v>35</v>
      </c>
      <c r="BB98" s="9">
        <v>35</v>
      </c>
      <c r="BC98" s="9">
        <v>35</v>
      </c>
      <c r="BD98" s="9">
        <v>35</v>
      </c>
      <c r="BE98" s="9">
        <v>35</v>
      </c>
      <c r="BF98" s="9">
        <f t="shared" ref="BF98:BO98" si="26">BF7+BF22+BF29+BF43</f>
        <v>35</v>
      </c>
      <c r="BG98" s="9">
        <f t="shared" si="26"/>
        <v>35</v>
      </c>
      <c r="BH98" s="9">
        <f t="shared" si="26"/>
        <v>35</v>
      </c>
      <c r="BI98" s="9">
        <f t="shared" si="26"/>
        <v>35</v>
      </c>
      <c r="BJ98" s="9">
        <f t="shared" si="26"/>
        <v>35</v>
      </c>
      <c r="BK98" s="9">
        <f t="shared" si="26"/>
        <v>35</v>
      </c>
      <c r="BL98" s="9">
        <f t="shared" si="26"/>
        <v>35</v>
      </c>
      <c r="BM98" s="9">
        <f t="shared" si="26"/>
        <v>35</v>
      </c>
      <c r="BN98" s="138">
        <f t="shared" si="26"/>
        <v>35</v>
      </c>
      <c r="BO98" s="58">
        <f t="shared" si="26"/>
        <v>35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AZ99" si="27">AU57</f>
        <v>0</v>
      </c>
      <c r="AV99" s="9">
        <f t="shared" si="27"/>
        <v>0</v>
      </c>
      <c r="AW99" s="9">
        <f t="shared" si="27"/>
        <v>0</v>
      </c>
      <c r="AX99" s="9">
        <f t="shared" si="27"/>
        <v>0</v>
      </c>
      <c r="AY99" s="9">
        <f t="shared" si="27"/>
        <v>0</v>
      </c>
      <c r="AZ99" s="9">
        <f t="shared" si="27"/>
        <v>0</v>
      </c>
      <c r="BA99" s="138">
        <f>AZ99</f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28">BF57</f>
        <v>0</v>
      </c>
      <c r="BG99" s="9">
        <f t="shared" si="28"/>
        <v>0</v>
      </c>
      <c r="BH99" s="9">
        <f t="shared" si="28"/>
        <v>0</v>
      </c>
      <c r="BI99" s="9">
        <f t="shared" si="28"/>
        <v>0</v>
      </c>
      <c r="BJ99" s="9">
        <f t="shared" si="28"/>
        <v>0</v>
      </c>
      <c r="BK99" s="9">
        <f t="shared" si="28"/>
        <v>0</v>
      </c>
      <c r="BL99" s="9">
        <f t="shared" si="28"/>
        <v>0</v>
      </c>
      <c r="BM99" s="9">
        <f t="shared" si="28"/>
        <v>0</v>
      </c>
      <c r="BN99" s="138">
        <f t="shared" si="28"/>
        <v>0</v>
      </c>
      <c r="BO99" s="58">
        <f t="shared" si="28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AZ100" si="29">AU65+AU75+AU81+AU86</f>
        <v>0</v>
      </c>
      <c r="AV100" s="9">
        <f t="shared" si="29"/>
        <v>0</v>
      </c>
      <c r="AW100" s="9">
        <f t="shared" si="29"/>
        <v>0</v>
      </c>
      <c r="AX100" s="9">
        <f t="shared" si="29"/>
        <v>0</v>
      </c>
      <c r="AY100" s="9">
        <f t="shared" si="29"/>
        <v>0</v>
      </c>
      <c r="AZ100" s="9">
        <f t="shared" si="29"/>
        <v>0</v>
      </c>
      <c r="BA100" s="138">
        <f>AZ100</f>
        <v>0</v>
      </c>
      <c r="BB100" s="9">
        <v>0</v>
      </c>
      <c r="BC100" s="9"/>
      <c r="BD100" s="9"/>
      <c r="BE100" s="9"/>
      <c r="BF100" s="9"/>
      <c r="BG100" s="9"/>
      <c r="BH100" s="9"/>
      <c r="BI100" s="9"/>
      <c r="BJ100" s="9"/>
      <c r="BK100" s="9">
        <f>BK65+BK75+BK81+BK86</f>
        <v>0</v>
      </c>
      <c r="BL100" s="9">
        <f>BL65+BL75+BL81+BL86</f>
        <v>0</v>
      </c>
      <c r="BM100" s="9">
        <f>BM65+BM75+BM81+BM86</f>
        <v>0</v>
      </c>
      <c r="BN100" s="138">
        <f>BN65+BN75+BN81+BN86</f>
        <v>0</v>
      </c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30">SUM(AU98:AU100)</f>
        <v>35</v>
      </c>
      <c r="AV101" s="73">
        <f t="shared" si="30"/>
        <v>35</v>
      </c>
      <c r="AW101" s="73">
        <f t="shared" si="30"/>
        <v>35</v>
      </c>
      <c r="AX101" s="73">
        <f t="shared" si="30"/>
        <v>35</v>
      </c>
      <c r="AY101" s="73">
        <f t="shared" si="30"/>
        <v>35</v>
      </c>
      <c r="AZ101" s="73">
        <f t="shared" si="30"/>
        <v>35</v>
      </c>
      <c r="BA101" s="249">
        <f t="shared" si="30"/>
        <v>35</v>
      </c>
      <c r="BB101" s="73">
        <v>35</v>
      </c>
      <c r="BC101" s="73">
        <v>35</v>
      </c>
      <c r="BD101" s="73">
        <v>35</v>
      </c>
      <c r="BE101" s="73">
        <v>35</v>
      </c>
      <c r="BF101" s="73">
        <f t="shared" ref="BF101:BL101" si="31">SUM(BF98:BF100)</f>
        <v>35</v>
      </c>
      <c r="BG101" s="73">
        <f t="shared" si="31"/>
        <v>35</v>
      </c>
      <c r="BH101" s="73">
        <f t="shared" si="31"/>
        <v>35</v>
      </c>
      <c r="BI101" s="73">
        <f t="shared" si="31"/>
        <v>35</v>
      </c>
      <c r="BJ101" s="73">
        <f t="shared" si="31"/>
        <v>35</v>
      </c>
      <c r="BK101" s="73">
        <f t="shared" si="31"/>
        <v>35</v>
      </c>
      <c r="BL101" s="73">
        <f t="shared" si="31"/>
        <v>35</v>
      </c>
      <c r="BM101" s="73">
        <f t="shared" ref="BM101" si="32">SUM(BM98:BM100)</f>
        <v>35</v>
      </c>
      <c r="BN101" s="249">
        <f t="shared" ref="BN101" si="33">SUM(BN98:BN100)</f>
        <v>35</v>
      </c>
      <c r="BO101" s="268">
        <f t="shared" ref="BO101" si="34">SUM(BO98:BO100)</f>
        <v>35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337">
        <v>0</v>
      </c>
      <c r="BC102" s="337">
        <v>0</v>
      </c>
      <c r="BD102" s="337">
        <v>0</v>
      </c>
      <c r="BE102" s="337">
        <v>0</v>
      </c>
      <c r="BF102" s="337">
        <f t="shared" ref="BF102:BO102" si="35">BF15+BF36+BF50</f>
        <v>0</v>
      </c>
      <c r="BG102" s="337">
        <f t="shared" si="35"/>
        <v>0</v>
      </c>
      <c r="BH102" s="337">
        <f t="shared" si="35"/>
        <v>0</v>
      </c>
      <c r="BI102" s="337">
        <f t="shared" si="35"/>
        <v>0</v>
      </c>
      <c r="BJ102" s="337">
        <f t="shared" si="35"/>
        <v>0</v>
      </c>
      <c r="BK102" s="337">
        <f t="shared" si="35"/>
        <v>0</v>
      </c>
      <c r="BL102" s="337">
        <f t="shared" si="35"/>
        <v>0</v>
      </c>
      <c r="BM102" s="337">
        <f t="shared" si="35"/>
        <v>0</v>
      </c>
      <c r="BN102" s="138">
        <f t="shared" si="35"/>
        <v>0</v>
      </c>
      <c r="BO102" s="266">
        <f t="shared" si="35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>
        <v>0</v>
      </c>
      <c r="BC103" s="9">
        <v>0</v>
      </c>
      <c r="BD103" s="9">
        <v>0</v>
      </c>
      <c r="BE103" s="9">
        <v>0</v>
      </c>
      <c r="BF103" s="9">
        <f t="shared" ref="BF103:BM103" si="36">BF61</f>
        <v>0</v>
      </c>
      <c r="BG103" s="9">
        <f t="shared" si="36"/>
        <v>0</v>
      </c>
      <c r="BH103" s="9">
        <f t="shared" si="36"/>
        <v>0</v>
      </c>
      <c r="BI103" s="9">
        <f t="shared" si="36"/>
        <v>0</v>
      </c>
      <c r="BJ103" s="9">
        <f t="shared" si="36"/>
        <v>0</v>
      </c>
      <c r="BK103" s="9">
        <f t="shared" si="36"/>
        <v>0</v>
      </c>
      <c r="BL103" s="9">
        <f t="shared" si="36"/>
        <v>0</v>
      </c>
      <c r="BM103" s="9">
        <f t="shared" si="36"/>
        <v>0</v>
      </c>
      <c r="BN103" s="138"/>
      <c r="BO103" s="58"/>
    </row>
    <row r="104" spans="1:67" s="2" customFormat="1" ht="19.149999999999999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AZ104" si="37">AU92</f>
        <v>0</v>
      </c>
      <c r="AV104" s="9">
        <f t="shared" si="37"/>
        <v>0</v>
      </c>
      <c r="AW104" s="9">
        <f t="shared" si="37"/>
        <v>0</v>
      </c>
      <c r="AX104" s="9">
        <f t="shared" si="37"/>
        <v>0</v>
      </c>
      <c r="AY104" s="9">
        <f t="shared" si="37"/>
        <v>0</v>
      </c>
      <c r="AZ104" s="9">
        <f t="shared" si="37"/>
        <v>0</v>
      </c>
      <c r="BA104" s="138"/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38">BF92</f>
        <v>0</v>
      </c>
      <c r="BG104" s="9">
        <f t="shared" si="38"/>
        <v>0</v>
      </c>
      <c r="BH104" s="9">
        <f t="shared" si="38"/>
        <v>0</v>
      </c>
      <c r="BI104" s="9">
        <f t="shared" si="38"/>
        <v>0</v>
      </c>
      <c r="BJ104" s="9">
        <f t="shared" si="38"/>
        <v>0</v>
      </c>
      <c r="BK104" s="9">
        <f t="shared" si="38"/>
        <v>0</v>
      </c>
      <c r="BL104" s="9">
        <f t="shared" si="38"/>
        <v>0</v>
      </c>
      <c r="BM104" s="9">
        <f t="shared" si="38"/>
        <v>0</v>
      </c>
      <c r="BN104" s="138">
        <f t="shared" si="38"/>
        <v>0</v>
      </c>
      <c r="BO104" s="58">
        <f t="shared" si="38"/>
        <v>0</v>
      </c>
    </row>
    <row r="105" spans="1:67" s="3" customFormat="1" ht="19.149999999999999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39">SUM(AU102:AU104)</f>
        <v>0</v>
      </c>
      <c r="AV105" s="73">
        <f t="shared" si="39"/>
        <v>0</v>
      </c>
      <c r="AW105" s="73">
        <f t="shared" si="39"/>
        <v>0</v>
      </c>
      <c r="AX105" s="73">
        <f t="shared" si="39"/>
        <v>0</v>
      </c>
      <c r="AY105" s="73">
        <f t="shared" si="39"/>
        <v>0</v>
      </c>
      <c r="AZ105" s="73">
        <f t="shared" si="39"/>
        <v>0</v>
      </c>
      <c r="BA105" s="249">
        <f t="shared" si="39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M105" si="40">SUM(BF102:BF104)</f>
        <v>0</v>
      </c>
      <c r="BG105" s="73">
        <f t="shared" si="40"/>
        <v>0</v>
      </c>
      <c r="BH105" s="73">
        <f t="shared" si="40"/>
        <v>0</v>
      </c>
      <c r="BI105" s="73">
        <f t="shared" si="40"/>
        <v>0</v>
      </c>
      <c r="BJ105" s="73">
        <f t="shared" si="40"/>
        <v>0</v>
      </c>
      <c r="BK105" s="73">
        <f t="shared" si="40"/>
        <v>0</v>
      </c>
      <c r="BL105" s="73">
        <f t="shared" si="40"/>
        <v>0</v>
      </c>
      <c r="BM105" s="73">
        <f t="shared" si="40"/>
        <v>0</v>
      </c>
      <c r="BN105" s="249">
        <f t="shared" ref="BN105" si="41">SUM(BN102:BN104)</f>
        <v>0</v>
      </c>
      <c r="BO105" s="268">
        <f t="shared" ref="BO105" si="42">SUM(BO102:BO104)</f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A106" si="43">AU105+AU101</f>
        <v>35</v>
      </c>
      <c r="AV106" s="251">
        <f t="shared" si="43"/>
        <v>35</v>
      </c>
      <c r="AW106" s="251">
        <f t="shared" si="43"/>
        <v>35</v>
      </c>
      <c r="AX106" s="251">
        <f t="shared" si="43"/>
        <v>35</v>
      </c>
      <c r="AY106" s="251">
        <f t="shared" si="43"/>
        <v>35</v>
      </c>
      <c r="AZ106" s="251">
        <f t="shared" si="43"/>
        <v>35</v>
      </c>
      <c r="BA106" s="255">
        <f t="shared" si="43"/>
        <v>35</v>
      </c>
      <c r="BB106" s="251">
        <v>35</v>
      </c>
      <c r="BC106" s="251">
        <v>35</v>
      </c>
      <c r="BD106" s="251">
        <v>35</v>
      </c>
      <c r="BE106" s="251">
        <v>35</v>
      </c>
      <c r="BF106" s="251">
        <f t="shared" ref="BF106:BM106" si="44">BF105+BF101</f>
        <v>35</v>
      </c>
      <c r="BG106" s="251">
        <f t="shared" si="44"/>
        <v>35</v>
      </c>
      <c r="BH106" s="251">
        <f t="shared" si="44"/>
        <v>35</v>
      </c>
      <c r="BI106" s="251">
        <f t="shared" si="44"/>
        <v>35</v>
      </c>
      <c r="BJ106" s="251">
        <f t="shared" si="44"/>
        <v>35</v>
      </c>
      <c r="BK106" s="251">
        <f t="shared" si="44"/>
        <v>35</v>
      </c>
      <c r="BL106" s="251">
        <f t="shared" si="44"/>
        <v>35</v>
      </c>
      <c r="BM106" s="251">
        <f t="shared" si="44"/>
        <v>35</v>
      </c>
      <c r="BN106" s="255">
        <f t="shared" ref="BN106:BO106" si="45">BN105+BN101</f>
        <v>35</v>
      </c>
      <c r="BO106" s="269">
        <f t="shared" si="45"/>
        <v>35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6">AU11+AU26+AU33+AU47</f>
        <v>23969</v>
      </c>
      <c r="AV108" s="9">
        <f t="shared" si="46"/>
        <v>15294</v>
      </c>
      <c r="AW108" s="9">
        <f t="shared" si="46"/>
        <v>14342</v>
      </c>
      <c r="AX108" s="9">
        <f t="shared" si="46"/>
        <v>26015</v>
      </c>
      <c r="AY108" s="9">
        <f t="shared" si="46"/>
        <v>26293</v>
      </c>
      <c r="AZ108" s="9">
        <f t="shared" si="46"/>
        <v>21581</v>
      </c>
      <c r="BA108" s="138">
        <f t="shared" si="46"/>
        <v>127494</v>
      </c>
      <c r="BB108" s="9">
        <v>28519</v>
      </c>
      <c r="BC108" s="9">
        <v>24037</v>
      </c>
      <c r="BD108" s="9">
        <v>22381</v>
      </c>
      <c r="BE108" s="9">
        <v>29779</v>
      </c>
      <c r="BF108" s="9">
        <f t="shared" ref="BF108:BO108" si="47">BF11+BF26+BF33+BF47</f>
        <v>17157</v>
      </c>
      <c r="BG108" s="9">
        <f t="shared" si="47"/>
        <v>12837</v>
      </c>
      <c r="BH108" s="9">
        <f t="shared" si="47"/>
        <v>20969</v>
      </c>
      <c r="BI108" s="9">
        <f t="shared" si="47"/>
        <v>15294</v>
      </c>
      <c r="BJ108" s="9">
        <f t="shared" si="47"/>
        <v>14342</v>
      </c>
      <c r="BK108" s="9">
        <f t="shared" si="47"/>
        <v>24015</v>
      </c>
      <c r="BL108" s="9">
        <f t="shared" si="47"/>
        <v>26293</v>
      </c>
      <c r="BM108" s="9">
        <f t="shared" si="47"/>
        <v>21581</v>
      </c>
      <c r="BN108" s="138">
        <f t="shared" si="47"/>
        <v>257204</v>
      </c>
      <c r="BO108" s="58">
        <f t="shared" si="47"/>
        <v>257204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48">AU58</f>
        <v>0</v>
      </c>
      <c r="AV109" s="9">
        <f t="shared" si="48"/>
        <v>0</v>
      </c>
      <c r="AW109" s="9">
        <f t="shared" si="48"/>
        <v>0</v>
      </c>
      <c r="AX109" s="9">
        <f t="shared" si="48"/>
        <v>0</v>
      </c>
      <c r="AY109" s="9">
        <f t="shared" si="48"/>
        <v>0</v>
      </c>
      <c r="AZ109" s="9">
        <f t="shared" si="48"/>
        <v>0</v>
      </c>
      <c r="BA109" s="138">
        <f t="shared" si="48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49">BF58</f>
        <v>0</v>
      </c>
      <c r="BG109" s="9">
        <f t="shared" si="49"/>
        <v>0</v>
      </c>
      <c r="BH109" s="9">
        <f t="shared" si="49"/>
        <v>0</v>
      </c>
      <c r="BI109" s="9">
        <f t="shared" si="49"/>
        <v>0</v>
      </c>
      <c r="BJ109" s="9">
        <f t="shared" si="49"/>
        <v>0</v>
      </c>
      <c r="BK109" s="9">
        <f t="shared" si="49"/>
        <v>0</v>
      </c>
      <c r="BL109" s="9">
        <f t="shared" si="49"/>
        <v>0</v>
      </c>
      <c r="BM109" s="9">
        <f t="shared" si="49"/>
        <v>0</v>
      </c>
      <c r="BN109" s="138">
        <f t="shared" si="49"/>
        <v>0</v>
      </c>
      <c r="BO109" s="58">
        <f t="shared" si="49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50">AU68+AU78+AU82+AU87</f>
        <v>0</v>
      </c>
      <c r="AV110" s="9">
        <f t="shared" si="50"/>
        <v>0</v>
      </c>
      <c r="AW110" s="9">
        <f t="shared" si="50"/>
        <v>0</v>
      </c>
      <c r="AX110" s="9">
        <f t="shared" si="50"/>
        <v>0</v>
      </c>
      <c r="AY110" s="9">
        <f t="shared" si="50"/>
        <v>0</v>
      </c>
      <c r="AZ110" s="9">
        <f t="shared" si="50"/>
        <v>0</v>
      </c>
      <c r="BA110" s="138">
        <f t="shared" si="50"/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f t="shared" ref="BF110:BO110" si="51">BF68+BF78+BF82+BF87</f>
        <v>0</v>
      </c>
      <c r="BG110" s="9">
        <f t="shared" si="51"/>
        <v>0</v>
      </c>
      <c r="BH110" s="9">
        <f t="shared" si="51"/>
        <v>0</v>
      </c>
      <c r="BI110" s="9">
        <f t="shared" si="51"/>
        <v>0</v>
      </c>
      <c r="BJ110" s="9">
        <f t="shared" si="51"/>
        <v>0</v>
      </c>
      <c r="BK110" s="9">
        <f t="shared" si="51"/>
        <v>0</v>
      </c>
      <c r="BL110" s="9">
        <f t="shared" si="51"/>
        <v>0</v>
      </c>
      <c r="BM110" s="9">
        <f t="shared" si="51"/>
        <v>0</v>
      </c>
      <c r="BN110" s="138">
        <f t="shared" si="51"/>
        <v>0</v>
      </c>
      <c r="BO110" s="58">
        <f t="shared" si="51"/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2">SUM(AU108:AU110)</f>
        <v>23969</v>
      </c>
      <c r="AV111" s="73">
        <f t="shared" si="52"/>
        <v>15294</v>
      </c>
      <c r="AW111" s="73">
        <f t="shared" si="52"/>
        <v>14342</v>
      </c>
      <c r="AX111" s="73">
        <f t="shared" si="52"/>
        <v>26015</v>
      </c>
      <c r="AY111" s="73">
        <f t="shared" si="52"/>
        <v>26293</v>
      </c>
      <c r="AZ111" s="73">
        <f t="shared" si="52"/>
        <v>21581</v>
      </c>
      <c r="BA111" s="249">
        <f t="shared" si="52"/>
        <v>127494</v>
      </c>
      <c r="BB111" s="73">
        <v>28519</v>
      </c>
      <c r="BC111" s="73">
        <v>24037</v>
      </c>
      <c r="BD111" s="73">
        <v>22381</v>
      </c>
      <c r="BE111" s="73">
        <v>29779</v>
      </c>
      <c r="BF111" s="73">
        <f t="shared" ref="BF111:BM111" si="53">SUM(BF108:BF110)</f>
        <v>17157</v>
      </c>
      <c r="BG111" s="73">
        <f t="shared" si="53"/>
        <v>12837</v>
      </c>
      <c r="BH111" s="73">
        <f t="shared" si="53"/>
        <v>20969</v>
      </c>
      <c r="BI111" s="73">
        <f t="shared" si="53"/>
        <v>15294</v>
      </c>
      <c r="BJ111" s="73">
        <f t="shared" si="53"/>
        <v>14342</v>
      </c>
      <c r="BK111" s="73">
        <f t="shared" si="53"/>
        <v>24015</v>
      </c>
      <c r="BL111" s="73">
        <f t="shared" si="53"/>
        <v>26293</v>
      </c>
      <c r="BM111" s="73">
        <f t="shared" si="53"/>
        <v>21581</v>
      </c>
      <c r="BN111" s="249">
        <f t="shared" ref="BN111:BO111" si="54">SUM(BN108:BN110)</f>
        <v>257204</v>
      </c>
      <c r="BO111" s="268">
        <f t="shared" si="54"/>
        <v>257204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>
        <f>BA19+BA40+BA54</f>
        <v>0</v>
      </c>
      <c r="BB112" s="337">
        <v>0</v>
      </c>
      <c r="BC112" s="337">
        <v>0</v>
      </c>
      <c r="BD112" s="337">
        <v>0</v>
      </c>
      <c r="BE112" s="337">
        <v>0</v>
      </c>
      <c r="BF112" s="337">
        <f t="shared" ref="BF112:BO112" si="55">BF19+BF40+BF54</f>
        <v>0</v>
      </c>
      <c r="BG112" s="337">
        <f t="shared" si="55"/>
        <v>0</v>
      </c>
      <c r="BH112" s="337">
        <f t="shared" si="55"/>
        <v>0</v>
      </c>
      <c r="BI112" s="337">
        <f t="shared" si="55"/>
        <v>0</v>
      </c>
      <c r="BJ112" s="337">
        <f t="shared" si="55"/>
        <v>0</v>
      </c>
      <c r="BK112" s="337">
        <f t="shared" si="55"/>
        <v>0</v>
      </c>
      <c r="BL112" s="337">
        <f t="shared" si="55"/>
        <v>0</v>
      </c>
      <c r="BM112" s="337">
        <f t="shared" si="55"/>
        <v>0</v>
      </c>
      <c r="BN112" s="138">
        <f t="shared" si="55"/>
        <v>0</v>
      </c>
      <c r="BO112" s="58">
        <f t="shared" si="55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>
        <v>0</v>
      </c>
      <c r="BC113" s="9">
        <v>0</v>
      </c>
      <c r="BD113" s="9">
        <v>0</v>
      </c>
      <c r="BE113" s="9">
        <v>0</v>
      </c>
      <c r="BF113" s="9">
        <f t="shared" ref="BF113:BM113" si="56">BF62</f>
        <v>0</v>
      </c>
      <c r="BG113" s="9">
        <f t="shared" si="56"/>
        <v>0</v>
      </c>
      <c r="BH113" s="9">
        <f t="shared" si="56"/>
        <v>0</v>
      </c>
      <c r="BI113" s="9">
        <f t="shared" si="56"/>
        <v>0</v>
      </c>
      <c r="BJ113" s="9">
        <f t="shared" si="56"/>
        <v>0</v>
      </c>
      <c r="BK113" s="9">
        <f t="shared" si="56"/>
        <v>0</v>
      </c>
      <c r="BL113" s="9">
        <f t="shared" si="56"/>
        <v>0</v>
      </c>
      <c r="BM113" s="9">
        <f t="shared" si="56"/>
        <v>0</v>
      </c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57">AU93</f>
        <v>0</v>
      </c>
      <c r="AV114" s="9">
        <f t="shared" si="57"/>
        <v>0</v>
      </c>
      <c r="AW114" s="9">
        <f t="shared" si="57"/>
        <v>0</v>
      </c>
      <c r="AX114" s="9">
        <f t="shared" si="57"/>
        <v>0</v>
      </c>
      <c r="AY114" s="9">
        <f t="shared" si="57"/>
        <v>0</v>
      </c>
      <c r="AZ114" s="9">
        <f t="shared" si="57"/>
        <v>0</v>
      </c>
      <c r="BA114" s="138">
        <f t="shared" si="57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58">BF93</f>
        <v>0</v>
      </c>
      <c r="BG114" s="9">
        <f t="shared" si="58"/>
        <v>0</v>
      </c>
      <c r="BH114" s="9">
        <f t="shared" si="58"/>
        <v>0</v>
      </c>
      <c r="BI114" s="9">
        <f t="shared" si="58"/>
        <v>0</v>
      </c>
      <c r="BJ114" s="9">
        <f t="shared" si="58"/>
        <v>0</v>
      </c>
      <c r="BK114" s="9">
        <f t="shared" si="58"/>
        <v>0</v>
      </c>
      <c r="BL114" s="9">
        <f t="shared" si="58"/>
        <v>0</v>
      </c>
      <c r="BM114" s="9">
        <f t="shared" si="58"/>
        <v>0</v>
      </c>
      <c r="BN114" s="138">
        <f t="shared" si="58"/>
        <v>0</v>
      </c>
      <c r="BO114" s="58">
        <f t="shared" si="58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59">SUM(AU112:AU114)</f>
        <v>0</v>
      </c>
      <c r="AV115" s="73">
        <f t="shared" si="59"/>
        <v>0</v>
      </c>
      <c r="AW115" s="73">
        <f t="shared" si="59"/>
        <v>0</v>
      </c>
      <c r="AX115" s="73">
        <f t="shared" si="59"/>
        <v>0</v>
      </c>
      <c r="AY115" s="73">
        <f t="shared" si="59"/>
        <v>0</v>
      </c>
      <c r="AZ115" s="73">
        <f t="shared" si="59"/>
        <v>0</v>
      </c>
      <c r="BA115" s="249">
        <f t="shared" si="59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M115" si="60">SUM(BF112:BF114)</f>
        <v>0</v>
      </c>
      <c r="BG115" s="73">
        <f t="shared" si="60"/>
        <v>0</v>
      </c>
      <c r="BH115" s="73">
        <f t="shared" si="60"/>
        <v>0</v>
      </c>
      <c r="BI115" s="73">
        <f t="shared" si="60"/>
        <v>0</v>
      </c>
      <c r="BJ115" s="73">
        <f t="shared" si="60"/>
        <v>0</v>
      </c>
      <c r="BK115" s="73">
        <f t="shared" si="60"/>
        <v>0</v>
      </c>
      <c r="BL115" s="73">
        <f t="shared" si="60"/>
        <v>0</v>
      </c>
      <c r="BM115" s="73">
        <f t="shared" si="60"/>
        <v>0</v>
      </c>
      <c r="BN115" s="249">
        <f t="shared" ref="BN115:BO115" si="61">SUM(BN112:BN114)</f>
        <v>0</v>
      </c>
      <c r="BO115" s="268">
        <f t="shared" si="61"/>
        <v>0</v>
      </c>
    </row>
    <row r="116" spans="1:67" s="3" customFormat="1" ht="15.75" customHeight="1" thickBot="1">
      <c r="A116" s="201" t="s">
        <v>86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A116" si="62">AU115+AU111</f>
        <v>23969</v>
      </c>
      <c r="AV116" s="251">
        <f t="shared" si="62"/>
        <v>15294</v>
      </c>
      <c r="AW116" s="251">
        <f t="shared" si="62"/>
        <v>14342</v>
      </c>
      <c r="AX116" s="251">
        <f t="shared" si="62"/>
        <v>26015</v>
      </c>
      <c r="AY116" s="251">
        <f t="shared" si="62"/>
        <v>26293</v>
      </c>
      <c r="AZ116" s="251">
        <f t="shared" si="62"/>
        <v>21581</v>
      </c>
      <c r="BA116" s="255">
        <f t="shared" si="62"/>
        <v>127494</v>
      </c>
      <c r="BB116" s="251">
        <v>28519</v>
      </c>
      <c r="BC116" s="251">
        <v>24037</v>
      </c>
      <c r="BD116" s="251">
        <v>22381</v>
      </c>
      <c r="BE116" s="251">
        <v>29779</v>
      </c>
      <c r="BF116" s="251">
        <f t="shared" ref="BF116:BM116" si="63">BF115+BF111</f>
        <v>17157</v>
      </c>
      <c r="BG116" s="251">
        <f t="shared" si="63"/>
        <v>12837</v>
      </c>
      <c r="BH116" s="251">
        <f t="shared" si="63"/>
        <v>20969</v>
      </c>
      <c r="BI116" s="251">
        <f t="shared" si="63"/>
        <v>15294</v>
      </c>
      <c r="BJ116" s="251">
        <f t="shared" si="63"/>
        <v>14342</v>
      </c>
      <c r="BK116" s="251">
        <f t="shared" si="63"/>
        <v>24015</v>
      </c>
      <c r="BL116" s="251">
        <f t="shared" si="63"/>
        <v>26293</v>
      </c>
      <c r="BM116" s="251">
        <f t="shared" si="63"/>
        <v>21581</v>
      </c>
      <c r="BN116" s="255">
        <f t="shared" ref="BN116:BO116" si="64">BN115+BN111</f>
        <v>257204</v>
      </c>
      <c r="BO116" s="269">
        <f t="shared" si="64"/>
        <v>257204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 t="e">
        <f>#REF!+#REF!+#REF!</f>
        <v>#REF!</v>
      </c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>
        <f>BJ99</f>
        <v>0</v>
      </c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27</v>
      </c>
      <c r="AV119" s="280">
        <f>AU119</f>
        <v>27</v>
      </c>
      <c r="AW119" s="280">
        <f>AV119</f>
        <v>27</v>
      </c>
      <c r="AX119" s="280">
        <f t="shared" ref="AX119:AZ119" si="65">AW119</f>
        <v>27</v>
      </c>
      <c r="AY119" s="280">
        <f t="shared" si="65"/>
        <v>27</v>
      </c>
      <c r="AZ119" s="280">
        <f t="shared" si="65"/>
        <v>27</v>
      </c>
      <c r="BA119" s="259"/>
      <c r="BB119" s="280">
        <v>27</v>
      </c>
      <c r="BC119" s="280">
        <v>27</v>
      </c>
      <c r="BD119" s="280">
        <v>27</v>
      </c>
      <c r="BE119" s="280">
        <v>27</v>
      </c>
      <c r="BF119" s="280">
        <f t="shared" ref="BF119:BM119" si="66">BE119</f>
        <v>27</v>
      </c>
      <c r="BG119" s="280">
        <f t="shared" si="66"/>
        <v>27</v>
      </c>
      <c r="BH119" s="280">
        <f t="shared" si="66"/>
        <v>27</v>
      </c>
      <c r="BI119" s="280">
        <f t="shared" si="66"/>
        <v>27</v>
      </c>
      <c r="BJ119" s="280">
        <f t="shared" si="66"/>
        <v>27</v>
      </c>
      <c r="BK119" s="280">
        <f t="shared" si="66"/>
        <v>27</v>
      </c>
      <c r="BL119" s="280">
        <f t="shared" si="66"/>
        <v>27</v>
      </c>
      <c r="BM119" s="280">
        <f t="shared" si="66"/>
        <v>27</v>
      </c>
      <c r="BN119" s="259"/>
      <c r="BO119" s="343">
        <f>BM119</f>
        <v>27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17249</v>
      </c>
      <c r="AU120" s="107">
        <v>15894</v>
      </c>
      <c r="AV120" s="39">
        <f>ROUND(AW108/30*AV119,0)</f>
        <v>12908</v>
      </c>
      <c r="AW120" s="39">
        <f>ROUND(AX108/30*AW119,0)</f>
        <v>23414</v>
      </c>
      <c r="AX120" s="39">
        <f>ROUND(AY108/30*AX119,0)</f>
        <v>23664</v>
      </c>
      <c r="AY120" s="39">
        <f>ROUND(AZ108/30*AY119,0)</f>
        <v>19423</v>
      </c>
      <c r="AZ120" s="39">
        <f>ROUND(BB108/30*AZ119,0)</f>
        <v>25667</v>
      </c>
      <c r="BA120" s="215"/>
      <c r="BB120" s="346">
        <v>21633</v>
      </c>
      <c r="BC120" s="346">
        <v>20143</v>
      </c>
      <c r="BD120" s="346">
        <v>26801</v>
      </c>
      <c r="BE120" s="346">
        <v>15441</v>
      </c>
      <c r="BF120" s="346">
        <f t="shared" ref="BF120:BL120" si="67">ROUND(BG108/30*BF119,0)</f>
        <v>11553</v>
      </c>
      <c r="BG120" s="346">
        <f t="shared" si="67"/>
        <v>18872</v>
      </c>
      <c r="BH120" s="346">
        <f t="shared" si="67"/>
        <v>13765</v>
      </c>
      <c r="BI120" s="346">
        <f t="shared" si="67"/>
        <v>12908</v>
      </c>
      <c r="BJ120" s="346">
        <f t="shared" si="67"/>
        <v>21614</v>
      </c>
      <c r="BK120" s="346">
        <f t="shared" si="67"/>
        <v>23664</v>
      </c>
      <c r="BL120" s="346">
        <f t="shared" si="67"/>
        <v>19423</v>
      </c>
      <c r="BM120" s="57">
        <f>ROUND(BO108*0.11/30*BM119,0)</f>
        <v>25463</v>
      </c>
      <c r="BN120" s="215"/>
      <c r="BO120" s="141">
        <v>25463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68">ROUND(BG110/30*BF119,0)</f>
        <v>0</v>
      </c>
      <c r="BG121" s="57">
        <f t="shared" si="68"/>
        <v>0</v>
      </c>
      <c r="BH121" s="57">
        <f t="shared" si="68"/>
        <v>0</v>
      </c>
      <c r="BI121" s="57">
        <f t="shared" si="68"/>
        <v>0</v>
      </c>
      <c r="BJ121" s="57">
        <f t="shared" si="68"/>
        <v>0</v>
      </c>
      <c r="BK121" s="57">
        <f t="shared" si="68"/>
        <v>0</v>
      </c>
      <c r="BL121" s="57">
        <f t="shared" si="68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-17249</v>
      </c>
      <c r="AV122" s="57">
        <f t="shared" ref="AV122:AZ123" si="69">-AU120</f>
        <v>-15894</v>
      </c>
      <c r="AW122" s="57">
        <f t="shared" si="69"/>
        <v>-12908</v>
      </c>
      <c r="AX122" s="57">
        <f t="shared" si="69"/>
        <v>-23414</v>
      </c>
      <c r="AY122" s="57">
        <f t="shared" si="69"/>
        <v>-23664</v>
      </c>
      <c r="AZ122" s="57">
        <f t="shared" si="69"/>
        <v>-19423</v>
      </c>
      <c r="BA122" s="215"/>
      <c r="BB122" s="57">
        <v>-25667</v>
      </c>
      <c r="BC122" s="57">
        <v>-21633</v>
      </c>
      <c r="BD122" s="57">
        <v>-20143</v>
      </c>
      <c r="BE122" s="57">
        <v>-26801</v>
      </c>
      <c r="BF122" s="57">
        <f t="shared" ref="BF122:BM123" si="70">-BE120</f>
        <v>-15441</v>
      </c>
      <c r="BG122" s="57">
        <f t="shared" si="70"/>
        <v>-11553</v>
      </c>
      <c r="BH122" s="57">
        <f t="shared" si="70"/>
        <v>-18872</v>
      </c>
      <c r="BI122" s="57">
        <f t="shared" si="70"/>
        <v>-13765</v>
      </c>
      <c r="BJ122" s="57">
        <f t="shared" si="70"/>
        <v>-12908</v>
      </c>
      <c r="BK122" s="57">
        <f t="shared" si="70"/>
        <v>-21614</v>
      </c>
      <c r="BL122" s="57">
        <f t="shared" si="70"/>
        <v>-23664</v>
      </c>
      <c r="BM122" s="57">
        <f t="shared" si="70"/>
        <v>-19423</v>
      </c>
      <c r="BN122" s="215"/>
      <c r="BO122" s="141">
        <f>-BM120</f>
        <v>-25463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69"/>
        <v>0</v>
      </c>
      <c r="AW123" s="57">
        <f t="shared" si="69"/>
        <v>0</v>
      </c>
      <c r="AX123" s="57">
        <f t="shared" si="69"/>
        <v>0</v>
      </c>
      <c r="AY123" s="57">
        <f t="shared" si="69"/>
        <v>0</v>
      </c>
      <c r="AZ123" s="57">
        <f t="shared" si="69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70"/>
        <v>0</v>
      </c>
      <c r="BG123" s="57">
        <f t="shared" si="70"/>
        <v>0</v>
      </c>
      <c r="BH123" s="57">
        <f t="shared" si="70"/>
        <v>0</v>
      </c>
      <c r="BI123" s="57">
        <f t="shared" si="70"/>
        <v>0</v>
      </c>
      <c r="BJ123" s="57">
        <f t="shared" si="70"/>
        <v>0</v>
      </c>
      <c r="BK123" s="57">
        <f t="shared" si="70"/>
        <v>0</v>
      </c>
      <c r="BL123" s="57">
        <f t="shared" si="70"/>
        <v>0</v>
      </c>
      <c r="BM123" s="57">
        <f t="shared" si="70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-1355</v>
      </c>
      <c r="AV124" s="344">
        <f t="shared" ref="AV124:AZ124" si="71">SUM(AV120:AV123)</f>
        <v>-2986</v>
      </c>
      <c r="AW124" s="344">
        <f t="shared" si="71"/>
        <v>10506</v>
      </c>
      <c r="AX124" s="344">
        <f t="shared" si="71"/>
        <v>250</v>
      </c>
      <c r="AY124" s="344">
        <f t="shared" si="71"/>
        <v>-4241</v>
      </c>
      <c r="AZ124" s="344">
        <f t="shared" si="71"/>
        <v>6244</v>
      </c>
      <c r="BA124" s="345"/>
      <c r="BB124" s="344">
        <v>-4034</v>
      </c>
      <c r="BC124" s="344">
        <v>-1490</v>
      </c>
      <c r="BD124" s="344">
        <v>6658</v>
      </c>
      <c r="BE124" s="344">
        <v>-11360</v>
      </c>
      <c r="BF124" s="344">
        <f t="shared" ref="BF124:BO124" si="72">SUM(BF120:BF123)</f>
        <v>-3888</v>
      </c>
      <c r="BG124" s="344">
        <f t="shared" si="72"/>
        <v>7319</v>
      </c>
      <c r="BH124" s="344">
        <f t="shared" si="72"/>
        <v>-5107</v>
      </c>
      <c r="BI124" s="344">
        <f t="shared" si="72"/>
        <v>-857</v>
      </c>
      <c r="BJ124" s="344">
        <f t="shared" si="72"/>
        <v>8706</v>
      </c>
      <c r="BK124" s="344">
        <f t="shared" si="72"/>
        <v>2050</v>
      </c>
      <c r="BL124" s="344">
        <f t="shared" si="72"/>
        <v>-4241</v>
      </c>
      <c r="BM124" s="344">
        <f t="shared" si="72"/>
        <v>6040</v>
      </c>
      <c r="BN124" s="345"/>
      <c r="BO124" s="272">
        <f t="shared" si="72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73">AU111+AU124</f>
        <v>22614</v>
      </c>
      <c r="AV132" s="66">
        <f t="shared" si="73"/>
        <v>12308</v>
      </c>
      <c r="AW132" s="66">
        <f t="shared" si="73"/>
        <v>24848</v>
      </c>
      <c r="AX132" s="66">
        <f t="shared" si="73"/>
        <v>26265</v>
      </c>
      <c r="AY132" s="66">
        <f t="shared" si="73"/>
        <v>22052</v>
      </c>
      <c r="AZ132" s="66">
        <f t="shared" si="73"/>
        <v>27825</v>
      </c>
      <c r="BA132" s="216">
        <f>SUM(AT132:AZ132)</f>
        <v>135912</v>
      </c>
      <c r="BB132" s="66">
        <v>24485</v>
      </c>
      <c r="BC132" s="66">
        <v>22547</v>
      </c>
      <c r="BD132" s="66">
        <v>29039</v>
      </c>
      <c r="BE132" s="66">
        <v>18419</v>
      </c>
      <c r="BF132" s="66">
        <f t="shared" ref="BF132:BO132" si="74">BF111+BF124</f>
        <v>13269</v>
      </c>
      <c r="BG132" s="66">
        <f t="shared" si="74"/>
        <v>20156</v>
      </c>
      <c r="BH132" s="66">
        <f t="shared" si="74"/>
        <v>15862</v>
      </c>
      <c r="BI132" s="66">
        <f t="shared" si="74"/>
        <v>14437</v>
      </c>
      <c r="BJ132" s="66">
        <f t="shared" si="74"/>
        <v>23048</v>
      </c>
      <c r="BK132" s="66">
        <f t="shared" si="74"/>
        <v>26065</v>
      </c>
      <c r="BL132" s="66">
        <f t="shared" si="74"/>
        <v>22052</v>
      </c>
      <c r="BM132" s="66">
        <f t="shared" si="74"/>
        <v>27621</v>
      </c>
      <c r="BN132" s="216">
        <f t="shared" si="74"/>
        <v>257204</v>
      </c>
      <c r="BO132" s="185">
        <f t="shared" si="74"/>
        <v>257204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Heloise.Apesteguy-Reux@HydroOne.com</DisplayName>
        <AccountId>54</AccountId>
        <AccountType/>
      </UserInfo>
    </RA>
    <RAContact xmlns="7e651a3a-8d05-4ee0-9344-b668032e30e0" xsi:nil="true"/>
    <DraftReady xmlns="7e651a3a-8d05-4ee0-9344-b668032e30e0">Done</DraftReady>
    <DocumentType xmlns="7e651a3a-8d05-4ee0-9344-b668032e30e0">Working Document</DocumentType>
    <RAApproved xmlns="7e651a3a-8d05-4ee0-9344-b668032e30e0">true</RAApproved>
    <Author0 xmlns="7e651a3a-8d05-4ee0-9344-b668032e30e0">
      <UserInfo>
        <DisplayName>Shelley.Hill@Hydroone.com</DisplayName>
        <AccountId>25</AccountId>
        <AccountType/>
      </UserInfo>
    </Author0>
    <CaseNumber_x002f_DocketNumber xmlns="7e651a3a-8d05-4ee0-9344-b668032e30e0">EB-2022-0041</CaseNumber_x002f_DocketNumber>
    <Legal_x0020_Review xmlns="7e651a3a-8d05-4ee0-9344-b668032e30e0">true</Legal_x0020_Review>
    <TaxCatchAll xmlns="1f5e108a-442b-424d-88d6-fdac133e65d6" xsi:nil="true"/>
    <IssueDate xmlns="7e651a3a-8d05-4ee0-9344-b668032e30e0" xsi:nil="true"/>
    <Applicant xmlns="7e651a3a-8d05-4ee0-9344-b668032e30e0">Hydro One Networks Inc. - HONI</Applicant>
    <WitnessApproved xmlns="7e651a3a-8d05-4ee0-9344-b668032e30e0">true</WitnessApproved>
    <Strategic xmlns="7e651a3a-8d05-4ee0-9344-b668032e30e0">false</Strategic>
    <Docket xmlns="7e651a3a-8d05-4ee0-9344-b668032e30e0" xsi:nil="true"/>
    <Applicant0 xmlns="7e651a3a-8d05-4ee0-9344-b668032e30e0" xsi:nil="true"/>
    <RA_x0020_Director_x0020_Approved xmlns="7e651a3a-8d05-4ee0-9344-b668032e30e0">true</RA_x0020_Director_x0020_Approved>
    <lcf76f155ced4ddcb4097134ff3c332f xmlns="7e651a3a-8d05-4ee0-9344-b668032e30e0">
      <Terms xmlns="http://schemas.microsoft.com/office/infopath/2007/PartnerControls"/>
    </lcf76f155ced4ddcb4097134ff3c332f>
    <Witness_x0020_Internal xmlns="7e651a3a-8d05-4ee0-9344-b668032e30e0">
      <UserInfo>
        <DisplayName>kevin.mann@HydroOne.com</DisplayName>
        <AccountId>73</AccountId>
        <AccountType/>
      </UserInfo>
    </Witness_x0020_Internal>
    <TitleofExhibit xmlns="7e651a3a-8d05-4ee0-9344-b668032e30e0">Statistical Data for 2023 Load Forecast</TitleofExhibit>
    <TypeofDocument xmlns="7e651a3a-8d05-4ee0-9344-b668032e30e0" xsi:nil="true"/>
    <Formatted xmlns="7e651a3a-8d05-4ee0-9344-b668032e30e0">true</Formatted>
    <PDF xmlns="7e651a3a-8d05-4ee0-9344-b668032e30e0">true</PD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8C88A7-8B8E-4F66-A493-AE493BE12073}"/>
</file>

<file path=customXml/itemProps2.xml><?xml version="1.0" encoding="utf-8"?>
<ds:datastoreItem xmlns:ds="http://schemas.openxmlformats.org/officeDocument/2006/customXml" ds:itemID="{DA191A0B-0BE6-4BAA-8FED-967D782335EE}"/>
</file>

<file path=customXml/itemProps3.xml><?xml version="1.0" encoding="utf-8"?>
<ds:datastoreItem xmlns:ds="http://schemas.openxmlformats.org/officeDocument/2006/customXml" ds:itemID="{15C4897A-4848-486D-AA33-3A36A350B7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Load Forecast Model</dc:title>
  <dc:subject/>
  <dc:creator>HILL Shelley</dc:creator>
  <cp:keywords/>
  <dc:description/>
  <cp:lastModifiedBy>BUT Judy</cp:lastModifiedBy>
  <cp:revision/>
  <dcterms:created xsi:type="dcterms:W3CDTF">2018-04-17T19:18:44Z</dcterms:created>
  <dcterms:modified xsi:type="dcterms:W3CDTF">2022-08-31T15:18:26Z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